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showSheetTabs="0" xWindow="0" yWindow="180" windowWidth="7230" windowHeight="8925" tabRatio="429"/>
  </bookViews>
  <sheets>
    <sheet name="MENU" sheetId="34" r:id="rId1"/>
    <sheet name="Dados" sheetId="11" state="veryHidden" r:id="rId2"/>
    <sheet name="Oficio" sheetId="31" state="veryHidden" r:id="rId3"/>
    <sheet name="Ata" sheetId="33" state="veryHidden" r:id="rId4"/>
    <sheet name="MOD_1" sheetId="3" state="veryHidden" r:id="rId5"/>
    <sheet name="MOD_2" sheetId="1" state="veryHidden" r:id="rId6"/>
    <sheet name="MOD_2_volta_aulas" sheetId="38" state="veryHidden" r:id="rId7"/>
    <sheet name="MOD_2_futuro" sheetId="41" state="veryHidden" r:id="rId8"/>
    <sheet name="MOD_2_transporte" sheetId="42" state="veryHidden" r:id="rId9"/>
    <sheet name="MOD_2_imprensa" sheetId="43" state="veryHidden" r:id="rId10"/>
    <sheet name="MOD_2_gremio" sheetId="44" state="veryHidden" r:id="rId11"/>
    <sheet name="MOD_2_formacao" sheetId="45" state="veryHidden" r:id="rId12"/>
    <sheet name="MOD_2_mais_escola" sheetId="46" state="veryHidden" r:id="rId13"/>
    <sheet name="MOD_2_livre_aplicacao" sheetId="47" state="veryHidden" r:id="rId14"/>
    <sheet name="MOD_3" sheetId="18" state="veryHidden" r:id="rId15"/>
    <sheet name="MOD_4" sheetId="5" state="veryHidden" r:id="rId16"/>
    <sheet name="MOD_5" sheetId="6" state="veryHidden" r:id="rId17"/>
    <sheet name="SOLICITA" sheetId="36" state="veryHidden" r:id="rId18"/>
    <sheet name="BASE" sheetId="37" state="veryHidden" r:id="rId19"/>
    <sheet name="Despesas" sheetId="39" state="veryHidden" r:id="rId20"/>
    <sheet name="Ajuda" sheetId="40" state="veryHidden" r:id="rId21"/>
  </sheets>
  <functionGroups builtInGroupCount="17"/>
  <definedNames>
    <definedName name="ano_extenso">Ata!$BL$4:$BM$10</definedName>
    <definedName name="_xlnm.Print_Area" localSheetId="20">Ajuda!$A$2:$M$270</definedName>
    <definedName name="_xlnm.Print_Area" localSheetId="3">Ata!$B$13:$BE$294</definedName>
    <definedName name="_xlnm.Print_Area" localSheetId="1">Dados!$B$1:$L$141</definedName>
    <definedName name="_xlnm.Print_Area" localSheetId="0">MENU!$A$3:$AA$90</definedName>
    <definedName name="_xlnm.Print_Area" localSheetId="4">MOD_1!$B$2:$K$55</definedName>
    <definedName name="_xlnm.Print_Area" localSheetId="5">MOD_2!$B$4:$Y$52</definedName>
    <definedName name="_xlnm.Print_Area" localSheetId="11">MOD_2_formacao!$B$4:$AB$52</definedName>
    <definedName name="_xlnm.Print_Area" localSheetId="7">MOD_2_futuro!$B$4:$Y$52</definedName>
    <definedName name="_xlnm.Print_Area" localSheetId="10">MOD_2_gremio!$B$4:$AB$52</definedName>
    <definedName name="_xlnm.Print_Area" localSheetId="9">MOD_2_imprensa!$B$4:$AB$52</definedName>
    <definedName name="_xlnm.Print_Area" localSheetId="13">MOD_2_livre_aplicacao!$B$4:$AB$52</definedName>
    <definedName name="_xlnm.Print_Area" localSheetId="12">MOD_2_mais_escola!$B$4:$AB$52</definedName>
    <definedName name="_xlnm.Print_Area" localSheetId="8">MOD_2_transporte!$B$4:$AB$52</definedName>
    <definedName name="_xlnm.Print_Area" localSheetId="6">MOD_2_volta_aulas!$B$4:$AB$52</definedName>
    <definedName name="_xlnm.Print_Area" localSheetId="14">MOD_3!$B$5:$R$42</definedName>
    <definedName name="_xlnm.Print_Area" localSheetId="15">MOD_4!$B$2:$R$48</definedName>
    <definedName name="_xlnm.Print_Area" localSheetId="16">MOD_5!$C$4:$S$41</definedName>
    <definedName name="_xlnm.Print_Area" localSheetId="2">Oficio!$B$2:$BC$78</definedName>
    <definedName name="_xlnm.Print_Area" localSheetId="17">SOLICITA!$B$2:$BA$31</definedName>
    <definedName name="base">BASE!$B$3:$CI$1560</definedName>
    <definedName name="cnpj_cpf">Despesas!$C$164:$C$165</definedName>
    <definedName name="devolucao">Ata!$BH$225:$BH$228</definedName>
    <definedName name="dres">Dados!$S$7:$T$19</definedName>
    <definedName name="hora_extenso">Ata!$BR$2:$BS$25</definedName>
    <definedName name="lista_eol">Dados!$E$145:$E$1700</definedName>
    <definedName name="mes_extenso">Ata!$BO$2:$BP$32</definedName>
    <definedName name="minuto_extenso">Ata!$CA$2:$CB$63</definedName>
    <definedName name="recursos_1">Despesas!$G$201:$G$218</definedName>
    <definedName name="recursos_2">Despesas!$G$222:$G$237</definedName>
    <definedName name="saldo">Dados!$S$98:$S$100</definedName>
    <definedName name="sim">Despesas!$J$164:$J$172</definedName>
    <definedName name="sim_2">Despesas!$J$177:$J$180</definedName>
    <definedName name="simnao">Despesas!$V$164:$V$165</definedName>
    <definedName name="Z_98525D82_E238_4C7D_9E63_FA5760F475F3_.wvu.Cols" localSheetId="5" hidden="1">MOD_2!#REF!,MOD_2!$I:$I,MOD_2!#REF!</definedName>
    <definedName name="Z_98525D82_E238_4C7D_9E63_FA5760F475F3_.wvu.Cols" localSheetId="11" hidden="1">MOD_2_formacao!#REF!,MOD_2_formacao!$I:$I,MOD_2_formacao!#REF!</definedName>
    <definedName name="Z_98525D82_E238_4C7D_9E63_FA5760F475F3_.wvu.Cols" localSheetId="7" hidden="1">MOD_2_futuro!#REF!,MOD_2_futuro!$I:$I,MOD_2_futuro!#REF!</definedName>
    <definedName name="Z_98525D82_E238_4C7D_9E63_FA5760F475F3_.wvu.Cols" localSheetId="10" hidden="1">MOD_2_gremio!#REF!,MOD_2_gremio!$I:$I,MOD_2_gremio!#REF!</definedName>
    <definedName name="Z_98525D82_E238_4C7D_9E63_FA5760F475F3_.wvu.Cols" localSheetId="9" hidden="1">MOD_2_imprensa!#REF!,MOD_2_imprensa!$I:$I,MOD_2_imprensa!#REF!</definedName>
    <definedName name="Z_98525D82_E238_4C7D_9E63_FA5760F475F3_.wvu.Cols" localSheetId="13" hidden="1">MOD_2_livre_aplicacao!#REF!,MOD_2_livre_aplicacao!$I:$I,MOD_2_livre_aplicacao!#REF!</definedName>
    <definedName name="Z_98525D82_E238_4C7D_9E63_FA5760F475F3_.wvu.Cols" localSheetId="12" hidden="1">MOD_2_mais_escola!#REF!,MOD_2_mais_escola!$I:$I,MOD_2_mais_escola!#REF!</definedName>
    <definedName name="Z_98525D82_E238_4C7D_9E63_FA5760F475F3_.wvu.Cols" localSheetId="8" hidden="1">MOD_2_transporte!#REF!,MOD_2_transporte!$I:$I,MOD_2_transporte!#REF!</definedName>
    <definedName name="Z_98525D82_E238_4C7D_9E63_FA5760F475F3_.wvu.Cols" localSheetId="6" hidden="1">MOD_2_volta_aulas!#REF!,MOD_2_volta_aulas!$I:$I,MOD_2_volta_aulas!#REF!</definedName>
  </definedNames>
  <calcPr calcId="145621" fullPrecision="0"/>
  <customWorkbookViews>
    <customWorkbookView name="d561158 - Modo de exibição pessoal" guid="{98525D82-E238-4C7D-9E63-FA5760F475F3}" mergeInterval="0" personalView="1" maximized="1" windowWidth="796" windowHeight="428" activeSheetId="1" showComments="commIndAndComment"/>
  </customWorkbookViews>
</workbook>
</file>

<file path=xl/calcChain.xml><?xml version="1.0" encoding="utf-8"?>
<calcChain xmlns="http://schemas.openxmlformats.org/spreadsheetml/2006/main">
  <c r="G128" i="11" l="1"/>
  <c r="C128" i="11"/>
  <c r="L13" i="34" l="1"/>
  <c r="G90" i="34" l="1"/>
  <c r="AR28" i="31" l="1"/>
  <c r="AR36" i="31" l="1"/>
  <c r="U86" i="34" l="1"/>
  <c r="S3" i="11" l="1"/>
  <c r="A1" i="36" l="1"/>
  <c r="A1" i="5"/>
  <c r="A1" i="3"/>
  <c r="A1" i="33"/>
  <c r="A1" i="31"/>
  <c r="E163" i="39" l="1"/>
  <c r="E162" i="39"/>
  <c r="E161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E116" i="39"/>
  <c r="E115" i="39"/>
  <c r="E114" i="39"/>
  <c r="E113" i="39"/>
  <c r="E112" i="39"/>
  <c r="E111" i="39"/>
  <c r="E110" i="39"/>
  <c r="E109" i="39"/>
  <c r="E108" i="39"/>
  <c r="E107" i="39"/>
  <c r="E106" i="39"/>
  <c r="E105" i="39"/>
  <c r="E104" i="39"/>
  <c r="E103" i="39"/>
  <c r="E102" i="39"/>
  <c r="E101" i="39"/>
  <c r="E100" i="39"/>
  <c r="E99" i="39"/>
  <c r="E98" i="39"/>
  <c r="E97" i="39"/>
  <c r="E96" i="39"/>
  <c r="E95" i="39"/>
  <c r="E94" i="39"/>
  <c r="E93" i="39"/>
  <c r="E92" i="39"/>
  <c r="E91" i="39"/>
  <c r="E90" i="39"/>
  <c r="E89" i="39"/>
  <c r="E88" i="39"/>
  <c r="E87" i="39"/>
  <c r="E86" i="39"/>
  <c r="E85" i="39"/>
  <c r="E84" i="39"/>
  <c r="E83" i="39"/>
  <c r="E82" i="39"/>
  <c r="E81" i="39"/>
  <c r="E80" i="39"/>
  <c r="E79" i="39"/>
  <c r="E78" i="39"/>
  <c r="E77" i="39"/>
  <c r="E76" i="39"/>
  <c r="E75" i="39"/>
  <c r="E74" i="39"/>
  <c r="E73" i="39"/>
  <c r="E72" i="39"/>
  <c r="E71" i="39"/>
  <c r="E70" i="39"/>
  <c r="E69" i="39"/>
  <c r="E68" i="39"/>
  <c r="E67" i="39"/>
  <c r="E66" i="39"/>
  <c r="E65" i="39"/>
  <c r="E64" i="39"/>
  <c r="E63" i="39"/>
  <c r="E62" i="39"/>
  <c r="E61" i="39"/>
  <c r="E60" i="39"/>
  <c r="E59" i="39"/>
  <c r="E58" i="39"/>
  <c r="E57" i="39"/>
  <c r="E56" i="39"/>
  <c r="E55" i="39"/>
  <c r="E54" i="39"/>
  <c r="E53" i="39"/>
  <c r="E52" i="39"/>
  <c r="E51" i="39"/>
  <c r="E50" i="39"/>
  <c r="E49" i="39"/>
  <c r="E48" i="39"/>
  <c r="E47" i="39"/>
  <c r="E46" i="39"/>
  <c r="E45" i="39"/>
  <c r="E44" i="39"/>
  <c r="E43" i="39"/>
  <c r="E42" i="39"/>
  <c r="E41" i="39"/>
  <c r="E40" i="39"/>
  <c r="E39" i="39"/>
  <c r="E38" i="39"/>
  <c r="E37" i="39"/>
  <c r="E36" i="39"/>
  <c r="E35" i="39"/>
  <c r="E34" i="39"/>
  <c r="E33" i="39"/>
  <c r="E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E11" i="39"/>
  <c r="E10" i="39"/>
  <c r="E9" i="39"/>
  <c r="E8" i="39"/>
  <c r="E7" i="39"/>
  <c r="E6" i="39"/>
  <c r="E5" i="39"/>
  <c r="E4" i="39"/>
  <c r="AM130" i="39" l="1"/>
  <c r="AL130" i="39"/>
  <c r="AM129" i="39"/>
  <c r="AL129" i="39"/>
  <c r="AM128" i="39"/>
  <c r="AL128" i="39"/>
  <c r="AM127" i="39"/>
  <c r="AL127" i="39"/>
  <c r="AM126" i="39"/>
  <c r="AL126" i="39"/>
  <c r="AM125" i="39"/>
  <c r="AL125" i="39"/>
  <c r="AM124" i="39"/>
  <c r="AL124" i="39"/>
  <c r="AM123" i="39"/>
  <c r="AL123" i="39"/>
  <c r="AM122" i="39"/>
  <c r="AL122" i="39"/>
  <c r="AM121" i="39"/>
  <c r="AL121" i="39"/>
  <c r="AM120" i="39"/>
  <c r="AL120" i="39"/>
  <c r="AM119" i="39"/>
  <c r="AL119" i="39"/>
  <c r="AL118" i="39"/>
  <c r="AR35" i="31"/>
  <c r="AR34" i="31"/>
  <c r="AR33" i="31"/>
  <c r="AR32" i="31"/>
  <c r="AR31" i="31"/>
  <c r="AR30" i="31"/>
  <c r="AR29" i="31"/>
  <c r="E1703" i="11" l="1"/>
  <c r="E1704" i="11"/>
  <c r="E1705" i="11"/>
  <c r="E1706" i="11"/>
  <c r="E1707" i="11"/>
  <c r="E1708" i="11"/>
  <c r="E1709" i="11"/>
  <c r="E1710" i="11"/>
  <c r="E1711" i="11"/>
  <c r="E1712" i="11"/>
  <c r="E1713" i="11"/>
  <c r="E1714" i="11"/>
  <c r="R17" i="34" l="1"/>
  <c r="Q17" i="34"/>
  <c r="AC163" i="39"/>
  <c r="AC162" i="39"/>
  <c r="AC161" i="39"/>
  <c r="AC160" i="39"/>
  <c r="AC159" i="39"/>
  <c r="AC158" i="39"/>
  <c r="AC157" i="39"/>
  <c r="AC156" i="39"/>
  <c r="AC155" i="39"/>
  <c r="AC154" i="39"/>
  <c r="AC153" i="39"/>
  <c r="AC152" i="39"/>
  <c r="AC151" i="39"/>
  <c r="AC150" i="39"/>
  <c r="AC149" i="39"/>
  <c r="AC148" i="39"/>
  <c r="AC147" i="39"/>
  <c r="AC146" i="39"/>
  <c r="AC145" i="39"/>
  <c r="AC144" i="39"/>
  <c r="AC143" i="39"/>
  <c r="AC142" i="39"/>
  <c r="AC141" i="39"/>
  <c r="AC140" i="39"/>
  <c r="AC139" i="39"/>
  <c r="AC138" i="39"/>
  <c r="AC137" i="39"/>
  <c r="AC136" i="39"/>
  <c r="AC135" i="39"/>
  <c r="AC134" i="39"/>
  <c r="AC133" i="39"/>
  <c r="AC132" i="39"/>
  <c r="AC131" i="39"/>
  <c r="AC130" i="39"/>
  <c r="AC129" i="39"/>
  <c r="AC128" i="39"/>
  <c r="AC127" i="39"/>
  <c r="AC126" i="39"/>
  <c r="AC125" i="39"/>
  <c r="AC124" i="39"/>
  <c r="AC123" i="39"/>
  <c r="AC122" i="39"/>
  <c r="AC121" i="39"/>
  <c r="AC120" i="39"/>
  <c r="AC119" i="39"/>
  <c r="AC118" i="39"/>
  <c r="AC117" i="39"/>
  <c r="AC116" i="39"/>
  <c r="AC115" i="39"/>
  <c r="AC114" i="39"/>
  <c r="AC113" i="39"/>
  <c r="AC112" i="39"/>
  <c r="AC111" i="39"/>
  <c r="AC110" i="39"/>
  <c r="AC109" i="39"/>
  <c r="AC108" i="39"/>
  <c r="AC107" i="39"/>
  <c r="AC106" i="39"/>
  <c r="AC105" i="39"/>
  <c r="AC104" i="39"/>
  <c r="AC103" i="39"/>
  <c r="AC102" i="39"/>
  <c r="AC101" i="39"/>
  <c r="AC100" i="39"/>
  <c r="AC99" i="39"/>
  <c r="AC98" i="39"/>
  <c r="AC97" i="39"/>
  <c r="AC96" i="39"/>
  <c r="AC95" i="39"/>
  <c r="AC94" i="39"/>
  <c r="AC93" i="39"/>
  <c r="AC92" i="39"/>
  <c r="AC91" i="39"/>
  <c r="AC90" i="39"/>
  <c r="AC89" i="39"/>
  <c r="AC88" i="39"/>
  <c r="AC87" i="39"/>
  <c r="AC86" i="39"/>
  <c r="AC85" i="39"/>
  <c r="AC84" i="39"/>
  <c r="AC83" i="39"/>
  <c r="AC82" i="39"/>
  <c r="AC81" i="39"/>
  <c r="AC80" i="39"/>
  <c r="AC79" i="39"/>
  <c r="AC78" i="39"/>
  <c r="AC77" i="39"/>
  <c r="AC76" i="39"/>
  <c r="AC75" i="39"/>
  <c r="AC74" i="39"/>
  <c r="AC73" i="39"/>
  <c r="AC72" i="39"/>
  <c r="AC71" i="39"/>
  <c r="AC70" i="39"/>
  <c r="AC69" i="39"/>
  <c r="AC68" i="39"/>
  <c r="AC67" i="39"/>
  <c r="AC66" i="39"/>
  <c r="AC65" i="39"/>
  <c r="AC64" i="39"/>
  <c r="AC63" i="39"/>
  <c r="AC62" i="39"/>
  <c r="AC61" i="39"/>
  <c r="AC60" i="39"/>
  <c r="AC59" i="39"/>
  <c r="AC58" i="39"/>
  <c r="AC57" i="39"/>
  <c r="AC56" i="39"/>
  <c r="AC55" i="39"/>
  <c r="AC54" i="39"/>
  <c r="AC53" i="39"/>
  <c r="AC52" i="39"/>
  <c r="AC51" i="39"/>
  <c r="AC50" i="39"/>
  <c r="AC49" i="39"/>
  <c r="AC48" i="39"/>
  <c r="AC47" i="39"/>
  <c r="AC46" i="39"/>
  <c r="AC45" i="39"/>
  <c r="AC44" i="39"/>
  <c r="AC43" i="39"/>
  <c r="AC42" i="39"/>
  <c r="AC41" i="39"/>
  <c r="AC40" i="39"/>
  <c r="AC39" i="39"/>
  <c r="AC38" i="39"/>
  <c r="AC37" i="39"/>
  <c r="AC36" i="39"/>
  <c r="AC35" i="39"/>
  <c r="AC34" i="39"/>
  <c r="AC33" i="39"/>
  <c r="AC32" i="39"/>
  <c r="AC31" i="39"/>
  <c r="AC30" i="39"/>
  <c r="AC29" i="39"/>
  <c r="AC28" i="39"/>
  <c r="AC27" i="39"/>
  <c r="AC26" i="39"/>
  <c r="AC25" i="39"/>
  <c r="AC24" i="39"/>
  <c r="AC23" i="39"/>
  <c r="AC22" i="39"/>
  <c r="AC21" i="39"/>
  <c r="AC19" i="39"/>
  <c r="AC20" i="39"/>
  <c r="AC17" i="39"/>
  <c r="AC18" i="39"/>
  <c r="AC16" i="39"/>
  <c r="AC15" i="39"/>
  <c r="AC13" i="39"/>
  <c r="AC14" i="39"/>
  <c r="AC12" i="39"/>
  <c r="AC11" i="39"/>
  <c r="AC10" i="39"/>
  <c r="AC9" i="39"/>
  <c r="AC8" i="39"/>
  <c r="AC7" i="39"/>
  <c r="AC6" i="39"/>
  <c r="AC5" i="39"/>
  <c r="AC4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19" i="39"/>
  <c r="U20" i="39"/>
  <c r="U17" i="39"/>
  <c r="U18" i="39"/>
  <c r="U16" i="39"/>
  <c r="U15" i="39"/>
  <c r="U13" i="39"/>
  <c r="U14" i="39"/>
  <c r="U12" i="39"/>
  <c r="U11" i="39"/>
  <c r="U10" i="39"/>
  <c r="U9" i="39"/>
  <c r="U8" i="39"/>
  <c r="U7" i="39"/>
  <c r="U6" i="39"/>
  <c r="U5" i="39"/>
  <c r="U4" i="39"/>
  <c r="QL15" i="39" l="1"/>
  <c r="QL14" i="39"/>
  <c r="QL13" i="39"/>
  <c r="QL12" i="39"/>
  <c r="QL11" i="39"/>
  <c r="QL10" i="39"/>
  <c r="QL9" i="39"/>
  <c r="QL8" i="39"/>
  <c r="QL7" i="39"/>
  <c r="QL6" i="39"/>
  <c r="QL5" i="39"/>
  <c r="QL4" i="39"/>
  <c r="QM15" i="39"/>
  <c r="QM14" i="39"/>
  <c r="QM13" i="39"/>
  <c r="QM12" i="39"/>
  <c r="QM11" i="39"/>
  <c r="QM10" i="39"/>
  <c r="QM9" i="39"/>
  <c r="QM8" i="39"/>
  <c r="QM7" i="39"/>
  <c r="QM6" i="39"/>
  <c r="QM5" i="39"/>
  <c r="QM4" i="39"/>
  <c r="QJ15" i="39"/>
  <c r="QJ14" i="39"/>
  <c r="QJ13" i="39"/>
  <c r="QJ12" i="39"/>
  <c r="QJ11" i="39"/>
  <c r="QJ10" i="39"/>
  <c r="QJ9" i="39"/>
  <c r="QJ8" i="39"/>
  <c r="QJ7" i="39"/>
  <c r="QJ6" i="39"/>
  <c r="QJ5" i="39"/>
  <c r="QJ4" i="39"/>
  <c r="QI15" i="39"/>
  <c r="QI14" i="39"/>
  <c r="QI13" i="39"/>
  <c r="QI12" i="39"/>
  <c r="QI11" i="39"/>
  <c r="QI10" i="39"/>
  <c r="QI9" i="39"/>
  <c r="QI8" i="39"/>
  <c r="QI7" i="39"/>
  <c r="QI6" i="39"/>
  <c r="QI5" i="39"/>
  <c r="QI4" i="39"/>
  <c r="QF15" i="39"/>
  <c r="QF14" i="39"/>
  <c r="QF13" i="39"/>
  <c r="QF12" i="39"/>
  <c r="QF11" i="39"/>
  <c r="QF10" i="39"/>
  <c r="QF9" i="39"/>
  <c r="QF8" i="39"/>
  <c r="QF7" i="39"/>
  <c r="QF6" i="39"/>
  <c r="QF5" i="39"/>
  <c r="QF4" i="39"/>
  <c r="QG15" i="39"/>
  <c r="QG14" i="39"/>
  <c r="QG13" i="39"/>
  <c r="QG12" i="39"/>
  <c r="QG11" i="39"/>
  <c r="QG10" i="39"/>
  <c r="QG9" i="39"/>
  <c r="QG8" i="39"/>
  <c r="QG7" i="39"/>
  <c r="QG6" i="39"/>
  <c r="QG5" i="39"/>
  <c r="QG4" i="39"/>
  <c r="QD15" i="39"/>
  <c r="QD14" i="39"/>
  <c r="QD13" i="39"/>
  <c r="QD12" i="39"/>
  <c r="QD11" i="39"/>
  <c r="QD10" i="39"/>
  <c r="QD9" i="39"/>
  <c r="QD8" i="39"/>
  <c r="QD7" i="39"/>
  <c r="QD6" i="39"/>
  <c r="QD5" i="39"/>
  <c r="QD4" i="39"/>
  <c r="QC15" i="39"/>
  <c r="QC14" i="39"/>
  <c r="QC13" i="39"/>
  <c r="QC12" i="39"/>
  <c r="QC11" i="39"/>
  <c r="QC10" i="39"/>
  <c r="QC9" i="39"/>
  <c r="QC8" i="39"/>
  <c r="QC7" i="39"/>
  <c r="QC6" i="39"/>
  <c r="QC5" i="39"/>
  <c r="QC4" i="39"/>
  <c r="PZ15" i="39"/>
  <c r="PZ14" i="39"/>
  <c r="PZ13" i="39"/>
  <c r="PZ12" i="39"/>
  <c r="PZ11" i="39"/>
  <c r="PZ10" i="39"/>
  <c r="PZ9" i="39"/>
  <c r="PZ8" i="39"/>
  <c r="PZ7" i="39"/>
  <c r="PZ6" i="39"/>
  <c r="PZ5" i="39"/>
  <c r="PZ4" i="39"/>
  <c r="QA15" i="39"/>
  <c r="QA14" i="39"/>
  <c r="QA13" i="39"/>
  <c r="QA12" i="39"/>
  <c r="QA11" i="39"/>
  <c r="QA10" i="39"/>
  <c r="QA9" i="39"/>
  <c r="QA8" i="39"/>
  <c r="QA7" i="39"/>
  <c r="QA6" i="39"/>
  <c r="QA5" i="39"/>
  <c r="QA4" i="39"/>
  <c r="PX15" i="39"/>
  <c r="PX14" i="39"/>
  <c r="PX13" i="39"/>
  <c r="PX12" i="39"/>
  <c r="PX11" i="39"/>
  <c r="PX10" i="39"/>
  <c r="PX9" i="39"/>
  <c r="PX8" i="39"/>
  <c r="PX7" i="39"/>
  <c r="PX6" i="39"/>
  <c r="PX5" i="39"/>
  <c r="PX4" i="39"/>
  <c r="PW15" i="39"/>
  <c r="PW14" i="39"/>
  <c r="PW13" i="39"/>
  <c r="PW12" i="39"/>
  <c r="PW11" i="39"/>
  <c r="PW10" i="39"/>
  <c r="PW9" i="39"/>
  <c r="PW8" i="39"/>
  <c r="PW7" i="39"/>
  <c r="PW6" i="39"/>
  <c r="PW5" i="39"/>
  <c r="PW4" i="39"/>
  <c r="PU15" i="39"/>
  <c r="PU14" i="39"/>
  <c r="PU13" i="39"/>
  <c r="PU12" i="39"/>
  <c r="PU11" i="39"/>
  <c r="PU10" i="39"/>
  <c r="PU9" i="39"/>
  <c r="PU8" i="39"/>
  <c r="PU7" i="39"/>
  <c r="PU6" i="39"/>
  <c r="PU5" i="39"/>
  <c r="PU4" i="39"/>
  <c r="PT15" i="39"/>
  <c r="PT14" i="39"/>
  <c r="PT13" i="39"/>
  <c r="PT12" i="39"/>
  <c r="PT11" i="39"/>
  <c r="PT10" i="39"/>
  <c r="PT9" i="39"/>
  <c r="PT8" i="39"/>
  <c r="PT7" i="39"/>
  <c r="PT6" i="39"/>
  <c r="PT5" i="39"/>
  <c r="PT4" i="39"/>
  <c r="OC163" i="39"/>
  <c r="OC162" i="39"/>
  <c r="OC161" i="39"/>
  <c r="OC160" i="39"/>
  <c r="OC159" i="39"/>
  <c r="OC158" i="39"/>
  <c r="OC157" i="39"/>
  <c r="OC156" i="39"/>
  <c r="OC155" i="39"/>
  <c r="OC154" i="39"/>
  <c r="OC153" i="39"/>
  <c r="OC152" i="39"/>
  <c r="OC151" i="39"/>
  <c r="OC150" i="39"/>
  <c r="OC149" i="39"/>
  <c r="OC148" i="39"/>
  <c r="OC147" i="39"/>
  <c r="OC146" i="39"/>
  <c r="OC145" i="39"/>
  <c r="OC144" i="39"/>
  <c r="OC143" i="39"/>
  <c r="OC142" i="39"/>
  <c r="OC141" i="39"/>
  <c r="OC140" i="39"/>
  <c r="OC139" i="39"/>
  <c r="OC138" i="39"/>
  <c r="OC137" i="39"/>
  <c r="OC136" i="39"/>
  <c r="OC135" i="39"/>
  <c r="OC134" i="39"/>
  <c r="OC133" i="39"/>
  <c r="OC132" i="39"/>
  <c r="OC131" i="39"/>
  <c r="OC130" i="39"/>
  <c r="OC129" i="39"/>
  <c r="OC128" i="39"/>
  <c r="OC127" i="39"/>
  <c r="OC126" i="39"/>
  <c r="OC125" i="39"/>
  <c r="OC124" i="39"/>
  <c r="OC123" i="39"/>
  <c r="OC122" i="39"/>
  <c r="OC121" i="39"/>
  <c r="OC120" i="39"/>
  <c r="OC119" i="39"/>
  <c r="OC118" i="39"/>
  <c r="OC117" i="39"/>
  <c r="OC116" i="39"/>
  <c r="OC115" i="39"/>
  <c r="OC114" i="39"/>
  <c r="OC113" i="39"/>
  <c r="OC112" i="39"/>
  <c r="OC111" i="39"/>
  <c r="OC110" i="39"/>
  <c r="OC109" i="39"/>
  <c r="OC108" i="39"/>
  <c r="OC107" i="39"/>
  <c r="OC106" i="39"/>
  <c r="OC105" i="39"/>
  <c r="OC104" i="39"/>
  <c r="OC103" i="39"/>
  <c r="OC102" i="39"/>
  <c r="OC101" i="39"/>
  <c r="OC100" i="39"/>
  <c r="OC99" i="39"/>
  <c r="OC98" i="39"/>
  <c r="OC97" i="39"/>
  <c r="OC96" i="39"/>
  <c r="OC95" i="39"/>
  <c r="OC94" i="39"/>
  <c r="OC93" i="39"/>
  <c r="OC92" i="39"/>
  <c r="OC91" i="39"/>
  <c r="OC90" i="39"/>
  <c r="OC89" i="39"/>
  <c r="OC88" i="39"/>
  <c r="OC87" i="39"/>
  <c r="OC86" i="39"/>
  <c r="OC85" i="39"/>
  <c r="OC84" i="39"/>
  <c r="OC83" i="39"/>
  <c r="OC82" i="39"/>
  <c r="OC81" i="39"/>
  <c r="OC80" i="39"/>
  <c r="OC79" i="39"/>
  <c r="OC78" i="39"/>
  <c r="OC77" i="39"/>
  <c r="OC76" i="39"/>
  <c r="OC75" i="39"/>
  <c r="OC74" i="39"/>
  <c r="OC73" i="39"/>
  <c r="OC72" i="39"/>
  <c r="OC71" i="39"/>
  <c r="OC70" i="39"/>
  <c r="OC69" i="39"/>
  <c r="OC68" i="39"/>
  <c r="OC67" i="39"/>
  <c r="OC66" i="39"/>
  <c r="OC65" i="39"/>
  <c r="OC64" i="39"/>
  <c r="OC63" i="39"/>
  <c r="OC62" i="39"/>
  <c r="OC61" i="39"/>
  <c r="OC60" i="39"/>
  <c r="OC59" i="39"/>
  <c r="OC58" i="39"/>
  <c r="OC57" i="39"/>
  <c r="OC56" i="39"/>
  <c r="OC55" i="39"/>
  <c r="OC54" i="39"/>
  <c r="OC53" i="39"/>
  <c r="OC52" i="39"/>
  <c r="OC51" i="39"/>
  <c r="OC50" i="39"/>
  <c r="OC49" i="39"/>
  <c r="OC48" i="39"/>
  <c r="OC47" i="39"/>
  <c r="OC46" i="39"/>
  <c r="OC45" i="39"/>
  <c r="OC44" i="39"/>
  <c r="OC43" i="39"/>
  <c r="OC42" i="39"/>
  <c r="OC41" i="39"/>
  <c r="OC40" i="39"/>
  <c r="OC39" i="39"/>
  <c r="OC38" i="39"/>
  <c r="OC37" i="39"/>
  <c r="OC36" i="39"/>
  <c r="OC35" i="39"/>
  <c r="OC34" i="39"/>
  <c r="OC33" i="39"/>
  <c r="OC32" i="39"/>
  <c r="OC31" i="39"/>
  <c r="OC30" i="39"/>
  <c r="OC29" i="39"/>
  <c r="OC28" i="39"/>
  <c r="OC27" i="39"/>
  <c r="OC26" i="39"/>
  <c r="OC25" i="39"/>
  <c r="OC24" i="39"/>
  <c r="OC23" i="39"/>
  <c r="OC22" i="39"/>
  <c r="OC21" i="39"/>
  <c r="OC20" i="39"/>
  <c r="OC19" i="39"/>
  <c r="OC18" i="39"/>
  <c r="OC17" i="39"/>
  <c r="OC16" i="39"/>
  <c r="OC15" i="39"/>
  <c r="OC14" i="39"/>
  <c r="OC13" i="39"/>
  <c r="OC12" i="39"/>
  <c r="OC11" i="39"/>
  <c r="OC10" i="39"/>
  <c r="OC9" i="39"/>
  <c r="OC8" i="39"/>
  <c r="OC7" i="39"/>
  <c r="OC6" i="39"/>
  <c r="OC5" i="39"/>
  <c r="OC4" i="39"/>
  <c r="NP163" i="39"/>
  <c r="NP162" i="39"/>
  <c r="NP161" i="39"/>
  <c r="NP160" i="39"/>
  <c r="NP159" i="39"/>
  <c r="NP158" i="39"/>
  <c r="NP157" i="39"/>
  <c r="NP156" i="39"/>
  <c r="NP155" i="39"/>
  <c r="NP154" i="39"/>
  <c r="NP153" i="39"/>
  <c r="NP152" i="39"/>
  <c r="NP151" i="39"/>
  <c r="NP150" i="39"/>
  <c r="NP149" i="39"/>
  <c r="NP148" i="39"/>
  <c r="NP147" i="39"/>
  <c r="NP146" i="39"/>
  <c r="NP145" i="39"/>
  <c r="NP144" i="39"/>
  <c r="NP143" i="39"/>
  <c r="NP142" i="39"/>
  <c r="NP141" i="39"/>
  <c r="NP140" i="39"/>
  <c r="NP139" i="39"/>
  <c r="NP138" i="39"/>
  <c r="NP137" i="39"/>
  <c r="NP136" i="39"/>
  <c r="NP135" i="39"/>
  <c r="NP134" i="39"/>
  <c r="NP133" i="39"/>
  <c r="NP132" i="39"/>
  <c r="NP131" i="39"/>
  <c r="NP130" i="39"/>
  <c r="NP129" i="39"/>
  <c r="NP128" i="39"/>
  <c r="NP127" i="39"/>
  <c r="NP126" i="39"/>
  <c r="NP125" i="39"/>
  <c r="NP124" i="39"/>
  <c r="NP123" i="39"/>
  <c r="NP122" i="39"/>
  <c r="NP121" i="39"/>
  <c r="NP120" i="39"/>
  <c r="NP119" i="39"/>
  <c r="NP118" i="39"/>
  <c r="NP117" i="39"/>
  <c r="NP116" i="39"/>
  <c r="NP115" i="39"/>
  <c r="NP114" i="39"/>
  <c r="NP113" i="39"/>
  <c r="NP112" i="39"/>
  <c r="NP111" i="39"/>
  <c r="NP110" i="39"/>
  <c r="NP109" i="39"/>
  <c r="NP108" i="39"/>
  <c r="NP107" i="39"/>
  <c r="NP106" i="39"/>
  <c r="NP105" i="39"/>
  <c r="NP104" i="39"/>
  <c r="NP103" i="39"/>
  <c r="NP102" i="39"/>
  <c r="NP101" i="39"/>
  <c r="NP100" i="39"/>
  <c r="NP99" i="39"/>
  <c r="NP98" i="39"/>
  <c r="NP97" i="39"/>
  <c r="NP96" i="39"/>
  <c r="NP95" i="39"/>
  <c r="NP94" i="39"/>
  <c r="NP93" i="39"/>
  <c r="NP92" i="39"/>
  <c r="NP91" i="39"/>
  <c r="NP90" i="39"/>
  <c r="NP89" i="39"/>
  <c r="NP88" i="39"/>
  <c r="NP87" i="39"/>
  <c r="NP86" i="39"/>
  <c r="NP85" i="39"/>
  <c r="NP84" i="39"/>
  <c r="NP83" i="39"/>
  <c r="NP82" i="39"/>
  <c r="NP81" i="39"/>
  <c r="NP80" i="39"/>
  <c r="NP79" i="39"/>
  <c r="NP78" i="39"/>
  <c r="NP77" i="39"/>
  <c r="NP76" i="39"/>
  <c r="NP75" i="39"/>
  <c r="NP74" i="39"/>
  <c r="NP73" i="39"/>
  <c r="NP72" i="39"/>
  <c r="NP71" i="39"/>
  <c r="NP70" i="39"/>
  <c r="NP69" i="39"/>
  <c r="NP68" i="39"/>
  <c r="NP67" i="39"/>
  <c r="NP66" i="39"/>
  <c r="NP65" i="39"/>
  <c r="NP64" i="39"/>
  <c r="NP63" i="39"/>
  <c r="NP62" i="39"/>
  <c r="NP61" i="39"/>
  <c r="NP60" i="39"/>
  <c r="NP59" i="39"/>
  <c r="NP58" i="39"/>
  <c r="NP57" i="39"/>
  <c r="NP56" i="39"/>
  <c r="NP55" i="39"/>
  <c r="NP54" i="39"/>
  <c r="NP53" i="39"/>
  <c r="NP52" i="39"/>
  <c r="NP51" i="39"/>
  <c r="NP50" i="39"/>
  <c r="NP49" i="39"/>
  <c r="NP48" i="39"/>
  <c r="NP47" i="39"/>
  <c r="NP46" i="39"/>
  <c r="NP45" i="39"/>
  <c r="NP44" i="39"/>
  <c r="NP43" i="39"/>
  <c r="NP42" i="39"/>
  <c r="NP41" i="39"/>
  <c r="NP40" i="39"/>
  <c r="NP39" i="39"/>
  <c r="NP38" i="39"/>
  <c r="NP37" i="39"/>
  <c r="NP36" i="39"/>
  <c r="NP35" i="39"/>
  <c r="NP34" i="39"/>
  <c r="NP33" i="39"/>
  <c r="NP32" i="39"/>
  <c r="NP31" i="39"/>
  <c r="NP30" i="39"/>
  <c r="NP29" i="39"/>
  <c r="NP28" i="39"/>
  <c r="NP27" i="39"/>
  <c r="NP26" i="39"/>
  <c r="NP25" i="39"/>
  <c r="NP24" i="39"/>
  <c r="NP23" i="39"/>
  <c r="NP22" i="39"/>
  <c r="NP21" i="39"/>
  <c r="NP20" i="39"/>
  <c r="NP19" i="39"/>
  <c r="NP18" i="39"/>
  <c r="NP17" i="39"/>
  <c r="NP16" i="39"/>
  <c r="NP15" i="39"/>
  <c r="NP14" i="39"/>
  <c r="NP13" i="39"/>
  <c r="NP12" i="39"/>
  <c r="NP11" i="39"/>
  <c r="NP10" i="39"/>
  <c r="NP9" i="39"/>
  <c r="NP8" i="39"/>
  <c r="NP7" i="39"/>
  <c r="NP6" i="39"/>
  <c r="NP5" i="39"/>
  <c r="NP4" i="39"/>
  <c r="NC163" i="39"/>
  <c r="NC162" i="39"/>
  <c r="NC161" i="39"/>
  <c r="NC160" i="39"/>
  <c r="NC159" i="39"/>
  <c r="NC158" i="39"/>
  <c r="NC157" i="39"/>
  <c r="NC156" i="39"/>
  <c r="NC155" i="39"/>
  <c r="NC154" i="39"/>
  <c r="NC153" i="39"/>
  <c r="NC152" i="39"/>
  <c r="NC151" i="39"/>
  <c r="NC150" i="39"/>
  <c r="NC149" i="39"/>
  <c r="NC148" i="39"/>
  <c r="NC147" i="39"/>
  <c r="NC146" i="39"/>
  <c r="NC145" i="39"/>
  <c r="NC144" i="39"/>
  <c r="NC143" i="39"/>
  <c r="NC142" i="39"/>
  <c r="NC141" i="39"/>
  <c r="NC140" i="39"/>
  <c r="NC139" i="39"/>
  <c r="NC138" i="39"/>
  <c r="NC137" i="39"/>
  <c r="NC136" i="39"/>
  <c r="NC135" i="39"/>
  <c r="NC134" i="39"/>
  <c r="NC133" i="39"/>
  <c r="NC132" i="39"/>
  <c r="NC131" i="39"/>
  <c r="NC130" i="39"/>
  <c r="NC129" i="39"/>
  <c r="NC128" i="39"/>
  <c r="NC127" i="39"/>
  <c r="NC126" i="39"/>
  <c r="NC125" i="39"/>
  <c r="NC124" i="39"/>
  <c r="NC123" i="39"/>
  <c r="NC122" i="39"/>
  <c r="NC121" i="39"/>
  <c r="NC120" i="39"/>
  <c r="NC119" i="39"/>
  <c r="NC118" i="39"/>
  <c r="NC117" i="39"/>
  <c r="NC116" i="39"/>
  <c r="NC115" i="39"/>
  <c r="NC114" i="39"/>
  <c r="NC113" i="39"/>
  <c r="NC112" i="39"/>
  <c r="NC111" i="39"/>
  <c r="NC110" i="39"/>
  <c r="NC109" i="39"/>
  <c r="NC108" i="39"/>
  <c r="NC107" i="39"/>
  <c r="NC106" i="39"/>
  <c r="NC105" i="39"/>
  <c r="NC104" i="39"/>
  <c r="NC103" i="39"/>
  <c r="NC102" i="39"/>
  <c r="NC101" i="39"/>
  <c r="NC100" i="39"/>
  <c r="NC99" i="39"/>
  <c r="NC98" i="39"/>
  <c r="NC97" i="39"/>
  <c r="NC96" i="39"/>
  <c r="NC95" i="39"/>
  <c r="NC94" i="39"/>
  <c r="NC93" i="39"/>
  <c r="NC92" i="39"/>
  <c r="NC91" i="39"/>
  <c r="NC90" i="39"/>
  <c r="NC89" i="39"/>
  <c r="NC88" i="39"/>
  <c r="NC87" i="39"/>
  <c r="NC86" i="39"/>
  <c r="NC85" i="39"/>
  <c r="NC84" i="39"/>
  <c r="NC83" i="39"/>
  <c r="NC82" i="39"/>
  <c r="NC81" i="39"/>
  <c r="NC80" i="39"/>
  <c r="NC79" i="39"/>
  <c r="NC78" i="39"/>
  <c r="NC77" i="39"/>
  <c r="NC76" i="39"/>
  <c r="NC75" i="39"/>
  <c r="NC74" i="39"/>
  <c r="NC73" i="39"/>
  <c r="NC72" i="39"/>
  <c r="NC71" i="39"/>
  <c r="NC70" i="39"/>
  <c r="NC69" i="39"/>
  <c r="NC68" i="39"/>
  <c r="NC67" i="39"/>
  <c r="NC66" i="39"/>
  <c r="NC65" i="39"/>
  <c r="NC64" i="39"/>
  <c r="NC63" i="39"/>
  <c r="NC62" i="39"/>
  <c r="NC61" i="39"/>
  <c r="NC60" i="39"/>
  <c r="NC59" i="39"/>
  <c r="NC58" i="39"/>
  <c r="NC57" i="39"/>
  <c r="NC56" i="39"/>
  <c r="NC55" i="39"/>
  <c r="NC54" i="39"/>
  <c r="NC53" i="39"/>
  <c r="NC52" i="39"/>
  <c r="NC51" i="39"/>
  <c r="NC50" i="39"/>
  <c r="NC49" i="39"/>
  <c r="NC48" i="39"/>
  <c r="NC47" i="39"/>
  <c r="NC46" i="39"/>
  <c r="NC45" i="39"/>
  <c r="NC44" i="39"/>
  <c r="NC43" i="39"/>
  <c r="NC42" i="39"/>
  <c r="NC41" i="39"/>
  <c r="NC40" i="39"/>
  <c r="NC39" i="39"/>
  <c r="NC38" i="39"/>
  <c r="NC37" i="39"/>
  <c r="NC36" i="39"/>
  <c r="NC35" i="39"/>
  <c r="NC34" i="39"/>
  <c r="NC33" i="39"/>
  <c r="NC32" i="39"/>
  <c r="NC31" i="39"/>
  <c r="NC30" i="39"/>
  <c r="NC29" i="39"/>
  <c r="NC28" i="39"/>
  <c r="NC27" i="39"/>
  <c r="NC26" i="39"/>
  <c r="NC25" i="39"/>
  <c r="NC24" i="39"/>
  <c r="NC23" i="39"/>
  <c r="NC22" i="39"/>
  <c r="NC21" i="39"/>
  <c r="NC20" i="39"/>
  <c r="NC19" i="39"/>
  <c r="NC18" i="39"/>
  <c r="NC17" i="39"/>
  <c r="NC16" i="39"/>
  <c r="NC15" i="39"/>
  <c r="NC14" i="39"/>
  <c r="NC13" i="39"/>
  <c r="NC12" i="39"/>
  <c r="NC11" i="39"/>
  <c r="NC10" i="39"/>
  <c r="NC9" i="39"/>
  <c r="NC8" i="39"/>
  <c r="NC7" i="39"/>
  <c r="NC6" i="39"/>
  <c r="NC5" i="39"/>
  <c r="NC4" i="39"/>
  <c r="MP163" i="39"/>
  <c r="MP162" i="39"/>
  <c r="MP161" i="39"/>
  <c r="MP160" i="39"/>
  <c r="MP159" i="39"/>
  <c r="MP158" i="39"/>
  <c r="MP157" i="39"/>
  <c r="MP156" i="39"/>
  <c r="MP155" i="39"/>
  <c r="MP154" i="39"/>
  <c r="MP153" i="39"/>
  <c r="MP152" i="39"/>
  <c r="MP151" i="39"/>
  <c r="MP150" i="39"/>
  <c r="MP149" i="39"/>
  <c r="MP148" i="39"/>
  <c r="MP147" i="39"/>
  <c r="MP146" i="39"/>
  <c r="MP145" i="39"/>
  <c r="MP144" i="39"/>
  <c r="MP143" i="39"/>
  <c r="MP142" i="39"/>
  <c r="MP141" i="39"/>
  <c r="MP140" i="39"/>
  <c r="MP139" i="39"/>
  <c r="MP138" i="39"/>
  <c r="MP137" i="39"/>
  <c r="MP136" i="39"/>
  <c r="MP135" i="39"/>
  <c r="MP134" i="39"/>
  <c r="MP133" i="39"/>
  <c r="MP132" i="39"/>
  <c r="MP131" i="39"/>
  <c r="MP130" i="39"/>
  <c r="MP129" i="39"/>
  <c r="MP128" i="39"/>
  <c r="MP127" i="39"/>
  <c r="MP126" i="39"/>
  <c r="MP125" i="39"/>
  <c r="MP124" i="39"/>
  <c r="MP123" i="39"/>
  <c r="MP122" i="39"/>
  <c r="MP121" i="39"/>
  <c r="MP120" i="39"/>
  <c r="MP119" i="39"/>
  <c r="MP118" i="39"/>
  <c r="MP117" i="39"/>
  <c r="MP116" i="39"/>
  <c r="MP115" i="39"/>
  <c r="MP114" i="39"/>
  <c r="MP113" i="39"/>
  <c r="MP112" i="39"/>
  <c r="MP111" i="39"/>
  <c r="MP110" i="39"/>
  <c r="MP109" i="39"/>
  <c r="MP108" i="39"/>
  <c r="MP107" i="39"/>
  <c r="MP106" i="39"/>
  <c r="MP105" i="39"/>
  <c r="MP104" i="39"/>
  <c r="MP103" i="39"/>
  <c r="MP102" i="39"/>
  <c r="MP101" i="39"/>
  <c r="MP100" i="39"/>
  <c r="MP99" i="39"/>
  <c r="MP98" i="39"/>
  <c r="MP97" i="39"/>
  <c r="MP96" i="39"/>
  <c r="MP95" i="39"/>
  <c r="MP94" i="39"/>
  <c r="MP93" i="39"/>
  <c r="MP92" i="39"/>
  <c r="MP91" i="39"/>
  <c r="MP90" i="39"/>
  <c r="MP89" i="39"/>
  <c r="MP88" i="39"/>
  <c r="MP87" i="39"/>
  <c r="MP86" i="39"/>
  <c r="MP85" i="39"/>
  <c r="MP84" i="39"/>
  <c r="MP83" i="39"/>
  <c r="MP82" i="39"/>
  <c r="MP81" i="39"/>
  <c r="MP80" i="39"/>
  <c r="MP79" i="39"/>
  <c r="MP78" i="39"/>
  <c r="MP77" i="39"/>
  <c r="MP76" i="39"/>
  <c r="MP75" i="39"/>
  <c r="MP74" i="39"/>
  <c r="MP73" i="39"/>
  <c r="MP72" i="39"/>
  <c r="MP71" i="39"/>
  <c r="MP70" i="39"/>
  <c r="MP69" i="39"/>
  <c r="MP68" i="39"/>
  <c r="MP67" i="39"/>
  <c r="MP66" i="39"/>
  <c r="MP65" i="39"/>
  <c r="MP64" i="39"/>
  <c r="MP63" i="39"/>
  <c r="MP62" i="39"/>
  <c r="MP61" i="39"/>
  <c r="MP60" i="39"/>
  <c r="MP59" i="39"/>
  <c r="MP58" i="39"/>
  <c r="MP57" i="39"/>
  <c r="MP56" i="39"/>
  <c r="MP55" i="39"/>
  <c r="MP54" i="39"/>
  <c r="MP53" i="39"/>
  <c r="MP52" i="39"/>
  <c r="MP51" i="39"/>
  <c r="MP50" i="39"/>
  <c r="MP49" i="39"/>
  <c r="MP48" i="39"/>
  <c r="MP47" i="39"/>
  <c r="MP46" i="39"/>
  <c r="MP45" i="39"/>
  <c r="MP44" i="39"/>
  <c r="MP43" i="39"/>
  <c r="MP42" i="39"/>
  <c r="MP41" i="39"/>
  <c r="MP40" i="39"/>
  <c r="MP39" i="39"/>
  <c r="MP38" i="39"/>
  <c r="MP37" i="39"/>
  <c r="MP36" i="39"/>
  <c r="MP35" i="39"/>
  <c r="MP34" i="39"/>
  <c r="MP33" i="39"/>
  <c r="MP32" i="39"/>
  <c r="MP31" i="39"/>
  <c r="MP30" i="39"/>
  <c r="MP29" i="39"/>
  <c r="MP28" i="39"/>
  <c r="MP27" i="39"/>
  <c r="MP26" i="39"/>
  <c r="MP25" i="39"/>
  <c r="MP24" i="39"/>
  <c r="MP23" i="39"/>
  <c r="MP22" i="39"/>
  <c r="MP21" i="39"/>
  <c r="MP20" i="39"/>
  <c r="MP19" i="39"/>
  <c r="MP18" i="39"/>
  <c r="MP17" i="39"/>
  <c r="MP16" i="39"/>
  <c r="MP15" i="39"/>
  <c r="MP14" i="39"/>
  <c r="MP13" i="39"/>
  <c r="MP12" i="39"/>
  <c r="MP11" i="39"/>
  <c r="MP10" i="39"/>
  <c r="MP9" i="39"/>
  <c r="MP8" i="39"/>
  <c r="MP7" i="39"/>
  <c r="MP6" i="39"/>
  <c r="MP5" i="39"/>
  <c r="MP4" i="39"/>
  <c r="MC163" i="39"/>
  <c r="MC162" i="39"/>
  <c r="MC161" i="39"/>
  <c r="MC160" i="39"/>
  <c r="MC159" i="39"/>
  <c r="MC158" i="39"/>
  <c r="MC157" i="39"/>
  <c r="MC156" i="39"/>
  <c r="MC155" i="39"/>
  <c r="MC154" i="39"/>
  <c r="MC153" i="39"/>
  <c r="MC152" i="39"/>
  <c r="MC151" i="39"/>
  <c r="MC150" i="39"/>
  <c r="MC149" i="39"/>
  <c r="MC148" i="39"/>
  <c r="MC147" i="39"/>
  <c r="MC146" i="39"/>
  <c r="MC145" i="39"/>
  <c r="MC144" i="39"/>
  <c r="MC143" i="39"/>
  <c r="MC142" i="39"/>
  <c r="MC141" i="39"/>
  <c r="MC140" i="39"/>
  <c r="MC139" i="39"/>
  <c r="MC138" i="39"/>
  <c r="MC137" i="39"/>
  <c r="MC136" i="39"/>
  <c r="MC135" i="39"/>
  <c r="MC134" i="39"/>
  <c r="MC133" i="39"/>
  <c r="MC132" i="39"/>
  <c r="MC131" i="39"/>
  <c r="MC130" i="39"/>
  <c r="MC129" i="39"/>
  <c r="MC128" i="39"/>
  <c r="MC127" i="39"/>
  <c r="MC126" i="39"/>
  <c r="MC125" i="39"/>
  <c r="MC124" i="39"/>
  <c r="MC123" i="39"/>
  <c r="MC122" i="39"/>
  <c r="MC121" i="39"/>
  <c r="MC120" i="39"/>
  <c r="MC119" i="39"/>
  <c r="MC118" i="39"/>
  <c r="MC117" i="39"/>
  <c r="MC116" i="39"/>
  <c r="MC115" i="39"/>
  <c r="MC114" i="39"/>
  <c r="MC113" i="39"/>
  <c r="MC112" i="39"/>
  <c r="MC111" i="39"/>
  <c r="MC110" i="39"/>
  <c r="MC109" i="39"/>
  <c r="MC108" i="39"/>
  <c r="MC107" i="39"/>
  <c r="MC106" i="39"/>
  <c r="MC105" i="39"/>
  <c r="MC104" i="39"/>
  <c r="MC103" i="39"/>
  <c r="MC102" i="39"/>
  <c r="MC101" i="39"/>
  <c r="MC100" i="39"/>
  <c r="MC99" i="39"/>
  <c r="MC98" i="39"/>
  <c r="MC97" i="39"/>
  <c r="MC96" i="39"/>
  <c r="MC95" i="39"/>
  <c r="MC94" i="39"/>
  <c r="MC93" i="39"/>
  <c r="MC92" i="39"/>
  <c r="MC91" i="39"/>
  <c r="MC90" i="39"/>
  <c r="MC89" i="39"/>
  <c r="MC88" i="39"/>
  <c r="MC87" i="39"/>
  <c r="MC86" i="39"/>
  <c r="MC85" i="39"/>
  <c r="MC84" i="39"/>
  <c r="MC83" i="39"/>
  <c r="MC82" i="39"/>
  <c r="MC81" i="39"/>
  <c r="MC80" i="39"/>
  <c r="MC79" i="39"/>
  <c r="MC78" i="39"/>
  <c r="MC77" i="39"/>
  <c r="MC76" i="39"/>
  <c r="MC75" i="39"/>
  <c r="MC74" i="39"/>
  <c r="MC73" i="39"/>
  <c r="MC72" i="39"/>
  <c r="MC71" i="39"/>
  <c r="MC70" i="39"/>
  <c r="MC69" i="39"/>
  <c r="MC68" i="39"/>
  <c r="MC67" i="39"/>
  <c r="MC66" i="39"/>
  <c r="MC65" i="39"/>
  <c r="MC64" i="39"/>
  <c r="MC63" i="39"/>
  <c r="MC62" i="39"/>
  <c r="MC61" i="39"/>
  <c r="MC60" i="39"/>
  <c r="MC59" i="39"/>
  <c r="MC58" i="39"/>
  <c r="MC57" i="39"/>
  <c r="MC56" i="39"/>
  <c r="MC55" i="39"/>
  <c r="MC54" i="39"/>
  <c r="MC53" i="39"/>
  <c r="MC52" i="39"/>
  <c r="MC51" i="39"/>
  <c r="MC50" i="39"/>
  <c r="MC49" i="39"/>
  <c r="MC48" i="39"/>
  <c r="MC47" i="39"/>
  <c r="MC46" i="39"/>
  <c r="MC45" i="39"/>
  <c r="MC44" i="39"/>
  <c r="MC43" i="39"/>
  <c r="MC42" i="39"/>
  <c r="MC41" i="39"/>
  <c r="MC40" i="39"/>
  <c r="MC39" i="39"/>
  <c r="MC38" i="39"/>
  <c r="MC37" i="39"/>
  <c r="MC36" i="39"/>
  <c r="MC35" i="39"/>
  <c r="MC34" i="39"/>
  <c r="MC33" i="39"/>
  <c r="MC32" i="39"/>
  <c r="MC31" i="39"/>
  <c r="MC30" i="39"/>
  <c r="MC29" i="39"/>
  <c r="MC28" i="39"/>
  <c r="MC27" i="39"/>
  <c r="MC26" i="39"/>
  <c r="MC25" i="39"/>
  <c r="MC24" i="39"/>
  <c r="MC23" i="39"/>
  <c r="MC22" i="39"/>
  <c r="MC21" i="39"/>
  <c r="MC20" i="39"/>
  <c r="MC19" i="39"/>
  <c r="MC18" i="39"/>
  <c r="MC17" i="39"/>
  <c r="MC16" i="39"/>
  <c r="MC15" i="39"/>
  <c r="MC14" i="39"/>
  <c r="MC13" i="39"/>
  <c r="MC12" i="39"/>
  <c r="MC11" i="39"/>
  <c r="MC10" i="39"/>
  <c r="MC9" i="39"/>
  <c r="MC8" i="39"/>
  <c r="MC7" i="39"/>
  <c r="MC6" i="39"/>
  <c r="MC5" i="39"/>
  <c r="MC4" i="39"/>
  <c r="LP163" i="39"/>
  <c r="LP162" i="39"/>
  <c r="LP161" i="39"/>
  <c r="LP160" i="39"/>
  <c r="LP159" i="39"/>
  <c r="LP158" i="39"/>
  <c r="LP157" i="39"/>
  <c r="LP156" i="39"/>
  <c r="LP155" i="39"/>
  <c r="LP154" i="39"/>
  <c r="LP153" i="39"/>
  <c r="LP152" i="39"/>
  <c r="LP151" i="39"/>
  <c r="LP150" i="39"/>
  <c r="LP149" i="39"/>
  <c r="LP148" i="39"/>
  <c r="LP147" i="39"/>
  <c r="LP146" i="39"/>
  <c r="LP145" i="39"/>
  <c r="LP144" i="39"/>
  <c r="LP143" i="39"/>
  <c r="LP142" i="39"/>
  <c r="LP141" i="39"/>
  <c r="LP140" i="39"/>
  <c r="LP139" i="39"/>
  <c r="LP138" i="39"/>
  <c r="LP137" i="39"/>
  <c r="LP136" i="39"/>
  <c r="LP135" i="39"/>
  <c r="LP134" i="39"/>
  <c r="LP133" i="39"/>
  <c r="LP132" i="39"/>
  <c r="LP131" i="39"/>
  <c r="LP130" i="39"/>
  <c r="LP129" i="39"/>
  <c r="LP128" i="39"/>
  <c r="LP127" i="39"/>
  <c r="LP126" i="39"/>
  <c r="LP125" i="39"/>
  <c r="LP124" i="39"/>
  <c r="LP123" i="39"/>
  <c r="LP122" i="39"/>
  <c r="LP121" i="39"/>
  <c r="LP120" i="39"/>
  <c r="LP119" i="39"/>
  <c r="LP118" i="39"/>
  <c r="LP117" i="39"/>
  <c r="LP116" i="39"/>
  <c r="LP115" i="39"/>
  <c r="LP114" i="39"/>
  <c r="LP113" i="39"/>
  <c r="LP112" i="39"/>
  <c r="LP111" i="39"/>
  <c r="LP110" i="39"/>
  <c r="LP109" i="39"/>
  <c r="LP108" i="39"/>
  <c r="LP107" i="39"/>
  <c r="LP106" i="39"/>
  <c r="LP105" i="39"/>
  <c r="LP104" i="39"/>
  <c r="LP103" i="39"/>
  <c r="LP102" i="39"/>
  <c r="LP101" i="39"/>
  <c r="LP100" i="39"/>
  <c r="LP99" i="39"/>
  <c r="LP98" i="39"/>
  <c r="LP97" i="39"/>
  <c r="LP96" i="39"/>
  <c r="LP95" i="39"/>
  <c r="LP94" i="39"/>
  <c r="LP93" i="39"/>
  <c r="LP92" i="39"/>
  <c r="LP91" i="39"/>
  <c r="LP90" i="39"/>
  <c r="LP89" i="39"/>
  <c r="LP88" i="39"/>
  <c r="LP87" i="39"/>
  <c r="LP86" i="39"/>
  <c r="LP85" i="39"/>
  <c r="LP84" i="39"/>
  <c r="LP83" i="39"/>
  <c r="LP82" i="39"/>
  <c r="LP81" i="39"/>
  <c r="LP80" i="39"/>
  <c r="LP79" i="39"/>
  <c r="LP78" i="39"/>
  <c r="LP77" i="39"/>
  <c r="LP76" i="39"/>
  <c r="LP75" i="39"/>
  <c r="LP74" i="39"/>
  <c r="LP73" i="39"/>
  <c r="LP72" i="39"/>
  <c r="LP71" i="39"/>
  <c r="LP70" i="39"/>
  <c r="LP69" i="39"/>
  <c r="LP68" i="39"/>
  <c r="LP67" i="39"/>
  <c r="LP66" i="39"/>
  <c r="LP65" i="39"/>
  <c r="LP64" i="39"/>
  <c r="LP63" i="39"/>
  <c r="LP62" i="39"/>
  <c r="LP61" i="39"/>
  <c r="LP60" i="39"/>
  <c r="LP59" i="39"/>
  <c r="LP58" i="39"/>
  <c r="LP57" i="39"/>
  <c r="LP56" i="39"/>
  <c r="LP55" i="39"/>
  <c r="LP54" i="39"/>
  <c r="LP53" i="39"/>
  <c r="LP52" i="39"/>
  <c r="LP51" i="39"/>
  <c r="LP50" i="39"/>
  <c r="LP49" i="39"/>
  <c r="LP48" i="39"/>
  <c r="LP47" i="39"/>
  <c r="LP46" i="39"/>
  <c r="LP45" i="39"/>
  <c r="LP44" i="39"/>
  <c r="LP43" i="39"/>
  <c r="LP42" i="39"/>
  <c r="LP41" i="39"/>
  <c r="LP40" i="39"/>
  <c r="LP39" i="39"/>
  <c r="LP38" i="39"/>
  <c r="LP37" i="39"/>
  <c r="LP36" i="39"/>
  <c r="LP35" i="39"/>
  <c r="LP34" i="39"/>
  <c r="LP33" i="39"/>
  <c r="LP32" i="39"/>
  <c r="LP31" i="39"/>
  <c r="LP30" i="39"/>
  <c r="LP29" i="39"/>
  <c r="LP28" i="39"/>
  <c r="LP27" i="39"/>
  <c r="LP26" i="39"/>
  <c r="LP25" i="39"/>
  <c r="LP24" i="39"/>
  <c r="LP23" i="39"/>
  <c r="LP22" i="39"/>
  <c r="LP21" i="39"/>
  <c r="LP20" i="39"/>
  <c r="LP19" i="39"/>
  <c r="LP18" i="39"/>
  <c r="LP17" i="39"/>
  <c r="LP16" i="39"/>
  <c r="LP15" i="39"/>
  <c r="LP14" i="39"/>
  <c r="LP13" i="39"/>
  <c r="LP12" i="39"/>
  <c r="LP11" i="39"/>
  <c r="LP10" i="39"/>
  <c r="LP9" i="39"/>
  <c r="LP8" i="39"/>
  <c r="LP7" i="39"/>
  <c r="LP6" i="39"/>
  <c r="LP5" i="39"/>
  <c r="LP4" i="39"/>
  <c r="LC163" i="39"/>
  <c r="LC162" i="39"/>
  <c r="LC161" i="39"/>
  <c r="LC160" i="39"/>
  <c r="LC159" i="39"/>
  <c r="LC158" i="39"/>
  <c r="LC157" i="39"/>
  <c r="LC156" i="39"/>
  <c r="LC155" i="39"/>
  <c r="LC154" i="39"/>
  <c r="LC153" i="39"/>
  <c r="LC152" i="39"/>
  <c r="LC151" i="39"/>
  <c r="LC150" i="39"/>
  <c r="LC149" i="39"/>
  <c r="LC148" i="39"/>
  <c r="LC147" i="39"/>
  <c r="LC146" i="39"/>
  <c r="LC145" i="39"/>
  <c r="LC144" i="39"/>
  <c r="LC143" i="39"/>
  <c r="LC142" i="39"/>
  <c r="LC141" i="39"/>
  <c r="LC140" i="39"/>
  <c r="LC139" i="39"/>
  <c r="LC138" i="39"/>
  <c r="LC137" i="39"/>
  <c r="LC136" i="39"/>
  <c r="LC135" i="39"/>
  <c r="LC134" i="39"/>
  <c r="LC133" i="39"/>
  <c r="LC132" i="39"/>
  <c r="LC131" i="39"/>
  <c r="LC130" i="39"/>
  <c r="LC129" i="39"/>
  <c r="LC128" i="39"/>
  <c r="LC127" i="39"/>
  <c r="LC126" i="39"/>
  <c r="LC125" i="39"/>
  <c r="LC124" i="39"/>
  <c r="LC123" i="39"/>
  <c r="LC122" i="39"/>
  <c r="LC121" i="39"/>
  <c r="LC120" i="39"/>
  <c r="LC119" i="39"/>
  <c r="LC118" i="39"/>
  <c r="LC117" i="39"/>
  <c r="LC116" i="39"/>
  <c r="LC115" i="39"/>
  <c r="LC114" i="39"/>
  <c r="LC113" i="39"/>
  <c r="LC112" i="39"/>
  <c r="LC111" i="39"/>
  <c r="LC110" i="39"/>
  <c r="LC109" i="39"/>
  <c r="LC108" i="39"/>
  <c r="LC107" i="39"/>
  <c r="LC106" i="39"/>
  <c r="LC105" i="39"/>
  <c r="LC104" i="39"/>
  <c r="LC103" i="39"/>
  <c r="LC102" i="39"/>
  <c r="LC101" i="39"/>
  <c r="LC100" i="39"/>
  <c r="LC99" i="39"/>
  <c r="LC98" i="39"/>
  <c r="LC97" i="39"/>
  <c r="LC96" i="39"/>
  <c r="LC95" i="39"/>
  <c r="LC94" i="39"/>
  <c r="LC93" i="39"/>
  <c r="LC92" i="39"/>
  <c r="LC91" i="39"/>
  <c r="LC90" i="39"/>
  <c r="LC89" i="39"/>
  <c r="LC88" i="39"/>
  <c r="LC87" i="39"/>
  <c r="LC86" i="39"/>
  <c r="LC85" i="39"/>
  <c r="LC84" i="39"/>
  <c r="LC83" i="39"/>
  <c r="LC82" i="39"/>
  <c r="LC81" i="39"/>
  <c r="LC80" i="39"/>
  <c r="LC79" i="39"/>
  <c r="LC78" i="39"/>
  <c r="LC77" i="39"/>
  <c r="LC76" i="39"/>
  <c r="LC75" i="39"/>
  <c r="LC74" i="39"/>
  <c r="LC73" i="39"/>
  <c r="LC72" i="39"/>
  <c r="LC71" i="39"/>
  <c r="LC70" i="39"/>
  <c r="LC69" i="39"/>
  <c r="LC68" i="39"/>
  <c r="LC67" i="39"/>
  <c r="LC66" i="39"/>
  <c r="LC65" i="39"/>
  <c r="LC64" i="39"/>
  <c r="LC63" i="39"/>
  <c r="LC62" i="39"/>
  <c r="LC61" i="39"/>
  <c r="LC60" i="39"/>
  <c r="LC59" i="39"/>
  <c r="LC58" i="39"/>
  <c r="LC57" i="39"/>
  <c r="LC56" i="39"/>
  <c r="LC55" i="39"/>
  <c r="LC54" i="39"/>
  <c r="LC53" i="39"/>
  <c r="LC52" i="39"/>
  <c r="LC51" i="39"/>
  <c r="LC50" i="39"/>
  <c r="LC49" i="39"/>
  <c r="LC48" i="39"/>
  <c r="LC47" i="39"/>
  <c r="LC46" i="39"/>
  <c r="LC45" i="39"/>
  <c r="LC44" i="39"/>
  <c r="LC43" i="39"/>
  <c r="LC42" i="39"/>
  <c r="LC41" i="39"/>
  <c r="LC40" i="39"/>
  <c r="LC39" i="39"/>
  <c r="LC38" i="39"/>
  <c r="LC37" i="39"/>
  <c r="LC36" i="39"/>
  <c r="LC35" i="39"/>
  <c r="LC34" i="39"/>
  <c r="LC33" i="39"/>
  <c r="LC32" i="39"/>
  <c r="LC31" i="39"/>
  <c r="LC30" i="39"/>
  <c r="LC29" i="39"/>
  <c r="LC28" i="39"/>
  <c r="LC27" i="39"/>
  <c r="LC26" i="39"/>
  <c r="LC25" i="39"/>
  <c r="LC24" i="39"/>
  <c r="LC23" i="39"/>
  <c r="LC22" i="39"/>
  <c r="LC21" i="39"/>
  <c r="LC20" i="39"/>
  <c r="LC19" i="39"/>
  <c r="LC18" i="39"/>
  <c r="LC17" i="39"/>
  <c r="LC16" i="39"/>
  <c r="LC15" i="39"/>
  <c r="LC14" i="39"/>
  <c r="LC13" i="39"/>
  <c r="LC12" i="39"/>
  <c r="LC11" i="39"/>
  <c r="LC10" i="39"/>
  <c r="LC9" i="39"/>
  <c r="LC8" i="39"/>
  <c r="LC7" i="39"/>
  <c r="LC6" i="39"/>
  <c r="LC5" i="39"/>
  <c r="LC4" i="39"/>
  <c r="KR163" i="39"/>
  <c r="KR162" i="39"/>
  <c r="KR161" i="39"/>
  <c r="KR160" i="39"/>
  <c r="KR159" i="39"/>
  <c r="KR158" i="39"/>
  <c r="KR157" i="39"/>
  <c r="KR156" i="39"/>
  <c r="KR155" i="39"/>
  <c r="KR154" i="39"/>
  <c r="KR153" i="39"/>
  <c r="KR152" i="39"/>
  <c r="KR151" i="39"/>
  <c r="KR150" i="39"/>
  <c r="KR149" i="39"/>
  <c r="KR148" i="39"/>
  <c r="KR147" i="39"/>
  <c r="KR146" i="39"/>
  <c r="KR145" i="39"/>
  <c r="KR144" i="39"/>
  <c r="KR143" i="39"/>
  <c r="KR142" i="39"/>
  <c r="KR141" i="39"/>
  <c r="KR140" i="39"/>
  <c r="KR139" i="39"/>
  <c r="KR138" i="39"/>
  <c r="KR137" i="39"/>
  <c r="KR136" i="39"/>
  <c r="KR135" i="39"/>
  <c r="KR134" i="39"/>
  <c r="KR133" i="39"/>
  <c r="KR132" i="39"/>
  <c r="KR131" i="39"/>
  <c r="KR130" i="39"/>
  <c r="KR129" i="39"/>
  <c r="KR128" i="39"/>
  <c r="KR127" i="39"/>
  <c r="KR126" i="39"/>
  <c r="KR125" i="39"/>
  <c r="KR124" i="39"/>
  <c r="KR123" i="39"/>
  <c r="KR122" i="39"/>
  <c r="KR121" i="39"/>
  <c r="KR120" i="39"/>
  <c r="KR119" i="39"/>
  <c r="KR118" i="39"/>
  <c r="KR117" i="39"/>
  <c r="KR116" i="39"/>
  <c r="KR115" i="39"/>
  <c r="KR114" i="39"/>
  <c r="KR113" i="39"/>
  <c r="KR112" i="39"/>
  <c r="KR111" i="39"/>
  <c r="KR110" i="39"/>
  <c r="KR109" i="39"/>
  <c r="KR108" i="39"/>
  <c r="KR107" i="39"/>
  <c r="KR106" i="39"/>
  <c r="KR105" i="39"/>
  <c r="KR104" i="39"/>
  <c r="KR103" i="39"/>
  <c r="KR102" i="39"/>
  <c r="KR101" i="39"/>
  <c r="KR100" i="39"/>
  <c r="KR99" i="39"/>
  <c r="KR98" i="39"/>
  <c r="KR97" i="39"/>
  <c r="KR96" i="39"/>
  <c r="KR95" i="39"/>
  <c r="KR94" i="39"/>
  <c r="KR93" i="39"/>
  <c r="KR92" i="39"/>
  <c r="KR91" i="39"/>
  <c r="KR90" i="39"/>
  <c r="KR89" i="39"/>
  <c r="KR88" i="39"/>
  <c r="KR87" i="39"/>
  <c r="KR86" i="39"/>
  <c r="KR85" i="39"/>
  <c r="KR84" i="39"/>
  <c r="KR83" i="39"/>
  <c r="KR82" i="39"/>
  <c r="KR81" i="39"/>
  <c r="KR80" i="39"/>
  <c r="KR79" i="39"/>
  <c r="KR78" i="39"/>
  <c r="KR77" i="39"/>
  <c r="KR76" i="39"/>
  <c r="KR75" i="39"/>
  <c r="KR74" i="39"/>
  <c r="KR73" i="39"/>
  <c r="KR72" i="39"/>
  <c r="KR71" i="39"/>
  <c r="KR70" i="39"/>
  <c r="KR69" i="39"/>
  <c r="KR68" i="39"/>
  <c r="KR67" i="39"/>
  <c r="KR66" i="39"/>
  <c r="KR65" i="39"/>
  <c r="KR64" i="39"/>
  <c r="KR63" i="39"/>
  <c r="KR62" i="39"/>
  <c r="KR61" i="39"/>
  <c r="KR60" i="39"/>
  <c r="KR59" i="39"/>
  <c r="KR58" i="39"/>
  <c r="KR57" i="39"/>
  <c r="KR56" i="39"/>
  <c r="KR55" i="39"/>
  <c r="KR54" i="39"/>
  <c r="KR53" i="39"/>
  <c r="KR52" i="39"/>
  <c r="KR51" i="39"/>
  <c r="KR50" i="39"/>
  <c r="KR49" i="39"/>
  <c r="KR48" i="39"/>
  <c r="KR47" i="39"/>
  <c r="KR46" i="39"/>
  <c r="KR45" i="39"/>
  <c r="KR44" i="39"/>
  <c r="KR43" i="39"/>
  <c r="KR42" i="39"/>
  <c r="KR41" i="39"/>
  <c r="KR40" i="39"/>
  <c r="KR39" i="39"/>
  <c r="KR38" i="39"/>
  <c r="KR37" i="39"/>
  <c r="KR36" i="39"/>
  <c r="KR35" i="39"/>
  <c r="KR34" i="39"/>
  <c r="KR33" i="39"/>
  <c r="KR32" i="39"/>
  <c r="KR31" i="39"/>
  <c r="KR30" i="39"/>
  <c r="KR29" i="39"/>
  <c r="KR28" i="39"/>
  <c r="KR27" i="39"/>
  <c r="KR26" i="39"/>
  <c r="KR25" i="39"/>
  <c r="KR24" i="39"/>
  <c r="KR23" i="39"/>
  <c r="KR22" i="39"/>
  <c r="KR21" i="39"/>
  <c r="KR20" i="39"/>
  <c r="KR19" i="39"/>
  <c r="KR18" i="39"/>
  <c r="KR17" i="39"/>
  <c r="KR16" i="39"/>
  <c r="KR15" i="39"/>
  <c r="KR14" i="39"/>
  <c r="KR13" i="39"/>
  <c r="KR12" i="39"/>
  <c r="KR11" i="39"/>
  <c r="KR10" i="39"/>
  <c r="KR9" i="39"/>
  <c r="KR8" i="39"/>
  <c r="KR7" i="39"/>
  <c r="KR6" i="39"/>
  <c r="KR5" i="39"/>
  <c r="KR4" i="39"/>
  <c r="KM163" i="39" a="1"/>
  <c r="KM163" i="39" s="1"/>
  <c r="KM162" i="39" a="1"/>
  <c r="KM162" i="39" s="1"/>
  <c r="KM161" i="39" a="1"/>
  <c r="KM161" i="39" s="1"/>
  <c r="KM160" i="39" a="1"/>
  <c r="KM160" i="39" s="1"/>
  <c r="KM159" i="39" a="1"/>
  <c r="KM159" i="39" s="1"/>
  <c r="KM158" i="39" a="1"/>
  <c r="KM158" i="39" s="1"/>
  <c r="KM157" i="39" a="1"/>
  <c r="KM157" i="39" s="1"/>
  <c r="KM156" i="39" a="1"/>
  <c r="KM156" i="39" s="1"/>
  <c r="KM155" i="39" a="1"/>
  <c r="KM155" i="39" s="1"/>
  <c r="KM154" i="39" a="1"/>
  <c r="KM154" i="39" s="1"/>
  <c r="KM153" i="39" a="1"/>
  <c r="KM153" i="39" s="1"/>
  <c r="KM152" i="39" a="1"/>
  <c r="KM152" i="39" s="1"/>
  <c r="KM151" i="39" a="1"/>
  <c r="KM151" i="39" s="1"/>
  <c r="KM150" i="39" a="1"/>
  <c r="KM150" i="39" s="1"/>
  <c r="KM149" i="39" a="1"/>
  <c r="KM149" i="39" s="1"/>
  <c r="KM148" i="39" a="1"/>
  <c r="KM148" i="39" s="1"/>
  <c r="KM147" i="39" a="1"/>
  <c r="KM147" i="39" s="1"/>
  <c r="KM146" i="39" a="1"/>
  <c r="KM146" i="39" s="1"/>
  <c r="KM145" i="39" a="1"/>
  <c r="KM145" i="39" s="1"/>
  <c r="KM144" i="39" a="1"/>
  <c r="KM144" i="39" s="1"/>
  <c r="KM143" i="39" a="1"/>
  <c r="KM143" i="39" s="1"/>
  <c r="KM142" i="39" a="1"/>
  <c r="KM142" i="39" s="1"/>
  <c r="KM141" i="39" a="1"/>
  <c r="KM141" i="39" s="1"/>
  <c r="KM140" i="39" a="1"/>
  <c r="KM140" i="39" s="1"/>
  <c r="KM139" i="39" a="1"/>
  <c r="KM139" i="39" s="1"/>
  <c r="KM138" i="39" a="1"/>
  <c r="KM138" i="39" s="1"/>
  <c r="KM137" i="39" a="1"/>
  <c r="KM137" i="39" s="1"/>
  <c r="KM136" i="39" a="1"/>
  <c r="KM136" i="39" s="1"/>
  <c r="KM135" i="39" a="1"/>
  <c r="KM135" i="39" s="1"/>
  <c r="KM134" i="39" a="1"/>
  <c r="KM134" i="39" s="1"/>
  <c r="KM133" i="39" a="1"/>
  <c r="KM133" i="39" s="1"/>
  <c r="KM132" i="39" a="1"/>
  <c r="KM132" i="39" s="1"/>
  <c r="KM131" i="39" a="1"/>
  <c r="KM131" i="39" s="1"/>
  <c r="KM130" i="39" a="1"/>
  <c r="KM130" i="39" s="1"/>
  <c r="KM129" i="39" a="1"/>
  <c r="KM129" i="39" s="1"/>
  <c r="KM128" i="39" a="1"/>
  <c r="KM128" i="39" s="1"/>
  <c r="KM127" i="39" a="1"/>
  <c r="KM127" i="39" s="1"/>
  <c r="KM126" i="39" a="1"/>
  <c r="KM126" i="39" s="1"/>
  <c r="KM125" i="39" a="1"/>
  <c r="KM125" i="39" s="1"/>
  <c r="KM124" i="39" a="1"/>
  <c r="KM124" i="39" s="1"/>
  <c r="KM123" i="39" a="1"/>
  <c r="KM123" i="39" s="1"/>
  <c r="KM122" i="39" a="1"/>
  <c r="KM122" i="39" s="1"/>
  <c r="KM121" i="39" a="1"/>
  <c r="KM121" i="39" s="1"/>
  <c r="KM120" i="39" a="1"/>
  <c r="KM120" i="39" s="1"/>
  <c r="KM119" i="39" a="1"/>
  <c r="KM119" i="39" s="1"/>
  <c r="KM118" i="39" a="1"/>
  <c r="KM118" i="39" s="1"/>
  <c r="KM117" i="39" a="1"/>
  <c r="KM117" i="39" s="1"/>
  <c r="KM116" i="39" a="1"/>
  <c r="KM116" i="39" s="1"/>
  <c r="KM115" i="39" a="1"/>
  <c r="KM115" i="39" s="1"/>
  <c r="KM114" i="39" a="1"/>
  <c r="KM114" i="39" s="1"/>
  <c r="KM113" i="39" a="1"/>
  <c r="KM113" i="39" s="1"/>
  <c r="KM112" i="39" a="1"/>
  <c r="KM112" i="39" s="1"/>
  <c r="KM111" i="39" a="1"/>
  <c r="KM111" i="39" s="1"/>
  <c r="KM110" i="39" a="1"/>
  <c r="KM110" i="39" s="1"/>
  <c r="KM109" i="39" a="1"/>
  <c r="KM109" i="39" s="1"/>
  <c r="KM108" i="39" a="1"/>
  <c r="KM108" i="39" s="1"/>
  <c r="KM107" i="39" a="1"/>
  <c r="KM107" i="39" s="1"/>
  <c r="KM106" i="39" a="1"/>
  <c r="KM106" i="39" s="1"/>
  <c r="KM105" i="39" a="1"/>
  <c r="KM105" i="39" s="1"/>
  <c r="KM104" i="39" a="1"/>
  <c r="KM104" i="39" s="1"/>
  <c r="KM103" i="39" a="1"/>
  <c r="KM103" i="39" s="1"/>
  <c r="KM102" i="39" a="1"/>
  <c r="KM102" i="39" s="1"/>
  <c r="KM101" i="39" a="1"/>
  <c r="KM101" i="39" s="1"/>
  <c r="KM100" i="39" a="1"/>
  <c r="KM100" i="39" s="1"/>
  <c r="KM99" i="39" a="1"/>
  <c r="KM99" i="39" s="1"/>
  <c r="KM98" i="39" a="1"/>
  <c r="KM98" i="39" s="1"/>
  <c r="KM97" i="39" a="1"/>
  <c r="KM97" i="39" s="1"/>
  <c r="KM96" i="39" a="1"/>
  <c r="KM96" i="39" s="1"/>
  <c r="KM95" i="39" a="1"/>
  <c r="KM95" i="39" s="1"/>
  <c r="KM94" i="39" a="1"/>
  <c r="KM94" i="39" s="1"/>
  <c r="KM93" i="39" a="1"/>
  <c r="KM93" i="39" s="1"/>
  <c r="KM92" i="39" a="1"/>
  <c r="KM92" i="39" s="1"/>
  <c r="KM91" i="39" a="1"/>
  <c r="KM91" i="39" s="1"/>
  <c r="KM90" i="39" a="1"/>
  <c r="KM90" i="39" s="1"/>
  <c r="KM89" i="39" a="1"/>
  <c r="KM89" i="39" s="1"/>
  <c r="KM88" i="39" a="1"/>
  <c r="KM88" i="39" s="1"/>
  <c r="KM87" i="39" a="1"/>
  <c r="KM87" i="39" s="1"/>
  <c r="KM86" i="39" a="1"/>
  <c r="KM86" i="39" s="1"/>
  <c r="KM85" i="39" a="1"/>
  <c r="KM85" i="39" s="1"/>
  <c r="KM84" i="39" a="1"/>
  <c r="KM84" i="39" s="1"/>
  <c r="KM83" i="39" a="1"/>
  <c r="KM83" i="39" s="1"/>
  <c r="KM82" i="39" a="1"/>
  <c r="KM82" i="39" s="1"/>
  <c r="KM81" i="39" a="1"/>
  <c r="KM81" i="39" s="1"/>
  <c r="KM80" i="39" a="1"/>
  <c r="KM80" i="39" s="1"/>
  <c r="KM79" i="39" a="1"/>
  <c r="KM79" i="39" s="1"/>
  <c r="KM78" i="39" a="1"/>
  <c r="KM78" i="39" s="1"/>
  <c r="KM77" i="39" a="1"/>
  <c r="KM77" i="39" s="1"/>
  <c r="KM76" i="39" a="1"/>
  <c r="KM76" i="39" s="1"/>
  <c r="KM75" i="39" a="1"/>
  <c r="KM75" i="39" s="1"/>
  <c r="KM74" i="39" a="1"/>
  <c r="KM74" i="39" s="1"/>
  <c r="KM73" i="39" a="1"/>
  <c r="KM73" i="39" s="1"/>
  <c r="KM72" i="39" a="1"/>
  <c r="KM72" i="39" s="1"/>
  <c r="KM71" i="39" a="1"/>
  <c r="KM71" i="39" s="1"/>
  <c r="KM70" i="39" a="1"/>
  <c r="KM70" i="39" s="1"/>
  <c r="KM69" i="39" a="1"/>
  <c r="KM69" i="39" s="1"/>
  <c r="KM68" i="39" a="1"/>
  <c r="KM68" i="39" s="1"/>
  <c r="KM67" i="39" a="1"/>
  <c r="KM67" i="39" s="1"/>
  <c r="KM66" i="39" a="1"/>
  <c r="KM66" i="39" s="1"/>
  <c r="KM65" i="39" a="1"/>
  <c r="KM65" i="39" s="1"/>
  <c r="KM64" i="39" a="1"/>
  <c r="KM64" i="39" s="1"/>
  <c r="KM63" i="39" a="1"/>
  <c r="KM63" i="39" s="1"/>
  <c r="KM62" i="39" a="1"/>
  <c r="KM62" i="39" s="1"/>
  <c r="KM61" i="39" a="1"/>
  <c r="KM61" i="39" s="1"/>
  <c r="KM60" i="39" a="1"/>
  <c r="KM60" i="39" s="1"/>
  <c r="KM59" i="39" a="1"/>
  <c r="KM59" i="39" s="1"/>
  <c r="KM58" i="39" a="1"/>
  <c r="KM58" i="39" s="1"/>
  <c r="KM57" i="39" a="1"/>
  <c r="KM57" i="39" s="1"/>
  <c r="KM56" i="39" a="1"/>
  <c r="KM56" i="39" s="1"/>
  <c r="KM55" i="39" a="1"/>
  <c r="KM55" i="39" s="1"/>
  <c r="KM54" i="39" a="1"/>
  <c r="KM54" i="39" s="1"/>
  <c r="KM53" i="39" a="1"/>
  <c r="KM53" i="39" s="1"/>
  <c r="KM52" i="39" a="1"/>
  <c r="KM52" i="39" s="1"/>
  <c r="KM51" i="39" a="1"/>
  <c r="KM51" i="39" s="1"/>
  <c r="KM50" i="39" a="1"/>
  <c r="KM50" i="39" s="1"/>
  <c r="KM49" i="39" a="1"/>
  <c r="KM49" i="39" s="1"/>
  <c r="KM48" i="39" a="1"/>
  <c r="KM48" i="39" s="1"/>
  <c r="KM47" i="39" a="1"/>
  <c r="KM47" i="39" s="1"/>
  <c r="KM46" i="39" a="1"/>
  <c r="KM46" i="39" s="1"/>
  <c r="KM45" i="39" a="1"/>
  <c r="KM45" i="39" s="1"/>
  <c r="KM44" i="39" a="1"/>
  <c r="KM44" i="39" s="1"/>
  <c r="KM43" i="39" a="1"/>
  <c r="KM43" i="39" s="1"/>
  <c r="KM42" i="39" a="1"/>
  <c r="KM42" i="39" s="1"/>
  <c r="KM41" i="39" a="1"/>
  <c r="KM41" i="39" s="1"/>
  <c r="KM40" i="39" a="1"/>
  <c r="KM40" i="39" s="1"/>
  <c r="KM39" i="39" a="1"/>
  <c r="KM39" i="39" s="1"/>
  <c r="KM38" i="39" a="1"/>
  <c r="KM38" i="39" s="1"/>
  <c r="KM37" i="39" a="1"/>
  <c r="KM37" i="39" s="1"/>
  <c r="KM36" i="39" a="1"/>
  <c r="KM36" i="39" s="1"/>
  <c r="KM35" i="39" a="1"/>
  <c r="KM35" i="39" s="1"/>
  <c r="KM34" i="39" a="1"/>
  <c r="KM34" i="39" s="1"/>
  <c r="KM33" i="39" a="1"/>
  <c r="KM33" i="39" s="1"/>
  <c r="KM32" i="39" a="1"/>
  <c r="KM32" i="39" s="1"/>
  <c r="KM31" i="39" a="1"/>
  <c r="KM31" i="39" s="1"/>
  <c r="KM30" i="39" a="1"/>
  <c r="KM30" i="39" s="1"/>
  <c r="KM29" i="39" a="1"/>
  <c r="KM29" i="39" s="1"/>
  <c r="KM28" i="39" a="1"/>
  <c r="KM28" i="39" s="1"/>
  <c r="KM27" i="39" a="1"/>
  <c r="KM27" i="39" s="1"/>
  <c r="KM26" i="39" a="1"/>
  <c r="KM26" i="39" s="1"/>
  <c r="KM25" i="39" a="1"/>
  <c r="KM25" i="39" s="1"/>
  <c r="KM24" i="39" a="1"/>
  <c r="KM24" i="39" s="1"/>
  <c r="KM23" i="39" a="1"/>
  <c r="KM23" i="39" s="1"/>
  <c r="KM22" i="39" a="1"/>
  <c r="KM22" i="39" s="1"/>
  <c r="KM21" i="39" a="1"/>
  <c r="KM21" i="39" s="1"/>
  <c r="KM20" i="39" a="1"/>
  <c r="KM20" i="39" s="1"/>
  <c r="KM19" i="39" a="1"/>
  <c r="KM19" i="39" s="1"/>
  <c r="KM18" i="39" a="1"/>
  <c r="KM18" i="39" s="1"/>
  <c r="KM17" i="39" a="1"/>
  <c r="KM17" i="39" s="1"/>
  <c r="KM16" i="39" a="1"/>
  <c r="KM16" i="39" s="1"/>
  <c r="KM15" i="39" a="1"/>
  <c r="KM15" i="39" s="1"/>
  <c r="KM14" i="39" a="1"/>
  <c r="KM14" i="39" s="1"/>
  <c r="KM13" i="39" a="1"/>
  <c r="KM13" i="39" s="1"/>
  <c r="KM12" i="39" a="1"/>
  <c r="KM12" i="39" s="1"/>
  <c r="KM11" i="39" a="1"/>
  <c r="KM11" i="39" s="1"/>
  <c r="KM10" i="39" a="1"/>
  <c r="KM10" i="39" s="1"/>
  <c r="KM9" i="39" a="1"/>
  <c r="KM9" i="39" s="1"/>
  <c r="KM8" i="39" a="1"/>
  <c r="KM8" i="39" s="1"/>
  <c r="KM7" i="39" a="1"/>
  <c r="KM7" i="39" s="1"/>
  <c r="KM6" i="39" a="1"/>
  <c r="KM6" i="39" s="1"/>
  <c r="KM5" i="39" a="1"/>
  <c r="KM5" i="39" s="1"/>
  <c r="KM4" i="39" a="1"/>
  <c r="KM4" i="39" s="1"/>
  <c r="KA163" i="39"/>
  <c r="JY163" i="39" s="1"/>
  <c r="JZ163" i="39" s="1"/>
  <c r="KA162" i="39"/>
  <c r="JY162" i="39" s="1"/>
  <c r="JZ162" i="39" s="1"/>
  <c r="KA161" i="39"/>
  <c r="JY161" i="39" s="1"/>
  <c r="JZ161" i="39" s="1"/>
  <c r="KA160" i="39"/>
  <c r="JY160" i="39" s="1"/>
  <c r="JZ160" i="39" s="1"/>
  <c r="KA159" i="39"/>
  <c r="JY159" i="39" s="1"/>
  <c r="JZ159" i="39" s="1"/>
  <c r="KA158" i="39"/>
  <c r="JY158" i="39" s="1"/>
  <c r="JZ158" i="39" s="1"/>
  <c r="KA157" i="39"/>
  <c r="JY157" i="39" s="1"/>
  <c r="JZ157" i="39" s="1"/>
  <c r="KA156" i="39"/>
  <c r="JY156" i="39" s="1"/>
  <c r="JZ156" i="39" s="1"/>
  <c r="KA155" i="39"/>
  <c r="JY155" i="39" s="1"/>
  <c r="JZ155" i="39" s="1"/>
  <c r="KA154" i="39"/>
  <c r="JY154" i="39" s="1"/>
  <c r="JZ154" i="39" s="1"/>
  <c r="KA153" i="39"/>
  <c r="JY153" i="39" s="1"/>
  <c r="JZ153" i="39" s="1"/>
  <c r="KA152" i="39"/>
  <c r="JY152" i="39" s="1"/>
  <c r="JZ152" i="39" s="1"/>
  <c r="KA151" i="39"/>
  <c r="JY151" i="39" s="1"/>
  <c r="JZ151" i="39" s="1"/>
  <c r="KA150" i="39"/>
  <c r="JY150" i="39" s="1"/>
  <c r="JZ150" i="39" s="1"/>
  <c r="KA149" i="39"/>
  <c r="JY149" i="39" s="1"/>
  <c r="JZ149" i="39" s="1"/>
  <c r="KA148" i="39"/>
  <c r="JY148" i="39" s="1"/>
  <c r="JZ148" i="39" s="1"/>
  <c r="KA147" i="39"/>
  <c r="JY147" i="39" s="1"/>
  <c r="JZ147" i="39" s="1"/>
  <c r="KA146" i="39"/>
  <c r="JY146" i="39" s="1"/>
  <c r="JZ146" i="39" s="1"/>
  <c r="KA145" i="39"/>
  <c r="JY145" i="39" s="1"/>
  <c r="JZ145" i="39" s="1"/>
  <c r="KA144" i="39"/>
  <c r="JY144" i="39" s="1"/>
  <c r="JZ144" i="39" s="1"/>
  <c r="KA143" i="39"/>
  <c r="JY143" i="39" s="1"/>
  <c r="JZ143" i="39" s="1"/>
  <c r="KA142" i="39"/>
  <c r="JY142" i="39" s="1"/>
  <c r="JZ142" i="39" s="1"/>
  <c r="KA141" i="39"/>
  <c r="JY141" i="39" s="1"/>
  <c r="JZ141" i="39" s="1"/>
  <c r="KA140" i="39"/>
  <c r="JY140" i="39" s="1"/>
  <c r="JZ140" i="39" s="1"/>
  <c r="KA139" i="39"/>
  <c r="JY139" i="39" s="1"/>
  <c r="JZ139" i="39" s="1"/>
  <c r="KA138" i="39"/>
  <c r="JY138" i="39" s="1"/>
  <c r="JZ138" i="39" s="1"/>
  <c r="KA137" i="39"/>
  <c r="JY137" i="39" s="1"/>
  <c r="JZ137" i="39" s="1"/>
  <c r="KA136" i="39"/>
  <c r="JY136" i="39" s="1"/>
  <c r="JZ136" i="39" s="1"/>
  <c r="KA135" i="39"/>
  <c r="JY135" i="39" s="1"/>
  <c r="JZ135" i="39" s="1"/>
  <c r="KA134" i="39"/>
  <c r="JY134" i="39" s="1"/>
  <c r="JZ134" i="39" s="1"/>
  <c r="KA133" i="39"/>
  <c r="JY133" i="39" s="1"/>
  <c r="JZ133" i="39" s="1"/>
  <c r="KA132" i="39"/>
  <c r="JY132" i="39" s="1"/>
  <c r="JZ132" i="39" s="1"/>
  <c r="KA131" i="39"/>
  <c r="JY131" i="39" s="1"/>
  <c r="JZ131" i="39" s="1"/>
  <c r="KA130" i="39"/>
  <c r="JY130" i="39" s="1"/>
  <c r="JZ130" i="39" s="1"/>
  <c r="KA129" i="39"/>
  <c r="JY129" i="39" s="1"/>
  <c r="JZ129" i="39" s="1"/>
  <c r="KA128" i="39"/>
  <c r="JY128" i="39" s="1"/>
  <c r="JZ128" i="39" s="1"/>
  <c r="KA127" i="39"/>
  <c r="JY127" i="39" s="1"/>
  <c r="JZ127" i="39" s="1"/>
  <c r="KA126" i="39"/>
  <c r="JY126" i="39" s="1"/>
  <c r="JZ126" i="39" s="1"/>
  <c r="KA125" i="39"/>
  <c r="JY125" i="39" s="1"/>
  <c r="JZ125" i="39" s="1"/>
  <c r="KA124" i="39"/>
  <c r="JY124" i="39" s="1"/>
  <c r="JZ124" i="39" s="1"/>
  <c r="KA123" i="39"/>
  <c r="JY123" i="39" s="1"/>
  <c r="JZ123" i="39" s="1"/>
  <c r="KA122" i="39"/>
  <c r="JY122" i="39" s="1"/>
  <c r="JZ122" i="39" s="1"/>
  <c r="KA121" i="39"/>
  <c r="JY121" i="39" s="1"/>
  <c r="JZ121" i="39" s="1"/>
  <c r="KA120" i="39"/>
  <c r="JY120" i="39" s="1"/>
  <c r="JZ120" i="39" s="1"/>
  <c r="KA119" i="39"/>
  <c r="JY119" i="39" s="1"/>
  <c r="JZ119" i="39" s="1"/>
  <c r="KA118" i="39"/>
  <c r="JY118" i="39" s="1"/>
  <c r="JZ118" i="39" s="1"/>
  <c r="KA117" i="39"/>
  <c r="JY117" i="39" s="1"/>
  <c r="JZ117" i="39" s="1"/>
  <c r="KA116" i="39"/>
  <c r="JY116" i="39" s="1"/>
  <c r="JZ116" i="39" s="1"/>
  <c r="KA115" i="39"/>
  <c r="JY115" i="39" s="1"/>
  <c r="JZ115" i="39" s="1"/>
  <c r="KA114" i="39"/>
  <c r="JY114" i="39" s="1"/>
  <c r="JZ114" i="39" s="1"/>
  <c r="KA113" i="39"/>
  <c r="JY113" i="39" s="1"/>
  <c r="JZ113" i="39" s="1"/>
  <c r="KA112" i="39"/>
  <c r="JY112" i="39" s="1"/>
  <c r="JZ112" i="39" s="1"/>
  <c r="KA111" i="39"/>
  <c r="JY111" i="39" s="1"/>
  <c r="JZ111" i="39" s="1"/>
  <c r="KA110" i="39"/>
  <c r="JY110" i="39" s="1"/>
  <c r="JZ110" i="39" s="1"/>
  <c r="KA109" i="39"/>
  <c r="JY109" i="39" s="1"/>
  <c r="JZ109" i="39" s="1"/>
  <c r="KA108" i="39"/>
  <c r="JY108" i="39" s="1"/>
  <c r="JZ108" i="39" s="1"/>
  <c r="KA107" i="39"/>
  <c r="JY107" i="39" s="1"/>
  <c r="JZ107" i="39" s="1"/>
  <c r="KA106" i="39"/>
  <c r="JY106" i="39" s="1"/>
  <c r="JZ106" i="39" s="1"/>
  <c r="KA105" i="39"/>
  <c r="JY105" i="39" s="1"/>
  <c r="JZ105" i="39" s="1"/>
  <c r="KA104" i="39"/>
  <c r="JY104" i="39" s="1"/>
  <c r="JZ104" i="39" s="1"/>
  <c r="KA103" i="39"/>
  <c r="JY103" i="39" s="1"/>
  <c r="JZ103" i="39" s="1"/>
  <c r="KA102" i="39"/>
  <c r="JY102" i="39" s="1"/>
  <c r="JZ102" i="39" s="1"/>
  <c r="KA101" i="39"/>
  <c r="JY101" i="39" s="1"/>
  <c r="JZ101" i="39" s="1"/>
  <c r="KA100" i="39"/>
  <c r="JY100" i="39" s="1"/>
  <c r="JZ100" i="39" s="1"/>
  <c r="KA99" i="39"/>
  <c r="JY99" i="39" s="1"/>
  <c r="JZ99" i="39" s="1"/>
  <c r="KA98" i="39"/>
  <c r="JY98" i="39" s="1"/>
  <c r="JZ98" i="39" s="1"/>
  <c r="KA97" i="39"/>
  <c r="JY97" i="39" s="1"/>
  <c r="JZ97" i="39" s="1"/>
  <c r="KA96" i="39"/>
  <c r="JY96" i="39" s="1"/>
  <c r="JZ96" i="39" s="1"/>
  <c r="KA95" i="39"/>
  <c r="JY95" i="39" s="1"/>
  <c r="JZ95" i="39" s="1"/>
  <c r="KA94" i="39"/>
  <c r="JY94" i="39" s="1"/>
  <c r="JZ94" i="39" s="1"/>
  <c r="KA93" i="39"/>
  <c r="JY93" i="39" s="1"/>
  <c r="JZ93" i="39" s="1"/>
  <c r="KA92" i="39"/>
  <c r="JY92" i="39" s="1"/>
  <c r="JZ92" i="39" s="1"/>
  <c r="KA91" i="39"/>
  <c r="JY91" i="39" s="1"/>
  <c r="JZ91" i="39" s="1"/>
  <c r="KA90" i="39"/>
  <c r="JY90" i="39" s="1"/>
  <c r="JZ90" i="39" s="1"/>
  <c r="KA89" i="39"/>
  <c r="JY89" i="39" s="1"/>
  <c r="JZ89" i="39" s="1"/>
  <c r="KA88" i="39"/>
  <c r="JY88" i="39" s="1"/>
  <c r="JZ88" i="39" s="1"/>
  <c r="KA87" i="39"/>
  <c r="JY87" i="39" s="1"/>
  <c r="JZ87" i="39" s="1"/>
  <c r="KA86" i="39"/>
  <c r="JY86" i="39" s="1"/>
  <c r="JZ86" i="39" s="1"/>
  <c r="KA85" i="39"/>
  <c r="JY85" i="39" s="1"/>
  <c r="JZ85" i="39" s="1"/>
  <c r="KA84" i="39"/>
  <c r="JY84" i="39" s="1"/>
  <c r="JZ84" i="39" s="1"/>
  <c r="KA83" i="39"/>
  <c r="JY83" i="39" s="1"/>
  <c r="JZ83" i="39" s="1"/>
  <c r="KA82" i="39"/>
  <c r="JY82" i="39" s="1"/>
  <c r="JZ82" i="39" s="1"/>
  <c r="KA81" i="39"/>
  <c r="JY81" i="39" s="1"/>
  <c r="JZ81" i="39" s="1"/>
  <c r="KA80" i="39"/>
  <c r="JY80" i="39" s="1"/>
  <c r="JZ80" i="39" s="1"/>
  <c r="KA79" i="39"/>
  <c r="JY79" i="39" s="1"/>
  <c r="JZ79" i="39" s="1"/>
  <c r="KA78" i="39"/>
  <c r="JY78" i="39" s="1"/>
  <c r="JZ78" i="39" s="1"/>
  <c r="KA77" i="39"/>
  <c r="JY77" i="39" s="1"/>
  <c r="JZ77" i="39" s="1"/>
  <c r="KA76" i="39"/>
  <c r="JY76" i="39" s="1"/>
  <c r="JZ76" i="39" s="1"/>
  <c r="KA75" i="39"/>
  <c r="JY75" i="39" s="1"/>
  <c r="JZ75" i="39" s="1"/>
  <c r="KA74" i="39"/>
  <c r="JY74" i="39" s="1"/>
  <c r="JZ74" i="39" s="1"/>
  <c r="KA73" i="39"/>
  <c r="JY73" i="39" s="1"/>
  <c r="JZ73" i="39" s="1"/>
  <c r="KA72" i="39"/>
  <c r="JY72" i="39" s="1"/>
  <c r="JZ72" i="39" s="1"/>
  <c r="KA71" i="39"/>
  <c r="JY71" i="39" s="1"/>
  <c r="JZ71" i="39" s="1"/>
  <c r="KA70" i="39"/>
  <c r="JY70" i="39" s="1"/>
  <c r="JZ70" i="39" s="1"/>
  <c r="KA69" i="39"/>
  <c r="JY69" i="39" s="1"/>
  <c r="JZ69" i="39" s="1"/>
  <c r="KA68" i="39"/>
  <c r="JY68" i="39" s="1"/>
  <c r="JZ68" i="39" s="1"/>
  <c r="KA67" i="39"/>
  <c r="JY67" i="39" s="1"/>
  <c r="JZ67" i="39" s="1"/>
  <c r="KA66" i="39"/>
  <c r="JY66" i="39" s="1"/>
  <c r="JZ66" i="39" s="1"/>
  <c r="KA65" i="39"/>
  <c r="JY65" i="39" s="1"/>
  <c r="JZ65" i="39" s="1"/>
  <c r="KA64" i="39"/>
  <c r="JY64" i="39" s="1"/>
  <c r="JZ64" i="39" s="1"/>
  <c r="KA63" i="39"/>
  <c r="JY63" i="39" s="1"/>
  <c r="JZ63" i="39" s="1"/>
  <c r="KA62" i="39"/>
  <c r="JY62" i="39" s="1"/>
  <c r="JZ62" i="39" s="1"/>
  <c r="KA61" i="39"/>
  <c r="JY61" i="39" s="1"/>
  <c r="JZ61" i="39" s="1"/>
  <c r="KA60" i="39"/>
  <c r="JY60" i="39" s="1"/>
  <c r="JZ60" i="39" s="1"/>
  <c r="KA59" i="39"/>
  <c r="JY59" i="39" s="1"/>
  <c r="JZ59" i="39" s="1"/>
  <c r="KA58" i="39"/>
  <c r="JY58" i="39" s="1"/>
  <c r="JZ58" i="39" s="1"/>
  <c r="KA57" i="39"/>
  <c r="JY57" i="39" s="1"/>
  <c r="JZ57" i="39" s="1"/>
  <c r="KA56" i="39"/>
  <c r="JY56" i="39" s="1"/>
  <c r="JZ56" i="39" s="1"/>
  <c r="KA55" i="39"/>
  <c r="JY55" i="39" s="1"/>
  <c r="JZ55" i="39" s="1"/>
  <c r="KA54" i="39"/>
  <c r="JY54" i="39" s="1"/>
  <c r="JZ54" i="39" s="1"/>
  <c r="KA53" i="39"/>
  <c r="JY53" i="39" s="1"/>
  <c r="JZ53" i="39" s="1"/>
  <c r="KA52" i="39"/>
  <c r="JY52" i="39" s="1"/>
  <c r="JZ52" i="39" s="1"/>
  <c r="KA51" i="39"/>
  <c r="JY51" i="39" s="1"/>
  <c r="JZ51" i="39" s="1"/>
  <c r="KA50" i="39"/>
  <c r="JY50" i="39" s="1"/>
  <c r="JZ50" i="39" s="1"/>
  <c r="KA49" i="39"/>
  <c r="JY49" i="39" s="1"/>
  <c r="JZ49" i="39" s="1"/>
  <c r="KA48" i="39"/>
  <c r="JY48" i="39" s="1"/>
  <c r="JZ48" i="39" s="1"/>
  <c r="KA47" i="39"/>
  <c r="JY47" i="39" s="1"/>
  <c r="JZ47" i="39" s="1"/>
  <c r="KA46" i="39"/>
  <c r="JY46" i="39" s="1"/>
  <c r="JZ46" i="39" s="1"/>
  <c r="KA45" i="39"/>
  <c r="JY45" i="39" s="1"/>
  <c r="JZ45" i="39" s="1"/>
  <c r="KA44" i="39"/>
  <c r="JY44" i="39" s="1"/>
  <c r="JZ44" i="39" s="1"/>
  <c r="KA43" i="39"/>
  <c r="JY43" i="39" s="1"/>
  <c r="JZ43" i="39" s="1"/>
  <c r="KA42" i="39"/>
  <c r="JY42" i="39" s="1"/>
  <c r="JZ42" i="39" s="1"/>
  <c r="KA41" i="39"/>
  <c r="JY41" i="39" s="1"/>
  <c r="JZ41" i="39" s="1"/>
  <c r="KA40" i="39"/>
  <c r="JY40" i="39" s="1"/>
  <c r="JZ40" i="39" s="1"/>
  <c r="KA39" i="39"/>
  <c r="JY39" i="39" s="1"/>
  <c r="JZ39" i="39" s="1"/>
  <c r="KA38" i="39"/>
  <c r="JY38" i="39" s="1"/>
  <c r="JZ38" i="39" s="1"/>
  <c r="KA37" i="39"/>
  <c r="JY37" i="39" s="1"/>
  <c r="JZ37" i="39" s="1"/>
  <c r="KA36" i="39"/>
  <c r="JY36" i="39" s="1"/>
  <c r="JZ36" i="39" s="1"/>
  <c r="KA35" i="39"/>
  <c r="JY35" i="39" s="1"/>
  <c r="JZ35" i="39" s="1"/>
  <c r="KA34" i="39"/>
  <c r="JY34" i="39" s="1"/>
  <c r="JZ34" i="39" s="1"/>
  <c r="KA33" i="39"/>
  <c r="JY33" i="39" s="1"/>
  <c r="JZ33" i="39" s="1"/>
  <c r="KA32" i="39"/>
  <c r="JY32" i="39" s="1"/>
  <c r="JZ32" i="39" s="1"/>
  <c r="KA31" i="39"/>
  <c r="JY31" i="39" s="1"/>
  <c r="JZ31" i="39" s="1"/>
  <c r="KA30" i="39"/>
  <c r="JY30" i="39" s="1"/>
  <c r="JZ30" i="39" s="1"/>
  <c r="KA29" i="39"/>
  <c r="JY29" i="39" s="1"/>
  <c r="JZ29" i="39" s="1"/>
  <c r="KA28" i="39"/>
  <c r="JY28" i="39" s="1"/>
  <c r="JZ28" i="39" s="1"/>
  <c r="KA27" i="39"/>
  <c r="JY27" i="39" s="1"/>
  <c r="JZ27" i="39" s="1"/>
  <c r="KA26" i="39"/>
  <c r="JY26" i="39" s="1"/>
  <c r="JZ26" i="39" s="1"/>
  <c r="KA25" i="39"/>
  <c r="JY25" i="39" s="1"/>
  <c r="JZ25" i="39" s="1"/>
  <c r="KA24" i="39"/>
  <c r="JY24" i="39" s="1"/>
  <c r="JZ24" i="39" s="1"/>
  <c r="KA23" i="39"/>
  <c r="JY23" i="39" s="1"/>
  <c r="JZ23" i="39" s="1"/>
  <c r="KA22" i="39"/>
  <c r="JY22" i="39" s="1"/>
  <c r="JZ22" i="39" s="1"/>
  <c r="KA21" i="39"/>
  <c r="JY21" i="39" s="1"/>
  <c r="JZ21" i="39" s="1"/>
  <c r="KA20" i="39"/>
  <c r="JY20" i="39" s="1"/>
  <c r="JZ20" i="39" s="1"/>
  <c r="KA19" i="39"/>
  <c r="JY19" i="39" s="1"/>
  <c r="JZ19" i="39" s="1"/>
  <c r="KA18" i="39"/>
  <c r="JY18" i="39" s="1"/>
  <c r="JZ18" i="39" s="1"/>
  <c r="KA17" i="39"/>
  <c r="JY17" i="39" s="1"/>
  <c r="JZ17" i="39" s="1"/>
  <c r="KA16" i="39"/>
  <c r="JY16" i="39" s="1"/>
  <c r="JZ16" i="39" s="1"/>
  <c r="KA15" i="39"/>
  <c r="JY15" i="39" s="1"/>
  <c r="JZ15" i="39" s="1"/>
  <c r="KA14" i="39"/>
  <c r="JY14" i="39" s="1"/>
  <c r="JZ14" i="39" s="1"/>
  <c r="KA13" i="39"/>
  <c r="JY13" i="39" s="1"/>
  <c r="JZ13" i="39" s="1"/>
  <c r="KA12" i="39"/>
  <c r="JY12" i="39" s="1"/>
  <c r="JZ12" i="39" s="1"/>
  <c r="KA11" i="39"/>
  <c r="JY11" i="39" s="1"/>
  <c r="JZ11" i="39" s="1"/>
  <c r="KA10" i="39"/>
  <c r="JY10" i="39" s="1"/>
  <c r="JZ10" i="39" s="1"/>
  <c r="KA9" i="39"/>
  <c r="JY9" i="39" s="1"/>
  <c r="JZ9" i="39" s="1"/>
  <c r="KA8" i="39"/>
  <c r="JY8" i="39" s="1"/>
  <c r="JZ8" i="39" s="1"/>
  <c r="KA7" i="39"/>
  <c r="JY7" i="39" s="1"/>
  <c r="JZ7" i="39" s="1"/>
  <c r="KA6" i="39"/>
  <c r="JY6" i="39" s="1"/>
  <c r="JZ6" i="39" s="1"/>
  <c r="KA5" i="39"/>
  <c r="JY5" i="39" s="1"/>
  <c r="JZ5" i="39" s="1"/>
  <c r="KA4" i="39"/>
  <c r="JY4" i="39" s="1"/>
  <c r="KF34" i="39"/>
  <c r="KF33" i="39"/>
  <c r="KF32" i="39"/>
  <c r="KF31" i="39"/>
  <c r="KF30" i="39"/>
  <c r="KF29" i="39"/>
  <c r="KF28" i="39"/>
  <c r="KF27" i="39"/>
  <c r="KF26" i="39"/>
  <c r="KF25" i="39"/>
  <c r="KF24" i="39"/>
  <c r="KF23" i="39"/>
  <c r="KF22" i="39"/>
  <c r="KF21" i="39"/>
  <c r="KF20" i="39"/>
  <c r="KF19" i="39"/>
  <c r="KF18" i="39"/>
  <c r="KF17" i="39"/>
  <c r="KF16" i="39"/>
  <c r="KF15" i="39"/>
  <c r="KF14" i="39"/>
  <c r="KF13" i="39"/>
  <c r="KF12" i="39"/>
  <c r="KF11" i="39"/>
  <c r="KF10" i="39"/>
  <c r="KF9" i="39"/>
  <c r="KF8" i="39"/>
  <c r="KF7" i="39"/>
  <c r="KF6" i="39"/>
  <c r="KF5" i="39"/>
  <c r="KF4" i="39"/>
  <c r="HB163" i="39" a="1"/>
  <c r="HB163" i="39" s="1"/>
  <c r="HB162" i="39" a="1"/>
  <c r="HB162" i="39" s="1"/>
  <c r="HB161" i="39" a="1"/>
  <c r="HB161" i="39" s="1"/>
  <c r="HB160" i="39" a="1"/>
  <c r="HB160" i="39" s="1"/>
  <c r="HB159" i="39" a="1"/>
  <c r="HB159" i="39" s="1"/>
  <c r="HB158" i="39" a="1"/>
  <c r="HB158" i="39" s="1"/>
  <c r="HB157" i="39" a="1"/>
  <c r="HB157" i="39" s="1"/>
  <c r="HB156" i="39" a="1"/>
  <c r="HB156" i="39" s="1"/>
  <c r="HB155" i="39" a="1"/>
  <c r="HB155" i="39" s="1"/>
  <c r="HB154" i="39" a="1"/>
  <c r="HB154" i="39" s="1"/>
  <c r="HB153" i="39" a="1"/>
  <c r="HB153" i="39" s="1"/>
  <c r="HB152" i="39" a="1"/>
  <c r="HB152" i="39" s="1"/>
  <c r="HB151" i="39" a="1"/>
  <c r="HB151" i="39" s="1"/>
  <c r="HB150" i="39" a="1"/>
  <c r="HB150" i="39" s="1"/>
  <c r="HB149" i="39" a="1"/>
  <c r="HB149" i="39" s="1"/>
  <c r="HB148" i="39" a="1"/>
  <c r="HB148" i="39" s="1"/>
  <c r="HB147" i="39" a="1"/>
  <c r="HB147" i="39" s="1"/>
  <c r="HB146" i="39" a="1"/>
  <c r="HB146" i="39" s="1"/>
  <c r="HB145" i="39" a="1"/>
  <c r="HB145" i="39" s="1"/>
  <c r="HB144" i="39" a="1"/>
  <c r="HB144" i="39" s="1"/>
  <c r="HB143" i="39" a="1"/>
  <c r="HB143" i="39" s="1"/>
  <c r="HB142" i="39" a="1"/>
  <c r="HB142" i="39" s="1"/>
  <c r="HB141" i="39" a="1"/>
  <c r="HB141" i="39" s="1"/>
  <c r="HB140" i="39" a="1"/>
  <c r="HB140" i="39" s="1"/>
  <c r="HB139" i="39" a="1"/>
  <c r="HB139" i="39" s="1"/>
  <c r="HB138" i="39" a="1"/>
  <c r="HB138" i="39" s="1"/>
  <c r="HB137" i="39" a="1"/>
  <c r="HB137" i="39" s="1"/>
  <c r="HB136" i="39" a="1"/>
  <c r="HB136" i="39" s="1"/>
  <c r="HB135" i="39" a="1"/>
  <c r="HB135" i="39" s="1"/>
  <c r="HB134" i="39" a="1"/>
  <c r="HB134" i="39" s="1"/>
  <c r="HB133" i="39" a="1"/>
  <c r="HB133" i="39" s="1"/>
  <c r="HB132" i="39" a="1"/>
  <c r="HB132" i="39" s="1"/>
  <c r="HB131" i="39" a="1"/>
  <c r="HB131" i="39" s="1"/>
  <c r="HB130" i="39" a="1"/>
  <c r="HB130" i="39" s="1"/>
  <c r="HB129" i="39" a="1"/>
  <c r="HB129" i="39" s="1"/>
  <c r="HB128" i="39" a="1"/>
  <c r="HB128" i="39" s="1"/>
  <c r="HB127" i="39" a="1"/>
  <c r="HB127" i="39" s="1"/>
  <c r="HB126" i="39" a="1"/>
  <c r="HB126" i="39" s="1"/>
  <c r="HB125" i="39" a="1"/>
  <c r="HB125" i="39" s="1"/>
  <c r="HB124" i="39" a="1"/>
  <c r="HB124" i="39" s="1"/>
  <c r="HB123" i="39" a="1"/>
  <c r="HB123" i="39" s="1"/>
  <c r="HB122" i="39" a="1"/>
  <c r="HB122" i="39" s="1"/>
  <c r="HB121" i="39" a="1"/>
  <c r="HB121" i="39" s="1"/>
  <c r="HB120" i="39" a="1"/>
  <c r="HB120" i="39" s="1"/>
  <c r="HB119" i="39" a="1"/>
  <c r="HB119" i="39" s="1"/>
  <c r="HB118" i="39" a="1"/>
  <c r="HB118" i="39" s="1"/>
  <c r="HB117" i="39" a="1"/>
  <c r="HB117" i="39" s="1"/>
  <c r="HB116" i="39" a="1"/>
  <c r="HB116" i="39" s="1"/>
  <c r="HB115" i="39" a="1"/>
  <c r="HB115" i="39" s="1"/>
  <c r="HB114" i="39" a="1"/>
  <c r="HB114" i="39" s="1"/>
  <c r="HB113" i="39" a="1"/>
  <c r="HB113" i="39" s="1"/>
  <c r="HB112" i="39" a="1"/>
  <c r="HB112" i="39" s="1"/>
  <c r="HB111" i="39" a="1"/>
  <c r="HB111" i="39" s="1"/>
  <c r="HB110" i="39" a="1"/>
  <c r="HB110" i="39" s="1"/>
  <c r="HB109" i="39" a="1"/>
  <c r="HB109" i="39" s="1"/>
  <c r="HB108" i="39" a="1"/>
  <c r="HB108" i="39" s="1"/>
  <c r="HB107" i="39" a="1"/>
  <c r="HB107" i="39" s="1"/>
  <c r="HB106" i="39" a="1"/>
  <c r="HB106" i="39" s="1"/>
  <c r="HB105" i="39" a="1"/>
  <c r="HB105" i="39" s="1"/>
  <c r="HB104" i="39" a="1"/>
  <c r="HB104" i="39" s="1"/>
  <c r="HB103" i="39" a="1"/>
  <c r="HB103" i="39" s="1"/>
  <c r="HB102" i="39" a="1"/>
  <c r="HB102" i="39" s="1"/>
  <c r="HB101" i="39" a="1"/>
  <c r="HB101" i="39" s="1"/>
  <c r="HB100" i="39" a="1"/>
  <c r="HB100" i="39" s="1"/>
  <c r="HB99" i="39" a="1"/>
  <c r="HB99" i="39" s="1"/>
  <c r="HB98" i="39" a="1"/>
  <c r="HB98" i="39" s="1"/>
  <c r="HB97" i="39" a="1"/>
  <c r="HB97" i="39" s="1"/>
  <c r="HB96" i="39" a="1"/>
  <c r="HB96" i="39" s="1"/>
  <c r="HB95" i="39" a="1"/>
  <c r="HB95" i="39" s="1"/>
  <c r="HB94" i="39" a="1"/>
  <c r="HB94" i="39" s="1"/>
  <c r="HB93" i="39" a="1"/>
  <c r="HB93" i="39" s="1"/>
  <c r="HB92" i="39" a="1"/>
  <c r="HB92" i="39" s="1"/>
  <c r="HB91" i="39" a="1"/>
  <c r="HB91" i="39" s="1"/>
  <c r="HB90" i="39" a="1"/>
  <c r="HB90" i="39" s="1"/>
  <c r="HB89" i="39" a="1"/>
  <c r="HB89" i="39" s="1"/>
  <c r="HB88" i="39" a="1"/>
  <c r="HB88" i="39" s="1"/>
  <c r="HB87" i="39" a="1"/>
  <c r="HB87" i="39" s="1"/>
  <c r="HB86" i="39" a="1"/>
  <c r="HB86" i="39" s="1"/>
  <c r="HB85" i="39" a="1"/>
  <c r="HB85" i="39" s="1"/>
  <c r="HB84" i="39" a="1"/>
  <c r="HB84" i="39" s="1"/>
  <c r="HB83" i="39" a="1"/>
  <c r="HB83" i="39" s="1"/>
  <c r="HB82" i="39" a="1"/>
  <c r="HB82" i="39" s="1"/>
  <c r="HB81" i="39" a="1"/>
  <c r="HB81" i="39" s="1"/>
  <c r="HB80" i="39" a="1"/>
  <c r="HB80" i="39" s="1"/>
  <c r="HB79" i="39" a="1"/>
  <c r="HB79" i="39" s="1"/>
  <c r="HB78" i="39" a="1"/>
  <c r="HB78" i="39" s="1"/>
  <c r="HB77" i="39" a="1"/>
  <c r="HB77" i="39" s="1"/>
  <c r="HB76" i="39" a="1"/>
  <c r="HB76" i="39" s="1"/>
  <c r="HB75" i="39" a="1"/>
  <c r="HB75" i="39" s="1"/>
  <c r="HB74" i="39" a="1"/>
  <c r="HB74" i="39" s="1"/>
  <c r="HB73" i="39" a="1"/>
  <c r="HB73" i="39" s="1"/>
  <c r="HB72" i="39" a="1"/>
  <c r="HB72" i="39" s="1"/>
  <c r="HB71" i="39" a="1"/>
  <c r="HB71" i="39" s="1"/>
  <c r="HB70" i="39" a="1"/>
  <c r="HB70" i="39" s="1"/>
  <c r="HB69" i="39" a="1"/>
  <c r="HB69" i="39" s="1"/>
  <c r="HB68" i="39" a="1"/>
  <c r="HB68" i="39" s="1"/>
  <c r="HB67" i="39" a="1"/>
  <c r="HB67" i="39" s="1"/>
  <c r="HB66" i="39" a="1"/>
  <c r="HB66" i="39" s="1"/>
  <c r="HB65" i="39" a="1"/>
  <c r="HB65" i="39" s="1"/>
  <c r="HB64" i="39" a="1"/>
  <c r="HB64" i="39" s="1"/>
  <c r="HB63" i="39" a="1"/>
  <c r="HB63" i="39" s="1"/>
  <c r="HB62" i="39" a="1"/>
  <c r="HB62" i="39" s="1"/>
  <c r="HB61" i="39" a="1"/>
  <c r="HB61" i="39" s="1"/>
  <c r="HB60" i="39" a="1"/>
  <c r="HB60" i="39" s="1"/>
  <c r="HB59" i="39" a="1"/>
  <c r="HB59" i="39" s="1"/>
  <c r="HB58" i="39" a="1"/>
  <c r="HB58" i="39" s="1"/>
  <c r="HB57" i="39" a="1"/>
  <c r="HB57" i="39" s="1"/>
  <c r="HB56" i="39" a="1"/>
  <c r="HB56" i="39" s="1"/>
  <c r="HB55" i="39" a="1"/>
  <c r="HB55" i="39" s="1"/>
  <c r="HB54" i="39" a="1"/>
  <c r="HB54" i="39" s="1"/>
  <c r="HB53" i="39" a="1"/>
  <c r="HB53" i="39" s="1"/>
  <c r="HB52" i="39" a="1"/>
  <c r="HB52" i="39" s="1"/>
  <c r="HB51" i="39" a="1"/>
  <c r="HB51" i="39" s="1"/>
  <c r="HB50" i="39" a="1"/>
  <c r="HB50" i="39" s="1"/>
  <c r="HB49" i="39" a="1"/>
  <c r="HB49" i="39" s="1"/>
  <c r="HB48" i="39" a="1"/>
  <c r="HB48" i="39" s="1"/>
  <c r="HB47" i="39" a="1"/>
  <c r="HB47" i="39" s="1"/>
  <c r="HB46" i="39" a="1"/>
  <c r="HB46" i="39" s="1"/>
  <c r="HB45" i="39" a="1"/>
  <c r="HB45" i="39" s="1"/>
  <c r="HB44" i="39" a="1"/>
  <c r="HB44" i="39" s="1"/>
  <c r="HB43" i="39" a="1"/>
  <c r="HB43" i="39" s="1"/>
  <c r="HB42" i="39" a="1"/>
  <c r="HB42" i="39" s="1"/>
  <c r="HB41" i="39" a="1"/>
  <c r="HB41" i="39" s="1"/>
  <c r="HB40" i="39" a="1"/>
  <c r="HB40" i="39" s="1"/>
  <c r="HB39" i="39" a="1"/>
  <c r="HB39" i="39" s="1"/>
  <c r="HB38" i="39" a="1"/>
  <c r="HB38" i="39" s="1"/>
  <c r="HB37" i="39" a="1"/>
  <c r="HB37" i="39" s="1"/>
  <c r="HB36" i="39" a="1"/>
  <c r="HB36" i="39" s="1"/>
  <c r="HB35" i="39" a="1"/>
  <c r="HB35" i="39" s="1"/>
  <c r="HB34" i="39" a="1"/>
  <c r="HB34" i="39" s="1"/>
  <c r="HB33" i="39" a="1"/>
  <c r="HB33" i="39" s="1"/>
  <c r="HB32" i="39" a="1"/>
  <c r="HB32" i="39" s="1"/>
  <c r="HB31" i="39" a="1"/>
  <c r="HB31" i="39" s="1"/>
  <c r="HB30" i="39" a="1"/>
  <c r="HB30" i="39" s="1"/>
  <c r="HB29" i="39" a="1"/>
  <c r="HB29" i="39" s="1"/>
  <c r="HB28" i="39" a="1"/>
  <c r="HB28" i="39" s="1"/>
  <c r="HB27" i="39" a="1"/>
  <c r="HB27" i="39" s="1"/>
  <c r="HB26" i="39" a="1"/>
  <c r="HB26" i="39" s="1"/>
  <c r="HB25" i="39" a="1"/>
  <c r="HB25" i="39" s="1"/>
  <c r="HB24" i="39" a="1"/>
  <c r="HB24" i="39" s="1"/>
  <c r="HB23" i="39" a="1"/>
  <c r="HB23" i="39" s="1"/>
  <c r="HB22" i="39" a="1"/>
  <c r="HB22" i="39" s="1"/>
  <c r="HB21" i="39" a="1"/>
  <c r="HB21" i="39" s="1"/>
  <c r="HB20" i="39" a="1"/>
  <c r="HB20" i="39" s="1"/>
  <c r="HB19" i="39" a="1"/>
  <c r="HB19" i="39" s="1"/>
  <c r="HB18" i="39" a="1"/>
  <c r="HB18" i="39" s="1"/>
  <c r="HB17" i="39" a="1"/>
  <c r="HB17" i="39" s="1"/>
  <c r="HB16" i="39" a="1"/>
  <c r="HB16" i="39" s="1"/>
  <c r="HB15" i="39" a="1"/>
  <c r="HB15" i="39" s="1"/>
  <c r="HB14" i="39" a="1"/>
  <c r="HB14" i="39" s="1"/>
  <c r="HB13" i="39" a="1"/>
  <c r="HB13" i="39" s="1"/>
  <c r="HB12" i="39" a="1"/>
  <c r="HB12" i="39" s="1"/>
  <c r="HB11" i="39" a="1"/>
  <c r="HB11" i="39" s="1"/>
  <c r="HB10" i="39" a="1"/>
  <c r="HB10" i="39" s="1"/>
  <c r="HB9" i="39" a="1"/>
  <c r="HB9" i="39" s="1"/>
  <c r="HB8" i="39" a="1"/>
  <c r="HB8" i="39" s="1"/>
  <c r="HB7" i="39" a="1"/>
  <c r="HB7" i="39" s="1"/>
  <c r="HB6" i="39" a="1"/>
  <c r="HB6" i="39" s="1"/>
  <c r="HB5" i="39" a="1"/>
  <c r="HB5" i="39" s="1"/>
  <c r="HB4" i="39" a="1"/>
  <c r="HB4" i="39" s="1"/>
  <c r="GY163" i="39" a="1"/>
  <c r="GY163" i="39" s="1"/>
  <c r="GY162" i="39" a="1"/>
  <c r="GY162" i="39" s="1"/>
  <c r="GY161" i="39" a="1"/>
  <c r="GY161" i="39" s="1"/>
  <c r="GY160" i="39" a="1"/>
  <c r="GY160" i="39" s="1"/>
  <c r="GY159" i="39" a="1"/>
  <c r="GY159" i="39" s="1"/>
  <c r="GY158" i="39" a="1"/>
  <c r="GY158" i="39" s="1"/>
  <c r="GY157" i="39" a="1"/>
  <c r="GY157" i="39" s="1"/>
  <c r="GY156" i="39" a="1"/>
  <c r="GY156" i="39" s="1"/>
  <c r="GY155" i="39" a="1"/>
  <c r="GY155" i="39" s="1"/>
  <c r="GY154" i="39" a="1"/>
  <c r="GY154" i="39" s="1"/>
  <c r="GY153" i="39" a="1"/>
  <c r="GY153" i="39" s="1"/>
  <c r="GY152" i="39" a="1"/>
  <c r="GY152" i="39" s="1"/>
  <c r="GY151" i="39" a="1"/>
  <c r="GY151" i="39" s="1"/>
  <c r="GY150" i="39" a="1"/>
  <c r="GY150" i="39" s="1"/>
  <c r="GY149" i="39" a="1"/>
  <c r="GY149" i="39" s="1"/>
  <c r="GY148" i="39" a="1"/>
  <c r="GY148" i="39" s="1"/>
  <c r="GY147" i="39" a="1"/>
  <c r="GY147" i="39" s="1"/>
  <c r="GY146" i="39" a="1"/>
  <c r="GY146" i="39" s="1"/>
  <c r="GY145" i="39" a="1"/>
  <c r="GY145" i="39" s="1"/>
  <c r="GY144" i="39" a="1"/>
  <c r="GY144" i="39" s="1"/>
  <c r="GY143" i="39" a="1"/>
  <c r="GY143" i="39" s="1"/>
  <c r="GY142" i="39" a="1"/>
  <c r="GY142" i="39" s="1"/>
  <c r="GY141" i="39" a="1"/>
  <c r="GY141" i="39" s="1"/>
  <c r="GY140" i="39" a="1"/>
  <c r="GY140" i="39" s="1"/>
  <c r="GY139" i="39" a="1"/>
  <c r="GY139" i="39" s="1"/>
  <c r="GY138" i="39" a="1"/>
  <c r="GY138" i="39" s="1"/>
  <c r="GY137" i="39" a="1"/>
  <c r="GY137" i="39" s="1"/>
  <c r="GY136" i="39" a="1"/>
  <c r="GY136" i="39" s="1"/>
  <c r="GY135" i="39" a="1"/>
  <c r="GY135" i="39" s="1"/>
  <c r="GY134" i="39" a="1"/>
  <c r="GY134" i="39" s="1"/>
  <c r="GY133" i="39" a="1"/>
  <c r="GY133" i="39" s="1"/>
  <c r="GY132" i="39" a="1"/>
  <c r="GY132" i="39" s="1"/>
  <c r="GY131" i="39" a="1"/>
  <c r="GY131" i="39" s="1"/>
  <c r="GY130" i="39" a="1"/>
  <c r="GY130" i="39" s="1"/>
  <c r="GY129" i="39" a="1"/>
  <c r="GY129" i="39" s="1"/>
  <c r="GY128" i="39" a="1"/>
  <c r="GY128" i="39" s="1"/>
  <c r="GY127" i="39" a="1"/>
  <c r="GY127" i="39" s="1"/>
  <c r="GY126" i="39" a="1"/>
  <c r="GY126" i="39" s="1"/>
  <c r="GY125" i="39" a="1"/>
  <c r="GY125" i="39" s="1"/>
  <c r="GY124" i="39" a="1"/>
  <c r="GY124" i="39" s="1"/>
  <c r="GY123" i="39" a="1"/>
  <c r="GY123" i="39" s="1"/>
  <c r="GY122" i="39" a="1"/>
  <c r="GY122" i="39" s="1"/>
  <c r="GY121" i="39" a="1"/>
  <c r="GY121" i="39" s="1"/>
  <c r="GY120" i="39" a="1"/>
  <c r="GY120" i="39" s="1"/>
  <c r="GY119" i="39" a="1"/>
  <c r="GY119" i="39" s="1"/>
  <c r="GY118" i="39" a="1"/>
  <c r="GY118" i="39" s="1"/>
  <c r="GY117" i="39" a="1"/>
  <c r="GY117" i="39" s="1"/>
  <c r="GY116" i="39" a="1"/>
  <c r="GY116" i="39" s="1"/>
  <c r="GY115" i="39" a="1"/>
  <c r="GY115" i="39" s="1"/>
  <c r="GY114" i="39" a="1"/>
  <c r="GY114" i="39" s="1"/>
  <c r="GY113" i="39" a="1"/>
  <c r="GY113" i="39" s="1"/>
  <c r="GY112" i="39" a="1"/>
  <c r="GY112" i="39" s="1"/>
  <c r="GY111" i="39" a="1"/>
  <c r="GY111" i="39" s="1"/>
  <c r="GY110" i="39" a="1"/>
  <c r="GY110" i="39" s="1"/>
  <c r="GY109" i="39" a="1"/>
  <c r="GY109" i="39" s="1"/>
  <c r="GY108" i="39" a="1"/>
  <c r="GY108" i="39" s="1"/>
  <c r="GY107" i="39" a="1"/>
  <c r="GY107" i="39" s="1"/>
  <c r="GY106" i="39" a="1"/>
  <c r="GY106" i="39" s="1"/>
  <c r="GY105" i="39" a="1"/>
  <c r="GY105" i="39" s="1"/>
  <c r="GY104" i="39" a="1"/>
  <c r="GY104" i="39" s="1"/>
  <c r="GY103" i="39" a="1"/>
  <c r="GY103" i="39" s="1"/>
  <c r="GY102" i="39" a="1"/>
  <c r="GY102" i="39" s="1"/>
  <c r="GY101" i="39" a="1"/>
  <c r="GY101" i="39" s="1"/>
  <c r="GY100" i="39" a="1"/>
  <c r="GY100" i="39" s="1"/>
  <c r="GY99" i="39" a="1"/>
  <c r="GY99" i="39" s="1"/>
  <c r="GY98" i="39" a="1"/>
  <c r="GY98" i="39" s="1"/>
  <c r="GY97" i="39" a="1"/>
  <c r="GY97" i="39" s="1"/>
  <c r="GY96" i="39" a="1"/>
  <c r="GY96" i="39" s="1"/>
  <c r="GY95" i="39" a="1"/>
  <c r="GY95" i="39" s="1"/>
  <c r="GY94" i="39" a="1"/>
  <c r="GY94" i="39" s="1"/>
  <c r="GY93" i="39" a="1"/>
  <c r="GY93" i="39" s="1"/>
  <c r="GY92" i="39" a="1"/>
  <c r="GY92" i="39" s="1"/>
  <c r="GY91" i="39" a="1"/>
  <c r="GY91" i="39" s="1"/>
  <c r="GY90" i="39" a="1"/>
  <c r="GY90" i="39" s="1"/>
  <c r="GY89" i="39" a="1"/>
  <c r="GY89" i="39" s="1"/>
  <c r="GY88" i="39" a="1"/>
  <c r="GY88" i="39" s="1"/>
  <c r="GY87" i="39" a="1"/>
  <c r="GY87" i="39" s="1"/>
  <c r="GY86" i="39" a="1"/>
  <c r="GY86" i="39" s="1"/>
  <c r="GY85" i="39" a="1"/>
  <c r="GY85" i="39" s="1"/>
  <c r="GY84" i="39" a="1"/>
  <c r="GY84" i="39" s="1"/>
  <c r="GY83" i="39" a="1"/>
  <c r="GY83" i="39" s="1"/>
  <c r="GY82" i="39" a="1"/>
  <c r="GY82" i="39" s="1"/>
  <c r="GY81" i="39" a="1"/>
  <c r="GY81" i="39" s="1"/>
  <c r="GY80" i="39" a="1"/>
  <c r="GY80" i="39" s="1"/>
  <c r="GY79" i="39" a="1"/>
  <c r="GY79" i="39" s="1"/>
  <c r="GY78" i="39" a="1"/>
  <c r="GY78" i="39" s="1"/>
  <c r="GY77" i="39" a="1"/>
  <c r="GY77" i="39" s="1"/>
  <c r="GY76" i="39" a="1"/>
  <c r="GY76" i="39" s="1"/>
  <c r="GY75" i="39" a="1"/>
  <c r="GY75" i="39" s="1"/>
  <c r="GY74" i="39" a="1"/>
  <c r="GY74" i="39" s="1"/>
  <c r="GY73" i="39" a="1"/>
  <c r="GY73" i="39" s="1"/>
  <c r="GY72" i="39" a="1"/>
  <c r="GY72" i="39" s="1"/>
  <c r="GY71" i="39" a="1"/>
  <c r="GY71" i="39" s="1"/>
  <c r="GY70" i="39" a="1"/>
  <c r="GY70" i="39" s="1"/>
  <c r="GY69" i="39" a="1"/>
  <c r="GY69" i="39" s="1"/>
  <c r="GY68" i="39" a="1"/>
  <c r="GY68" i="39" s="1"/>
  <c r="GY67" i="39" a="1"/>
  <c r="GY67" i="39" s="1"/>
  <c r="GY66" i="39" a="1"/>
  <c r="GY66" i="39" s="1"/>
  <c r="GY65" i="39" a="1"/>
  <c r="GY65" i="39" s="1"/>
  <c r="GY64" i="39" a="1"/>
  <c r="GY64" i="39" s="1"/>
  <c r="GY63" i="39" a="1"/>
  <c r="GY63" i="39" s="1"/>
  <c r="GY62" i="39" a="1"/>
  <c r="GY62" i="39" s="1"/>
  <c r="GY61" i="39" a="1"/>
  <c r="GY61" i="39" s="1"/>
  <c r="GY60" i="39" a="1"/>
  <c r="GY60" i="39" s="1"/>
  <c r="GY59" i="39" a="1"/>
  <c r="GY59" i="39" s="1"/>
  <c r="GY58" i="39" a="1"/>
  <c r="GY58" i="39" s="1"/>
  <c r="GY57" i="39" a="1"/>
  <c r="GY57" i="39" s="1"/>
  <c r="GY56" i="39" a="1"/>
  <c r="GY56" i="39" s="1"/>
  <c r="GY55" i="39" a="1"/>
  <c r="GY55" i="39" s="1"/>
  <c r="GY54" i="39" a="1"/>
  <c r="GY54" i="39" s="1"/>
  <c r="GY53" i="39" a="1"/>
  <c r="GY53" i="39" s="1"/>
  <c r="GY52" i="39" a="1"/>
  <c r="GY52" i="39" s="1"/>
  <c r="GY51" i="39" a="1"/>
  <c r="GY51" i="39" s="1"/>
  <c r="GY50" i="39" a="1"/>
  <c r="GY50" i="39" s="1"/>
  <c r="GY49" i="39" a="1"/>
  <c r="GY49" i="39" s="1"/>
  <c r="GY48" i="39" a="1"/>
  <c r="GY48" i="39" s="1"/>
  <c r="GY47" i="39" a="1"/>
  <c r="GY47" i="39" s="1"/>
  <c r="GY46" i="39" a="1"/>
  <c r="GY46" i="39" s="1"/>
  <c r="GY45" i="39" a="1"/>
  <c r="GY45" i="39" s="1"/>
  <c r="GY44" i="39" a="1"/>
  <c r="GY44" i="39" s="1"/>
  <c r="GY43" i="39" a="1"/>
  <c r="GY43" i="39" s="1"/>
  <c r="GY42" i="39" a="1"/>
  <c r="GY42" i="39" s="1"/>
  <c r="GY41" i="39" a="1"/>
  <c r="GY41" i="39" s="1"/>
  <c r="GY40" i="39" a="1"/>
  <c r="GY40" i="39" s="1"/>
  <c r="GY39" i="39" a="1"/>
  <c r="GY39" i="39" s="1"/>
  <c r="GY38" i="39" a="1"/>
  <c r="GY38" i="39" s="1"/>
  <c r="GY37" i="39" a="1"/>
  <c r="GY37" i="39" s="1"/>
  <c r="GY36" i="39" a="1"/>
  <c r="GY36" i="39" s="1"/>
  <c r="GY35" i="39" a="1"/>
  <c r="GY35" i="39" s="1"/>
  <c r="GY34" i="39" a="1"/>
  <c r="GY34" i="39" s="1"/>
  <c r="GY33" i="39" a="1"/>
  <c r="GY33" i="39" s="1"/>
  <c r="GY32" i="39" a="1"/>
  <c r="GY32" i="39" s="1"/>
  <c r="GY31" i="39" a="1"/>
  <c r="GY31" i="39" s="1"/>
  <c r="GY30" i="39" a="1"/>
  <c r="GY30" i="39" s="1"/>
  <c r="GY29" i="39" a="1"/>
  <c r="GY29" i="39" s="1"/>
  <c r="GY28" i="39" a="1"/>
  <c r="GY28" i="39" s="1"/>
  <c r="GY27" i="39" a="1"/>
  <c r="GY27" i="39" s="1"/>
  <c r="GY26" i="39" a="1"/>
  <c r="GY26" i="39" s="1"/>
  <c r="GY25" i="39" a="1"/>
  <c r="GY25" i="39" s="1"/>
  <c r="GY24" i="39" a="1"/>
  <c r="GY24" i="39" s="1"/>
  <c r="GY23" i="39" a="1"/>
  <c r="GY23" i="39" s="1"/>
  <c r="GY22" i="39" a="1"/>
  <c r="GY22" i="39" s="1"/>
  <c r="GY21" i="39" a="1"/>
  <c r="GY21" i="39" s="1"/>
  <c r="GY20" i="39" a="1"/>
  <c r="GY20" i="39" s="1"/>
  <c r="GY19" i="39" a="1"/>
  <c r="GY19" i="39" s="1"/>
  <c r="GY18" i="39" a="1"/>
  <c r="GY18" i="39" s="1"/>
  <c r="GY17" i="39" a="1"/>
  <c r="GY17" i="39" s="1"/>
  <c r="GY16" i="39" a="1"/>
  <c r="GY16" i="39" s="1"/>
  <c r="GY15" i="39" a="1"/>
  <c r="GY15" i="39" s="1"/>
  <c r="GY14" i="39" a="1"/>
  <c r="GY14" i="39" s="1"/>
  <c r="GY13" i="39" a="1"/>
  <c r="GY13" i="39" s="1"/>
  <c r="GY12" i="39" a="1"/>
  <c r="GY12" i="39" s="1"/>
  <c r="GY11" i="39" a="1"/>
  <c r="GY11" i="39" s="1"/>
  <c r="GY10" i="39" a="1"/>
  <c r="GY10" i="39" s="1"/>
  <c r="GY9" i="39" a="1"/>
  <c r="GY9" i="39" s="1"/>
  <c r="GY8" i="39" a="1"/>
  <c r="GY8" i="39" s="1"/>
  <c r="GY7" i="39" a="1"/>
  <c r="GY7" i="39" s="1"/>
  <c r="GY6" i="39" a="1"/>
  <c r="GY6" i="39" s="1"/>
  <c r="GY5" i="39" a="1"/>
  <c r="GY5" i="39" s="1"/>
  <c r="GY4" i="39" a="1"/>
  <c r="GY4" i="39" s="1"/>
  <c r="GU163" i="39" a="1"/>
  <c r="GU163" i="39" s="1"/>
  <c r="GU162" i="39" a="1"/>
  <c r="GU162" i="39" s="1"/>
  <c r="GU161" i="39" a="1"/>
  <c r="GU161" i="39" s="1"/>
  <c r="GU160" i="39" a="1"/>
  <c r="GU160" i="39" s="1"/>
  <c r="GU159" i="39" a="1"/>
  <c r="GU159" i="39" s="1"/>
  <c r="GU158" i="39" a="1"/>
  <c r="GU158" i="39" s="1"/>
  <c r="GU157" i="39" a="1"/>
  <c r="GU157" i="39" s="1"/>
  <c r="GU156" i="39" a="1"/>
  <c r="GU156" i="39" s="1"/>
  <c r="GU155" i="39" a="1"/>
  <c r="GU155" i="39" s="1"/>
  <c r="GU154" i="39" a="1"/>
  <c r="GU154" i="39" s="1"/>
  <c r="GU153" i="39" a="1"/>
  <c r="GU153" i="39" s="1"/>
  <c r="GU152" i="39" a="1"/>
  <c r="GU152" i="39" s="1"/>
  <c r="GU151" i="39" a="1"/>
  <c r="GU151" i="39" s="1"/>
  <c r="GU150" i="39" a="1"/>
  <c r="GU150" i="39" s="1"/>
  <c r="GU149" i="39" a="1"/>
  <c r="GU149" i="39" s="1"/>
  <c r="GU148" i="39" a="1"/>
  <c r="GU148" i="39" s="1"/>
  <c r="GU147" i="39" a="1"/>
  <c r="GU147" i="39" s="1"/>
  <c r="GU146" i="39" a="1"/>
  <c r="GU146" i="39" s="1"/>
  <c r="GU145" i="39" a="1"/>
  <c r="GU145" i="39" s="1"/>
  <c r="GU144" i="39" a="1"/>
  <c r="GU144" i="39" s="1"/>
  <c r="GU143" i="39" a="1"/>
  <c r="GU143" i="39" s="1"/>
  <c r="GU142" i="39" a="1"/>
  <c r="GU142" i="39" s="1"/>
  <c r="GU141" i="39" a="1"/>
  <c r="GU141" i="39" s="1"/>
  <c r="GU140" i="39" a="1"/>
  <c r="GU140" i="39" s="1"/>
  <c r="GU139" i="39" a="1"/>
  <c r="GU139" i="39" s="1"/>
  <c r="GU138" i="39" a="1"/>
  <c r="GU138" i="39" s="1"/>
  <c r="GU137" i="39" a="1"/>
  <c r="GU137" i="39" s="1"/>
  <c r="GU136" i="39" a="1"/>
  <c r="GU136" i="39" s="1"/>
  <c r="GU135" i="39" a="1"/>
  <c r="GU135" i="39" s="1"/>
  <c r="GU134" i="39" a="1"/>
  <c r="GU134" i="39" s="1"/>
  <c r="GU133" i="39" a="1"/>
  <c r="GU133" i="39" s="1"/>
  <c r="GU132" i="39" a="1"/>
  <c r="GU132" i="39" s="1"/>
  <c r="GU131" i="39" a="1"/>
  <c r="GU131" i="39" s="1"/>
  <c r="GU130" i="39" a="1"/>
  <c r="GU130" i="39" s="1"/>
  <c r="GU129" i="39" a="1"/>
  <c r="GU129" i="39" s="1"/>
  <c r="GU128" i="39" a="1"/>
  <c r="GU128" i="39" s="1"/>
  <c r="GU127" i="39" a="1"/>
  <c r="GU127" i="39" s="1"/>
  <c r="GU126" i="39" a="1"/>
  <c r="GU126" i="39" s="1"/>
  <c r="GU125" i="39" a="1"/>
  <c r="GU125" i="39" s="1"/>
  <c r="GU124" i="39" a="1"/>
  <c r="GU124" i="39" s="1"/>
  <c r="GU123" i="39" a="1"/>
  <c r="GU123" i="39" s="1"/>
  <c r="GU122" i="39" a="1"/>
  <c r="GU122" i="39" s="1"/>
  <c r="GU121" i="39" a="1"/>
  <c r="GU121" i="39" s="1"/>
  <c r="GU120" i="39" a="1"/>
  <c r="GU120" i="39" s="1"/>
  <c r="GU119" i="39" a="1"/>
  <c r="GU119" i="39" s="1"/>
  <c r="GU118" i="39" a="1"/>
  <c r="GU118" i="39" s="1"/>
  <c r="GU117" i="39" a="1"/>
  <c r="GU117" i="39" s="1"/>
  <c r="GU116" i="39" a="1"/>
  <c r="GU116" i="39" s="1"/>
  <c r="GU115" i="39" a="1"/>
  <c r="GU115" i="39" s="1"/>
  <c r="GU114" i="39" a="1"/>
  <c r="GU114" i="39" s="1"/>
  <c r="GU113" i="39" a="1"/>
  <c r="GU113" i="39" s="1"/>
  <c r="GU112" i="39" a="1"/>
  <c r="GU112" i="39" s="1"/>
  <c r="GU111" i="39" a="1"/>
  <c r="GU111" i="39" s="1"/>
  <c r="GU110" i="39" a="1"/>
  <c r="GU110" i="39" s="1"/>
  <c r="GU109" i="39" a="1"/>
  <c r="GU109" i="39" s="1"/>
  <c r="GU108" i="39" a="1"/>
  <c r="GU108" i="39" s="1"/>
  <c r="GU107" i="39" a="1"/>
  <c r="GU107" i="39" s="1"/>
  <c r="GU106" i="39" a="1"/>
  <c r="GU106" i="39" s="1"/>
  <c r="GU105" i="39" a="1"/>
  <c r="GU105" i="39" s="1"/>
  <c r="GU104" i="39" a="1"/>
  <c r="GU104" i="39" s="1"/>
  <c r="GU103" i="39" a="1"/>
  <c r="GU103" i="39" s="1"/>
  <c r="GU102" i="39" a="1"/>
  <c r="GU102" i="39" s="1"/>
  <c r="GU101" i="39" a="1"/>
  <c r="GU101" i="39" s="1"/>
  <c r="GU100" i="39" a="1"/>
  <c r="GU100" i="39" s="1"/>
  <c r="GU99" i="39" a="1"/>
  <c r="GU99" i="39" s="1"/>
  <c r="GU98" i="39" a="1"/>
  <c r="GU98" i="39" s="1"/>
  <c r="GU97" i="39" a="1"/>
  <c r="GU97" i="39" s="1"/>
  <c r="GU96" i="39" a="1"/>
  <c r="GU96" i="39" s="1"/>
  <c r="GU95" i="39" a="1"/>
  <c r="GU95" i="39" s="1"/>
  <c r="GU94" i="39" a="1"/>
  <c r="GU94" i="39" s="1"/>
  <c r="GU93" i="39" a="1"/>
  <c r="GU93" i="39" s="1"/>
  <c r="GU92" i="39" a="1"/>
  <c r="GU92" i="39" s="1"/>
  <c r="GU91" i="39" a="1"/>
  <c r="GU91" i="39" s="1"/>
  <c r="GU90" i="39" a="1"/>
  <c r="GU90" i="39" s="1"/>
  <c r="GU89" i="39" a="1"/>
  <c r="GU89" i="39" s="1"/>
  <c r="GU88" i="39" a="1"/>
  <c r="GU88" i="39" s="1"/>
  <c r="GU87" i="39" a="1"/>
  <c r="GU87" i="39" s="1"/>
  <c r="GU86" i="39" a="1"/>
  <c r="GU86" i="39" s="1"/>
  <c r="GU85" i="39" a="1"/>
  <c r="GU85" i="39" s="1"/>
  <c r="GU84" i="39" a="1"/>
  <c r="GU84" i="39" s="1"/>
  <c r="GU83" i="39" a="1"/>
  <c r="GU83" i="39" s="1"/>
  <c r="GU82" i="39" a="1"/>
  <c r="GU82" i="39" s="1"/>
  <c r="GU81" i="39" a="1"/>
  <c r="GU81" i="39" s="1"/>
  <c r="GU80" i="39" a="1"/>
  <c r="GU80" i="39" s="1"/>
  <c r="GU79" i="39" a="1"/>
  <c r="GU79" i="39" s="1"/>
  <c r="GU78" i="39" a="1"/>
  <c r="GU78" i="39" s="1"/>
  <c r="GU77" i="39" a="1"/>
  <c r="GU77" i="39" s="1"/>
  <c r="GU76" i="39" a="1"/>
  <c r="GU76" i="39" s="1"/>
  <c r="GU75" i="39" a="1"/>
  <c r="GU75" i="39" s="1"/>
  <c r="GU74" i="39" a="1"/>
  <c r="GU74" i="39" s="1"/>
  <c r="GU73" i="39" a="1"/>
  <c r="GU73" i="39" s="1"/>
  <c r="GU72" i="39" a="1"/>
  <c r="GU72" i="39" s="1"/>
  <c r="GU71" i="39" a="1"/>
  <c r="GU71" i="39" s="1"/>
  <c r="GU70" i="39" a="1"/>
  <c r="GU70" i="39" s="1"/>
  <c r="GU69" i="39" a="1"/>
  <c r="GU69" i="39" s="1"/>
  <c r="GU68" i="39" a="1"/>
  <c r="GU68" i="39" s="1"/>
  <c r="GU67" i="39" a="1"/>
  <c r="GU67" i="39" s="1"/>
  <c r="GU66" i="39" a="1"/>
  <c r="GU66" i="39" s="1"/>
  <c r="GU65" i="39" a="1"/>
  <c r="GU65" i="39" s="1"/>
  <c r="GU64" i="39" a="1"/>
  <c r="GU64" i="39" s="1"/>
  <c r="GU63" i="39" a="1"/>
  <c r="GU63" i="39" s="1"/>
  <c r="GU62" i="39" a="1"/>
  <c r="GU62" i="39" s="1"/>
  <c r="GU61" i="39" a="1"/>
  <c r="GU61" i="39" s="1"/>
  <c r="GU60" i="39" a="1"/>
  <c r="GU60" i="39" s="1"/>
  <c r="GU59" i="39" a="1"/>
  <c r="GU59" i="39" s="1"/>
  <c r="GU58" i="39" a="1"/>
  <c r="GU58" i="39" s="1"/>
  <c r="GU57" i="39" a="1"/>
  <c r="GU57" i="39" s="1"/>
  <c r="GU56" i="39" a="1"/>
  <c r="GU56" i="39" s="1"/>
  <c r="GU55" i="39" a="1"/>
  <c r="GU55" i="39" s="1"/>
  <c r="GU54" i="39" a="1"/>
  <c r="GU54" i="39" s="1"/>
  <c r="GU53" i="39" a="1"/>
  <c r="GU53" i="39" s="1"/>
  <c r="GU52" i="39" a="1"/>
  <c r="GU52" i="39" s="1"/>
  <c r="GU51" i="39" a="1"/>
  <c r="GU51" i="39" s="1"/>
  <c r="GU50" i="39" a="1"/>
  <c r="GU50" i="39" s="1"/>
  <c r="GU49" i="39" a="1"/>
  <c r="GU49" i="39" s="1"/>
  <c r="GU48" i="39" a="1"/>
  <c r="GU48" i="39" s="1"/>
  <c r="GU47" i="39" a="1"/>
  <c r="GU47" i="39" s="1"/>
  <c r="GU46" i="39" a="1"/>
  <c r="GU46" i="39" s="1"/>
  <c r="GU45" i="39" a="1"/>
  <c r="GU45" i="39" s="1"/>
  <c r="GU44" i="39" a="1"/>
  <c r="GU44" i="39" s="1"/>
  <c r="GU43" i="39" a="1"/>
  <c r="GU43" i="39" s="1"/>
  <c r="GU42" i="39" a="1"/>
  <c r="GU42" i="39" s="1"/>
  <c r="GU41" i="39" a="1"/>
  <c r="GU41" i="39" s="1"/>
  <c r="GU40" i="39" a="1"/>
  <c r="GU40" i="39" s="1"/>
  <c r="GU39" i="39" a="1"/>
  <c r="GU39" i="39" s="1"/>
  <c r="GU38" i="39" a="1"/>
  <c r="GU38" i="39" s="1"/>
  <c r="GU37" i="39" a="1"/>
  <c r="GU37" i="39" s="1"/>
  <c r="GU36" i="39" a="1"/>
  <c r="GU36" i="39" s="1"/>
  <c r="GU35" i="39" a="1"/>
  <c r="GU35" i="39" s="1"/>
  <c r="GU34" i="39" a="1"/>
  <c r="GU34" i="39" s="1"/>
  <c r="GU33" i="39" a="1"/>
  <c r="GU33" i="39" s="1"/>
  <c r="GU32" i="39" a="1"/>
  <c r="GU32" i="39" s="1"/>
  <c r="GU31" i="39" a="1"/>
  <c r="GU31" i="39" s="1"/>
  <c r="GU30" i="39" a="1"/>
  <c r="GU30" i="39" s="1"/>
  <c r="GU29" i="39" a="1"/>
  <c r="GU29" i="39" s="1"/>
  <c r="GU28" i="39" a="1"/>
  <c r="GU28" i="39" s="1"/>
  <c r="GU27" i="39" a="1"/>
  <c r="GU27" i="39" s="1"/>
  <c r="GU26" i="39" a="1"/>
  <c r="GU26" i="39" s="1"/>
  <c r="GU25" i="39" a="1"/>
  <c r="GU25" i="39" s="1"/>
  <c r="GU24" i="39" a="1"/>
  <c r="GU24" i="39" s="1"/>
  <c r="GU23" i="39" a="1"/>
  <c r="GU23" i="39" s="1"/>
  <c r="GU22" i="39" a="1"/>
  <c r="GU22" i="39" s="1"/>
  <c r="GU21" i="39" a="1"/>
  <c r="GU21" i="39" s="1"/>
  <c r="GU20" i="39" a="1"/>
  <c r="GU20" i="39" s="1"/>
  <c r="GU19" i="39" a="1"/>
  <c r="GU19" i="39" s="1"/>
  <c r="GU18" i="39" a="1"/>
  <c r="GU18" i="39" s="1"/>
  <c r="GU17" i="39" a="1"/>
  <c r="GU17" i="39" s="1"/>
  <c r="GU16" i="39" a="1"/>
  <c r="GU16" i="39" s="1"/>
  <c r="GU15" i="39" a="1"/>
  <c r="GU15" i="39" s="1"/>
  <c r="GU14" i="39" a="1"/>
  <c r="GU14" i="39" s="1"/>
  <c r="GU13" i="39" a="1"/>
  <c r="GU13" i="39" s="1"/>
  <c r="GU12" i="39" a="1"/>
  <c r="GU12" i="39" s="1"/>
  <c r="GU11" i="39" a="1"/>
  <c r="GU11" i="39" s="1"/>
  <c r="GU10" i="39" a="1"/>
  <c r="GU10" i="39" s="1"/>
  <c r="GU9" i="39" a="1"/>
  <c r="GU9" i="39" s="1"/>
  <c r="GU8" i="39" a="1"/>
  <c r="GU8" i="39" s="1"/>
  <c r="GU7" i="39" a="1"/>
  <c r="GU7" i="39" s="1"/>
  <c r="GU6" i="39" a="1"/>
  <c r="GU6" i="39" s="1"/>
  <c r="GU5" i="39" a="1"/>
  <c r="GU5" i="39" s="1"/>
  <c r="GU4" i="39" a="1"/>
  <c r="GU4" i="39" s="1"/>
  <c r="GR163" i="39" a="1"/>
  <c r="GR163" i="39" s="1"/>
  <c r="GR162" i="39" a="1"/>
  <c r="GR162" i="39" s="1"/>
  <c r="GR161" i="39" a="1"/>
  <c r="GR161" i="39" s="1"/>
  <c r="GR160" i="39" a="1"/>
  <c r="GR160" i="39" s="1"/>
  <c r="GR159" i="39" a="1"/>
  <c r="GR159" i="39" s="1"/>
  <c r="GR158" i="39" a="1"/>
  <c r="GR158" i="39" s="1"/>
  <c r="GR157" i="39" a="1"/>
  <c r="GR157" i="39" s="1"/>
  <c r="GR156" i="39" a="1"/>
  <c r="GR156" i="39" s="1"/>
  <c r="GR155" i="39" a="1"/>
  <c r="GR155" i="39" s="1"/>
  <c r="GR154" i="39" a="1"/>
  <c r="GR154" i="39" s="1"/>
  <c r="GR153" i="39" a="1"/>
  <c r="GR153" i="39" s="1"/>
  <c r="GR152" i="39" a="1"/>
  <c r="GR152" i="39" s="1"/>
  <c r="GR151" i="39" a="1"/>
  <c r="GR151" i="39" s="1"/>
  <c r="GR150" i="39" a="1"/>
  <c r="GR150" i="39" s="1"/>
  <c r="GR149" i="39" a="1"/>
  <c r="GR149" i="39" s="1"/>
  <c r="GR148" i="39" a="1"/>
  <c r="GR148" i="39" s="1"/>
  <c r="GR147" i="39" a="1"/>
  <c r="GR147" i="39" s="1"/>
  <c r="GR146" i="39" a="1"/>
  <c r="GR146" i="39" s="1"/>
  <c r="GR145" i="39" a="1"/>
  <c r="GR145" i="39" s="1"/>
  <c r="GR144" i="39" a="1"/>
  <c r="GR144" i="39" s="1"/>
  <c r="GR143" i="39" a="1"/>
  <c r="GR143" i="39" s="1"/>
  <c r="GR142" i="39" a="1"/>
  <c r="GR142" i="39" s="1"/>
  <c r="GR141" i="39" a="1"/>
  <c r="GR141" i="39" s="1"/>
  <c r="GR140" i="39" a="1"/>
  <c r="GR140" i="39" s="1"/>
  <c r="GR139" i="39" a="1"/>
  <c r="GR139" i="39" s="1"/>
  <c r="GR138" i="39" a="1"/>
  <c r="GR138" i="39" s="1"/>
  <c r="GR137" i="39" a="1"/>
  <c r="GR137" i="39" s="1"/>
  <c r="GR136" i="39" a="1"/>
  <c r="GR136" i="39" s="1"/>
  <c r="GR135" i="39" a="1"/>
  <c r="GR135" i="39" s="1"/>
  <c r="GR134" i="39" a="1"/>
  <c r="GR134" i="39" s="1"/>
  <c r="GR133" i="39" a="1"/>
  <c r="GR133" i="39" s="1"/>
  <c r="GR132" i="39" a="1"/>
  <c r="GR132" i="39" s="1"/>
  <c r="GR131" i="39" a="1"/>
  <c r="GR131" i="39" s="1"/>
  <c r="GR130" i="39" a="1"/>
  <c r="GR130" i="39" s="1"/>
  <c r="GR129" i="39" a="1"/>
  <c r="GR129" i="39" s="1"/>
  <c r="GR128" i="39" a="1"/>
  <c r="GR128" i="39" s="1"/>
  <c r="GR127" i="39" a="1"/>
  <c r="GR127" i="39" s="1"/>
  <c r="GR126" i="39" a="1"/>
  <c r="GR126" i="39" s="1"/>
  <c r="GR125" i="39" a="1"/>
  <c r="GR125" i="39" s="1"/>
  <c r="GR124" i="39" a="1"/>
  <c r="GR124" i="39" s="1"/>
  <c r="GR123" i="39" a="1"/>
  <c r="GR123" i="39" s="1"/>
  <c r="GR122" i="39" a="1"/>
  <c r="GR122" i="39" s="1"/>
  <c r="GR121" i="39" a="1"/>
  <c r="GR121" i="39" s="1"/>
  <c r="GR120" i="39" a="1"/>
  <c r="GR120" i="39" s="1"/>
  <c r="GR119" i="39" a="1"/>
  <c r="GR119" i="39" s="1"/>
  <c r="GR118" i="39" a="1"/>
  <c r="GR118" i="39" s="1"/>
  <c r="GR117" i="39" a="1"/>
  <c r="GR117" i="39" s="1"/>
  <c r="GR116" i="39" a="1"/>
  <c r="GR116" i="39" s="1"/>
  <c r="GR115" i="39" a="1"/>
  <c r="GR115" i="39" s="1"/>
  <c r="GR114" i="39" a="1"/>
  <c r="GR114" i="39" s="1"/>
  <c r="GR113" i="39" a="1"/>
  <c r="GR113" i="39" s="1"/>
  <c r="GR112" i="39" a="1"/>
  <c r="GR112" i="39" s="1"/>
  <c r="GR111" i="39" a="1"/>
  <c r="GR111" i="39" s="1"/>
  <c r="GR110" i="39" a="1"/>
  <c r="GR110" i="39" s="1"/>
  <c r="GR109" i="39" a="1"/>
  <c r="GR109" i="39" s="1"/>
  <c r="GR108" i="39" a="1"/>
  <c r="GR108" i="39" s="1"/>
  <c r="GR107" i="39" a="1"/>
  <c r="GR107" i="39" s="1"/>
  <c r="GR106" i="39" a="1"/>
  <c r="GR106" i="39" s="1"/>
  <c r="GR105" i="39" a="1"/>
  <c r="GR105" i="39" s="1"/>
  <c r="GR104" i="39" a="1"/>
  <c r="GR104" i="39" s="1"/>
  <c r="GR103" i="39" a="1"/>
  <c r="GR103" i="39" s="1"/>
  <c r="GR102" i="39" a="1"/>
  <c r="GR102" i="39" s="1"/>
  <c r="GR101" i="39" a="1"/>
  <c r="GR101" i="39" s="1"/>
  <c r="GR100" i="39" a="1"/>
  <c r="GR100" i="39" s="1"/>
  <c r="GR99" i="39" a="1"/>
  <c r="GR99" i="39" s="1"/>
  <c r="GR98" i="39" a="1"/>
  <c r="GR98" i="39" s="1"/>
  <c r="GR97" i="39" a="1"/>
  <c r="GR97" i="39" s="1"/>
  <c r="GR96" i="39" a="1"/>
  <c r="GR96" i="39" s="1"/>
  <c r="GR95" i="39" a="1"/>
  <c r="GR95" i="39" s="1"/>
  <c r="GR94" i="39" a="1"/>
  <c r="GR94" i="39" s="1"/>
  <c r="GR93" i="39" a="1"/>
  <c r="GR93" i="39" s="1"/>
  <c r="GR92" i="39" a="1"/>
  <c r="GR92" i="39" s="1"/>
  <c r="GR91" i="39" a="1"/>
  <c r="GR91" i="39" s="1"/>
  <c r="GR90" i="39" a="1"/>
  <c r="GR90" i="39" s="1"/>
  <c r="GR89" i="39" a="1"/>
  <c r="GR89" i="39" s="1"/>
  <c r="GR88" i="39" a="1"/>
  <c r="GR88" i="39" s="1"/>
  <c r="GR87" i="39" a="1"/>
  <c r="GR87" i="39" s="1"/>
  <c r="GR86" i="39" a="1"/>
  <c r="GR86" i="39" s="1"/>
  <c r="GR85" i="39" a="1"/>
  <c r="GR85" i="39" s="1"/>
  <c r="GR84" i="39" a="1"/>
  <c r="GR84" i="39" s="1"/>
  <c r="GR83" i="39" a="1"/>
  <c r="GR83" i="39" s="1"/>
  <c r="GR82" i="39" a="1"/>
  <c r="GR82" i="39" s="1"/>
  <c r="GR81" i="39" a="1"/>
  <c r="GR81" i="39" s="1"/>
  <c r="GR80" i="39" a="1"/>
  <c r="GR80" i="39" s="1"/>
  <c r="GR79" i="39" a="1"/>
  <c r="GR79" i="39" s="1"/>
  <c r="GR78" i="39" a="1"/>
  <c r="GR78" i="39" s="1"/>
  <c r="GR77" i="39" a="1"/>
  <c r="GR77" i="39" s="1"/>
  <c r="GR76" i="39" a="1"/>
  <c r="GR76" i="39" s="1"/>
  <c r="GR75" i="39" a="1"/>
  <c r="GR75" i="39" s="1"/>
  <c r="GR74" i="39" a="1"/>
  <c r="GR74" i="39" s="1"/>
  <c r="GR73" i="39" a="1"/>
  <c r="GR73" i="39" s="1"/>
  <c r="GR72" i="39" a="1"/>
  <c r="GR72" i="39" s="1"/>
  <c r="GR71" i="39" a="1"/>
  <c r="GR71" i="39" s="1"/>
  <c r="GR70" i="39" a="1"/>
  <c r="GR70" i="39" s="1"/>
  <c r="GR69" i="39" a="1"/>
  <c r="GR69" i="39" s="1"/>
  <c r="GR68" i="39" a="1"/>
  <c r="GR68" i="39" s="1"/>
  <c r="GR67" i="39" a="1"/>
  <c r="GR67" i="39" s="1"/>
  <c r="GR66" i="39" a="1"/>
  <c r="GR66" i="39" s="1"/>
  <c r="GR65" i="39" a="1"/>
  <c r="GR65" i="39" s="1"/>
  <c r="GR64" i="39" a="1"/>
  <c r="GR64" i="39" s="1"/>
  <c r="GR63" i="39" a="1"/>
  <c r="GR63" i="39" s="1"/>
  <c r="GR62" i="39" a="1"/>
  <c r="GR62" i="39" s="1"/>
  <c r="GR61" i="39" a="1"/>
  <c r="GR61" i="39" s="1"/>
  <c r="GR60" i="39" a="1"/>
  <c r="GR60" i="39" s="1"/>
  <c r="GR59" i="39" a="1"/>
  <c r="GR59" i="39" s="1"/>
  <c r="GR58" i="39" a="1"/>
  <c r="GR58" i="39" s="1"/>
  <c r="GR57" i="39" a="1"/>
  <c r="GR57" i="39" s="1"/>
  <c r="GR56" i="39" a="1"/>
  <c r="GR56" i="39" s="1"/>
  <c r="GR55" i="39" a="1"/>
  <c r="GR55" i="39" s="1"/>
  <c r="GR54" i="39" a="1"/>
  <c r="GR54" i="39" s="1"/>
  <c r="GR53" i="39" a="1"/>
  <c r="GR53" i="39" s="1"/>
  <c r="GR52" i="39" a="1"/>
  <c r="GR52" i="39" s="1"/>
  <c r="GR51" i="39" a="1"/>
  <c r="GR51" i="39" s="1"/>
  <c r="GR50" i="39" a="1"/>
  <c r="GR50" i="39" s="1"/>
  <c r="GR49" i="39" a="1"/>
  <c r="GR49" i="39" s="1"/>
  <c r="GR48" i="39" a="1"/>
  <c r="GR48" i="39" s="1"/>
  <c r="GR47" i="39" a="1"/>
  <c r="GR47" i="39" s="1"/>
  <c r="GR46" i="39" a="1"/>
  <c r="GR46" i="39" s="1"/>
  <c r="GR45" i="39" a="1"/>
  <c r="GR45" i="39" s="1"/>
  <c r="GR44" i="39" a="1"/>
  <c r="GR44" i="39" s="1"/>
  <c r="GR43" i="39" a="1"/>
  <c r="GR43" i="39" s="1"/>
  <c r="GR42" i="39" a="1"/>
  <c r="GR42" i="39" s="1"/>
  <c r="GR41" i="39" a="1"/>
  <c r="GR41" i="39" s="1"/>
  <c r="GR40" i="39" a="1"/>
  <c r="GR40" i="39" s="1"/>
  <c r="GR39" i="39" a="1"/>
  <c r="GR39" i="39" s="1"/>
  <c r="GR38" i="39" a="1"/>
  <c r="GR38" i="39" s="1"/>
  <c r="GR37" i="39" a="1"/>
  <c r="GR37" i="39" s="1"/>
  <c r="GR36" i="39" a="1"/>
  <c r="GR36" i="39" s="1"/>
  <c r="GR35" i="39" a="1"/>
  <c r="GR35" i="39" s="1"/>
  <c r="GR34" i="39" a="1"/>
  <c r="GR34" i="39" s="1"/>
  <c r="GR33" i="39" a="1"/>
  <c r="GR33" i="39" s="1"/>
  <c r="GR32" i="39" a="1"/>
  <c r="GR32" i="39" s="1"/>
  <c r="GR31" i="39" a="1"/>
  <c r="GR31" i="39" s="1"/>
  <c r="GR30" i="39" a="1"/>
  <c r="GR30" i="39" s="1"/>
  <c r="GR29" i="39" a="1"/>
  <c r="GR29" i="39" s="1"/>
  <c r="GR28" i="39" a="1"/>
  <c r="GR28" i="39" s="1"/>
  <c r="GR27" i="39" a="1"/>
  <c r="GR27" i="39" s="1"/>
  <c r="GR26" i="39" a="1"/>
  <c r="GR26" i="39" s="1"/>
  <c r="GR25" i="39" a="1"/>
  <c r="GR25" i="39" s="1"/>
  <c r="GR24" i="39" a="1"/>
  <c r="GR24" i="39" s="1"/>
  <c r="GR23" i="39" a="1"/>
  <c r="GR23" i="39" s="1"/>
  <c r="GR22" i="39" a="1"/>
  <c r="GR22" i="39" s="1"/>
  <c r="GR21" i="39" a="1"/>
  <c r="GR21" i="39" s="1"/>
  <c r="GR20" i="39" a="1"/>
  <c r="GR20" i="39" s="1"/>
  <c r="GR19" i="39" a="1"/>
  <c r="GR19" i="39" s="1"/>
  <c r="GR18" i="39" a="1"/>
  <c r="GR18" i="39" s="1"/>
  <c r="GR17" i="39" a="1"/>
  <c r="GR17" i="39" s="1"/>
  <c r="GR16" i="39" a="1"/>
  <c r="GR16" i="39" s="1"/>
  <c r="GR15" i="39" a="1"/>
  <c r="GR15" i="39" s="1"/>
  <c r="GR14" i="39" a="1"/>
  <c r="GR14" i="39" s="1"/>
  <c r="GR13" i="39" a="1"/>
  <c r="GR13" i="39" s="1"/>
  <c r="GR12" i="39" a="1"/>
  <c r="GR12" i="39" s="1"/>
  <c r="GR11" i="39" a="1"/>
  <c r="GR11" i="39" s="1"/>
  <c r="GR10" i="39" a="1"/>
  <c r="GR10" i="39" s="1"/>
  <c r="GR9" i="39" a="1"/>
  <c r="GR9" i="39" s="1"/>
  <c r="GR8" i="39" a="1"/>
  <c r="GR8" i="39" s="1"/>
  <c r="GR7" i="39" a="1"/>
  <c r="GR7" i="39" s="1"/>
  <c r="GR6" i="39" a="1"/>
  <c r="GR6" i="39" s="1"/>
  <c r="GR5" i="39" a="1"/>
  <c r="GR5" i="39" s="1"/>
  <c r="GR4" i="39" a="1"/>
  <c r="GR4" i="39" s="1"/>
  <c r="JZ4" i="39"/>
  <c r="AL23" i="39" l="1"/>
  <c r="AM23" i="39"/>
  <c r="Y35" i="47"/>
  <c r="X35" i="47"/>
  <c r="V35" i="47"/>
  <c r="T35" i="47"/>
  <c r="R35" i="47"/>
  <c r="O35" i="47"/>
  <c r="N35" i="47"/>
  <c r="J35" i="47"/>
  <c r="H35" i="47"/>
  <c r="D35" i="47"/>
  <c r="Y34" i="47"/>
  <c r="X34" i="47"/>
  <c r="V34" i="47"/>
  <c r="T34" i="47"/>
  <c r="R34" i="47"/>
  <c r="O34" i="47"/>
  <c r="N34" i="47"/>
  <c r="J34" i="47"/>
  <c r="H34" i="47"/>
  <c r="D34" i="47"/>
  <c r="Y33" i="47"/>
  <c r="X33" i="47"/>
  <c r="V33" i="47"/>
  <c r="T33" i="47"/>
  <c r="R33" i="47"/>
  <c r="O33" i="47"/>
  <c r="N33" i="47"/>
  <c r="J33" i="47"/>
  <c r="H33" i="47"/>
  <c r="D33" i="47"/>
  <c r="Y32" i="47"/>
  <c r="X32" i="47"/>
  <c r="V32" i="47"/>
  <c r="T32" i="47"/>
  <c r="R32" i="47"/>
  <c r="O32" i="47"/>
  <c r="N32" i="47"/>
  <c r="J32" i="47"/>
  <c r="H32" i="47"/>
  <c r="D32" i="47"/>
  <c r="Y31" i="47"/>
  <c r="X31" i="47"/>
  <c r="V31" i="47"/>
  <c r="T31" i="47"/>
  <c r="R31" i="47"/>
  <c r="O31" i="47"/>
  <c r="N31" i="47"/>
  <c r="J31" i="47"/>
  <c r="H31" i="47"/>
  <c r="D31" i="47"/>
  <c r="Y30" i="47"/>
  <c r="X30" i="47"/>
  <c r="V30" i="47"/>
  <c r="T30" i="47"/>
  <c r="R30" i="47"/>
  <c r="O30" i="47"/>
  <c r="N30" i="47"/>
  <c r="J30" i="47"/>
  <c r="H30" i="47"/>
  <c r="D30" i="47"/>
  <c r="Y29" i="47"/>
  <c r="X29" i="47"/>
  <c r="V29" i="47"/>
  <c r="T29" i="47"/>
  <c r="R29" i="47"/>
  <c r="O29" i="47"/>
  <c r="N29" i="47"/>
  <c r="J29" i="47"/>
  <c r="H29" i="47"/>
  <c r="D29" i="47"/>
  <c r="Y28" i="47"/>
  <c r="X28" i="47"/>
  <c r="V28" i="47"/>
  <c r="T28" i="47"/>
  <c r="R28" i="47"/>
  <c r="O28" i="47"/>
  <c r="N28" i="47"/>
  <c r="J28" i="47"/>
  <c r="H28" i="47"/>
  <c r="D28" i="47"/>
  <c r="Y27" i="47"/>
  <c r="X27" i="47"/>
  <c r="V27" i="47"/>
  <c r="T27" i="47"/>
  <c r="R27" i="47"/>
  <c r="O27" i="47"/>
  <c r="N27" i="47"/>
  <c r="J27" i="47"/>
  <c r="H27" i="47"/>
  <c r="D27" i="47"/>
  <c r="Y26" i="47"/>
  <c r="X26" i="47"/>
  <c r="V26" i="47"/>
  <c r="T26" i="47"/>
  <c r="R26" i="47"/>
  <c r="O26" i="47"/>
  <c r="N26" i="47"/>
  <c r="J26" i="47"/>
  <c r="H26" i="47"/>
  <c r="D26" i="47"/>
  <c r="Y25" i="47"/>
  <c r="X25" i="47"/>
  <c r="V25" i="47"/>
  <c r="T25" i="47"/>
  <c r="R25" i="47"/>
  <c r="O25" i="47"/>
  <c r="N25" i="47"/>
  <c r="J25" i="47"/>
  <c r="H25" i="47"/>
  <c r="D25" i="47"/>
  <c r="Y24" i="47"/>
  <c r="X24" i="47"/>
  <c r="V24" i="47"/>
  <c r="T24" i="47"/>
  <c r="R24" i="47"/>
  <c r="O24" i="47"/>
  <c r="N24" i="47"/>
  <c r="J24" i="47"/>
  <c r="H24" i="47"/>
  <c r="D24" i="47"/>
  <c r="Y23" i="47"/>
  <c r="X23" i="47"/>
  <c r="V23" i="47"/>
  <c r="T23" i="47"/>
  <c r="R23" i="47"/>
  <c r="O23" i="47"/>
  <c r="N23" i="47"/>
  <c r="J23" i="47"/>
  <c r="H23" i="47"/>
  <c r="D23" i="47"/>
  <c r="Y22" i="47"/>
  <c r="X22" i="47"/>
  <c r="V22" i="47"/>
  <c r="T22" i="47"/>
  <c r="R22" i="47"/>
  <c r="O22" i="47"/>
  <c r="N22" i="47"/>
  <c r="J22" i="47"/>
  <c r="H22" i="47"/>
  <c r="D22" i="47"/>
  <c r="Y21" i="47"/>
  <c r="X21" i="47"/>
  <c r="V21" i="47"/>
  <c r="T21" i="47"/>
  <c r="R21" i="47"/>
  <c r="O21" i="47"/>
  <c r="N21" i="47"/>
  <c r="J21" i="47"/>
  <c r="H21" i="47"/>
  <c r="D21" i="47"/>
  <c r="Y35" i="45"/>
  <c r="X35" i="45"/>
  <c r="V35" i="45"/>
  <c r="T35" i="45"/>
  <c r="R35" i="45"/>
  <c r="O35" i="45"/>
  <c r="N35" i="45"/>
  <c r="J35" i="45"/>
  <c r="H35" i="45"/>
  <c r="D35" i="45"/>
  <c r="Y34" i="45"/>
  <c r="X34" i="45"/>
  <c r="V34" i="45"/>
  <c r="T34" i="45"/>
  <c r="R34" i="45"/>
  <c r="O34" i="45"/>
  <c r="N34" i="45"/>
  <c r="J34" i="45"/>
  <c r="H34" i="45"/>
  <c r="D34" i="45"/>
  <c r="Y33" i="45"/>
  <c r="X33" i="45"/>
  <c r="V33" i="45"/>
  <c r="T33" i="45"/>
  <c r="R33" i="45"/>
  <c r="O33" i="45"/>
  <c r="N33" i="45"/>
  <c r="J33" i="45"/>
  <c r="H33" i="45"/>
  <c r="D33" i="45"/>
  <c r="Y32" i="45"/>
  <c r="X32" i="45"/>
  <c r="V32" i="45"/>
  <c r="T32" i="45"/>
  <c r="R32" i="45"/>
  <c r="O32" i="45"/>
  <c r="N32" i="45"/>
  <c r="J32" i="45"/>
  <c r="H32" i="45"/>
  <c r="D32" i="45"/>
  <c r="Y31" i="45"/>
  <c r="X31" i="45"/>
  <c r="V31" i="45"/>
  <c r="T31" i="45"/>
  <c r="R31" i="45"/>
  <c r="O31" i="45"/>
  <c r="N31" i="45"/>
  <c r="J31" i="45"/>
  <c r="H31" i="45"/>
  <c r="D31" i="45"/>
  <c r="Y30" i="45"/>
  <c r="X30" i="45"/>
  <c r="V30" i="45"/>
  <c r="T30" i="45"/>
  <c r="R30" i="45"/>
  <c r="O30" i="45"/>
  <c r="N30" i="45"/>
  <c r="J30" i="45"/>
  <c r="H30" i="45"/>
  <c r="D30" i="45"/>
  <c r="Y29" i="45"/>
  <c r="X29" i="45"/>
  <c r="V29" i="45"/>
  <c r="T29" i="45"/>
  <c r="R29" i="45"/>
  <c r="O29" i="45"/>
  <c r="N29" i="45"/>
  <c r="J29" i="45"/>
  <c r="H29" i="45"/>
  <c r="D29" i="45"/>
  <c r="Y28" i="45"/>
  <c r="X28" i="45"/>
  <c r="V28" i="45"/>
  <c r="T28" i="45"/>
  <c r="R28" i="45"/>
  <c r="O28" i="45"/>
  <c r="N28" i="45"/>
  <c r="J28" i="45"/>
  <c r="H28" i="45"/>
  <c r="D28" i="45"/>
  <c r="Y27" i="45"/>
  <c r="X27" i="45"/>
  <c r="V27" i="45"/>
  <c r="T27" i="45"/>
  <c r="R27" i="45"/>
  <c r="O27" i="45"/>
  <c r="N27" i="45"/>
  <c r="J27" i="45"/>
  <c r="H27" i="45"/>
  <c r="D27" i="45"/>
  <c r="Y26" i="45"/>
  <c r="X26" i="45"/>
  <c r="V26" i="45"/>
  <c r="T26" i="45"/>
  <c r="R26" i="45"/>
  <c r="O26" i="45"/>
  <c r="N26" i="45"/>
  <c r="J26" i="45"/>
  <c r="H26" i="45"/>
  <c r="D26" i="45"/>
  <c r="Y25" i="45"/>
  <c r="X25" i="45"/>
  <c r="V25" i="45"/>
  <c r="T25" i="45"/>
  <c r="R25" i="45"/>
  <c r="O25" i="45"/>
  <c r="N25" i="45"/>
  <c r="J25" i="45"/>
  <c r="H25" i="45"/>
  <c r="D25" i="45"/>
  <c r="Y24" i="45"/>
  <c r="X24" i="45"/>
  <c r="V24" i="45"/>
  <c r="T24" i="45"/>
  <c r="R24" i="45"/>
  <c r="O24" i="45"/>
  <c r="N24" i="45"/>
  <c r="J24" i="45"/>
  <c r="H24" i="45"/>
  <c r="D24" i="45"/>
  <c r="Y23" i="45"/>
  <c r="X23" i="45"/>
  <c r="V23" i="45"/>
  <c r="T23" i="45"/>
  <c r="R23" i="45"/>
  <c r="O23" i="45"/>
  <c r="N23" i="45"/>
  <c r="J23" i="45"/>
  <c r="H23" i="45"/>
  <c r="D23" i="45"/>
  <c r="Y22" i="45"/>
  <c r="X22" i="45"/>
  <c r="V22" i="45"/>
  <c r="T22" i="45"/>
  <c r="R22" i="45"/>
  <c r="O22" i="45"/>
  <c r="N22" i="45"/>
  <c r="J22" i="45"/>
  <c r="H22" i="45"/>
  <c r="D22" i="45"/>
  <c r="Y21" i="45"/>
  <c r="X21" i="45"/>
  <c r="V21" i="45"/>
  <c r="T21" i="45"/>
  <c r="R21" i="45"/>
  <c r="O21" i="45"/>
  <c r="N21" i="45"/>
  <c r="J21" i="45"/>
  <c r="H21" i="45"/>
  <c r="D21" i="45"/>
  <c r="Y35" i="46"/>
  <c r="X35" i="46"/>
  <c r="V35" i="46"/>
  <c r="T35" i="46"/>
  <c r="R35" i="46"/>
  <c r="O35" i="46"/>
  <c r="N35" i="46"/>
  <c r="J35" i="46"/>
  <c r="H35" i="46"/>
  <c r="D35" i="46"/>
  <c r="Y34" i="46"/>
  <c r="X34" i="46"/>
  <c r="V34" i="46"/>
  <c r="T34" i="46"/>
  <c r="R34" i="46"/>
  <c r="O34" i="46"/>
  <c r="N34" i="46"/>
  <c r="J34" i="46"/>
  <c r="H34" i="46"/>
  <c r="D34" i="46"/>
  <c r="Y33" i="46"/>
  <c r="X33" i="46"/>
  <c r="V33" i="46"/>
  <c r="T33" i="46"/>
  <c r="R33" i="46"/>
  <c r="O33" i="46"/>
  <c r="N33" i="46"/>
  <c r="J33" i="46"/>
  <c r="H33" i="46"/>
  <c r="D33" i="46"/>
  <c r="Y32" i="46"/>
  <c r="X32" i="46"/>
  <c r="V32" i="46"/>
  <c r="T32" i="46"/>
  <c r="R32" i="46"/>
  <c r="O32" i="46"/>
  <c r="N32" i="46"/>
  <c r="J32" i="46"/>
  <c r="H32" i="46"/>
  <c r="D32" i="46"/>
  <c r="Y31" i="46"/>
  <c r="X31" i="46"/>
  <c r="V31" i="46"/>
  <c r="T31" i="46"/>
  <c r="R31" i="46"/>
  <c r="O31" i="46"/>
  <c r="N31" i="46"/>
  <c r="J31" i="46"/>
  <c r="H31" i="46"/>
  <c r="D31" i="46"/>
  <c r="Y30" i="46"/>
  <c r="X30" i="46"/>
  <c r="V30" i="46"/>
  <c r="T30" i="46"/>
  <c r="R30" i="46"/>
  <c r="O30" i="46"/>
  <c r="N30" i="46"/>
  <c r="J30" i="46"/>
  <c r="H30" i="46"/>
  <c r="D30" i="46"/>
  <c r="Y29" i="46"/>
  <c r="X29" i="46"/>
  <c r="V29" i="46"/>
  <c r="T29" i="46"/>
  <c r="R29" i="46"/>
  <c r="O29" i="46"/>
  <c r="N29" i="46"/>
  <c r="J29" i="46"/>
  <c r="H29" i="46"/>
  <c r="D29" i="46"/>
  <c r="Y28" i="46"/>
  <c r="X28" i="46"/>
  <c r="V28" i="46"/>
  <c r="T28" i="46"/>
  <c r="R28" i="46"/>
  <c r="O28" i="46"/>
  <c r="N28" i="46"/>
  <c r="J28" i="46"/>
  <c r="H28" i="46"/>
  <c r="D28" i="46"/>
  <c r="Y27" i="46"/>
  <c r="X27" i="46"/>
  <c r="V27" i="46"/>
  <c r="T27" i="46"/>
  <c r="R27" i="46"/>
  <c r="O27" i="46"/>
  <c r="N27" i="46"/>
  <c r="J27" i="46"/>
  <c r="H27" i="46"/>
  <c r="D27" i="46"/>
  <c r="Y26" i="46"/>
  <c r="X26" i="46"/>
  <c r="V26" i="46"/>
  <c r="T26" i="46"/>
  <c r="R26" i="46"/>
  <c r="O26" i="46"/>
  <c r="N26" i="46"/>
  <c r="J26" i="46"/>
  <c r="H26" i="46"/>
  <c r="D26" i="46"/>
  <c r="Y25" i="46"/>
  <c r="X25" i="46"/>
  <c r="V25" i="46"/>
  <c r="T25" i="46"/>
  <c r="R25" i="46"/>
  <c r="O25" i="46"/>
  <c r="N25" i="46"/>
  <c r="J25" i="46"/>
  <c r="H25" i="46"/>
  <c r="D25" i="46"/>
  <c r="Y24" i="46"/>
  <c r="X24" i="46"/>
  <c r="V24" i="46"/>
  <c r="T24" i="46"/>
  <c r="R24" i="46"/>
  <c r="O24" i="46"/>
  <c r="N24" i="46"/>
  <c r="J24" i="46"/>
  <c r="H24" i="46"/>
  <c r="D24" i="46"/>
  <c r="Y23" i="46"/>
  <c r="X23" i="46"/>
  <c r="V23" i="46"/>
  <c r="T23" i="46"/>
  <c r="R23" i="46"/>
  <c r="O23" i="46"/>
  <c r="N23" i="46"/>
  <c r="J23" i="46"/>
  <c r="H23" i="46"/>
  <c r="D23" i="46"/>
  <c r="Y22" i="46"/>
  <c r="X22" i="46"/>
  <c r="V22" i="46"/>
  <c r="T22" i="46"/>
  <c r="R22" i="46"/>
  <c r="O22" i="46"/>
  <c r="N22" i="46"/>
  <c r="J22" i="46"/>
  <c r="H22" i="46"/>
  <c r="D22" i="46"/>
  <c r="Y21" i="46"/>
  <c r="X21" i="46"/>
  <c r="V21" i="46"/>
  <c r="T21" i="46"/>
  <c r="R21" i="46"/>
  <c r="O21" i="46"/>
  <c r="N21" i="46"/>
  <c r="J21" i="46"/>
  <c r="H21" i="46"/>
  <c r="D21" i="46"/>
  <c r="HC3" i="39"/>
  <c r="GZ3" i="39"/>
  <c r="GZ2" i="39"/>
  <c r="B171" i="33" s="1"/>
  <c r="GZ1" i="39"/>
  <c r="B169" i="33" s="1"/>
  <c r="GV3" i="39"/>
  <c r="GS3" i="39"/>
  <c r="GS2" i="39"/>
  <c r="B152" i="33" s="1"/>
  <c r="GS1" i="39"/>
  <c r="B150" i="33" s="1"/>
  <c r="GN163" i="39" a="1"/>
  <c r="GN163" i="39" s="1"/>
  <c r="GN162" i="39" a="1"/>
  <c r="GN162" i="39" s="1"/>
  <c r="GN161" i="39" a="1"/>
  <c r="GN161" i="39" s="1"/>
  <c r="GN160" i="39" a="1"/>
  <c r="GN160" i="39" s="1"/>
  <c r="GN159" i="39" a="1"/>
  <c r="GN159" i="39" s="1"/>
  <c r="GN158" i="39" a="1"/>
  <c r="GN158" i="39" s="1"/>
  <c r="GN157" i="39" a="1"/>
  <c r="GN157" i="39" s="1"/>
  <c r="GN156" i="39" a="1"/>
  <c r="GN156" i="39" s="1"/>
  <c r="GN155" i="39" a="1"/>
  <c r="GN155" i="39" s="1"/>
  <c r="GN154" i="39" a="1"/>
  <c r="GN154" i="39" s="1"/>
  <c r="GN153" i="39" a="1"/>
  <c r="GN153" i="39" s="1"/>
  <c r="GN152" i="39" a="1"/>
  <c r="GN152" i="39" s="1"/>
  <c r="GN151" i="39" a="1"/>
  <c r="GN151" i="39" s="1"/>
  <c r="GN150" i="39" a="1"/>
  <c r="GN150" i="39" s="1"/>
  <c r="GN149" i="39" a="1"/>
  <c r="GN149" i="39" s="1"/>
  <c r="GN148" i="39" a="1"/>
  <c r="GN148" i="39" s="1"/>
  <c r="GN147" i="39" a="1"/>
  <c r="GN147" i="39" s="1"/>
  <c r="GN146" i="39" a="1"/>
  <c r="GN146" i="39" s="1"/>
  <c r="GN145" i="39" a="1"/>
  <c r="GN145" i="39" s="1"/>
  <c r="GN144" i="39" a="1"/>
  <c r="GN144" i="39" s="1"/>
  <c r="GN143" i="39" a="1"/>
  <c r="GN143" i="39" s="1"/>
  <c r="GN142" i="39" a="1"/>
  <c r="GN142" i="39" s="1"/>
  <c r="GN141" i="39" a="1"/>
  <c r="GN141" i="39" s="1"/>
  <c r="GN140" i="39" a="1"/>
  <c r="GN140" i="39" s="1"/>
  <c r="GN139" i="39" a="1"/>
  <c r="GN139" i="39" s="1"/>
  <c r="GN138" i="39" a="1"/>
  <c r="GN138" i="39" s="1"/>
  <c r="GN137" i="39" a="1"/>
  <c r="GN137" i="39" s="1"/>
  <c r="GN136" i="39" a="1"/>
  <c r="GN136" i="39" s="1"/>
  <c r="GN135" i="39" a="1"/>
  <c r="GN135" i="39" s="1"/>
  <c r="GN134" i="39" a="1"/>
  <c r="GN134" i="39" s="1"/>
  <c r="GN133" i="39" a="1"/>
  <c r="GN133" i="39" s="1"/>
  <c r="GN132" i="39" a="1"/>
  <c r="GN132" i="39" s="1"/>
  <c r="GN131" i="39" a="1"/>
  <c r="GN131" i="39" s="1"/>
  <c r="GN130" i="39" a="1"/>
  <c r="GN130" i="39" s="1"/>
  <c r="GN129" i="39" a="1"/>
  <c r="GN129" i="39" s="1"/>
  <c r="GN128" i="39" a="1"/>
  <c r="GN128" i="39" s="1"/>
  <c r="GN127" i="39" a="1"/>
  <c r="GN127" i="39" s="1"/>
  <c r="GN126" i="39" a="1"/>
  <c r="GN126" i="39" s="1"/>
  <c r="GN125" i="39" a="1"/>
  <c r="GN125" i="39" s="1"/>
  <c r="GN124" i="39" a="1"/>
  <c r="GN124" i="39" s="1"/>
  <c r="GN123" i="39" a="1"/>
  <c r="GN123" i="39" s="1"/>
  <c r="GN122" i="39" a="1"/>
  <c r="GN122" i="39" s="1"/>
  <c r="GN121" i="39" a="1"/>
  <c r="GN121" i="39" s="1"/>
  <c r="GN120" i="39" a="1"/>
  <c r="GN120" i="39" s="1"/>
  <c r="GN119" i="39" a="1"/>
  <c r="GN119" i="39" s="1"/>
  <c r="GN118" i="39" a="1"/>
  <c r="GN118" i="39" s="1"/>
  <c r="GN117" i="39" a="1"/>
  <c r="GN117" i="39" s="1"/>
  <c r="GN116" i="39" a="1"/>
  <c r="GN116" i="39" s="1"/>
  <c r="GN115" i="39" a="1"/>
  <c r="GN115" i="39" s="1"/>
  <c r="GN114" i="39" a="1"/>
  <c r="GN114" i="39" s="1"/>
  <c r="GN113" i="39" a="1"/>
  <c r="GN113" i="39" s="1"/>
  <c r="GN112" i="39" a="1"/>
  <c r="GN112" i="39" s="1"/>
  <c r="GN111" i="39" a="1"/>
  <c r="GN111" i="39" s="1"/>
  <c r="GN110" i="39" a="1"/>
  <c r="GN110" i="39" s="1"/>
  <c r="GN109" i="39" a="1"/>
  <c r="GN109" i="39" s="1"/>
  <c r="GN108" i="39" a="1"/>
  <c r="GN108" i="39" s="1"/>
  <c r="GN107" i="39" a="1"/>
  <c r="GN107" i="39" s="1"/>
  <c r="GN106" i="39" a="1"/>
  <c r="GN106" i="39" s="1"/>
  <c r="GN105" i="39" a="1"/>
  <c r="GN105" i="39" s="1"/>
  <c r="GN104" i="39" a="1"/>
  <c r="GN104" i="39" s="1"/>
  <c r="GN103" i="39" a="1"/>
  <c r="GN103" i="39" s="1"/>
  <c r="GN102" i="39" a="1"/>
  <c r="GN102" i="39" s="1"/>
  <c r="GN101" i="39" a="1"/>
  <c r="GN101" i="39" s="1"/>
  <c r="GN100" i="39" a="1"/>
  <c r="GN100" i="39" s="1"/>
  <c r="GN99" i="39" a="1"/>
  <c r="GN99" i="39" s="1"/>
  <c r="GN98" i="39" a="1"/>
  <c r="GN98" i="39" s="1"/>
  <c r="GN97" i="39" a="1"/>
  <c r="GN97" i="39" s="1"/>
  <c r="GN96" i="39" a="1"/>
  <c r="GN96" i="39" s="1"/>
  <c r="GN95" i="39" a="1"/>
  <c r="GN95" i="39" s="1"/>
  <c r="GN94" i="39" a="1"/>
  <c r="GN94" i="39" s="1"/>
  <c r="GN93" i="39" a="1"/>
  <c r="GN93" i="39" s="1"/>
  <c r="GN92" i="39" a="1"/>
  <c r="GN92" i="39" s="1"/>
  <c r="GN91" i="39" a="1"/>
  <c r="GN91" i="39" s="1"/>
  <c r="GN90" i="39" a="1"/>
  <c r="GN90" i="39" s="1"/>
  <c r="GN89" i="39" a="1"/>
  <c r="GN89" i="39" s="1"/>
  <c r="GN88" i="39" a="1"/>
  <c r="GN88" i="39" s="1"/>
  <c r="GN87" i="39" a="1"/>
  <c r="GN87" i="39" s="1"/>
  <c r="GN86" i="39" a="1"/>
  <c r="GN86" i="39" s="1"/>
  <c r="GN85" i="39" a="1"/>
  <c r="GN85" i="39" s="1"/>
  <c r="GN84" i="39" a="1"/>
  <c r="GN84" i="39" s="1"/>
  <c r="GN83" i="39" a="1"/>
  <c r="GN83" i="39" s="1"/>
  <c r="GN82" i="39" a="1"/>
  <c r="GN82" i="39" s="1"/>
  <c r="GN81" i="39" a="1"/>
  <c r="GN81" i="39" s="1"/>
  <c r="GN80" i="39" a="1"/>
  <c r="GN80" i="39" s="1"/>
  <c r="GN79" i="39" a="1"/>
  <c r="GN79" i="39" s="1"/>
  <c r="GN78" i="39" a="1"/>
  <c r="GN78" i="39" s="1"/>
  <c r="GN77" i="39" a="1"/>
  <c r="GN77" i="39" s="1"/>
  <c r="GN76" i="39" a="1"/>
  <c r="GN76" i="39" s="1"/>
  <c r="GN75" i="39" a="1"/>
  <c r="GN75" i="39" s="1"/>
  <c r="GN74" i="39" a="1"/>
  <c r="GN74" i="39" s="1"/>
  <c r="GN73" i="39" a="1"/>
  <c r="GN73" i="39" s="1"/>
  <c r="GN72" i="39" a="1"/>
  <c r="GN72" i="39" s="1"/>
  <c r="GN71" i="39" a="1"/>
  <c r="GN71" i="39" s="1"/>
  <c r="GN70" i="39" a="1"/>
  <c r="GN70" i="39" s="1"/>
  <c r="GN69" i="39" a="1"/>
  <c r="GN69" i="39" s="1"/>
  <c r="GN68" i="39" a="1"/>
  <c r="GN68" i="39" s="1"/>
  <c r="GN67" i="39" a="1"/>
  <c r="GN67" i="39" s="1"/>
  <c r="GN66" i="39" a="1"/>
  <c r="GN66" i="39" s="1"/>
  <c r="GN65" i="39" a="1"/>
  <c r="GN65" i="39" s="1"/>
  <c r="GN64" i="39" a="1"/>
  <c r="GN64" i="39" s="1"/>
  <c r="GN63" i="39" a="1"/>
  <c r="GN63" i="39" s="1"/>
  <c r="GN62" i="39" a="1"/>
  <c r="GN62" i="39" s="1"/>
  <c r="GN61" i="39" a="1"/>
  <c r="GN61" i="39" s="1"/>
  <c r="GN60" i="39" a="1"/>
  <c r="GN60" i="39" s="1"/>
  <c r="GN59" i="39" a="1"/>
  <c r="GN59" i="39" s="1"/>
  <c r="GN58" i="39" a="1"/>
  <c r="GN58" i="39" s="1"/>
  <c r="GN57" i="39" a="1"/>
  <c r="GN57" i="39" s="1"/>
  <c r="GN56" i="39" a="1"/>
  <c r="GN56" i="39" s="1"/>
  <c r="GN55" i="39" a="1"/>
  <c r="GN55" i="39" s="1"/>
  <c r="GN54" i="39" a="1"/>
  <c r="GN54" i="39" s="1"/>
  <c r="GN53" i="39" a="1"/>
  <c r="GN53" i="39" s="1"/>
  <c r="GN52" i="39" a="1"/>
  <c r="GN52" i="39" s="1"/>
  <c r="GN51" i="39" a="1"/>
  <c r="GN51" i="39" s="1"/>
  <c r="GN50" i="39" a="1"/>
  <c r="GN50" i="39" s="1"/>
  <c r="GN49" i="39" a="1"/>
  <c r="GN49" i="39" s="1"/>
  <c r="GN48" i="39" a="1"/>
  <c r="GN48" i="39" s="1"/>
  <c r="GN47" i="39" a="1"/>
  <c r="GN47" i="39" s="1"/>
  <c r="GN46" i="39" a="1"/>
  <c r="GN46" i="39" s="1"/>
  <c r="GN45" i="39" a="1"/>
  <c r="GN45" i="39" s="1"/>
  <c r="GN44" i="39" a="1"/>
  <c r="GN44" i="39" s="1"/>
  <c r="GN43" i="39" a="1"/>
  <c r="GN43" i="39" s="1"/>
  <c r="GN42" i="39" a="1"/>
  <c r="GN42" i="39" s="1"/>
  <c r="GN41" i="39" a="1"/>
  <c r="GN41" i="39" s="1"/>
  <c r="GN40" i="39" a="1"/>
  <c r="GN40" i="39" s="1"/>
  <c r="GN39" i="39" a="1"/>
  <c r="GN39" i="39" s="1"/>
  <c r="GN38" i="39" a="1"/>
  <c r="GN38" i="39" s="1"/>
  <c r="GN37" i="39" a="1"/>
  <c r="GN37" i="39" s="1"/>
  <c r="GN36" i="39" a="1"/>
  <c r="GN36" i="39" s="1"/>
  <c r="GN35" i="39" a="1"/>
  <c r="GN35" i="39" s="1"/>
  <c r="GN34" i="39" a="1"/>
  <c r="GN34" i="39" s="1"/>
  <c r="GN33" i="39" a="1"/>
  <c r="GN33" i="39" s="1"/>
  <c r="GN32" i="39" a="1"/>
  <c r="GN32" i="39" s="1"/>
  <c r="GN31" i="39" a="1"/>
  <c r="GN31" i="39" s="1"/>
  <c r="GN30" i="39" a="1"/>
  <c r="GN30" i="39" s="1"/>
  <c r="GN29" i="39" a="1"/>
  <c r="GN29" i="39" s="1"/>
  <c r="GN28" i="39" a="1"/>
  <c r="GN28" i="39" s="1"/>
  <c r="GN27" i="39" a="1"/>
  <c r="GN27" i="39" s="1"/>
  <c r="GN26" i="39" a="1"/>
  <c r="GN26" i="39" s="1"/>
  <c r="GN25" i="39" a="1"/>
  <c r="GN25" i="39" s="1"/>
  <c r="GN24" i="39" a="1"/>
  <c r="GN24" i="39" s="1"/>
  <c r="GN23" i="39" a="1"/>
  <c r="GN23" i="39" s="1"/>
  <c r="GN22" i="39" a="1"/>
  <c r="GN22" i="39" s="1"/>
  <c r="GN21" i="39" a="1"/>
  <c r="GN21" i="39" s="1"/>
  <c r="GN20" i="39" a="1"/>
  <c r="GN20" i="39" s="1"/>
  <c r="GN19" i="39" a="1"/>
  <c r="GN19" i="39" s="1"/>
  <c r="GN18" i="39" a="1"/>
  <c r="GN18" i="39" s="1"/>
  <c r="GN17" i="39" a="1"/>
  <c r="GN17" i="39" s="1"/>
  <c r="GN16" i="39" a="1"/>
  <c r="GN16" i="39" s="1"/>
  <c r="GN15" i="39" a="1"/>
  <c r="GN15" i="39" s="1"/>
  <c r="GN14" i="39" a="1"/>
  <c r="GN14" i="39" s="1"/>
  <c r="GN13" i="39" a="1"/>
  <c r="GN13" i="39" s="1"/>
  <c r="GN12" i="39" a="1"/>
  <c r="GN12" i="39" s="1"/>
  <c r="GN11" i="39" a="1"/>
  <c r="GN11" i="39" s="1"/>
  <c r="GN10" i="39" a="1"/>
  <c r="GN10" i="39" s="1"/>
  <c r="GN9" i="39" a="1"/>
  <c r="GN9" i="39" s="1"/>
  <c r="GN8" i="39" a="1"/>
  <c r="GN8" i="39" s="1"/>
  <c r="GN7" i="39" a="1"/>
  <c r="GN7" i="39" s="1"/>
  <c r="GN6" i="39" a="1"/>
  <c r="GN6" i="39" s="1"/>
  <c r="GN5" i="39" a="1"/>
  <c r="GN5" i="39" s="1"/>
  <c r="GN4" i="39" a="1"/>
  <c r="GN4" i="39" s="1"/>
  <c r="GK163" i="39" a="1"/>
  <c r="GK163" i="39" s="1"/>
  <c r="GK162" i="39" a="1"/>
  <c r="GK162" i="39" s="1"/>
  <c r="GK161" i="39" a="1"/>
  <c r="GK161" i="39" s="1"/>
  <c r="GK160" i="39" a="1"/>
  <c r="GK160" i="39" s="1"/>
  <c r="GK159" i="39" a="1"/>
  <c r="GK159" i="39" s="1"/>
  <c r="GK158" i="39" a="1"/>
  <c r="GK158" i="39" s="1"/>
  <c r="GK157" i="39" a="1"/>
  <c r="GK157" i="39" s="1"/>
  <c r="GK156" i="39" a="1"/>
  <c r="GK156" i="39" s="1"/>
  <c r="GK155" i="39" a="1"/>
  <c r="GK155" i="39" s="1"/>
  <c r="GK154" i="39" a="1"/>
  <c r="GK154" i="39" s="1"/>
  <c r="GK153" i="39" a="1"/>
  <c r="GK153" i="39" s="1"/>
  <c r="GK152" i="39" a="1"/>
  <c r="GK152" i="39" s="1"/>
  <c r="GK151" i="39" a="1"/>
  <c r="GK151" i="39" s="1"/>
  <c r="GK150" i="39" a="1"/>
  <c r="GK150" i="39" s="1"/>
  <c r="GK149" i="39" a="1"/>
  <c r="GK149" i="39" s="1"/>
  <c r="GK148" i="39" a="1"/>
  <c r="GK148" i="39" s="1"/>
  <c r="GK147" i="39" a="1"/>
  <c r="GK147" i="39" s="1"/>
  <c r="GK146" i="39" a="1"/>
  <c r="GK146" i="39" s="1"/>
  <c r="GK145" i="39" a="1"/>
  <c r="GK145" i="39" s="1"/>
  <c r="GK144" i="39" a="1"/>
  <c r="GK144" i="39" s="1"/>
  <c r="GK143" i="39" a="1"/>
  <c r="GK143" i="39" s="1"/>
  <c r="GK142" i="39" a="1"/>
  <c r="GK142" i="39" s="1"/>
  <c r="GK141" i="39" a="1"/>
  <c r="GK141" i="39" s="1"/>
  <c r="GK140" i="39" a="1"/>
  <c r="GK140" i="39" s="1"/>
  <c r="GK139" i="39" a="1"/>
  <c r="GK139" i="39" s="1"/>
  <c r="GK138" i="39" a="1"/>
  <c r="GK138" i="39" s="1"/>
  <c r="GK137" i="39" a="1"/>
  <c r="GK137" i="39" s="1"/>
  <c r="GK136" i="39" a="1"/>
  <c r="GK136" i="39" s="1"/>
  <c r="GK135" i="39" a="1"/>
  <c r="GK135" i="39" s="1"/>
  <c r="GK134" i="39" a="1"/>
  <c r="GK134" i="39" s="1"/>
  <c r="GK133" i="39" a="1"/>
  <c r="GK133" i="39" s="1"/>
  <c r="GK132" i="39" a="1"/>
  <c r="GK132" i="39" s="1"/>
  <c r="GK131" i="39" a="1"/>
  <c r="GK131" i="39" s="1"/>
  <c r="GK130" i="39" a="1"/>
  <c r="GK130" i="39" s="1"/>
  <c r="GK129" i="39" a="1"/>
  <c r="GK129" i="39" s="1"/>
  <c r="GK128" i="39" a="1"/>
  <c r="GK128" i="39" s="1"/>
  <c r="GK127" i="39" a="1"/>
  <c r="GK127" i="39" s="1"/>
  <c r="GK126" i="39" a="1"/>
  <c r="GK126" i="39" s="1"/>
  <c r="GK125" i="39" a="1"/>
  <c r="GK125" i="39" s="1"/>
  <c r="GK124" i="39" a="1"/>
  <c r="GK124" i="39" s="1"/>
  <c r="GK123" i="39" a="1"/>
  <c r="GK123" i="39" s="1"/>
  <c r="GK122" i="39" a="1"/>
  <c r="GK122" i="39" s="1"/>
  <c r="GK121" i="39" a="1"/>
  <c r="GK121" i="39" s="1"/>
  <c r="GK120" i="39" a="1"/>
  <c r="GK120" i="39" s="1"/>
  <c r="GK119" i="39" a="1"/>
  <c r="GK119" i="39" s="1"/>
  <c r="GK118" i="39" a="1"/>
  <c r="GK118" i="39" s="1"/>
  <c r="GK117" i="39" a="1"/>
  <c r="GK117" i="39" s="1"/>
  <c r="GK116" i="39" a="1"/>
  <c r="GK116" i="39" s="1"/>
  <c r="GK115" i="39" a="1"/>
  <c r="GK115" i="39" s="1"/>
  <c r="GK114" i="39" a="1"/>
  <c r="GK114" i="39" s="1"/>
  <c r="GK113" i="39" a="1"/>
  <c r="GK113" i="39" s="1"/>
  <c r="GK112" i="39" a="1"/>
  <c r="GK112" i="39" s="1"/>
  <c r="GK111" i="39" a="1"/>
  <c r="GK111" i="39" s="1"/>
  <c r="GK110" i="39" a="1"/>
  <c r="GK110" i="39" s="1"/>
  <c r="GK109" i="39" a="1"/>
  <c r="GK109" i="39" s="1"/>
  <c r="GK108" i="39" a="1"/>
  <c r="GK108" i="39" s="1"/>
  <c r="GK107" i="39" a="1"/>
  <c r="GK107" i="39" s="1"/>
  <c r="GK106" i="39" a="1"/>
  <c r="GK106" i="39" s="1"/>
  <c r="GK105" i="39" a="1"/>
  <c r="GK105" i="39" s="1"/>
  <c r="GK104" i="39" a="1"/>
  <c r="GK104" i="39" s="1"/>
  <c r="GK103" i="39" a="1"/>
  <c r="GK103" i="39" s="1"/>
  <c r="GK102" i="39" a="1"/>
  <c r="GK102" i="39" s="1"/>
  <c r="GK101" i="39" a="1"/>
  <c r="GK101" i="39" s="1"/>
  <c r="GK100" i="39" a="1"/>
  <c r="GK100" i="39" s="1"/>
  <c r="GK99" i="39" a="1"/>
  <c r="GK99" i="39" s="1"/>
  <c r="GK98" i="39" a="1"/>
  <c r="GK98" i="39" s="1"/>
  <c r="GK97" i="39" a="1"/>
  <c r="GK97" i="39" s="1"/>
  <c r="GK96" i="39" a="1"/>
  <c r="GK96" i="39" s="1"/>
  <c r="GK95" i="39" a="1"/>
  <c r="GK95" i="39" s="1"/>
  <c r="GK94" i="39" a="1"/>
  <c r="GK94" i="39" s="1"/>
  <c r="GK93" i="39" a="1"/>
  <c r="GK93" i="39" s="1"/>
  <c r="GK92" i="39" a="1"/>
  <c r="GK92" i="39" s="1"/>
  <c r="GK91" i="39" a="1"/>
  <c r="GK91" i="39" s="1"/>
  <c r="GK90" i="39" a="1"/>
  <c r="GK90" i="39" s="1"/>
  <c r="GK89" i="39" a="1"/>
  <c r="GK89" i="39" s="1"/>
  <c r="GK88" i="39" a="1"/>
  <c r="GK88" i="39" s="1"/>
  <c r="GK87" i="39" a="1"/>
  <c r="GK87" i="39" s="1"/>
  <c r="GK86" i="39" a="1"/>
  <c r="GK86" i="39" s="1"/>
  <c r="GK85" i="39" a="1"/>
  <c r="GK85" i="39" s="1"/>
  <c r="GK84" i="39" a="1"/>
  <c r="GK84" i="39" s="1"/>
  <c r="GK83" i="39" a="1"/>
  <c r="GK83" i="39" s="1"/>
  <c r="GK82" i="39" a="1"/>
  <c r="GK82" i="39" s="1"/>
  <c r="GK81" i="39" a="1"/>
  <c r="GK81" i="39" s="1"/>
  <c r="GK80" i="39" a="1"/>
  <c r="GK80" i="39" s="1"/>
  <c r="GK79" i="39" a="1"/>
  <c r="GK79" i="39" s="1"/>
  <c r="GK78" i="39" a="1"/>
  <c r="GK78" i="39" s="1"/>
  <c r="GK77" i="39" a="1"/>
  <c r="GK77" i="39" s="1"/>
  <c r="GK76" i="39" a="1"/>
  <c r="GK76" i="39" s="1"/>
  <c r="GK75" i="39" a="1"/>
  <c r="GK75" i="39" s="1"/>
  <c r="GK74" i="39" a="1"/>
  <c r="GK74" i="39" s="1"/>
  <c r="GK73" i="39" a="1"/>
  <c r="GK73" i="39" s="1"/>
  <c r="GK72" i="39" a="1"/>
  <c r="GK72" i="39" s="1"/>
  <c r="GK71" i="39" a="1"/>
  <c r="GK71" i="39" s="1"/>
  <c r="GK70" i="39" a="1"/>
  <c r="GK70" i="39" s="1"/>
  <c r="GK69" i="39" a="1"/>
  <c r="GK69" i="39" s="1"/>
  <c r="GK68" i="39" a="1"/>
  <c r="GK68" i="39" s="1"/>
  <c r="GK67" i="39" a="1"/>
  <c r="GK67" i="39" s="1"/>
  <c r="GK66" i="39" a="1"/>
  <c r="GK66" i="39" s="1"/>
  <c r="GK65" i="39" a="1"/>
  <c r="GK65" i="39" s="1"/>
  <c r="GK64" i="39" a="1"/>
  <c r="GK64" i="39" s="1"/>
  <c r="GK63" i="39" a="1"/>
  <c r="GK63" i="39" s="1"/>
  <c r="GK62" i="39" a="1"/>
  <c r="GK62" i="39" s="1"/>
  <c r="GK61" i="39" a="1"/>
  <c r="GK61" i="39" s="1"/>
  <c r="GK60" i="39" a="1"/>
  <c r="GK60" i="39" s="1"/>
  <c r="GK59" i="39" a="1"/>
  <c r="GK59" i="39" s="1"/>
  <c r="GK58" i="39" a="1"/>
  <c r="GK58" i="39" s="1"/>
  <c r="GK57" i="39" a="1"/>
  <c r="GK57" i="39" s="1"/>
  <c r="GK56" i="39" a="1"/>
  <c r="GK56" i="39" s="1"/>
  <c r="GK55" i="39" a="1"/>
  <c r="GK55" i="39" s="1"/>
  <c r="GK54" i="39" a="1"/>
  <c r="GK54" i="39" s="1"/>
  <c r="GK53" i="39" a="1"/>
  <c r="GK53" i="39" s="1"/>
  <c r="GK52" i="39" a="1"/>
  <c r="GK52" i="39" s="1"/>
  <c r="GK51" i="39" a="1"/>
  <c r="GK51" i="39" s="1"/>
  <c r="GK50" i="39" a="1"/>
  <c r="GK50" i="39" s="1"/>
  <c r="GK49" i="39" a="1"/>
  <c r="GK49" i="39" s="1"/>
  <c r="GK48" i="39" a="1"/>
  <c r="GK48" i="39" s="1"/>
  <c r="GK47" i="39" a="1"/>
  <c r="GK47" i="39" s="1"/>
  <c r="GK46" i="39" a="1"/>
  <c r="GK46" i="39" s="1"/>
  <c r="GK45" i="39" a="1"/>
  <c r="GK45" i="39" s="1"/>
  <c r="GK44" i="39" a="1"/>
  <c r="GK44" i="39" s="1"/>
  <c r="GK43" i="39" a="1"/>
  <c r="GK43" i="39" s="1"/>
  <c r="GK42" i="39" a="1"/>
  <c r="GK42" i="39" s="1"/>
  <c r="GK41" i="39" a="1"/>
  <c r="GK41" i="39" s="1"/>
  <c r="GK40" i="39" a="1"/>
  <c r="GK40" i="39" s="1"/>
  <c r="GK39" i="39" a="1"/>
  <c r="GK39" i="39" s="1"/>
  <c r="GK38" i="39" a="1"/>
  <c r="GK38" i="39" s="1"/>
  <c r="GK37" i="39" a="1"/>
  <c r="GK37" i="39" s="1"/>
  <c r="GK36" i="39" a="1"/>
  <c r="GK36" i="39" s="1"/>
  <c r="GK35" i="39" a="1"/>
  <c r="GK35" i="39" s="1"/>
  <c r="GK34" i="39" a="1"/>
  <c r="GK34" i="39" s="1"/>
  <c r="GK33" i="39" a="1"/>
  <c r="GK33" i="39" s="1"/>
  <c r="GK32" i="39" a="1"/>
  <c r="GK32" i="39" s="1"/>
  <c r="GK31" i="39" a="1"/>
  <c r="GK31" i="39" s="1"/>
  <c r="GK30" i="39" a="1"/>
  <c r="GK30" i="39" s="1"/>
  <c r="GK29" i="39" a="1"/>
  <c r="GK29" i="39" s="1"/>
  <c r="GK28" i="39" a="1"/>
  <c r="GK28" i="39" s="1"/>
  <c r="GK27" i="39" a="1"/>
  <c r="GK27" i="39" s="1"/>
  <c r="GK26" i="39" a="1"/>
  <c r="GK26" i="39" s="1"/>
  <c r="GK25" i="39" a="1"/>
  <c r="GK25" i="39" s="1"/>
  <c r="GK24" i="39" a="1"/>
  <c r="GK24" i="39" s="1"/>
  <c r="GK23" i="39" a="1"/>
  <c r="GK23" i="39" s="1"/>
  <c r="GK22" i="39" a="1"/>
  <c r="GK22" i="39" s="1"/>
  <c r="GK21" i="39" a="1"/>
  <c r="GK21" i="39" s="1"/>
  <c r="GK20" i="39" a="1"/>
  <c r="GK20" i="39" s="1"/>
  <c r="GK19" i="39" a="1"/>
  <c r="GK19" i="39" s="1"/>
  <c r="GK18" i="39" a="1"/>
  <c r="GK18" i="39" s="1"/>
  <c r="GK17" i="39" a="1"/>
  <c r="GK17" i="39" s="1"/>
  <c r="GK16" i="39" a="1"/>
  <c r="GK16" i="39" s="1"/>
  <c r="GK15" i="39" a="1"/>
  <c r="GK15" i="39" s="1"/>
  <c r="GK14" i="39" a="1"/>
  <c r="GK14" i="39" s="1"/>
  <c r="GK13" i="39" a="1"/>
  <c r="GK13" i="39" s="1"/>
  <c r="GK12" i="39" a="1"/>
  <c r="GK12" i="39" s="1"/>
  <c r="GK11" i="39" a="1"/>
  <c r="GK11" i="39" s="1"/>
  <c r="GK10" i="39" a="1"/>
  <c r="GK10" i="39" s="1"/>
  <c r="GK9" i="39" a="1"/>
  <c r="GK9" i="39" s="1"/>
  <c r="GK8" i="39" a="1"/>
  <c r="GK8" i="39" s="1"/>
  <c r="GK7" i="39" a="1"/>
  <c r="GK7" i="39" s="1"/>
  <c r="GK6" i="39" a="1"/>
  <c r="GK6" i="39" s="1"/>
  <c r="GK5" i="39" a="1"/>
  <c r="GK5" i="39" s="1"/>
  <c r="GK4" i="39" a="1"/>
  <c r="GK4" i="39" s="1"/>
  <c r="GO3" i="39"/>
  <c r="GL3" i="39"/>
  <c r="GL2" i="39"/>
  <c r="B133" i="33" s="1"/>
  <c r="GL1" i="39"/>
  <c r="B131" i="33" s="1"/>
  <c r="B35" i="47"/>
  <c r="B34" i="47"/>
  <c r="B33" i="47"/>
  <c r="B32" i="47"/>
  <c r="B31" i="47"/>
  <c r="B30" i="47"/>
  <c r="B29" i="47"/>
  <c r="B28" i="47"/>
  <c r="B27" i="47"/>
  <c r="B26" i="47"/>
  <c r="B25" i="47"/>
  <c r="B24" i="47"/>
  <c r="B23" i="47"/>
  <c r="B22" i="47"/>
  <c r="B21" i="47"/>
  <c r="Z21" i="47" s="1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Z21" i="46" s="1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Z21" i="45" s="1"/>
  <c r="B176" i="33"/>
  <c r="B157" i="33"/>
  <c r="B138" i="33"/>
  <c r="BX69" i="33"/>
  <c r="BW69" i="33"/>
  <c r="BX67" i="33"/>
  <c r="BW67" i="33"/>
  <c r="BV67" i="33"/>
  <c r="BU67" i="33"/>
  <c r="BT67" i="33"/>
  <c r="BS67" i="33"/>
  <c r="B160" i="33"/>
  <c r="AS176" i="33"/>
  <c r="Y176" i="33"/>
  <c r="B141" i="33"/>
  <c r="AS157" i="33"/>
  <c r="Y157" i="33"/>
  <c r="B122" i="33"/>
  <c r="AS138" i="33"/>
  <c r="Y138" i="33"/>
  <c r="E49" i="47"/>
  <c r="B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Y11" i="47"/>
  <c r="V11" i="47"/>
  <c r="B4" i="47"/>
  <c r="E49" i="46"/>
  <c r="B36" i="46"/>
  <c r="Z35" i="46"/>
  <c r="Z34" i="46"/>
  <c r="Z33" i="46"/>
  <c r="Z32" i="46"/>
  <c r="Z31" i="46"/>
  <c r="Z30" i="46"/>
  <c r="Z29" i="46"/>
  <c r="Z28" i="46"/>
  <c r="Z27" i="46"/>
  <c r="Z26" i="46"/>
  <c r="Z25" i="46"/>
  <c r="Z24" i="46"/>
  <c r="Z23" i="46"/>
  <c r="Z22" i="46"/>
  <c r="Y11" i="46"/>
  <c r="V11" i="46"/>
  <c r="B4" i="46"/>
  <c r="E49" i="45"/>
  <c r="B36" i="45"/>
  <c r="Z35" i="45"/>
  <c r="Z34" i="45"/>
  <c r="Z33" i="45"/>
  <c r="Z32" i="45"/>
  <c r="Z31" i="45"/>
  <c r="Z30" i="45"/>
  <c r="Z29" i="45"/>
  <c r="Z28" i="45"/>
  <c r="Z27" i="45"/>
  <c r="Z26" i="45"/>
  <c r="Z25" i="45"/>
  <c r="Z24" i="45"/>
  <c r="Z23" i="45"/>
  <c r="Z22" i="45"/>
  <c r="Y11" i="45"/>
  <c r="V11" i="45"/>
  <c r="B4" i="45"/>
  <c r="I62" i="11"/>
  <c r="AF163" i="33" s="1"/>
  <c r="I60" i="11"/>
  <c r="G16" i="47" s="1"/>
  <c r="Z36" i="31" s="1"/>
  <c r="I56" i="11"/>
  <c r="AF144" i="33" s="1"/>
  <c r="I54" i="11"/>
  <c r="G16" i="46" s="1"/>
  <c r="Z35" i="31" s="1"/>
  <c r="F62" i="11"/>
  <c r="C15" i="47" s="1"/>
  <c r="F60" i="11"/>
  <c r="W164" i="33" s="1"/>
  <c r="F56" i="11"/>
  <c r="C15" i="46" s="1"/>
  <c r="F54" i="11"/>
  <c r="W145" i="33" s="1"/>
  <c r="I50" i="11"/>
  <c r="AF125" i="33" s="1"/>
  <c r="F50" i="11"/>
  <c r="C15" i="45" s="1"/>
  <c r="I48" i="11"/>
  <c r="G16" i="45" s="1"/>
  <c r="Z34" i="31" s="1"/>
  <c r="F48" i="11"/>
  <c r="W126" i="33" s="1"/>
  <c r="C16" i="46" l="1"/>
  <c r="G15" i="46"/>
  <c r="Q35" i="31" s="1"/>
  <c r="AI35" i="31" s="1"/>
  <c r="C16" i="45"/>
  <c r="C16" i="47"/>
  <c r="G15" i="45"/>
  <c r="Q34" i="31" s="1"/>
  <c r="AI34" i="31" s="1"/>
  <c r="AF126" i="33"/>
  <c r="AO126" i="33" s="1"/>
  <c r="AF145" i="33"/>
  <c r="AO145" i="33" s="1"/>
  <c r="AF164" i="33"/>
  <c r="AO164" i="33" s="1"/>
  <c r="W125" i="33"/>
  <c r="AO125" i="33" s="1"/>
  <c r="W144" i="33"/>
  <c r="AO144" i="33" s="1"/>
  <c r="W163" i="33"/>
  <c r="AO163" i="33" s="1"/>
  <c r="G15" i="47"/>
  <c r="Q36" i="31" s="1"/>
  <c r="AI36" i="31" s="1"/>
  <c r="X36" i="46"/>
  <c r="Z36" i="45"/>
  <c r="B174" i="33"/>
  <c r="Z36" i="46"/>
  <c r="Y36" i="46"/>
  <c r="Z36" i="47"/>
  <c r="X36" i="45"/>
  <c r="Y36" i="45"/>
  <c r="Y36" i="47"/>
  <c r="X36" i="47"/>
  <c r="BX70" i="33"/>
  <c r="BW70" i="33"/>
  <c r="P181" i="39"/>
  <c r="P180" i="39"/>
  <c r="P179" i="39"/>
  <c r="P178" i="39"/>
  <c r="P177" i="39"/>
  <c r="P176" i="39"/>
  <c r="JW2" i="39"/>
  <c r="JU2" i="39"/>
  <c r="JS2" i="39"/>
  <c r="JQ2" i="39"/>
  <c r="JO2" i="39"/>
  <c r="JM2" i="39"/>
  <c r="JK2" i="39"/>
  <c r="JI2" i="39"/>
  <c r="JG2" i="39"/>
  <c r="JE2" i="39"/>
  <c r="JC2" i="39"/>
  <c r="JA2" i="39"/>
  <c r="QL3" i="39"/>
  <c r="QM3" i="39" s="1"/>
  <c r="QI3" i="39"/>
  <c r="QJ3" i="39" s="1"/>
  <c r="QF3" i="39"/>
  <c r="QG3" i="39" s="1"/>
  <c r="AM146" i="39"/>
  <c r="P16" i="47" s="1"/>
  <c r="AL146" i="39"/>
  <c r="P15" i="47" s="1"/>
  <c r="AM145" i="39"/>
  <c r="AL145" i="39"/>
  <c r="AM144" i="39"/>
  <c r="AL144" i="39"/>
  <c r="AM143" i="39"/>
  <c r="AL143" i="39"/>
  <c r="AM142" i="39"/>
  <c r="AL142" i="39"/>
  <c r="AM141" i="39"/>
  <c r="AL141" i="39"/>
  <c r="AM140" i="39"/>
  <c r="AL140" i="39"/>
  <c r="AM139" i="39"/>
  <c r="AL139" i="39"/>
  <c r="AM138" i="39"/>
  <c r="AL138" i="39"/>
  <c r="AM137" i="39"/>
  <c r="AL137" i="39"/>
  <c r="AM136" i="39"/>
  <c r="AL136" i="39"/>
  <c r="AM135" i="39"/>
  <c r="AL135" i="39"/>
  <c r="AL134" i="39"/>
  <c r="AM134" i="39" s="1"/>
  <c r="P16" i="46"/>
  <c r="P15" i="46"/>
  <c r="AM118" i="39"/>
  <c r="AL102" i="39"/>
  <c r="AM102" i="39" s="1"/>
  <c r="AM114" i="39"/>
  <c r="P16" i="45" s="1"/>
  <c r="AL114" i="39"/>
  <c r="P15" i="45" s="1"/>
  <c r="AM113" i="39"/>
  <c r="AL113" i="39"/>
  <c r="AM112" i="39"/>
  <c r="AL112" i="39"/>
  <c r="AM111" i="39"/>
  <c r="AL111" i="39"/>
  <c r="AM110" i="39"/>
  <c r="AL110" i="39"/>
  <c r="AM109" i="39"/>
  <c r="AL109" i="39"/>
  <c r="AM108" i="39"/>
  <c r="AL108" i="39"/>
  <c r="AM107" i="39"/>
  <c r="AL107" i="39"/>
  <c r="AM106" i="39"/>
  <c r="AL106" i="39"/>
  <c r="AM105" i="39"/>
  <c r="AL105" i="39"/>
  <c r="AM104" i="39"/>
  <c r="AL104" i="39"/>
  <c r="AM103" i="39"/>
  <c r="AL103" i="39"/>
  <c r="AM101" i="39"/>
  <c r="AL101" i="39"/>
  <c r="AM133" i="39"/>
  <c r="AL133" i="39"/>
  <c r="AM117" i="39"/>
  <c r="AL117" i="39"/>
  <c r="AM115" i="39" l="1"/>
  <c r="AF127" i="33" s="1"/>
  <c r="AB23" i="34"/>
  <c r="AM131" i="39"/>
  <c r="AF146" i="33" s="1"/>
  <c r="AC23" i="34"/>
  <c r="AM147" i="39"/>
  <c r="AF165" i="33" s="1"/>
  <c r="AD23" i="34"/>
  <c r="AL131" i="39"/>
  <c r="W146" i="33" s="1"/>
  <c r="AC22" i="34"/>
  <c r="AL147" i="39"/>
  <c r="W165" i="33" s="1"/>
  <c r="AD22" i="34"/>
  <c r="AL115" i="39"/>
  <c r="W127" i="33" s="1"/>
  <c r="B130" i="33" s="1"/>
  <c r="AB22" i="34"/>
  <c r="AO15" i="34"/>
  <c r="AO16" i="34" s="1"/>
  <c r="AO13" i="34"/>
  <c r="AO12" i="34" s="1"/>
  <c r="AN15" i="34"/>
  <c r="AN16" i="34" s="1"/>
  <c r="AN13" i="34"/>
  <c r="AN12" i="34" s="1"/>
  <c r="AM15" i="34"/>
  <c r="AM16" i="34" s="1"/>
  <c r="AM13" i="34"/>
  <c r="AM12" i="34" s="1"/>
  <c r="AD16" i="34"/>
  <c r="AC16" i="34"/>
  <c r="AB16" i="34"/>
  <c r="AD14" i="34"/>
  <c r="AC14" i="34"/>
  <c r="AB14" i="34"/>
  <c r="AD94" i="34"/>
  <c r="AC94" i="34"/>
  <c r="AB94" i="34"/>
  <c r="AD87" i="34"/>
  <c r="AC87" i="34"/>
  <c r="AB87" i="34"/>
  <c r="AD80" i="34"/>
  <c r="AC80" i="34"/>
  <c r="AB80" i="34"/>
  <c r="AD21" i="34"/>
  <c r="AC21" i="34"/>
  <c r="AB21" i="34"/>
  <c r="AD5" i="34"/>
  <c r="AC5" i="34"/>
  <c r="AB5" i="34"/>
  <c r="AD7" i="34"/>
  <c r="AC7" i="34"/>
  <c r="AD6" i="34"/>
  <c r="AC6" i="34"/>
  <c r="AB7" i="34"/>
  <c r="AB6" i="34"/>
  <c r="W62" i="11"/>
  <c r="W56" i="11"/>
  <c r="W50" i="11"/>
  <c r="B170" i="33" l="1"/>
  <c r="AQ170" i="33"/>
  <c r="AG170" i="33"/>
  <c r="AQ168" i="33"/>
  <c r="AG168" i="33"/>
  <c r="B151" i="33"/>
  <c r="AG151" i="33"/>
  <c r="AQ151" i="33"/>
  <c r="B149" i="33"/>
  <c r="AQ149" i="33"/>
  <c r="AG149" i="33"/>
  <c r="B132" i="33"/>
  <c r="AQ132" i="33"/>
  <c r="AG132" i="33"/>
  <c r="AF128" i="33"/>
  <c r="AD24" i="34"/>
  <c r="BG52" i="31" s="1"/>
  <c r="H52" i="31" s="1"/>
  <c r="A52" i="31" s="1"/>
  <c r="AB10" i="34"/>
  <c r="AD9" i="34"/>
  <c r="AB17" i="34"/>
  <c r="AC9" i="34"/>
  <c r="AC24" i="34"/>
  <c r="BG51" i="31" s="1"/>
  <c r="H51" i="31" s="1"/>
  <c r="A51" i="31" s="1"/>
  <c r="AB24" i="34"/>
  <c r="BG50" i="31" s="1"/>
  <c r="H50" i="31" s="1"/>
  <c r="A50" i="31" s="1"/>
  <c r="AC17" i="34"/>
  <c r="AB9" i="34"/>
  <c r="AC10" i="34"/>
  <c r="A167" i="33"/>
  <c r="A163" i="33"/>
  <c r="A165" i="33"/>
  <c r="A160" i="33"/>
  <c r="A166" i="33"/>
  <c r="A162" i="33"/>
  <c r="A170" i="33"/>
  <c r="A164" i="33"/>
  <c r="A168" i="33"/>
  <c r="A174" i="33"/>
  <c r="AD17" i="34"/>
  <c r="A151" i="33"/>
  <c r="A146" i="33"/>
  <c r="A147" i="33"/>
  <c r="A149" i="33"/>
  <c r="A145" i="33"/>
  <c r="A141" i="33"/>
  <c r="A148" i="33"/>
  <c r="A143" i="33"/>
  <c r="A144" i="33"/>
  <c r="A132" i="33"/>
  <c r="A127" i="33"/>
  <c r="A125" i="33"/>
  <c r="A128" i="33"/>
  <c r="A130" i="33"/>
  <c r="A126" i="33"/>
  <c r="A122" i="33"/>
  <c r="A129" i="33"/>
  <c r="A124" i="33"/>
  <c r="AD10" i="34"/>
  <c r="JJ2" i="39"/>
  <c r="AO165" i="33"/>
  <c r="JF2" i="39"/>
  <c r="JN2" i="39"/>
  <c r="JB2" i="39"/>
  <c r="B168" i="33"/>
  <c r="JV2" i="39"/>
  <c r="AF147" i="33"/>
  <c r="AF166" i="33"/>
  <c r="A172" i="33"/>
  <c r="W147" i="33"/>
  <c r="JR2" i="39"/>
  <c r="A153" i="33"/>
  <c r="AG130" i="33"/>
  <c r="AO146" i="33"/>
  <c r="AQ130" i="33"/>
  <c r="A134" i="33"/>
  <c r="W128" i="33"/>
  <c r="W166" i="33"/>
  <c r="AO127" i="33"/>
  <c r="AC8" i="34"/>
  <c r="AD8" i="34"/>
  <c r="AB8" i="34"/>
  <c r="I12" i="11"/>
  <c r="F12" i="11"/>
  <c r="AO128" i="33" l="1"/>
  <c r="AO166" i="33"/>
  <c r="AO147" i="33"/>
  <c r="R18" i="39"/>
  <c r="BR67" i="33" l="1"/>
  <c r="BP67" i="33"/>
  <c r="BN67" i="33"/>
  <c r="BL67" i="33"/>
  <c r="BJ67" i="33"/>
  <c r="BQ67" i="33"/>
  <c r="BO67" i="33"/>
  <c r="BM67" i="33"/>
  <c r="BK67" i="33"/>
  <c r="BI67" i="33"/>
  <c r="BH67" i="33"/>
  <c r="BG67" i="33"/>
  <c r="AS119" i="33"/>
  <c r="Y119" i="33"/>
  <c r="B119" i="33"/>
  <c r="AS101" i="33"/>
  <c r="Y101" i="33"/>
  <c r="B101" i="33"/>
  <c r="AS83" i="33"/>
  <c r="Y83" i="33"/>
  <c r="B83" i="33"/>
  <c r="AS67" i="33"/>
  <c r="Y67" i="33"/>
  <c r="B67" i="33"/>
  <c r="AS51" i="33"/>
  <c r="Y51" i="33"/>
  <c r="B51" i="33"/>
  <c r="AS35" i="33"/>
  <c r="Y35" i="33"/>
  <c r="B35" i="33"/>
  <c r="R20" i="39" l="1"/>
  <c r="F16" i="11"/>
  <c r="A16" i="11" l="1"/>
  <c r="C98" i="34"/>
  <c r="Z40" i="1"/>
  <c r="A102" i="34" l="1"/>
  <c r="B98" i="34"/>
  <c r="B96" i="34"/>
  <c r="FZ163" i="39" a="1"/>
  <c r="FZ163" i="39" s="1"/>
  <c r="FZ162" i="39" a="1"/>
  <c r="FZ162" i="39" s="1"/>
  <c r="FZ161" i="39" a="1"/>
  <c r="FZ161" i="39" s="1"/>
  <c r="FZ160" i="39" a="1"/>
  <c r="FZ160" i="39" s="1"/>
  <c r="FZ159" i="39" a="1"/>
  <c r="FZ159" i="39" s="1"/>
  <c r="FZ158" i="39" a="1"/>
  <c r="FZ158" i="39" s="1"/>
  <c r="FZ157" i="39" a="1"/>
  <c r="FZ157" i="39" s="1"/>
  <c r="FZ156" i="39" a="1"/>
  <c r="FZ156" i="39" s="1"/>
  <c r="FZ155" i="39" a="1"/>
  <c r="FZ155" i="39" s="1"/>
  <c r="FZ154" i="39" a="1"/>
  <c r="FZ154" i="39" s="1"/>
  <c r="FZ153" i="39" a="1"/>
  <c r="FZ153" i="39" s="1"/>
  <c r="FZ152" i="39" a="1"/>
  <c r="FZ152" i="39" s="1"/>
  <c r="FZ151" i="39" a="1"/>
  <c r="FZ151" i="39" s="1"/>
  <c r="FZ150" i="39" a="1"/>
  <c r="FZ150" i="39" s="1"/>
  <c r="FZ149" i="39" a="1"/>
  <c r="FZ149" i="39" s="1"/>
  <c r="FZ148" i="39" a="1"/>
  <c r="FZ148" i="39" s="1"/>
  <c r="FZ147" i="39" a="1"/>
  <c r="FZ147" i="39" s="1"/>
  <c r="FZ146" i="39" a="1"/>
  <c r="FZ146" i="39" s="1"/>
  <c r="FZ145" i="39" a="1"/>
  <c r="FZ145" i="39" s="1"/>
  <c r="FZ144" i="39" a="1"/>
  <c r="FZ144" i="39" s="1"/>
  <c r="FZ143" i="39" a="1"/>
  <c r="FZ143" i="39" s="1"/>
  <c r="FZ142" i="39" a="1"/>
  <c r="FZ142" i="39" s="1"/>
  <c r="FZ141" i="39" a="1"/>
  <c r="FZ141" i="39" s="1"/>
  <c r="FZ140" i="39" a="1"/>
  <c r="FZ140" i="39" s="1"/>
  <c r="FZ139" i="39" a="1"/>
  <c r="FZ139" i="39" s="1"/>
  <c r="FZ138" i="39" a="1"/>
  <c r="FZ138" i="39" s="1"/>
  <c r="FZ137" i="39" a="1"/>
  <c r="FZ137" i="39" s="1"/>
  <c r="FZ136" i="39" a="1"/>
  <c r="FZ136" i="39" s="1"/>
  <c r="FZ135" i="39" a="1"/>
  <c r="FZ135" i="39" s="1"/>
  <c r="FZ134" i="39" a="1"/>
  <c r="FZ134" i="39" s="1"/>
  <c r="FZ133" i="39" a="1"/>
  <c r="FZ133" i="39" s="1"/>
  <c r="FZ132" i="39" a="1"/>
  <c r="FZ132" i="39" s="1"/>
  <c r="FZ131" i="39" a="1"/>
  <c r="FZ131" i="39" s="1"/>
  <c r="FZ130" i="39" a="1"/>
  <c r="FZ130" i="39" s="1"/>
  <c r="FZ129" i="39" a="1"/>
  <c r="FZ129" i="39" s="1"/>
  <c r="FZ128" i="39" a="1"/>
  <c r="FZ128" i="39" s="1"/>
  <c r="FZ127" i="39" a="1"/>
  <c r="FZ127" i="39" s="1"/>
  <c r="FZ126" i="39" a="1"/>
  <c r="FZ126" i="39" s="1"/>
  <c r="FZ125" i="39" a="1"/>
  <c r="FZ125" i="39" s="1"/>
  <c r="FZ124" i="39" a="1"/>
  <c r="FZ124" i="39" s="1"/>
  <c r="FZ123" i="39" a="1"/>
  <c r="FZ123" i="39" s="1"/>
  <c r="FZ122" i="39" a="1"/>
  <c r="FZ122" i="39" s="1"/>
  <c r="FZ121" i="39" a="1"/>
  <c r="FZ121" i="39" s="1"/>
  <c r="FZ120" i="39" a="1"/>
  <c r="FZ120" i="39" s="1"/>
  <c r="FZ119" i="39" a="1"/>
  <c r="FZ119" i="39" s="1"/>
  <c r="FZ118" i="39" a="1"/>
  <c r="FZ118" i="39" s="1"/>
  <c r="FZ117" i="39" a="1"/>
  <c r="FZ117" i="39" s="1"/>
  <c r="FZ116" i="39" a="1"/>
  <c r="FZ116" i="39" s="1"/>
  <c r="FZ115" i="39" a="1"/>
  <c r="FZ115" i="39" s="1"/>
  <c r="FZ114" i="39" a="1"/>
  <c r="FZ114" i="39" s="1"/>
  <c r="FZ113" i="39" a="1"/>
  <c r="FZ113" i="39" s="1"/>
  <c r="FZ112" i="39" a="1"/>
  <c r="FZ112" i="39" s="1"/>
  <c r="FZ111" i="39" a="1"/>
  <c r="FZ111" i="39" s="1"/>
  <c r="FZ110" i="39" a="1"/>
  <c r="FZ110" i="39" s="1"/>
  <c r="FZ109" i="39" a="1"/>
  <c r="FZ109" i="39" s="1"/>
  <c r="FZ108" i="39" a="1"/>
  <c r="FZ108" i="39" s="1"/>
  <c r="FZ107" i="39" a="1"/>
  <c r="FZ107" i="39" s="1"/>
  <c r="FZ106" i="39" a="1"/>
  <c r="FZ106" i="39" s="1"/>
  <c r="FZ105" i="39" a="1"/>
  <c r="FZ105" i="39" s="1"/>
  <c r="FZ104" i="39" a="1"/>
  <c r="FZ104" i="39" s="1"/>
  <c r="FZ103" i="39" a="1"/>
  <c r="FZ103" i="39" s="1"/>
  <c r="FZ102" i="39" a="1"/>
  <c r="FZ102" i="39" s="1"/>
  <c r="FZ101" i="39" a="1"/>
  <c r="FZ101" i="39" s="1"/>
  <c r="FZ100" i="39" a="1"/>
  <c r="FZ100" i="39" s="1"/>
  <c r="FZ99" i="39" a="1"/>
  <c r="FZ99" i="39" s="1"/>
  <c r="FZ98" i="39" a="1"/>
  <c r="FZ98" i="39" s="1"/>
  <c r="FZ97" i="39" a="1"/>
  <c r="FZ97" i="39" s="1"/>
  <c r="FZ96" i="39" a="1"/>
  <c r="FZ96" i="39" s="1"/>
  <c r="FZ95" i="39" a="1"/>
  <c r="FZ95" i="39" s="1"/>
  <c r="FZ94" i="39" a="1"/>
  <c r="FZ94" i="39" s="1"/>
  <c r="FZ93" i="39" a="1"/>
  <c r="FZ93" i="39" s="1"/>
  <c r="FZ92" i="39" a="1"/>
  <c r="FZ92" i="39" s="1"/>
  <c r="FZ91" i="39" a="1"/>
  <c r="FZ91" i="39" s="1"/>
  <c r="FZ90" i="39" a="1"/>
  <c r="FZ90" i="39" s="1"/>
  <c r="FZ89" i="39" a="1"/>
  <c r="FZ89" i="39" s="1"/>
  <c r="FZ88" i="39" a="1"/>
  <c r="FZ88" i="39" s="1"/>
  <c r="FZ87" i="39" a="1"/>
  <c r="FZ87" i="39" s="1"/>
  <c r="FZ86" i="39" a="1"/>
  <c r="FZ86" i="39" s="1"/>
  <c r="FZ85" i="39" a="1"/>
  <c r="FZ85" i="39" s="1"/>
  <c r="FZ84" i="39" a="1"/>
  <c r="FZ84" i="39" s="1"/>
  <c r="FZ83" i="39" a="1"/>
  <c r="FZ83" i="39" s="1"/>
  <c r="FZ82" i="39" a="1"/>
  <c r="FZ82" i="39" s="1"/>
  <c r="FZ81" i="39" a="1"/>
  <c r="FZ81" i="39" s="1"/>
  <c r="FZ80" i="39" a="1"/>
  <c r="FZ80" i="39" s="1"/>
  <c r="FZ79" i="39" a="1"/>
  <c r="FZ79" i="39" s="1"/>
  <c r="FZ78" i="39" a="1"/>
  <c r="FZ78" i="39" s="1"/>
  <c r="FZ77" i="39" a="1"/>
  <c r="FZ77" i="39" s="1"/>
  <c r="FZ76" i="39" a="1"/>
  <c r="FZ76" i="39" s="1"/>
  <c r="FZ75" i="39" a="1"/>
  <c r="FZ75" i="39" s="1"/>
  <c r="FZ74" i="39" a="1"/>
  <c r="FZ74" i="39" s="1"/>
  <c r="FZ73" i="39" a="1"/>
  <c r="FZ73" i="39" s="1"/>
  <c r="FZ72" i="39" a="1"/>
  <c r="FZ72" i="39" s="1"/>
  <c r="FZ71" i="39" a="1"/>
  <c r="FZ71" i="39" s="1"/>
  <c r="FZ70" i="39" a="1"/>
  <c r="FZ70" i="39" s="1"/>
  <c r="FZ69" i="39" a="1"/>
  <c r="FZ69" i="39" s="1"/>
  <c r="FZ68" i="39" a="1"/>
  <c r="FZ68" i="39" s="1"/>
  <c r="FZ67" i="39" a="1"/>
  <c r="FZ67" i="39" s="1"/>
  <c r="FZ66" i="39" a="1"/>
  <c r="FZ66" i="39" s="1"/>
  <c r="FZ65" i="39" a="1"/>
  <c r="FZ65" i="39" s="1"/>
  <c r="FZ64" i="39" a="1"/>
  <c r="FZ64" i="39" s="1"/>
  <c r="FZ63" i="39" a="1"/>
  <c r="FZ63" i="39" s="1"/>
  <c r="FZ62" i="39" a="1"/>
  <c r="FZ62" i="39" s="1"/>
  <c r="FZ61" i="39" a="1"/>
  <c r="FZ61" i="39" s="1"/>
  <c r="FZ60" i="39" a="1"/>
  <c r="FZ60" i="39" s="1"/>
  <c r="FZ59" i="39" a="1"/>
  <c r="FZ59" i="39" s="1"/>
  <c r="FZ58" i="39" a="1"/>
  <c r="FZ58" i="39" s="1"/>
  <c r="FZ57" i="39" a="1"/>
  <c r="FZ57" i="39" s="1"/>
  <c r="FZ56" i="39" a="1"/>
  <c r="FZ56" i="39" s="1"/>
  <c r="FZ55" i="39" a="1"/>
  <c r="FZ55" i="39" s="1"/>
  <c r="FZ54" i="39" a="1"/>
  <c r="FZ54" i="39" s="1"/>
  <c r="FZ53" i="39" a="1"/>
  <c r="FZ53" i="39" s="1"/>
  <c r="FZ52" i="39" a="1"/>
  <c r="FZ52" i="39" s="1"/>
  <c r="FZ51" i="39" a="1"/>
  <c r="FZ51" i="39" s="1"/>
  <c r="FZ50" i="39" a="1"/>
  <c r="FZ50" i="39" s="1"/>
  <c r="FZ49" i="39" a="1"/>
  <c r="FZ49" i="39" s="1"/>
  <c r="FZ48" i="39" a="1"/>
  <c r="FZ48" i="39" s="1"/>
  <c r="FZ47" i="39" a="1"/>
  <c r="FZ47" i="39" s="1"/>
  <c r="FZ46" i="39" a="1"/>
  <c r="FZ46" i="39" s="1"/>
  <c r="FZ45" i="39" a="1"/>
  <c r="FZ45" i="39" s="1"/>
  <c r="FZ44" i="39" a="1"/>
  <c r="FZ44" i="39" s="1"/>
  <c r="FZ43" i="39" a="1"/>
  <c r="FZ43" i="39" s="1"/>
  <c r="FZ42" i="39" a="1"/>
  <c r="FZ42" i="39" s="1"/>
  <c r="FZ41" i="39" a="1"/>
  <c r="FZ41" i="39" s="1"/>
  <c r="FZ40" i="39" a="1"/>
  <c r="FZ40" i="39" s="1"/>
  <c r="FZ39" i="39" a="1"/>
  <c r="FZ39" i="39" s="1"/>
  <c r="FZ38" i="39" a="1"/>
  <c r="FZ38" i="39" s="1"/>
  <c r="FZ37" i="39" a="1"/>
  <c r="FZ37" i="39" s="1"/>
  <c r="FZ36" i="39" a="1"/>
  <c r="FZ36" i="39" s="1"/>
  <c r="FZ35" i="39" a="1"/>
  <c r="FZ35" i="39" s="1"/>
  <c r="FZ34" i="39" a="1"/>
  <c r="FZ34" i="39" s="1"/>
  <c r="FZ33" i="39" a="1"/>
  <c r="FZ33" i="39" s="1"/>
  <c r="FZ32" i="39" a="1"/>
  <c r="FZ32" i="39" s="1"/>
  <c r="FZ31" i="39" a="1"/>
  <c r="FZ31" i="39" s="1"/>
  <c r="FZ30" i="39" a="1"/>
  <c r="FZ30" i="39" s="1"/>
  <c r="FZ29" i="39" a="1"/>
  <c r="FZ29" i="39" s="1"/>
  <c r="FZ28" i="39" a="1"/>
  <c r="FZ28" i="39" s="1"/>
  <c r="FZ27" i="39" a="1"/>
  <c r="FZ27" i="39" s="1"/>
  <c r="FZ26" i="39" a="1"/>
  <c r="FZ26" i="39" s="1"/>
  <c r="FZ25" i="39" a="1"/>
  <c r="FZ25" i="39" s="1"/>
  <c r="FZ24" i="39" a="1"/>
  <c r="FZ24" i="39" s="1"/>
  <c r="FZ23" i="39" a="1"/>
  <c r="FZ23" i="39" s="1"/>
  <c r="FZ22" i="39" a="1"/>
  <c r="FZ22" i="39" s="1"/>
  <c r="FZ21" i="39" a="1"/>
  <c r="FZ21" i="39" s="1"/>
  <c r="FZ20" i="39" a="1"/>
  <c r="FZ20" i="39" s="1"/>
  <c r="FZ19" i="39" a="1"/>
  <c r="FZ19" i="39" s="1"/>
  <c r="FZ18" i="39" a="1"/>
  <c r="FZ18" i="39" s="1"/>
  <c r="FZ17" i="39" a="1"/>
  <c r="FZ17" i="39" s="1"/>
  <c r="FZ16" i="39" a="1"/>
  <c r="FZ16" i="39" s="1"/>
  <c r="FZ15" i="39" a="1"/>
  <c r="FZ15" i="39" s="1"/>
  <c r="FZ14" i="39" a="1"/>
  <c r="FZ14" i="39" s="1"/>
  <c r="FZ13" i="39" a="1"/>
  <c r="FZ13" i="39" s="1"/>
  <c r="FZ12" i="39" a="1"/>
  <c r="FZ12" i="39" s="1"/>
  <c r="FZ11" i="39" a="1"/>
  <c r="FZ11" i="39" s="1"/>
  <c r="FZ10" i="39" a="1"/>
  <c r="FZ10" i="39" s="1"/>
  <c r="FZ9" i="39" a="1"/>
  <c r="FZ9" i="39" s="1"/>
  <c r="FZ8" i="39" a="1"/>
  <c r="FZ8" i="39" s="1"/>
  <c r="FZ7" i="39" a="1"/>
  <c r="FZ7" i="39" s="1"/>
  <c r="FZ6" i="39" a="1"/>
  <c r="FZ6" i="39" s="1"/>
  <c r="FZ5" i="39" a="1"/>
  <c r="FZ5" i="39" s="1"/>
  <c r="FZ4" i="39" a="1"/>
  <c r="FZ4" i="39" s="1"/>
  <c r="Y21" i="44" l="1"/>
  <c r="X21" i="44"/>
  <c r="Y35" i="44"/>
  <c r="X35" i="44"/>
  <c r="V35" i="44"/>
  <c r="T35" i="44"/>
  <c r="R35" i="44"/>
  <c r="O35" i="44"/>
  <c r="N35" i="44"/>
  <c r="J35" i="44"/>
  <c r="H35" i="44"/>
  <c r="D35" i="44"/>
  <c r="Y34" i="44"/>
  <c r="X34" i="44"/>
  <c r="V34" i="44"/>
  <c r="T34" i="44"/>
  <c r="R34" i="44"/>
  <c r="O34" i="44"/>
  <c r="N34" i="44"/>
  <c r="J34" i="44"/>
  <c r="H34" i="44"/>
  <c r="D34" i="44"/>
  <c r="Y33" i="44"/>
  <c r="X33" i="44"/>
  <c r="V33" i="44"/>
  <c r="T33" i="44"/>
  <c r="R33" i="44"/>
  <c r="O33" i="44"/>
  <c r="N33" i="44"/>
  <c r="J33" i="44"/>
  <c r="H33" i="44"/>
  <c r="D33" i="44"/>
  <c r="Y32" i="44"/>
  <c r="X32" i="44"/>
  <c r="V32" i="44"/>
  <c r="T32" i="44"/>
  <c r="R32" i="44"/>
  <c r="O32" i="44"/>
  <c r="N32" i="44"/>
  <c r="J32" i="44"/>
  <c r="H32" i="44"/>
  <c r="D32" i="44"/>
  <c r="Y31" i="44"/>
  <c r="X31" i="44"/>
  <c r="V31" i="44"/>
  <c r="T31" i="44"/>
  <c r="R31" i="44"/>
  <c r="O31" i="44"/>
  <c r="N31" i="44"/>
  <c r="J31" i="44"/>
  <c r="H31" i="44"/>
  <c r="D31" i="44"/>
  <c r="Y30" i="44"/>
  <c r="X30" i="44"/>
  <c r="V30" i="44"/>
  <c r="T30" i="44"/>
  <c r="R30" i="44"/>
  <c r="O30" i="44"/>
  <c r="N30" i="44"/>
  <c r="J30" i="44"/>
  <c r="H30" i="44"/>
  <c r="D30" i="44"/>
  <c r="Y29" i="44"/>
  <c r="X29" i="44"/>
  <c r="V29" i="44"/>
  <c r="T29" i="44"/>
  <c r="R29" i="44"/>
  <c r="O29" i="44"/>
  <c r="N29" i="44"/>
  <c r="J29" i="44"/>
  <c r="H29" i="44"/>
  <c r="D29" i="44"/>
  <c r="Y28" i="44"/>
  <c r="X28" i="44"/>
  <c r="V28" i="44"/>
  <c r="T28" i="44"/>
  <c r="R28" i="44"/>
  <c r="O28" i="44"/>
  <c r="N28" i="44"/>
  <c r="J28" i="44"/>
  <c r="H28" i="44"/>
  <c r="D28" i="44"/>
  <c r="Y27" i="44"/>
  <c r="X27" i="44"/>
  <c r="V27" i="44"/>
  <c r="T27" i="44"/>
  <c r="R27" i="44"/>
  <c r="O27" i="44"/>
  <c r="N27" i="44"/>
  <c r="J27" i="44"/>
  <c r="H27" i="44"/>
  <c r="D27" i="44"/>
  <c r="Y26" i="44"/>
  <c r="X26" i="44"/>
  <c r="V26" i="44"/>
  <c r="T26" i="44"/>
  <c r="R26" i="44"/>
  <c r="O26" i="44"/>
  <c r="N26" i="44"/>
  <c r="J26" i="44"/>
  <c r="H26" i="44"/>
  <c r="D26" i="44"/>
  <c r="Y25" i="44"/>
  <c r="X25" i="44"/>
  <c r="V25" i="44"/>
  <c r="T25" i="44"/>
  <c r="R25" i="44"/>
  <c r="O25" i="44"/>
  <c r="N25" i="44"/>
  <c r="J25" i="44"/>
  <c r="H25" i="44"/>
  <c r="D25" i="44"/>
  <c r="Y24" i="44"/>
  <c r="X24" i="44"/>
  <c r="V24" i="44"/>
  <c r="T24" i="44"/>
  <c r="R24" i="44"/>
  <c r="O24" i="44"/>
  <c r="N24" i="44"/>
  <c r="J24" i="44"/>
  <c r="H24" i="44"/>
  <c r="D24" i="44"/>
  <c r="Y23" i="44"/>
  <c r="X23" i="44"/>
  <c r="V23" i="44"/>
  <c r="T23" i="44"/>
  <c r="R23" i="44"/>
  <c r="O23" i="44"/>
  <c r="N23" i="44"/>
  <c r="J23" i="44"/>
  <c r="H23" i="44"/>
  <c r="D23" i="44"/>
  <c r="Y22" i="44"/>
  <c r="X22" i="44"/>
  <c r="V22" i="44"/>
  <c r="T22" i="44"/>
  <c r="R22" i="44"/>
  <c r="O22" i="44"/>
  <c r="N22" i="44"/>
  <c r="J22" i="44"/>
  <c r="H22" i="44"/>
  <c r="D22" i="44"/>
  <c r="V21" i="44"/>
  <c r="T21" i="44"/>
  <c r="R21" i="44"/>
  <c r="O21" i="44"/>
  <c r="N21" i="44"/>
  <c r="J21" i="44"/>
  <c r="H21" i="44"/>
  <c r="D21" i="44"/>
  <c r="Y21" i="43"/>
  <c r="X21" i="43"/>
  <c r="Y35" i="43"/>
  <c r="X35" i="43"/>
  <c r="V35" i="43"/>
  <c r="T35" i="43"/>
  <c r="R35" i="43"/>
  <c r="O35" i="43"/>
  <c r="N35" i="43"/>
  <c r="J35" i="43"/>
  <c r="H35" i="43"/>
  <c r="D35" i="43"/>
  <c r="Y34" i="43"/>
  <c r="X34" i="43"/>
  <c r="V34" i="43"/>
  <c r="T34" i="43"/>
  <c r="R34" i="43"/>
  <c r="O34" i="43"/>
  <c r="N34" i="43"/>
  <c r="J34" i="43"/>
  <c r="H34" i="43"/>
  <c r="D34" i="43"/>
  <c r="Y33" i="43"/>
  <c r="X33" i="43"/>
  <c r="V33" i="43"/>
  <c r="T33" i="43"/>
  <c r="R33" i="43"/>
  <c r="O33" i="43"/>
  <c r="N33" i="43"/>
  <c r="J33" i="43"/>
  <c r="H33" i="43"/>
  <c r="D33" i="43"/>
  <c r="Y32" i="43"/>
  <c r="X32" i="43"/>
  <c r="V32" i="43"/>
  <c r="T32" i="43"/>
  <c r="R32" i="43"/>
  <c r="O32" i="43"/>
  <c r="N32" i="43"/>
  <c r="J32" i="43"/>
  <c r="H32" i="43"/>
  <c r="D32" i="43"/>
  <c r="Y31" i="43"/>
  <c r="X31" i="43"/>
  <c r="V31" i="43"/>
  <c r="T31" i="43"/>
  <c r="R31" i="43"/>
  <c r="O31" i="43"/>
  <c r="N31" i="43"/>
  <c r="J31" i="43"/>
  <c r="H31" i="43"/>
  <c r="D31" i="43"/>
  <c r="Y30" i="43"/>
  <c r="X30" i="43"/>
  <c r="V30" i="43"/>
  <c r="T30" i="43"/>
  <c r="R30" i="43"/>
  <c r="O30" i="43"/>
  <c r="N30" i="43"/>
  <c r="J30" i="43"/>
  <c r="H30" i="43"/>
  <c r="D30" i="43"/>
  <c r="Y29" i="43"/>
  <c r="X29" i="43"/>
  <c r="V29" i="43"/>
  <c r="T29" i="43"/>
  <c r="R29" i="43"/>
  <c r="O29" i="43"/>
  <c r="N29" i="43"/>
  <c r="J29" i="43"/>
  <c r="H29" i="43"/>
  <c r="D29" i="43"/>
  <c r="Y28" i="43"/>
  <c r="X28" i="43"/>
  <c r="V28" i="43"/>
  <c r="T28" i="43"/>
  <c r="R28" i="43"/>
  <c r="O28" i="43"/>
  <c r="N28" i="43"/>
  <c r="J28" i="43"/>
  <c r="H28" i="43"/>
  <c r="D28" i="43"/>
  <c r="Y27" i="43"/>
  <c r="X27" i="43"/>
  <c r="V27" i="43"/>
  <c r="T27" i="43"/>
  <c r="R27" i="43"/>
  <c r="O27" i="43"/>
  <c r="N27" i="43"/>
  <c r="J27" i="43"/>
  <c r="H27" i="43"/>
  <c r="D27" i="43"/>
  <c r="Y26" i="43"/>
  <c r="X26" i="43"/>
  <c r="V26" i="43"/>
  <c r="T26" i="43"/>
  <c r="R26" i="43"/>
  <c r="O26" i="43"/>
  <c r="N26" i="43"/>
  <c r="J26" i="43"/>
  <c r="H26" i="43"/>
  <c r="D26" i="43"/>
  <c r="Y25" i="43"/>
  <c r="X25" i="43"/>
  <c r="V25" i="43"/>
  <c r="T25" i="43"/>
  <c r="R25" i="43"/>
  <c r="O25" i="43"/>
  <c r="N25" i="43"/>
  <c r="J25" i="43"/>
  <c r="H25" i="43"/>
  <c r="D25" i="43"/>
  <c r="Y24" i="43"/>
  <c r="X24" i="43"/>
  <c r="V24" i="43"/>
  <c r="T24" i="43"/>
  <c r="R24" i="43"/>
  <c r="O24" i="43"/>
  <c r="N24" i="43"/>
  <c r="J24" i="43"/>
  <c r="H24" i="43"/>
  <c r="D24" i="43"/>
  <c r="Y23" i="43"/>
  <c r="X23" i="43"/>
  <c r="V23" i="43"/>
  <c r="T23" i="43"/>
  <c r="R23" i="43"/>
  <c r="O23" i="43"/>
  <c r="N23" i="43"/>
  <c r="J23" i="43"/>
  <c r="H23" i="43"/>
  <c r="D23" i="43"/>
  <c r="Y22" i="43"/>
  <c r="X22" i="43"/>
  <c r="V22" i="43"/>
  <c r="T22" i="43"/>
  <c r="R22" i="43"/>
  <c r="O22" i="43"/>
  <c r="N22" i="43"/>
  <c r="J22" i="43"/>
  <c r="H22" i="43"/>
  <c r="D22" i="43"/>
  <c r="V21" i="43"/>
  <c r="T21" i="43"/>
  <c r="R21" i="43"/>
  <c r="O21" i="43"/>
  <c r="N21" i="43"/>
  <c r="J21" i="43"/>
  <c r="H21" i="43"/>
  <c r="D21" i="43"/>
  <c r="Y21" i="42"/>
  <c r="X21" i="42"/>
  <c r="Y35" i="42"/>
  <c r="X35" i="42"/>
  <c r="V35" i="42"/>
  <c r="T35" i="42"/>
  <c r="R35" i="42"/>
  <c r="O35" i="42"/>
  <c r="N35" i="42"/>
  <c r="J35" i="42"/>
  <c r="H35" i="42"/>
  <c r="D35" i="42"/>
  <c r="Y34" i="42"/>
  <c r="X34" i="42"/>
  <c r="V34" i="42"/>
  <c r="T34" i="42"/>
  <c r="R34" i="42"/>
  <c r="O34" i="42"/>
  <c r="N34" i="42"/>
  <c r="J34" i="42"/>
  <c r="H34" i="42"/>
  <c r="D34" i="42"/>
  <c r="Y33" i="42"/>
  <c r="X33" i="42"/>
  <c r="V33" i="42"/>
  <c r="T33" i="42"/>
  <c r="R33" i="42"/>
  <c r="O33" i="42"/>
  <c r="N33" i="42"/>
  <c r="J33" i="42"/>
  <c r="H33" i="42"/>
  <c r="D33" i="42"/>
  <c r="Y32" i="42"/>
  <c r="X32" i="42"/>
  <c r="V32" i="42"/>
  <c r="T32" i="42"/>
  <c r="R32" i="42"/>
  <c r="O32" i="42"/>
  <c r="N32" i="42"/>
  <c r="J32" i="42"/>
  <c r="H32" i="42"/>
  <c r="D32" i="42"/>
  <c r="Y31" i="42"/>
  <c r="X31" i="42"/>
  <c r="V31" i="42"/>
  <c r="T31" i="42"/>
  <c r="R31" i="42"/>
  <c r="O31" i="42"/>
  <c r="N31" i="42"/>
  <c r="J31" i="42"/>
  <c r="H31" i="42"/>
  <c r="D31" i="42"/>
  <c r="Y30" i="42"/>
  <c r="X30" i="42"/>
  <c r="V30" i="42"/>
  <c r="T30" i="42"/>
  <c r="R30" i="42"/>
  <c r="O30" i="42"/>
  <c r="N30" i="42"/>
  <c r="J30" i="42"/>
  <c r="H30" i="42"/>
  <c r="D30" i="42"/>
  <c r="Y29" i="42"/>
  <c r="X29" i="42"/>
  <c r="V29" i="42"/>
  <c r="T29" i="42"/>
  <c r="R29" i="42"/>
  <c r="O29" i="42"/>
  <c r="N29" i="42"/>
  <c r="J29" i="42"/>
  <c r="H29" i="42"/>
  <c r="D29" i="42"/>
  <c r="Y28" i="42"/>
  <c r="X28" i="42"/>
  <c r="V28" i="42"/>
  <c r="T28" i="42"/>
  <c r="R28" i="42"/>
  <c r="O28" i="42"/>
  <c r="N28" i="42"/>
  <c r="J28" i="42"/>
  <c r="H28" i="42"/>
  <c r="D28" i="42"/>
  <c r="Y27" i="42"/>
  <c r="X27" i="42"/>
  <c r="V27" i="42"/>
  <c r="T27" i="42"/>
  <c r="R27" i="42"/>
  <c r="O27" i="42"/>
  <c r="N27" i="42"/>
  <c r="J27" i="42"/>
  <c r="H27" i="42"/>
  <c r="D27" i="42"/>
  <c r="Y26" i="42"/>
  <c r="X26" i="42"/>
  <c r="V26" i="42"/>
  <c r="T26" i="42"/>
  <c r="R26" i="42"/>
  <c r="O26" i="42"/>
  <c r="N26" i="42"/>
  <c r="J26" i="42"/>
  <c r="H26" i="42"/>
  <c r="D26" i="42"/>
  <c r="Y25" i="42"/>
  <c r="X25" i="42"/>
  <c r="V25" i="42"/>
  <c r="T25" i="42"/>
  <c r="R25" i="42"/>
  <c r="O25" i="42"/>
  <c r="N25" i="42"/>
  <c r="J25" i="42"/>
  <c r="H25" i="42"/>
  <c r="D25" i="42"/>
  <c r="Y24" i="42"/>
  <c r="X24" i="42"/>
  <c r="V24" i="42"/>
  <c r="T24" i="42"/>
  <c r="R24" i="42"/>
  <c r="O24" i="42"/>
  <c r="N24" i="42"/>
  <c r="J24" i="42"/>
  <c r="H24" i="42"/>
  <c r="D24" i="42"/>
  <c r="Y23" i="42"/>
  <c r="X23" i="42"/>
  <c r="V23" i="42"/>
  <c r="T23" i="42"/>
  <c r="R23" i="42"/>
  <c r="O23" i="42"/>
  <c r="N23" i="42"/>
  <c r="J23" i="42"/>
  <c r="H23" i="42"/>
  <c r="D23" i="42"/>
  <c r="Y22" i="42"/>
  <c r="X22" i="42"/>
  <c r="V22" i="42"/>
  <c r="T22" i="42"/>
  <c r="R22" i="42"/>
  <c r="O22" i="42"/>
  <c r="N22" i="42"/>
  <c r="J22" i="42"/>
  <c r="H22" i="42"/>
  <c r="D22" i="42"/>
  <c r="V21" i="42"/>
  <c r="T21" i="42"/>
  <c r="R21" i="42"/>
  <c r="O21" i="42"/>
  <c r="N21" i="42"/>
  <c r="J21" i="42"/>
  <c r="H21" i="42"/>
  <c r="D21" i="42"/>
  <c r="Y21" i="41"/>
  <c r="X21" i="41"/>
  <c r="Y35" i="41"/>
  <c r="X35" i="41"/>
  <c r="V35" i="41"/>
  <c r="T35" i="41"/>
  <c r="R35" i="41"/>
  <c r="O35" i="41"/>
  <c r="N35" i="41"/>
  <c r="J35" i="41"/>
  <c r="H35" i="41"/>
  <c r="D35" i="41"/>
  <c r="Y34" i="41"/>
  <c r="X34" i="41"/>
  <c r="V34" i="41"/>
  <c r="T34" i="41"/>
  <c r="R34" i="41"/>
  <c r="O34" i="41"/>
  <c r="N34" i="41"/>
  <c r="J34" i="41"/>
  <c r="H34" i="41"/>
  <c r="D34" i="41"/>
  <c r="Y33" i="41"/>
  <c r="X33" i="41"/>
  <c r="V33" i="41"/>
  <c r="T33" i="41"/>
  <c r="R33" i="41"/>
  <c r="O33" i="41"/>
  <c r="N33" i="41"/>
  <c r="J33" i="41"/>
  <c r="H33" i="41"/>
  <c r="D33" i="41"/>
  <c r="Y32" i="41"/>
  <c r="X32" i="41"/>
  <c r="V32" i="41"/>
  <c r="T32" i="41"/>
  <c r="R32" i="41"/>
  <c r="O32" i="41"/>
  <c r="N32" i="41"/>
  <c r="J32" i="41"/>
  <c r="H32" i="41"/>
  <c r="D32" i="41"/>
  <c r="Y31" i="41"/>
  <c r="X31" i="41"/>
  <c r="V31" i="41"/>
  <c r="T31" i="41"/>
  <c r="R31" i="41"/>
  <c r="O31" i="41"/>
  <c r="N31" i="41"/>
  <c r="J31" i="41"/>
  <c r="H31" i="41"/>
  <c r="D31" i="41"/>
  <c r="Y30" i="41"/>
  <c r="X30" i="41"/>
  <c r="V30" i="41"/>
  <c r="T30" i="41"/>
  <c r="R30" i="41"/>
  <c r="O30" i="41"/>
  <c r="N30" i="41"/>
  <c r="J30" i="41"/>
  <c r="H30" i="41"/>
  <c r="D30" i="41"/>
  <c r="Y29" i="41"/>
  <c r="X29" i="41"/>
  <c r="V29" i="41"/>
  <c r="T29" i="41"/>
  <c r="R29" i="41"/>
  <c r="O29" i="41"/>
  <c r="N29" i="41"/>
  <c r="J29" i="41"/>
  <c r="H29" i="41"/>
  <c r="D29" i="41"/>
  <c r="Y28" i="41"/>
  <c r="X28" i="41"/>
  <c r="V28" i="41"/>
  <c r="T28" i="41"/>
  <c r="R28" i="41"/>
  <c r="O28" i="41"/>
  <c r="N28" i="41"/>
  <c r="J28" i="41"/>
  <c r="H28" i="41"/>
  <c r="D28" i="41"/>
  <c r="Y27" i="41"/>
  <c r="X27" i="41"/>
  <c r="V27" i="41"/>
  <c r="T27" i="41"/>
  <c r="R27" i="41"/>
  <c r="O27" i="41"/>
  <c r="N27" i="41"/>
  <c r="J27" i="41"/>
  <c r="H27" i="41"/>
  <c r="D27" i="41"/>
  <c r="Y26" i="41"/>
  <c r="X26" i="41"/>
  <c r="V26" i="41"/>
  <c r="T26" i="41"/>
  <c r="R26" i="41"/>
  <c r="O26" i="41"/>
  <c r="N26" i="41"/>
  <c r="J26" i="41"/>
  <c r="H26" i="41"/>
  <c r="D26" i="41"/>
  <c r="Y25" i="41"/>
  <c r="X25" i="41"/>
  <c r="V25" i="41"/>
  <c r="T25" i="41"/>
  <c r="R25" i="41"/>
  <c r="O25" i="41"/>
  <c r="N25" i="41"/>
  <c r="J25" i="41"/>
  <c r="H25" i="41"/>
  <c r="D25" i="41"/>
  <c r="Y24" i="41"/>
  <c r="X24" i="41"/>
  <c r="V24" i="41"/>
  <c r="T24" i="41"/>
  <c r="R24" i="41"/>
  <c r="O24" i="41"/>
  <c r="N24" i="41"/>
  <c r="J24" i="41"/>
  <c r="H24" i="41"/>
  <c r="D24" i="41"/>
  <c r="Y23" i="41"/>
  <c r="X23" i="41"/>
  <c r="V23" i="41"/>
  <c r="T23" i="41"/>
  <c r="R23" i="41"/>
  <c r="O23" i="41"/>
  <c r="N23" i="41"/>
  <c r="J23" i="41"/>
  <c r="H23" i="41"/>
  <c r="D23" i="41"/>
  <c r="Y22" i="41"/>
  <c r="X22" i="41"/>
  <c r="V22" i="41"/>
  <c r="T22" i="41"/>
  <c r="R22" i="41"/>
  <c r="O22" i="41"/>
  <c r="N22" i="41"/>
  <c r="J22" i="41"/>
  <c r="H22" i="41"/>
  <c r="D22" i="41"/>
  <c r="V21" i="41"/>
  <c r="T21" i="41"/>
  <c r="R21" i="41"/>
  <c r="O21" i="41"/>
  <c r="N21" i="41"/>
  <c r="J21" i="41"/>
  <c r="H21" i="41"/>
  <c r="D21" i="41"/>
  <c r="R9" i="39"/>
  <c r="KJ9" i="39" s="1"/>
  <c r="R14" i="39"/>
  <c r="BK8" i="33" l="1"/>
  <c r="BJ8" i="33"/>
  <c r="AF22" i="33" l="1"/>
  <c r="C130" i="11" l="1"/>
  <c r="E128" i="11"/>
  <c r="E102" i="11"/>
  <c r="E98" i="11"/>
  <c r="G96" i="11"/>
  <c r="E96" i="11"/>
  <c r="AB183" i="33" s="1"/>
  <c r="E91" i="11"/>
  <c r="J49" i="47" s="1"/>
  <c r="E88" i="11"/>
  <c r="J46" i="47" s="1"/>
  <c r="C88" i="11"/>
  <c r="E83" i="11"/>
  <c r="G81" i="11"/>
  <c r="J79" i="11"/>
  <c r="E77" i="11"/>
  <c r="H75" i="11"/>
  <c r="J73" i="11"/>
  <c r="E73" i="11"/>
  <c r="J71" i="11"/>
  <c r="H71" i="11"/>
  <c r="L11" i="47" s="1"/>
  <c r="E71" i="11"/>
  <c r="J11" i="47" s="1"/>
  <c r="E69" i="11"/>
  <c r="E67" i="11"/>
  <c r="B11" i="47" s="1"/>
  <c r="I44" i="11"/>
  <c r="F44" i="11"/>
  <c r="I42" i="11"/>
  <c r="F42" i="11"/>
  <c r="I38" i="11"/>
  <c r="AF88" i="33" s="1"/>
  <c r="F38" i="11"/>
  <c r="W88" i="33" s="1"/>
  <c r="I36" i="11"/>
  <c r="AF89" i="33" s="1"/>
  <c r="F36" i="11"/>
  <c r="W89" i="33" s="1"/>
  <c r="F32" i="11"/>
  <c r="W72" i="33" s="1"/>
  <c r="AO72" i="33" s="1"/>
  <c r="F30" i="11"/>
  <c r="W73" i="33" s="1"/>
  <c r="AO73" i="33" s="1"/>
  <c r="F26" i="11"/>
  <c r="W56" i="33" s="1"/>
  <c r="AO56" i="33" s="1"/>
  <c r="F24" i="11"/>
  <c r="F20" i="11"/>
  <c r="W40" i="33" s="1"/>
  <c r="AO40" i="33" s="1"/>
  <c r="F18" i="11"/>
  <c r="I14" i="11"/>
  <c r="AF21" i="33" s="1"/>
  <c r="F14" i="11"/>
  <c r="W21" i="33" s="1"/>
  <c r="I9" i="11"/>
  <c r="BI30" i="33" s="1"/>
  <c r="G9" i="11"/>
  <c r="BG30" i="33" s="1"/>
  <c r="E9" i="11"/>
  <c r="E7" i="11"/>
  <c r="R11" i="47" s="1"/>
  <c r="G3" i="11"/>
  <c r="C2" i="11"/>
  <c r="T50" i="47" l="1"/>
  <c r="T47" i="47"/>
  <c r="J50" i="47"/>
  <c r="J47" i="47"/>
  <c r="E10" i="47"/>
  <c r="R11" i="45"/>
  <c r="R11" i="46"/>
  <c r="M15" i="46"/>
  <c r="B11" i="45"/>
  <c r="B11" i="46"/>
  <c r="T50" i="46"/>
  <c r="T47" i="46"/>
  <c r="J50" i="46"/>
  <c r="J47" i="46"/>
  <c r="E10" i="46"/>
  <c r="J46" i="45"/>
  <c r="J46" i="46"/>
  <c r="J11" i="45"/>
  <c r="J11" i="46"/>
  <c r="J49" i="45"/>
  <c r="J49" i="46"/>
  <c r="L11" i="45"/>
  <c r="L11" i="46"/>
  <c r="W107" i="33"/>
  <c r="T50" i="45"/>
  <c r="T47" i="45"/>
  <c r="J50" i="45"/>
  <c r="J47" i="45"/>
  <c r="E10" i="45"/>
  <c r="AF107" i="33"/>
  <c r="W106" i="33"/>
  <c r="AF106" i="33"/>
  <c r="W14" i="11"/>
  <c r="A19" i="33" s="1"/>
  <c r="W57" i="33"/>
  <c r="AO57" i="33" s="1"/>
  <c r="W41" i="33"/>
  <c r="AO41" i="33" s="1"/>
  <c r="AO21" i="33"/>
  <c r="W22" i="33"/>
  <c r="AO22" i="33" s="1"/>
  <c r="HG2" i="39"/>
  <c r="Z39" i="1"/>
  <c r="Z41" i="1" s="1"/>
  <c r="G15" i="1"/>
  <c r="Q28" i="31" s="1"/>
  <c r="AO88" i="33"/>
  <c r="AO89" i="33"/>
  <c r="BG2" i="33"/>
  <c r="AM98" i="39"/>
  <c r="AL98" i="39"/>
  <c r="AM97" i="39"/>
  <c r="AL97" i="39"/>
  <c r="AM96" i="39"/>
  <c r="AL96" i="39"/>
  <c r="AM95" i="39"/>
  <c r="AL95" i="39"/>
  <c r="AM94" i="39"/>
  <c r="AL94" i="39"/>
  <c r="AM93" i="39"/>
  <c r="AL93" i="39"/>
  <c r="AM92" i="39"/>
  <c r="AL92" i="39"/>
  <c r="AM91" i="39"/>
  <c r="AL91" i="39"/>
  <c r="AM90" i="39"/>
  <c r="AL90" i="39"/>
  <c r="AM89" i="39"/>
  <c r="AL89" i="39"/>
  <c r="AM88" i="39"/>
  <c r="AL88" i="39"/>
  <c r="AM87" i="39"/>
  <c r="AL87" i="39"/>
  <c r="AM82" i="39"/>
  <c r="AL82" i="39"/>
  <c r="AM81" i="39"/>
  <c r="AL81" i="39"/>
  <c r="AM80" i="39"/>
  <c r="AL80" i="39"/>
  <c r="AM79" i="39"/>
  <c r="AL79" i="39"/>
  <c r="AM78" i="39"/>
  <c r="AL78" i="39"/>
  <c r="AM77" i="39"/>
  <c r="AL77" i="39"/>
  <c r="AM76" i="39"/>
  <c r="AL76" i="39"/>
  <c r="AM75" i="39"/>
  <c r="AL75" i="39"/>
  <c r="AM74" i="39"/>
  <c r="AL74" i="39"/>
  <c r="AM73" i="39"/>
  <c r="AL73" i="39"/>
  <c r="AM72" i="39"/>
  <c r="AL72" i="39"/>
  <c r="AM71" i="39"/>
  <c r="AL71" i="39"/>
  <c r="AM66" i="39"/>
  <c r="AL66" i="39"/>
  <c r="AM65" i="39"/>
  <c r="AL65" i="39"/>
  <c r="AM64" i="39"/>
  <c r="AL64" i="39"/>
  <c r="AM63" i="39"/>
  <c r="AL63" i="39"/>
  <c r="AM62" i="39"/>
  <c r="AL62" i="39"/>
  <c r="AM61" i="39"/>
  <c r="AL61" i="39"/>
  <c r="AM60" i="39"/>
  <c r="AL60" i="39"/>
  <c r="AM59" i="39"/>
  <c r="AL59" i="39"/>
  <c r="AM58" i="39"/>
  <c r="AL58" i="39"/>
  <c r="AM57" i="39"/>
  <c r="AL57" i="39"/>
  <c r="AM56" i="39"/>
  <c r="AL56" i="39"/>
  <c r="AM55" i="39"/>
  <c r="AL55" i="39"/>
  <c r="AM50" i="39"/>
  <c r="AL50" i="39"/>
  <c r="AM49" i="39"/>
  <c r="AL49" i="39"/>
  <c r="AM48" i="39"/>
  <c r="AL48" i="39"/>
  <c r="AM47" i="39"/>
  <c r="AL47" i="39"/>
  <c r="AM46" i="39"/>
  <c r="AL46" i="39"/>
  <c r="AM45" i="39"/>
  <c r="AL45" i="39"/>
  <c r="AM44" i="39"/>
  <c r="AL44" i="39"/>
  <c r="AM43" i="39"/>
  <c r="AL43" i="39"/>
  <c r="AM42" i="39"/>
  <c r="AL42" i="39"/>
  <c r="AM41" i="39"/>
  <c r="AL41" i="39"/>
  <c r="AM40" i="39"/>
  <c r="AL40" i="39"/>
  <c r="AM39" i="39"/>
  <c r="AL39" i="39"/>
  <c r="AM34" i="39"/>
  <c r="AL34" i="39"/>
  <c r="AM33" i="39"/>
  <c r="AL33" i="39"/>
  <c r="AM32" i="39"/>
  <c r="AL32" i="39"/>
  <c r="AM31" i="39"/>
  <c r="AL31" i="39"/>
  <c r="AM30" i="39"/>
  <c r="AL30" i="39"/>
  <c r="AM29" i="39"/>
  <c r="AL29" i="39"/>
  <c r="AM28" i="39"/>
  <c r="AL28" i="39"/>
  <c r="AM27" i="39"/>
  <c r="AL27" i="39"/>
  <c r="AM26" i="39"/>
  <c r="AL26" i="39"/>
  <c r="AM25" i="39"/>
  <c r="AL25" i="39"/>
  <c r="AM24" i="39"/>
  <c r="AL24" i="39"/>
  <c r="AM18" i="39"/>
  <c r="AM17" i="39"/>
  <c r="AM16" i="39"/>
  <c r="AM15" i="39"/>
  <c r="AM14" i="39"/>
  <c r="AM13" i="39"/>
  <c r="AM12" i="39"/>
  <c r="AM11" i="39"/>
  <c r="AM10" i="39"/>
  <c r="AM9" i="39"/>
  <c r="AM8" i="39"/>
  <c r="AM7" i="39"/>
  <c r="AL18" i="39"/>
  <c r="V22" i="34" s="1"/>
  <c r="AL17" i="39"/>
  <c r="AL16" i="39"/>
  <c r="AL15" i="39"/>
  <c r="AL14" i="39"/>
  <c r="AL13" i="39"/>
  <c r="AL12" i="39"/>
  <c r="AL11" i="39"/>
  <c r="AL10" i="39"/>
  <c r="AL9" i="39"/>
  <c r="AL8" i="39"/>
  <c r="AL7" i="39"/>
  <c r="R6" i="39"/>
  <c r="KJ6" i="39" s="1"/>
  <c r="R5" i="39"/>
  <c r="KJ5" i="39" s="1"/>
  <c r="R16" i="39"/>
  <c r="KJ16" i="39" s="1"/>
  <c r="R13" i="39"/>
  <c r="R4" i="39"/>
  <c r="KJ4" i="39" s="1"/>
  <c r="R21" i="39"/>
  <c r="KJ21" i="39" s="1"/>
  <c r="R19" i="39"/>
  <c r="R17" i="39"/>
  <c r="KJ18" i="39" l="1"/>
  <c r="KJ17" i="39"/>
  <c r="KJ20" i="39"/>
  <c r="KJ19" i="39"/>
  <c r="KJ14" i="39"/>
  <c r="KJ13" i="39"/>
  <c r="AL151" i="39"/>
  <c r="AL154" i="39"/>
  <c r="AL158" i="39"/>
  <c r="AL155" i="39"/>
  <c r="AL152" i="39"/>
  <c r="AL156" i="39"/>
  <c r="AL160" i="39"/>
  <c r="AM162" i="39"/>
  <c r="AM158" i="39"/>
  <c r="AM154" i="39"/>
  <c r="AL159" i="39"/>
  <c r="AL153" i="39"/>
  <c r="AL157" i="39"/>
  <c r="AL161" i="39"/>
  <c r="AM152" i="39"/>
  <c r="AM156" i="39"/>
  <c r="AM160" i="39"/>
  <c r="AO107" i="33"/>
  <c r="AO106" i="33"/>
  <c r="M16" i="46"/>
  <c r="T16" i="46" s="1"/>
  <c r="AC89" i="34" s="1"/>
  <c r="M15" i="47"/>
  <c r="M16" i="47"/>
  <c r="T16" i="47" s="1"/>
  <c r="AD89" i="34" s="1"/>
  <c r="T15" i="46"/>
  <c r="AC88" i="34" s="1"/>
  <c r="M15" i="45"/>
  <c r="M16" i="45"/>
  <c r="T16" i="45" s="1"/>
  <c r="AB89" i="34" s="1"/>
  <c r="AL162" i="39"/>
  <c r="AM151" i="39"/>
  <c r="AM157" i="39"/>
  <c r="AM161" i="39"/>
  <c r="AM153" i="39"/>
  <c r="AM155" i="39"/>
  <c r="AM159" i="39"/>
  <c r="A20" i="33"/>
  <c r="A21" i="33"/>
  <c r="A26" i="33"/>
  <c r="A22" i="33"/>
  <c r="A25" i="33"/>
  <c r="A24" i="33"/>
  <c r="A23" i="33"/>
  <c r="R163" i="39"/>
  <c r="KJ163" i="39" s="1"/>
  <c r="R162" i="39"/>
  <c r="KJ162" i="39" s="1"/>
  <c r="R161" i="39"/>
  <c r="KJ161" i="39" s="1"/>
  <c r="R160" i="39"/>
  <c r="KJ160" i="39" s="1"/>
  <c r="R159" i="39"/>
  <c r="KJ159" i="39" s="1"/>
  <c r="R158" i="39"/>
  <c r="KJ158" i="39" s="1"/>
  <c r="R157" i="39"/>
  <c r="KJ157" i="39" s="1"/>
  <c r="R156" i="39"/>
  <c r="KJ156" i="39" s="1"/>
  <c r="R155" i="39"/>
  <c r="KJ155" i="39" s="1"/>
  <c r="R154" i="39"/>
  <c r="KJ154" i="39" s="1"/>
  <c r="R153" i="39"/>
  <c r="KJ153" i="39" s="1"/>
  <c r="R152" i="39"/>
  <c r="KJ152" i="39" s="1"/>
  <c r="R151" i="39"/>
  <c r="KJ151" i="39" s="1"/>
  <c r="R150" i="39"/>
  <c r="KJ150" i="39" s="1"/>
  <c r="R149" i="39"/>
  <c r="KJ149" i="39" s="1"/>
  <c r="R148" i="39"/>
  <c r="KJ148" i="39" s="1"/>
  <c r="R147" i="39"/>
  <c r="KJ147" i="39" s="1"/>
  <c r="R146" i="39"/>
  <c r="KJ146" i="39" s="1"/>
  <c r="R145" i="39"/>
  <c r="KJ145" i="39" s="1"/>
  <c r="R144" i="39"/>
  <c r="KJ144" i="39" s="1"/>
  <c r="R143" i="39"/>
  <c r="KJ143" i="39" s="1"/>
  <c r="R142" i="39"/>
  <c r="KJ142" i="39" s="1"/>
  <c r="R141" i="39"/>
  <c r="KJ141" i="39" s="1"/>
  <c r="R140" i="39"/>
  <c r="KJ140" i="39" s="1"/>
  <c r="R139" i="39"/>
  <c r="KJ139" i="39" s="1"/>
  <c r="R138" i="39"/>
  <c r="KJ138" i="39" s="1"/>
  <c r="R137" i="39"/>
  <c r="KJ137" i="39" s="1"/>
  <c r="R136" i="39"/>
  <c r="KJ136" i="39" s="1"/>
  <c r="R135" i="39"/>
  <c r="KJ135" i="39" s="1"/>
  <c r="R134" i="39"/>
  <c r="KJ134" i="39" s="1"/>
  <c r="R133" i="39"/>
  <c r="KJ133" i="39" s="1"/>
  <c r="R132" i="39"/>
  <c r="KJ132" i="39" s="1"/>
  <c r="R131" i="39"/>
  <c r="KJ131" i="39" s="1"/>
  <c r="R130" i="39"/>
  <c r="KJ130" i="39" s="1"/>
  <c r="R129" i="39"/>
  <c r="KJ129" i="39" s="1"/>
  <c r="R128" i="39"/>
  <c r="KJ128" i="39" s="1"/>
  <c r="R127" i="39"/>
  <c r="KJ127" i="39" s="1"/>
  <c r="R126" i="39"/>
  <c r="KJ126" i="39" s="1"/>
  <c r="R125" i="39"/>
  <c r="KJ125" i="39" s="1"/>
  <c r="R124" i="39"/>
  <c r="KJ124" i="39" s="1"/>
  <c r="R123" i="39"/>
  <c r="KJ123" i="39" s="1"/>
  <c r="R122" i="39"/>
  <c r="KJ122" i="39" s="1"/>
  <c r="R121" i="39"/>
  <c r="KJ121" i="39" s="1"/>
  <c r="R120" i="39"/>
  <c r="KJ120" i="39" s="1"/>
  <c r="R119" i="39"/>
  <c r="KJ119" i="39" s="1"/>
  <c r="R118" i="39"/>
  <c r="KJ118" i="39" s="1"/>
  <c r="R117" i="39"/>
  <c r="KJ117" i="39" s="1"/>
  <c r="R116" i="39"/>
  <c r="KJ116" i="39" s="1"/>
  <c r="R115" i="39"/>
  <c r="KJ115" i="39" s="1"/>
  <c r="R114" i="39"/>
  <c r="KJ114" i="39" s="1"/>
  <c r="R113" i="39"/>
  <c r="KJ113" i="39" s="1"/>
  <c r="R112" i="39"/>
  <c r="KJ112" i="39" s="1"/>
  <c r="R111" i="39"/>
  <c r="KJ111" i="39" s="1"/>
  <c r="R110" i="39"/>
  <c r="KJ110" i="39" s="1"/>
  <c r="R109" i="39"/>
  <c r="KJ109" i="39" s="1"/>
  <c r="R108" i="39"/>
  <c r="KJ108" i="39" s="1"/>
  <c r="R107" i="39"/>
  <c r="KJ107" i="39" s="1"/>
  <c r="R106" i="39"/>
  <c r="KJ106" i="39" s="1"/>
  <c r="R105" i="39"/>
  <c r="KJ105" i="39" s="1"/>
  <c r="R104" i="39"/>
  <c r="KJ104" i="39" s="1"/>
  <c r="R103" i="39"/>
  <c r="KJ103" i="39" s="1"/>
  <c r="R102" i="39"/>
  <c r="KJ102" i="39" s="1"/>
  <c r="R101" i="39"/>
  <c r="KJ101" i="39" s="1"/>
  <c r="R100" i="39"/>
  <c r="KJ100" i="39" s="1"/>
  <c r="R99" i="39"/>
  <c r="KJ99" i="39" s="1"/>
  <c r="R98" i="39"/>
  <c r="KJ98" i="39" s="1"/>
  <c r="R97" i="39"/>
  <c r="KJ97" i="39" s="1"/>
  <c r="R96" i="39"/>
  <c r="KJ96" i="39" s="1"/>
  <c r="R95" i="39"/>
  <c r="KJ95" i="39" s="1"/>
  <c r="R94" i="39"/>
  <c r="KJ94" i="39" s="1"/>
  <c r="R93" i="39"/>
  <c r="KJ93" i="39" s="1"/>
  <c r="R92" i="39"/>
  <c r="KJ92" i="39" s="1"/>
  <c r="R91" i="39"/>
  <c r="KJ91" i="39" s="1"/>
  <c r="R90" i="39"/>
  <c r="KJ90" i="39" s="1"/>
  <c r="R89" i="39"/>
  <c r="KJ89" i="39" s="1"/>
  <c r="R88" i="39"/>
  <c r="KJ88" i="39" s="1"/>
  <c r="R87" i="39"/>
  <c r="KJ87" i="39" s="1"/>
  <c r="R86" i="39"/>
  <c r="KJ86" i="39" s="1"/>
  <c r="R85" i="39"/>
  <c r="KJ85" i="39" s="1"/>
  <c r="R84" i="39"/>
  <c r="KJ84" i="39" s="1"/>
  <c r="R83" i="39"/>
  <c r="KJ83" i="39" s="1"/>
  <c r="R82" i="39"/>
  <c r="KJ82" i="39" s="1"/>
  <c r="R81" i="39"/>
  <c r="KJ81" i="39" s="1"/>
  <c r="R80" i="39"/>
  <c r="KJ80" i="39" s="1"/>
  <c r="R79" i="39"/>
  <c r="KJ79" i="39" s="1"/>
  <c r="R78" i="39"/>
  <c r="KJ78" i="39" s="1"/>
  <c r="R77" i="39"/>
  <c r="KJ77" i="39" s="1"/>
  <c r="R76" i="39"/>
  <c r="KJ76" i="39" s="1"/>
  <c r="R75" i="39"/>
  <c r="KJ75" i="39" s="1"/>
  <c r="R74" i="39"/>
  <c r="KJ74" i="39" s="1"/>
  <c r="R73" i="39"/>
  <c r="KJ73" i="39" s="1"/>
  <c r="R72" i="39"/>
  <c r="KJ72" i="39" s="1"/>
  <c r="R71" i="39"/>
  <c r="KJ71" i="39" s="1"/>
  <c r="R70" i="39"/>
  <c r="KJ70" i="39" s="1"/>
  <c r="R69" i="39"/>
  <c r="KJ69" i="39" s="1"/>
  <c r="R68" i="39"/>
  <c r="KJ68" i="39" s="1"/>
  <c r="R67" i="39"/>
  <c r="KJ67" i="39" s="1"/>
  <c r="R66" i="39"/>
  <c r="KJ66" i="39" s="1"/>
  <c r="R65" i="39"/>
  <c r="KJ65" i="39" s="1"/>
  <c r="R64" i="39"/>
  <c r="KJ64" i="39" s="1"/>
  <c r="R63" i="39"/>
  <c r="KJ63" i="39" s="1"/>
  <c r="R62" i="39"/>
  <c r="KJ62" i="39" s="1"/>
  <c r="R61" i="39"/>
  <c r="KJ61" i="39" s="1"/>
  <c r="R60" i="39"/>
  <c r="KJ60" i="39" s="1"/>
  <c r="R59" i="39"/>
  <c r="KJ59" i="39" s="1"/>
  <c r="R58" i="39"/>
  <c r="KJ58" i="39" s="1"/>
  <c r="R57" i="39"/>
  <c r="KJ57" i="39" s="1"/>
  <c r="R56" i="39"/>
  <c r="KJ56" i="39" s="1"/>
  <c r="R55" i="39"/>
  <c r="KJ55" i="39" s="1"/>
  <c r="R54" i="39"/>
  <c r="KJ54" i="39" s="1"/>
  <c r="R53" i="39"/>
  <c r="KJ53" i="39" s="1"/>
  <c r="R52" i="39"/>
  <c r="KJ52" i="39" s="1"/>
  <c r="R51" i="39"/>
  <c r="KJ51" i="39" s="1"/>
  <c r="R50" i="39"/>
  <c r="KJ50" i="39" s="1"/>
  <c r="R49" i="39"/>
  <c r="KJ49" i="39" s="1"/>
  <c r="R48" i="39"/>
  <c r="KJ48" i="39" s="1"/>
  <c r="R47" i="39"/>
  <c r="KJ47" i="39" s="1"/>
  <c r="R46" i="39"/>
  <c r="KJ46" i="39" s="1"/>
  <c r="R45" i="39"/>
  <c r="KJ45" i="39" s="1"/>
  <c r="R44" i="39"/>
  <c r="KJ44" i="39" s="1"/>
  <c r="R43" i="39"/>
  <c r="KJ43" i="39" s="1"/>
  <c r="R42" i="39"/>
  <c r="KJ42" i="39" s="1"/>
  <c r="R41" i="39"/>
  <c r="KJ41" i="39" s="1"/>
  <c r="R40" i="39"/>
  <c r="KJ40" i="39" s="1"/>
  <c r="R39" i="39"/>
  <c r="KJ39" i="39" s="1"/>
  <c r="R38" i="39"/>
  <c r="KJ38" i="39" s="1"/>
  <c r="R37" i="39"/>
  <c r="KJ37" i="39" s="1"/>
  <c r="R36" i="39"/>
  <c r="KJ36" i="39" s="1"/>
  <c r="R35" i="39"/>
  <c r="KJ35" i="39" s="1"/>
  <c r="R34" i="39"/>
  <c r="KJ34" i="39" s="1"/>
  <c r="R33" i="39"/>
  <c r="KJ33" i="39" s="1"/>
  <c r="R32" i="39"/>
  <c r="KJ32" i="39" s="1"/>
  <c r="R31" i="39"/>
  <c r="KJ31" i="39" s="1"/>
  <c r="R30" i="39"/>
  <c r="KJ30" i="39" s="1"/>
  <c r="R29" i="39"/>
  <c r="KJ29" i="39" s="1"/>
  <c r="R28" i="39"/>
  <c r="KJ28" i="39" s="1"/>
  <c r="R27" i="39"/>
  <c r="KJ27" i="39" s="1"/>
  <c r="R26" i="39"/>
  <c r="KJ26" i="39" s="1"/>
  <c r="R25" i="39"/>
  <c r="KJ25" i="39" s="1"/>
  <c r="R8" i="39"/>
  <c r="KJ8" i="39" s="1"/>
  <c r="R12" i="39"/>
  <c r="KJ12" i="39" s="1"/>
  <c r="R7" i="39"/>
  <c r="KJ7" i="39" s="1"/>
  <c r="R24" i="39"/>
  <c r="KJ24" i="39" s="1"/>
  <c r="R22" i="39"/>
  <c r="KJ22" i="39" s="1"/>
  <c r="R11" i="39"/>
  <c r="KJ11" i="39" s="1"/>
  <c r="R15" i="39"/>
  <c r="KJ15" i="39" s="1"/>
  <c r="R23" i="39"/>
  <c r="KJ23" i="39" s="1"/>
  <c r="R10" i="39"/>
  <c r="KJ10" i="39" s="1"/>
  <c r="GE1" i="39"/>
  <c r="GG163" i="39" a="1"/>
  <c r="GG163" i="39" s="1"/>
  <c r="GG162" i="39" a="1"/>
  <c r="GG162" i="39" s="1"/>
  <c r="GG161" i="39" a="1"/>
  <c r="GG161" i="39" s="1"/>
  <c r="GG160" i="39" a="1"/>
  <c r="GG160" i="39" s="1"/>
  <c r="GG159" i="39" a="1"/>
  <c r="GG159" i="39" s="1"/>
  <c r="GG158" i="39" a="1"/>
  <c r="GG158" i="39" s="1"/>
  <c r="GG157" i="39" a="1"/>
  <c r="GG157" i="39" s="1"/>
  <c r="GG156" i="39" a="1"/>
  <c r="GG156" i="39" s="1"/>
  <c r="GG155" i="39" a="1"/>
  <c r="GG155" i="39" s="1"/>
  <c r="GG154" i="39" a="1"/>
  <c r="GG154" i="39" s="1"/>
  <c r="GG153" i="39" a="1"/>
  <c r="GG153" i="39" s="1"/>
  <c r="GG152" i="39" a="1"/>
  <c r="GG152" i="39" s="1"/>
  <c r="GG151" i="39" a="1"/>
  <c r="GG151" i="39" s="1"/>
  <c r="GG150" i="39" a="1"/>
  <c r="GG150" i="39" s="1"/>
  <c r="GG149" i="39" a="1"/>
  <c r="GG149" i="39" s="1"/>
  <c r="GG148" i="39" a="1"/>
  <c r="GG148" i="39" s="1"/>
  <c r="GG147" i="39" a="1"/>
  <c r="GG147" i="39" s="1"/>
  <c r="GG146" i="39" a="1"/>
  <c r="GG146" i="39" s="1"/>
  <c r="GG145" i="39" a="1"/>
  <c r="GG145" i="39" s="1"/>
  <c r="GG144" i="39" a="1"/>
  <c r="GG144" i="39" s="1"/>
  <c r="GG143" i="39" a="1"/>
  <c r="GG143" i="39" s="1"/>
  <c r="GG142" i="39" a="1"/>
  <c r="GG142" i="39" s="1"/>
  <c r="GG141" i="39" a="1"/>
  <c r="GG141" i="39" s="1"/>
  <c r="GG140" i="39" a="1"/>
  <c r="GG140" i="39" s="1"/>
  <c r="GG139" i="39" a="1"/>
  <c r="GG139" i="39" s="1"/>
  <c r="GG138" i="39" a="1"/>
  <c r="GG138" i="39" s="1"/>
  <c r="GG137" i="39" a="1"/>
  <c r="GG137" i="39" s="1"/>
  <c r="GG136" i="39" a="1"/>
  <c r="GG136" i="39" s="1"/>
  <c r="GG135" i="39" a="1"/>
  <c r="GG135" i="39" s="1"/>
  <c r="GG134" i="39" a="1"/>
  <c r="GG134" i="39" s="1"/>
  <c r="GG133" i="39" a="1"/>
  <c r="GG133" i="39" s="1"/>
  <c r="GG132" i="39" a="1"/>
  <c r="GG132" i="39" s="1"/>
  <c r="GG131" i="39" a="1"/>
  <c r="GG131" i="39" s="1"/>
  <c r="GG130" i="39" a="1"/>
  <c r="GG130" i="39" s="1"/>
  <c r="GG129" i="39" a="1"/>
  <c r="GG129" i="39" s="1"/>
  <c r="GG128" i="39" a="1"/>
  <c r="GG128" i="39" s="1"/>
  <c r="GG127" i="39" a="1"/>
  <c r="GG127" i="39" s="1"/>
  <c r="GG126" i="39" a="1"/>
  <c r="GG126" i="39" s="1"/>
  <c r="GG125" i="39" a="1"/>
  <c r="GG125" i="39" s="1"/>
  <c r="GG124" i="39" a="1"/>
  <c r="GG124" i="39" s="1"/>
  <c r="GG123" i="39" a="1"/>
  <c r="GG123" i="39" s="1"/>
  <c r="GG122" i="39" a="1"/>
  <c r="GG122" i="39" s="1"/>
  <c r="GG121" i="39" a="1"/>
  <c r="GG121" i="39" s="1"/>
  <c r="GG120" i="39" a="1"/>
  <c r="GG120" i="39" s="1"/>
  <c r="GG119" i="39" a="1"/>
  <c r="GG119" i="39" s="1"/>
  <c r="GG118" i="39" a="1"/>
  <c r="GG118" i="39" s="1"/>
  <c r="GG117" i="39" a="1"/>
  <c r="GG117" i="39" s="1"/>
  <c r="GG116" i="39" a="1"/>
  <c r="GG116" i="39" s="1"/>
  <c r="GG115" i="39" a="1"/>
  <c r="GG115" i="39" s="1"/>
  <c r="GG114" i="39" a="1"/>
  <c r="GG114" i="39" s="1"/>
  <c r="GG113" i="39" a="1"/>
  <c r="GG113" i="39" s="1"/>
  <c r="GG112" i="39" a="1"/>
  <c r="GG112" i="39" s="1"/>
  <c r="GG111" i="39" a="1"/>
  <c r="GG111" i="39" s="1"/>
  <c r="GG110" i="39" a="1"/>
  <c r="GG110" i="39" s="1"/>
  <c r="GG109" i="39" a="1"/>
  <c r="GG109" i="39" s="1"/>
  <c r="GG108" i="39" a="1"/>
  <c r="GG108" i="39" s="1"/>
  <c r="GG107" i="39" a="1"/>
  <c r="GG107" i="39" s="1"/>
  <c r="GG106" i="39" a="1"/>
  <c r="GG106" i="39" s="1"/>
  <c r="GG105" i="39" a="1"/>
  <c r="GG105" i="39" s="1"/>
  <c r="GG104" i="39" a="1"/>
  <c r="GG104" i="39" s="1"/>
  <c r="GG103" i="39" a="1"/>
  <c r="GG103" i="39" s="1"/>
  <c r="GG102" i="39" a="1"/>
  <c r="GG102" i="39" s="1"/>
  <c r="GG101" i="39" a="1"/>
  <c r="GG101" i="39" s="1"/>
  <c r="GG100" i="39" a="1"/>
  <c r="GG100" i="39" s="1"/>
  <c r="GG99" i="39" a="1"/>
  <c r="GG99" i="39" s="1"/>
  <c r="GG98" i="39" a="1"/>
  <c r="GG98" i="39" s="1"/>
  <c r="GG97" i="39" a="1"/>
  <c r="GG97" i="39" s="1"/>
  <c r="GG96" i="39" a="1"/>
  <c r="GG96" i="39" s="1"/>
  <c r="GG95" i="39" a="1"/>
  <c r="GG95" i="39" s="1"/>
  <c r="GG94" i="39" a="1"/>
  <c r="GG94" i="39" s="1"/>
  <c r="GG93" i="39" a="1"/>
  <c r="GG93" i="39" s="1"/>
  <c r="GG92" i="39" a="1"/>
  <c r="GG92" i="39" s="1"/>
  <c r="GG91" i="39" a="1"/>
  <c r="GG91" i="39" s="1"/>
  <c r="GG90" i="39" a="1"/>
  <c r="GG90" i="39" s="1"/>
  <c r="GG89" i="39" a="1"/>
  <c r="GG89" i="39" s="1"/>
  <c r="GG88" i="39" a="1"/>
  <c r="GG88" i="39" s="1"/>
  <c r="GG87" i="39" a="1"/>
  <c r="GG87" i="39" s="1"/>
  <c r="GG86" i="39" a="1"/>
  <c r="GG86" i="39" s="1"/>
  <c r="GG85" i="39" a="1"/>
  <c r="GG85" i="39" s="1"/>
  <c r="GG84" i="39" a="1"/>
  <c r="GG84" i="39" s="1"/>
  <c r="GG83" i="39" a="1"/>
  <c r="GG83" i="39" s="1"/>
  <c r="GG82" i="39" a="1"/>
  <c r="GG82" i="39" s="1"/>
  <c r="GG81" i="39" a="1"/>
  <c r="GG81" i="39" s="1"/>
  <c r="GG80" i="39" a="1"/>
  <c r="GG80" i="39" s="1"/>
  <c r="GG79" i="39" a="1"/>
  <c r="GG79" i="39" s="1"/>
  <c r="GG78" i="39" a="1"/>
  <c r="GG78" i="39" s="1"/>
  <c r="GG77" i="39" a="1"/>
  <c r="GG77" i="39" s="1"/>
  <c r="GG76" i="39" a="1"/>
  <c r="GG76" i="39" s="1"/>
  <c r="GG75" i="39" a="1"/>
  <c r="GG75" i="39" s="1"/>
  <c r="GG74" i="39" a="1"/>
  <c r="GG74" i="39" s="1"/>
  <c r="GG73" i="39" a="1"/>
  <c r="GG73" i="39" s="1"/>
  <c r="GG72" i="39" a="1"/>
  <c r="GG72" i="39" s="1"/>
  <c r="GG71" i="39" a="1"/>
  <c r="GG71" i="39" s="1"/>
  <c r="GG70" i="39" a="1"/>
  <c r="GG70" i="39" s="1"/>
  <c r="GG69" i="39" a="1"/>
  <c r="GG69" i="39" s="1"/>
  <c r="GG68" i="39" a="1"/>
  <c r="GG68" i="39" s="1"/>
  <c r="GG67" i="39" a="1"/>
  <c r="GG67" i="39" s="1"/>
  <c r="GG66" i="39" a="1"/>
  <c r="GG66" i="39" s="1"/>
  <c r="GG65" i="39" a="1"/>
  <c r="GG65" i="39" s="1"/>
  <c r="GG64" i="39" a="1"/>
  <c r="GG64" i="39" s="1"/>
  <c r="GG63" i="39" a="1"/>
  <c r="GG63" i="39" s="1"/>
  <c r="GG62" i="39" a="1"/>
  <c r="GG62" i="39" s="1"/>
  <c r="GG61" i="39" a="1"/>
  <c r="GG61" i="39" s="1"/>
  <c r="GG60" i="39" a="1"/>
  <c r="GG60" i="39" s="1"/>
  <c r="GG59" i="39" a="1"/>
  <c r="GG59" i="39" s="1"/>
  <c r="GG58" i="39" a="1"/>
  <c r="GG58" i="39" s="1"/>
  <c r="GG57" i="39" a="1"/>
  <c r="GG57" i="39" s="1"/>
  <c r="GG56" i="39" a="1"/>
  <c r="GG56" i="39" s="1"/>
  <c r="GG55" i="39" a="1"/>
  <c r="GG55" i="39" s="1"/>
  <c r="GG54" i="39" a="1"/>
  <c r="GG54" i="39" s="1"/>
  <c r="GG53" i="39" a="1"/>
  <c r="GG53" i="39" s="1"/>
  <c r="GG52" i="39" a="1"/>
  <c r="GG52" i="39" s="1"/>
  <c r="GG51" i="39" a="1"/>
  <c r="GG51" i="39" s="1"/>
  <c r="GG50" i="39" a="1"/>
  <c r="GG50" i="39" s="1"/>
  <c r="GG49" i="39" a="1"/>
  <c r="GG49" i="39" s="1"/>
  <c r="GG48" i="39" a="1"/>
  <c r="GG48" i="39" s="1"/>
  <c r="GG47" i="39" a="1"/>
  <c r="GG47" i="39" s="1"/>
  <c r="GG46" i="39" a="1"/>
  <c r="GG46" i="39" s="1"/>
  <c r="GG45" i="39" a="1"/>
  <c r="GG45" i="39" s="1"/>
  <c r="GG44" i="39" a="1"/>
  <c r="GG44" i="39" s="1"/>
  <c r="GG43" i="39" a="1"/>
  <c r="GG43" i="39" s="1"/>
  <c r="GG42" i="39" a="1"/>
  <c r="GG42" i="39" s="1"/>
  <c r="GG41" i="39" a="1"/>
  <c r="GG41" i="39" s="1"/>
  <c r="GG40" i="39" a="1"/>
  <c r="GG40" i="39" s="1"/>
  <c r="GG39" i="39" a="1"/>
  <c r="GG39" i="39" s="1"/>
  <c r="GG38" i="39" a="1"/>
  <c r="GG38" i="39" s="1"/>
  <c r="GG37" i="39" a="1"/>
  <c r="GG37" i="39" s="1"/>
  <c r="GG36" i="39" a="1"/>
  <c r="GG36" i="39" s="1"/>
  <c r="GG35" i="39" a="1"/>
  <c r="GG35" i="39" s="1"/>
  <c r="GG34" i="39" a="1"/>
  <c r="GG34" i="39" s="1"/>
  <c r="GG33" i="39" a="1"/>
  <c r="GG33" i="39" s="1"/>
  <c r="GG32" i="39" a="1"/>
  <c r="GG32" i="39" s="1"/>
  <c r="GG31" i="39" a="1"/>
  <c r="GG31" i="39" s="1"/>
  <c r="GG30" i="39" a="1"/>
  <c r="GG30" i="39" s="1"/>
  <c r="GG29" i="39" a="1"/>
  <c r="GG29" i="39" s="1"/>
  <c r="GG28" i="39" a="1"/>
  <c r="GG28" i="39" s="1"/>
  <c r="GG27" i="39" a="1"/>
  <c r="GG27" i="39" s="1"/>
  <c r="GG26" i="39" a="1"/>
  <c r="GG26" i="39" s="1"/>
  <c r="GG25" i="39" a="1"/>
  <c r="GG25" i="39" s="1"/>
  <c r="GG24" i="39" a="1"/>
  <c r="GG24" i="39" s="1"/>
  <c r="GG23" i="39" a="1"/>
  <c r="GG23" i="39" s="1"/>
  <c r="GG22" i="39" a="1"/>
  <c r="GG22" i="39" s="1"/>
  <c r="GG21" i="39" a="1"/>
  <c r="GG21" i="39" s="1"/>
  <c r="GG20" i="39" a="1"/>
  <c r="GG20" i="39" s="1"/>
  <c r="GG19" i="39" a="1"/>
  <c r="GG19" i="39" s="1"/>
  <c r="GG18" i="39" a="1"/>
  <c r="GG18" i="39" s="1"/>
  <c r="GG17" i="39" a="1"/>
  <c r="GG17" i="39" s="1"/>
  <c r="GG16" i="39" a="1"/>
  <c r="GG16" i="39" s="1"/>
  <c r="GG15" i="39" a="1"/>
  <c r="GG15" i="39" s="1"/>
  <c r="GG14" i="39" a="1"/>
  <c r="GG14" i="39" s="1"/>
  <c r="GG13" i="39" a="1"/>
  <c r="GG13" i="39" s="1"/>
  <c r="GG12" i="39" a="1"/>
  <c r="GG12" i="39" s="1"/>
  <c r="GG11" i="39" a="1"/>
  <c r="GG11" i="39" s="1"/>
  <c r="GG10" i="39" a="1"/>
  <c r="GG10" i="39" s="1"/>
  <c r="GG9" i="39" a="1"/>
  <c r="GG9" i="39" s="1"/>
  <c r="GG8" i="39" a="1"/>
  <c r="GG8" i="39" s="1"/>
  <c r="GG7" i="39" a="1"/>
  <c r="GG7" i="39" s="1"/>
  <c r="GG6" i="39" a="1"/>
  <c r="GG6" i="39" s="1"/>
  <c r="GG5" i="39" a="1"/>
  <c r="GG5" i="39" s="1"/>
  <c r="GG4" i="39" a="1"/>
  <c r="GG4" i="39" s="1"/>
  <c r="GD163" i="39" a="1"/>
  <c r="GD163" i="39" s="1"/>
  <c r="GD162" i="39" a="1"/>
  <c r="GD162" i="39" s="1"/>
  <c r="GD161" i="39" a="1"/>
  <c r="GD161" i="39" s="1"/>
  <c r="GD160" i="39" a="1"/>
  <c r="GD160" i="39" s="1"/>
  <c r="GD159" i="39" a="1"/>
  <c r="GD159" i="39" s="1"/>
  <c r="GD158" i="39" a="1"/>
  <c r="GD158" i="39" s="1"/>
  <c r="GD157" i="39" a="1"/>
  <c r="GD157" i="39" s="1"/>
  <c r="GD156" i="39" a="1"/>
  <c r="GD156" i="39" s="1"/>
  <c r="GD155" i="39" a="1"/>
  <c r="GD155" i="39" s="1"/>
  <c r="GD154" i="39" a="1"/>
  <c r="GD154" i="39" s="1"/>
  <c r="GD153" i="39" a="1"/>
  <c r="GD153" i="39" s="1"/>
  <c r="GD152" i="39" a="1"/>
  <c r="GD152" i="39" s="1"/>
  <c r="GD151" i="39" a="1"/>
  <c r="GD151" i="39" s="1"/>
  <c r="GD150" i="39" a="1"/>
  <c r="GD150" i="39" s="1"/>
  <c r="GD149" i="39" a="1"/>
  <c r="GD149" i="39" s="1"/>
  <c r="GD148" i="39" a="1"/>
  <c r="GD148" i="39" s="1"/>
  <c r="GD147" i="39" a="1"/>
  <c r="GD147" i="39" s="1"/>
  <c r="GD146" i="39" a="1"/>
  <c r="GD146" i="39" s="1"/>
  <c r="GD145" i="39" a="1"/>
  <c r="GD145" i="39" s="1"/>
  <c r="GD144" i="39" a="1"/>
  <c r="GD144" i="39" s="1"/>
  <c r="GD143" i="39" a="1"/>
  <c r="GD143" i="39" s="1"/>
  <c r="GD142" i="39" a="1"/>
  <c r="GD142" i="39" s="1"/>
  <c r="GD141" i="39" a="1"/>
  <c r="GD141" i="39" s="1"/>
  <c r="GD140" i="39" a="1"/>
  <c r="GD140" i="39" s="1"/>
  <c r="GD139" i="39" a="1"/>
  <c r="GD139" i="39" s="1"/>
  <c r="GD138" i="39" a="1"/>
  <c r="GD138" i="39" s="1"/>
  <c r="GD137" i="39" a="1"/>
  <c r="GD137" i="39" s="1"/>
  <c r="GD136" i="39" a="1"/>
  <c r="GD136" i="39" s="1"/>
  <c r="GD135" i="39" a="1"/>
  <c r="GD135" i="39" s="1"/>
  <c r="GD134" i="39" a="1"/>
  <c r="GD134" i="39" s="1"/>
  <c r="GD133" i="39" a="1"/>
  <c r="GD133" i="39" s="1"/>
  <c r="GD132" i="39" a="1"/>
  <c r="GD132" i="39" s="1"/>
  <c r="GD131" i="39" a="1"/>
  <c r="GD131" i="39" s="1"/>
  <c r="GD130" i="39" a="1"/>
  <c r="GD130" i="39" s="1"/>
  <c r="GD129" i="39" a="1"/>
  <c r="GD129" i="39" s="1"/>
  <c r="GD128" i="39" a="1"/>
  <c r="GD128" i="39" s="1"/>
  <c r="GD127" i="39" a="1"/>
  <c r="GD127" i="39" s="1"/>
  <c r="GD126" i="39" a="1"/>
  <c r="GD126" i="39" s="1"/>
  <c r="GD125" i="39" a="1"/>
  <c r="GD125" i="39" s="1"/>
  <c r="GD124" i="39" a="1"/>
  <c r="GD124" i="39" s="1"/>
  <c r="GD123" i="39" a="1"/>
  <c r="GD123" i="39" s="1"/>
  <c r="GD122" i="39" a="1"/>
  <c r="GD122" i="39" s="1"/>
  <c r="GD121" i="39" a="1"/>
  <c r="GD121" i="39" s="1"/>
  <c r="GD120" i="39" a="1"/>
  <c r="GD120" i="39" s="1"/>
  <c r="GD119" i="39" a="1"/>
  <c r="GD119" i="39" s="1"/>
  <c r="GD118" i="39" a="1"/>
  <c r="GD118" i="39" s="1"/>
  <c r="GD117" i="39" a="1"/>
  <c r="GD117" i="39" s="1"/>
  <c r="GD116" i="39" a="1"/>
  <c r="GD116" i="39" s="1"/>
  <c r="GD115" i="39" a="1"/>
  <c r="GD115" i="39" s="1"/>
  <c r="GD114" i="39" a="1"/>
  <c r="GD114" i="39" s="1"/>
  <c r="GD113" i="39" a="1"/>
  <c r="GD113" i="39" s="1"/>
  <c r="GD112" i="39" a="1"/>
  <c r="GD112" i="39" s="1"/>
  <c r="GD111" i="39" a="1"/>
  <c r="GD111" i="39" s="1"/>
  <c r="GD110" i="39" a="1"/>
  <c r="GD110" i="39" s="1"/>
  <c r="GD109" i="39" a="1"/>
  <c r="GD109" i="39" s="1"/>
  <c r="GD108" i="39" a="1"/>
  <c r="GD108" i="39" s="1"/>
  <c r="GD107" i="39" a="1"/>
  <c r="GD107" i="39" s="1"/>
  <c r="GD106" i="39" a="1"/>
  <c r="GD106" i="39" s="1"/>
  <c r="GD105" i="39" a="1"/>
  <c r="GD105" i="39" s="1"/>
  <c r="GD104" i="39" a="1"/>
  <c r="GD104" i="39" s="1"/>
  <c r="GD103" i="39" a="1"/>
  <c r="GD103" i="39" s="1"/>
  <c r="GD102" i="39" a="1"/>
  <c r="GD102" i="39" s="1"/>
  <c r="GD101" i="39" a="1"/>
  <c r="GD101" i="39" s="1"/>
  <c r="GD100" i="39" a="1"/>
  <c r="GD100" i="39" s="1"/>
  <c r="GD99" i="39" a="1"/>
  <c r="GD99" i="39" s="1"/>
  <c r="GD98" i="39" a="1"/>
  <c r="GD98" i="39" s="1"/>
  <c r="GD97" i="39" a="1"/>
  <c r="GD97" i="39" s="1"/>
  <c r="GD96" i="39" a="1"/>
  <c r="GD96" i="39" s="1"/>
  <c r="GD95" i="39" a="1"/>
  <c r="GD95" i="39" s="1"/>
  <c r="GD94" i="39" a="1"/>
  <c r="GD94" i="39" s="1"/>
  <c r="GD93" i="39" a="1"/>
  <c r="GD93" i="39" s="1"/>
  <c r="GD92" i="39" a="1"/>
  <c r="GD92" i="39" s="1"/>
  <c r="GD91" i="39" a="1"/>
  <c r="GD91" i="39" s="1"/>
  <c r="GD90" i="39" a="1"/>
  <c r="GD90" i="39" s="1"/>
  <c r="GD89" i="39" a="1"/>
  <c r="GD89" i="39" s="1"/>
  <c r="GD88" i="39" a="1"/>
  <c r="GD88" i="39" s="1"/>
  <c r="GD87" i="39" a="1"/>
  <c r="GD87" i="39" s="1"/>
  <c r="GD86" i="39" a="1"/>
  <c r="GD86" i="39" s="1"/>
  <c r="GD85" i="39" a="1"/>
  <c r="GD85" i="39" s="1"/>
  <c r="GD84" i="39" a="1"/>
  <c r="GD84" i="39" s="1"/>
  <c r="GD83" i="39" a="1"/>
  <c r="GD83" i="39" s="1"/>
  <c r="GD82" i="39" a="1"/>
  <c r="GD82" i="39" s="1"/>
  <c r="GD81" i="39" a="1"/>
  <c r="GD81" i="39" s="1"/>
  <c r="GD80" i="39" a="1"/>
  <c r="GD80" i="39" s="1"/>
  <c r="GD79" i="39" a="1"/>
  <c r="GD79" i="39" s="1"/>
  <c r="GD78" i="39" a="1"/>
  <c r="GD78" i="39" s="1"/>
  <c r="GD77" i="39" a="1"/>
  <c r="GD77" i="39" s="1"/>
  <c r="GD76" i="39" a="1"/>
  <c r="GD76" i="39" s="1"/>
  <c r="GD75" i="39" a="1"/>
  <c r="GD75" i="39" s="1"/>
  <c r="GD74" i="39" a="1"/>
  <c r="GD74" i="39" s="1"/>
  <c r="GD73" i="39" a="1"/>
  <c r="GD73" i="39" s="1"/>
  <c r="GD72" i="39" a="1"/>
  <c r="GD72" i="39" s="1"/>
  <c r="GD71" i="39" a="1"/>
  <c r="GD71" i="39" s="1"/>
  <c r="GD70" i="39" a="1"/>
  <c r="GD70" i="39" s="1"/>
  <c r="GD69" i="39" a="1"/>
  <c r="GD69" i="39" s="1"/>
  <c r="GD68" i="39" a="1"/>
  <c r="GD68" i="39" s="1"/>
  <c r="GD67" i="39" a="1"/>
  <c r="GD67" i="39" s="1"/>
  <c r="GD66" i="39" a="1"/>
  <c r="GD66" i="39" s="1"/>
  <c r="GD65" i="39" a="1"/>
  <c r="GD65" i="39" s="1"/>
  <c r="GD64" i="39" a="1"/>
  <c r="GD64" i="39" s="1"/>
  <c r="GD63" i="39" a="1"/>
  <c r="GD63" i="39" s="1"/>
  <c r="GD62" i="39" a="1"/>
  <c r="GD62" i="39" s="1"/>
  <c r="GD61" i="39" a="1"/>
  <c r="GD61" i="39" s="1"/>
  <c r="GD60" i="39" a="1"/>
  <c r="GD60" i="39" s="1"/>
  <c r="GD59" i="39" a="1"/>
  <c r="GD59" i="39" s="1"/>
  <c r="GD58" i="39" a="1"/>
  <c r="GD58" i="39" s="1"/>
  <c r="GD57" i="39" a="1"/>
  <c r="GD57" i="39" s="1"/>
  <c r="GD56" i="39" a="1"/>
  <c r="GD56" i="39" s="1"/>
  <c r="GD55" i="39" a="1"/>
  <c r="GD55" i="39" s="1"/>
  <c r="GD54" i="39" a="1"/>
  <c r="GD54" i="39" s="1"/>
  <c r="GD53" i="39" a="1"/>
  <c r="GD53" i="39" s="1"/>
  <c r="GD52" i="39" a="1"/>
  <c r="GD52" i="39" s="1"/>
  <c r="GD51" i="39" a="1"/>
  <c r="GD51" i="39" s="1"/>
  <c r="GD50" i="39" a="1"/>
  <c r="GD50" i="39" s="1"/>
  <c r="GD49" i="39" a="1"/>
  <c r="GD49" i="39" s="1"/>
  <c r="GD48" i="39" a="1"/>
  <c r="GD48" i="39" s="1"/>
  <c r="GD47" i="39" a="1"/>
  <c r="GD47" i="39" s="1"/>
  <c r="GD46" i="39" a="1"/>
  <c r="GD46" i="39" s="1"/>
  <c r="GD45" i="39" a="1"/>
  <c r="GD45" i="39" s="1"/>
  <c r="GD44" i="39" a="1"/>
  <c r="GD44" i="39" s="1"/>
  <c r="GD43" i="39" a="1"/>
  <c r="GD43" i="39" s="1"/>
  <c r="GD42" i="39" a="1"/>
  <c r="GD42" i="39" s="1"/>
  <c r="GD41" i="39" a="1"/>
  <c r="GD41" i="39" s="1"/>
  <c r="GD40" i="39" a="1"/>
  <c r="GD40" i="39" s="1"/>
  <c r="GD39" i="39" a="1"/>
  <c r="GD39" i="39" s="1"/>
  <c r="GD38" i="39" a="1"/>
  <c r="GD38" i="39" s="1"/>
  <c r="GD37" i="39" a="1"/>
  <c r="GD37" i="39" s="1"/>
  <c r="GD36" i="39" a="1"/>
  <c r="GD36" i="39" s="1"/>
  <c r="GD35" i="39" a="1"/>
  <c r="GD35" i="39" s="1"/>
  <c r="GD34" i="39" a="1"/>
  <c r="GD34" i="39" s="1"/>
  <c r="GD33" i="39" a="1"/>
  <c r="GD33" i="39" s="1"/>
  <c r="GD32" i="39" a="1"/>
  <c r="GD32" i="39" s="1"/>
  <c r="GD31" i="39" a="1"/>
  <c r="GD31" i="39" s="1"/>
  <c r="GD30" i="39" a="1"/>
  <c r="GD30" i="39" s="1"/>
  <c r="GD29" i="39" a="1"/>
  <c r="GD29" i="39" s="1"/>
  <c r="GD28" i="39" a="1"/>
  <c r="GD28" i="39" s="1"/>
  <c r="GD27" i="39" a="1"/>
  <c r="GD27" i="39" s="1"/>
  <c r="GD26" i="39" a="1"/>
  <c r="GD26" i="39" s="1"/>
  <c r="GD25" i="39" a="1"/>
  <c r="GD25" i="39" s="1"/>
  <c r="GD24" i="39" a="1"/>
  <c r="GD24" i="39" s="1"/>
  <c r="GD23" i="39" a="1"/>
  <c r="GD23" i="39" s="1"/>
  <c r="GD22" i="39" a="1"/>
  <c r="GD22" i="39" s="1"/>
  <c r="GD21" i="39" a="1"/>
  <c r="GD21" i="39" s="1"/>
  <c r="GD20" i="39" a="1"/>
  <c r="GD20" i="39" s="1"/>
  <c r="GD19" i="39" a="1"/>
  <c r="GD19" i="39" s="1"/>
  <c r="GD18" i="39" a="1"/>
  <c r="GD18" i="39" s="1"/>
  <c r="GD17" i="39" a="1"/>
  <c r="GD17" i="39" s="1"/>
  <c r="GD16" i="39" a="1"/>
  <c r="GD16" i="39" s="1"/>
  <c r="GD15" i="39" a="1"/>
  <c r="GD15" i="39" s="1"/>
  <c r="GD14" i="39" a="1"/>
  <c r="GD14" i="39" s="1"/>
  <c r="GD13" i="39" a="1"/>
  <c r="GD13" i="39" s="1"/>
  <c r="GD12" i="39" a="1"/>
  <c r="GD12" i="39" s="1"/>
  <c r="GD11" i="39" a="1"/>
  <c r="GD11" i="39" s="1"/>
  <c r="GD10" i="39" a="1"/>
  <c r="GD10" i="39" s="1"/>
  <c r="GD9" i="39" a="1"/>
  <c r="GD9" i="39" s="1"/>
  <c r="GD8" i="39" a="1"/>
  <c r="GD8" i="39" s="1"/>
  <c r="GD7" i="39" a="1"/>
  <c r="GD7" i="39" s="1"/>
  <c r="GD6" i="39" a="1"/>
  <c r="GD6" i="39" s="1"/>
  <c r="GD5" i="39" a="1"/>
  <c r="GD5" i="39" s="1"/>
  <c r="FW163" i="39" a="1"/>
  <c r="FW163" i="39" s="1"/>
  <c r="FW162" i="39" a="1"/>
  <c r="FW162" i="39" s="1"/>
  <c r="FW161" i="39" a="1"/>
  <c r="FW161" i="39" s="1"/>
  <c r="FW160" i="39" a="1"/>
  <c r="FW160" i="39" s="1"/>
  <c r="FW159" i="39" a="1"/>
  <c r="FW159" i="39" s="1"/>
  <c r="FW158" i="39" a="1"/>
  <c r="FW158" i="39" s="1"/>
  <c r="FW157" i="39" a="1"/>
  <c r="FW157" i="39" s="1"/>
  <c r="FW156" i="39" a="1"/>
  <c r="FW156" i="39" s="1"/>
  <c r="FW155" i="39" a="1"/>
  <c r="FW155" i="39" s="1"/>
  <c r="FW154" i="39" a="1"/>
  <c r="FW154" i="39" s="1"/>
  <c r="FW153" i="39" a="1"/>
  <c r="FW153" i="39" s="1"/>
  <c r="FW152" i="39" a="1"/>
  <c r="FW152" i="39" s="1"/>
  <c r="FW151" i="39" a="1"/>
  <c r="FW151" i="39" s="1"/>
  <c r="FW150" i="39" a="1"/>
  <c r="FW150" i="39" s="1"/>
  <c r="FW149" i="39" a="1"/>
  <c r="FW149" i="39" s="1"/>
  <c r="FW148" i="39" a="1"/>
  <c r="FW148" i="39" s="1"/>
  <c r="FW147" i="39" a="1"/>
  <c r="FW147" i="39" s="1"/>
  <c r="FW146" i="39" a="1"/>
  <c r="FW146" i="39" s="1"/>
  <c r="FW145" i="39" a="1"/>
  <c r="FW145" i="39" s="1"/>
  <c r="FW144" i="39" a="1"/>
  <c r="FW144" i="39" s="1"/>
  <c r="FW143" i="39" a="1"/>
  <c r="FW143" i="39" s="1"/>
  <c r="FW142" i="39" a="1"/>
  <c r="FW142" i="39" s="1"/>
  <c r="FW141" i="39" a="1"/>
  <c r="FW141" i="39" s="1"/>
  <c r="FW140" i="39" a="1"/>
  <c r="FW140" i="39" s="1"/>
  <c r="FW139" i="39" a="1"/>
  <c r="FW139" i="39" s="1"/>
  <c r="FW138" i="39" a="1"/>
  <c r="FW138" i="39" s="1"/>
  <c r="FW137" i="39" a="1"/>
  <c r="FW137" i="39" s="1"/>
  <c r="FW136" i="39" a="1"/>
  <c r="FW136" i="39" s="1"/>
  <c r="FW135" i="39" a="1"/>
  <c r="FW135" i="39" s="1"/>
  <c r="FW134" i="39" a="1"/>
  <c r="FW134" i="39" s="1"/>
  <c r="FW133" i="39" a="1"/>
  <c r="FW133" i="39" s="1"/>
  <c r="FW132" i="39" a="1"/>
  <c r="FW132" i="39" s="1"/>
  <c r="FW131" i="39" a="1"/>
  <c r="FW131" i="39" s="1"/>
  <c r="FW130" i="39" a="1"/>
  <c r="FW130" i="39" s="1"/>
  <c r="FW129" i="39" a="1"/>
  <c r="FW129" i="39" s="1"/>
  <c r="FW128" i="39" a="1"/>
  <c r="FW128" i="39" s="1"/>
  <c r="FW127" i="39" a="1"/>
  <c r="FW127" i="39" s="1"/>
  <c r="FW126" i="39" a="1"/>
  <c r="FW126" i="39" s="1"/>
  <c r="FW125" i="39" a="1"/>
  <c r="FW125" i="39" s="1"/>
  <c r="FW124" i="39" a="1"/>
  <c r="FW124" i="39" s="1"/>
  <c r="FW123" i="39" a="1"/>
  <c r="FW123" i="39" s="1"/>
  <c r="FW122" i="39" a="1"/>
  <c r="FW122" i="39" s="1"/>
  <c r="FW121" i="39" a="1"/>
  <c r="FW121" i="39" s="1"/>
  <c r="FW120" i="39" a="1"/>
  <c r="FW120" i="39" s="1"/>
  <c r="FW119" i="39" a="1"/>
  <c r="FW119" i="39" s="1"/>
  <c r="FW118" i="39" a="1"/>
  <c r="FW118" i="39" s="1"/>
  <c r="FW117" i="39" a="1"/>
  <c r="FW117" i="39" s="1"/>
  <c r="FW116" i="39" a="1"/>
  <c r="FW116" i="39" s="1"/>
  <c r="FW115" i="39" a="1"/>
  <c r="FW115" i="39" s="1"/>
  <c r="FW114" i="39" a="1"/>
  <c r="FW114" i="39" s="1"/>
  <c r="FW113" i="39" a="1"/>
  <c r="FW113" i="39" s="1"/>
  <c r="FW112" i="39" a="1"/>
  <c r="FW112" i="39" s="1"/>
  <c r="FW111" i="39" a="1"/>
  <c r="FW111" i="39" s="1"/>
  <c r="FW110" i="39" a="1"/>
  <c r="FW110" i="39" s="1"/>
  <c r="FW109" i="39" a="1"/>
  <c r="FW109" i="39" s="1"/>
  <c r="FW108" i="39" a="1"/>
  <c r="FW108" i="39" s="1"/>
  <c r="FW107" i="39" a="1"/>
  <c r="FW107" i="39" s="1"/>
  <c r="FW106" i="39" a="1"/>
  <c r="FW106" i="39" s="1"/>
  <c r="FW105" i="39" a="1"/>
  <c r="FW105" i="39" s="1"/>
  <c r="FW104" i="39" a="1"/>
  <c r="FW104" i="39" s="1"/>
  <c r="FW103" i="39" a="1"/>
  <c r="FW103" i="39" s="1"/>
  <c r="FW102" i="39" a="1"/>
  <c r="FW102" i="39" s="1"/>
  <c r="FW101" i="39" a="1"/>
  <c r="FW101" i="39" s="1"/>
  <c r="FW100" i="39" a="1"/>
  <c r="FW100" i="39" s="1"/>
  <c r="FW99" i="39" a="1"/>
  <c r="FW99" i="39" s="1"/>
  <c r="FW98" i="39" a="1"/>
  <c r="FW98" i="39" s="1"/>
  <c r="FW97" i="39" a="1"/>
  <c r="FW97" i="39" s="1"/>
  <c r="FW96" i="39" a="1"/>
  <c r="FW96" i="39" s="1"/>
  <c r="FW95" i="39" a="1"/>
  <c r="FW95" i="39" s="1"/>
  <c r="FW94" i="39" a="1"/>
  <c r="FW94" i="39" s="1"/>
  <c r="FW93" i="39" a="1"/>
  <c r="FW93" i="39" s="1"/>
  <c r="FW92" i="39" a="1"/>
  <c r="FW92" i="39" s="1"/>
  <c r="FW91" i="39" a="1"/>
  <c r="FW91" i="39" s="1"/>
  <c r="FW90" i="39" a="1"/>
  <c r="FW90" i="39" s="1"/>
  <c r="FW89" i="39" a="1"/>
  <c r="FW89" i="39" s="1"/>
  <c r="FW88" i="39" a="1"/>
  <c r="FW88" i="39" s="1"/>
  <c r="FW87" i="39" a="1"/>
  <c r="FW87" i="39" s="1"/>
  <c r="FW86" i="39" a="1"/>
  <c r="FW86" i="39" s="1"/>
  <c r="FW85" i="39" a="1"/>
  <c r="FW85" i="39" s="1"/>
  <c r="FW84" i="39" a="1"/>
  <c r="FW84" i="39" s="1"/>
  <c r="FW83" i="39" a="1"/>
  <c r="FW83" i="39" s="1"/>
  <c r="FW82" i="39" a="1"/>
  <c r="FW82" i="39" s="1"/>
  <c r="FW81" i="39" a="1"/>
  <c r="FW81" i="39" s="1"/>
  <c r="FW80" i="39" a="1"/>
  <c r="FW80" i="39" s="1"/>
  <c r="FW79" i="39" a="1"/>
  <c r="FW79" i="39" s="1"/>
  <c r="FW78" i="39" a="1"/>
  <c r="FW78" i="39" s="1"/>
  <c r="FW77" i="39" a="1"/>
  <c r="FW77" i="39" s="1"/>
  <c r="FW76" i="39" a="1"/>
  <c r="FW76" i="39" s="1"/>
  <c r="FW75" i="39" a="1"/>
  <c r="FW75" i="39" s="1"/>
  <c r="FW74" i="39" a="1"/>
  <c r="FW74" i="39" s="1"/>
  <c r="FW73" i="39" a="1"/>
  <c r="FW73" i="39" s="1"/>
  <c r="FW72" i="39" a="1"/>
  <c r="FW72" i="39" s="1"/>
  <c r="FW71" i="39" a="1"/>
  <c r="FW71" i="39" s="1"/>
  <c r="FW70" i="39" a="1"/>
  <c r="FW70" i="39" s="1"/>
  <c r="FW69" i="39" a="1"/>
  <c r="FW69" i="39" s="1"/>
  <c r="FW68" i="39" a="1"/>
  <c r="FW68" i="39" s="1"/>
  <c r="FW67" i="39" a="1"/>
  <c r="FW67" i="39" s="1"/>
  <c r="FW66" i="39" a="1"/>
  <c r="FW66" i="39" s="1"/>
  <c r="FW65" i="39" a="1"/>
  <c r="FW65" i="39" s="1"/>
  <c r="FW64" i="39" a="1"/>
  <c r="FW64" i="39" s="1"/>
  <c r="FW63" i="39" a="1"/>
  <c r="FW63" i="39" s="1"/>
  <c r="FW62" i="39" a="1"/>
  <c r="FW62" i="39" s="1"/>
  <c r="FW61" i="39" a="1"/>
  <c r="FW61" i="39" s="1"/>
  <c r="FW60" i="39" a="1"/>
  <c r="FW60" i="39" s="1"/>
  <c r="FW59" i="39" a="1"/>
  <c r="FW59" i="39" s="1"/>
  <c r="FW58" i="39" a="1"/>
  <c r="FW58" i="39" s="1"/>
  <c r="FW57" i="39" a="1"/>
  <c r="FW57" i="39" s="1"/>
  <c r="FW56" i="39" a="1"/>
  <c r="FW56" i="39" s="1"/>
  <c r="FW55" i="39" a="1"/>
  <c r="FW55" i="39" s="1"/>
  <c r="FW54" i="39" a="1"/>
  <c r="FW54" i="39" s="1"/>
  <c r="FW53" i="39" a="1"/>
  <c r="FW53" i="39" s="1"/>
  <c r="FW52" i="39" a="1"/>
  <c r="FW52" i="39" s="1"/>
  <c r="FW51" i="39" a="1"/>
  <c r="FW51" i="39" s="1"/>
  <c r="FW50" i="39" a="1"/>
  <c r="FW50" i="39" s="1"/>
  <c r="FW49" i="39" a="1"/>
  <c r="FW49" i="39" s="1"/>
  <c r="FW48" i="39" a="1"/>
  <c r="FW48" i="39" s="1"/>
  <c r="FW47" i="39" a="1"/>
  <c r="FW47" i="39" s="1"/>
  <c r="FW46" i="39" a="1"/>
  <c r="FW46" i="39" s="1"/>
  <c r="FW45" i="39" a="1"/>
  <c r="FW45" i="39" s="1"/>
  <c r="FW44" i="39" a="1"/>
  <c r="FW44" i="39" s="1"/>
  <c r="FW43" i="39" a="1"/>
  <c r="FW43" i="39" s="1"/>
  <c r="FW42" i="39" a="1"/>
  <c r="FW42" i="39" s="1"/>
  <c r="FW41" i="39" a="1"/>
  <c r="FW41" i="39" s="1"/>
  <c r="FW40" i="39" a="1"/>
  <c r="FW40" i="39" s="1"/>
  <c r="FW39" i="39" a="1"/>
  <c r="FW39" i="39" s="1"/>
  <c r="FW38" i="39" a="1"/>
  <c r="FW38" i="39" s="1"/>
  <c r="FW37" i="39" a="1"/>
  <c r="FW37" i="39" s="1"/>
  <c r="FW36" i="39" a="1"/>
  <c r="FW36" i="39" s="1"/>
  <c r="FW35" i="39" a="1"/>
  <c r="FW35" i="39" s="1"/>
  <c r="FW34" i="39" a="1"/>
  <c r="FW34" i="39" s="1"/>
  <c r="FW33" i="39" a="1"/>
  <c r="FW33" i="39" s="1"/>
  <c r="FW32" i="39" a="1"/>
  <c r="FW32" i="39" s="1"/>
  <c r="FW31" i="39" a="1"/>
  <c r="FW31" i="39" s="1"/>
  <c r="FW30" i="39" a="1"/>
  <c r="FW30" i="39" s="1"/>
  <c r="FW29" i="39" a="1"/>
  <c r="FW29" i="39" s="1"/>
  <c r="FW28" i="39" a="1"/>
  <c r="FW28" i="39" s="1"/>
  <c r="FW27" i="39" a="1"/>
  <c r="FW27" i="39" s="1"/>
  <c r="FW26" i="39" a="1"/>
  <c r="FW26" i="39" s="1"/>
  <c r="FW25" i="39" a="1"/>
  <c r="FW25" i="39" s="1"/>
  <c r="FW24" i="39" a="1"/>
  <c r="FW24" i="39" s="1"/>
  <c r="FW23" i="39" a="1"/>
  <c r="FW23" i="39" s="1"/>
  <c r="FW22" i="39" a="1"/>
  <c r="FW22" i="39" s="1"/>
  <c r="FW21" i="39" a="1"/>
  <c r="FW21" i="39" s="1"/>
  <c r="FW20" i="39" a="1"/>
  <c r="FW20" i="39" s="1"/>
  <c r="FW19" i="39" a="1"/>
  <c r="FW19" i="39" s="1"/>
  <c r="FW18" i="39" a="1"/>
  <c r="FW18" i="39" s="1"/>
  <c r="FW17" i="39" a="1"/>
  <c r="FW17" i="39" s="1"/>
  <c r="FW16" i="39" a="1"/>
  <c r="FW16" i="39" s="1"/>
  <c r="FW15" i="39" a="1"/>
  <c r="FW15" i="39" s="1"/>
  <c r="FW14" i="39" a="1"/>
  <c r="FW14" i="39" s="1"/>
  <c r="FW13" i="39" a="1"/>
  <c r="FW13" i="39" s="1"/>
  <c r="FW12" i="39" a="1"/>
  <c r="FW12" i="39" s="1"/>
  <c r="FW11" i="39" a="1"/>
  <c r="FW11" i="39" s="1"/>
  <c r="FW10" i="39" a="1"/>
  <c r="FW10" i="39" s="1"/>
  <c r="FW9" i="39" a="1"/>
  <c r="FW9" i="39" s="1"/>
  <c r="FW8" i="39" a="1"/>
  <c r="FW8" i="39" s="1"/>
  <c r="FW7" i="39" a="1"/>
  <c r="FW7" i="39" s="1"/>
  <c r="FW6" i="39" a="1"/>
  <c r="FW6" i="39" s="1"/>
  <c r="FW5" i="39" a="1"/>
  <c r="FW5" i="39" s="1"/>
  <c r="FS163" i="39" a="1"/>
  <c r="FS163" i="39" s="1"/>
  <c r="FS162" i="39" a="1"/>
  <c r="FS162" i="39" s="1"/>
  <c r="FS161" i="39" a="1"/>
  <c r="FS161" i="39" s="1"/>
  <c r="FS160" i="39" a="1"/>
  <c r="FS160" i="39" s="1"/>
  <c r="FS159" i="39" a="1"/>
  <c r="FS159" i="39" s="1"/>
  <c r="FS158" i="39" a="1"/>
  <c r="FS158" i="39" s="1"/>
  <c r="FS157" i="39" a="1"/>
  <c r="FS157" i="39" s="1"/>
  <c r="FS156" i="39" a="1"/>
  <c r="FS156" i="39" s="1"/>
  <c r="FS155" i="39" a="1"/>
  <c r="FS155" i="39" s="1"/>
  <c r="FS154" i="39" a="1"/>
  <c r="FS154" i="39" s="1"/>
  <c r="FS153" i="39" a="1"/>
  <c r="FS153" i="39" s="1"/>
  <c r="FS152" i="39" a="1"/>
  <c r="FS152" i="39" s="1"/>
  <c r="FS151" i="39" a="1"/>
  <c r="FS151" i="39" s="1"/>
  <c r="FS150" i="39" a="1"/>
  <c r="FS150" i="39" s="1"/>
  <c r="FS149" i="39" a="1"/>
  <c r="FS149" i="39" s="1"/>
  <c r="FS148" i="39" a="1"/>
  <c r="FS148" i="39" s="1"/>
  <c r="FS147" i="39" a="1"/>
  <c r="FS147" i="39" s="1"/>
  <c r="FS146" i="39" a="1"/>
  <c r="FS146" i="39" s="1"/>
  <c r="FS145" i="39" a="1"/>
  <c r="FS145" i="39" s="1"/>
  <c r="FS144" i="39" a="1"/>
  <c r="FS144" i="39" s="1"/>
  <c r="FS143" i="39" a="1"/>
  <c r="FS143" i="39" s="1"/>
  <c r="FS142" i="39" a="1"/>
  <c r="FS142" i="39" s="1"/>
  <c r="FS141" i="39" a="1"/>
  <c r="FS141" i="39" s="1"/>
  <c r="FS140" i="39" a="1"/>
  <c r="FS140" i="39" s="1"/>
  <c r="FS139" i="39" a="1"/>
  <c r="FS139" i="39" s="1"/>
  <c r="FS138" i="39" a="1"/>
  <c r="FS138" i="39" s="1"/>
  <c r="FS137" i="39" a="1"/>
  <c r="FS137" i="39" s="1"/>
  <c r="FS136" i="39" a="1"/>
  <c r="FS136" i="39" s="1"/>
  <c r="FS135" i="39" a="1"/>
  <c r="FS135" i="39" s="1"/>
  <c r="FS134" i="39" a="1"/>
  <c r="FS134" i="39" s="1"/>
  <c r="FS133" i="39" a="1"/>
  <c r="FS133" i="39" s="1"/>
  <c r="FS132" i="39" a="1"/>
  <c r="FS132" i="39" s="1"/>
  <c r="FS131" i="39" a="1"/>
  <c r="FS131" i="39" s="1"/>
  <c r="FS130" i="39" a="1"/>
  <c r="FS130" i="39" s="1"/>
  <c r="FS129" i="39" a="1"/>
  <c r="FS129" i="39" s="1"/>
  <c r="FS128" i="39" a="1"/>
  <c r="FS128" i="39" s="1"/>
  <c r="FS127" i="39" a="1"/>
  <c r="FS127" i="39" s="1"/>
  <c r="FS126" i="39" a="1"/>
  <c r="FS126" i="39" s="1"/>
  <c r="FS125" i="39" a="1"/>
  <c r="FS125" i="39" s="1"/>
  <c r="FS124" i="39" a="1"/>
  <c r="FS124" i="39" s="1"/>
  <c r="FS123" i="39" a="1"/>
  <c r="FS123" i="39" s="1"/>
  <c r="FS122" i="39" a="1"/>
  <c r="FS122" i="39" s="1"/>
  <c r="FS121" i="39" a="1"/>
  <c r="FS121" i="39" s="1"/>
  <c r="FS120" i="39" a="1"/>
  <c r="FS120" i="39" s="1"/>
  <c r="FS119" i="39" a="1"/>
  <c r="FS119" i="39" s="1"/>
  <c r="FS118" i="39" a="1"/>
  <c r="FS118" i="39" s="1"/>
  <c r="FS117" i="39" a="1"/>
  <c r="FS117" i="39" s="1"/>
  <c r="FS116" i="39" a="1"/>
  <c r="FS116" i="39" s="1"/>
  <c r="FS115" i="39" a="1"/>
  <c r="FS115" i="39" s="1"/>
  <c r="FS114" i="39" a="1"/>
  <c r="FS114" i="39" s="1"/>
  <c r="FS113" i="39" a="1"/>
  <c r="FS113" i="39" s="1"/>
  <c r="FS112" i="39" a="1"/>
  <c r="FS112" i="39" s="1"/>
  <c r="FS111" i="39" a="1"/>
  <c r="FS111" i="39" s="1"/>
  <c r="FS110" i="39" a="1"/>
  <c r="FS110" i="39" s="1"/>
  <c r="FS109" i="39" a="1"/>
  <c r="FS109" i="39" s="1"/>
  <c r="FS108" i="39" a="1"/>
  <c r="FS108" i="39" s="1"/>
  <c r="FS107" i="39" a="1"/>
  <c r="FS107" i="39" s="1"/>
  <c r="FS106" i="39" a="1"/>
  <c r="FS106" i="39" s="1"/>
  <c r="FS105" i="39" a="1"/>
  <c r="FS105" i="39" s="1"/>
  <c r="FS104" i="39" a="1"/>
  <c r="FS104" i="39" s="1"/>
  <c r="FS103" i="39" a="1"/>
  <c r="FS103" i="39" s="1"/>
  <c r="FS102" i="39" a="1"/>
  <c r="FS102" i="39" s="1"/>
  <c r="FS101" i="39" a="1"/>
  <c r="FS101" i="39" s="1"/>
  <c r="FS100" i="39" a="1"/>
  <c r="FS100" i="39" s="1"/>
  <c r="FS99" i="39" a="1"/>
  <c r="FS99" i="39" s="1"/>
  <c r="FS98" i="39" a="1"/>
  <c r="FS98" i="39" s="1"/>
  <c r="FS97" i="39" a="1"/>
  <c r="FS97" i="39" s="1"/>
  <c r="FS96" i="39" a="1"/>
  <c r="FS96" i="39" s="1"/>
  <c r="FS95" i="39" a="1"/>
  <c r="FS95" i="39" s="1"/>
  <c r="FS94" i="39" a="1"/>
  <c r="FS94" i="39" s="1"/>
  <c r="FS93" i="39" a="1"/>
  <c r="FS93" i="39" s="1"/>
  <c r="FS92" i="39" a="1"/>
  <c r="FS92" i="39" s="1"/>
  <c r="FS91" i="39" a="1"/>
  <c r="FS91" i="39" s="1"/>
  <c r="FS90" i="39" a="1"/>
  <c r="FS90" i="39" s="1"/>
  <c r="FS89" i="39" a="1"/>
  <c r="FS89" i="39" s="1"/>
  <c r="FS88" i="39" a="1"/>
  <c r="FS88" i="39" s="1"/>
  <c r="FS87" i="39" a="1"/>
  <c r="FS87" i="39" s="1"/>
  <c r="FS86" i="39" a="1"/>
  <c r="FS86" i="39" s="1"/>
  <c r="FS85" i="39" a="1"/>
  <c r="FS85" i="39" s="1"/>
  <c r="FS84" i="39" a="1"/>
  <c r="FS84" i="39" s="1"/>
  <c r="FS83" i="39" a="1"/>
  <c r="FS83" i="39" s="1"/>
  <c r="FS82" i="39" a="1"/>
  <c r="FS82" i="39" s="1"/>
  <c r="FS81" i="39" a="1"/>
  <c r="FS81" i="39" s="1"/>
  <c r="FS80" i="39" a="1"/>
  <c r="FS80" i="39" s="1"/>
  <c r="FS79" i="39" a="1"/>
  <c r="FS79" i="39" s="1"/>
  <c r="FS78" i="39" a="1"/>
  <c r="FS78" i="39" s="1"/>
  <c r="FS77" i="39" a="1"/>
  <c r="FS77" i="39" s="1"/>
  <c r="FS76" i="39" a="1"/>
  <c r="FS76" i="39" s="1"/>
  <c r="FS75" i="39" a="1"/>
  <c r="FS75" i="39" s="1"/>
  <c r="FS74" i="39" a="1"/>
  <c r="FS74" i="39" s="1"/>
  <c r="FS73" i="39" a="1"/>
  <c r="FS73" i="39" s="1"/>
  <c r="FS72" i="39" a="1"/>
  <c r="FS72" i="39" s="1"/>
  <c r="FS71" i="39" a="1"/>
  <c r="FS71" i="39" s="1"/>
  <c r="FS70" i="39" a="1"/>
  <c r="FS70" i="39" s="1"/>
  <c r="FS69" i="39" a="1"/>
  <c r="FS69" i="39" s="1"/>
  <c r="FS68" i="39" a="1"/>
  <c r="FS68" i="39" s="1"/>
  <c r="FS67" i="39" a="1"/>
  <c r="FS67" i="39" s="1"/>
  <c r="FS66" i="39" a="1"/>
  <c r="FS66" i="39" s="1"/>
  <c r="FS65" i="39" a="1"/>
  <c r="FS65" i="39" s="1"/>
  <c r="FS64" i="39" a="1"/>
  <c r="FS64" i="39" s="1"/>
  <c r="FS63" i="39" a="1"/>
  <c r="FS63" i="39" s="1"/>
  <c r="FS62" i="39" a="1"/>
  <c r="FS62" i="39" s="1"/>
  <c r="FS61" i="39" a="1"/>
  <c r="FS61" i="39" s="1"/>
  <c r="FS60" i="39" a="1"/>
  <c r="FS60" i="39" s="1"/>
  <c r="FS59" i="39" a="1"/>
  <c r="FS59" i="39" s="1"/>
  <c r="FS58" i="39" a="1"/>
  <c r="FS58" i="39" s="1"/>
  <c r="FS57" i="39" a="1"/>
  <c r="FS57" i="39" s="1"/>
  <c r="FS56" i="39" a="1"/>
  <c r="FS56" i="39" s="1"/>
  <c r="FS55" i="39" a="1"/>
  <c r="FS55" i="39" s="1"/>
  <c r="FS54" i="39" a="1"/>
  <c r="FS54" i="39" s="1"/>
  <c r="FS53" i="39" a="1"/>
  <c r="FS53" i="39" s="1"/>
  <c r="FS52" i="39" a="1"/>
  <c r="FS52" i="39" s="1"/>
  <c r="FS51" i="39" a="1"/>
  <c r="FS51" i="39" s="1"/>
  <c r="FS50" i="39" a="1"/>
  <c r="FS50" i="39" s="1"/>
  <c r="FS49" i="39" a="1"/>
  <c r="FS49" i="39" s="1"/>
  <c r="FS48" i="39" a="1"/>
  <c r="FS48" i="39" s="1"/>
  <c r="FS47" i="39" a="1"/>
  <c r="FS47" i="39" s="1"/>
  <c r="FS46" i="39" a="1"/>
  <c r="FS46" i="39" s="1"/>
  <c r="FS45" i="39" a="1"/>
  <c r="FS45" i="39" s="1"/>
  <c r="FS44" i="39" a="1"/>
  <c r="FS44" i="39" s="1"/>
  <c r="FS43" i="39" a="1"/>
  <c r="FS43" i="39" s="1"/>
  <c r="FS42" i="39" a="1"/>
  <c r="FS42" i="39" s="1"/>
  <c r="FS41" i="39" a="1"/>
  <c r="FS41" i="39" s="1"/>
  <c r="FS40" i="39" a="1"/>
  <c r="FS40" i="39" s="1"/>
  <c r="FS39" i="39" a="1"/>
  <c r="FS39" i="39" s="1"/>
  <c r="FS38" i="39" a="1"/>
  <c r="FS38" i="39" s="1"/>
  <c r="FS37" i="39" a="1"/>
  <c r="FS37" i="39" s="1"/>
  <c r="FS36" i="39" a="1"/>
  <c r="FS36" i="39" s="1"/>
  <c r="FS35" i="39" a="1"/>
  <c r="FS35" i="39" s="1"/>
  <c r="FS34" i="39" a="1"/>
  <c r="FS34" i="39" s="1"/>
  <c r="FS33" i="39" a="1"/>
  <c r="FS33" i="39" s="1"/>
  <c r="FS32" i="39" a="1"/>
  <c r="FS32" i="39" s="1"/>
  <c r="FS31" i="39" a="1"/>
  <c r="FS31" i="39" s="1"/>
  <c r="FS30" i="39" a="1"/>
  <c r="FS30" i="39" s="1"/>
  <c r="FS29" i="39" a="1"/>
  <c r="FS29" i="39" s="1"/>
  <c r="FS28" i="39" a="1"/>
  <c r="FS28" i="39" s="1"/>
  <c r="FS27" i="39" a="1"/>
  <c r="FS27" i="39" s="1"/>
  <c r="FS26" i="39" a="1"/>
  <c r="FS26" i="39" s="1"/>
  <c r="FS25" i="39" a="1"/>
  <c r="FS25" i="39" s="1"/>
  <c r="FS24" i="39" a="1"/>
  <c r="FS24" i="39" s="1"/>
  <c r="FS23" i="39" a="1"/>
  <c r="FS23" i="39" s="1"/>
  <c r="FS22" i="39" a="1"/>
  <c r="FS22" i="39" s="1"/>
  <c r="FS21" i="39" a="1"/>
  <c r="FS21" i="39" s="1"/>
  <c r="FS20" i="39" a="1"/>
  <c r="FS20" i="39" s="1"/>
  <c r="FS19" i="39" a="1"/>
  <c r="FS19" i="39" s="1"/>
  <c r="FS18" i="39" a="1"/>
  <c r="FS18" i="39" s="1"/>
  <c r="FS17" i="39" a="1"/>
  <c r="FS17" i="39" s="1"/>
  <c r="FS16" i="39" a="1"/>
  <c r="FS16" i="39" s="1"/>
  <c r="FS15" i="39" a="1"/>
  <c r="FS15" i="39" s="1"/>
  <c r="FS14" i="39" a="1"/>
  <c r="FS14" i="39" s="1"/>
  <c r="FS13" i="39" a="1"/>
  <c r="FS13" i="39" s="1"/>
  <c r="FS12" i="39" a="1"/>
  <c r="FS12" i="39" s="1"/>
  <c r="FS11" i="39" a="1"/>
  <c r="FS11" i="39" s="1"/>
  <c r="FS10" i="39" a="1"/>
  <c r="FS10" i="39" s="1"/>
  <c r="FS9" i="39" a="1"/>
  <c r="FS9" i="39" s="1"/>
  <c r="FS8" i="39" a="1"/>
  <c r="FS8" i="39" s="1"/>
  <c r="FS7" i="39" a="1"/>
  <c r="FS7" i="39" s="1"/>
  <c r="FS6" i="39" a="1"/>
  <c r="FS6" i="39" s="1"/>
  <c r="FS5" i="39" a="1"/>
  <c r="FS5" i="39" s="1"/>
  <c r="FP163" i="39" a="1"/>
  <c r="FP163" i="39" s="1"/>
  <c r="FP162" i="39" a="1"/>
  <c r="FP162" i="39" s="1"/>
  <c r="FP161" i="39" a="1"/>
  <c r="FP161" i="39" s="1"/>
  <c r="FP160" i="39" a="1"/>
  <c r="FP160" i="39" s="1"/>
  <c r="FP159" i="39" a="1"/>
  <c r="FP159" i="39" s="1"/>
  <c r="FP158" i="39" a="1"/>
  <c r="FP158" i="39" s="1"/>
  <c r="FP157" i="39" a="1"/>
  <c r="FP157" i="39" s="1"/>
  <c r="FP156" i="39" a="1"/>
  <c r="FP156" i="39" s="1"/>
  <c r="FP155" i="39" a="1"/>
  <c r="FP155" i="39" s="1"/>
  <c r="FP154" i="39" a="1"/>
  <c r="FP154" i="39" s="1"/>
  <c r="FP153" i="39" a="1"/>
  <c r="FP153" i="39" s="1"/>
  <c r="FP152" i="39" a="1"/>
  <c r="FP152" i="39" s="1"/>
  <c r="FP151" i="39" a="1"/>
  <c r="FP151" i="39" s="1"/>
  <c r="FP150" i="39" a="1"/>
  <c r="FP150" i="39" s="1"/>
  <c r="FP149" i="39" a="1"/>
  <c r="FP149" i="39" s="1"/>
  <c r="FP148" i="39" a="1"/>
  <c r="FP148" i="39" s="1"/>
  <c r="FP147" i="39" a="1"/>
  <c r="FP147" i="39" s="1"/>
  <c r="FP146" i="39" a="1"/>
  <c r="FP146" i="39" s="1"/>
  <c r="FP145" i="39" a="1"/>
  <c r="FP145" i="39" s="1"/>
  <c r="FP144" i="39" a="1"/>
  <c r="FP144" i="39" s="1"/>
  <c r="FP143" i="39" a="1"/>
  <c r="FP143" i="39" s="1"/>
  <c r="FP142" i="39" a="1"/>
  <c r="FP142" i="39" s="1"/>
  <c r="FP141" i="39" a="1"/>
  <c r="FP141" i="39" s="1"/>
  <c r="FP140" i="39" a="1"/>
  <c r="FP140" i="39" s="1"/>
  <c r="FP139" i="39" a="1"/>
  <c r="FP139" i="39" s="1"/>
  <c r="FP138" i="39" a="1"/>
  <c r="FP138" i="39" s="1"/>
  <c r="FP137" i="39" a="1"/>
  <c r="FP137" i="39" s="1"/>
  <c r="FP136" i="39" a="1"/>
  <c r="FP136" i="39" s="1"/>
  <c r="FP135" i="39" a="1"/>
  <c r="FP135" i="39" s="1"/>
  <c r="FP134" i="39" a="1"/>
  <c r="FP134" i="39" s="1"/>
  <c r="FP133" i="39" a="1"/>
  <c r="FP133" i="39" s="1"/>
  <c r="FP132" i="39" a="1"/>
  <c r="FP132" i="39" s="1"/>
  <c r="FP131" i="39" a="1"/>
  <c r="FP131" i="39" s="1"/>
  <c r="FP130" i="39" a="1"/>
  <c r="FP130" i="39" s="1"/>
  <c r="FP129" i="39" a="1"/>
  <c r="FP129" i="39" s="1"/>
  <c r="FP128" i="39" a="1"/>
  <c r="FP128" i="39" s="1"/>
  <c r="FP127" i="39" a="1"/>
  <c r="FP127" i="39" s="1"/>
  <c r="FP126" i="39" a="1"/>
  <c r="FP126" i="39" s="1"/>
  <c r="FP125" i="39" a="1"/>
  <c r="FP125" i="39" s="1"/>
  <c r="FP124" i="39" a="1"/>
  <c r="FP124" i="39" s="1"/>
  <c r="FP123" i="39" a="1"/>
  <c r="FP123" i="39" s="1"/>
  <c r="FP122" i="39" a="1"/>
  <c r="FP122" i="39" s="1"/>
  <c r="FP121" i="39" a="1"/>
  <c r="FP121" i="39" s="1"/>
  <c r="FP120" i="39" a="1"/>
  <c r="FP120" i="39" s="1"/>
  <c r="FP119" i="39" a="1"/>
  <c r="FP119" i="39" s="1"/>
  <c r="FP118" i="39" a="1"/>
  <c r="FP118" i="39" s="1"/>
  <c r="FP117" i="39" a="1"/>
  <c r="FP117" i="39" s="1"/>
  <c r="FP116" i="39" a="1"/>
  <c r="FP116" i="39" s="1"/>
  <c r="FP115" i="39" a="1"/>
  <c r="FP115" i="39" s="1"/>
  <c r="FP114" i="39" a="1"/>
  <c r="FP114" i="39" s="1"/>
  <c r="FP113" i="39" a="1"/>
  <c r="FP113" i="39" s="1"/>
  <c r="FP112" i="39" a="1"/>
  <c r="FP112" i="39" s="1"/>
  <c r="FP111" i="39" a="1"/>
  <c r="FP111" i="39" s="1"/>
  <c r="FP110" i="39" a="1"/>
  <c r="FP110" i="39" s="1"/>
  <c r="FP109" i="39" a="1"/>
  <c r="FP109" i="39" s="1"/>
  <c r="FP108" i="39" a="1"/>
  <c r="FP108" i="39" s="1"/>
  <c r="FP107" i="39" a="1"/>
  <c r="FP107" i="39" s="1"/>
  <c r="FP106" i="39" a="1"/>
  <c r="FP106" i="39" s="1"/>
  <c r="FP105" i="39" a="1"/>
  <c r="FP105" i="39" s="1"/>
  <c r="FP104" i="39" a="1"/>
  <c r="FP104" i="39" s="1"/>
  <c r="FP103" i="39" a="1"/>
  <c r="FP103" i="39" s="1"/>
  <c r="FP102" i="39" a="1"/>
  <c r="FP102" i="39" s="1"/>
  <c r="FP101" i="39" a="1"/>
  <c r="FP101" i="39" s="1"/>
  <c r="FP100" i="39" a="1"/>
  <c r="FP100" i="39" s="1"/>
  <c r="FP99" i="39" a="1"/>
  <c r="FP99" i="39" s="1"/>
  <c r="FP98" i="39" a="1"/>
  <c r="FP98" i="39" s="1"/>
  <c r="FP97" i="39" a="1"/>
  <c r="FP97" i="39" s="1"/>
  <c r="FP96" i="39" a="1"/>
  <c r="FP96" i="39" s="1"/>
  <c r="FP95" i="39" a="1"/>
  <c r="FP95" i="39" s="1"/>
  <c r="FP94" i="39" a="1"/>
  <c r="FP94" i="39" s="1"/>
  <c r="FP93" i="39" a="1"/>
  <c r="FP93" i="39" s="1"/>
  <c r="FP92" i="39" a="1"/>
  <c r="FP92" i="39" s="1"/>
  <c r="FP91" i="39" a="1"/>
  <c r="FP91" i="39" s="1"/>
  <c r="FP90" i="39" a="1"/>
  <c r="FP90" i="39" s="1"/>
  <c r="FP89" i="39" a="1"/>
  <c r="FP89" i="39" s="1"/>
  <c r="FP88" i="39" a="1"/>
  <c r="FP88" i="39" s="1"/>
  <c r="FP87" i="39" a="1"/>
  <c r="FP87" i="39" s="1"/>
  <c r="FP86" i="39" a="1"/>
  <c r="FP86" i="39" s="1"/>
  <c r="FP85" i="39" a="1"/>
  <c r="FP85" i="39" s="1"/>
  <c r="FP84" i="39" a="1"/>
  <c r="FP84" i="39" s="1"/>
  <c r="FP83" i="39" a="1"/>
  <c r="FP83" i="39" s="1"/>
  <c r="FP82" i="39" a="1"/>
  <c r="FP82" i="39" s="1"/>
  <c r="FP81" i="39" a="1"/>
  <c r="FP81" i="39" s="1"/>
  <c r="FP80" i="39" a="1"/>
  <c r="FP80" i="39" s="1"/>
  <c r="FP79" i="39" a="1"/>
  <c r="FP79" i="39" s="1"/>
  <c r="FP78" i="39" a="1"/>
  <c r="FP78" i="39" s="1"/>
  <c r="FP77" i="39" a="1"/>
  <c r="FP77" i="39" s="1"/>
  <c r="FP76" i="39" a="1"/>
  <c r="FP76" i="39" s="1"/>
  <c r="FP75" i="39" a="1"/>
  <c r="FP75" i="39" s="1"/>
  <c r="FP74" i="39" a="1"/>
  <c r="FP74" i="39" s="1"/>
  <c r="FP73" i="39" a="1"/>
  <c r="FP73" i="39" s="1"/>
  <c r="FP72" i="39" a="1"/>
  <c r="FP72" i="39" s="1"/>
  <c r="FP71" i="39" a="1"/>
  <c r="FP71" i="39" s="1"/>
  <c r="FP70" i="39" a="1"/>
  <c r="FP70" i="39" s="1"/>
  <c r="FP69" i="39" a="1"/>
  <c r="FP69" i="39" s="1"/>
  <c r="FP68" i="39" a="1"/>
  <c r="FP68" i="39" s="1"/>
  <c r="FP67" i="39" a="1"/>
  <c r="FP67" i="39" s="1"/>
  <c r="FP66" i="39" a="1"/>
  <c r="FP66" i="39" s="1"/>
  <c r="FP65" i="39" a="1"/>
  <c r="FP65" i="39" s="1"/>
  <c r="FP64" i="39" a="1"/>
  <c r="FP64" i="39" s="1"/>
  <c r="FP63" i="39" a="1"/>
  <c r="FP63" i="39" s="1"/>
  <c r="FP62" i="39" a="1"/>
  <c r="FP62" i="39" s="1"/>
  <c r="FP61" i="39" a="1"/>
  <c r="FP61" i="39" s="1"/>
  <c r="FP60" i="39" a="1"/>
  <c r="FP60" i="39" s="1"/>
  <c r="FP59" i="39" a="1"/>
  <c r="FP59" i="39" s="1"/>
  <c r="FP58" i="39" a="1"/>
  <c r="FP58" i="39" s="1"/>
  <c r="FP57" i="39" a="1"/>
  <c r="FP57" i="39" s="1"/>
  <c r="FP56" i="39" a="1"/>
  <c r="FP56" i="39" s="1"/>
  <c r="FP55" i="39" a="1"/>
  <c r="FP55" i="39" s="1"/>
  <c r="FP54" i="39" a="1"/>
  <c r="FP54" i="39" s="1"/>
  <c r="FP53" i="39" a="1"/>
  <c r="FP53" i="39" s="1"/>
  <c r="FP52" i="39" a="1"/>
  <c r="FP52" i="39" s="1"/>
  <c r="FP51" i="39" a="1"/>
  <c r="FP51" i="39" s="1"/>
  <c r="FP50" i="39" a="1"/>
  <c r="FP50" i="39" s="1"/>
  <c r="FP49" i="39" a="1"/>
  <c r="FP49" i="39" s="1"/>
  <c r="FP48" i="39" a="1"/>
  <c r="FP48" i="39" s="1"/>
  <c r="FP47" i="39" a="1"/>
  <c r="FP47" i="39" s="1"/>
  <c r="FP46" i="39" a="1"/>
  <c r="FP46" i="39" s="1"/>
  <c r="FP45" i="39" a="1"/>
  <c r="FP45" i="39" s="1"/>
  <c r="FP44" i="39" a="1"/>
  <c r="FP44" i="39" s="1"/>
  <c r="FP43" i="39" a="1"/>
  <c r="FP43" i="39" s="1"/>
  <c r="FP42" i="39" a="1"/>
  <c r="FP42" i="39" s="1"/>
  <c r="FP41" i="39" a="1"/>
  <c r="FP41" i="39" s="1"/>
  <c r="FP40" i="39" a="1"/>
  <c r="FP40" i="39" s="1"/>
  <c r="FP39" i="39" a="1"/>
  <c r="FP39" i="39" s="1"/>
  <c r="FP38" i="39" a="1"/>
  <c r="FP38" i="39" s="1"/>
  <c r="FP37" i="39" a="1"/>
  <c r="FP37" i="39" s="1"/>
  <c r="FP36" i="39" a="1"/>
  <c r="FP36" i="39" s="1"/>
  <c r="FP35" i="39" a="1"/>
  <c r="FP35" i="39" s="1"/>
  <c r="FP34" i="39" a="1"/>
  <c r="FP34" i="39" s="1"/>
  <c r="FP33" i="39" a="1"/>
  <c r="FP33" i="39" s="1"/>
  <c r="FP32" i="39" a="1"/>
  <c r="FP32" i="39" s="1"/>
  <c r="FP31" i="39" a="1"/>
  <c r="FP31" i="39" s="1"/>
  <c r="FP30" i="39" a="1"/>
  <c r="FP30" i="39" s="1"/>
  <c r="FP29" i="39" a="1"/>
  <c r="FP29" i="39" s="1"/>
  <c r="FP28" i="39" a="1"/>
  <c r="FP28" i="39" s="1"/>
  <c r="FP27" i="39" a="1"/>
  <c r="FP27" i="39" s="1"/>
  <c r="FP26" i="39" a="1"/>
  <c r="FP26" i="39" s="1"/>
  <c r="FP25" i="39" a="1"/>
  <c r="FP25" i="39" s="1"/>
  <c r="FP24" i="39" a="1"/>
  <c r="FP24" i="39" s="1"/>
  <c r="FP23" i="39" a="1"/>
  <c r="FP23" i="39" s="1"/>
  <c r="FP22" i="39" a="1"/>
  <c r="FP22" i="39" s="1"/>
  <c r="FP21" i="39" a="1"/>
  <c r="FP21" i="39" s="1"/>
  <c r="FP20" i="39" a="1"/>
  <c r="FP20" i="39" s="1"/>
  <c r="FP19" i="39" a="1"/>
  <c r="FP19" i="39" s="1"/>
  <c r="FP18" i="39" a="1"/>
  <c r="FP18" i="39" s="1"/>
  <c r="FP17" i="39" a="1"/>
  <c r="FP17" i="39" s="1"/>
  <c r="FP16" i="39" a="1"/>
  <c r="FP16" i="39" s="1"/>
  <c r="FP15" i="39" a="1"/>
  <c r="FP15" i="39" s="1"/>
  <c r="FP14" i="39" a="1"/>
  <c r="FP14" i="39" s="1"/>
  <c r="FP13" i="39" a="1"/>
  <c r="FP13" i="39" s="1"/>
  <c r="FP12" i="39" a="1"/>
  <c r="FP12" i="39" s="1"/>
  <c r="FP11" i="39" a="1"/>
  <c r="FP11" i="39" s="1"/>
  <c r="FP10" i="39" a="1"/>
  <c r="FP10" i="39" s="1"/>
  <c r="FP9" i="39" a="1"/>
  <c r="FP9" i="39" s="1"/>
  <c r="FP8" i="39" a="1"/>
  <c r="FP8" i="39" s="1"/>
  <c r="FP7" i="39" a="1"/>
  <c r="FP7" i="39" s="1"/>
  <c r="FP6" i="39" a="1"/>
  <c r="FP6" i="39" s="1"/>
  <c r="FP5" i="39" a="1"/>
  <c r="FP5" i="39" s="1"/>
  <c r="FL163" i="39" a="1"/>
  <c r="FL163" i="39" s="1"/>
  <c r="FL162" i="39" a="1"/>
  <c r="FL162" i="39" s="1"/>
  <c r="FL161" i="39" a="1"/>
  <c r="FL161" i="39" s="1"/>
  <c r="FL160" i="39" a="1"/>
  <c r="FL160" i="39" s="1"/>
  <c r="FL159" i="39" a="1"/>
  <c r="FL159" i="39" s="1"/>
  <c r="FL158" i="39" a="1"/>
  <c r="FL158" i="39" s="1"/>
  <c r="FL157" i="39" a="1"/>
  <c r="FL157" i="39" s="1"/>
  <c r="FL156" i="39" a="1"/>
  <c r="FL156" i="39" s="1"/>
  <c r="FL155" i="39" a="1"/>
  <c r="FL155" i="39" s="1"/>
  <c r="FL154" i="39" a="1"/>
  <c r="FL154" i="39" s="1"/>
  <c r="FL153" i="39" a="1"/>
  <c r="FL153" i="39" s="1"/>
  <c r="FL152" i="39" a="1"/>
  <c r="FL152" i="39" s="1"/>
  <c r="FL151" i="39" a="1"/>
  <c r="FL151" i="39" s="1"/>
  <c r="FL150" i="39" a="1"/>
  <c r="FL150" i="39" s="1"/>
  <c r="FL149" i="39" a="1"/>
  <c r="FL149" i="39" s="1"/>
  <c r="FL148" i="39" a="1"/>
  <c r="FL148" i="39" s="1"/>
  <c r="FL147" i="39" a="1"/>
  <c r="FL147" i="39" s="1"/>
  <c r="FL146" i="39" a="1"/>
  <c r="FL146" i="39" s="1"/>
  <c r="FL145" i="39" a="1"/>
  <c r="FL145" i="39" s="1"/>
  <c r="FL144" i="39" a="1"/>
  <c r="FL144" i="39" s="1"/>
  <c r="FL143" i="39" a="1"/>
  <c r="FL143" i="39" s="1"/>
  <c r="FL142" i="39" a="1"/>
  <c r="FL142" i="39" s="1"/>
  <c r="FL141" i="39" a="1"/>
  <c r="FL141" i="39" s="1"/>
  <c r="FL140" i="39" a="1"/>
  <c r="FL140" i="39" s="1"/>
  <c r="FL139" i="39" a="1"/>
  <c r="FL139" i="39" s="1"/>
  <c r="FL138" i="39" a="1"/>
  <c r="FL138" i="39" s="1"/>
  <c r="FL137" i="39" a="1"/>
  <c r="FL137" i="39" s="1"/>
  <c r="FL136" i="39" a="1"/>
  <c r="FL136" i="39" s="1"/>
  <c r="FL135" i="39" a="1"/>
  <c r="FL135" i="39" s="1"/>
  <c r="FL134" i="39" a="1"/>
  <c r="FL134" i="39" s="1"/>
  <c r="FL133" i="39" a="1"/>
  <c r="FL133" i="39" s="1"/>
  <c r="FL132" i="39" a="1"/>
  <c r="FL132" i="39" s="1"/>
  <c r="FL131" i="39" a="1"/>
  <c r="FL131" i="39" s="1"/>
  <c r="FL130" i="39" a="1"/>
  <c r="FL130" i="39" s="1"/>
  <c r="FL129" i="39" a="1"/>
  <c r="FL129" i="39" s="1"/>
  <c r="FL128" i="39" a="1"/>
  <c r="FL128" i="39" s="1"/>
  <c r="FL127" i="39" a="1"/>
  <c r="FL127" i="39" s="1"/>
  <c r="FL126" i="39" a="1"/>
  <c r="FL126" i="39" s="1"/>
  <c r="FL125" i="39" a="1"/>
  <c r="FL125" i="39" s="1"/>
  <c r="FL124" i="39" a="1"/>
  <c r="FL124" i="39" s="1"/>
  <c r="FL123" i="39" a="1"/>
  <c r="FL123" i="39" s="1"/>
  <c r="FL122" i="39" a="1"/>
  <c r="FL122" i="39" s="1"/>
  <c r="FL121" i="39" a="1"/>
  <c r="FL121" i="39" s="1"/>
  <c r="FL120" i="39" a="1"/>
  <c r="FL120" i="39" s="1"/>
  <c r="FL119" i="39" a="1"/>
  <c r="FL119" i="39" s="1"/>
  <c r="FL118" i="39" a="1"/>
  <c r="FL118" i="39" s="1"/>
  <c r="FL117" i="39" a="1"/>
  <c r="FL117" i="39" s="1"/>
  <c r="FL116" i="39" a="1"/>
  <c r="FL116" i="39" s="1"/>
  <c r="FL115" i="39" a="1"/>
  <c r="FL115" i="39" s="1"/>
  <c r="FL114" i="39" a="1"/>
  <c r="FL114" i="39" s="1"/>
  <c r="FL113" i="39" a="1"/>
  <c r="FL113" i="39" s="1"/>
  <c r="FL112" i="39" a="1"/>
  <c r="FL112" i="39" s="1"/>
  <c r="FL111" i="39" a="1"/>
  <c r="FL111" i="39" s="1"/>
  <c r="FL110" i="39" a="1"/>
  <c r="FL110" i="39" s="1"/>
  <c r="FL109" i="39" a="1"/>
  <c r="FL109" i="39" s="1"/>
  <c r="FL108" i="39" a="1"/>
  <c r="FL108" i="39" s="1"/>
  <c r="FL107" i="39" a="1"/>
  <c r="FL107" i="39" s="1"/>
  <c r="FL106" i="39" a="1"/>
  <c r="FL106" i="39" s="1"/>
  <c r="FL105" i="39" a="1"/>
  <c r="FL105" i="39" s="1"/>
  <c r="FL104" i="39" a="1"/>
  <c r="FL104" i="39" s="1"/>
  <c r="FL103" i="39" a="1"/>
  <c r="FL103" i="39" s="1"/>
  <c r="FL102" i="39" a="1"/>
  <c r="FL102" i="39" s="1"/>
  <c r="FL101" i="39" a="1"/>
  <c r="FL101" i="39" s="1"/>
  <c r="FL100" i="39" a="1"/>
  <c r="FL100" i="39" s="1"/>
  <c r="FL99" i="39" a="1"/>
  <c r="FL99" i="39" s="1"/>
  <c r="FL98" i="39" a="1"/>
  <c r="FL98" i="39" s="1"/>
  <c r="FL97" i="39" a="1"/>
  <c r="FL97" i="39" s="1"/>
  <c r="FL96" i="39" a="1"/>
  <c r="FL96" i="39" s="1"/>
  <c r="FL95" i="39" a="1"/>
  <c r="FL95" i="39" s="1"/>
  <c r="FL94" i="39" a="1"/>
  <c r="FL94" i="39" s="1"/>
  <c r="FL93" i="39" a="1"/>
  <c r="FL93" i="39" s="1"/>
  <c r="FL92" i="39" a="1"/>
  <c r="FL92" i="39" s="1"/>
  <c r="FL91" i="39" a="1"/>
  <c r="FL91" i="39" s="1"/>
  <c r="FL90" i="39" a="1"/>
  <c r="FL90" i="39" s="1"/>
  <c r="FL89" i="39" a="1"/>
  <c r="FL89" i="39" s="1"/>
  <c r="FL88" i="39" a="1"/>
  <c r="FL88" i="39" s="1"/>
  <c r="FL87" i="39" a="1"/>
  <c r="FL87" i="39" s="1"/>
  <c r="FL86" i="39" a="1"/>
  <c r="FL86" i="39" s="1"/>
  <c r="FL85" i="39" a="1"/>
  <c r="FL85" i="39" s="1"/>
  <c r="FL84" i="39" a="1"/>
  <c r="FL84" i="39" s="1"/>
  <c r="FL83" i="39" a="1"/>
  <c r="FL83" i="39" s="1"/>
  <c r="FL82" i="39" a="1"/>
  <c r="FL82" i="39" s="1"/>
  <c r="FL81" i="39" a="1"/>
  <c r="FL81" i="39" s="1"/>
  <c r="FL80" i="39" a="1"/>
  <c r="FL80" i="39" s="1"/>
  <c r="FL79" i="39" a="1"/>
  <c r="FL79" i="39" s="1"/>
  <c r="FL78" i="39" a="1"/>
  <c r="FL78" i="39" s="1"/>
  <c r="FL77" i="39" a="1"/>
  <c r="FL77" i="39" s="1"/>
  <c r="FL76" i="39" a="1"/>
  <c r="FL76" i="39" s="1"/>
  <c r="FL75" i="39" a="1"/>
  <c r="FL75" i="39" s="1"/>
  <c r="FL74" i="39" a="1"/>
  <c r="FL74" i="39" s="1"/>
  <c r="FL73" i="39" a="1"/>
  <c r="FL73" i="39" s="1"/>
  <c r="FL72" i="39" a="1"/>
  <c r="FL72" i="39" s="1"/>
  <c r="FL71" i="39" a="1"/>
  <c r="FL71" i="39" s="1"/>
  <c r="FL70" i="39" a="1"/>
  <c r="FL70" i="39" s="1"/>
  <c r="FL69" i="39" a="1"/>
  <c r="FL69" i="39" s="1"/>
  <c r="FL68" i="39" a="1"/>
  <c r="FL68" i="39" s="1"/>
  <c r="FL67" i="39" a="1"/>
  <c r="FL67" i="39" s="1"/>
  <c r="FL66" i="39" a="1"/>
  <c r="FL66" i="39" s="1"/>
  <c r="FL65" i="39" a="1"/>
  <c r="FL65" i="39" s="1"/>
  <c r="FL64" i="39" a="1"/>
  <c r="FL64" i="39" s="1"/>
  <c r="FL63" i="39" a="1"/>
  <c r="FL63" i="39" s="1"/>
  <c r="FL62" i="39" a="1"/>
  <c r="FL62" i="39" s="1"/>
  <c r="FL61" i="39" a="1"/>
  <c r="FL61" i="39" s="1"/>
  <c r="FL60" i="39" a="1"/>
  <c r="FL60" i="39" s="1"/>
  <c r="FL59" i="39" a="1"/>
  <c r="FL59" i="39" s="1"/>
  <c r="FL58" i="39" a="1"/>
  <c r="FL58" i="39" s="1"/>
  <c r="FL57" i="39" a="1"/>
  <c r="FL57" i="39" s="1"/>
  <c r="FL56" i="39" a="1"/>
  <c r="FL56" i="39" s="1"/>
  <c r="FL55" i="39" a="1"/>
  <c r="FL55" i="39" s="1"/>
  <c r="FL54" i="39" a="1"/>
  <c r="FL54" i="39" s="1"/>
  <c r="FL53" i="39" a="1"/>
  <c r="FL53" i="39" s="1"/>
  <c r="FL52" i="39" a="1"/>
  <c r="FL52" i="39" s="1"/>
  <c r="FL51" i="39" a="1"/>
  <c r="FL51" i="39" s="1"/>
  <c r="FL50" i="39" a="1"/>
  <c r="FL50" i="39" s="1"/>
  <c r="FL49" i="39" a="1"/>
  <c r="FL49" i="39" s="1"/>
  <c r="FL48" i="39" a="1"/>
  <c r="FL48" i="39" s="1"/>
  <c r="FL47" i="39" a="1"/>
  <c r="FL47" i="39" s="1"/>
  <c r="FL46" i="39" a="1"/>
  <c r="FL46" i="39" s="1"/>
  <c r="FL45" i="39" a="1"/>
  <c r="FL45" i="39" s="1"/>
  <c r="FL44" i="39" a="1"/>
  <c r="FL44" i="39" s="1"/>
  <c r="FL43" i="39" a="1"/>
  <c r="FL43" i="39" s="1"/>
  <c r="FL42" i="39" a="1"/>
  <c r="FL42" i="39" s="1"/>
  <c r="FL41" i="39" a="1"/>
  <c r="FL41" i="39" s="1"/>
  <c r="FL40" i="39" a="1"/>
  <c r="FL40" i="39" s="1"/>
  <c r="FL39" i="39" a="1"/>
  <c r="FL39" i="39" s="1"/>
  <c r="FL38" i="39" a="1"/>
  <c r="FL38" i="39" s="1"/>
  <c r="FL37" i="39" a="1"/>
  <c r="FL37" i="39" s="1"/>
  <c r="FL36" i="39" a="1"/>
  <c r="FL36" i="39" s="1"/>
  <c r="FL35" i="39" a="1"/>
  <c r="FL35" i="39" s="1"/>
  <c r="FL34" i="39" a="1"/>
  <c r="FL34" i="39" s="1"/>
  <c r="FL33" i="39" a="1"/>
  <c r="FL33" i="39" s="1"/>
  <c r="FL32" i="39" a="1"/>
  <c r="FL32" i="39" s="1"/>
  <c r="FL31" i="39" a="1"/>
  <c r="FL31" i="39" s="1"/>
  <c r="FL30" i="39" a="1"/>
  <c r="FL30" i="39" s="1"/>
  <c r="FL29" i="39" a="1"/>
  <c r="FL29" i="39" s="1"/>
  <c r="FL28" i="39" a="1"/>
  <c r="FL28" i="39" s="1"/>
  <c r="FL27" i="39" a="1"/>
  <c r="FL27" i="39" s="1"/>
  <c r="FL26" i="39" a="1"/>
  <c r="FL26" i="39" s="1"/>
  <c r="FL25" i="39" a="1"/>
  <c r="FL25" i="39" s="1"/>
  <c r="FL24" i="39" a="1"/>
  <c r="FL24" i="39" s="1"/>
  <c r="FL23" i="39" a="1"/>
  <c r="FL23" i="39" s="1"/>
  <c r="FL22" i="39" a="1"/>
  <c r="FL22" i="39" s="1"/>
  <c r="FL21" i="39" a="1"/>
  <c r="FL21" i="39" s="1"/>
  <c r="FL20" i="39" a="1"/>
  <c r="FL20" i="39" s="1"/>
  <c r="FL19" i="39" a="1"/>
  <c r="FL19" i="39" s="1"/>
  <c r="FL18" i="39" a="1"/>
  <c r="FL18" i="39" s="1"/>
  <c r="FL17" i="39" a="1"/>
  <c r="FL17" i="39" s="1"/>
  <c r="FL16" i="39" a="1"/>
  <c r="FL16" i="39" s="1"/>
  <c r="FL15" i="39" a="1"/>
  <c r="FL15" i="39" s="1"/>
  <c r="FL14" i="39" a="1"/>
  <c r="FL14" i="39" s="1"/>
  <c r="FL13" i="39" a="1"/>
  <c r="FL13" i="39" s="1"/>
  <c r="FL12" i="39" a="1"/>
  <c r="FL12" i="39" s="1"/>
  <c r="FL11" i="39" a="1"/>
  <c r="FL11" i="39" s="1"/>
  <c r="FL10" i="39" a="1"/>
  <c r="FL10" i="39" s="1"/>
  <c r="FL9" i="39" a="1"/>
  <c r="FL9" i="39" s="1"/>
  <c r="FL8" i="39" a="1"/>
  <c r="FL8" i="39" s="1"/>
  <c r="FL7" i="39" a="1"/>
  <c r="FL7" i="39" s="1"/>
  <c r="FL6" i="39" a="1"/>
  <c r="FL6" i="39" s="1"/>
  <c r="FL5" i="39" a="1"/>
  <c r="FL5" i="39" s="1"/>
  <c r="FI163" i="39" a="1"/>
  <c r="FI163" i="39" s="1"/>
  <c r="FI162" i="39" a="1"/>
  <c r="FI162" i="39" s="1"/>
  <c r="FI161" i="39" a="1"/>
  <c r="FI161" i="39" s="1"/>
  <c r="FI160" i="39" a="1"/>
  <c r="FI160" i="39" s="1"/>
  <c r="FI159" i="39" a="1"/>
  <c r="FI159" i="39" s="1"/>
  <c r="FI158" i="39" a="1"/>
  <c r="FI158" i="39" s="1"/>
  <c r="FI157" i="39" a="1"/>
  <c r="FI157" i="39" s="1"/>
  <c r="FI156" i="39" a="1"/>
  <c r="FI156" i="39" s="1"/>
  <c r="FI155" i="39" a="1"/>
  <c r="FI155" i="39" s="1"/>
  <c r="FI154" i="39" a="1"/>
  <c r="FI154" i="39" s="1"/>
  <c r="FI153" i="39" a="1"/>
  <c r="FI153" i="39" s="1"/>
  <c r="FI152" i="39" a="1"/>
  <c r="FI152" i="39" s="1"/>
  <c r="FI151" i="39" a="1"/>
  <c r="FI151" i="39" s="1"/>
  <c r="FI150" i="39" a="1"/>
  <c r="FI150" i="39" s="1"/>
  <c r="FI149" i="39" a="1"/>
  <c r="FI149" i="39" s="1"/>
  <c r="FI148" i="39" a="1"/>
  <c r="FI148" i="39" s="1"/>
  <c r="FI147" i="39" a="1"/>
  <c r="FI147" i="39" s="1"/>
  <c r="FI146" i="39" a="1"/>
  <c r="FI146" i="39" s="1"/>
  <c r="FI145" i="39" a="1"/>
  <c r="FI145" i="39" s="1"/>
  <c r="FI144" i="39" a="1"/>
  <c r="FI144" i="39" s="1"/>
  <c r="FI143" i="39" a="1"/>
  <c r="FI143" i="39" s="1"/>
  <c r="FI142" i="39" a="1"/>
  <c r="FI142" i="39" s="1"/>
  <c r="FI141" i="39" a="1"/>
  <c r="FI141" i="39" s="1"/>
  <c r="FI140" i="39" a="1"/>
  <c r="FI140" i="39" s="1"/>
  <c r="FI139" i="39" a="1"/>
  <c r="FI139" i="39" s="1"/>
  <c r="FI138" i="39" a="1"/>
  <c r="FI138" i="39" s="1"/>
  <c r="FI137" i="39" a="1"/>
  <c r="FI137" i="39" s="1"/>
  <c r="FI136" i="39" a="1"/>
  <c r="FI136" i="39" s="1"/>
  <c r="FI135" i="39" a="1"/>
  <c r="FI135" i="39" s="1"/>
  <c r="FI134" i="39" a="1"/>
  <c r="FI134" i="39" s="1"/>
  <c r="FI133" i="39" a="1"/>
  <c r="FI133" i="39" s="1"/>
  <c r="FI132" i="39" a="1"/>
  <c r="FI132" i="39" s="1"/>
  <c r="FI131" i="39" a="1"/>
  <c r="FI131" i="39" s="1"/>
  <c r="FI130" i="39" a="1"/>
  <c r="FI130" i="39" s="1"/>
  <c r="FI129" i="39" a="1"/>
  <c r="FI129" i="39" s="1"/>
  <c r="FI128" i="39" a="1"/>
  <c r="FI128" i="39" s="1"/>
  <c r="FI127" i="39" a="1"/>
  <c r="FI127" i="39" s="1"/>
  <c r="FI126" i="39" a="1"/>
  <c r="FI126" i="39" s="1"/>
  <c r="FI125" i="39" a="1"/>
  <c r="FI125" i="39" s="1"/>
  <c r="FI124" i="39" a="1"/>
  <c r="FI124" i="39" s="1"/>
  <c r="FI123" i="39" a="1"/>
  <c r="FI123" i="39" s="1"/>
  <c r="FI122" i="39" a="1"/>
  <c r="FI122" i="39" s="1"/>
  <c r="FI121" i="39" a="1"/>
  <c r="FI121" i="39" s="1"/>
  <c r="FI120" i="39" a="1"/>
  <c r="FI120" i="39" s="1"/>
  <c r="FI119" i="39" a="1"/>
  <c r="FI119" i="39" s="1"/>
  <c r="FI118" i="39" a="1"/>
  <c r="FI118" i="39" s="1"/>
  <c r="FI117" i="39" a="1"/>
  <c r="FI117" i="39" s="1"/>
  <c r="FI116" i="39" a="1"/>
  <c r="FI116" i="39" s="1"/>
  <c r="FI115" i="39" a="1"/>
  <c r="FI115" i="39" s="1"/>
  <c r="FI114" i="39" a="1"/>
  <c r="FI114" i="39" s="1"/>
  <c r="FI113" i="39" a="1"/>
  <c r="FI113" i="39" s="1"/>
  <c r="FI112" i="39" a="1"/>
  <c r="FI112" i="39" s="1"/>
  <c r="FI111" i="39" a="1"/>
  <c r="FI111" i="39" s="1"/>
  <c r="FI110" i="39" a="1"/>
  <c r="FI110" i="39" s="1"/>
  <c r="FI109" i="39" a="1"/>
  <c r="FI109" i="39" s="1"/>
  <c r="FI108" i="39" a="1"/>
  <c r="FI108" i="39" s="1"/>
  <c r="FI107" i="39" a="1"/>
  <c r="FI107" i="39" s="1"/>
  <c r="FI106" i="39" a="1"/>
  <c r="FI106" i="39" s="1"/>
  <c r="FI105" i="39" a="1"/>
  <c r="FI105" i="39" s="1"/>
  <c r="FI104" i="39" a="1"/>
  <c r="FI104" i="39" s="1"/>
  <c r="FI103" i="39" a="1"/>
  <c r="FI103" i="39" s="1"/>
  <c r="FI102" i="39" a="1"/>
  <c r="FI102" i="39" s="1"/>
  <c r="FI101" i="39" a="1"/>
  <c r="FI101" i="39" s="1"/>
  <c r="FI100" i="39" a="1"/>
  <c r="FI100" i="39" s="1"/>
  <c r="FI99" i="39" a="1"/>
  <c r="FI99" i="39" s="1"/>
  <c r="FI98" i="39" a="1"/>
  <c r="FI98" i="39" s="1"/>
  <c r="FI97" i="39" a="1"/>
  <c r="FI97" i="39" s="1"/>
  <c r="FI96" i="39" a="1"/>
  <c r="FI96" i="39" s="1"/>
  <c r="FI95" i="39" a="1"/>
  <c r="FI95" i="39" s="1"/>
  <c r="FI94" i="39" a="1"/>
  <c r="FI94" i="39" s="1"/>
  <c r="FI93" i="39" a="1"/>
  <c r="FI93" i="39" s="1"/>
  <c r="FI92" i="39" a="1"/>
  <c r="FI92" i="39" s="1"/>
  <c r="FI91" i="39" a="1"/>
  <c r="FI91" i="39" s="1"/>
  <c r="FI90" i="39" a="1"/>
  <c r="FI90" i="39" s="1"/>
  <c r="FI89" i="39" a="1"/>
  <c r="FI89" i="39" s="1"/>
  <c r="FI88" i="39" a="1"/>
  <c r="FI88" i="39" s="1"/>
  <c r="FI87" i="39" a="1"/>
  <c r="FI87" i="39" s="1"/>
  <c r="FI86" i="39" a="1"/>
  <c r="FI86" i="39" s="1"/>
  <c r="FI85" i="39" a="1"/>
  <c r="FI85" i="39" s="1"/>
  <c r="FI84" i="39" a="1"/>
  <c r="FI84" i="39" s="1"/>
  <c r="FI83" i="39" a="1"/>
  <c r="FI83" i="39" s="1"/>
  <c r="FI82" i="39" a="1"/>
  <c r="FI82" i="39" s="1"/>
  <c r="FI81" i="39" a="1"/>
  <c r="FI81" i="39" s="1"/>
  <c r="FI80" i="39" a="1"/>
  <c r="FI80" i="39" s="1"/>
  <c r="FI79" i="39" a="1"/>
  <c r="FI79" i="39" s="1"/>
  <c r="FI78" i="39" a="1"/>
  <c r="FI78" i="39" s="1"/>
  <c r="FI77" i="39" a="1"/>
  <c r="FI77" i="39" s="1"/>
  <c r="FI76" i="39" a="1"/>
  <c r="FI76" i="39" s="1"/>
  <c r="FI75" i="39" a="1"/>
  <c r="FI75" i="39" s="1"/>
  <c r="FI74" i="39" a="1"/>
  <c r="FI74" i="39" s="1"/>
  <c r="FI73" i="39" a="1"/>
  <c r="FI73" i="39" s="1"/>
  <c r="FI72" i="39" a="1"/>
  <c r="FI72" i="39" s="1"/>
  <c r="FI71" i="39" a="1"/>
  <c r="FI71" i="39" s="1"/>
  <c r="FI70" i="39" a="1"/>
  <c r="FI70" i="39" s="1"/>
  <c r="FI69" i="39" a="1"/>
  <c r="FI69" i="39" s="1"/>
  <c r="FI68" i="39" a="1"/>
  <c r="FI68" i="39" s="1"/>
  <c r="FI67" i="39" a="1"/>
  <c r="FI67" i="39" s="1"/>
  <c r="FI66" i="39" a="1"/>
  <c r="FI66" i="39" s="1"/>
  <c r="FI65" i="39" a="1"/>
  <c r="FI65" i="39" s="1"/>
  <c r="FI64" i="39" a="1"/>
  <c r="FI64" i="39" s="1"/>
  <c r="FI63" i="39" a="1"/>
  <c r="FI63" i="39" s="1"/>
  <c r="FI62" i="39" a="1"/>
  <c r="FI62" i="39" s="1"/>
  <c r="FI61" i="39" a="1"/>
  <c r="FI61" i="39" s="1"/>
  <c r="FI60" i="39" a="1"/>
  <c r="FI60" i="39" s="1"/>
  <c r="FI59" i="39" a="1"/>
  <c r="FI59" i="39" s="1"/>
  <c r="FI58" i="39" a="1"/>
  <c r="FI58" i="39" s="1"/>
  <c r="FI57" i="39" a="1"/>
  <c r="FI57" i="39" s="1"/>
  <c r="FI56" i="39" a="1"/>
  <c r="FI56" i="39" s="1"/>
  <c r="FI55" i="39" a="1"/>
  <c r="FI55" i="39" s="1"/>
  <c r="FI54" i="39" a="1"/>
  <c r="FI54" i="39" s="1"/>
  <c r="FI53" i="39" a="1"/>
  <c r="FI53" i="39" s="1"/>
  <c r="FI52" i="39" a="1"/>
  <c r="FI52" i="39" s="1"/>
  <c r="FI51" i="39" a="1"/>
  <c r="FI51" i="39" s="1"/>
  <c r="FI50" i="39" a="1"/>
  <c r="FI50" i="39" s="1"/>
  <c r="FI49" i="39" a="1"/>
  <c r="FI49" i="39" s="1"/>
  <c r="FI48" i="39" a="1"/>
  <c r="FI48" i="39" s="1"/>
  <c r="FI47" i="39" a="1"/>
  <c r="FI47" i="39" s="1"/>
  <c r="FI46" i="39" a="1"/>
  <c r="FI46" i="39" s="1"/>
  <c r="FI45" i="39" a="1"/>
  <c r="FI45" i="39" s="1"/>
  <c r="FI44" i="39" a="1"/>
  <c r="FI44" i="39" s="1"/>
  <c r="FI43" i="39" a="1"/>
  <c r="FI43" i="39" s="1"/>
  <c r="FI42" i="39" a="1"/>
  <c r="FI42" i="39" s="1"/>
  <c r="FI41" i="39" a="1"/>
  <c r="FI41" i="39" s="1"/>
  <c r="FI40" i="39" a="1"/>
  <c r="FI40" i="39" s="1"/>
  <c r="FI39" i="39" a="1"/>
  <c r="FI39" i="39" s="1"/>
  <c r="FI38" i="39" a="1"/>
  <c r="FI38" i="39" s="1"/>
  <c r="FI37" i="39" a="1"/>
  <c r="FI37" i="39" s="1"/>
  <c r="FI36" i="39" a="1"/>
  <c r="FI36" i="39" s="1"/>
  <c r="FI35" i="39" a="1"/>
  <c r="FI35" i="39" s="1"/>
  <c r="FI34" i="39" a="1"/>
  <c r="FI34" i="39" s="1"/>
  <c r="FI33" i="39" a="1"/>
  <c r="FI33" i="39" s="1"/>
  <c r="FI32" i="39" a="1"/>
  <c r="FI32" i="39" s="1"/>
  <c r="FI31" i="39" a="1"/>
  <c r="FI31" i="39" s="1"/>
  <c r="FI30" i="39" a="1"/>
  <c r="FI30" i="39" s="1"/>
  <c r="FI29" i="39" a="1"/>
  <c r="FI29" i="39" s="1"/>
  <c r="FI28" i="39" a="1"/>
  <c r="FI28" i="39" s="1"/>
  <c r="FI27" i="39" a="1"/>
  <c r="FI27" i="39" s="1"/>
  <c r="FI26" i="39" a="1"/>
  <c r="FI26" i="39" s="1"/>
  <c r="FI25" i="39" a="1"/>
  <c r="FI25" i="39" s="1"/>
  <c r="FI24" i="39" a="1"/>
  <c r="FI24" i="39" s="1"/>
  <c r="FI23" i="39" a="1"/>
  <c r="FI23" i="39" s="1"/>
  <c r="FI22" i="39" a="1"/>
  <c r="FI22" i="39" s="1"/>
  <c r="FI21" i="39" a="1"/>
  <c r="FI21" i="39" s="1"/>
  <c r="FI20" i="39" a="1"/>
  <c r="FI20" i="39" s="1"/>
  <c r="FI19" i="39" a="1"/>
  <c r="FI19" i="39" s="1"/>
  <c r="FI18" i="39" a="1"/>
  <c r="FI18" i="39" s="1"/>
  <c r="FI17" i="39" a="1"/>
  <c r="FI17" i="39" s="1"/>
  <c r="FI16" i="39" a="1"/>
  <c r="FI16" i="39" s="1"/>
  <c r="FI15" i="39" a="1"/>
  <c r="FI15" i="39" s="1"/>
  <c r="FI14" i="39" a="1"/>
  <c r="FI14" i="39" s="1"/>
  <c r="FI13" i="39" a="1"/>
  <c r="FI13" i="39" s="1"/>
  <c r="FI12" i="39" a="1"/>
  <c r="FI12" i="39" s="1"/>
  <c r="FI11" i="39" a="1"/>
  <c r="FI11" i="39" s="1"/>
  <c r="FI10" i="39" a="1"/>
  <c r="FI10" i="39" s="1"/>
  <c r="FI9" i="39" a="1"/>
  <c r="FI9" i="39" s="1"/>
  <c r="FI8" i="39" a="1"/>
  <c r="FI8" i="39" s="1"/>
  <c r="FI7" i="39" a="1"/>
  <c r="FI7" i="39" s="1"/>
  <c r="FI6" i="39" a="1"/>
  <c r="FI6" i="39" s="1"/>
  <c r="FI5" i="39" a="1"/>
  <c r="FI5" i="39" s="1"/>
  <c r="FE163" i="39" a="1"/>
  <c r="FE163" i="39" s="1"/>
  <c r="FE162" i="39" a="1"/>
  <c r="FE162" i="39" s="1"/>
  <c r="FE161" i="39" a="1"/>
  <c r="FE161" i="39" s="1"/>
  <c r="FE160" i="39" a="1"/>
  <c r="FE160" i="39" s="1"/>
  <c r="FE159" i="39" a="1"/>
  <c r="FE159" i="39" s="1"/>
  <c r="FE158" i="39" a="1"/>
  <c r="FE158" i="39" s="1"/>
  <c r="FE157" i="39" a="1"/>
  <c r="FE157" i="39" s="1"/>
  <c r="FE156" i="39" a="1"/>
  <c r="FE156" i="39" s="1"/>
  <c r="FE155" i="39" a="1"/>
  <c r="FE155" i="39" s="1"/>
  <c r="FE154" i="39" a="1"/>
  <c r="FE154" i="39" s="1"/>
  <c r="FE153" i="39" a="1"/>
  <c r="FE153" i="39" s="1"/>
  <c r="FE152" i="39" a="1"/>
  <c r="FE152" i="39" s="1"/>
  <c r="FE151" i="39" a="1"/>
  <c r="FE151" i="39" s="1"/>
  <c r="FE150" i="39" a="1"/>
  <c r="FE150" i="39" s="1"/>
  <c r="FE149" i="39" a="1"/>
  <c r="FE149" i="39" s="1"/>
  <c r="FE148" i="39" a="1"/>
  <c r="FE148" i="39" s="1"/>
  <c r="FE147" i="39" a="1"/>
  <c r="FE147" i="39" s="1"/>
  <c r="FE146" i="39" a="1"/>
  <c r="FE146" i="39" s="1"/>
  <c r="FE145" i="39" a="1"/>
  <c r="FE145" i="39" s="1"/>
  <c r="FE144" i="39" a="1"/>
  <c r="FE144" i="39" s="1"/>
  <c r="FE143" i="39" a="1"/>
  <c r="FE143" i="39" s="1"/>
  <c r="FE142" i="39" a="1"/>
  <c r="FE142" i="39" s="1"/>
  <c r="FE141" i="39" a="1"/>
  <c r="FE141" i="39" s="1"/>
  <c r="FE140" i="39" a="1"/>
  <c r="FE140" i="39" s="1"/>
  <c r="FE139" i="39" a="1"/>
  <c r="FE139" i="39" s="1"/>
  <c r="FE138" i="39" a="1"/>
  <c r="FE138" i="39" s="1"/>
  <c r="FE137" i="39" a="1"/>
  <c r="FE137" i="39" s="1"/>
  <c r="FE136" i="39" a="1"/>
  <c r="FE136" i="39" s="1"/>
  <c r="FE135" i="39" a="1"/>
  <c r="FE135" i="39" s="1"/>
  <c r="FE134" i="39" a="1"/>
  <c r="FE134" i="39" s="1"/>
  <c r="FE133" i="39" a="1"/>
  <c r="FE133" i="39" s="1"/>
  <c r="FE132" i="39" a="1"/>
  <c r="FE132" i="39" s="1"/>
  <c r="FE131" i="39" a="1"/>
  <c r="FE131" i="39" s="1"/>
  <c r="FE130" i="39" a="1"/>
  <c r="FE130" i="39" s="1"/>
  <c r="FE129" i="39" a="1"/>
  <c r="FE129" i="39" s="1"/>
  <c r="FE128" i="39" a="1"/>
  <c r="FE128" i="39" s="1"/>
  <c r="FE127" i="39" a="1"/>
  <c r="FE127" i="39" s="1"/>
  <c r="FE126" i="39" a="1"/>
  <c r="FE126" i="39" s="1"/>
  <c r="FE125" i="39" a="1"/>
  <c r="FE125" i="39" s="1"/>
  <c r="FE124" i="39" a="1"/>
  <c r="FE124" i="39" s="1"/>
  <c r="FE123" i="39" a="1"/>
  <c r="FE123" i="39" s="1"/>
  <c r="FE122" i="39" a="1"/>
  <c r="FE122" i="39" s="1"/>
  <c r="FE121" i="39" a="1"/>
  <c r="FE121" i="39" s="1"/>
  <c r="FE120" i="39" a="1"/>
  <c r="FE120" i="39" s="1"/>
  <c r="FE119" i="39" a="1"/>
  <c r="FE119" i="39" s="1"/>
  <c r="FE118" i="39" a="1"/>
  <c r="FE118" i="39" s="1"/>
  <c r="FE117" i="39" a="1"/>
  <c r="FE117" i="39" s="1"/>
  <c r="FE116" i="39" a="1"/>
  <c r="FE116" i="39" s="1"/>
  <c r="FE115" i="39" a="1"/>
  <c r="FE115" i="39" s="1"/>
  <c r="FE114" i="39" a="1"/>
  <c r="FE114" i="39" s="1"/>
  <c r="FE113" i="39" a="1"/>
  <c r="FE113" i="39" s="1"/>
  <c r="FE112" i="39" a="1"/>
  <c r="FE112" i="39" s="1"/>
  <c r="FE111" i="39" a="1"/>
  <c r="FE111" i="39" s="1"/>
  <c r="FE110" i="39" a="1"/>
  <c r="FE110" i="39" s="1"/>
  <c r="FE109" i="39" a="1"/>
  <c r="FE109" i="39" s="1"/>
  <c r="FE108" i="39" a="1"/>
  <c r="FE108" i="39" s="1"/>
  <c r="FE107" i="39" a="1"/>
  <c r="FE107" i="39" s="1"/>
  <c r="FE106" i="39" a="1"/>
  <c r="FE106" i="39" s="1"/>
  <c r="FE105" i="39" a="1"/>
  <c r="FE105" i="39" s="1"/>
  <c r="FE104" i="39" a="1"/>
  <c r="FE104" i="39" s="1"/>
  <c r="FE103" i="39" a="1"/>
  <c r="FE103" i="39" s="1"/>
  <c r="FE102" i="39" a="1"/>
  <c r="FE102" i="39" s="1"/>
  <c r="FE101" i="39" a="1"/>
  <c r="FE101" i="39" s="1"/>
  <c r="FE100" i="39" a="1"/>
  <c r="FE100" i="39" s="1"/>
  <c r="FE99" i="39" a="1"/>
  <c r="FE99" i="39" s="1"/>
  <c r="FE98" i="39" a="1"/>
  <c r="FE98" i="39" s="1"/>
  <c r="FE97" i="39" a="1"/>
  <c r="FE97" i="39" s="1"/>
  <c r="FE96" i="39" a="1"/>
  <c r="FE96" i="39" s="1"/>
  <c r="FE95" i="39" a="1"/>
  <c r="FE95" i="39" s="1"/>
  <c r="FE94" i="39" a="1"/>
  <c r="FE94" i="39" s="1"/>
  <c r="FE93" i="39" a="1"/>
  <c r="FE93" i="39" s="1"/>
  <c r="FE92" i="39" a="1"/>
  <c r="FE92" i="39" s="1"/>
  <c r="FE91" i="39" a="1"/>
  <c r="FE91" i="39" s="1"/>
  <c r="FE90" i="39" a="1"/>
  <c r="FE90" i="39" s="1"/>
  <c r="FE89" i="39" a="1"/>
  <c r="FE89" i="39" s="1"/>
  <c r="FE88" i="39" a="1"/>
  <c r="FE88" i="39" s="1"/>
  <c r="FE87" i="39" a="1"/>
  <c r="FE87" i="39" s="1"/>
  <c r="FE86" i="39" a="1"/>
  <c r="FE86" i="39" s="1"/>
  <c r="FE85" i="39" a="1"/>
  <c r="FE85" i="39" s="1"/>
  <c r="FE84" i="39" a="1"/>
  <c r="FE84" i="39" s="1"/>
  <c r="FE83" i="39" a="1"/>
  <c r="FE83" i="39" s="1"/>
  <c r="FE82" i="39" a="1"/>
  <c r="FE82" i="39" s="1"/>
  <c r="FE81" i="39" a="1"/>
  <c r="FE81" i="39" s="1"/>
  <c r="FE80" i="39" a="1"/>
  <c r="FE80" i="39" s="1"/>
  <c r="FE79" i="39" a="1"/>
  <c r="FE79" i="39" s="1"/>
  <c r="FE78" i="39" a="1"/>
  <c r="FE78" i="39" s="1"/>
  <c r="FE77" i="39" a="1"/>
  <c r="FE77" i="39" s="1"/>
  <c r="FE76" i="39" a="1"/>
  <c r="FE76" i="39" s="1"/>
  <c r="FE75" i="39" a="1"/>
  <c r="FE75" i="39" s="1"/>
  <c r="FE74" i="39" a="1"/>
  <c r="FE74" i="39" s="1"/>
  <c r="FE73" i="39" a="1"/>
  <c r="FE73" i="39" s="1"/>
  <c r="FE72" i="39" a="1"/>
  <c r="FE72" i="39" s="1"/>
  <c r="FE71" i="39" a="1"/>
  <c r="FE71" i="39" s="1"/>
  <c r="FE70" i="39" a="1"/>
  <c r="FE70" i="39" s="1"/>
  <c r="FE69" i="39" a="1"/>
  <c r="FE69" i="39" s="1"/>
  <c r="FE68" i="39" a="1"/>
  <c r="FE68" i="39" s="1"/>
  <c r="FE67" i="39" a="1"/>
  <c r="FE67" i="39" s="1"/>
  <c r="FE66" i="39" a="1"/>
  <c r="FE66" i="39" s="1"/>
  <c r="FE65" i="39" a="1"/>
  <c r="FE65" i="39" s="1"/>
  <c r="FE64" i="39" a="1"/>
  <c r="FE64" i="39" s="1"/>
  <c r="FE63" i="39" a="1"/>
  <c r="FE63" i="39" s="1"/>
  <c r="FE62" i="39" a="1"/>
  <c r="FE62" i="39" s="1"/>
  <c r="FE61" i="39" a="1"/>
  <c r="FE61" i="39" s="1"/>
  <c r="FE60" i="39" a="1"/>
  <c r="FE60" i="39" s="1"/>
  <c r="FE59" i="39" a="1"/>
  <c r="FE59" i="39" s="1"/>
  <c r="FE58" i="39" a="1"/>
  <c r="FE58" i="39" s="1"/>
  <c r="FE57" i="39" a="1"/>
  <c r="FE57" i="39" s="1"/>
  <c r="FE56" i="39" a="1"/>
  <c r="FE56" i="39" s="1"/>
  <c r="FE55" i="39" a="1"/>
  <c r="FE55" i="39" s="1"/>
  <c r="FE54" i="39" a="1"/>
  <c r="FE54" i="39" s="1"/>
  <c r="FE53" i="39" a="1"/>
  <c r="FE53" i="39" s="1"/>
  <c r="FE52" i="39" a="1"/>
  <c r="FE52" i="39" s="1"/>
  <c r="FE51" i="39" a="1"/>
  <c r="FE51" i="39" s="1"/>
  <c r="FE50" i="39" a="1"/>
  <c r="FE50" i="39" s="1"/>
  <c r="FE49" i="39" a="1"/>
  <c r="FE49" i="39" s="1"/>
  <c r="FE48" i="39" a="1"/>
  <c r="FE48" i="39" s="1"/>
  <c r="FE47" i="39" a="1"/>
  <c r="FE47" i="39" s="1"/>
  <c r="FE46" i="39" a="1"/>
  <c r="FE46" i="39" s="1"/>
  <c r="FE45" i="39" a="1"/>
  <c r="FE45" i="39" s="1"/>
  <c r="FE44" i="39" a="1"/>
  <c r="FE44" i="39" s="1"/>
  <c r="FE43" i="39" a="1"/>
  <c r="FE43" i="39" s="1"/>
  <c r="FE42" i="39" a="1"/>
  <c r="FE42" i="39" s="1"/>
  <c r="FE41" i="39" a="1"/>
  <c r="FE41" i="39" s="1"/>
  <c r="FE40" i="39" a="1"/>
  <c r="FE40" i="39" s="1"/>
  <c r="FE39" i="39" a="1"/>
  <c r="FE39" i="39" s="1"/>
  <c r="FE38" i="39" a="1"/>
  <c r="FE38" i="39" s="1"/>
  <c r="FE37" i="39" a="1"/>
  <c r="FE37" i="39" s="1"/>
  <c r="FE36" i="39" a="1"/>
  <c r="FE36" i="39" s="1"/>
  <c r="FE35" i="39" a="1"/>
  <c r="FE35" i="39" s="1"/>
  <c r="FE34" i="39" a="1"/>
  <c r="FE34" i="39" s="1"/>
  <c r="FE33" i="39" a="1"/>
  <c r="FE33" i="39" s="1"/>
  <c r="FE32" i="39" a="1"/>
  <c r="FE32" i="39" s="1"/>
  <c r="FE31" i="39" a="1"/>
  <c r="FE31" i="39" s="1"/>
  <c r="FE30" i="39" a="1"/>
  <c r="FE30" i="39" s="1"/>
  <c r="FE29" i="39" a="1"/>
  <c r="FE29" i="39" s="1"/>
  <c r="FE28" i="39" a="1"/>
  <c r="FE28" i="39" s="1"/>
  <c r="FE27" i="39" a="1"/>
  <c r="FE27" i="39" s="1"/>
  <c r="FE26" i="39" a="1"/>
  <c r="FE26" i="39" s="1"/>
  <c r="FE25" i="39" a="1"/>
  <c r="FE25" i="39" s="1"/>
  <c r="FE24" i="39" a="1"/>
  <c r="FE24" i="39" s="1"/>
  <c r="FE23" i="39" a="1"/>
  <c r="FE23" i="39" s="1"/>
  <c r="FE22" i="39" a="1"/>
  <c r="FE22" i="39" s="1"/>
  <c r="FE21" i="39" a="1"/>
  <c r="FE21" i="39" s="1"/>
  <c r="FE20" i="39" a="1"/>
  <c r="FE20" i="39" s="1"/>
  <c r="FE19" i="39" a="1"/>
  <c r="FE19" i="39" s="1"/>
  <c r="FE18" i="39" a="1"/>
  <c r="FE18" i="39" s="1"/>
  <c r="FE17" i="39" a="1"/>
  <c r="FE17" i="39" s="1"/>
  <c r="FE16" i="39" a="1"/>
  <c r="FE16" i="39" s="1"/>
  <c r="FE15" i="39" a="1"/>
  <c r="FE15" i="39" s="1"/>
  <c r="FE14" i="39" a="1"/>
  <c r="FE14" i="39" s="1"/>
  <c r="FE13" i="39" a="1"/>
  <c r="FE13" i="39" s="1"/>
  <c r="FE12" i="39" a="1"/>
  <c r="FE12" i="39" s="1"/>
  <c r="FE11" i="39" a="1"/>
  <c r="FE11" i="39" s="1"/>
  <c r="FE10" i="39" a="1"/>
  <c r="FE10" i="39" s="1"/>
  <c r="FE9" i="39" a="1"/>
  <c r="FE9" i="39" s="1"/>
  <c r="FE8" i="39" a="1"/>
  <c r="FE8" i="39" s="1"/>
  <c r="FE7" i="39" a="1"/>
  <c r="FE7" i="39" s="1"/>
  <c r="FE6" i="39" a="1"/>
  <c r="FE6" i="39" s="1"/>
  <c r="FE5" i="39" a="1"/>
  <c r="FE5" i="39" s="1"/>
  <c r="FB163" i="39" a="1"/>
  <c r="FB163" i="39" s="1"/>
  <c r="FB162" i="39" a="1"/>
  <c r="FB162" i="39" s="1"/>
  <c r="FB161" i="39" a="1"/>
  <c r="FB161" i="39" s="1"/>
  <c r="FB160" i="39" a="1"/>
  <c r="FB160" i="39" s="1"/>
  <c r="FB159" i="39" a="1"/>
  <c r="FB159" i="39" s="1"/>
  <c r="FB158" i="39" a="1"/>
  <c r="FB158" i="39" s="1"/>
  <c r="FB157" i="39" a="1"/>
  <c r="FB157" i="39" s="1"/>
  <c r="FB156" i="39" a="1"/>
  <c r="FB156" i="39" s="1"/>
  <c r="FB155" i="39" a="1"/>
  <c r="FB155" i="39" s="1"/>
  <c r="FB154" i="39" a="1"/>
  <c r="FB154" i="39" s="1"/>
  <c r="FB153" i="39" a="1"/>
  <c r="FB153" i="39" s="1"/>
  <c r="FB152" i="39" a="1"/>
  <c r="FB152" i="39" s="1"/>
  <c r="FB151" i="39" a="1"/>
  <c r="FB151" i="39" s="1"/>
  <c r="FB150" i="39" a="1"/>
  <c r="FB150" i="39" s="1"/>
  <c r="FB149" i="39" a="1"/>
  <c r="FB149" i="39" s="1"/>
  <c r="FB148" i="39" a="1"/>
  <c r="FB148" i="39" s="1"/>
  <c r="FB147" i="39" a="1"/>
  <c r="FB147" i="39" s="1"/>
  <c r="FB146" i="39" a="1"/>
  <c r="FB146" i="39" s="1"/>
  <c r="FB145" i="39" a="1"/>
  <c r="FB145" i="39" s="1"/>
  <c r="FB144" i="39" a="1"/>
  <c r="FB144" i="39" s="1"/>
  <c r="FB143" i="39" a="1"/>
  <c r="FB143" i="39" s="1"/>
  <c r="FB142" i="39" a="1"/>
  <c r="FB142" i="39" s="1"/>
  <c r="FB141" i="39" a="1"/>
  <c r="FB141" i="39" s="1"/>
  <c r="FB140" i="39" a="1"/>
  <c r="FB140" i="39" s="1"/>
  <c r="FB139" i="39" a="1"/>
  <c r="FB139" i="39" s="1"/>
  <c r="FB138" i="39" a="1"/>
  <c r="FB138" i="39" s="1"/>
  <c r="FB137" i="39" a="1"/>
  <c r="FB137" i="39" s="1"/>
  <c r="FB136" i="39" a="1"/>
  <c r="FB136" i="39" s="1"/>
  <c r="FB135" i="39" a="1"/>
  <c r="FB135" i="39" s="1"/>
  <c r="FB134" i="39" a="1"/>
  <c r="FB134" i="39" s="1"/>
  <c r="FB133" i="39" a="1"/>
  <c r="FB133" i="39" s="1"/>
  <c r="FB132" i="39" a="1"/>
  <c r="FB132" i="39" s="1"/>
  <c r="FB131" i="39" a="1"/>
  <c r="FB131" i="39" s="1"/>
  <c r="FB130" i="39" a="1"/>
  <c r="FB130" i="39" s="1"/>
  <c r="FB129" i="39" a="1"/>
  <c r="FB129" i="39" s="1"/>
  <c r="FB128" i="39" a="1"/>
  <c r="FB128" i="39" s="1"/>
  <c r="FB127" i="39" a="1"/>
  <c r="FB127" i="39" s="1"/>
  <c r="FB126" i="39" a="1"/>
  <c r="FB126" i="39" s="1"/>
  <c r="FB125" i="39" a="1"/>
  <c r="FB125" i="39" s="1"/>
  <c r="FB124" i="39" a="1"/>
  <c r="FB124" i="39" s="1"/>
  <c r="FB123" i="39" a="1"/>
  <c r="FB123" i="39" s="1"/>
  <c r="FB122" i="39" a="1"/>
  <c r="FB122" i="39" s="1"/>
  <c r="FB121" i="39" a="1"/>
  <c r="FB121" i="39" s="1"/>
  <c r="FB120" i="39" a="1"/>
  <c r="FB120" i="39" s="1"/>
  <c r="FB119" i="39" a="1"/>
  <c r="FB119" i="39" s="1"/>
  <c r="FB118" i="39" a="1"/>
  <c r="FB118" i="39" s="1"/>
  <c r="FB117" i="39" a="1"/>
  <c r="FB117" i="39" s="1"/>
  <c r="FB116" i="39" a="1"/>
  <c r="FB116" i="39" s="1"/>
  <c r="FB115" i="39" a="1"/>
  <c r="FB115" i="39" s="1"/>
  <c r="FB114" i="39" a="1"/>
  <c r="FB114" i="39" s="1"/>
  <c r="FB113" i="39" a="1"/>
  <c r="FB113" i="39" s="1"/>
  <c r="FB112" i="39" a="1"/>
  <c r="FB112" i="39" s="1"/>
  <c r="FB111" i="39" a="1"/>
  <c r="FB111" i="39" s="1"/>
  <c r="FB110" i="39" a="1"/>
  <c r="FB110" i="39" s="1"/>
  <c r="FB109" i="39" a="1"/>
  <c r="FB109" i="39" s="1"/>
  <c r="FB108" i="39" a="1"/>
  <c r="FB108" i="39" s="1"/>
  <c r="FB107" i="39" a="1"/>
  <c r="FB107" i="39" s="1"/>
  <c r="FB106" i="39" a="1"/>
  <c r="FB106" i="39" s="1"/>
  <c r="FB105" i="39" a="1"/>
  <c r="FB105" i="39" s="1"/>
  <c r="FB104" i="39" a="1"/>
  <c r="FB104" i="39" s="1"/>
  <c r="FB103" i="39" a="1"/>
  <c r="FB103" i="39" s="1"/>
  <c r="FB102" i="39" a="1"/>
  <c r="FB102" i="39" s="1"/>
  <c r="FB101" i="39" a="1"/>
  <c r="FB101" i="39" s="1"/>
  <c r="FB100" i="39" a="1"/>
  <c r="FB100" i="39" s="1"/>
  <c r="FB99" i="39" a="1"/>
  <c r="FB99" i="39" s="1"/>
  <c r="FB98" i="39" a="1"/>
  <c r="FB98" i="39" s="1"/>
  <c r="FB97" i="39" a="1"/>
  <c r="FB97" i="39" s="1"/>
  <c r="FB96" i="39" a="1"/>
  <c r="FB96" i="39" s="1"/>
  <c r="FB95" i="39" a="1"/>
  <c r="FB95" i="39" s="1"/>
  <c r="FB94" i="39" a="1"/>
  <c r="FB94" i="39" s="1"/>
  <c r="FB93" i="39" a="1"/>
  <c r="FB93" i="39" s="1"/>
  <c r="FB92" i="39" a="1"/>
  <c r="FB92" i="39" s="1"/>
  <c r="FB91" i="39" a="1"/>
  <c r="FB91" i="39" s="1"/>
  <c r="FB90" i="39" a="1"/>
  <c r="FB90" i="39" s="1"/>
  <c r="FB89" i="39" a="1"/>
  <c r="FB89" i="39" s="1"/>
  <c r="FB88" i="39" a="1"/>
  <c r="FB88" i="39" s="1"/>
  <c r="FB87" i="39" a="1"/>
  <c r="FB87" i="39" s="1"/>
  <c r="FB86" i="39" a="1"/>
  <c r="FB86" i="39" s="1"/>
  <c r="FB85" i="39" a="1"/>
  <c r="FB85" i="39" s="1"/>
  <c r="FB84" i="39" a="1"/>
  <c r="FB84" i="39" s="1"/>
  <c r="FB83" i="39" a="1"/>
  <c r="FB83" i="39" s="1"/>
  <c r="FB82" i="39" a="1"/>
  <c r="FB82" i="39" s="1"/>
  <c r="FB81" i="39" a="1"/>
  <c r="FB81" i="39" s="1"/>
  <c r="FB80" i="39" a="1"/>
  <c r="FB80" i="39" s="1"/>
  <c r="FB79" i="39" a="1"/>
  <c r="FB79" i="39" s="1"/>
  <c r="FB78" i="39" a="1"/>
  <c r="FB78" i="39" s="1"/>
  <c r="FB77" i="39" a="1"/>
  <c r="FB77" i="39" s="1"/>
  <c r="FB76" i="39" a="1"/>
  <c r="FB76" i="39" s="1"/>
  <c r="FB75" i="39" a="1"/>
  <c r="FB75" i="39" s="1"/>
  <c r="FB74" i="39" a="1"/>
  <c r="FB74" i="39" s="1"/>
  <c r="FB73" i="39" a="1"/>
  <c r="FB73" i="39" s="1"/>
  <c r="FB72" i="39" a="1"/>
  <c r="FB72" i="39" s="1"/>
  <c r="FB71" i="39" a="1"/>
  <c r="FB71" i="39" s="1"/>
  <c r="FB70" i="39" a="1"/>
  <c r="FB70" i="39" s="1"/>
  <c r="FB69" i="39" a="1"/>
  <c r="FB69" i="39" s="1"/>
  <c r="FB68" i="39" a="1"/>
  <c r="FB68" i="39" s="1"/>
  <c r="FB67" i="39" a="1"/>
  <c r="FB67" i="39" s="1"/>
  <c r="FB66" i="39" a="1"/>
  <c r="FB66" i="39" s="1"/>
  <c r="FB65" i="39" a="1"/>
  <c r="FB65" i="39" s="1"/>
  <c r="FB64" i="39" a="1"/>
  <c r="FB64" i="39" s="1"/>
  <c r="FB63" i="39" a="1"/>
  <c r="FB63" i="39" s="1"/>
  <c r="FB62" i="39" a="1"/>
  <c r="FB62" i="39" s="1"/>
  <c r="FB61" i="39" a="1"/>
  <c r="FB61" i="39" s="1"/>
  <c r="FB60" i="39" a="1"/>
  <c r="FB60" i="39" s="1"/>
  <c r="FB59" i="39" a="1"/>
  <c r="FB59" i="39" s="1"/>
  <c r="FB58" i="39" a="1"/>
  <c r="FB58" i="39" s="1"/>
  <c r="FB57" i="39" a="1"/>
  <c r="FB57" i="39" s="1"/>
  <c r="FB56" i="39" a="1"/>
  <c r="FB56" i="39" s="1"/>
  <c r="FB55" i="39" a="1"/>
  <c r="FB55" i="39" s="1"/>
  <c r="FB54" i="39" a="1"/>
  <c r="FB54" i="39" s="1"/>
  <c r="FB53" i="39" a="1"/>
  <c r="FB53" i="39" s="1"/>
  <c r="FB52" i="39" a="1"/>
  <c r="FB52" i="39" s="1"/>
  <c r="FB51" i="39" a="1"/>
  <c r="FB51" i="39" s="1"/>
  <c r="FB50" i="39" a="1"/>
  <c r="FB50" i="39" s="1"/>
  <c r="FB49" i="39" a="1"/>
  <c r="FB49" i="39" s="1"/>
  <c r="FB48" i="39" a="1"/>
  <c r="FB48" i="39" s="1"/>
  <c r="FB47" i="39" a="1"/>
  <c r="FB47" i="39" s="1"/>
  <c r="FB46" i="39" a="1"/>
  <c r="FB46" i="39" s="1"/>
  <c r="FB45" i="39" a="1"/>
  <c r="FB45" i="39" s="1"/>
  <c r="FB44" i="39" a="1"/>
  <c r="FB44" i="39" s="1"/>
  <c r="FB43" i="39" a="1"/>
  <c r="FB43" i="39" s="1"/>
  <c r="FB42" i="39" a="1"/>
  <c r="FB42" i="39" s="1"/>
  <c r="FB41" i="39" a="1"/>
  <c r="FB41" i="39" s="1"/>
  <c r="FB40" i="39" a="1"/>
  <c r="FB40" i="39" s="1"/>
  <c r="FB39" i="39" a="1"/>
  <c r="FB39" i="39" s="1"/>
  <c r="FB38" i="39" a="1"/>
  <c r="FB38" i="39" s="1"/>
  <c r="FB37" i="39" a="1"/>
  <c r="FB37" i="39" s="1"/>
  <c r="FB36" i="39" a="1"/>
  <c r="FB36" i="39" s="1"/>
  <c r="FB35" i="39" a="1"/>
  <c r="FB35" i="39" s="1"/>
  <c r="FB34" i="39" a="1"/>
  <c r="FB34" i="39" s="1"/>
  <c r="FB33" i="39" a="1"/>
  <c r="FB33" i="39" s="1"/>
  <c r="FB32" i="39" a="1"/>
  <c r="FB32" i="39" s="1"/>
  <c r="FB31" i="39" a="1"/>
  <c r="FB31" i="39" s="1"/>
  <c r="FB30" i="39" a="1"/>
  <c r="FB30" i="39" s="1"/>
  <c r="FB29" i="39" a="1"/>
  <c r="FB29" i="39" s="1"/>
  <c r="FB28" i="39" a="1"/>
  <c r="FB28" i="39" s="1"/>
  <c r="FB27" i="39" a="1"/>
  <c r="FB27" i="39" s="1"/>
  <c r="FB26" i="39" a="1"/>
  <c r="FB26" i="39" s="1"/>
  <c r="FB25" i="39" a="1"/>
  <c r="FB25" i="39" s="1"/>
  <c r="FB24" i="39" a="1"/>
  <c r="FB24" i="39" s="1"/>
  <c r="FB23" i="39" a="1"/>
  <c r="FB23" i="39" s="1"/>
  <c r="FB22" i="39" a="1"/>
  <c r="FB22" i="39" s="1"/>
  <c r="FB21" i="39" a="1"/>
  <c r="FB21" i="39" s="1"/>
  <c r="FB20" i="39" a="1"/>
  <c r="FB20" i="39" s="1"/>
  <c r="FB19" i="39" a="1"/>
  <c r="FB19" i="39" s="1"/>
  <c r="FB18" i="39" a="1"/>
  <c r="FB18" i="39" s="1"/>
  <c r="FB17" i="39" a="1"/>
  <c r="FB17" i="39" s="1"/>
  <c r="FB16" i="39" a="1"/>
  <c r="FB16" i="39" s="1"/>
  <c r="FB15" i="39" a="1"/>
  <c r="FB15" i="39" s="1"/>
  <c r="FB14" i="39" a="1"/>
  <c r="FB14" i="39" s="1"/>
  <c r="FB13" i="39" a="1"/>
  <c r="FB13" i="39" s="1"/>
  <c r="FB12" i="39" a="1"/>
  <c r="FB12" i="39" s="1"/>
  <c r="FB11" i="39" a="1"/>
  <c r="FB11" i="39" s="1"/>
  <c r="FB10" i="39" a="1"/>
  <c r="FB10" i="39" s="1"/>
  <c r="FB9" i="39" a="1"/>
  <c r="FB9" i="39" s="1"/>
  <c r="FB8" i="39" a="1"/>
  <c r="FB8" i="39" s="1"/>
  <c r="FB7" i="39" a="1"/>
  <c r="FB7" i="39" s="1"/>
  <c r="FB6" i="39" a="1"/>
  <c r="FB6" i="39" s="1"/>
  <c r="FB5" i="39" a="1"/>
  <c r="FB5" i="39" s="1"/>
  <c r="BG163" i="39" a="1"/>
  <c r="BG163" i="39" s="1"/>
  <c r="BG162" i="39" a="1"/>
  <c r="BG162" i="39" s="1"/>
  <c r="BG161" i="39" a="1"/>
  <c r="BG161" i="39" s="1"/>
  <c r="BG160" i="39" a="1"/>
  <c r="BG160" i="39" s="1"/>
  <c r="BG159" i="39" a="1"/>
  <c r="BG159" i="39" s="1"/>
  <c r="BG158" i="39" a="1"/>
  <c r="BG158" i="39" s="1"/>
  <c r="BG157" i="39" a="1"/>
  <c r="BG157" i="39" s="1"/>
  <c r="BG156" i="39" a="1"/>
  <c r="BG156" i="39" s="1"/>
  <c r="BG155" i="39" a="1"/>
  <c r="BG155" i="39" s="1"/>
  <c r="BG154" i="39" a="1"/>
  <c r="BG154" i="39" s="1"/>
  <c r="BG153" i="39" a="1"/>
  <c r="BG153" i="39" s="1"/>
  <c r="BG152" i="39" a="1"/>
  <c r="BG152" i="39" s="1"/>
  <c r="BG151" i="39" a="1"/>
  <c r="BG151" i="39" s="1"/>
  <c r="BG150" i="39" a="1"/>
  <c r="BG150" i="39" s="1"/>
  <c r="BG149" i="39" a="1"/>
  <c r="BG149" i="39" s="1"/>
  <c r="BG148" i="39" a="1"/>
  <c r="BG148" i="39" s="1"/>
  <c r="BG147" i="39" a="1"/>
  <c r="BG147" i="39" s="1"/>
  <c r="BG146" i="39" a="1"/>
  <c r="BG146" i="39" s="1"/>
  <c r="BG145" i="39" a="1"/>
  <c r="BG145" i="39" s="1"/>
  <c r="BG144" i="39" a="1"/>
  <c r="BG144" i="39" s="1"/>
  <c r="BG143" i="39" a="1"/>
  <c r="BG143" i="39" s="1"/>
  <c r="BG142" i="39" a="1"/>
  <c r="BG142" i="39" s="1"/>
  <c r="BG141" i="39" a="1"/>
  <c r="BG141" i="39" s="1"/>
  <c r="BG140" i="39" a="1"/>
  <c r="BG140" i="39" s="1"/>
  <c r="BG139" i="39" a="1"/>
  <c r="BG139" i="39" s="1"/>
  <c r="BG138" i="39" a="1"/>
  <c r="BG138" i="39" s="1"/>
  <c r="BG137" i="39" a="1"/>
  <c r="BG137" i="39" s="1"/>
  <c r="BG136" i="39" a="1"/>
  <c r="BG136" i="39" s="1"/>
  <c r="BG135" i="39" a="1"/>
  <c r="BG135" i="39" s="1"/>
  <c r="BG134" i="39" a="1"/>
  <c r="BG134" i="39" s="1"/>
  <c r="BG133" i="39" a="1"/>
  <c r="BG133" i="39" s="1"/>
  <c r="BG132" i="39" a="1"/>
  <c r="BG132" i="39" s="1"/>
  <c r="BG131" i="39" a="1"/>
  <c r="BG131" i="39" s="1"/>
  <c r="BG130" i="39" a="1"/>
  <c r="BG130" i="39" s="1"/>
  <c r="BG129" i="39" a="1"/>
  <c r="BG129" i="39" s="1"/>
  <c r="BG128" i="39" a="1"/>
  <c r="BG128" i="39" s="1"/>
  <c r="BG127" i="39" a="1"/>
  <c r="BG127" i="39" s="1"/>
  <c r="BG126" i="39" a="1"/>
  <c r="BG126" i="39" s="1"/>
  <c r="BG125" i="39" a="1"/>
  <c r="BG125" i="39" s="1"/>
  <c r="BG124" i="39" a="1"/>
  <c r="BG124" i="39" s="1"/>
  <c r="BG123" i="39" a="1"/>
  <c r="BG123" i="39" s="1"/>
  <c r="BG122" i="39" a="1"/>
  <c r="BG122" i="39" s="1"/>
  <c r="BG121" i="39" a="1"/>
  <c r="BG121" i="39" s="1"/>
  <c r="BG120" i="39" a="1"/>
  <c r="BG120" i="39" s="1"/>
  <c r="BG119" i="39" a="1"/>
  <c r="BG119" i="39" s="1"/>
  <c r="BG118" i="39" a="1"/>
  <c r="BG118" i="39" s="1"/>
  <c r="BG117" i="39" a="1"/>
  <c r="BG117" i="39" s="1"/>
  <c r="BG116" i="39" a="1"/>
  <c r="BG116" i="39" s="1"/>
  <c r="BG115" i="39" a="1"/>
  <c r="BG115" i="39" s="1"/>
  <c r="BG114" i="39" a="1"/>
  <c r="BG114" i="39" s="1"/>
  <c r="BG113" i="39" a="1"/>
  <c r="BG113" i="39" s="1"/>
  <c r="BG112" i="39" a="1"/>
  <c r="BG112" i="39" s="1"/>
  <c r="BG111" i="39" a="1"/>
  <c r="BG111" i="39" s="1"/>
  <c r="BG110" i="39" a="1"/>
  <c r="BG110" i="39" s="1"/>
  <c r="BG109" i="39" a="1"/>
  <c r="BG109" i="39" s="1"/>
  <c r="BG108" i="39" a="1"/>
  <c r="BG108" i="39" s="1"/>
  <c r="BG107" i="39" a="1"/>
  <c r="BG107" i="39" s="1"/>
  <c r="BG106" i="39" a="1"/>
  <c r="BG106" i="39" s="1"/>
  <c r="BG105" i="39" a="1"/>
  <c r="BG105" i="39" s="1"/>
  <c r="BG104" i="39" a="1"/>
  <c r="BG104" i="39" s="1"/>
  <c r="BG103" i="39" a="1"/>
  <c r="BG103" i="39" s="1"/>
  <c r="BG102" i="39" a="1"/>
  <c r="BG102" i="39" s="1"/>
  <c r="BG101" i="39" a="1"/>
  <c r="BG101" i="39" s="1"/>
  <c r="BG100" i="39" a="1"/>
  <c r="BG100" i="39" s="1"/>
  <c r="BG99" i="39" a="1"/>
  <c r="BG99" i="39" s="1"/>
  <c r="BG98" i="39" a="1"/>
  <c r="BG98" i="39" s="1"/>
  <c r="BG97" i="39" a="1"/>
  <c r="BG97" i="39" s="1"/>
  <c r="BG96" i="39" a="1"/>
  <c r="BG96" i="39" s="1"/>
  <c r="BG95" i="39" a="1"/>
  <c r="BG95" i="39" s="1"/>
  <c r="BG94" i="39" a="1"/>
  <c r="BG94" i="39" s="1"/>
  <c r="BG93" i="39" a="1"/>
  <c r="BG93" i="39" s="1"/>
  <c r="BG92" i="39" a="1"/>
  <c r="BG92" i="39" s="1"/>
  <c r="BG91" i="39" a="1"/>
  <c r="BG91" i="39" s="1"/>
  <c r="BG90" i="39" a="1"/>
  <c r="BG90" i="39" s="1"/>
  <c r="BG89" i="39" a="1"/>
  <c r="BG89" i="39" s="1"/>
  <c r="BG88" i="39" a="1"/>
  <c r="BG88" i="39" s="1"/>
  <c r="BG87" i="39" a="1"/>
  <c r="BG87" i="39" s="1"/>
  <c r="BG86" i="39" a="1"/>
  <c r="BG86" i="39" s="1"/>
  <c r="BG85" i="39" a="1"/>
  <c r="BG85" i="39" s="1"/>
  <c r="BG84" i="39" a="1"/>
  <c r="BG84" i="39" s="1"/>
  <c r="BG83" i="39" a="1"/>
  <c r="BG83" i="39" s="1"/>
  <c r="BG82" i="39" a="1"/>
  <c r="BG82" i="39" s="1"/>
  <c r="BG81" i="39" a="1"/>
  <c r="BG81" i="39" s="1"/>
  <c r="BG80" i="39" a="1"/>
  <c r="BG80" i="39" s="1"/>
  <c r="BG79" i="39" a="1"/>
  <c r="BG79" i="39" s="1"/>
  <c r="BG78" i="39" a="1"/>
  <c r="BG78" i="39" s="1"/>
  <c r="BG77" i="39" a="1"/>
  <c r="BG77" i="39" s="1"/>
  <c r="BG76" i="39" a="1"/>
  <c r="BG76" i="39" s="1"/>
  <c r="BG75" i="39" a="1"/>
  <c r="BG75" i="39" s="1"/>
  <c r="BG74" i="39" a="1"/>
  <c r="BG74" i="39" s="1"/>
  <c r="BG73" i="39" a="1"/>
  <c r="BG73" i="39" s="1"/>
  <c r="BG72" i="39" a="1"/>
  <c r="BG72" i="39" s="1"/>
  <c r="BG71" i="39" a="1"/>
  <c r="BG71" i="39" s="1"/>
  <c r="BG70" i="39" a="1"/>
  <c r="BG70" i="39" s="1"/>
  <c r="BG69" i="39" a="1"/>
  <c r="BG69" i="39" s="1"/>
  <c r="BG68" i="39" a="1"/>
  <c r="BG68" i="39" s="1"/>
  <c r="BG67" i="39" a="1"/>
  <c r="BG67" i="39" s="1"/>
  <c r="BG66" i="39" a="1"/>
  <c r="BG66" i="39" s="1"/>
  <c r="BG65" i="39" a="1"/>
  <c r="BG65" i="39" s="1"/>
  <c r="BG64" i="39" a="1"/>
  <c r="BG64" i="39" s="1"/>
  <c r="BG63" i="39" a="1"/>
  <c r="BG63" i="39" s="1"/>
  <c r="BG62" i="39" a="1"/>
  <c r="BG62" i="39" s="1"/>
  <c r="BG61" i="39" a="1"/>
  <c r="BG61" i="39" s="1"/>
  <c r="BG60" i="39" a="1"/>
  <c r="BG60" i="39" s="1"/>
  <c r="BG59" i="39" a="1"/>
  <c r="BG59" i="39" s="1"/>
  <c r="BG58" i="39" a="1"/>
  <c r="BG58" i="39" s="1"/>
  <c r="BG57" i="39" a="1"/>
  <c r="BG57" i="39" s="1"/>
  <c r="BG56" i="39" a="1"/>
  <c r="BG56" i="39" s="1"/>
  <c r="BG55" i="39" a="1"/>
  <c r="BG55" i="39" s="1"/>
  <c r="BG54" i="39" a="1"/>
  <c r="BG54" i="39" s="1"/>
  <c r="BG53" i="39" a="1"/>
  <c r="BG53" i="39" s="1"/>
  <c r="BG52" i="39" a="1"/>
  <c r="BG52" i="39" s="1"/>
  <c r="BG51" i="39" a="1"/>
  <c r="BG51" i="39" s="1"/>
  <c r="BG50" i="39" a="1"/>
  <c r="BG50" i="39" s="1"/>
  <c r="BG49" i="39" a="1"/>
  <c r="BG49" i="39" s="1"/>
  <c r="BG48" i="39" a="1"/>
  <c r="BG48" i="39" s="1"/>
  <c r="BG47" i="39" a="1"/>
  <c r="BG47" i="39" s="1"/>
  <c r="BG46" i="39" a="1"/>
  <c r="BG46" i="39" s="1"/>
  <c r="BG45" i="39" a="1"/>
  <c r="BG45" i="39" s="1"/>
  <c r="BG44" i="39" a="1"/>
  <c r="BG44" i="39" s="1"/>
  <c r="BG43" i="39" a="1"/>
  <c r="BG43" i="39" s="1"/>
  <c r="BG42" i="39" a="1"/>
  <c r="BG42" i="39" s="1"/>
  <c r="BG41" i="39" a="1"/>
  <c r="BG41" i="39" s="1"/>
  <c r="BG40" i="39" a="1"/>
  <c r="BG40" i="39" s="1"/>
  <c r="BG39" i="39" a="1"/>
  <c r="BG39" i="39" s="1"/>
  <c r="BG38" i="39" a="1"/>
  <c r="BG38" i="39" s="1"/>
  <c r="BG37" i="39" a="1"/>
  <c r="BG37" i="39" s="1"/>
  <c r="BG36" i="39" a="1"/>
  <c r="BG36" i="39" s="1"/>
  <c r="BG35" i="39" a="1"/>
  <c r="BG35" i="39" s="1"/>
  <c r="BG34" i="39" a="1"/>
  <c r="BG34" i="39" s="1"/>
  <c r="BG33" i="39" a="1"/>
  <c r="BG33" i="39" s="1"/>
  <c r="BG32" i="39" a="1"/>
  <c r="BG32" i="39" s="1"/>
  <c r="BG31" i="39" a="1"/>
  <c r="BG31" i="39" s="1"/>
  <c r="BG30" i="39" a="1"/>
  <c r="BG30" i="39" s="1"/>
  <c r="BG29" i="39" a="1"/>
  <c r="BG29" i="39" s="1"/>
  <c r="BG28" i="39" a="1"/>
  <c r="BG28" i="39" s="1"/>
  <c r="BG27" i="39" a="1"/>
  <c r="BG27" i="39" s="1"/>
  <c r="BG26" i="39" a="1"/>
  <c r="BG26" i="39" s="1"/>
  <c r="BG25" i="39" a="1"/>
  <c r="BG25" i="39" s="1"/>
  <c r="BG24" i="39" a="1"/>
  <c r="BG24" i="39" s="1"/>
  <c r="BG23" i="39" a="1"/>
  <c r="BG23" i="39" s="1"/>
  <c r="BG22" i="39" a="1"/>
  <c r="BG22" i="39" s="1"/>
  <c r="BG21" i="39" a="1"/>
  <c r="BG21" i="39" s="1"/>
  <c r="BG20" i="39" a="1"/>
  <c r="BG20" i="39" s="1"/>
  <c r="BG19" i="39" a="1"/>
  <c r="BG19" i="39" s="1"/>
  <c r="BG18" i="39" a="1"/>
  <c r="BG18" i="39" s="1"/>
  <c r="BG17" i="39" a="1"/>
  <c r="BG17" i="39" s="1"/>
  <c r="BG16" i="39" a="1"/>
  <c r="BG16" i="39" s="1"/>
  <c r="BG15" i="39" a="1"/>
  <c r="BG15" i="39" s="1"/>
  <c r="BG14" i="39" a="1"/>
  <c r="BG14" i="39" s="1"/>
  <c r="BG13" i="39" a="1"/>
  <c r="BG13" i="39" s="1"/>
  <c r="BG12" i="39" a="1"/>
  <c r="BG12" i="39" s="1"/>
  <c r="BG11" i="39" a="1"/>
  <c r="BG11" i="39" s="1"/>
  <c r="BG10" i="39" a="1"/>
  <c r="BG10" i="39" s="1"/>
  <c r="BG9" i="39" a="1"/>
  <c r="BG9" i="39" s="1"/>
  <c r="BG8" i="39" a="1"/>
  <c r="BG8" i="39" s="1"/>
  <c r="BG7" i="39" a="1"/>
  <c r="BG7" i="39" s="1"/>
  <c r="BG6" i="39" a="1"/>
  <c r="BG6" i="39" s="1"/>
  <c r="BG5" i="39" a="1"/>
  <c r="BG5" i="39" s="1"/>
  <c r="BD163" i="39" a="1"/>
  <c r="BD163" i="39" s="1"/>
  <c r="BD162" i="39" a="1"/>
  <c r="BD162" i="39" s="1"/>
  <c r="BD161" i="39" a="1"/>
  <c r="BD161" i="39" s="1"/>
  <c r="BD160" i="39" a="1"/>
  <c r="BD160" i="39" s="1"/>
  <c r="BD159" i="39" a="1"/>
  <c r="BD159" i="39" s="1"/>
  <c r="BD158" i="39" a="1"/>
  <c r="BD158" i="39" s="1"/>
  <c r="BD157" i="39" a="1"/>
  <c r="BD157" i="39" s="1"/>
  <c r="BD156" i="39" a="1"/>
  <c r="BD156" i="39" s="1"/>
  <c r="BD155" i="39" a="1"/>
  <c r="BD155" i="39" s="1"/>
  <c r="BD154" i="39" a="1"/>
  <c r="BD154" i="39" s="1"/>
  <c r="BD153" i="39" a="1"/>
  <c r="BD153" i="39" s="1"/>
  <c r="BD152" i="39" a="1"/>
  <c r="BD152" i="39" s="1"/>
  <c r="BD151" i="39" a="1"/>
  <c r="BD151" i="39" s="1"/>
  <c r="BD150" i="39" a="1"/>
  <c r="BD150" i="39" s="1"/>
  <c r="BD149" i="39" a="1"/>
  <c r="BD149" i="39" s="1"/>
  <c r="BD148" i="39" a="1"/>
  <c r="BD148" i="39" s="1"/>
  <c r="BD147" i="39" a="1"/>
  <c r="BD147" i="39" s="1"/>
  <c r="BD146" i="39" a="1"/>
  <c r="BD146" i="39" s="1"/>
  <c r="BD145" i="39" a="1"/>
  <c r="BD145" i="39" s="1"/>
  <c r="BD144" i="39" a="1"/>
  <c r="BD144" i="39" s="1"/>
  <c r="BD143" i="39" a="1"/>
  <c r="BD143" i="39" s="1"/>
  <c r="BD142" i="39" a="1"/>
  <c r="BD142" i="39" s="1"/>
  <c r="BD141" i="39" a="1"/>
  <c r="BD141" i="39" s="1"/>
  <c r="BD140" i="39" a="1"/>
  <c r="BD140" i="39" s="1"/>
  <c r="BD139" i="39" a="1"/>
  <c r="BD139" i="39" s="1"/>
  <c r="BD138" i="39" a="1"/>
  <c r="BD138" i="39" s="1"/>
  <c r="BD137" i="39" a="1"/>
  <c r="BD137" i="39" s="1"/>
  <c r="BD136" i="39" a="1"/>
  <c r="BD136" i="39" s="1"/>
  <c r="BD135" i="39" a="1"/>
  <c r="BD135" i="39" s="1"/>
  <c r="BD134" i="39" a="1"/>
  <c r="BD134" i="39" s="1"/>
  <c r="BD133" i="39" a="1"/>
  <c r="BD133" i="39" s="1"/>
  <c r="BD132" i="39" a="1"/>
  <c r="BD132" i="39" s="1"/>
  <c r="BD131" i="39" a="1"/>
  <c r="BD131" i="39" s="1"/>
  <c r="BD130" i="39" a="1"/>
  <c r="BD130" i="39" s="1"/>
  <c r="BD129" i="39" a="1"/>
  <c r="BD129" i="39" s="1"/>
  <c r="BD128" i="39" a="1"/>
  <c r="BD128" i="39" s="1"/>
  <c r="BD127" i="39" a="1"/>
  <c r="BD127" i="39" s="1"/>
  <c r="BD126" i="39" a="1"/>
  <c r="BD126" i="39" s="1"/>
  <c r="BD125" i="39" a="1"/>
  <c r="BD125" i="39" s="1"/>
  <c r="BD124" i="39" a="1"/>
  <c r="BD124" i="39" s="1"/>
  <c r="BD123" i="39" a="1"/>
  <c r="BD123" i="39" s="1"/>
  <c r="BD122" i="39" a="1"/>
  <c r="BD122" i="39" s="1"/>
  <c r="BD121" i="39" a="1"/>
  <c r="BD121" i="39" s="1"/>
  <c r="BD120" i="39" a="1"/>
  <c r="BD120" i="39" s="1"/>
  <c r="BD119" i="39" a="1"/>
  <c r="BD119" i="39" s="1"/>
  <c r="BD118" i="39" a="1"/>
  <c r="BD118" i="39" s="1"/>
  <c r="BD117" i="39" a="1"/>
  <c r="BD117" i="39" s="1"/>
  <c r="BD116" i="39" a="1"/>
  <c r="BD116" i="39" s="1"/>
  <c r="BD115" i="39" a="1"/>
  <c r="BD115" i="39" s="1"/>
  <c r="BD114" i="39" a="1"/>
  <c r="BD114" i="39" s="1"/>
  <c r="BD113" i="39" a="1"/>
  <c r="BD113" i="39" s="1"/>
  <c r="BD112" i="39" a="1"/>
  <c r="BD112" i="39" s="1"/>
  <c r="BD111" i="39" a="1"/>
  <c r="BD111" i="39" s="1"/>
  <c r="BD110" i="39" a="1"/>
  <c r="BD110" i="39" s="1"/>
  <c r="BD109" i="39" a="1"/>
  <c r="BD109" i="39" s="1"/>
  <c r="BD108" i="39" a="1"/>
  <c r="BD108" i="39" s="1"/>
  <c r="BD107" i="39" a="1"/>
  <c r="BD107" i="39" s="1"/>
  <c r="BD106" i="39" a="1"/>
  <c r="BD106" i="39" s="1"/>
  <c r="BD105" i="39" a="1"/>
  <c r="BD105" i="39" s="1"/>
  <c r="BD104" i="39" a="1"/>
  <c r="BD104" i="39" s="1"/>
  <c r="BD103" i="39" a="1"/>
  <c r="BD103" i="39" s="1"/>
  <c r="BD102" i="39" a="1"/>
  <c r="BD102" i="39" s="1"/>
  <c r="BD101" i="39" a="1"/>
  <c r="BD101" i="39" s="1"/>
  <c r="BD100" i="39" a="1"/>
  <c r="BD100" i="39" s="1"/>
  <c r="BD99" i="39" a="1"/>
  <c r="BD99" i="39" s="1"/>
  <c r="BD98" i="39" a="1"/>
  <c r="BD98" i="39" s="1"/>
  <c r="BD97" i="39" a="1"/>
  <c r="BD97" i="39" s="1"/>
  <c r="BD96" i="39" a="1"/>
  <c r="BD96" i="39" s="1"/>
  <c r="BD95" i="39" a="1"/>
  <c r="BD95" i="39" s="1"/>
  <c r="BD94" i="39" a="1"/>
  <c r="BD94" i="39" s="1"/>
  <c r="BD93" i="39" a="1"/>
  <c r="BD93" i="39" s="1"/>
  <c r="BD92" i="39" a="1"/>
  <c r="BD92" i="39" s="1"/>
  <c r="BD91" i="39" a="1"/>
  <c r="BD91" i="39" s="1"/>
  <c r="BD90" i="39" a="1"/>
  <c r="BD90" i="39" s="1"/>
  <c r="BD89" i="39" a="1"/>
  <c r="BD89" i="39" s="1"/>
  <c r="BD88" i="39" a="1"/>
  <c r="BD88" i="39" s="1"/>
  <c r="BD87" i="39" a="1"/>
  <c r="BD87" i="39" s="1"/>
  <c r="BD86" i="39" a="1"/>
  <c r="BD86" i="39" s="1"/>
  <c r="BD85" i="39" a="1"/>
  <c r="BD85" i="39" s="1"/>
  <c r="BD84" i="39" a="1"/>
  <c r="BD84" i="39" s="1"/>
  <c r="BD83" i="39" a="1"/>
  <c r="BD83" i="39" s="1"/>
  <c r="BD82" i="39" a="1"/>
  <c r="BD82" i="39" s="1"/>
  <c r="BD81" i="39" a="1"/>
  <c r="BD81" i="39" s="1"/>
  <c r="BD80" i="39" a="1"/>
  <c r="BD80" i="39" s="1"/>
  <c r="BD79" i="39" a="1"/>
  <c r="BD79" i="39" s="1"/>
  <c r="BD78" i="39" a="1"/>
  <c r="BD78" i="39" s="1"/>
  <c r="BD77" i="39" a="1"/>
  <c r="BD77" i="39" s="1"/>
  <c r="BD76" i="39" a="1"/>
  <c r="BD76" i="39" s="1"/>
  <c r="BD75" i="39" a="1"/>
  <c r="BD75" i="39" s="1"/>
  <c r="BD74" i="39" a="1"/>
  <c r="BD74" i="39" s="1"/>
  <c r="BD73" i="39" a="1"/>
  <c r="BD73" i="39" s="1"/>
  <c r="BD72" i="39" a="1"/>
  <c r="BD72" i="39" s="1"/>
  <c r="BD71" i="39" a="1"/>
  <c r="BD71" i="39" s="1"/>
  <c r="BD70" i="39" a="1"/>
  <c r="BD70" i="39" s="1"/>
  <c r="BD69" i="39" a="1"/>
  <c r="BD69" i="39" s="1"/>
  <c r="BD68" i="39" a="1"/>
  <c r="BD68" i="39" s="1"/>
  <c r="BD67" i="39" a="1"/>
  <c r="BD67" i="39" s="1"/>
  <c r="BD66" i="39" a="1"/>
  <c r="BD66" i="39" s="1"/>
  <c r="BD65" i="39" a="1"/>
  <c r="BD65" i="39" s="1"/>
  <c r="BD64" i="39" a="1"/>
  <c r="BD64" i="39" s="1"/>
  <c r="BD63" i="39" a="1"/>
  <c r="BD63" i="39" s="1"/>
  <c r="BD62" i="39" a="1"/>
  <c r="BD62" i="39" s="1"/>
  <c r="BD61" i="39" a="1"/>
  <c r="BD61" i="39" s="1"/>
  <c r="BD60" i="39" a="1"/>
  <c r="BD60" i="39" s="1"/>
  <c r="BD59" i="39" a="1"/>
  <c r="BD59" i="39" s="1"/>
  <c r="BD58" i="39" a="1"/>
  <c r="BD58" i="39" s="1"/>
  <c r="BD57" i="39" a="1"/>
  <c r="BD57" i="39" s="1"/>
  <c r="BD56" i="39" a="1"/>
  <c r="BD56" i="39" s="1"/>
  <c r="BD55" i="39" a="1"/>
  <c r="BD55" i="39" s="1"/>
  <c r="BD54" i="39" a="1"/>
  <c r="BD54" i="39" s="1"/>
  <c r="BD53" i="39" a="1"/>
  <c r="BD53" i="39" s="1"/>
  <c r="BD52" i="39" a="1"/>
  <c r="BD52" i="39" s="1"/>
  <c r="BD51" i="39" a="1"/>
  <c r="BD51" i="39" s="1"/>
  <c r="BD50" i="39" a="1"/>
  <c r="BD50" i="39" s="1"/>
  <c r="BD49" i="39" a="1"/>
  <c r="BD49" i="39" s="1"/>
  <c r="BD48" i="39" a="1"/>
  <c r="BD48" i="39" s="1"/>
  <c r="BD47" i="39" a="1"/>
  <c r="BD47" i="39" s="1"/>
  <c r="BD46" i="39" a="1"/>
  <c r="BD46" i="39" s="1"/>
  <c r="BD45" i="39" a="1"/>
  <c r="BD45" i="39" s="1"/>
  <c r="BD44" i="39" a="1"/>
  <c r="BD44" i="39" s="1"/>
  <c r="BD43" i="39" a="1"/>
  <c r="BD43" i="39" s="1"/>
  <c r="BD42" i="39" a="1"/>
  <c r="BD42" i="39" s="1"/>
  <c r="BD41" i="39" a="1"/>
  <c r="BD41" i="39" s="1"/>
  <c r="BD40" i="39" a="1"/>
  <c r="BD40" i="39" s="1"/>
  <c r="BD39" i="39" a="1"/>
  <c r="BD39" i="39" s="1"/>
  <c r="BD38" i="39" a="1"/>
  <c r="BD38" i="39" s="1"/>
  <c r="BD37" i="39" a="1"/>
  <c r="BD37" i="39" s="1"/>
  <c r="BD36" i="39" a="1"/>
  <c r="BD36" i="39" s="1"/>
  <c r="BD35" i="39" a="1"/>
  <c r="BD35" i="39" s="1"/>
  <c r="BD34" i="39" a="1"/>
  <c r="BD34" i="39" s="1"/>
  <c r="BD33" i="39" a="1"/>
  <c r="BD33" i="39" s="1"/>
  <c r="BD32" i="39" a="1"/>
  <c r="BD32" i="39" s="1"/>
  <c r="BD31" i="39" a="1"/>
  <c r="BD31" i="39" s="1"/>
  <c r="BD30" i="39" a="1"/>
  <c r="BD30" i="39" s="1"/>
  <c r="BD29" i="39" a="1"/>
  <c r="BD29" i="39" s="1"/>
  <c r="BD28" i="39" a="1"/>
  <c r="BD28" i="39" s="1"/>
  <c r="BD27" i="39" a="1"/>
  <c r="BD27" i="39" s="1"/>
  <c r="BD26" i="39" a="1"/>
  <c r="BD26" i="39" s="1"/>
  <c r="BD25" i="39" a="1"/>
  <c r="BD25" i="39" s="1"/>
  <c r="BD24" i="39" a="1"/>
  <c r="BD24" i="39" s="1"/>
  <c r="BD23" i="39" a="1"/>
  <c r="BD23" i="39" s="1"/>
  <c r="BD22" i="39" a="1"/>
  <c r="BD22" i="39" s="1"/>
  <c r="BD21" i="39" a="1"/>
  <c r="BD21" i="39" s="1"/>
  <c r="BD20" i="39" a="1"/>
  <c r="BD20" i="39" s="1"/>
  <c r="BD19" i="39" a="1"/>
  <c r="BD19" i="39" s="1"/>
  <c r="BD18" i="39" a="1"/>
  <c r="BD18" i="39" s="1"/>
  <c r="BD17" i="39" a="1"/>
  <c r="BD17" i="39" s="1"/>
  <c r="BD16" i="39" a="1"/>
  <c r="BD16" i="39" s="1"/>
  <c r="BD15" i="39" a="1"/>
  <c r="BD15" i="39" s="1"/>
  <c r="BD14" i="39" a="1"/>
  <c r="BD14" i="39" s="1"/>
  <c r="BD13" i="39" a="1"/>
  <c r="BD13" i="39" s="1"/>
  <c r="BD12" i="39" a="1"/>
  <c r="BD12" i="39" s="1"/>
  <c r="BD11" i="39" a="1"/>
  <c r="BD11" i="39" s="1"/>
  <c r="BD10" i="39" a="1"/>
  <c r="BD10" i="39" s="1"/>
  <c r="BD9" i="39" a="1"/>
  <c r="BD9" i="39" s="1"/>
  <c r="BD8" i="39" a="1"/>
  <c r="BD8" i="39" s="1"/>
  <c r="BD7" i="39" a="1"/>
  <c r="BD7" i="39" s="1"/>
  <c r="BD6" i="39" a="1"/>
  <c r="BD6" i="39" s="1"/>
  <c r="BD5" i="39" a="1"/>
  <c r="BD5" i="39" s="1"/>
  <c r="FS4" i="39" a="1"/>
  <c r="FS4" i="39" s="1"/>
  <c r="FL4" i="39" a="1"/>
  <c r="FL4" i="39" s="1"/>
  <c r="FE4" i="39" a="1"/>
  <c r="FE4" i="39" s="1"/>
  <c r="BG4" i="39" a="1"/>
  <c r="BG4" i="39" s="1"/>
  <c r="BD4" i="39" a="1"/>
  <c r="BD4" i="39" s="1"/>
  <c r="FC2" i="39"/>
  <c r="FC1" i="39"/>
  <c r="GE2" i="39"/>
  <c r="FX2" i="39"/>
  <c r="FX1" i="39"/>
  <c r="FQ2" i="39"/>
  <c r="FQ1" i="39"/>
  <c r="FJ2" i="39"/>
  <c r="FJ1" i="39"/>
  <c r="BE2" i="39"/>
  <c r="BE1" i="39"/>
  <c r="J18" i="46" l="1"/>
  <c r="AC90" i="34"/>
  <c r="A152" i="33"/>
  <c r="A171" i="33"/>
  <c r="A133" i="33"/>
  <c r="B112" i="33"/>
  <c r="A169" i="33"/>
  <c r="A131" i="33"/>
  <c r="A150" i="33"/>
  <c r="T15" i="47"/>
  <c r="AD88" i="34" s="1"/>
  <c r="AD90" i="34" s="1"/>
  <c r="J18" i="47"/>
  <c r="W15" i="46"/>
  <c r="J9" i="46"/>
  <c r="T15" i="45"/>
  <c r="AB88" i="34" s="1"/>
  <c r="J18" i="45"/>
  <c r="AY8" i="39"/>
  <c r="AY7" i="39"/>
  <c r="AY6" i="39"/>
  <c r="AY5" i="39"/>
  <c r="AY4" i="39"/>
  <c r="AB90" i="34" l="1"/>
  <c r="W15" i="47"/>
  <c r="J9" i="47"/>
  <c r="W15" i="45"/>
  <c r="J9" i="45"/>
  <c r="BW163" i="39"/>
  <c r="BW162" i="39"/>
  <c r="BW161" i="39"/>
  <c r="BW160" i="39"/>
  <c r="BW159" i="39"/>
  <c r="BW158" i="39"/>
  <c r="BW157" i="39"/>
  <c r="BW156" i="39"/>
  <c r="BW155" i="39"/>
  <c r="BW154" i="39"/>
  <c r="BW153" i="39"/>
  <c r="BW152" i="39"/>
  <c r="BW151" i="39"/>
  <c r="BW150" i="39"/>
  <c r="BW149" i="39"/>
  <c r="BW148" i="39"/>
  <c r="BW147" i="39"/>
  <c r="BW146" i="39"/>
  <c r="BW145" i="39"/>
  <c r="BW144" i="39"/>
  <c r="BW143" i="39"/>
  <c r="BW142" i="39"/>
  <c r="BW141" i="39"/>
  <c r="BW140" i="39"/>
  <c r="BW139" i="39"/>
  <c r="BW138" i="39"/>
  <c r="BW137" i="39"/>
  <c r="BW136" i="39"/>
  <c r="BW135" i="39"/>
  <c r="BW134" i="39"/>
  <c r="BW133" i="39"/>
  <c r="BW132" i="39"/>
  <c r="BW131" i="39"/>
  <c r="BW130" i="39"/>
  <c r="BW129" i="39"/>
  <c r="BW128" i="39"/>
  <c r="BW127" i="39"/>
  <c r="BW126" i="39"/>
  <c r="BW125" i="39"/>
  <c r="BW124" i="39"/>
  <c r="BW123" i="39"/>
  <c r="BW122" i="39"/>
  <c r="BW121" i="39"/>
  <c r="BW120" i="39"/>
  <c r="BW119" i="39"/>
  <c r="BW118" i="39"/>
  <c r="BW117" i="39"/>
  <c r="BW116" i="39"/>
  <c r="BW115" i="39"/>
  <c r="BW114" i="39"/>
  <c r="BW113" i="39"/>
  <c r="BW112" i="39"/>
  <c r="BW111" i="39"/>
  <c r="BW110" i="39"/>
  <c r="BW109" i="39"/>
  <c r="BW108" i="39"/>
  <c r="BW107" i="39"/>
  <c r="BW106" i="39"/>
  <c r="BW105" i="39"/>
  <c r="BW104" i="39"/>
  <c r="BW103" i="39"/>
  <c r="BW102" i="39"/>
  <c r="BW101" i="39"/>
  <c r="BW100" i="39"/>
  <c r="BW99" i="39"/>
  <c r="BW98" i="39"/>
  <c r="BW97" i="39"/>
  <c r="BW96" i="39"/>
  <c r="BW95" i="39"/>
  <c r="BW94" i="39"/>
  <c r="BW93" i="39"/>
  <c r="BW92" i="39"/>
  <c r="BW91" i="39"/>
  <c r="BW90" i="39"/>
  <c r="BW89" i="39"/>
  <c r="BW88" i="39"/>
  <c r="BW87" i="39"/>
  <c r="BW86" i="39"/>
  <c r="BW85" i="39"/>
  <c r="BW84" i="39"/>
  <c r="BW83" i="39"/>
  <c r="BW82" i="39"/>
  <c r="BW81" i="39"/>
  <c r="BW80" i="39"/>
  <c r="BW79" i="39"/>
  <c r="BW78" i="39"/>
  <c r="BW77" i="39"/>
  <c r="BW76" i="39"/>
  <c r="BW75" i="39"/>
  <c r="BW74" i="39"/>
  <c r="BW73" i="39"/>
  <c r="BW72" i="39"/>
  <c r="BW71" i="39"/>
  <c r="BW70" i="39"/>
  <c r="BW69" i="39"/>
  <c r="BW68" i="39"/>
  <c r="BW67" i="39"/>
  <c r="BW66" i="39"/>
  <c r="BW65" i="39"/>
  <c r="BW64" i="39"/>
  <c r="BW63" i="39"/>
  <c r="BW62" i="39"/>
  <c r="BW61" i="39"/>
  <c r="BW60" i="39"/>
  <c r="BW59" i="39"/>
  <c r="BW58" i="39"/>
  <c r="BW57" i="39"/>
  <c r="BW56" i="39"/>
  <c r="BW55" i="39"/>
  <c r="BW54" i="39"/>
  <c r="BW53" i="39"/>
  <c r="BW52" i="39"/>
  <c r="BW51" i="39"/>
  <c r="BW50" i="39"/>
  <c r="BW49" i="39"/>
  <c r="BW48" i="39"/>
  <c r="BW47" i="39"/>
  <c r="BW46" i="39"/>
  <c r="BW45" i="39"/>
  <c r="BW44" i="39"/>
  <c r="BW43" i="39"/>
  <c r="BW42" i="39"/>
  <c r="BW41" i="39"/>
  <c r="BW40" i="39"/>
  <c r="BW39" i="39"/>
  <c r="BW38" i="39"/>
  <c r="BW37" i="39"/>
  <c r="BW36" i="39"/>
  <c r="BW35" i="39"/>
  <c r="BW34" i="39"/>
  <c r="BW33" i="39"/>
  <c r="BW32" i="39"/>
  <c r="BW31" i="39"/>
  <c r="BW30" i="39"/>
  <c r="BW29" i="39"/>
  <c r="BW28" i="39"/>
  <c r="BW27" i="39"/>
  <c r="BW26" i="39"/>
  <c r="BW25" i="39"/>
  <c r="BW24" i="39"/>
  <c r="BW23" i="39"/>
  <c r="BW22" i="39"/>
  <c r="BW21" i="39"/>
  <c r="BW20" i="39"/>
  <c r="BW19" i="39"/>
  <c r="BW18" i="39"/>
  <c r="BW17" i="39"/>
  <c r="BW16" i="39"/>
  <c r="BW15" i="39"/>
  <c r="BW14" i="39"/>
  <c r="BW13" i="39"/>
  <c r="BW12" i="39"/>
  <c r="BW11" i="39"/>
  <c r="BW10" i="39"/>
  <c r="BW9" i="39"/>
  <c r="BW8" i="39"/>
  <c r="BW7" i="39"/>
  <c r="BW6" i="39"/>
  <c r="BW5" i="39"/>
  <c r="I32" i="11" l="1"/>
  <c r="I30" i="11"/>
  <c r="I26" i="11"/>
  <c r="I24" i="11"/>
  <c r="I20" i="11"/>
  <c r="I18" i="11"/>
  <c r="S13" i="34"/>
  <c r="W26" i="11" l="1"/>
  <c r="A58" i="33" s="1"/>
  <c r="W20" i="11"/>
  <c r="A44" i="33" s="1"/>
  <c r="P175" i="39"/>
  <c r="P174" i="39"/>
  <c r="P173" i="39"/>
  <c r="O173" i="39"/>
  <c r="BG61" i="31" s="1"/>
  <c r="P172" i="39"/>
  <c r="P171" i="39"/>
  <c r="P170" i="39"/>
  <c r="P169" i="39"/>
  <c r="P168" i="39"/>
  <c r="M168" i="39"/>
  <c r="M170" i="39" s="1"/>
  <c r="G168" i="39"/>
  <c r="G170" i="39" s="1"/>
  <c r="P167" i="39"/>
  <c r="P166" i="39"/>
  <c r="P165" i="39"/>
  <c r="AG164" i="39"/>
  <c r="BG58" i="31" s="1"/>
  <c r="P164" i="39"/>
  <c r="CJ163" i="39"/>
  <c r="BV163" i="39"/>
  <c r="BP163" i="39"/>
  <c r="BA163" i="39"/>
  <c r="AY163" i="39"/>
  <c r="AP163" i="39"/>
  <c r="AO163" i="39" s="1"/>
  <c r="AN163" i="39" s="1"/>
  <c r="AA163" i="39"/>
  <c r="AB163" i="39" s="1"/>
  <c r="Y163" i="39"/>
  <c r="Z163" i="39" s="1"/>
  <c r="W163" i="39"/>
  <c r="X163" i="39" s="1"/>
  <c r="F163" i="39"/>
  <c r="A163" i="39"/>
  <c r="CJ162" i="39"/>
  <c r="BV162" i="39"/>
  <c r="BP162" i="39"/>
  <c r="BA162" i="39"/>
  <c r="AY162" i="39"/>
  <c r="AP162" i="39"/>
  <c r="AO162" i="39" s="1"/>
  <c r="AN162" i="39" s="1"/>
  <c r="AA162" i="39"/>
  <c r="AB162" i="39" s="1"/>
  <c r="Y162" i="39"/>
  <c r="Z162" i="39" s="1"/>
  <c r="W162" i="39"/>
  <c r="X162" i="39" s="1"/>
  <c r="F162" i="39"/>
  <c r="A162" i="39"/>
  <c r="CJ161" i="39"/>
  <c r="BV161" i="39"/>
  <c r="BP161" i="39"/>
  <c r="BA161" i="39"/>
  <c r="AY161" i="39"/>
  <c r="AP161" i="39"/>
  <c r="AO161" i="39" s="1"/>
  <c r="AN161" i="39" s="1"/>
  <c r="AA161" i="39"/>
  <c r="AB161" i="39" s="1"/>
  <c r="Y161" i="39"/>
  <c r="Z161" i="39" s="1"/>
  <c r="W161" i="39"/>
  <c r="X161" i="39" s="1"/>
  <c r="F161" i="39"/>
  <c r="A161" i="39"/>
  <c r="CJ160" i="39"/>
  <c r="BV160" i="39"/>
  <c r="BP160" i="39"/>
  <c r="BA160" i="39"/>
  <c r="AY160" i="39"/>
  <c r="AP160" i="39"/>
  <c r="AO160" i="39" s="1"/>
  <c r="AN160" i="39" s="1"/>
  <c r="AA160" i="39"/>
  <c r="AB160" i="39" s="1"/>
  <c r="Y160" i="39"/>
  <c r="Z160" i="39" s="1"/>
  <c r="W160" i="39"/>
  <c r="X160" i="39" s="1"/>
  <c r="F160" i="39"/>
  <c r="A160" i="39"/>
  <c r="CJ159" i="39"/>
  <c r="BV159" i="39"/>
  <c r="BP159" i="39"/>
  <c r="BA159" i="39"/>
  <c r="AY159" i="39"/>
  <c r="AP159" i="39"/>
  <c r="AO159" i="39" s="1"/>
  <c r="AN159" i="39" s="1"/>
  <c r="AA159" i="39"/>
  <c r="AB159" i="39" s="1"/>
  <c r="Y159" i="39"/>
  <c r="Z159" i="39" s="1"/>
  <c r="W159" i="39"/>
  <c r="X159" i="39" s="1"/>
  <c r="F159" i="39"/>
  <c r="A159" i="39"/>
  <c r="CJ158" i="39"/>
  <c r="BV158" i="39"/>
  <c r="BP158" i="39"/>
  <c r="BA158" i="39"/>
  <c r="AY158" i="39"/>
  <c r="AP158" i="39"/>
  <c r="AO158" i="39" s="1"/>
  <c r="AN158" i="39" s="1"/>
  <c r="AA158" i="39"/>
  <c r="AB158" i="39" s="1"/>
  <c r="Y158" i="39"/>
  <c r="Z158" i="39" s="1"/>
  <c r="W158" i="39"/>
  <c r="X158" i="39" s="1"/>
  <c r="F158" i="39"/>
  <c r="A158" i="39"/>
  <c r="CJ157" i="39"/>
  <c r="BV157" i="39"/>
  <c r="BP157" i="39"/>
  <c r="BA157" i="39"/>
  <c r="AY157" i="39"/>
  <c r="AP157" i="39"/>
  <c r="AO157" i="39" s="1"/>
  <c r="AN157" i="39" s="1"/>
  <c r="AA157" i="39"/>
  <c r="AB157" i="39" s="1"/>
  <c r="Y157" i="39"/>
  <c r="Z157" i="39" s="1"/>
  <c r="W157" i="39"/>
  <c r="X157" i="39" s="1"/>
  <c r="F157" i="39"/>
  <c r="A157" i="39"/>
  <c r="CJ156" i="39"/>
  <c r="BV156" i="39"/>
  <c r="BP156" i="39"/>
  <c r="BA156" i="39"/>
  <c r="AY156" i="39"/>
  <c r="AP156" i="39"/>
  <c r="AO156" i="39" s="1"/>
  <c r="AN156" i="39" s="1"/>
  <c r="AA156" i="39"/>
  <c r="AB156" i="39" s="1"/>
  <c r="Y156" i="39"/>
  <c r="Z156" i="39" s="1"/>
  <c r="W156" i="39"/>
  <c r="X156" i="39" s="1"/>
  <c r="F156" i="39"/>
  <c r="A156" i="39"/>
  <c r="CJ155" i="39"/>
  <c r="BV155" i="39"/>
  <c r="BP155" i="39"/>
  <c r="BA155" i="39"/>
  <c r="AY155" i="39"/>
  <c r="AP155" i="39"/>
  <c r="AO155" i="39" s="1"/>
  <c r="AN155" i="39" s="1"/>
  <c r="AA155" i="39"/>
  <c r="AB155" i="39" s="1"/>
  <c r="Y155" i="39"/>
  <c r="Z155" i="39" s="1"/>
  <c r="W155" i="39"/>
  <c r="X155" i="39" s="1"/>
  <c r="F155" i="39"/>
  <c r="A155" i="39"/>
  <c r="CJ154" i="39"/>
  <c r="BV154" i="39"/>
  <c r="BP154" i="39"/>
  <c r="BA154" i="39"/>
  <c r="AY154" i="39"/>
  <c r="AP154" i="39"/>
  <c r="AO154" i="39" s="1"/>
  <c r="AN154" i="39" s="1"/>
  <c r="AA154" i="39"/>
  <c r="AB154" i="39" s="1"/>
  <c r="Y154" i="39"/>
  <c r="Z154" i="39" s="1"/>
  <c r="W154" i="39"/>
  <c r="X154" i="39" s="1"/>
  <c r="F154" i="39"/>
  <c r="A154" i="39"/>
  <c r="CJ153" i="39"/>
  <c r="BV153" i="39"/>
  <c r="BP153" i="39"/>
  <c r="BA153" i="39"/>
  <c r="AY153" i="39"/>
  <c r="AP153" i="39"/>
  <c r="AO153" i="39" s="1"/>
  <c r="AN153" i="39" s="1"/>
  <c r="AA153" i="39"/>
  <c r="AB153" i="39" s="1"/>
  <c r="Y153" i="39"/>
  <c r="Z153" i="39" s="1"/>
  <c r="W153" i="39"/>
  <c r="X153" i="39" s="1"/>
  <c r="F153" i="39"/>
  <c r="A153" i="39"/>
  <c r="CJ152" i="39"/>
  <c r="BV152" i="39"/>
  <c r="BP152" i="39"/>
  <c r="BA152" i="39"/>
  <c r="AY152" i="39"/>
  <c r="AP152" i="39"/>
  <c r="AO152" i="39" s="1"/>
  <c r="AN152" i="39" s="1"/>
  <c r="AA152" i="39"/>
  <c r="AB152" i="39" s="1"/>
  <c r="Y152" i="39"/>
  <c r="Z152" i="39" s="1"/>
  <c r="W152" i="39"/>
  <c r="X152" i="39" s="1"/>
  <c r="F152" i="39"/>
  <c r="A152" i="39"/>
  <c r="CJ151" i="39"/>
  <c r="BV151" i="39"/>
  <c r="BP151" i="39"/>
  <c r="BA151" i="39"/>
  <c r="AY151" i="39"/>
  <c r="AP151" i="39"/>
  <c r="AO151" i="39" s="1"/>
  <c r="AN151" i="39" s="1"/>
  <c r="AA151" i="39"/>
  <c r="AB151" i="39" s="1"/>
  <c r="Y151" i="39"/>
  <c r="Z151" i="39" s="1"/>
  <c r="W151" i="39"/>
  <c r="X151" i="39" s="1"/>
  <c r="F151" i="39"/>
  <c r="A151" i="39"/>
  <c r="CJ150" i="39"/>
  <c r="BV150" i="39"/>
  <c r="BP150" i="39"/>
  <c r="BA150" i="39"/>
  <c r="AY150" i="39"/>
  <c r="AP150" i="39"/>
  <c r="AO150" i="39" s="1"/>
  <c r="AN150" i="39" s="1"/>
  <c r="AA150" i="39"/>
  <c r="AB150" i="39" s="1"/>
  <c r="Y150" i="39"/>
  <c r="Z150" i="39" s="1"/>
  <c r="W150" i="39"/>
  <c r="X150" i="39" s="1"/>
  <c r="F150" i="39"/>
  <c r="A150" i="39"/>
  <c r="CJ149" i="39"/>
  <c r="BV149" i="39"/>
  <c r="BP149" i="39"/>
  <c r="BA149" i="39"/>
  <c r="AY149" i="39"/>
  <c r="AP149" i="39"/>
  <c r="AO149" i="39" s="1"/>
  <c r="AN149" i="39" s="1"/>
  <c r="AA149" i="39"/>
  <c r="AB149" i="39" s="1"/>
  <c r="Y149" i="39"/>
  <c r="Z149" i="39" s="1"/>
  <c r="W149" i="39"/>
  <c r="X149" i="39" s="1"/>
  <c r="F149" i="39"/>
  <c r="A149" i="39"/>
  <c r="CJ148" i="39"/>
  <c r="BV148" i="39"/>
  <c r="BP148" i="39"/>
  <c r="BA148" i="39"/>
  <c r="AY148" i="39"/>
  <c r="AP148" i="39"/>
  <c r="AO148" i="39" s="1"/>
  <c r="AN148" i="39" s="1"/>
  <c r="AA148" i="39"/>
  <c r="AB148" i="39" s="1"/>
  <c r="Y148" i="39"/>
  <c r="Z148" i="39" s="1"/>
  <c r="W148" i="39"/>
  <c r="X148" i="39" s="1"/>
  <c r="F148" i="39"/>
  <c r="A148" i="39"/>
  <c r="CJ147" i="39"/>
  <c r="BV147" i="39"/>
  <c r="BP147" i="39"/>
  <c r="BA147" i="39"/>
  <c r="AY147" i="39"/>
  <c r="AP147" i="39"/>
  <c r="AO147" i="39" s="1"/>
  <c r="AN147" i="39" s="1"/>
  <c r="AA147" i="39"/>
  <c r="AB147" i="39" s="1"/>
  <c r="Y147" i="39"/>
  <c r="Z147" i="39" s="1"/>
  <c r="W147" i="39"/>
  <c r="X147" i="39" s="1"/>
  <c r="F147" i="39"/>
  <c r="A147" i="39"/>
  <c r="CJ146" i="39"/>
  <c r="BV146" i="39"/>
  <c r="BP146" i="39"/>
  <c r="BA146" i="39"/>
  <c r="AY146" i="39"/>
  <c r="AP146" i="39"/>
  <c r="AO146" i="39" s="1"/>
  <c r="AN146" i="39" s="1"/>
  <c r="AA146" i="39"/>
  <c r="AB146" i="39" s="1"/>
  <c r="Y146" i="39"/>
  <c r="Z146" i="39" s="1"/>
  <c r="W146" i="39"/>
  <c r="X146" i="39" s="1"/>
  <c r="F146" i="39"/>
  <c r="A146" i="39"/>
  <c r="CJ145" i="39"/>
  <c r="BV145" i="39"/>
  <c r="BP145" i="39"/>
  <c r="BA145" i="39"/>
  <c r="AY145" i="39"/>
  <c r="AP145" i="39"/>
  <c r="AO145" i="39" s="1"/>
  <c r="AN145" i="39" s="1"/>
  <c r="AA145" i="39"/>
  <c r="AB145" i="39" s="1"/>
  <c r="Y145" i="39"/>
  <c r="Z145" i="39" s="1"/>
  <c r="W145" i="39"/>
  <c r="X145" i="39" s="1"/>
  <c r="F145" i="39"/>
  <c r="A145" i="39"/>
  <c r="CJ144" i="39"/>
  <c r="BV144" i="39"/>
  <c r="BP144" i="39"/>
  <c r="BA144" i="39"/>
  <c r="AY144" i="39"/>
  <c r="AP144" i="39"/>
  <c r="AO144" i="39" s="1"/>
  <c r="AN144" i="39" s="1"/>
  <c r="AA144" i="39"/>
  <c r="AB144" i="39" s="1"/>
  <c r="Y144" i="39"/>
  <c r="Z144" i="39" s="1"/>
  <c r="W144" i="39"/>
  <c r="X144" i="39" s="1"/>
  <c r="F144" i="39"/>
  <c r="A144" i="39"/>
  <c r="CJ143" i="39"/>
  <c r="BV143" i="39"/>
  <c r="BP143" i="39"/>
  <c r="BA143" i="39"/>
  <c r="AY143" i="39"/>
  <c r="AP143" i="39"/>
  <c r="AO143" i="39" s="1"/>
  <c r="AN143" i="39" s="1"/>
  <c r="AA143" i="39"/>
  <c r="AB143" i="39" s="1"/>
  <c r="Y143" i="39"/>
  <c r="Z143" i="39" s="1"/>
  <c r="W143" i="39"/>
  <c r="X143" i="39" s="1"/>
  <c r="F143" i="39"/>
  <c r="A143" i="39"/>
  <c r="CJ142" i="39"/>
  <c r="BV142" i="39"/>
  <c r="BP142" i="39"/>
  <c r="BA142" i="39"/>
  <c r="AY142" i="39"/>
  <c r="AP142" i="39"/>
  <c r="AO142" i="39" s="1"/>
  <c r="AN142" i="39" s="1"/>
  <c r="AA142" i="39"/>
  <c r="AB142" i="39" s="1"/>
  <c r="Y142" i="39"/>
  <c r="Z142" i="39" s="1"/>
  <c r="W142" i="39"/>
  <c r="X142" i="39" s="1"/>
  <c r="F142" i="39"/>
  <c r="A142" i="39"/>
  <c r="CJ141" i="39"/>
  <c r="BV141" i="39"/>
  <c r="BP141" i="39"/>
  <c r="BA141" i="39"/>
  <c r="AY141" i="39"/>
  <c r="AP141" i="39"/>
  <c r="AO141" i="39" s="1"/>
  <c r="AN141" i="39" s="1"/>
  <c r="AA141" i="39"/>
  <c r="AB141" i="39" s="1"/>
  <c r="Y141" i="39"/>
  <c r="Z141" i="39" s="1"/>
  <c r="W141" i="39"/>
  <c r="X141" i="39" s="1"/>
  <c r="F141" i="39"/>
  <c r="A141" i="39"/>
  <c r="CJ140" i="39"/>
  <c r="BV140" i="39"/>
  <c r="BP140" i="39"/>
  <c r="BA140" i="39"/>
  <c r="AY140" i="39"/>
  <c r="AP140" i="39"/>
  <c r="AO140" i="39" s="1"/>
  <c r="AN140" i="39" s="1"/>
  <c r="AA140" i="39"/>
  <c r="AB140" i="39" s="1"/>
  <c r="Y140" i="39"/>
  <c r="Z140" i="39" s="1"/>
  <c r="W140" i="39"/>
  <c r="X140" i="39" s="1"/>
  <c r="F140" i="39"/>
  <c r="A140" i="39"/>
  <c r="CJ139" i="39"/>
  <c r="BV139" i="39"/>
  <c r="BP139" i="39"/>
  <c r="BA139" i="39"/>
  <c r="AY139" i="39"/>
  <c r="AP139" i="39"/>
  <c r="AO139" i="39" s="1"/>
  <c r="AN139" i="39" s="1"/>
  <c r="AA139" i="39"/>
  <c r="AB139" i="39" s="1"/>
  <c r="Y139" i="39"/>
  <c r="Z139" i="39" s="1"/>
  <c r="W139" i="39"/>
  <c r="X139" i="39" s="1"/>
  <c r="F139" i="39"/>
  <c r="A139" i="39"/>
  <c r="CJ138" i="39"/>
  <c r="BV138" i="39"/>
  <c r="BP138" i="39"/>
  <c r="BA138" i="39"/>
  <c r="AY138" i="39"/>
  <c r="AP138" i="39"/>
  <c r="AO138" i="39" s="1"/>
  <c r="AN138" i="39" s="1"/>
  <c r="AA138" i="39"/>
  <c r="AB138" i="39" s="1"/>
  <c r="Y138" i="39"/>
  <c r="Z138" i="39" s="1"/>
  <c r="W138" i="39"/>
  <c r="X138" i="39" s="1"/>
  <c r="F138" i="39"/>
  <c r="A138" i="39"/>
  <c r="CJ137" i="39"/>
  <c r="BV137" i="39"/>
  <c r="BP137" i="39"/>
  <c r="BA137" i="39"/>
  <c r="AY137" i="39"/>
  <c r="AP137" i="39"/>
  <c r="AO137" i="39" s="1"/>
  <c r="AN137" i="39" s="1"/>
  <c r="AA137" i="39"/>
  <c r="AB137" i="39" s="1"/>
  <c r="Y137" i="39"/>
  <c r="Z137" i="39" s="1"/>
  <c r="W137" i="39"/>
  <c r="X137" i="39" s="1"/>
  <c r="F137" i="39"/>
  <c r="A137" i="39"/>
  <c r="CJ136" i="39"/>
  <c r="BV136" i="39"/>
  <c r="BP136" i="39"/>
  <c r="BA136" i="39"/>
  <c r="AY136" i="39"/>
  <c r="AP136" i="39"/>
  <c r="AO136" i="39" s="1"/>
  <c r="AN136" i="39" s="1"/>
  <c r="AA136" i="39"/>
  <c r="AB136" i="39" s="1"/>
  <c r="Y136" i="39"/>
  <c r="Z136" i="39" s="1"/>
  <c r="W136" i="39"/>
  <c r="X136" i="39" s="1"/>
  <c r="F136" i="39"/>
  <c r="A136" i="39"/>
  <c r="CJ135" i="39"/>
  <c r="BV135" i="39"/>
  <c r="BP135" i="39"/>
  <c r="BA135" i="39"/>
  <c r="AY135" i="39"/>
  <c r="AP135" i="39"/>
  <c r="AO135" i="39" s="1"/>
  <c r="AN135" i="39" s="1"/>
  <c r="AA135" i="39"/>
  <c r="AB135" i="39" s="1"/>
  <c r="Y135" i="39"/>
  <c r="Z135" i="39" s="1"/>
  <c r="W135" i="39"/>
  <c r="X135" i="39" s="1"/>
  <c r="F135" i="39"/>
  <c r="A135" i="39"/>
  <c r="CJ134" i="39"/>
  <c r="BV134" i="39"/>
  <c r="BP134" i="39"/>
  <c r="BA134" i="39"/>
  <c r="AY134" i="39"/>
  <c r="AP134" i="39"/>
  <c r="AO134" i="39" s="1"/>
  <c r="AN134" i="39" s="1"/>
  <c r="AA134" i="39"/>
  <c r="AB134" i="39" s="1"/>
  <c r="Y134" i="39"/>
  <c r="Z134" i="39" s="1"/>
  <c r="W134" i="39"/>
  <c r="X134" i="39" s="1"/>
  <c r="F134" i="39"/>
  <c r="A134" i="39"/>
  <c r="CJ133" i="39"/>
  <c r="BV133" i="39"/>
  <c r="BP133" i="39"/>
  <c r="BA133" i="39"/>
  <c r="AY133" i="39"/>
  <c r="AP133" i="39"/>
  <c r="AO133" i="39" s="1"/>
  <c r="AN133" i="39" s="1"/>
  <c r="AA133" i="39"/>
  <c r="AB133" i="39" s="1"/>
  <c r="Y133" i="39"/>
  <c r="Z133" i="39" s="1"/>
  <c r="W133" i="39"/>
  <c r="X133" i="39" s="1"/>
  <c r="F133" i="39"/>
  <c r="A133" i="39"/>
  <c r="CJ132" i="39"/>
  <c r="BV132" i="39"/>
  <c r="BP132" i="39"/>
  <c r="BA132" i="39"/>
  <c r="AY132" i="39"/>
  <c r="AP132" i="39"/>
  <c r="AO132" i="39" s="1"/>
  <c r="AN132" i="39" s="1"/>
  <c r="AA132" i="39"/>
  <c r="AB132" i="39" s="1"/>
  <c r="Y132" i="39"/>
  <c r="Z132" i="39" s="1"/>
  <c r="W132" i="39"/>
  <c r="X132" i="39" s="1"/>
  <c r="F132" i="39"/>
  <c r="A132" i="39"/>
  <c r="CJ131" i="39"/>
  <c r="BV131" i="39"/>
  <c r="BP131" i="39"/>
  <c r="BA131" i="39"/>
  <c r="AY131" i="39"/>
  <c r="AP131" i="39"/>
  <c r="AO131" i="39" s="1"/>
  <c r="AN131" i="39" s="1"/>
  <c r="AA131" i="39"/>
  <c r="AB131" i="39" s="1"/>
  <c r="Y131" i="39"/>
  <c r="Z131" i="39" s="1"/>
  <c r="W131" i="39"/>
  <c r="X131" i="39" s="1"/>
  <c r="F131" i="39"/>
  <c r="A131" i="39"/>
  <c r="CJ130" i="39"/>
  <c r="BV130" i="39"/>
  <c r="BP130" i="39"/>
  <c r="BA130" i="39"/>
  <c r="AY130" i="39"/>
  <c r="AP130" i="39"/>
  <c r="AO130" i="39" s="1"/>
  <c r="AN130" i="39" s="1"/>
  <c r="AA130" i="39"/>
  <c r="AB130" i="39" s="1"/>
  <c r="Y130" i="39"/>
  <c r="Z130" i="39" s="1"/>
  <c r="W130" i="39"/>
  <c r="X130" i="39" s="1"/>
  <c r="F130" i="39"/>
  <c r="A130" i="39"/>
  <c r="CJ129" i="39"/>
  <c r="BV129" i="39"/>
  <c r="BP129" i="39"/>
  <c r="BA129" i="39"/>
  <c r="AY129" i="39"/>
  <c r="AP129" i="39"/>
  <c r="AO129" i="39" s="1"/>
  <c r="AN129" i="39" s="1"/>
  <c r="AA129" i="39"/>
  <c r="AB129" i="39" s="1"/>
  <c r="Y129" i="39"/>
  <c r="Z129" i="39" s="1"/>
  <c r="W129" i="39"/>
  <c r="X129" i="39" s="1"/>
  <c r="F129" i="39"/>
  <c r="A129" i="39"/>
  <c r="CJ128" i="39"/>
  <c r="BV128" i="39"/>
  <c r="BP128" i="39"/>
  <c r="BA128" i="39"/>
  <c r="AY128" i="39"/>
  <c r="AP128" i="39"/>
  <c r="AO128" i="39" s="1"/>
  <c r="AN128" i="39" s="1"/>
  <c r="AA128" i="39"/>
  <c r="AB128" i="39" s="1"/>
  <c r="Y128" i="39"/>
  <c r="Z128" i="39" s="1"/>
  <c r="W128" i="39"/>
  <c r="X128" i="39" s="1"/>
  <c r="F128" i="39"/>
  <c r="A128" i="39"/>
  <c r="CJ127" i="39"/>
  <c r="BV127" i="39"/>
  <c r="BP127" i="39"/>
  <c r="BA127" i="39"/>
  <c r="AY127" i="39"/>
  <c r="AP127" i="39"/>
  <c r="AO127" i="39" s="1"/>
  <c r="AN127" i="39" s="1"/>
  <c r="AA127" i="39"/>
  <c r="AB127" i="39" s="1"/>
  <c r="Y127" i="39"/>
  <c r="Z127" i="39" s="1"/>
  <c r="W127" i="39"/>
  <c r="X127" i="39" s="1"/>
  <c r="F127" i="39"/>
  <c r="A127" i="39"/>
  <c r="CJ126" i="39"/>
  <c r="BV126" i="39"/>
  <c r="BP126" i="39"/>
  <c r="BA126" i="39"/>
  <c r="AY126" i="39"/>
  <c r="AP126" i="39"/>
  <c r="AO126" i="39" s="1"/>
  <c r="AN126" i="39" s="1"/>
  <c r="AA126" i="39"/>
  <c r="AB126" i="39" s="1"/>
  <c r="Y126" i="39"/>
  <c r="Z126" i="39" s="1"/>
  <c r="W126" i="39"/>
  <c r="X126" i="39" s="1"/>
  <c r="F126" i="39"/>
  <c r="A126" i="39"/>
  <c r="CJ125" i="39"/>
  <c r="BV125" i="39"/>
  <c r="BP125" i="39"/>
  <c r="BA125" i="39"/>
  <c r="AY125" i="39"/>
  <c r="AP125" i="39"/>
  <c r="AO125" i="39" s="1"/>
  <c r="AN125" i="39" s="1"/>
  <c r="AA125" i="39"/>
  <c r="AB125" i="39" s="1"/>
  <c r="Y125" i="39"/>
  <c r="Z125" i="39" s="1"/>
  <c r="W125" i="39"/>
  <c r="X125" i="39" s="1"/>
  <c r="F125" i="39"/>
  <c r="A125" i="39"/>
  <c r="CJ124" i="39"/>
  <c r="BV124" i="39"/>
  <c r="BP124" i="39"/>
  <c r="BA124" i="39"/>
  <c r="AY124" i="39"/>
  <c r="AP124" i="39"/>
  <c r="AO124" i="39" s="1"/>
  <c r="AN124" i="39" s="1"/>
  <c r="AA124" i="39"/>
  <c r="AB124" i="39" s="1"/>
  <c r="Y124" i="39"/>
  <c r="Z124" i="39" s="1"/>
  <c r="W124" i="39"/>
  <c r="X124" i="39" s="1"/>
  <c r="F124" i="39"/>
  <c r="A124" i="39"/>
  <c r="CJ123" i="39"/>
  <c r="BV123" i="39"/>
  <c r="BP123" i="39"/>
  <c r="BA123" i="39"/>
  <c r="AY123" i="39"/>
  <c r="AP123" i="39"/>
  <c r="AO123" i="39" s="1"/>
  <c r="AN123" i="39" s="1"/>
  <c r="AA123" i="39"/>
  <c r="AB123" i="39" s="1"/>
  <c r="Y123" i="39"/>
  <c r="Z123" i="39" s="1"/>
  <c r="W123" i="39"/>
  <c r="X123" i="39" s="1"/>
  <c r="F123" i="39"/>
  <c r="A123" i="39"/>
  <c r="CJ122" i="39"/>
  <c r="BV122" i="39"/>
  <c r="BP122" i="39"/>
  <c r="BA122" i="39"/>
  <c r="AY122" i="39"/>
  <c r="AP122" i="39"/>
  <c r="AO122" i="39" s="1"/>
  <c r="AN122" i="39" s="1"/>
  <c r="AA122" i="39"/>
  <c r="AB122" i="39" s="1"/>
  <c r="Y122" i="39"/>
  <c r="Z122" i="39" s="1"/>
  <c r="W122" i="39"/>
  <c r="X122" i="39" s="1"/>
  <c r="F122" i="39"/>
  <c r="A122" i="39"/>
  <c r="CJ121" i="39"/>
  <c r="BV121" i="39"/>
  <c r="BP121" i="39"/>
  <c r="BA121" i="39"/>
  <c r="AY121" i="39"/>
  <c r="AP121" i="39"/>
  <c r="AO121" i="39" s="1"/>
  <c r="AN121" i="39" s="1"/>
  <c r="AA121" i="39"/>
  <c r="AB121" i="39" s="1"/>
  <c r="Y121" i="39"/>
  <c r="Z121" i="39" s="1"/>
  <c r="W121" i="39"/>
  <c r="X121" i="39" s="1"/>
  <c r="F121" i="39"/>
  <c r="A121" i="39"/>
  <c r="CJ120" i="39"/>
  <c r="BV120" i="39"/>
  <c r="BP120" i="39"/>
  <c r="BA120" i="39"/>
  <c r="AY120" i="39"/>
  <c r="AP120" i="39"/>
  <c r="AO120" i="39" s="1"/>
  <c r="AN120" i="39" s="1"/>
  <c r="AA120" i="39"/>
  <c r="AB120" i="39" s="1"/>
  <c r="Y120" i="39"/>
  <c r="Z120" i="39" s="1"/>
  <c r="W120" i="39"/>
  <c r="X120" i="39" s="1"/>
  <c r="F120" i="39"/>
  <c r="A120" i="39"/>
  <c r="CJ119" i="39"/>
  <c r="BV119" i="39"/>
  <c r="BP119" i="39"/>
  <c r="BA119" i="39"/>
  <c r="AY119" i="39"/>
  <c r="AP119" i="39"/>
  <c r="AO119" i="39" s="1"/>
  <c r="AN119" i="39" s="1"/>
  <c r="AA119" i="39"/>
  <c r="AB119" i="39" s="1"/>
  <c r="Y119" i="39"/>
  <c r="Z119" i="39" s="1"/>
  <c r="W119" i="39"/>
  <c r="X119" i="39" s="1"/>
  <c r="F119" i="39"/>
  <c r="A119" i="39"/>
  <c r="CJ118" i="39"/>
  <c r="BV118" i="39"/>
  <c r="BP118" i="39"/>
  <c r="BA118" i="39"/>
  <c r="AY118" i="39"/>
  <c r="AP118" i="39"/>
  <c r="AO118" i="39" s="1"/>
  <c r="AN118" i="39" s="1"/>
  <c r="AA118" i="39"/>
  <c r="AB118" i="39" s="1"/>
  <c r="Y118" i="39"/>
  <c r="Z118" i="39" s="1"/>
  <c r="W118" i="39"/>
  <c r="X118" i="39" s="1"/>
  <c r="F118" i="39"/>
  <c r="A118" i="39"/>
  <c r="CJ117" i="39"/>
  <c r="BV117" i="39"/>
  <c r="BP117" i="39"/>
  <c r="BA117" i="39"/>
  <c r="AY117" i="39"/>
  <c r="AP117" i="39"/>
  <c r="AO117" i="39" s="1"/>
  <c r="AN117" i="39" s="1"/>
  <c r="AA117" i="39"/>
  <c r="AB117" i="39" s="1"/>
  <c r="Y117" i="39"/>
  <c r="Z117" i="39" s="1"/>
  <c r="W117" i="39"/>
  <c r="X117" i="39" s="1"/>
  <c r="F117" i="39"/>
  <c r="A117" i="39"/>
  <c r="CJ116" i="39"/>
  <c r="BV116" i="39"/>
  <c r="BP116" i="39"/>
  <c r="BA116" i="39"/>
  <c r="AY116" i="39"/>
  <c r="AP116" i="39"/>
  <c r="AO116" i="39" s="1"/>
  <c r="AN116" i="39" s="1"/>
  <c r="AA116" i="39"/>
  <c r="AB116" i="39" s="1"/>
  <c r="Y116" i="39"/>
  <c r="Z116" i="39" s="1"/>
  <c r="W116" i="39"/>
  <c r="X116" i="39" s="1"/>
  <c r="F116" i="39"/>
  <c r="A116" i="39"/>
  <c r="CJ115" i="39"/>
  <c r="BV115" i="39"/>
  <c r="BP115" i="39"/>
  <c r="BA115" i="39"/>
  <c r="AY115" i="39"/>
  <c r="AP115" i="39"/>
  <c r="AO115" i="39" s="1"/>
  <c r="AN115" i="39" s="1"/>
  <c r="AA115" i="39"/>
  <c r="AB115" i="39" s="1"/>
  <c r="Y115" i="39"/>
  <c r="Z115" i="39" s="1"/>
  <c r="W115" i="39"/>
  <c r="X115" i="39" s="1"/>
  <c r="F115" i="39"/>
  <c r="A115" i="39"/>
  <c r="CJ114" i="39"/>
  <c r="BV114" i="39"/>
  <c r="BP114" i="39"/>
  <c r="BA114" i="39"/>
  <c r="AY114" i="39"/>
  <c r="AP114" i="39"/>
  <c r="AO114" i="39" s="1"/>
  <c r="AN114" i="39" s="1"/>
  <c r="AA114" i="39"/>
  <c r="AB114" i="39" s="1"/>
  <c r="Y114" i="39"/>
  <c r="Z114" i="39" s="1"/>
  <c r="W114" i="39"/>
  <c r="X114" i="39" s="1"/>
  <c r="F114" i="39"/>
  <c r="A114" i="39"/>
  <c r="CJ113" i="39"/>
  <c r="BV113" i="39"/>
  <c r="BP113" i="39"/>
  <c r="BA113" i="39"/>
  <c r="AY113" i="39"/>
  <c r="AP113" i="39"/>
  <c r="AO113" i="39" s="1"/>
  <c r="AN113" i="39" s="1"/>
  <c r="AA113" i="39"/>
  <c r="AB113" i="39" s="1"/>
  <c r="Y113" i="39"/>
  <c r="Z113" i="39" s="1"/>
  <c r="W113" i="39"/>
  <c r="X113" i="39" s="1"/>
  <c r="F113" i="39"/>
  <c r="A113" i="39"/>
  <c r="CJ112" i="39"/>
  <c r="BV112" i="39"/>
  <c r="BP112" i="39"/>
  <c r="BA112" i="39"/>
  <c r="AY112" i="39"/>
  <c r="AP112" i="39"/>
  <c r="AO112" i="39" s="1"/>
  <c r="AN112" i="39" s="1"/>
  <c r="AA112" i="39"/>
  <c r="AB112" i="39" s="1"/>
  <c r="Y112" i="39"/>
  <c r="Z112" i="39" s="1"/>
  <c r="W112" i="39"/>
  <c r="X112" i="39" s="1"/>
  <c r="F112" i="39"/>
  <c r="A112" i="39"/>
  <c r="CJ111" i="39"/>
  <c r="BV111" i="39"/>
  <c r="BP111" i="39"/>
  <c r="BA111" i="39"/>
  <c r="AY111" i="39"/>
  <c r="AP111" i="39"/>
  <c r="AO111" i="39" s="1"/>
  <c r="AN111" i="39" s="1"/>
  <c r="AA111" i="39"/>
  <c r="AB111" i="39" s="1"/>
  <c r="Y111" i="39"/>
  <c r="Z111" i="39" s="1"/>
  <c r="W111" i="39"/>
  <c r="X111" i="39" s="1"/>
  <c r="F111" i="39"/>
  <c r="A111" i="39"/>
  <c r="CJ110" i="39"/>
  <c r="BV110" i="39"/>
  <c r="BP110" i="39"/>
  <c r="BA110" i="39"/>
  <c r="AY110" i="39"/>
  <c r="AP110" i="39"/>
  <c r="AO110" i="39" s="1"/>
  <c r="AN110" i="39" s="1"/>
  <c r="AA110" i="39"/>
  <c r="AB110" i="39" s="1"/>
  <c r="Y110" i="39"/>
  <c r="Z110" i="39" s="1"/>
  <c r="W110" i="39"/>
  <c r="X110" i="39" s="1"/>
  <c r="F110" i="39"/>
  <c r="A110" i="39"/>
  <c r="CJ109" i="39"/>
  <c r="BV109" i="39"/>
  <c r="BP109" i="39"/>
  <c r="BA109" i="39"/>
  <c r="AY109" i="39"/>
  <c r="AP109" i="39"/>
  <c r="AO109" i="39" s="1"/>
  <c r="AN109" i="39" s="1"/>
  <c r="AA109" i="39"/>
  <c r="AB109" i="39" s="1"/>
  <c r="Y109" i="39"/>
  <c r="Z109" i="39" s="1"/>
  <c r="W109" i="39"/>
  <c r="X109" i="39" s="1"/>
  <c r="F109" i="39"/>
  <c r="A109" i="39"/>
  <c r="CJ108" i="39"/>
  <c r="BV108" i="39"/>
  <c r="BP108" i="39"/>
  <c r="BA108" i="39"/>
  <c r="AY108" i="39"/>
  <c r="AP108" i="39"/>
  <c r="AO108" i="39" s="1"/>
  <c r="AN108" i="39" s="1"/>
  <c r="AA108" i="39"/>
  <c r="AB108" i="39" s="1"/>
  <c r="Y108" i="39"/>
  <c r="Z108" i="39" s="1"/>
  <c r="W108" i="39"/>
  <c r="X108" i="39" s="1"/>
  <c r="F108" i="39"/>
  <c r="A108" i="39"/>
  <c r="CJ107" i="39"/>
  <c r="BV107" i="39"/>
  <c r="BP107" i="39"/>
  <c r="BA107" i="39"/>
  <c r="AY107" i="39"/>
  <c r="AP107" i="39"/>
  <c r="AO107" i="39" s="1"/>
  <c r="AN107" i="39" s="1"/>
  <c r="AA107" i="39"/>
  <c r="AB107" i="39" s="1"/>
  <c r="Y107" i="39"/>
  <c r="Z107" i="39" s="1"/>
  <c r="W107" i="39"/>
  <c r="X107" i="39" s="1"/>
  <c r="F107" i="39"/>
  <c r="A107" i="39"/>
  <c r="CJ106" i="39"/>
  <c r="BV106" i="39"/>
  <c r="BP106" i="39"/>
  <c r="BA106" i="39"/>
  <c r="AY106" i="39"/>
  <c r="AP106" i="39"/>
  <c r="AO106" i="39" s="1"/>
  <c r="AN106" i="39" s="1"/>
  <c r="AA106" i="39"/>
  <c r="AB106" i="39" s="1"/>
  <c r="Y106" i="39"/>
  <c r="Z106" i="39" s="1"/>
  <c r="W106" i="39"/>
  <c r="X106" i="39" s="1"/>
  <c r="F106" i="39"/>
  <c r="A106" i="39"/>
  <c r="CJ105" i="39"/>
  <c r="BV105" i="39"/>
  <c r="BP105" i="39"/>
  <c r="BA105" i="39"/>
  <c r="AY105" i="39"/>
  <c r="AP105" i="39"/>
  <c r="AO105" i="39" s="1"/>
  <c r="AN105" i="39" s="1"/>
  <c r="AA105" i="39"/>
  <c r="AB105" i="39" s="1"/>
  <c r="Y105" i="39"/>
  <c r="Z105" i="39" s="1"/>
  <c r="W105" i="39"/>
  <c r="X105" i="39" s="1"/>
  <c r="F105" i="39"/>
  <c r="A105" i="39"/>
  <c r="CJ104" i="39"/>
  <c r="BV104" i="39"/>
  <c r="BP104" i="39"/>
  <c r="BA104" i="39"/>
  <c r="AY104" i="39"/>
  <c r="AP104" i="39"/>
  <c r="AO104" i="39" s="1"/>
  <c r="AN104" i="39" s="1"/>
  <c r="AM149" i="39"/>
  <c r="AL149" i="39"/>
  <c r="AA104" i="39"/>
  <c r="AB104" i="39" s="1"/>
  <c r="Y104" i="39"/>
  <c r="Z104" i="39" s="1"/>
  <c r="W104" i="39"/>
  <c r="X104" i="39" s="1"/>
  <c r="F104" i="39"/>
  <c r="A104" i="39"/>
  <c r="CJ103" i="39"/>
  <c r="BV103" i="39"/>
  <c r="BP103" i="39"/>
  <c r="BA103" i="39"/>
  <c r="AY103" i="39"/>
  <c r="AP103" i="39"/>
  <c r="AO103" i="39" s="1"/>
  <c r="AN103" i="39" s="1"/>
  <c r="AA103" i="39"/>
  <c r="AB103" i="39" s="1"/>
  <c r="Y103" i="39"/>
  <c r="Z103" i="39" s="1"/>
  <c r="W103" i="39"/>
  <c r="X103" i="39" s="1"/>
  <c r="F103" i="39"/>
  <c r="A103" i="39"/>
  <c r="CJ102" i="39"/>
  <c r="BV102" i="39"/>
  <c r="BP102" i="39"/>
  <c r="BA102" i="39"/>
  <c r="AY102" i="39"/>
  <c r="AP102" i="39"/>
  <c r="AO102" i="39" s="1"/>
  <c r="AN102" i="39" s="1"/>
  <c r="AA102" i="39"/>
  <c r="AB102" i="39" s="1"/>
  <c r="Y102" i="39"/>
  <c r="Z102" i="39" s="1"/>
  <c r="W102" i="39"/>
  <c r="X102" i="39" s="1"/>
  <c r="F102" i="39"/>
  <c r="A102" i="39"/>
  <c r="CJ101" i="39"/>
  <c r="BV101" i="39"/>
  <c r="BP101" i="39"/>
  <c r="BA101" i="39"/>
  <c r="AY101" i="39"/>
  <c r="AP101" i="39"/>
  <c r="AO101" i="39" s="1"/>
  <c r="AN101" i="39" s="1"/>
  <c r="AA101" i="39"/>
  <c r="AB101" i="39" s="1"/>
  <c r="Y101" i="39"/>
  <c r="Z101" i="39" s="1"/>
  <c r="W101" i="39"/>
  <c r="X101" i="39" s="1"/>
  <c r="F101" i="39"/>
  <c r="A101" i="39"/>
  <c r="CJ100" i="39"/>
  <c r="BV100" i="39"/>
  <c r="BP100" i="39"/>
  <c r="BA100" i="39"/>
  <c r="AY100" i="39"/>
  <c r="AP100" i="39"/>
  <c r="AO100" i="39" s="1"/>
  <c r="AN100" i="39" s="1"/>
  <c r="AA100" i="39"/>
  <c r="AB100" i="39" s="1"/>
  <c r="Y100" i="39"/>
  <c r="Z100" i="39" s="1"/>
  <c r="W100" i="39"/>
  <c r="X100" i="39" s="1"/>
  <c r="F100" i="39"/>
  <c r="A100" i="39"/>
  <c r="CJ99" i="39"/>
  <c r="BV99" i="39"/>
  <c r="BP99" i="39"/>
  <c r="BA99" i="39"/>
  <c r="AY99" i="39"/>
  <c r="AP99" i="39"/>
  <c r="AO99" i="39" s="1"/>
  <c r="AN99" i="39" s="1"/>
  <c r="AA99" i="39"/>
  <c r="AB99" i="39" s="1"/>
  <c r="Y99" i="39"/>
  <c r="Z99" i="39" s="1"/>
  <c r="W99" i="39"/>
  <c r="X99" i="39" s="1"/>
  <c r="F99" i="39"/>
  <c r="A99" i="39"/>
  <c r="CJ98" i="39"/>
  <c r="BV98" i="39"/>
  <c r="BP98" i="39"/>
  <c r="BA98" i="39"/>
  <c r="AY98" i="39"/>
  <c r="AP98" i="39"/>
  <c r="AO98" i="39" s="1"/>
  <c r="AN98" i="39" s="1"/>
  <c r="AA98" i="39"/>
  <c r="AB98" i="39" s="1"/>
  <c r="Y98" i="39"/>
  <c r="Z98" i="39" s="1"/>
  <c r="W98" i="39"/>
  <c r="X98" i="39" s="1"/>
  <c r="F98" i="39"/>
  <c r="A98" i="39"/>
  <c r="CJ97" i="39"/>
  <c r="BV97" i="39"/>
  <c r="BP97" i="39"/>
  <c r="BA97" i="39"/>
  <c r="AY97" i="39"/>
  <c r="AP97" i="39"/>
  <c r="AO97" i="39" s="1"/>
  <c r="AN97" i="39" s="1"/>
  <c r="AA97" i="39"/>
  <c r="AB97" i="39" s="1"/>
  <c r="Y97" i="39"/>
  <c r="Z97" i="39" s="1"/>
  <c r="W97" i="39"/>
  <c r="X97" i="39" s="1"/>
  <c r="F97" i="39"/>
  <c r="A97" i="39"/>
  <c r="CJ96" i="39"/>
  <c r="BV96" i="39"/>
  <c r="BP96" i="39"/>
  <c r="BA96" i="39"/>
  <c r="AY96" i="39"/>
  <c r="AP96" i="39"/>
  <c r="AO96" i="39" s="1"/>
  <c r="AN96" i="39" s="1"/>
  <c r="AA96" i="39"/>
  <c r="AB96" i="39" s="1"/>
  <c r="Y96" i="39"/>
  <c r="Z96" i="39" s="1"/>
  <c r="W96" i="39"/>
  <c r="X96" i="39" s="1"/>
  <c r="F96" i="39"/>
  <c r="A96" i="39"/>
  <c r="CJ95" i="39"/>
  <c r="BV95" i="39"/>
  <c r="BP95" i="39"/>
  <c r="BA95" i="39"/>
  <c r="AY95" i="39"/>
  <c r="AP95" i="39"/>
  <c r="AO95" i="39" s="1"/>
  <c r="AN95" i="39" s="1"/>
  <c r="AA95" i="39"/>
  <c r="AB95" i="39" s="1"/>
  <c r="Y95" i="39"/>
  <c r="Z95" i="39" s="1"/>
  <c r="W95" i="39"/>
  <c r="X95" i="39" s="1"/>
  <c r="F95" i="39"/>
  <c r="A95" i="39"/>
  <c r="CJ94" i="39"/>
  <c r="BV94" i="39"/>
  <c r="BP94" i="39"/>
  <c r="BA94" i="39"/>
  <c r="AY94" i="39"/>
  <c r="AP94" i="39"/>
  <c r="AO94" i="39" s="1"/>
  <c r="AN94" i="39" s="1"/>
  <c r="AA94" i="39"/>
  <c r="AB94" i="39" s="1"/>
  <c r="Y94" i="39"/>
  <c r="Z94" i="39" s="1"/>
  <c r="W94" i="39"/>
  <c r="X94" i="39" s="1"/>
  <c r="F94" i="39"/>
  <c r="A94" i="39"/>
  <c r="CJ93" i="39"/>
  <c r="BV93" i="39"/>
  <c r="BP93" i="39"/>
  <c r="BA93" i="39"/>
  <c r="AY93" i="39"/>
  <c r="AP93" i="39"/>
  <c r="AO93" i="39" s="1"/>
  <c r="AN93" i="39" s="1"/>
  <c r="AA93" i="39"/>
  <c r="AB93" i="39" s="1"/>
  <c r="Y93" i="39"/>
  <c r="Z93" i="39" s="1"/>
  <c r="W93" i="39"/>
  <c r="X93" i="39" s="1"/>
  <c r="F93" i="39"/>
  <c r="A93" i="39"/>
  <c r="CJ92" i="39"/>
  <c r="BV92" i="39"/>
  <c r="BP92" i="39"/>
  <c r="BA92" i="39"/>
  <c r="AY92" i="39"/>
  <c r="AP92" i="39"/>
  <c r="AO92" i="39" s="1"/>
  <c r="AN92" i="39" s="1"/>
  <c r="AA92" i="39"/>
  <c r="AB92" i="39" s="1"/>
  <c r="Y92" i="39"/>
  <c r="Z92" i="39" s="1"/>
  <c r="W92" i="39"/>
  <c r="X92" i="39" s="1"/>
  <c r="F92" i="39"/>
  <c r="A92" i="39"/>
  <c r="CJ91" i="39"/>
  <c r="BV91" i="39"/>
  <c r="BP91" i="39"/>
  <c r="BA91" i="39"/>
  <c r="AY91" i="39"/>
  <c r="AP91" i="39"/>
  <c r="AO91" i="39" s="1"/>
  <c r="AN91" i="39" s="1"/>
  <c r="AA91" i="39"/>
  <c r="AB91" i="39" s="1"/>
  <c r="Y91" i="39"/>
  <c r="Z91" i="39" s="1"/>
  <c r="W91" i="39"/>
  <c r="X91" i="39" s="1"/>
  <c r="F91" i="39"/>
  <c r="A91" i="39"/>
  <c r="CJ90" i="39"/>
  <c r="BV90" i="39"/>
  <c r="BP90" i="39"/>
  <c r="BA90" i="39"/>
  <c r="AY90" i="39"/>
  <c r="AP90" i="39"/>
  <c r="AO90" i="39" s="1"/>
  <c r="AN90" i="39" s="1"/>
  <c r="AA90" i="39"/>
  <c r="AB90" i="39" s="1"/>
  <c r="Y90" i="39"/>
  <c r="Z90" i="39" s="1"/>
  <c r="W90" i="39"/>
  <c r="X90" i="39" s="1"/>
  <c r="F90" i="39"/>
  <c r="A90" i="39"/>
  <c r="CJ89" i="39"/>
  <c r="BV89" i="39"/>
  <c r="BP89" i="39"/>
  <c r="BA89" i="39"/>
  <c r="AY89" i="39"/>
  <c r="AP89" i="39"/>
  <c r="AO89" i="39" s="1"/>
  <c r="AN89" i="39" s="1"/>
  <c r="AA89" i="39"/>
  <c r="AB89" i="39" s="1"/>
  <c r="Y89" i="39"/>
  <c r="Z89" i="39" s="1"/>
  <c r="W89" i="39"/>
  <c r="X89" i="39" s="1"/>
  <c r="F89" i="39"/>
  <c r="A89" i="39"/>
  <c r="CJ88" i="39"/>
  <c r="BV88" i="39"/>
  <c r="BP88" i="39"/>
  <c r="BA88" i="39"/>
  <c r="AY88" i="39"/>
  <c r="AP88" i="39"/>
  <c r="AO88" i="39" s="1"/>
  <c r="AN88" i="39" s="1"/>
  <c r="AL86" i="39"/>
  <c r="AM86" i="39" s="1"/>
  <c r="AA88" i="39"/>
  <c r="AB88" i="39" s="1"/>
  <c r="Y88" i="39"/>
  <c r="Z88" i="39" s="1"/>
  <c r="W88" i="39"/>
  <c r="X88" i="39" s="1"/>
  <c r="F88" i="39"/>
  <c r="A88" i="39"/>
  <c r="CJ87" i="39"/>
  <c r="BV87" i="39"/>
  <c r="BP87" i="39"/>
  <c r="BA87" i="39"/>
  <c r="AY87" i="39"/>
  <c r="AP87" i="39"/>
  <c r="AO87" i="39" s="1"/>
  <c r="AN87" i="39" s="1"/>
  <c r="AM85" i="39"/>
  <c r="AL85" i="39"/>
  <c r="AA87" i="39"/>
  <c r="AB87" i="39" s="1"/>
  <c r="Y87" i="39"/>
  <c r="Z87" i="39" s="1"/>
  <c r="W87" i="39"/>
  <c r="X87" i="39" s="1"/>
  <c r="F87" i="39"/>
  <c r="A87" i="39"/>
  <c r="CJ86" i="39"/>
  <c r="BV86" i="39"/>
  <c r="BP86" i="39"/>
  <c r="BA86" i="39"/>
  <c r="AY86" i="39"/>
  <c r="AP86" i="39"/>
  <c r="AO86" i="39" s="1"/>
  <c r="AN86" i="39" s="1"/>
  <c r="AA86" i="39"/>
  <c r="AB86" i="39" s="1"/>
  <c r="Y86" i="39"/>
  <c r="Z86" i="39" s="1"/>
  <c r="W86" i="39"/>
  <c r="X86" i="39" s="1"/>
  <c r="F86" i="39"/>
  <c r="A86" i="39"/>
  <c r="CJ85" i="39"/>
  <c r="BV85" i="39"/>
  <c r="BP85" i="39"/>
  <c r="BA85" i="39"/>
  <c r="AY85" i="39"/>
  <c r="AP85" i="39"/>
  <c r="AO85" i="39" s="1"/>
  <c r="AN85" i="39" s="1"/>
  <c r="AA85" i="39"/>
  <c r="AB85" i="39" s="1"/>
  <c r="Y85" i="39"/>
  <c r="Z85" i="39" s="1"/>
  <c r="W85" i="39"/>
  <c r="X85" i="39" s="1"/>
  <c r="F85" i="39"/>
  <c r="A85" i="39"/>
  <c r="CJ84" i="39"/>
  <c r="BV84" i="39"/>
  <c r="BP84" i="39"/>
  <c r="BA84" i="39"/>
  <c r="AY84" i="39"/>
  <c r="AP84" i="39"/>
  <c r="AO84" i="39" s="1"/>
  <c r="AN84" i="39" s="1"/>
  <c r="AA84" i="39"/>
  <c r="AB84" i="39" s="1"/>
  <c r="Y84" i="39"/>
  <c r="Z84" i="39" s="1"/>
  <c r="W84" i="39"/>
  <c r="X84" i="39" s="1"/>
  <c r="F84" i="39"/>
  <c r="A84" i="39"/>
  <c r="CJ83" i="39"/>
  <c r="BV83" i="39"/>
  <c r="BP83" i="39"/>
  <c r="BA83" i="39"/>
  <c r="AY83" i="39"/>
  <c r="AP83" i="39"/>
  <c r="AO83" i="39" s="1"/>
  <c r="AN83" i="39" s="1"/>
  <c r="P15" i="43"/>
  <c r="W90" i="33" s="1"/>
  <c r="AA83" i="39"/>
  <c r="AB83" i="39" s="1"/>
  <c r="Y83" i="39"/>
  <c r="Z83" i="39" s="1"/>
  <c r="W83" i="39"/>
  <c r="X83" i="39" s="1"/>
  <c r="F83" i="39"/>
  <c r="A83" i="39"/>
  <c r="CJ82" i="39"/>
  <c r="BV82" i="39"/>
  <c r="BP82" i="39"/>
  <c r="BA82" i="39"/>
  <c r="AY82" i="39"/>
  <c r="AP82" i="39"/>
  <c r="AO82" i="39" s="1"/>
  <c r="AN82" i="39" s="1"/>
  <c r="AA82" i="39"/>
  <c r="AB82" i="39" s="1"/>
  <c r="Y82" i="39"/>
  <c r="Z82" i="39" s="1"/>
  <c r="W82" i="39"/>
  <c r="X82" i="39" s="1"/>
  <c r="F82" i="39"/>
  <c r="A82" i="39"/>
  <c r="CJ81" i="39"/>
  <c r="BV81" i="39"/>
  <c r="BP81" i="39"/>
  <c r="BA81" i="39"/>
  <c r="AY81" i="39"/>
  <c r="AP81" i="39"/>
  <c r="AO81" i="39" s="1"/>
  <c r="AN81" i="39" s="1"/>
  <c r="AA81" i="39"/>
  <c r="AB81" i="39" s="1"/>
  <c r="Y81" i="39"/>
  <c r="Z81" i="39" s="1"/>
  <c r="W81" i="39"/>
  <c r="X81" i="39" s="1"/>
  <c r="F81" i="39"/>
  <c r="A81" i="39"/>
  <c r="CJ80" i="39"/>
  <c r="BV80" i="39"/>
  <c r="BP80" i="39"/>
  <c r="BA80" i="39"/>
  <c r="AY80" i="39"/>
  <c r="AP80" i="39"/>
  <c r="AO80" i="39" s="1"/>
  <c r="AN80" i="39" s="1"/>
  <c r="AA80" i="39"/>
  <c r="AB80" i="39" s="1"/>
  <c r="Y80" i="39"/>
  <c r="Z80" i="39" s="1"/>
  <c r="W80" i="39"/>
  <c r="X80" i="39" s="1"/>
  <c r="F80" i="39"/>
  <c r="A80" i="39"/>
  <c r="CJ79" i="39"/>
  <c r="BV79" i="39"/>
  <c r="BP79" i="39"/>
  <c r="BA79" i="39"/>
  <c r="AY79" i="39"/>
  <c r="AP79" i="39"/>
  <c r="AO79" i="39" s="1"/>
  <c r="AN79" i="39" s="1"/>
  <c r="AA79" i="39"/>
  <c r="AB79" i="39" s="1"/>
  <c r="Y79" i="39"/>
  <c r="Z79" i="39" s="1"/>
  <c r="W79" i="39"/>
  <c r="X79" i="39" s="1"/>
  <c r="F79" i="39"/>
  <c r="A79" i="39"/>
  <c r="CJ78" i="39"/>
  <c r="BV78" i="39"/>
  <c r="BP78" i="39"/>
  <c r="BA78" i="39"/>
  <c r="AY78" i="39"/>
  <c r="AP78" i="39"/>
  <c r="AO78" i="39" s="1"/>
  <c r="AN78" i="39" s="1"/>
  <c r="AA78" i="39"/>
  <c r="AB78" i="39" s="1"/>
  <c r="Y78" i="39"/>
  <c r="Z78" i="39" s="1"/>
  <c r="W78" i="39"/>
  <c r="X78" i="39" s="1"/>
  <c r="F78" i="39"/>
  <c r="A78" i="39"/>
  <c r="CJ77" i="39"/>
  <c r="BV77" i="39"/>
  <c r="BP77" i="39"/>
  <c r="BA77" i="39"/>
  <c r="AY77" i="39"/>
  <c r="AP77" i="39"/>
  <c r="AO77" i="39" s="1"/>
  <c r="AN77" i="39" s="1"/>
  <c r="AA77" i="39"/>
  <c r="AB77" i="39" s="1"/>
  <c r="Y77" i="39"/>
  <c r="Z77" i="39" s="1"/>
  <c r="W77" i="39"/>
  <c r="X77" i="39" s="1"/>
  <c r="F77" i="39"/>
  <c r="A77" i="39"/>
  <c r="CJ76" i="39"/>
  <c r="BV76" i="39"/>
  <c r="BP76" i="39"/>
  <c r="BA76" i="39"/>
  <c r="AY76" i="39"/>
  <c r="AP76" i="39"/>
  <c r="AO76" i="39" s="1"/>
  <c r="AN76" i="39" s="1"/>
  <c r="AA76" i="39"/>
  <c r="AB76" i="39" s="1"/>
  <c r="Y76" i="39"/>
  <c r="Z76" i="39" s="1"/>
  <c r="W76" i="39"/>
  <c r="X76" i="39" s="1"/>
  <c r="F76" i="39"/>
  <c r="A76" i="39"/>
  <c r="CJ75" i="39"/>
  <c r="BV75" i="39"/>
  <c r="BP75" i="39"/>
  <c r="BA75" i="39"/>
  <c r="AY75" i="39"/>
  <c r="AP75" i="39"/>
  <c r="AO75" i="39" s="1"/>
  <c r="AN75" i="39" s="1"/>
  <c r="AA75" i="39"/>
  <c r="AB75" i="39" s="1"/>
  <c r="Y75" i="39"/>
  <c r="Z75" i="39" s="1"/>
  <c r="W75" i="39"/>
  <c r="X75" i="39" s="1"/>
  <c r="F75" i="39"/>
  <c r="A75" i="39"/>
  <c r="CJ74" i="39"/>
  <c r="BV74" i="39"/>
  <c r="BP74" i="39"/>
  <c r="BA74" i="39"/>
  <c r="AY74" i="39"/>
  <c r="AP74" i="39"/>
  <c r="AO74" i="39" s="1"/>
  <c r="AN74" i="39" s="1"/>
  <c r="AA74" i="39"/>
  <c r="AB74" i="39" s="1"/>
  <c r="Y74" i="39"/>
  <c r="Z74" i="39" s="1"/>
  <c r="W74" i="39"/>
  <c r="X74" i="39" s="1"/>
  <c r="F74" i="39"/>
  <c r="A74" i="39"/>
  <c r="CJ73" i="39"/>
  <c r="BV73" i="39"/>
  <c r="BP73" i="39"/>
  <c r="BA73" i="39"/>
  <c r="AY73" i="39"/>
  <c r="AP73" i="39"/>
  <c r="AO73" i="39" s="1"/>
  <c r="AN73" i="39" s="1"/>
  <c r="AA73" i="39"/>
  <c r="AB73" i="39" s="1"/>
  <c r="Y73" i="39"/>
  <c r="Z73" i="39" s="1"/>
  <c r="W73" i="39"/>
  <c r="X73" i="39" s="1"/>
  <c r="F73" i="39"/>
  <c r="A73" i="39"/>
  <c r="CJ72" i="39"/>
  <c r="BV72" i="39"/>
  <c r="BP72" i="39"/>
  <c r="BA72" i="39"/>
  <c r="AY72" i="39"/>
  <c r="AP72" i="39"/>
  <c r="AO72" i="39" s="1"/>
  <c r="AN72" i="39" s="1"/>
  <c r="AA72" i="39"/>
  <c r="AB72" i="39" s="1"/>
  <c r="Y72" i="39"/>
  <c r="Z72" i="39" s="1"/>
  <c r="W72" i="39"/>
  <c r="X72" i="39" s="1"/>
  <c r="F72" i="39"/>
  <c r="A72" i="39"/>
  <c r="CJ71" i="39"/>
  <c r="BV71" i="39"/>
  <c r="BP71" i="39"/>
  <c r="BA71" i="39"/>
  <c r="AY71" i="39"/>
  <c r="AP71" i="39"/>
  <c r="AO71" i="39" s="1"/>
  <c r="AN71" i="39" s="1"/>
  <c r="AL70" i="39"/>
  <c r="AM70" i="39" s="1"/>
  <c r="Z4" i="43" s="1"/>
  <c r="Y2" i="43" s="1"/>
  <c r="AA71" i="39"/>
  <c r="AB71" i="39" s="1"/>
  <c r="Y71" i="39"/>
  <c r="Z71" i="39" s="1"/>
  <c r="W71" i="39"/>
  <c r="X71" i="39" s="1"/>
  <c r="F71" i="39"/>
  <c r="A71" i="39"/>
  <c r="CJ70" i="39"/>
  <c r="BV70" i="39"/>
  <c r="BP70" i="39"/>
  <c r="BA70" i="39"/>
  <c r="AY70" i="39"/>
  <c r="AP70" i="39"/>
  <c r="AO70" i="39" s="1"/>
  <c r="AN70" i="39" s="1"/>
  <c r="AM69" i="39"/>
  <c r="AL69" i="39"/>
  <c r="AA70" i="39"/>
  <c r="AB70" i="39" s="1"/>
  <c r="Y70" i="39"/>
  <c r="Z70" i="39" s="1"/>
  <c r="W70" i="39"/>
  <c r="X70" i="39" s="1"/>
  <c r="F70" i="39"/>
  <c r="A70" i="39"/>
  <c r="CJ69" i="39"/>
  <c r="BV69" i="39"/>
  <c r="BP69" i="39"/>
  <c r="BA69" i="39"/>
  <c r="AY69" i="39"/>
  <c r="AP69" i="39"/>
  <c r="AO69" i="39" s="1"/>
  <c r="AN69" i="39" s="1"/>
  <c r="AA69" i="39"/>
  <c r="AB69" i="39" s="1"/>
  <c r="Y69" i="39"/>
  <c r="Z69" i="39" s="1"/>
  <c r="W69" i="39"/>
  <c r="X69" i="39" s="1"/>
  <c r="F69" i="39"/>
  <c r="A69" i="39"/>
  <c r="CJ68" i="39"/>
  <c r="BV68" i="39"/>
  <c r="BP68" i="39"/>
  <c r="BA68" i="39"/>
  <c r="AY68" i="39"/>
  <c r="AP68" i="39"/>
  <c r="AO68" i="39" s="1"/>
  <c r="AN68" i="39" s="1"/>
  <c r="AA68" i="39"/>
  <c r="AB68" i="39" s="1"/>
  <c r="Y68" i="39"/>
  <c r="Z68" i="39" s="1"/>
  <c r="W68" i="39"/>
  <c r="X68" i="39" s="1"/>
  <c r="F68" i="39"/>
  <c r="A68" i="39"/>
  <c r="CJ67" i="39"/>
  <c r="BV67" i="39"/>
  <c r="BP67" i="39"/>
  <c r="BA67" i="39"/>
  <c r="AY67" i="39"/>
  <c r="AP67" i="39"/>
  <c r="AO67" i="39" s="1"/>
  <c r="AN67" i="39" s="1"/>
  <c r="AA67" i="39"/>
  <c r="AB67" i="39" s="1"/>
  <c r="Y67" i="39"/>
  <c r="Z67" i="39" s="1"/>
  <c r="W67" i="39"/>
  <c r="X67" i="39" s="1"/>
  <c r="F67" i="39"/>
  <c r="A67" i="39"/>
  <c r="CJ66" i="39"/>
  <c r="BV66" i="39"/>
  <c r="BP66" i="39"/>
  <c r="BA66" i="39"/>
  <c r="AY66" i="39"/>
  <c r="AP66" i="39"/>
  <c r="AO66" i="39" s="1"/>
  <c r="AN66" i="39" s="1"/>
  <c r="P16" i="42"/>
  <c r="Y22" i="34"/>
  <c r="AA66" i="39"/>
  <c r="AB66" i="39" s="1"/>
  <c r="Y66" i="39"/>
  <c r="Z66" i="39" s="1"/>
  <c r="W66" i="39"/>
  <c r="X66" i="39" s="1"/>
  <c r="F66" i="39"/>
  <c r="A66" i="39"/>
  <c r="CJ65" i="39"/>
  <c r="BV65" i="39"/>
  <c r="BP65" i="39"/>
  <c r="BA65" i="39"/>
  <c r="AY65" i="39"/>
  <c r="AP65" i="39"/>
  <c r="AO65" i="39" s="1"/>
  <c r="AN65" i="39" s="1"/>
  <c r="AA65" i="39"/>
  <c r="AB65" i="39" s="1"/>
  <c r="Y65" i="39"/>
  <c r="Z65" i="39" s="1"/>
  <c r="W65" i="39"/>
  <c r="X65" i="39" s="1"/>
  <c r="F65" i="39"/>
  <c r="A65" i="39"/>
  <c r="CJ64" i="39"/>
  <c r="BV64" i="39"/>
  <c r="BP64" i="39"/>
  <c r="BA64" i="39"/>
  <c r="AY64" i="39"/>
  <c r="AP64" i="39"/>
  <c r="AO64" i="39" s="1"/>
  <c r="AN64" i="39" s="1"/>
  <c r="AA64" i="39"/>
  <c r="AB64" i="39" s="1"/>
  <c r="Y64" i="39"/>
  <c r="Z64" i="39" s="1"/>
  <c r="W64" i="39"/>
  <c r="X64" i="39" s="1"/>
  <c r="F64" i="39"/>
  <c r="A64" i="39"/>
  <c r="CJ63" i="39"/>
  <c r="BV63" i="39"/>
  <c r="BP63" i="39"/>
  <c r="BA63" i="39"/>
  <c r="AY63" i="39"/>
  <c r="AP63" i="39"/>
  <c r="AO63" i="39" s="1"/>
  <c r="AN63" i="39" s="1"/>
  <c r="AA63" i="39"/>
  <c r="AB63" i="39" s="1"/>
  <c r="Y63" i="39"/>
  <c r="Z63" i="39" s="1"/>
  <c r="W63" i="39"/>
  <c r="X63" i="39" s="1"/>
  <c r="F63" i="39"/>
  <c r="A63" i="39"/>
  <c r="CJ62" i="39"/>
  <c r="BV62" i="39"/>
  <c r="BP62" i="39"/>
  <c r="BA62" i="39"/>
  <c r="AY62" i="39"/>
  <c r="AP62" i="39"/>
  <c r="AO62" i="39" s="1"/>
  <c r="AN62" i="39" s="1"/>
  <c r="AA62" i="39"/>
  <c r="AB62" i="39" s="1"/>
  <c r="Y62" i="39"/>
  <c r="Z62" i="39" s="1"/>
  <c r="W62" i="39"/>
  <c r="X62" i="39" s="1"/>
  <c r="F62" i="39"/>
  <c r="A62" i="39"/>
  <c r="CJ61" i="39"/>
  <c r="BV61" i="39"/>
  <c r="BP61" i="39"/>
  <c r="BA61" i="39"/>
  <c r="AY61" i="39"/>
  <c r="AP61" i="39"/>
  <c r="AO61" i="39" s="1"/>
  <c r="AN61" i="39" s="1"/>
  <c r="AA61" i="39"/>
  <c r="AB61" i="39" s="1"/>
  <c r="Y61" i="39"/>
  <c r="Z61" i="39" s="1"/>
  <c r="W61" i="39"/>
  <c r="X61" i="39" s="1"/>
  <c r="F61" i="39"/>
  <c r="A61" i="39"/>
  <c r="CJ60" i="39"/>
  <c r="BV60" i="39"/>
  <c r="BP60" i="39"/>
  <c r="BA60" i="39"/>
  <c r="AY60" i="39"/>
  <c r="AP60" i="39"/>
  <c r="AO60" i="39" s="1"/>
  <c r="AN60" i="39" s="1"/>
  <c r="AA60" i="39"/>
  <c r="AB60" i="39" s="1"/>
  <c r="Y60" i="39"/>
  <c r="Z60" i="39" s="1"/>
  <c r="W60" i="39"/>
  <c r="X60" i="39" s="1"/>
  <c r="F60" i="39"/>
  <c r="A60" i="39"/>
  <c r="CJ59" i="39"/>
  <c r="BV59" i="39"/>
  <c r="BP59" i="39"/>
  <c r="BA59" i="39"/>
  <c r="AY59" i="39"/>
  <c r="AP59" i="39"/>
  <c r="AO59" i="39" s="1"/>
  <c r="AN59" i="39" s="1"/>
  <c r="AA59" i="39"/>
  <c r="AB59" i="39" s="1"/>
  <c r="Y59" i="39"/>
  <c r="Z59" i="39" s="1"/>
  <c r="W59" i="39"/>
  <c r="X59" i="39" s="1"/>
  <c r="F59" i="39"/>
  <c r="A59" i="39"/>
  <c r="CJ58" i="39"/>
  <c r="BV58" i="39"/>
  <c r="BP58" i="39"/>
  <c r="BA58" i="39"/>
  <c r="AY58" i="39"/>
  <c r="AP58" i="39"/>
  <c r="AO58" i="39" s="1"/>
  <c r="AN58" i="39" s="1"/>
  <c r="AA58" i="39"/>
  <c r="AB58" i="39" s="1"/>
  <c r="Y58" i="39"/>
  <c r="Z58" i="39" s="1"/>
  <c r="W58" i="39"/>
  <c r="X58" i="39" s="1"/>
  <c r="F58" i="39"/>
  <c r="A58" i="39"/>
  <c r="CJ57" i="39"/>
  <c r="BV57" i="39"/>
  <c r="BP57" i="39"/>
  <c r="BA57" i="39"/>
  <c r="AY57" i="39"/>
  <c r="AP57" i="39"/>
  <c r="AO57" i="39" s="1"/>
  <c r="AN57" i="39" s="1"/>
  <c r="AA57" i="39"/>
  <c r="AB57" i="39" s="1"/>
  <c r="Y57" i="39"/>
  <c r="Z57" i="39" s="1"/>
  <c r="W57" i="39"/>
  <c r="X57" i="39" s="1"/>
  <c r="F57" i="39"/>
  <c r="A57" i="39"/>
  <c r="CJ56" i="39"/>
  <c r="BV56" i="39"/>
  <c r="BP56" i="39"/>
  <c r="BA56" i="39"/>
  <c r="AY56" i="39"/>
  <c r="AP56" i="39"/>
  <c r="AO56" i="39" s="1"/>
  <c r="AN56" i="39" s="1"/>
  <c r="AA56" i="39"/>
  <c r="AB56" i="39" s="1"/>
  <c r="Y56" i="39"/>
  <c r="Z56" i="39" s="1"/>
  <c r="W56" i="39"/>
  <c r="X56" i="39" s="1"/>
  <c r="F56" i="39"/>
  <c r="A56" i="39"/>
  <c r="CJ55" i="39"/>
  <c r="BV55" i="39"/>
  <c r="BP55" i="39"/>
  <c r="BA55" i="39"/>
  <c r="AY55" i="39"/>
  <c r="AP55" i="39"/>
  <c r="AO55" i="39" s="1"/>
  <c r="AN55" i="39" s="1"/>
  <c r="AA55" i="39"/>
  <c r="AB55" i="39" s="1"/>
  <c r="Y55" i="39"/>
  <c r="Z55" i="39" s="1"/>
  <c r="W55" i="39"/>
  <c r="X55" i="39" s="1"/>
  <c r="F55" i="39"/>
  <c r="A55" i="39"/>
  <c r="CJ54" i="39"/>
  <c r="BV54" i="39"/>
  <c r="BP54" i="39"/>
  <c r="BA54" i="39"/>
  <c r="AY54" i="39"/>
  <c r="AP54" i="39"/>
  <c r="AO54" i="39" s="1"/>
  <c r="AN54" i="39" s="1"/>
  <c r="AL54" i="39"/>
  <c r="AM54" i="39" s="1"/>
  <c r="Z4" i="42" s="1"/>
  <c r="Y2" i="42" s="1"/>
  <c r="AA54" i="39"/>
  <c r="AB54" i="39" s="1"/>
  <c r="Y54" i="39"/>
  <c r="Z54" i="39" s="1"/>
  <c r="W54" i="39"/>
  <c r="X54" i="39" s="1"/>
  <c r="F54" i="39"/>
  <c r="A54" i="39"/>
  <c r="CJ53" i="39"/>
  <c r="BV53" i="39"/>
  <c r="BP53" i="39"/>
  <c r="BA53" i="39"/>
  <c r="AY53" i="39"/>
  <c r="AP53" i="39"/>
  <c r="AO53" i="39" s="1"/>
  <c r="AN53" i="39" s="1"/>
  <c r="AM53" i="39"/>
  <c r="AL53" i="39"/>
  <c r="AA53" i="39"/>
  <c r="AB53" i="39" s="1"/>
  <c r="Y53" i="39"/>
  <c r="Z53" i="39" s="1"/>
  <c r="W53" i="39"/>
  <c r="X53" i="39" s="1"/>
  <c r="F53" i="39"/>
  <c r="A53" i="39"/>
  <c r="CJ52" i="39"/>
  <c r="BV52" i="39"/>
  <c r="BP52" i="39"/>
  <c r="BA52" i="39"/>
  <c r="AY52" i="39"/>
  <c r="AP52" i="39"/>
  <c r="AO52" i="39" s="1"/>
  <c r="AN52" i="39" s="1"/>
  <c r="AA52" i="39"/>
  <c r="AB52" i="39" s="1"/>
  <c r="Y52" i="39"/>
  <c r="Z52" i="39" s="1"/>
  <c r="W52" i="39"/>
  <c r="X52" i="39" s="1"/>
  <c r="F52" i="39"/>
  <c r="A52" i="39"/>
  <c r="CJ51" i="39"/>
  <c r="BV51" i="39"/>
  <c r="BP51" i="39"/>
  <c r="BA51" i="39"/>
  <c r="AY51" i="39"/>
  <c r="AP51" i="39"/>
  <c r="AO51" i="39" s="1"/>
  <c r="AN51" i="39" s="1"/>
  <c r="AA51" i="39"/>
  <c r="AB51" i="39" s="1"/>
  <c r="Y51" i="39"/>
  <c r="Z51" i="39" s="1"/>
  <c r="W51" i="39"/>
  <c r="X51" i="39" s="1"/>
  <c r="F51" i="39"/>
  <c r="A51" i="39"/>
  <c r="CJ50" i="39"/>
  <c r="BV50" i="39"/>
  <c r="BP50" i="39"/>
  <c r="BA50" i="39"/>
  <c r="AY50" i="39"/>
  <c r="AP50" i="39"/>
  <c r="AO50" i="39" s="1"/>
  <c r="AN50" i="39" s="1"/>
  <c r="AA50" i="39"/>
  <c r="AB50" i="39" s="1"/>
  <c r="Y50" i="39"/>
  <c r="Z50" i="39" s="1"/>
  <c r="W50" i="39"/>
  <c r="X50" i="39" s="1"/>
  <c r="F50" i="39"/>
  <c r="A50" i="39"/>
  <c r="CJ49" i="39"/>
  <c r="BV49" i="39"/>
  <c r="BP49" i="39"/>
  <c r="BA49" i="39"/>
  <c r="AY49" i="39"/>
  <c r="AP49" i="39"/>
  <c r="AO49" i="39" s="1"/>
  <c r="AN49" i="39" s="1"/>
  <c r="X23" i="34"/>
  <c r="X22" i="34"/>
  <c r="AA49" i="39"/>
  <c r="AB49" i="39" s="1"/>
  <c r="Y49" i="39"/>
  <c r="Z49" i="39" s="1"/>
  <c r="W49" i="39"/>
  <c r="X49" i="39" s="1"/>
  <c r="F49" i="39"/>
  <c r="A49" i="39"/>
  <c r="CJ48" i="39"/>
  <c r="BV48" i="39"/>
  <c r="BP48" i="39"/>
  <c r="BA48" i="39"/>
  <c r="AY48" i="39"/>
  <c r="AP48" i="39"/>
  <c r="AO48" i="39" s="1"/>
  <c r="AN48" i="39" s="1"/>
  <c r="AA48" i="39"/>
  <c r="AB48" i="39" s="1"/>
  <c r="Y48" i="39"/>
  <c r="Z48" i="39" s="1"/>
  <c r="W48" i="39"/>
  <c r="X48" i="39" s="1"/>
  <c r="F48" i="39"/>
  <c r="A48" i="39"/>
  <c r="CJ47" i="39"/>
  <c r="BV47" i="39"/>
  <c r="BP47" i="39"/>
  <c r="BA47" i="39"/>
  <c r="AY47" i="39"/>
  <c r="AP47" i="39"/>
  <c r="AO47" i="39" s="1"/>
  <c r="AN47" i="39" s="1"/>
  <c r="AA47" i="39"/>
  <c r="AB47" i="39" s="1"/>
  <c r="Y47" i="39"/>
  <c r="Z47" i="39" s="1"/>
  <c r="W47" i="39"/>
  <c r="X47" i="39" s="1"/>
  <c r="F47" i="39"/>
  <c r="A47" i="39"/>
  <c r="CJ46" i="39"/>
  <c r="BV46" i="39"/>
  <c r="BP46" i="39"/>
  <c r="BA46" i="39"/>
  <c r="AY46" i="39"/>
  <c r="AP46" i="39"/>
  <c r="AO46" i="39" s="1"/>
  <c r="AN46" i="39" s="1"/>
  <c r="AA46" i="39"/>
  <c r="AB46" i="39" s="1"/>
  <c r="Y46" i="39"/>
  <c r="Z46" i="39" s="1"/>
  <c r="W46" i="39"/>
  <c r="X46" i="39" s="1"/>
  <c r="F46" i="39"/>
  <c r="A46" i="39"/>
  <c r="CJ45" i="39"/>
  <c r="BV45" i="39"/>
  <c r="BP45" i="39"/>
  <c r="BA45" i="39"/>
  <c r="AY45" i="39"/>
  <c r="AP45" i="39"/>
  <c r="AO45" i="39" s="1"/>
  <c r="AN45" i="39" s="1"/>
  <c r="AA45" i="39"/>
  <c r="AB45" i="39" s="1"/>
  <c r="Y45" i="39"/>
  <c r="Z45" i="39" s="1"/>
  <c r="W45" i="39"/>
  <c r="X45" i="39" s="1"/>
  <c r="F45" i="39"/>
  <c r="A45" i="39"/>
  <c r="CJ44" i="39"/>
  <c r="BV44" i="39"/>
  <c r="BP44" i="39"/>
  <c r="BA44" i="39"/>
  <c r="AY44" i="39"/>
  <c r="AP44" i="39"/>
  <c r="AO44" i="39" s="1"/>
  <c r="AN44" i="39" s="1"/>
  <c r="AA44" i="39"/>
  <c r="AB44" i="39" s="1"/>
  <c r="Y44" i="39"/>
  <c r="Z44" i="39" s="1"/>
  <c r="W44" i="39"/>
  <c r="X44" i="39" s="1"/>
  <c r="F44" i="39"/>
  <c r="CJ43" i="39"/>
  <c r="BV43" i="39"/>
  <c r="BP43" i="39"/>
  <c r="BA43" i="39"/>
  <c r="AY43" i="39"/>
  <c r="AP43" i="39"/>
  <c r="AO43" i="39" s="1"/>
  <c r="AN43" i="39" s="1"/>
  <c r="AA43" i="39"/>
  <c r="AB43" i="39" s="1"/>
  <c r="Y43" i="39"/>
  <c r="Z43" i="39" s="1"/>
  <c r="W43" i="39"/>
  <c r="F43" i="39"/>
  <c r="CJ42" i="39"/>
  <c r="BV42" i="39"/>
  <c r="BP42" i="39"/>
  <c r="BA42" i="39"/>
  <c r="AY42" i="39"/>
  <c r="AP42" i="39"/>
  <c r="AO42" i="39" s="1"/>
  <c r="AN42" i="39" s="1"/>
  <c r="AA42" i="39"/>
  <c r="AB42" i="39" s="1"/>
  <c r="Y42" i="39"/>
  <c r="W42" i="39"/>
  <c r="F42" i="39"/>
  <c r="CJ41" i="39"/>
  <c r="BV41" i="39"/>
  <c r="BP41" i="39"/>
  <c r="BA41" i="39"/>
  <c r="AY41" i="39"/>
  <c r="AP41" i="39"/>
  <c r="AO41" i="39" s="1"/>
  <c r="AN41" i="39" s="1"/>
  <c r="AA41" i="39"/>
  <c r="AB41" i="39" s="1"/>
  <c r="Y41" i="39"/>
  <c r="Z41" i="39" s="1"/>
  <c r="W41" i="39"/>
  <c r="F41" i="39"/>
  <c r="CJ40" i="39"/>
  <c r="BV40" i="39"/>
  <c r="BP40" i="39"/>
  <c r="BA40" i="39"/>
  <c r="AY40" i="39"/>
  <c r="AP40" i="39"/>
  <c r="AO40" i="39" s="1"/>
  <c r="AN40" i="39" s="1"/>
  <c r="AA40" i="39"/>
  <c r="AB40" i="39" s="1"/>
  <c r="Y40" i="39"/>
  <c r="W40" i="39"/>
  <c r="F40" i="39"/>
  <c r="CJ39" i="39"/>
  <c r="BV39" i="39"/>
  <c r="BP39" i="39"/>
  <c r="BA39" i="39"/>
  <c r="AY39" i="39"/>
  <c r="AP39" i="39"/>
  <c r="AO39" i="39" s="1"/>
  <c r="AN39" i="39" s="1"/>
  <c r="AA39" i="39"/>
  <c r="AB39" i="39" s="1"/>
  <c r="Y39" i="39"/>
  <c r="Z39" i="39" s="1"/>
  <c r="W39" i="39"/>
  <c r="F39" i="39"/>
  <c r="CJ38" i="39"/>
  <c r="BV38" i="39"/>
  <c r="BP38" i="39"/>
  <c r="BA38" i="39"/>
  <c r="AY38" i="39"/>
  <c r="AP38" i="39"/>
  <c r="AO38" i="39" s="1"/>
  <c r="AN38" i="39" s="1"/>
  <c r="AA38" i="39"/>
  <c r="AB38" i="39" s="1"/>
  <c r="Y38" i="39"/>
  <c r="W38" i="39"/>
  <c r="F38" i="39"/>
  <c r="CJ37" i="39"/>
  <c r="BV37" i="39"/>
  <c r="BP37" i="39"/>
  <c r="BA37" i="39"/>
  <c r="AY37" i="39"/>
  <c r="AP37" i="39"/>
  <c r="AO37" i="39" s="1"/>
  <c r="AN37" i="39" s="1"/>
  <c r="AL38" i="39"/>
  <c r="AM38" i="39" s="1"/>
  <c r="Z4" i="41" s="1"/>
  <c r="Y2" i="41" s="1"/>
  <c r="AA37" i="39"/>
  <c r="AB37" i="39" s="1"/>
  <c r="Y37" i="39"/>
  <c r="Z37" i="39" s="1"/>
  <c r="W37" i="39"/>
  <c r="F37" i="39"/>
  <c r="CJ36" i="39"/>
  <c r="BV36" i="39"/>
  <c r="BP36" i="39"/>
  <c r="BA36" i="39"/>
  <c r="AY36" i="39"/>
  <c r="AP36" i="39"/>
  <c r="AO36" i="39" s="1"/>
  <c r="AN36" i="39" s="1"/>
  <c r="AM37" i="39"/>
  <c r="AL37" i="39"/>
  <c r="AA36" i="39"/>
  <c r="AB36" i="39" s="1"/>
  <c r="Y36" i="39"/>
  <c r="W36" i="39"/>
  <c r="F36" i="39"/>
  <c r="CJ35" i="39"/>
  <c r="BV35" i="39"/>
  <c r="BP35" i="39"/>
  <c r="BA35" i="39"/>
  <c r="AY35" i="39"/>
  <c r="AP35" i="39"/>
  <c r="AO35" i="39" s="1"/>
  <c r="AN35" i="39" s="1"/>
  <c r="AA35" i="39"/>
  <c r="AB35" i="39" s="1"/>
  <c r="Y35" i="39"/>
  <c r="Z35" i="39" s="1"/>
  <c r="W35" i="39"/>
  <c r="F35" i="39"/>
  <c r="CJ34" i="39"/>
  <c r="BV34" i="39"/>
  <c r="BP34" i="39"/>
  <c r="BA34" i="39"/>
  <c r="AY34" i="39"/>
  <c r="AP34" i="39"/>
  <c r="AO34" i="39" s="1"/>
  <c r="AN34" i="39" s="1"/>
  <c r="AA34" i="39"/>
  <c r="AB34" i="39" s="1"/>
  <c r="Y34" i="39"/>
  <c r="Z34" i="39" s="1"/>
  <c r="W34" i="39"/>
  <c r="F34" i="39"/>
  <c r="CJ33" i="39"/>
  <c r="BV33" i="39"/>
  <c r="BP33" i="39"/>
  <c r="BA33" i="39"/>
  <c r="AY33" i="39"/>
  <c r="AP33" i="39"/>
  <c r="AO33" i="39" s="1"/>
  <c r="AN33" i="39" s="1"/>
  <c r="AA33" i="39"/>
  <c r="AB33" i="39" s="1"/>
  <c r="Y33" i="39"/>
  <c r="W33" i="39"/>
  <c r="F33" i="39"/>
  <c r="CJ32" i="39"/>
  <c r="BV32" i="39"/>
  <c r="BP32" i="39"/>
  <c r="BA32" i="39"/>
  <c r="AY32" i="39"/>
  <c r="AP32" i="39"/>
  <c r="AO32" i="39" s="1"/>
  <c r="AN32" i="39" s="1"/>
  <c r="AA32" i="39"/>
  <c r="AB32" i="39" s="1"/>
  <c r="Y32" i="39"/>
  <c r="Z32" i="39" s="1"/>
  <c r="W32" i="39"/>
  <c r="F32" i="39"/>
  <c r="CJ31" i="39"/>
  <c r="BV31" i="39"/>
  <c r="BP31" i="39"/>
  <c r="BA31" i="39"/>
  <c r="AY31" i="39"/>
  <c r="AP31" i="39"/>
  <c r="AO31" i="39" s="1"/>
  <c r="AN31" i="39" s="1"/>
  <c r="AA31" i="39"/>
  <c r="AB31" i="39" s="1"/>
  <c r="Y31" i="39"/>
  <c r="Z31" i="39" s="1"/>
  <c r="W31" i="39"/>
  <c r="F31" i="39"/>
  <c r="CJ30" i="39"/>
  <c r="BV30" i="39"/>
  <c r="BP30" i="39"/>
  <c r="BA30" i="39"/>
  <c r="AY30" i="39"/>
  <c r="AP30" i="39"/>
  <c r="AO30" i="39" s="1"/>
  <c r="AN30" i="39" s="1"/>
  <c r="AA30" i="39"/>
  <c r="AB30" i="39" s="1"/>
  <c r="Y30" i="39"/>
  <c r="Z30" i="39" s="1"/>
  <c r="W30" i="39"/>
  <c r="F30" i="39"/>
  <c r="CJ29" i="39"/>
  <c r="BV29" i="39"/>
  <c r="BP29" i="39"/>
  <c r="BA29" i="39"/>
  <c r="AY29" i="39"/>
  <c r="AP29" i="39"/>
  <c r="AO29" i="39" s="1"/>
  <c r="AN29" i="39" s="1"/>
  <c r="AA29" i="39"/>
  <c r="AB29" i="39" s="1"/>
  <c r="Y29" i="39"/>
  <c r="Z29" i="39" s="1"/>
  <c r="W29" i="39"/>
  <c r="F29" i="39"/>
  <c r="CJ28" i="39"/>
  <c r="BV28" i="39"/>
  <c r="BP28" i="39"/>
  <c r="BA28" i="39"/>
  <c r="AY28" i="39"/>
  <c r="AP28" i="39"/>
  <c r="AO28" i="39" s="1"/>
  <c r="AN28" i="39" s="1"/>
  <c r="AA28" i="39"/>
  <c r="AB28" i="39" s="1"/>
  <c r="Y28" i="39"/>
  <c r="W28" i="39"/>
  <c r="X28" i="39" s="1"/>
  <c r="F28" i="39"/>
  <c r="CJ27" i="39"/>
  <c r="BV27" i="39"/>
  <c r="BP27" i="39"/>
  <c r="BA27" i="39"/>
  <c r="AY27" i="39"/>
  <c r="AP27" i="39"/>
  <c r="AO27" i="39" s="1"/>
  <c r="AN27" i="39" s="1"/>
  <c r="AA27" i="39"/>
  <c r="AB27" i="39" s="1"/>
  <c r="Y27" i="39"/>
  <c r="Z27" i="39" s="1"/>
  <c r="W27" i="39"/>
  <c r="F27" i="39"/>
  <c r="CJ26" i="39"/>
  <c r="BV26" i="39"/>
  <c r="BP26" i="39"/>
  <c r="BA26" i="39"/>
  <c r="AY26" i="39"/>
  <c r="AP26" i="39"/>
  <c r="AO26" i="39" s="1"/>
  <c r="AN26" i="39" s="1"/>
  <c r="AA26" i="39"/>
  <c r="AB26" i="39" s="1"/>
  <c r="Y26" i="39"/>
  <c r="Z26" i="39" s="1"/>
  <c r="W26" i="39"/>
  <c r="F26" i="39"/>
  <c r="CJ25" i="39"/>
  <c r="BV25" i="39"/>
  <c r="BP25" i="39"/>
  <c r="BA25" i="39"/>
  <c r="AY25" i="39"/>
  <c r="AP25" i="39"/>
  <c r="AO25" i="39" s="1"/>
  <c r="AN25" i="39" s="1"/>
  <c r="AA25" i="39"/>
  <c r="AB25" i="39" s="1"/>
  <c r="Y25" i="39"/>
  <c r="Z25" i="39" s="1"/>
  <c r="W25" i="39"/>
  <c r="F25" i="39"/>
  <c r="CJ24" i="39"/>
  <c r="BV24" i="39"/>
  <c r="BP24" i="39"/>
  <c r="BA24" i="39"/>
  <c r="AY24" i="39"/>
  <c r="AP24" i="39"/>
  <c r="AO24" i="39" s="1"/>
  <c r="AN24" i="39" s="1"/>
  <c r="AA8" i="39"/>
  <c r="AB8" i="39" s="1"/>
  <c r="Y8" i="39"/>
  <c r="Z8" i="39" s="1"/>
  <c r="W8" i="39"/>
  <c r="F8" i="39"/>
  <c r="CJ23" i="39"/>
  <c r="BV23" i="39"/>
  <c r="BP23" i="39"/>
  <c r="BA23" i="39"/>
  <c r="AY23" i="39"/>
  <c r="AP23" i="39"/>
  <c r="AO23" i="39" s="1"/>
  <c r="AN23" i="39" s="1"/>
  <c r="AA12" i="39"/>
  <c r="AB12" i="39" s="1"/>
  <c r="Y12" i="39"/>
  <c r="Z12" i="39" s="1"/>
  <c r="W12" i="39"/>
  <c r="F12" i="39"/>
  <c r="CJ22" i="39"/>
  <c r="BV22" i="39"/>
  <c r="BP22" i="39"/>
  <c r="BA22" i="39"/>
  <c r="AY22" i="39"/>
  <c r="AP22" i="39"/>
  <c r="AO22" i="39" s="1"/>
  <c r="AN22" i="39" s="1"/>
  <c r="AA7" i="39"/>
  <c r="AB7" i="39" s="1"/>
  <c r="Y7" i="39"/>
  <c r="Z7" i="39" s="1"/>
  <c r="W7" i="39"/>
  <c r="F7" i="39"/>
  <c r="CJ21" i="39"/>
  <c r="BV21" i="39"/>
  <c r="BP21" i="39"/>
  <c r="BA21" i="39"/>
  <c r="AY21" i="39"/>
  <c r="AP21" i="39"/>
  <c r="AO21" i="39" s="1"/>
  <c r="AN21" i="39" s="1"/>
  <c r="AA24" i="39"/>
  <c r="AB24" i="39" s="1"/>
  <c r="Y24" i="39"/>
  <c r="W24" i="39"/>
  <c r="F24" i="39"/>
  <c r="CJ20" i="39"/>
  <c r="BV20" i="39"/>
  <c r="BP20" i="39"/>
  <c r="BA20" i="39"/>
  <c r="AY20" i="39"/>
  <c r="AP20" i="39"/>
  <c r="AO20" i="39" s="1"/>
  <c r="AN20" i="39" s="1"/>
  <c r="AL22" i="39"/>
  <c r="AM22" i="39" s="1"/>
  <c r="Z4" i="38" s="1"/>
  <c r="Y2" i="38" s="1"/>
  <c r="AA22" i="39"/>
  <c r="AB22" i="39" s="1"/>
  <c r="Y22" i="39"/>
  <c r="Z22" i="39" s="1"/>
  <c r="W22" i="39"/>
  <c r="F22" i="39"/>
  <c r="CJ19" i="39"/>
  <c r="BV19" i="39"/>
  <c r="BP19" i="39"/>
  <c r="BA19" i="39"/>
  <c r="AY19" i="39"/>
  <c r="AP19" i="39"/>
  <c r="AO19" i="39" s="1"/>
  <c r="AN19" i="39" s="1"/>
  <c r="AM21" i="39"/>
  <c r="AL21" i="39"/>
  <c r="AA20" i="39"/>
  <c r="AB20" i="39" s="1"/>
  <c r="Y20" i="39"/>
  <c r="W20" i="39"/>
  <c r="F20" i="39"/>
  <c r="B35" i="43"/>
  <c r="B35" i="42"/>
  <c r="B35" i="41"/>
  <c r="CJ18" i="39"/>
  <c r="BV18" i="39"/>
  <c r="BP18" i="39"/>
  <c r="BA18" i="39"/>
  <c r="AY18" i="39"/>
  <c r="AP18" i="39"/>
  <c r="AO18" i="39" s="1"/>
  <c r="AN18" i="39" s="1"/>
  <c r="AA11" i="39"/>
  <c r="AB11" i="39" s="1"/>
  <c r="Y11" i="39"/>
  <c r="Z11" i="39" s="1"/>
  <c r="W11" i="39"/>
  <c r="F11" i="39"/>
  <c r="B34" i="43"/>
  <c r="B34" i="42"/>
  <c r="B34" i="41"/>
  <c r="CJ17" i="39"/>
  <c r="BV17" i="39"/>
  <c r="BP17" i="39"/>
  <c r="BA17" i="39"/>
  <c r="AY17" i="39"/>
  <c r="AP17" i="39"/>
  <c r="AO17" i="39" s="1"/>
  <c r="AN17" i="39" s="1"/>
  <c r="AA18" i="39"/>
  <c r="AB18" i="39" s="1"/>
  <c r="Y18" i="39"/>
  <c r="W18" i="39"/>
  <c r="F18" i="39"/>
  <c r="B33" i="43"/>
  <c r="B33" i="42"/>
  <c r="B33" i="41"/>
  <c r="CJ16" i="39"/>
  <c r="BV16" i="39"/>
  <c r="BP16" i="39"/>
  <c r="BA16" i="39"/>
  <c r="AY16" i="39"/>
  <c r="AP16" i="39"/>
  <c r="AO16" i="39" s="1"/>
  <c r="AN16" i="39" s="1"/>
  <c r="AA15" i="39"/>
  <c r="AB15" i="39" s="1"/>
  <c r="Y15" i="39"/>
  <c r="W15" i="39"/>
  <c r="F15" i="39"/>
  <c r="B32" i="43"/>
  <c r="B32" i="42"/>
  <c r="B32" i="41"/>
  <c r="DA15" i="39"/>
  <c r="CZ15" i="39"/>
  <c r="CX15" i="39"/>
  <c r="CW15" i="39"/>
  <c r="CJ15" i="39"/>
  <c r="BV15" i="39"/>
  <c r="BP15" i="39"/>
  <c r="BA15" i="39"/>
  <c r="AY15" i="39"/>
  <c r="AP15" i="39"/>
  <c r="AO15" i="39" s="1"/>
  <c r="AN15" i="39" s="1"/>
  <c r="AA23" i="39"/>
  <c r="AB23" i="39" s="1"/>
  <c r="Y23" i="39"/>
  <c r="W23" i="39"/>
  <c r="F23" i="39"/>
  <c r="B31" i="43"/>
  <c r="B31" i="42"/>
  <c r="B31" i="41"/>
  <c r="DA14" i="39"/>
  <c r="CZ14" i="39"/>
  <c r="CX14" i="39"/>
  <c r="CW14" i="39"/>
  <c r="CJ14" i="39"/>
  <c r="BV14" i="39"/>
  <c r="BP14" i="39"/>
  <c r="BA14" i="39"/>
  <c r="AY14" i="39"/>
  <c r="AP14" i="39"/>
  <c r="AO14" i="39" s="1"/>
  <c r="AN14" i="39" s="1"/>
  <c r="AA10" i="39"/>
  <c r="AB10" i="39" s="1"/>
  <c r="Y10" i="39"/>
  <c r="Z10" i="39" s="1"/>
  <c r="W10" i="39"/>
  <c r="F10" i="39"/>
  <c r="B30" i="43"/>
  <c r="B30" i="42"/>
  <c r="B30" i="41"/>
  <c r="DA13" i="39"/>
  <c r="CZ13" i="39"/>
  <c r="CX13" i="39"/>
  <c r="CW13" i="39"/>
  <c r="CJ13" i="39"/>
  <c r="BV13" i="39"/>
  <c r="BP13" i="39"/>
  <c r="BA13" i="39"/>
  <c r="AY13" i="39"/>
  <c r="AP13" i="39"/>
  <c r="AO13" i="39" s="1"/>
  <c r="AN13" i="39" s="1"/>
  <c r="AA17" i="39"/>
  <c r="AB17" i="39" s="1"/>
  <c r="Y17" i="39"/>
  <c r="W17" i="39"/>
  <c r="F17" i="39"/>
  <c r="B29" i="43"/>
  <c r="B29" i="42"/>
  <c r="B29" i="41"/>
  <c r="DA12" i="39"/>
  <c r="CZ12" i="39"/>
  <c r="CX12" i="39"/>
  <c r="CW12" i="39"/>
  <c r="CJ12" i="39"/>
  <c r="BV12" i="39"/>
  <c r="BP12" i="39"/>
  <c r="BA12" i="39"/>
  <c r="AY12" i="39"/>
  <c r="AP12" i="39"/>
  <c r="AO12" i="39" s="1"/>
  <c r="AN12" i="39" s="1"/>
  <c r="AA21" i="39"/>
  <c r="AB21" i="39" s="1"/>
  <c r="Y21" i="39"/>
  <c r="Z21" i="39" s="1"/>
  <c r="W21" i="39"/>
  <c r="F21" i="39"/>
  <c r="B28" i="43"/>
  <c r="B28" i="42"/>
  <c r="B28" i="41"/>
  <c r="DA11" i="39"/>
  <c r="CZ11" i="39"/>
  <c r="CX11" i="39"/>
  <c r="CW11" i="39"/>
  <c r="CJ11" i="39"/>
  <c r="BV11" i="39"/>
  <c r="BP11" i="39"/>
  <c r="BA11" i="39"/>
  <c r="AY11" i="39"/>
  <c r="AP11" i="39"/>
  <c r="AO11" i="39" s="1"/>
  <c r="AN11" i="39" s="1"/>
  <c r="AA13" i="39"/>
  <c r="AB13" i="39" s="1"/>
  <c r="Y13" i="39"/>
  <c r="Z13" i="39" s="1"/>
  <c r="W13" i="39"/>
  <c r="F13" i="39"/>
  <c r="B27" i="43"/>
  <c r="B27" i="42"/>
  <c r="B27" i="41"/>
  <c r="DA10" i="39"/>
  <c r="CZ10" i="39"/>
  <c r="CX10" i="39"/>
  <c r="CW10" i="39"/>
  <c r="CJ10" i="39"/>
  <c r="BV10" i="39"/>
  <c r="BP10" i="39"/>
  <c r="BA10" i="39"/>
  <c r="AY10" i="39"/>
  <c r="AP10" i="39"/>
  <c r="AO10" i="39" s="1"/>
  <c r="AN10" i="39" s="1"/>
  <c r="AA16" i="39"/>
  <c r="AB16" i="39" s="1"/>
  <c r="Y16" i="39"/>
  <c r="W16" i="39"/>
  <c r="F16" i="39"/>
  <c r="B26" i="43"/>
  <c r="B26" i="42"/>
  <c r="B26" i="41"/>
  <c r="DA9" i="39"/>
  <c r="CZ9" i="39"/>
  <c r="CX9" i="39"/>
  <c r="CW9" i="39"/>
  <c r="CJ9" i="39"/>
  <c r="BV9" i="39"/>
  <c r="BP9" i="39"/>
  <c r="BA9" i="39"/>
  <c r="AY9" i="39"/>
  <c r="AP9" i="39"/>
  <c r="AO9" i="39" s="1"/>
  <c r="AN9" i="39" s="1"/>
  <c r="AA6" i="39"/>
  <c r="AB6" i="39" s="1"/>
  <c r="Y6" i="39"/>
  <c r="W6" i="39"/>
  <c r="F6" i="39"/>
  <c r="B25" i="43"/>
  <c r="B25" i="42"/>
  <c r="B25" i="41"/>
  <c r="DA8" i="39"/>
  <c r="CZ8" i="39"/>
  <c r="CX8" i="39"/>
  <c r="CW8" i="39"/>
  <c r="CJ8" i="39"/>
  <c r="BV8" i="39"/>
  <c r="BP8" i="39"/>
  <c r="BA8" i="39"/>
  <c r="AP8" i="39"/>
  <c r="AO8" i="39" s="1"/>
  <c r="AN8" i="39" s="1"/>
  <c r="AA14" i="39"/>
  <c r="AB14" i="39" s="1"/>
  <c r="Y14" i="39"/>
  <c r="W14" i="39"/>
  <c r="F14" i="39"/>
  <c r="B24" i="43"/>
  <c r="B24" i="42"/>
  <c r="B24" i="41"/>
  <c r="DA7" i="39"/>
  <c r="CZ7" i="39"/>
  <c r="CX7" i="39"/>
  <c r="CW7" i="39"/>
  <c r="CJ7" i="39"/>
  <c r="BV7" i="39"/>
  <c r="BP7" i="39"/>
  <c r="BA7" i="39"/>
  <c r="AP7" i="39"/>
  <c r="AO7" i="39" s="1"/>
  <c r="AN7" i="39" s="1"/>
  <c r="AA5" i="39"/>
  <c r="AB5" i="39" s="1"/>
  <c r="Y5" i="39"/>
  <c r="W5" i="39"/>
  <c r="F5" i="39"/>
  <c r="B23" i="43"/>
  <c r="B23" i="42"/>
  <c r="B23" i="41"/>
  <c r="DA6" i="39"/>
  <c r="CZ6" i="39"/>
  <c r="CX6" i="39"/>
  <c r="CW6" i="39"/>
  <c r="CJ6" i="39"/>
  <c r="BV6" i="39"/>
  <c r="BP6" i="39"/>
  <c r="BA6" i="39"/>
  <c r="AP6" i="39"/>
  <c r="AO6" i="39" s="1"/>
  <c r="AN6" i="39" s="1"/>
  <c r="AA4" i="39"/>
  <c r="AB4" i="39" s="1"/>
  <c r="Y4" i="39"/>
  <c r="W4" i="39"/>
  <c r="F4" i="39"/>
  <c r="B22" i="43"/>
  <c r="B22" i="42"/>
  <c r="B22" i="41"/>
  <c r="DA5" i="39"/>
  <c r="CZ5" i="39"/>
  <c r="CX5" i="39"/>
  <c r="CW5" i="39"/>
  <c r="CJ5" i="39"/>
  <c r="BV5" i="39"/>
  <c r="BP5" i="39"/>
  <c r="BA5" i="39"/>
  <c r="AP5" i="39"/>
  <c r="AO5" i="39" s="1"/>
  <c r="AN5" i="39" s="1"/>
  <c r="AA9" i="39"/>
  <c r="AB9" i="39" s="1"/>
  <c r="Y9" i="39"/>
  <c r="W9" i="39"/>
  <c r="F9" i="39"/>
  <c r="GD4" i="39" a="1"/>
  <c r="GD4" i="39" s="1"/>
  <c r="FW4" i="39" a="1"/>
  <c r="FW4" i="39" s="1"/>
  <c r="FP4" i="39" a="1"/>
  <c r="FP4" i="39" s="1"/>
  <c r="FI4" i="39" a="1"/>
  <c r="FI4" i="39" s="1"/>
  <c r="FB4" i="39" a="1"/>
  <c r="FB4" i="39" s="1"/>
  <c r="DA4" i="39"/>
  <c r="CZ4" i="39"/>
  <c r="CX4" i="39"/>
  <c r="CW4" i="39"/>
  <c r="CJ4" i="39"/>
  <c r="BW4" i="39"/>
  <c r="BV4" i="39"/>
  <c r="BP4" i="39"/>
  <c r="BA4" i="39"/>
  <c r="AP4" i="39"/>
  <c r="AA19" i="39"/>
  <c r="AB19" i="39" s="1"/>
  <c r="Y19" i="39"/>
  <c r="W19" i="39"/>
  <c r="F19" i="39"/>
  <c r="A4" i="39"/>
  <c r="KO3" i="39"/>
  <c r="GH3" i="39"/>
  <c r="GE3" i="39"/>
  <c r="GA3" i="39"/>
  <c r="FX3" i="39"/>
  <c r="FT3" i="39"/>
  <c r="FQ3" i="39"/>
  <c r="FM3" i="39"/>
  <c r="FJ3" i="39"/>
  <c r="FF3" i="39"/>
  <c r="FC3" i="39"/>
  <c r="BH3" i="39"/>
  <c r="BE3" i="39"/>
  <c r="AL6" i="39"/>
  <c r="AM6" i="39" s="1"/>
  <c r="Z4" i="1" s="1"/>
  <c r="Y2" i="1" s="1"/>
  <c r="II2" i="39"/>
  <c r="IG2" i="39"/>
  <c r="IA2" i="39"/>
  <c r="HY2" i="39"/>
  <c r="HS2" i="39"/>
  <c r="HQ2" i="39"/>
  <c r="B114" i="33"/>
  <c r="B96" i="33"/>
  <c r="B30" i="33"/>
  <c r="KO1" i="39"/>
  <c r="B94" i="33"/>
  <c r="B78" i="33"/>
  <c r="B62" i="33"/>
  <c r="B46" i="33"/>
  <c r="B28" i="33"/>
  <c r="X1" i="39"/>
  <c r="A1" i="39"/>
  <c r="AB32" i="36"/>
  <c r="AB31" i="36"/>
  <c r="BD8" i="36"/>
  <c r="BD5" i="36"/>
  <c r="BD4" i="36"/>
  <c r="AK2" i="36"/>
  <c r="D1" i="36"/>
  <c r="D200" i="6"/>
  <c r="C197" i="6"/>
  <c r="P196" i="6"/>
  <c r="O196" i="6"/>
  <c r="N196" i="6"/>
  <c r="M196" i="6"/>
  <c r="J196" i="6"/>
  <c r="D196" i="6"/>
  <c r="C196" i="6" s="1"/>
  <c r="P195" i="6"/>
  <c r="O195" i="6"/>
  <c r="N195" i="6"/>
  <c r="M195" i="6"/>
  <c r="J195" i="6"/>
  <c r="D195" i="6"/>
  <c r="C195" i="6" s="1"/>
  <c r="P194" i="6"/>
  <c r="O194" i="6"/>
  <c r="N194" i="6"/>
  <c r="M194" i="6"/>
  <c r="J194" i="6"/>
  <c r="D194" i="6"/>
  <c r="C194" i="6" s="1"/>
  <c r="P193" i="6"/>
  <c r="O193" i="6"/>
  <c r="N193" i="6"/>
  <c r="M193" i="6"/>
  <c r="J193" i="6"/>
  <c r="D193" i="6"/>
  <c r="C193" i="6" s="1"/>
  <c r="P192" i="6"/>
  <c r="O192" i="6"/>
  <c r="N192" i="6"/>
  <c r="M192" i="6"/>
  <c r="J192" i="6"/>
  <c r="D192" i="6"/>
  <c r="C192" i="6" s="1"/>
  <c r="P191" i="6"/>
  <c r="O191" i="6"/>
  <c r="N191" i="6"/>
  <c r="M191" i="6"/>
  <c r="J191" i="6"/>
  <c r="D191" i="6"/>
  <c r="C191" i="6" s="1"/>
  <c r="P190" i="6"/>
  <c r="O190" i="6"/>
  <c r="N190" i="6"/>
  <c r="M190" i="6"/>
  <c r="J190" i="6"/>
  <c r="D190" i="6"/>
  <c r="C190" i="6" s="1"/>
  <c r="P189" i="6"/>
  <c r="O189" i="6"/>
  <c r="N189" i="6"/>
  <c r="M189" i="6"/>
  <c r="J189" i="6"/>
  <c r="D189" i="6"/>
  <c r="C189" i="6" s="1"/>
  <c r="P188" i="6"/>
  <c r="O188" i="6"/>
  <c r="N188" i="6"/>
  <c r="M188" i="6"/>
  <c r="J188" i="6"/>
  <c r="D188" i="6"/>
  <c r="C188" i="6" s="1"/>
  <c r="P187" i="6"/>
  <c r="O187" i="6"/>
  <c r="N187" i="6"/>
  <c r="M187" i="6"/>
  <c r="J187" i="6"/>
  <c r="D187" i="6"/>
  <c r="C187" i="6" s="1"/>
  <c r="P186" i="6"/>
  <c r="O186" i="6"/>
  <c r="N186" i="6"/>
  <c r="M186" i="6"/>
  <c r="J186" i="6"/>
  <c r="D186" i="6"/>
  <c r="C186" i="6" s="1"/>
  <c r="P185" i="6"/>
  <c r="O185" i="6"/>
  <c r="N185" i="6"/>
  <c r="M185" i="6"/>
  <c r="J185" i="6"/>
  <c r="D185" i="6"/>
  <c r="C185" i="6" s="1"/>
  <c r="P184" i="6"/>
  <c r="O184" i="6"/>
  <c r="N184" i="6"/>
  <c r="M184" i="6"/>
  <c r="J184" i="6"/>
  <c r="D184" i="6"/>
  <c r="C184" i="6" s="1"/>
  <c r="P183" i="6"/>
  <c r="O183" i="6"/>
  <c r="N183" i="6"/>
  <c r="M183" i="6"/>
  <c r="J183" i="6"/>
  <c r="D183" i="6"/>
  <c r="C183" i="6" s="1"/>
  <c r="P182" i="6"/>
  <c r="O182" i="6"/>
  <c r="N182" i="6"/>
  <c r="M182" i="6"/>
  <c r="J182" i="6"/>
  <c r="D182" i="6"/>
  <c r="C182" i="6" s="1"/>
  <c r="P181" i="6"/>
  <c r="O181" i="6"/>
  <c r="N181" i="6"/>
  <c r="M181" i="6"/>
  <c r="J181" i="6"/>
  <c r="D181" i="6"/>
  <c r="C181" i="6" s="1"/>
  <c r="P180" i="6"/>
  <c r="O180" i="6"/>
  <c r="N180" i="6"/>
  <c r="M180" i="6"/>
  <c r="J180" i="6"/>
  <c r="D180" i="6"/>
  <c r="C180" i="6" s="1"/>
  <c r="P179" i="6"/>
  <c r="O179" i="6"/>
  <c r="N179" i="6"/>
  <c r="M179" i="6"/>
  <c r="J179" i="6"/>
  <c r="D179" i="6"/>
  <c r="C179" i="6" s="1"/>
  <c r="P178" i="6"/>
  <c r="O178" i="6"/>
  <c r="N178" i="6"/>
  <c r="M178" i="6"/>
  <c r="J178" i="6"/>
  <c r="D178" i="6"/>
  <c r="C178" i="6" s="1"/>
  <c r="P177" i="6"/>
  <c r="O177" i="6"/>
  <c r="N177" i="6"/>
  <c r="M177" i="6"/>
  <c r="J177" i="6"/>
  <c r="D177" i="6"/>
  <c r="C177" i="6" s="1"/>
  <c r="P176" i="6"/>
  <c r="O176" i="6"/>
  <c r="N176" i="6"/>
  <c r="M176" i="6"/>
  <c r="J176" i="6"/>
  <c r="D176" i="6"/>
  <c r="F169" i="6"/>
  <c r="D160" i="6"/>
  <c r="C157" i="6"/>
  <c r="P156" i="6"/>
  <c r="O156" i="6"/>
  <c r="N156" i="6"/>
  <c r="M156" i="6"/>
  <c r="J156" i="6"/>
  <c r="D156" i="6"/>
  <c r="C156" i="6" s="1"/>
  <c r="P155" i="6"/>
  <c r="O155" i="6"/>
  <c r="N155" i="6"/>
  <c r="M155" i="6"/>
  <c r="J155" i="6"/>
  <c r="D155" i="6"/>
  <c r="C155" i="6" s="1"/>
  <c r="P154" i="6"/>
  <c r="O154" i="6"/>
  <c r="N154" i="6"/>
  <c r="M154" i="6"/>
  <c r="J154" i="6"/>
  <c r="D154" i="6"/>
  <c r="C154" i="6" s="1"/>
  <c r="P153" i="6"/>
  <c r="O153" i="6"/>
  <c r="N153" i="6"/>
  <c r="M153" i="6"/>
  <c r="J153" i="6"/>
  <c r="D153" i="6"/>
  <c r="C153" i="6" s="1"/>
  <c r="P152" i="6"/>
  <c r="O152" i="6"/>
  <c r="N152" i="6"/>
  <c r="M152" i="6"/>
  <c r="J152" i="6"/>
  <c r="D152" i="6"/>
  <c r="C152" i="6" s="1"/>
  <c r="P151" i="6"/>
  <c r="O151" i="6"/>
  <c r="N151" i="6"/>
  <c r="M151" i="6"/>
  <c r="J151" i="6"/>
  <c r="D151" i="6"/>
  <c r="C151" i="6" s="1"/>
  <c r="P150" i="6"/>
  <c r="O150" i="6"/>
  <c r="N150" i="6"/>
  <c r="M150" i="6"/>
  <c r="J150" i="6"/>
  <c r="D150" i="6"/>
  <c r="C150" i="6" s="1"/>
  <c r="P149" i="6"/>
  <c r="O149" i="6"/>
  <c r="N149" i="6"/>
  <c r="M149" i="6"/>
  <c r="J149" i="6"/>
  <c r="D149" i="6"/>
  <c r="C149" i="6" s="1"/>
  <c r="P148" i="6"/>
  <c r="O148" i="6"/>
  <c r="N148" i="6"/>
  <c r="M148" i="6"/>
  <c r="J148" i="6"/>
  <c r="D148" i="6"/>
  <c r="C148" i="6" s="1"/>
  <c r="P147" i="6"/>
  <c r="O147" i="6"/>
  <c r="N147" i="6"/>
  <c r="M147" i="6"/>
  <c r="J147" i="6"/>
  <c r="D147" i="6"/>
  <c r="C147" i="6" s="1"/>
  <c r="P146" i="6"/>
  <c r="O146" i="6"/>
  <c r="N146" i="6"/>
  <c r="M146" i="6"/>
  <c r="J146" i="6"/>
  <c r="D146" i="6"/>
  <c r="C146" i="6" s="1"/>
  <c r="P145" i="6"/>
  <c r="O145" i="6"/>
  <c r="N145" i="6"/>
  <c r="M145" i="6"/>
  <c r="J145" i="6"/>
  <c r="D145" i="6"/>
  <c r="C145" i="6" s="1"/>
  <c r="P144" i="6"/>
  <c r="O144" i="6"/>
  <c r="N144" i="6"/>
  <c r="M144" i="6"/>
  <c r="J144" i="6"/>
  <c r="D144" i="6"/>
  <c r="C144" i="6" s="1"/>
  <c r="P143" i="6"/>
  <c r="O143" i="6"/>
  <c r="N143" i="6"/>
  <c r="M143" i="6"/>
  <c r="J143" i="6"/>
  <c r="D143" i="6"/>
  <c r="C143" i="6" s="1"/>
  <c r="P142" i="6"/>
  <c r="O142" i="6"/>
  <c r="N142" i="6"/>
  <c r="M142" i="6"/>
  <c r="J142" i="6"/>
  <c r="D142" i="6"/>
  <c r="C142" i="6" s="1"/>
  <c r="P141" i="6"/>
  <c r="O141" i="6"/>
  <c r="N141" i="6"/>
  <c r="M141" i="6"/>
  <c r="J141" i="6"/>
  <c r="D141" i="6"/>
  <c r="C141" i="6" s="1"/>
  <c r="P140" i="6"/>
  <c r="O140" i="6"/>
  <c r="N140" i="6"/>
  <c r="M140" i="6"/>
  <c r="J140" i="6"/>
  <c r="D140" i="6"/>
  <c r="C140" i="6" s="1"/>
  <c r="P139" i="6"/>
  <c r="O139" i="6"/>
  <c r="N139" i="6"/>
  <c r="M139" i="6"/>
  <c r="J139" i="6"/>
  <c r="D139" i="6"/>
  <c r="C139" i="6" s="1"/>
  <c r="P138" i="6"/>
  <c r="O138" i="6"/>
  <c r="N138" i="6"/>
  <c r="M138" i="6"/>
  <c r="J138" i="6"/>
  <c r="D138" i="6"/>
  <c r="C138" i="6" s="1"/>
  <c r="P137" i="6"/>
  <c r="O137" i="6"/>
  <c r="N137" i="6"/>
  <c r="M137" i="6"/>
  <c r="J137" i="6"/>
  <c r="D137" i="6"/>
  <c r="C137" i="6" s="1"/>
  <c r="P136" i="6"/>
  <c r="O136" i="6"/>
  <c r="N136" i="6"/>
  <c r="M136" i="6"/>
  <c r="J136" i="6"/>
  <c r="D136" i="6"/>
  <c r="F129" i="6"/>
  <c r="D120" i="6"/>
  <c r="C117" i="6"/>
  <c r="P116" i="6"/>
  <c r="O116" i="6"/>
  <c r="N116" i="6"/>
  <c r="M116" i="6"/>
  <c r="J116" i="6"/>
  <c r="D116" i="6"/>
  <c r="C116" i="6" s="1"/>
  <c r="P115" i="6"/>
  <c r="O115" i="6"/>
  <c r="N115" i="6"/>
  <c r="M115" i="6"/>
  <c r="J115" i="6"/>
  <c r="D115" i="6"/>
  <c r="C115" i="6" s="1"/>
  <c r="P114" i="6"/>
  <c r="O114" i="6"/>
  <c r="N114" i="6"/>
  <c r="M114" i="6"/>
  <c r="J114" i="6"/>
  <c r="D114" i="6"/>
  <c r="C114" i="6" s="1"/>
  <c r="P113" i="6"/>
  <c r="O113" i="6"/>
  <c r="N113" i="6"/>
  <c r="M113" i="6"/>
  <c r="J113" i="6"/>
  <c r="D113" i="6"/>
  <c r="C113" i="6" s="1"/>
  <c r="P112" i="6"/>
  <c r="O112" i="6"/>
  <c r="N112" i="6"/>
  <c r="M112" i="6"/>
  <c r="J112" i="6"/>
  <c r="D112" i="6"/>
  <c r="C112" i="6" s="1"/>
  <c r="P111" i="6"/>
  <c r="O111" i="6"/>
  <c r="N111" i="6"/>
  <c r="M111" i="6"/>
  <c r="J111" i="6"/>
  <c r="D111" i="6"/>
  <c r="C111" i="6" s="1"/>
  <c r="P110" i="6"/>
  <c r="O110" i="6"/>
  <c r="N110" i="6"/>
  <c r="M110" i="6"/>
  <c r="J110" i="6"/>
  <c r="D110" i="6"/>
  <c r="C110" i="6" s="1"/>
  <c r="P109" i="6"/>
  <c r="O109" i="6"/>
  <c r="N109" i="6"/>
  <c r="M109" i="6"/>
  <c r="J109" i="6"/>
  <c r="D109" i="6"/>
  <c r="C109" i="6" s="1"/>
  <c r="P108" i="6"/>
  <c r="O108" i="6"/>
  <c r="N108" i="6"/>
  <c r="M108" i="6"/>
  <c r="J108" i="6"/>
  <c r="D108" i="6"/>
  <c r="C108" i="6" s="1"/>
  <c r="P107" i="6"/>
  <c r="O107" i="6"/>
  <c r="N107" i="6"/>
  <c r="M107" i="6"/>
  <c r="J107" i="6"/>
  <c r="D107" i="6"/>
  <c r="C107" i="6" s="1"/>
  <c r="P106" i="6"/>
  <c r="O106" i="6"/>
  <c r="N106" i="6"/>
  <c r="M106" i="6"/>
  <c r="J106" i="6"/>
  <c r="D106" i="6"/>
  <c r="C106" i="6" s="1"/>
  <c r="P105" i="6"/>
  <c r="O105" i="6"/>
  <c r="N105" i="6"/>
  <c r="M105" i="6"/>
  <c r="J105" i="6"/>
  <c r="D105" i="6"/>
  <c r="C105" i="6" s="1"/>
  <c r="P104" i="6"/>
  <c r="O104" i="6"/>
  <c r="N104" i="6"/>
  <c r="M104" i="6"/>
  <c r="J104" i="6"/>
  <c r="D104" i="6"/>
  <c r="C104" i="6" s="1"/>
  <c r="P103" i="6"/>
  <c r="O103" i="6"/>
  <c r="N103" i="6"/>
  <c r="M103" i="6"/>
  <c r="J103" i="6"/>
  <c r="D103" i="6"/>
  <c r="C103" i="6" s="1"/>
  <c r="P102" i="6"/>
  <c r="O102" i="6"/>
  <c r="N102" i="6"/>
  <c r="M102" i="6"/>
  <c r="J102" i="6"/>
  <c r="D102" i="6"/>
  <c r="C102" i="6" s="1"/>
  <c r="P101" i="6"/>
  <c r="O101" i="6"/>
  <c r="N101" i="6"/>
  <c r="M101" i="6"/>
  <c r="J101" i="6"/>
  <c r="D101" i="6"/>
  <c r="C101" i="6" s="1"/>
  <c r="P100" i="6"/>
  <c r="O100" i="6"/>
  <c r="N100" i="6"/>
  <c r="M100" i="6"/>
  <c r="J100" i="6"/>
  <c r="D100" i="6"/>
  <c r="C100" i="6" s="1"/>
  <c r="P99" i="6"/>
  <c r="O99" i="6"/>
  <c r="N99" i="6"/>
  <c r="M99" i="6"/>
  <c r="J99" i="6"/>
  <c r="D99" i="6"/>
  <c r="C99" i="6" s="1"/>
  <c r="P98" i="6"/>
  <c r="O98" i="6"/>
  <c r="N98" i="6"/>
  <c r="M98" i="6"/>
  <c r="J98" i="6"/>
  <c r="D98" i="6"/>
  <c r="C98" i="6" s="1"/>
  <c r="P97" i="6"/>
  <c r="O97" i="6"/>
  <c r="N97" i="6"/>
  <c r="M97" i="6"/>
  <c r="J97" i="6"/>
  <c r="D97" i="6"/>
  <c r="C97" i="6" s="1"/>
  <c r="P96" i="6"/>
  <c r="O96" i="6"/>
  <c r="N96" i="6"/>
  <c r="M96" i="6"/>
  <c r="J96" i="6"/>
  <c r="D96" i="6"/>
  <c r="F89" i="6"/>
  <c r="D80" i="6"/>
  <c r="C77" i="6"/>
  <c r="P76" i="6"/>
  <c r="O76" i="6"/>
  <c r="N76" i="6"/>
  <c r="M76" i="6"/>
  <c r="J76" i="6"/>
  <c r="D76" i="6"/>
  <c r="C76" i="6" s="1"/>
  <c r="P75" i="6"/>
  <c r="O75" i="6"/>
  <c r="N75" i="6"/>
  <c r="M75" i="6"/>
  <c r="J75" i="6"/>
  <c r="D75" i="6"/>
  <c r="C75" i="6" s="1"/>
  <c r="P74" i="6"/>
  <c r="O74" i="6"/>
  <c r="N74" i="6"/>
  <c r="M74" i="6"/>
  <c r="J74" i="6"/>
  <c r="D74" i="6"/>
  <c r="C74" i="6" s="1"/>
  <c r="P73" i="6"/>
  <c r="O73" i="6"/>
  <c r="N73" i="6"/>
  <c r="M73" i="6"/>
  <c r="J73" i="6"/>
  <c r="D73" i="6"/>
  <c r="C73" i="6" s="1"/>
  <c r="P72" i="6"/>
  <c r="O72" i="6"/>
  <c r="N72" i="6"/>
  <c r="M72" i="6"/>
  <c r="J72" i="6"/>
  <c r="D72" i="6"/>
  <c r="C72" i="6" s="1"/>
  <c r="P71" i="6"/>
  <c r="O71" i="6"/>
  <c r="N71" i="6"/>
  <c r="M71" i="6"/>
  <c r="J71" i="6"/>
  <c r="D71" i="6"/>
  <c r="C71" i="6" s="1"/>
  <c r="P70" i="6"/>
  <c r="O70" i="6"/>
  <c r="N70" i="6"/>
  <c r="M70" i="6"/>
  <c r="J70" i="6"/>
  <c r="D70" i="6"/>
  <c r="C70" i="6" s="1"/>
  <c r="P69" i="6"/>
  <c r="O69" i="6"/>
  <c r="N69" i="6"/>
  <c r="M69" i="6"/>
  <c r="J69" i="6"/>
  <c r="D69" i="6"/>
  <c r="C69" i="6" s="1"/>
  <c r="P68" i="6"/>
  <c r="O68" i="6"/>
  <c r="N68" i="6"/>
  <c r="M68" i="6"/>
  <c r="J68" i="6"/>
  <c r="D68" i="6"/>
  <c r="C68" i="6" s="1"/>
  <c r="P67" i="6"/>
  <c r="O67" i="6"/>
  <c r="N67" i="6"/>
  <c r="M67" i="6"/>
  <c r="J67" i="6"/>
  <c r="D67" i="6"/>
  <c r="C67" i="6" s="1"/>
  <c r="P66" i="6"/>
  <c r="O66" i="6"/>
  <c r="N66" i="6"/>
  <c r="M66" i="6"/>
  <c r="J66" i="6"/>
  <c r="D66" i="6"/>
  <c r="C66" i="6" s="1"/>
  <c r="P65" i="6"/>
  <c r="O65" i="6"/>
  <c r="N65" i="6"/>
  <c r="M65" i="6"/>
  <c r="J65" i="6"/>
  <c r="D65" i="6"/>
  <c r="C65" i="6" s="1"/>
  <c r="P64" i="6"/>
  <c r="O64" i="6"/>
  <c r="N64" i="6"/>
  <c r="M64" i="6"/>
  <c r="J64" i="6"/>
  <c r="D64" i="6"/>
  <c r="C64" i="6" s="1"/>
  <c r="P63" i="6"/>
  <c r="O63" i="6"/>
  <c r="N63" i="6"/>
  <c r="M63" i="6"/>
  <c r="J63" i="6"/>
  <c r="D63" i="6"/>
  <c r="C63" i="6" s="1"/>
  <c r="P62" i="6"/>
  <c r="O62" i="6"/>
  <c r="N62" i="6"/>
  <c r="M62" i="6"/>
  <c r="J62" i="6"/>
  <c r="D62" i="6"/>
  <c r="C62" i="6" s="1"/>
  <c r="P61" i="6"/>
  <c r="O61" i="6"/>
  <c r="N61" i="6"/>
  <c r="M61" i="6"/>
  <c r="J61" i="6"/>
  <c r="D61" i="6"/>
  <c r="C61" i="6" s="1"/>
  <c r="P60" i="6"/>
  <c r="O60" i="6"/>
  <c r="N60" i="6"/>
  <c r="M60" i="6"/>
  <c r="J60" i="6"/>
  <c r="D60" i="6"/>
  <c r="C60" i="6" s="1"/>
  <c r="P59" i="6"/>
  <c r="O59" i="6"/>
  <c r="N59" i="6"/>
  <c r="M59" i="6"/>
  <c r="J59" i="6"/>
  <c r="D59" i="6"/>
  <c r="C59" i="6" s="1"/>
  <c r="P58" i="6"/>
  <c r="O58" i="6"/>
  <c r="N58" i="6"/>
  <c r="M58" i="6"/>
  <c r="J58" i="6"/>
  <c r="D58" i="6"/>
  <c r="C58" i="6" s="1"/>
  <c r="P57" i="6"/>
  <c r="O57" i="6"/>
  <c r="N57" i="6"/>
  <c r="M57" i="6"/>
  <c r="J57" i="6"/>
  <c r="D57" i="6"/>
  <c r="C57" i="6" s="1"/>
  <c r="P56" i="6"/>
  <c r="O56" i="6"/>
  <c r="N56" i="6"/>
  <c r="M56" i="6"/>
  <c r="J56" i="6"/>
  <c r="D56" i="6"/>
  <c r="F49" i="6"/>
  <c r="D40" i="6"/>
  <c r="D38" i="6"/>
  <c r="C37" i="6"/>
  <c r="S4" i="6"/>
  <c r="C46" i="5"/>
  <c r="H35" i="5"/>
  <c r="V34" i="5"/>
  <c r="U34" i="5"/>
  <c r="O34" i="5"/>
  <c r="X34" i="5" s="1"/>
  <c r="N34" i="5"/>
  <c r="J34" i="5"/>
  <c r="V33" i="5"/>
  <c r="U33" i="5"/>
  <c r="O33" i="5"/>
  <c r="X33" i="5" s="1"/>
  <c r="N33" i="5"/>
  <c r="J33" i="5"/>
  <c r="V32" i="5"/>
  <c r="U32" i="5"/>
  <c r="O32" i="5"/>
  <c r="S32" i="5" s="1"/>
  <c r="N32" i="5"/>
  <c r="J32" i="5"/>
  <c r="V31" i="5"/>
  <c r="U31" i="5"/>
  <c r="O31" i="5"/>
  <c r="X31" i="5" s="1"/>
  <c r="N31" i="5"/>
  <c r="J31" i="5"/>
  <c r="V30" i="5"/>
  <c r="U30" i="5"/>
  <c r="O30" i="5"/>
  <c r="X30" i="5" s="1"/>
  <c r="N30" i="5"/>
  <c r="J30" i="5"/>
  <c r="V29" i="5"/>
  <c r="U29" i="5"/>
  <c r="O29" i="5"/>
  <c r="S29" i="5" s="1"/>
  <c r="N29" i="5"/>
  <c r="J29" i="5"/>
  <c r="V28" i="5"/>
  <c r="U28" i="5"/>
  <c r="O28" i="5"/>
  <c r="X28" i="5" s="1"/>
  <c r="N28" i="5"/>
  <c r="J28" i="5"/>
  <c r="V27" i="5"/>
  <c r="U27" i="5"/>
  <c r="O27" i="5"/>
  <c r="S27" i="5" s="1"/>
  <c r="N27" i="5"/>
  <c r="J27" i="5"/>
  <c r="V26" i="5"/>
  <c r="U26" i="5"/>
  <c r="O26" i="5"/>
  <c r="S26" i="5" s="1"/>
  <c r="N26" i="5"/>
  <c r="J26" i="5"/>
  <c r="V25" i="5"/>
  <c r="U25" i="5"/>
  <c r="O25" i="5"/>
  <c r="X25" i="5" s="1"/>
  <c r="N25" i="5"/>
  <c r="J25" i="5"/>
  <c r="V24" i="5"/>
  <c r="U24" i="5"/>
  <c r="O24" i="5"/>
  <c r="N24" i="5"/>
  <c r="J24" i="5"/>
  <c r="V23" i="5"/>
  <c r="U23" i="5"/>
  <c r="O23" i="5"/>
  <c r="S23" i="5" s="1"/>
  <c r="N23" i="5"/>
  <c r="J23" i="5"/>
  <c r="V22" i="5"/>
  <c r="U22" i="5"/>
  <c r="O22" i="5"/>
  <c r="X22" i="5" s="1"/>
  <c r="N22" i="5"/>
  <c r="J22" i="5"/>
  <c r="V21" i="5"/>
  <c r="U21" i="5"/>
  <c r="O21" i="5"/>
  <c r="X21" i="5" s="1"/>
  <c r="N21" i="5"/>
  <c r="J21" i="5"/>
  <c r="V20" i="5"/>
  <c r="U20" i="5"/>
  <c r="O20" i="5"/>
  <c r="S20" i="5" s="1"/>
  <c r="N20" i="5"/>
  <c r="J20" i="5"/>
  <c r="V19" i="5"/>
  <c r="U19" i="5"/>
  <c r="O19" i="5"/>
  <c r="X19" i="5" s="1"/>
  <c r="N19" i="5"/>
  <c r="J19" i="5"/>
  <c r="B2" i="5"/>
  <c r="D201" i="18"/>
  <c r="S196" i="18"/>
  <c r="R196" i="6" s="1"/>
  <c r="Q196" i="18"/>
  <c r="Q196" i="6" s="1"/>
  <c r="S195" i="18"/>
  <c r="R195" i="6" s="1"/>
  <c r="Q195" i="18"/>
  <c r="Q195" i="6" s="1"/>
  <c r="S194" i="18"/>
  <c r="R194" i="6" s="1"/>
  <c r="Q194" i="18"/>
  <c r="Q194" i="6" s="1"/>
  <c r="S193" i="18"/>
  <c r="R193" i="6" s="1"/>
  <c r="Q193" i="18"/>
  <c r="Q193" i="6" s="1"/>
  <c r="S192" i="18"/>
  <c r="R192" i="6" s="1"/>
  <c r="Q192" i="18"/>
  <c r="Q192" i="6" s="1"/>
  <c r="S191" i="18"/>
  <c r="R191" i="6" s="1"/>
  <c r="Q191" i="18"/>
  <c r="Q191" i="6" s="1"/>
  <c r="S190" i="18"/>
  <c r="R190" i="6" s="1"/>
  <c r="Q190" i="18"/>
  <c r="Q190" i="6" s="1"/>
  <c r="S189" i="18"/>
  <c r="R189" i="6" s="1"/>
  <c r="Q189" i="18"/>
  <c r="Q189" i="6" s="1"/>
  <c r="S188" i="18"/>
  <c r="R188" i="6" s="1"/>
  <c r="Q188" i="18"/>
  <c r="Q188" i="6" s="1"/>
  <c r="S187" i="18"/>
  <c r="R187" i="6" s="1"/>
  <c r="Q187" i="18"/>
  <c r="Q187" i="6" s="1"/>
  <c r="S186" i="18"/>
  <c r="R186" i="6" s="1"/>
  <c r="Q186" i="18"/>
  <c r="Q186" i="6" s="1"/>
  <c r="S185" i="18"/>
  <c r="R185" i="6" s="1"/>
  <c r="Q185" i="18"/>
  <c r="Q185" i="6" s="1"/>
  <c r="S184" i="18"/>
  <c r="R184" i="6" s="1"/>
  <c r="Q184" i="18"/>
  <c r="Q184" i="6" s="1"/>
  <c r="S183" i="18"/>
  <c r="R183" i="6" s="1"/>
  <c r="Q183" i="18"/>
  <c r="Q183" i="6" s="1"/>
  <c r="S182" i="18"/>
  <c r="R182" i="6" s="1"/>
  <c r="Q182" i="18"/>
  <c r="Q182" i="6" s="1"/>
  <c r="S181" i="18"/>
  <c r="R181" i="6" s="1"/>
  <c r="Q181" i="18"/>
  <c r="Q181" i="6" s="1"/>
  <c r="S180" i="18"/>
  <c r="R180" i="6" s="1"/>
  <c r="Q180" i="18"/>
  <c r="Q180" i="6" s="1"/>
  <c r="S179" i="18"/>
  <c r="R179" i="6" s="1"/>
  <c r="Q179" i="18"/>
  <c r="Q179" i="6" s="1"/>
  <c r="S178" i="18"/>
  <c r="R178" i="6" s="1"/>
  <c r="Q178" i="18"/>
  <c r="Q178" i="6" s="1"/>
  <c r="S177" i="18"/>
  <c r="R177" i="6" s="1"/>
  <c r="Q177" i="18"/>
  <c r="Q177" i="6" s="1"/>
  <c r="D161" i="18"/>
  <c r="S156" i="18"/>
  <c r="R156" i="6" s="1"/>
  <c r="Q156" i="18"/>
  <c r="Q156" i="6" s="1"/>
  <c r="S155" i="18"/>
  <c r="R155" i="6" s="1"/>
  <c r="Q155" i="18"/>
  <c r="Q155" i="6" s="1"/>
  <c r="S154" i="18"/>
  <c r="R154" i="6" s="1"/>
  <c r="Q154" i="18"/>
  <c r="Q154" i="6" s="1"/>
  <c r="S153" i="18"/>
  <c r="R153" i="6" s="1"/>
  <c r="Q153" i="18"/>
  <c r="Q153" i="6" s="1"/>
  <c r="S152" i="18"/>
  <c r="R152" i="6" s="1"/>
  <c r="Q152" i="18"/>
  <c r="Q152" i="6" s="1"/>
  <c r="S151" i="18"/>
  <c r="R151" i="6" s="1"/>
  <c r="Q151" i="18"/>
  <c r="Q151" i="6" s="1"/>
  <c r="S150" i="18"/>
  <c r="R150" i="6" s="1"/>
  <c r="Q150" i="18"/>
  <c r="Q150" i="6" s="1"/>
  <c r="S149" i="18"/>
  <c r="R149" i="6" s="1"/>
  <c r="Q149" i="18"/>
  <c r="Q149" i="6" s="1"/>
  <c r="S148" i="18"/>
  <c r="R148" i="6" s="1"/>
  <c r="Q148" i="18"/>
  <c r="Q148" i="6" s="1"/>
  <c r="S147" i="18"/>
  <c r="R147" i="6" s="1"/>
  <c r="Q147" i="18"/>
  <c r="Q147" i="6" s="1"/>
  <c r="S146" i="18"/>
  <c r="R146" i="6" s="1"/>
  <c r="Q146" i="18"/>
  <c r="Q146" i="6" s="1"/>
  <c r="S145" i="18"/>
  <c r="R145" i="6" s="1"/>
  <c r="Q145" i="18"/>
  <c r="Q145" i="6" s="1"/>
  <c r="S144" i="18"/>
  <c r="R144" i="6" s="1"/>
  <c r="Q144" i="18"/>
  <c r="Q144" i="6" s="1"/>
  <c r="S143" i="18"/>
  <c r="R143" i="6" s="1"/>
  <c r="Q143" i="18"/>
  <c r="Q143" i="6" s="1"/>
  <c r="S142" i="18"/>
  <c r="R142" i="6" s="1"/>
  <c r="Q142" i="18"/>
  <c r="Q142" i="6" s="1"/>
  <c r="S141" i="18"/>
  <c r="R141" i="6" s="1"/>
  <c r="Q141" i="18"/>
  <c r="Q141" i="6" s="1"/>
  <c r="S140" i="18"/>
  <c r="R140" i="6" s="1"/>
  <c r="Q140" i="18"/>
  <c r="Q140" i="6" s="1"/>
  <c r="S139" i="18"/>
  <c r="R139" i="6" s="1"/>
  <c r="Q139" i="18"/>
  <c r="Q139" i="6" s="1"/>
  <c r="S138" i="18"/>
  <c r="R138" i="6" s="1"/>
  <c r="Q138" i="18"/>
  <c r="Q138" i="6" s="1"/>
  <c r="S137" i="18"/>
  <c r="R137" i="6" s="1"/>
  <c r="Q137" i="18"/>
  <c r="Q137" i="6" s="1"/>
  <c r="D121" i="18"/>
  <c r="S116" i="18"/>
  <c r="R116" i="6" s="1"/>
  <c r="Q116" i="18"/>
  <c r="Q116" i="6" s="1"/>
  <c r="S115" i="18"/>
  <c r="R115" i="6" s="1"/>
  <c r="Q115" i="18"/>
  <c r="Q115" i="6" s="1"/>
  <c r="S114" i="18"/>
  <c r="R114" i="6" s="1"/>
  <c r="Q114" i="18"/>
  <c r="Q114" i="6" s="1"/>
  <c r="S113" i="18"/>
  <c r="R113" i="6" s="1"/>
  <c r="Q113" i="18"/>
  <c r="Q113" i="6" s="1"/>
  <c r="S112" i="18"/>
  <c r="R112" i="6" s="1"/>
  <c r="Q112" i="18"/>
  <c r="Q112" i="6" s="1"/>
  <c r="S111" i="18"/>
  <c r="R111" i="6" s="1"/>
  <c r="Q111" i="18"/>
  <c r="Q111" i="6" s="1"/>
  <c r="S110" i="18"/>
  <c r="R110" i="6" s="1"/>
  <c r="Q110" i="18"/>
  <c r="Q110" i="6" s="1"/>
  <c r="S109" i="18"/>
  <c r="R109" i="6" s="1"/>
  <c r="Q109" i="18"/>
  <c r="Q109" i="6" s="1"/>
  <c r="S108" i="18"/>
  <c r="R108" i="6" s="1"/>
  <c r="Q108" i="18"/>
  <c r="Q108" i="6" s="1"/>
  <c r="S107" i="18"/>
  <c r="R107" i="6" s="1"/>
  <c r="Q107" i="18"/>
  <c r="Q107" i="6" s="1"/>
  <c r="S106" i="18"/>
  <c r="R106" i="6" s="1"/>
  <c r="Q106" i="18"/>
  <c r="Q106" i="6" s="1"/>
  <c r="S105" i="18"/>
  <c r="R105" i="6" s="1"/>
  <c r="Q105" i="18"/>
  <c r="Q105" i="6" s="1"/>
  <c r="S104" i="18"/>
  <c r="R104" i="6" s="1"/>
  <c r="Q104" i="18"/>
  <c r="Q104" i="6" s="1"/>
  <c r="S103" i="18"/>
  <c r="R103" i="6" s="1"/>
  <c r="Q103" i="18"/>
  <c r="Q103" i="6" s="1"/>
  <c r="S102" i="18"/>
  <c r="R102" i="6" s="1"/>
  <c r="Q102" i="18"/>
  <c r="Q102" i="6" s="1"/>
  <c r="S101" i="18"/>
  <c r="R101" i="6" s="1"/>
  <c r="Q101" i="18"/>
  <c r="Q101" i="6" s="1"/>
  <c r="S100" i="18"/>
  <c r="R100" i="6" s="1"/>
  <c r="Q100" i="18"/>
  <c r="Q100" i="6" s="1"/>
  <c r="S99" i="18"/>
  <c r="R99" i="6" s="1"/>
  <c r="Q99" i="18"/>
  <c r="Q99" i="6" s="1"/>
  <c r="S98" i="18"/>
  <c r="R98" i="6" s="1"/>
  <c r="Q98" i="18"/>
  <c r="Q98" i="6" s="1"/>
  <c r="S97" i="18"/>
  <c r="R97" i="6" s="1"/>
  <c r="Q97" i="18"/>
  <c r="Q97" i="6" s="1"/>
  <c r="D81" i="18"/>
  <c r="S76" i="18"/>
  <c r="R76" i="6" s="1"/>
  <c r="Q76" i="18"/>
  <c r="Q76" i="6" s="1"/>
  <c r="S75" i="18"/>
  <c r="R75" i="6" s="1"/>
  <c r="Q75" i="18"/>
  <c r="Q75" i="6" s="1"/>
  <c r="S74" i="18"/>
  <c r="R74" i="6" s="1"/>
  <c r="Q74" i="18"/>
  <c r="Q74" i="6" s="1"/>
  <c r="S73" i="18"/>
  <c r="R73" i="6" s="1"/>
  <c r="Q73" i="18"/>
  <c r="Q73" i="6" s="1"/>
  <c r="S72" i="18"/>
  <c r="R72" i="6" s="1"/>
  <c r="Q72" i="18"/>
  <c r="Q72" i="6" s="1"/>
  <c r="S71" i="18"/>
  <c r="R71" i="6" s="1"/>
  <c r="Q71" i="18"/>
  <c r="Q71" i="6" s="1"/>
  <c r="S70" i="18"/>
  <c r="R70" i="6" s="1"/>
  <c r="Q70" i="18"/>
  <c r="Q70" i="6" s="1"/>
  <c r="S69" i="18"/>
  <c r="R69" i="6" s="1"/>
  <c r="Q69" i="18"/>
  <c r="Q69" i="6" s="1"/>
  <c r="S68" i="18"/>
  <c r="R68" i="6" s="1"/>
  <c r="Q68" i="18"/>
  <c r="Q68" i="6" s="1"/>
  <c r="S67" i="18"/>
  <c r="R67" i="6" s="1"/>
  <c r="Q67" i="18"/>
  <c r="Q67" i="6" s="1"/>
  <c r="S66" i="18"/>
  <c r="R66" i="6" s="1"/>
  <c r="Q66" i="18"/>
  <c r="Q66" i="6" s="1"/>
  <c r="S65" i="18"/>
  <c r="R65" i="6" s="1"/>
  <c r="Q65" i="18"/>
  <c r="Q65" i="6" s="1"/>
  <c r="S64" i="18"/>
  <c r="R64" i="6" s="1"/>
  <c r="Q64" i="18"/>
  <c r="Q64" i="6" s="1"/>
  <c r="S63" i="18"/>
  <c r="R63" i="6" s="1"/>
  <c r="Q63" i="18"/>
  <c r="Q63" i="6" s="1"/>
  <c r="S62" i="18"/>
  <c r="R62" i="6" s="1"/>
  <c r="Q62" i="18"/>
  <c r="Q62" i="6" s="1"/>
  <c r="S61" i="18"/>
  <c r="R61" i="6" s="1"/>
  <c r="Q61" i="18"/>
  <c r="Q61" i="6" s="1"/>
  <c r="S60" i="18"/>
  <c r="R60" i="6" s="1"/>
  <c r="Q60" i="18"/>
  <c r="Q60" i="6" s="1"/>
  <c r="S59" i="18"/>
  <c r="R59" i="6" s="1"/>
  <c r="Q59" i="18"/>
  <c r="Q59" i="6" s="1"/>
  <c r="S58" i="18"/>
  <c r="R58" i="6" s="1"/>
  <c r="Q58" i="18"/>
  <c r="Q58" i="6" s="1"/>
  <c r="S57" i="18"/>
  <c r="Q57" i="18"/>
  <c r="Q57" i="6" s="1"/>
  <c r="D41" i="18"/>
  <c r="N36" i="18"/>
  <c r="S36" i="18" s="1"/>
  <c r="R36" i="6" s="1"/>
  <c r="M36" i="18"/>
  <c r="Q36" i="18" s="1"/>
  <c r="Q36" i="6" s="1"/>
  <c r="L36" i="18"/>
  <c r="K36" i="18"/>
  <c r="T36" i="18" s="1"/>
  <c r="J36" i="18"/>
  <c r="I36" i="18"/>
  <c r="H36" i="18"/>
  <c r="G36" i="18"/>
  <c r="F36" i="18"/>
  <c r="E36" i="18"/>
  <c r="D36" i="6" s="1"/>
  <c r="C36" i="6" s="1"/>
  <c r="D36" i="18"/>
  <c r="O36" i="6" s="1"/>
  <c r="C36" i="18"/>
  <c r="N36" i="6" s="1"/>
  <c r="N35" i="18"/>
  <c r="S35" i="18" s="1"/>
  <c r="R35" i="6" s="1"/>
  <c r="M35" i="18"/>
  <c r="L35" i="18"/>
  <c r="K35" i="18"/>
  <c r="J35" i="6" s="1"/>
  <c r="AA35" i="6" s="1"/>
  <c r="J35" i="18"/>
  <c r="I35" i="18"/>
  <c r="H35" i="18"/>
  <c r="G35" i="18"/>
  <c r="F35" i="18"/>
  <c r="E35" i="18"/>
  <c r="D35" i="6" s="1"/>
  <c r="C35" i="6" s="1"/>
  <c r="D35" i="18"/>
  <c r="O35" i="6" s="1"/>
  <c r="C35" i="18"/>
  <c r="N35" i="6" s="1"/>
  <c r="N34" i="18"/>
  <c r="P34" i="6" s="1"/>
  <c r="M34" i="18"/>
  <c r="M34" i="6" s="1"/>
  <c r="L34" i="18"/>
  <c r="K34" i="18"/>
  <c r="J34" i="6" s="1"/>
  <c r="AA34" i="6" s="1"/>
  <c r="J34" i="18"/>
  <c r="I34" i="18"/>
  <c r="H34" i="18"/>
  <c r="G34" i="18"/>
  <c r="F34" i="18"/>
  <c r="E34" i="18"/>
  <c r="D34" i="6" s="1"/>
  <c r="C34" i="6" s="1"/>
  <c r="D34" i="18"/>
  <c r="O34" i="6" s="1"/>
  <c r="C34" i="18"/>
  <c r="N34" i="6" s="1"/>
  <c r="N33" i="18"/>
  <c r="P33" i="6" s="1"/>
  <c r="M33" i="18"/>
  <c r="M33" i="6" s="1"/>
  <c r="L33" i="18"/>
  <c r="K33" i="18"/>
  <c r="T33" i="18" s="1"/>
  <c r="J33" i="18"/>
  <c r="I33" i="18"/>
  <c r="H33" i="18"/>
  <c r="G33" i="18"/>
  <c r="F33" i="18"/>
  <c r="E33" i="18"/>
  <c r="D33" i="6" s="1"/>
  <c r="C33" i="6" s="1"/>
  <c r="D33" i="18"/>
  <c r="O33" i="6" s="1"/>
  <c r="C33" i="18"/>
  <c r="N32" i="18"/>
  <c r="P32" i="6" s="1"/>
  <c r="M32" i="18"/>
  <c r="Q32" i="18" s="1"/>
  <c r="Q32" i="6" s="1"/>
  <c r="L32" i="18"/>
  <c r="K32" i="18"/>
  <c r="J32" i="6" s="1"/>
  <c r="AA32" i="6" s="1"/>
  <c r="J32" i="18"/>
  <c r="I32" i="18"/>
  <c r="H32" i="18"/>
  <c r="G32" i="18"/>
  <c r="F32" i="18"/>
  <c r="E32" i="18"/>
  <c r="D32" i="6" s="1"/>
  <c r="C32" i="6" s="1"/>
  <c r="D32" i="18"/>
  <c r="O32" i="6" s="1"/>
  <c r="C32" i="18"/>
  <c r="N32" i="6" s="1"/>
  <c r="N31" i="18"/>
  <c r="P31" i="6" s="1"/>
  <c r="M31" i="18"/>
  <c r="Q31" i="18" s="1"/>
  <c r="Q31" i="6" s="1"/>
  <c r="L31" i="18"/>
  <c r="K31" i="18"/>
  <c r="T31" i="18" s="1"/>
  <c r="J31" i="18"/>
  <c r="I31" i="18"/>
  <c r="H31" i="18"/>
  <c r="G31" i="18"/>
  <c r="F31" i="18"/>
  <c r="E31" i="18"/>
  <c r="D31" i="6" s="1"/>
  <c r="C31" i="6" s="1"/>
  <c r="D31" i="18"/>
  <c r="O31" i="6" s="1"/>
  <c r="C31" i="18"/>
  <c r="N31" i="6" s="1"/>
  <c r="N30" i="18"/>
  <c r="S30" i="18" s="1"/>
  <c r="R30" i="6" s="1"/>
  <c r="M30" i="18"/>
  <c r="M30" i="6" s="1"/>
  <c r="L30" i="18"/>
  <c r="K30" i="18"/>
  <c r="T30" i="18" s="1"/>
  <c r="J30" i="18"/>
  <c r="I30" i="18"/>
  <c r="H30" i="18"/>
  <c r="G30" i="18"/>
  <c r="F30" i="18"/>
  <c r="E30" i="18"/>
  <c r="D30" i="6" s="1"/>
  <c r="C30" i="6" s="1"/>
  <c r="D30" i="18"/>
  <c r="O30" i="6" s="1"/>
  <c r="C30" i="18"/>
  <c r="N30" i="6" s="1"/>
  <c r="N29" i="18"/>
  <c r="P29" i="6" s="1"/>
  <c r="M29" i="18"/>
  <c r="L29" i="18"/>
  <c r="K29" i="18"/>
  <c r="J29" i="6" s="1"/>
  <c r="AA29" i="6" s="1"/>
  <c r="J29" i="18"/>
  <c r="I29" i="18"/>
  <c r="H29" i="18"/>
  <c r="G29" i="18"/>
  <c r="F29" i="18"/>
  <c r="E29" i="18"/>
  <c r="D29" i="6" s="1"/>
  <c r="C29" i="6" s="1"/>
  <c r="D29" i="18"/>
  <c r="O29" i="6" s="1"/>
  <c r="C29" i="18"/>
  <c r="N29" i="6" s="1"/>
  <c r="N28" i="18"/>
  <c r="P28" i="6" s="1"/>
  <c r="M28" i="18"/>
  <c r="M28" i="6" s="1"/>
  <c r="L28" i="18"/>
  <c r="K28" i="18"/>
  <c r="J28" i="6" s="1"/>
  <c r="AA28" i="6" s="1"/>
  <c r="J28" i="18"/>
  <c r="I28" i="18"/>
  <c r="H28" i="18"/>
  <c r="G28" i="18"/>
  <c r="F28" i="18"/>
  <c r="E28" i="18"/>
  <c r="D28" i="6" s="1"/>
  <c r="C28" i="6" s="1"/>
  <c r="D28" i="18"/>
  <c r="O28" i="6" s="1"/>
  <c r="C28" i="18"/>
  <c r="N28" i="6" s="1"/>
  <c r="N27" i="18"/>
  <c r="P27" i="6" s="1"/>
  <c r="M27" i="18"/>
  <c r="M27" i="6" s="1"/>
  <c r="L27" i="18"/>
  <c r="K27" i="18"/>
  <c r="T27" i="18" s="1"/>
  <c r="J27" i="18"/>
  <c r="I27" i="18"/>
  <c r="H27" i="18"/>
  <c r="G27" i="18"/>
  <c r="F27" i="18"/>
  <c r="E27" i="18"/>
  <c r="D27" i="6" s="1"/>
  <c r="C27" i="6" s="1"/>
  <c r="D27" i="18"/>
  <c r="O27" i="6" s="1"/>
  <c r="C27" i="18"/>
  <c r="B27" i="18" s="1"/>
  <c r="N26" i="18"/>
  <c r="P26" i="6" s="1"/>
  <c r="M26" i="18"/>
  <c r="M26" i="6" s="1"/>
  <c r="L26" i="18"/>
  <c r="K26" i="18"/>
  <c r="J26" i="6" s="1"/>
  <c r="AA26" i="6" s="1"/>
  <c r="J26" i="18"/>
  <c r="I26" i="18"/>
  <c r="H26" i="18"/>
  <c r="G26" i="18"/>
  <c r="F26" i="18"/>
  <c r="E26" i="18"/>
  <c r="D26" i="6" s="1"/>
  <c r="C26" i="6" s="1"/>
  <c r="D26" i="18"/>
  <c r="O26" i="6" s="1"/>
  <c r="C26" i="18"/>
  <c r="N26" i="6" s="1"/>
  <c r="N25" i="18"/>
  <c r="P25" i="6" s="1"/>
  <c r="M25" i="18"/>
  <c r="M25" i="6" s="1"/>
  <c r="L25" i="18"/>
  <c r="K25" i="18"/>
  <c r="T25" i="18" s="1"/>
  <c r="J25" i="18"/>
  <c r="I25" i="18"/>
  <c r="H25" i="18"/>
  <c r="G25" i="18"/>
  <c r="F25" i="18"/>
  <c r="E25" i="18"/>
  <c r="D25" i="6" s="1"/>
  <c r="C25" i="6" s="1"/>
  <c r="D25" i="18"/>
  <c r="O25" i="6" s="1"/>
  <c r="C25" i="18"/>
  <c r="N25" i="6" s="1"/>
  <c r="N24" i="18"/>
  <c r="S24" i="18" s="1"/>
  <c r="R24" i="6" s="1"/>
  <c r="M24" i="18"/>
  <c r="Q24" i="18" s="1"/>
  <c r="Q24" i="6" s="1"/>
  <c r="L24" i="18"/>
  <c r="K24" i="18"/>
  <c r="J24" i="6" s="1"/>
  <c r="AA24" i="6" s="1"/>
  <c r="J24" i="18"/>
  <c r="I24" i="18"/>
  <c r="H24" i="18"/>
  <c r="G24" i="18"/>
  <c r="F24" i="18"/>
  <c r="E24" i="18"/>
  <c r="D24" i="6" s="1"/>
  <c r="C24" i="6" s="1"/>
  <c r="D24" i="18"/>
  <c r="O24" i="6" s="1"/>
  <c r="C24" i="18"/>
  <c r="N24" i="6" s="1"/>
  <c r="N23" i="18"/>
  <c r="P23" i="6" s="1"/>
  <c r="M23" i="18"/>
  <c r="M23" i="6" s="1"/>
  <c r="L23" i="18"/>
  <c r="K23" i="18"/>
  <c r="J23" i="6" s="1"/>
  <c r="AA23" i="6" s="1"/>
  <c r="J23" i="18"/>
  <c r="I23" i="18"/>
  <c r="H23" i="18"/>
  <c r="G23" i="18"/>
  <c r="F23" i="18"/>
  <c r="E23" i="18"/>
  <c r="D23" i="6" s="1"/>
  <c r="C23" i="6" s="1"/>
  <c r="D23" i="18"/>
  <c r="O23" i="6" s="1"/>
  <c r="C23" i="18"/>
  <c r="B23" i="18" s="1"/>
  <c r="N22" i="18"/>
  <c r="P22" i="6" s="1"/>
  <c r="M22" i="18"/>
  <c r="M22" i="6" s="1"/>
  <c r="L22" i="18"/>
  <c r="K22" i="18"/>
  <c r="J22" i="6" s="1"/>
  <c r="AA22" i="6" s="1"/>
  <c r="J22" i="18"/>
  <c r="I22" i="18"/>
  <c r="H22" i="18"/>
  <c r="G22" i="18"/>
  <c r="F22" i="18"/>
  <c r="E22" i="18"/>
  <c r="D22" i="6" s="1"/>
  <c r="C22" i="6" s="1"/>
  <c r="D22" i="18"/>
  <c r="O22" i="6" s="1"/>
  <c r="C22" i="18"/>
  <c r="N22" i="6" s="1"/>
  <c r="N21" i="18"/>
  <c r="P21" i="6" s="1"/>
  <c r="M21" i="18"/>
  <c r="Q21" i="18" s="1"/>
  <c r="Q21" i="6" s="1"/>
  <c r="L21" i="18"/>
  <c r="K21" i="18"/>
  <c r="T21" i="18" s="1"/>
  <c r="J21" i="18"/>
  <c r="I21" i="18"/>
  <c r="H21" i="18"/>
  <c r="G21" i="18"/>
  <c r="F21" i="18"/>
  <c r="E21" i="18"/>
  <c r="D21" i="6" s="1"/>
  <c r="C21" i="6" s="1"/>
  <c r="D21" i="18"/>
  <c r="O21" i="6" s="1"/>
  <c r="C21" i="18"/>
  <c r="N21" i="6" s="1"/>
  <c r="N20" i="18"/>
  <c r="P20" i="6" s="1"/>
  <c r="M20" i="18"/>
  <c r="M20" i="6" s="1"/>
  <c r="L20" i="18"/>
  <c r="K20" i="18"/>
  <c r="T20" i="18" s="1"/>
  <c r="J20" i="18"/>
  <c r="I20" i="18"/>
  <c r="H20" i="18"/>
  <c r="G20" i="18"/>
  <c r="F20" i="18"/>
  <c r="E20" i="18"/>
  <c r="D20" i="6" s="1"/>
  <c r="C20" i="6" s="1"/>
  <c r="D20" i="18"/>
  <c r="O20" i="6" s="1"/>
  <c r="C20" i="18"/>
  <c r="N20" i="6" s="1"/>
  <c r="N19" i="18"/>
  <c r="S19" i="18" s="1"/>
  <c r="R19" i="6" s="1"/>
  <c r="M19" i="18"/>
  <c r="M19" i="6" s="1"/>
  <c r="L19" i="18"/>
  <c r="K19" i="18"/>
  <c r="T19" i="18" s="1"/>
  <c r="J19" i="18"/>
  <c r="I19" i="18"/>
  <c r="H19" i="18"/>
  <c r="G19" i="18"/>
  <c r="F19" i="18"/>
  <c r="E19" i="18"/>
  <c r="D19" i="6" s="1"/>
  <c r="C19" i="6" s="1"/>
  <c r="D19" i="18"/>
  <c r="O19" i="6" s="1"/>
  <c r="C19" i="18"/>
  <c r="N19" i="6" s="1"/>
  <c r="N18" i="18"/>
  <c r="P18" i="6" s="1"/>
  <c r="M18" i="18"/>
  <c r="L18" i="18"/>
  <c r="K18" i="18"/>
  <c r="T18" i="18" s="1"/>
  <c r="J18" i="18"/>
  <c r="I18" i="18"/>
  <c r="H18" i="18"/>
  <c r="G18" i="18"/>
  <c r="F18" i="18"/>
  <c r="E18" i="18"/>
  <c r="D18" i="6" s="1"/>
  <c r="D18" i="18"/>
  <c r="O18" i="6" s="1"/>
  <c r="C18" i="18"/>
  <c r="B18" i="18" s="1"/>
  <c r="N17" i="18"/>
  <c r="P17" i="6" s="1"/>
  <c r="M17" i="18"/>
  <c r="M17" i="6" s="1"/>
  <c r="L17" i="18"/>
  <c r="K17" i="18"/>
  <c r="T17" i="18" s="1"/>
  <c r="J17" i="18"/>
  <c r="I17" i="18"/>
  <c r="H17" i="18"/>
  <c r="G17" i="18"/>
  <c r="F17" i="18"/>
  <c r="E17" i="18"/>
  <c r="D17" i="6" s="1"/>
  <c r="D17" i="18"/>
  <c r="O17" i="6" s="1"/>
  <c r="C17" i="18"/>
  <c r="B17" i="18" s="1"/>
  <c r="N16" i="18"/>
  <c r="S16" i="18" s="1"/>
  <c r="M16" i="18"/>
  <c r="M16" i="6" s="1"/>
  <c r="L16" i="18"/>
  <c r="K16" i="18"/>
  <c r="T16" i="18" s="1"/>
  <c r="J16" i="18"/>
  <c r="I16" i="18"/>
  <c r="H16" i="18"/>
  <c r="G16" i="18"/>
  <c r="F16" i="18"/>
  <c r="E16" i="18"/>
  <c r="D16" i="6" s="1"/>
  <c r="B16" i="6" s="1"/>
  <c r="C16" i="6" s="1"/>
  <c r="D16" i="18"/>
  <c r="O16" i="6" s="1"/>
  <c r="C16" i="18"/>
  <c r="N16" i="6" s="1"/>
  <c r="B5" i="18"/>
  <c r="E49" i="44"/>
  <c r="B36" i="44"/>
  <c r="Z35" i="44"/>
  <c r="Z34" i="44"/>
  <c r="Z33" i="44"/>
  <c r="Z32" i="44"/>
  <c r="Z31" i="44"/>
  <c r="Z30" i="44"/>
  <c r="Z29" i="44"/>
  <c r="Z28" i="44"/>
  <c r="Z27" i="44"/>
  <c r="Z26" i="44"/>
  <c r="Z25" i="44"/>
  <c r="Z24" i="44"/>
  <c r="Z23" i="44"/>
  <c r="Z22" i="44"/>
  <c r="P16" i="44"/>
  <c r="AF108" i="33" s="1"/>
  <c r="Y11" i="44"/>
  <c r="V11" i="44"/>
  <c r="B4" i="44"/>
  <c r="E49" i="43"/>
  <c r="B36" i="43"/>
  <c r="Z35" i="43"/>
  <c r="Z34" i="43"/>
  <c r="Z33" i="43"/>
  <c r="Z32" i="43"/>
  <c r="Z31" i="43"/>
  <c r="Z30" i="43"/>
  <c r="Z29" i="43"/>
  <c r="Z28" i="43"/>
  <c r="Z27" i="43"/>
  <c r="Z26" i="43"/>
  <c r="Z25" i="43"/>
  <c r="Z24" i="43"/>
  <c r="Z23" i="43"/>
  <c r="Z22" i="43"/>
  <c r="P16" i="43"/>
  <c r="Y11" i="43"/>
  <c r="V11" i="43"/>
  <c r="B4" i="43"/>
  <c r="E49" i="42"/>
  <c r="B36" i="42"/>
  <c r="Z35" i="42"/>
  <c r="Z34" i="42"/>
  <c r="Z33" i="42"/>
  <c r="Z32" i="42"/>
  <c r="Z31" i="42"/>
  <c r="Z30" i="42"/>
  <c r="Z29" i="42"/>
  <c r="Z28" i="42"/>
  <c r="Z27" i="42"/>
  <c r="Z26" i="42"/>
  <c r="Z25" i="42"/>
  <c r="Z24" i="42"/>
  <c r="Z23" i="42"/>
  <c r="Z22" i="42"/>
  <c r="G16" i="42"/>
  <c r="Z31" i="31" s="1"/>
  <c r="C16" i="42"/>
  <c r="Y11" i="42"/>
  <c r="V11" i="42"/>
  <c r="B4" i="42"/>
  <c r="E49" i="41"/>
  <c r="B36" i="41"/>
  <c r="Z35" i="41"/>
  <c r="Z34" i="41"/>
  <c r="Z33" i="41"/>
  <c r="Z32" i="41"/>
  <c r="Z31" i="41"/>
  <c r="Z30" i="41"/>
  <c r="Z29" i="41"/>
  <c r="Z28" i="41"/>
  <c r="Z27" i="41"/>
  <c r="Z26" i="41"/>
  <c r="Z25" i="41"/>
  <c r="Z24" i="41"/>
  <c r="Z23" i="41"/>
  <c r="Z22" i="41"/>
  <c r="G16" i="41"/>
  <c r="Z30" i="31" s="1"/>
  <c r="C16" i="41"/>
  <c r="Y11" i="41"/>
  <c r="V11" i="41"/>
  <c r="B4" i="41"/>
  <c r="E49" i="38"/>
  <c r="B36" i="38"/>
  <c r="Z35" i="38"/>
  <c r="Z34" i="38"/>
  <c r="Z33" i="38"/>
  <c r="Z32" i="38"/>
  <c r="Z31" i="38"/>
  <c r="Z30" i="38"/>
  <c r="Z29" i="38"/>
  <c r="Z28" i="38"/>
  <c r="Z27" i="38"/>
  <c r="Z26" i="38"/>
  <c r="Z25" i="38"/>
  <c r="Z24" i="38"/>
  <c r="Z23" i="38"/>
  <c r="Z22" i="38"/>
  <c r="G16" i="38"/>
  <c r="Z29" i="31" s="1"/>
  <c r="C16" i="38"/>
  <c r="Y11" i="38"/>
  <c r="V11" i="38"/>
  <c r="B4" i="38"/>
  <c r="E49" i="1"/>
  <c r="B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B4" i="1"/>
  <c r="C52" i="3"/>
  <c r="J46" i="3"/>
  <c r="H46" i="3"/>
  <c r="E46" i="3"/>
  <c r="B46" i="3"/>
  <c r="G43" i="3"/>
  <c r="E43" i="3"/>
  <c r="C43" i="3"/>
  <c r="B43" i="3"/>
  <c r="I40" i="3"/>
  <c r="D40" i="3"/>
  <c r="B40" i="3"/>
  <c r="G37" i="3"/>
  <c r="B37" i="3"/>
  <c r="B34" i="3"/>
  <c r="B31" i="3"/>
  <c r="I24" i="3"/>
  <c r="E20" i="3"/>
  <c r="B20" i="3"/>
  <c r="J17" i="3"/>
  <c r="C17" i="3"/>
  <c r="B17" i="3"/>
  <c r="B14" i="3"/>
  <c r="H2" i="3"/>
  <c r="P260" i="33"/>
  <c r="B199" i="33"/>
  <c r="BJ195" i="33"/>
  <c r="BH195" i="33"/>
  <c r="BG191" i="33"/>
  <c r="AD191" i="33"/>
  <c r="C191" i="33"/>
  <c r="BG189" i="33"/>
  <c r="B189" i="33"/>
  <c r="B187" i="33"/>
  <c r="B103" i="33"/>
  <c r="B85" i="33"/>
  <c r="B69" i="33"/>
  <c r="B53" i="33"/>
  <c r="B37" i="33"/>
  <c r="BI23" i="33"/>
  <c r="BH23" i="33"/>
  <c r="B17" i="33"/>
  <c r="B19" i="33"/>
  <c r="BI8" i="33"/>
  <c r="N8" i="33"/>
  <c r="H8" i="33" s="1"/>
  <c r="BJ4" i="33"/>
  <c r="BI4" i="33"/>
  <c r="BH4" i="33"/>
  <c r="B1" i="33"/>
  <c r="A64" i="31"/>
  <c r="A63" i="31"/>
  <c r="A62" i="31"/>
  <c r="BG59" i="31"/>
  <c r="G59" i="31" s="1"/>
  <c r="H44" i="31"/>
  <c r="A44" i="31" s="1"/>
  <c r="AA23" i="31"/>
  <c r="G2" i="31"/>
  <c r="B2" i="31"/>
  <c r="E1702" i="11"/>
  <c r="E1701" i="11"/>
  <c r="E1700" i="11"/>
  <c r="E1699" i="11"/>
  <c r="E1698" i="11"/>
  <c r="E1697" i="11"/>
  <c r="E1696" i="11"/>
  <c r="E1695" i="11"/>
  <c r="E1694" i="11"/>
  <c r="E1693" i="11"/>
  <c r="E1692" i="11"/>
  <c r="E1691" i="11"/>
  <c r="E1690" i="11"/>
  <c r="E1689" i="11"/>
  <c r="E1688" i="11"/>
  <c r="E1687" i="11"/>
  <c r="E1686" i="11"/>
  <c r="E1685" i="11"/>
  <c r="E1684" i="11"/>
  <c r="E1683" i="11"/>
  <c r="E1682" i="11"/>
  <c r="E1681" i="11"/>
  <c r="E1680" i="11"/>
  <c r="E1679" i="11"/>
  <c r="E1678" i="11"/>
  <c r="E1677" i="11"/>
  <c r="E1676" i="11"/>
  <c r="E1675" i="11"/>
  <c r="E1674" i="11"/>
  <c r="E1673" i="11"/>
  <c r="E1672" i="11"/>
  <c r="E1671" i="11"/>
  <c r="E1670" i="11"/>
  <c r="E1669" i="11"/>
  <c r="E1668" i="11"/>
  <c r="E1667" i="11"/>
  <c r="E1666" i="11"/>
  <c r="E1665" i="11"/>
  <c r="E1664" i="11"/>
  <c r="E1663" i="11"/>
  <c r="E1662" i="11"/>
  <c r="E1661" i="11"/>
  <c r="E1660" i="11"/>
  <c r="E1659" i="11"/>
  <c r="E1658" i="11"/>
  <c r="E1657" i="11"/>
  <c r="E1656" i="11"/>
  <c r="E1655" i="11"/>
  <c r="E1654" i="11"/>
  <c r="E1653" i="11"/>
  <c r="E1652" i="11"/>
  <c r="E1651" i="11"/>
  <c r="E1650" i="11"/>
  <c r="E1649" i="11"/>
  <c r="E1648" i="11"/>
  <c r="E1647" i="11"/>
  <c r="E1646" i="11"/>
  <c r="E1645" i="11"/>
  <c r="E1644" i="11"/>
  <c r="E1643" i="11"/>
  <c r="E1642" i="11"/>
  <c r="E1641" i="11"/>
  <c r="E1640" i="11"/>
  <c r="E1639" i="11"/>
  <c r="E1638" i="11"/>
  <c r="E1637" i="11"/>
  <c r="E1636" i="11"/>
  <c r="E1635" i="11"/>
  <c r="E1634" i="11"/>
  <c r="E1633" i="11"/>
  <c r="E1632" i="11"/>
  <c r="E1631" i="11"/>
  <c r="E1630" i="11"/>
  <c r="E1629" i="11"/>
  <c r="E1628" i="11"/>
  <c r="E1627" i="11"/>
  <c r="E1626" i="11"/>
  <c r="E1625" i="11"/>
  <c r="E1624" i="11"/>
  <c r="E1623" i="11"/>
  <c r="E1622" i="11"/>
  <c r="E1621" i="11"/>
  <c r="E1620" i="11"/>
  <c r="E1619" i="11"/>
  <c r="E1618" i="11"/>
  <c r="E1617" i="11"/>
  <c r="E1616" i="11"/>
  <c r="E1615" i="11"/>
  <c r="E1614" i="11"/>
  <c r="E1613" i="11"/>
  <c r="E1612" i="11"/>
  <c r="E1611" i="11"/>
  <c r="E1610" i="11"/>
  <c r="E1609" i="11"/>
  <c r="E1608" i="11"/>
  <c r="E1607" i="11"/>
  <c r="E1606" i="11"/>
  <c r="E1605" i="11"/>
  <c r="E1604" i="11"/>
  <c r="E1603" i="11"/>
  <c r="E1602" i="11"/>
  <c r="E1601" i="11"/>
  <c r="E1600" i="11"/>
  <c r="E1599" i="11"/>
  <c r="E1598" i="11"/>
  <c r="E1597" i="11"/>
  <c r="E1596" i="11"/>
  <c r="E1595" i="11"/>
  <c r="E1594" i="11"/>
  <c r="E1593" i="11"/>
  <c r="E1592" i="11"/>
  <c r="E1591" i="11"/>
  <c r="E1590" i="11"/>
  <c r="E1589" i="11"/>
  <c r="E1588" i="11"/>
  <c r="E1587" i="11"/>
  <c r="E1586" i="11"/>
  <c r="E1585" i="11"/>
  <c r="E1584" i="11"/>
  <c r="E1583" i="11"/>
  <c r="E1582" i="11"/>
  <c r="E1581" i="11"/>
  <c r="E1580" i="11"/>
  <c r="E1579" i="11"/>
  <c r="E1578" i="11"/>
  <c r="E1577" i="11"/>
  <c r="E1576" i="11"/>
  <c r="E1575" i="11"/>
  <c r="E1574" i="11"/>
  <c r="E1573" i="11"/>
  <c r="E1572" i="11"/>
  <c r="E1571" i="11"/>
  <c r="E1570" i="11"/>
  <c r="E1569" i="11"/>
  <c r="E1568" i="11"/>
  <c r="E1567" i="11"/>
  <c r="E1566" i="11"/>
  <c r="E1565" i="11"/>
  <c r="E1564" i="11"/>
  <c r="E1563" i="11"/>
  <c r="E1562" i="11"/>
  <c r="E1561" i="11"/>
  <c r="E1560" i="11"/>
  <c r="E1559" i="11"/>
  <c r="E1558" i="11"/>
  <c r="E1557" i="11"/>
  <c r="E1556" i="11"/>
  <c r="E1555" i="11"/>
  <c r="E1554" i="11"/>
  <c r="E1553" i="11"/>
  <c r="E1552" i="11"/>
  <c r="E1551" i="11"/>
  <c r="E1550" i="11"/>
  <c r="E1549" i="11"/>
  <c r="E1548" i="11"/>
  <c r="E1547" i="11"/>
  <c r="E1546" i="11"/>
  <c r="E1545" i="11"/>
  <c r="E1544" i="11"/>
  <c r="E1543" i="11"/>
  <c r="E1542" i="11"/>
  <c r="E1541" i="11"/>
  <c r="E1540" i="11"/>
  <c r="E1539" i="11"/>
  <c r="E1538" i="11"/>
  <c r="E1537" i="11"/>
  <c r="E1536" i="11"/>
  <c r="E1535" i="11"/>
  <c r="E1534" i="11"/>
  <c r="E1533" i="11"/>
  <c r="E1532" i="11"/>
  <c r="E1531" i="11"/>
  <c r="E1530" i="11"/>
  <c r="E1529" i="11"/>
  <c r="E1528" i="11"/>
  <c r="E1527" i="11"/>
  <c r="E1526" i="11"/>
  <c r="E1525" i="11"/>
  <c r="E1524" i="11"/>
  <c r="E1523" i="11"/>
  <c r="E1522" i="11"/>
  <c r="E1521" i="11"/>
  <c r="E1520" i="11"/>
  <c r="E1519" i="11"/>
  <c r="E1518" i="11"/>
  <c r="E1517" i="11"/>
  <c r="E1516" i="11"/>
  <c r="E1515" i="11"/>
  <c r="E1514" i="11"/>
  <c r="E1513" i="11"/>
  <c r="E1512" i="11"/>
  <c r="E1511" i="11"/>
  <c r="E1510" i="11"/>
  <c r="E1509" i="11"/>
  <c r="E1508" i="11"/>
  <c r="E1507" i="11"/>
  <c r="E1506" i="11"/>
  <c r="E1505" i="11"/>
  <c r="E1504" i="11"/>
  <c r="E1503" i="11"/>
  <c r="E1502" i="11"/>
  <c r="E1501" i="11"/>
  <c r="E1500" i="11"/>
  <c r="E1499" i="11"/>
  <c r="E1498" i="11"/>
  <c r="E1497" i="11"/>
  <c r="E1496" i="11"/>
  <c r="E1495" i="11"/>
  <c r="E1494" i="11"/>
  <c r="E1493" i="11"/>
  <c r="E1492" i="11"/>
  <c r="E1491" i="11"/>
  <c r="E1490" i="11"/>
  <c r="E1489" i="11"/>
  <c r="E1488" i="11"/>
  <c r="E1487" i="11"/>
  <c r="E1486" i="11"/>
  <c r="E1485" i="11"/>
  <c r="E1484" i="11"/>
  <c r="E1483" i="11"/>
  <c r="E1482" i="11"/>
  <c r="E1481" i="11"/>
  <c r="E1480" i="11"/>
  <c r="E1479" i="11"/>
  <c r="E1478" i="11"/>
  <c r="E1477" i="11"/>
  <c r="E1476" i="11"/>
  <c r="E1475" i="11"/>
  <c r="E1474" i="11"/>
  <c r="E1473" i="11"/>
  <c r="E1472" i="11"/>
  <c r="E1471" i="11"/>
  <c r="E1470" i="11"/>
  <c r="E1469" i="11"/>
  <c r="E1468" i="11"/>
  <c r="E1467" i="11"/>
  <c r="E1466" i="11"/>
  <c r="E1465" i="11"/>
  <c r="E1464" i="11"/>
  <c r="E1463" i="11"/>
  <c r="E1462" i="11"/>
  <c r="E1461" i="11"/>
  <c r="E1460" i="11"/>
  <c r="E1459" i="11"/>
  <c r="E1458" i="11"/>
  <c r="E1457" i="11"/>
  <c r="E1456" i="11"/>
  <c r="E1455" i="11"/>
  <c r="E1454" i="11"/>
  <c r="E1453" i="11"/>
  <c r="E1452" i="11"/>
  <c r="E1451" i="11"/>
  <c r="E1450" i="11"/>
  <c r="E1449" i="11"/>
  <c r="E1448" i="11"/>
  <c r="E1447" i="11"/>
  <c r="E1446" i="11"/>
  <c r="E1445" i="11"/>
  <c r="E1444" i="11"/>
  <c r="E1443" i="11"/>
  <c r="E1442" i="11"/>
  <c r="E1441" i="11"/>
  <c r="E1440" i="11"/>
  <c r="E1439" i="11"/>
  <c r="E1438" i="11"/>
  <c r="E1437" i="11"/>
  <c r="E1436" i="11"/>
  <c r="E1435" i="11"/>
  <c r="E1434" i="11"/>
  <c r="E1433" i="11"/>
  <c r="E1432" i="11"/>
  <c r="E1431" i="11"/>
  <c r="E1430" i="11"/>
  <c r="E1429" i="11"/>
  <c r="E1428" i="11"/>
  <c r="E1427" i="11"/>
  <c r="E1426" i="11"/>
  <c r="E1425" i="11"/>
  <c r="E1424" i="11"/>
  <c r="E1423" i="11"/>
  <c r="E1422" i="11"/>
  <c r="E1421" i="11"/>
  <c r="E1420" i="11"/>
  <c r="E1419" i="11"/>
  <c r="E1418" i="11"/>
  <c r="E1417" i="11"/>
  <c r="E1416" i="11"/>
  <c r="E1415" i="11"/>
  <c r="E1414" i="11"/>
  <c r="E1413" i="11"/>
  <c r="E1412" i="11"/>
  <c r="E1411" i="11"/>
  <c r="E1410" i="11"/>
  <c r="E1409" i="11"/>
  <c r="E1408" i="11"/>
  <c r="E1407" i="11"/>
  <c r="E1406" i="11"/>
  <c r="E1405" i="11"/>
  <c r="E1404" i="11"/>
  <c r="E1403" i="11"/>
  <c r="E1402" i="11"/>
  <c r="E1401" i="11"/>
  <c r="E1400" i="11"/>
  <c r="E1399" i="11"/>
  <c r="E1398" i="11"/>
  <c r="E1397" i="11"/>
  <c r="E1396" i="11"/>
  <c r="E1395" i="11"/>
  <c r="E1394" i="11"/>
  <c r="E1393" i="11"/>
  <c r="E1392" i="11"/>
  <c r="E1391" i="11"/>
  <c r="E1390" i="11"/>
  <c r="E1389" i="11"/>
  <c r="E1388" i="11"/>
  <c r="E1387" i="11"/>
  <c r="E1386" i="11"/>
  <c r="E1385" i="11"/>
  <c r="E1384" i="11"/>
  <c r="E1383" i="11"/>
  <c r="E1382" i="11"/>
  <c r="E1381" i="11"/>
  <c r="E1380" i="11"/>
  <c r="E1379" i="11"/>
  <c r="E1378" i="11"/>
  <c r="E1377" i="11"/>
  <c r="E1376" i="11"/>
  <c r="E1375" i="11"/>
  <c r="E1374" i="11"/>
  <c r="E1373" i="11"/>
  <c r="E1372" i="11"/>
  <c r="E1371" i="11"/>
  <c r="E1370" i="11"/>
  <c r="E1369" i="11"/>
  <c r="E1368" i="11"/>
  <c r="E1367" i="11"/>
  <c r="E1366" i="11"/>
  <c r="E1365" i="11"/>
  <c r="E1364" i="11"/>
  <c r="E1363" i="11"/>
  <c r="E1362" i="11"/>
  <c r="E1361" i="11"/>
  <c r="E1360" i="11"/>
  <c r="E1359" i="11"/>
  <c r="E1358" i="11"/>
  <c r="E1357" i="11"/>
  <c r="E1356" i="11"/>
  <c r="E1355" i="11"/>
  <c r="E1354" i="11"/>
  <c r="E1353" i="11"/>
  <c r="E1352" i="11"/>
  <c r="E1351" i="11"/>
  <c r="E1350" i="11"/>
  <c r="E1349" i="11"/>
  <c r="E1348" i="11"/>
  <c r="E1347" i="11"/>
  <c r="E1346" i="11"/>
  <c r="E1345" i="11"/>
  <c r="E1344" i="11"/>
  <c r="E1343" i="11"/>
  <c r="E1342" i="11"/>
  <c r="E1341" i="11"/>
  <c r="E1340" i="11"/>
  <c r="E1339" i="11"/>
  <c r="E1338" i="11"/>
  <c r="E1337" i="11"/>
  <c r="E1336" i="11"/>
  <c r="E1335" i="11"/>
  <c r="E1334" i="11"/>
  <c r="E1333" i="11"/>
  <c r="E1332" i="11"/>
  <c r="E1331" i="11"/>
  <c r="E1330" i="11"/>
  <c r="E1329" i="11"/>
  <c r="E1328" i="11"/>
  <c r="E1327" i="11"/>
  <c r="E1326" i="11"/>
  <c r="E1325" i="11"/>
  <c r="E1324" i="11"/>
  <c r="E1323" i="11"/>
  <c r="E1322" i="11"/>
  <c r="E1321" i="11"/>
  <c r="E1320" i="11"/>
  <c r="E1319" i="11"/>
  <c r="E1318" i="11"/>
  <c r="E1317" i="11"/>
  <c r="E1316" i="11"/>
  <c r="E1315" i="11"/>
  <c r="E1314" i="11"/>
  <c r="E1313" i="11"/>
  <c r="E1312" i="11"/>
  <c r="E1311" i="11"/>
  <c r="E1310" i="11"/>
  <c r="E1309" i="11"/>
  <c r="E1308" i="11"/>
  <c r="E1307" i="11"/>
  <c r="E1306" i="11"/>
  <c r="E1305" i="11"/>
  <c r="E1304" i="11"/>
  <c r="E1303" i="11"/>
  <c r="E1302" i="11"/>
  <c r="E1301" i="11"/>
  <c r="E1300" i="11"/>
  <c r="E1299" i="11"/>
  <c r="E1298" i="11"/>
  <c r="E1297" i="11"/>
  <c r="E1296" i="11"/>
  <c r="E1295" i="11"/>
  <c r="E1294" i="11"/>
  <c r="E1293" i="11"/>
  <c r="E1292" i="11"/>
  <c r="E1291" i="11"/>
  <c r="E1290" i="11"/>
  <c r="E1289" i="11"/>
  <c r="E1288" i="11"/>
  <c r="E1287" i="11"/>
  <c r="E1286" i="11"/>
  <c r="E1285" i="11"/>
  <c r="E1284" i="11"/>
  <c r="E1283" i="11"/>
  <c r="E1282" i="11"/>
  <c r="E1281" i="11"/>
  <c r="E1280" i="11"/>
  <c r="E1279" i="11"/>
  <c r="E1278" i="11"/>
  <c r="E1277" i="11"/>
  <c r="E1276" i="11"/>
  <c r="E1275" i="11"/>
  <c r="E1274" i="11"/>
  <c r="E1273" i="11"/>
  <c r="E1272" i="11"/>
  <c r="E1271" i="11"/>
  <c r="E1270" i="11"/>
  <c r="E1269" i="11"/>
  <c r="E1268" i="11"/>
  <c r="E1267" i="11"/>
  <c r="E1266" i="11"/>
  <c r="E1265" i="11"/>
  <c r="E1264" i="11"/>
  <c r="E1263" i="11"/>
  <c r="E1262" i="11"/>
  <c r="E1261" i="11"/>
  <c r="E1260" i="11"/>
  <c r="E1259" i="11"/>
  <c r="E1258" i="11"/>
  <c r="E1257" i="11"/>
  <c r="E1256" i="11"/>
  <c r="E1255" i="11"/>
  <c r="E1254" i="11"/>
  <c r="E1253" i="11"/>
  <c r="E1252" i="11"/>
  <c r="E1251" i="11"/>
  <c r="E1250" i="11"/>
  <c r="E1249" i="11"/>
  <c r="E1248" i="11"/>
  <c r="E1247" i="11"/>
  <c r="E1246" i="11"/>
  <c r="E1245" i="11"/>
  <c r="E1244" i="11"/>
  <c r="E1243" i="11"/>
  <c r="E1242" i="11"/>
  <c r="E1241" i="11"/>
  <c r="E1240" i="11"/>
  <c r="E1239" i="11"/>
  <c r="E1238" i="11"/>
  <c r="E1237" i="11"/>
  <c r="E1236" i="11"/>
  <c r="E1235" i="11"/>
  <c r="E1234" i="11"/>
  <c r="E1233" i="11"/>
  <c r="E1232" i="11"/>
  <c r="E1231" i="11"/>
  <c r="E1230" i="11"/>
  <c r="E1229" i="11"/>
  <c r="E1228" i="11"/>
  <c r="E1227" i="11"/>
  <c r="E1226" i="11"/>
  <c r="E1225" i="11"/>
  <c r="E1224" i="11"/>
  <c r="E1223" i="11"/>
  <c r="E1222" i="11"/>
  <c r="E1221" i="11"/>
  <c r="E1220" i="11"/>
  <c r="E1219" i="11"/>
  <c r="E1218" i="11"/>
  <c r="E1217" i="11"/>
  <c r="E1216" i="11"/>
  <c r="E1215" i="11"/>
  <c r="E1214" i="11"/>
  <c r="E1213" i="11"/>
  <c r="E1212" i="11"/>
  <c r="E1211" i="11"/>
  <c r="E1210" i="11"/>
  <c r="E1209" i="11"/>
  <c r="E1208" i="11"/>
  <c r="E1207" i="11"/>
  <c r="E1206" i="11"/>
  <c r="E1205" i="11"/>
  <c r="E1204" i="11"/>
  <c r="E1203" i="11"/>
  <c r="E1202" i="11"/>
  <c r="E1201" i="11"/>
  <c r="E1200" i="11"/>
  <c r="E1199" i="11"/>
  <c r="E1198" i="11"/>
  <c r="E1197" i="11"/>
  <c r="E1196" i="11"/>
  <c r="E1195" i="11"/>
  <c r="E1194" i="11"/>
  <c r="E1193" i="11"/>
  <c r="E1192" i="11"/>
  <c r="E1191" i="11"/>
  <c r="E1190" i="11"/>
  <c r="E1189" i="11"/>
  <c r="E1188" i="11"/>
  <c r="E1187" i="11"/>
  <c r="E1186" i="11"/>
  <c r="E1185" i="11"/>
  <c r="E1184" i="11"/>
  <c r="E1183" i="11"/>
  <c r="E1182" i="11"/>
  <c r="E1181" i="11"/>
  <c r="E1180" i="11"/>
  <c r="E1179" i="11"/>
  <c r="E1178" i="11"/>
  <c r="E1177" i="11"/>
  <c r="E1176" i="11"/>
  <c r="E1175" i="11"/>
  <c r="E1174" i="11"/>
  <c r="E1173" i="11"/>
  <c r="E1172" i="11"/>
  <c r="E1171" i="11"/>
  <c r="E1170" i="11"/>
  <c r="E1169" i="11"/>
  <c r="E1168" i="11"/>
  <c r="E1167" i="11"/>
  <c r="E1166" i="11"/>
  <c r="E1165" i="11"/>
  <c r="E1164" i="11"/>
  <c r="E1163" i="11"/>
  <c r="E1162" i="11"/>
  <c r="E1161" i="11"/>
  <c r="E1160" i="11"/>
  <c r="E1159" i="11"/>
  <c r="E1158" i="11"/>
  <c r="E1157" i="11"/>
  <c r="E1156" i="11"/>
  <c r="E1155" i="11"/>
  <c r="E1154" i="11"/>
  <c r="E1153" i="11"/>
  <c r="E1152" i="11"/>
  <c r="E1151" i="11"/>
  <c r="E1150" i="11"/>
  <c r="E1149" i="11"/>
  <c r="E1148" i="11"/>
  <c r="E1147" i="11"/>
  <c r="E1146" i="11"/>
  <c r="E1145" i="11"/>
  <c r="E1144" i="11"/>
  <c r="E1143" i="11"/>
  <c r="E1142" i="11"/>
  <c r="E1141" i="11"/>
  <c r="E1140" i="11"/>
  <c r="E1139" i="11"/>
  <c r="E1138" i="11"/>
  <c r="E1137" i="11"/>
  <c r="E1136" i="11"/>
  <c r="E1135" i="11"/>
  <c r="E1134" i="11"/>
  <c r="E1133" i="11"/>
  <c r="E1132" i="11"/>
  <c r="E1131" i="11"/>
  <c r="E1130" i="11"/>
  <c r="E1129" i="11"/>
  <c r="E1128" i="11"/>
  <c r="E1127" i="11"/>
  <c r="E1126" i="11"/>
  <c r="E1125" i="11"/>
  <c r="E1124" i="11"/>
  <c r="E1123" i="11"/>
  <c r="E1122" i="11"/>
  <c r="E1121" i="11"/>
  <c r="E1120" i="11"/>
  <c r="E1119" i="11"/>
  <c r="E1118" i="11"/>
  <c r="E1117" i="11"/>
  <c r="E1116" i="11"/>
  <c r="E1115" i="11"/>
  <c r="E1114" i="11"/>
  <c r="E1113" i="11"/>
  <c r="E1112" i="11"/>
  <c r="E1111" i="11"/>
  <c r="E1110" i="11"/>
  <c r="E1109" i="11"/>
  <c r="E1108" i="11"/>
  <c r="E1107" i="11"/>
  <c r="E1106" i="11"/>
  <c r="E1105" i="11"/>
  <c r="E1104" i="11"/>
  <c r="E1103" i="11"/>
  <c r="E1102" i="11"/>
  <c r="E1101" i="11"/>
  <c r="E1100" i="11"/>
  <c r="E1099" i="11"/>
  <c r="E1098" i="11"/>
  <c r="E1097" i="11"/>
  <c r="E1096" i="11"/>
  <c r="E1095" i="11"/>
  <c r="E1094" i="11"/>
  <c r="E1093" i="11"/>
  <c r="E1092" i="11"/>
  <c r="E1091" i="11"/>
  <c r="E1090" i="11"/>
  <c r="E1089" i="11"/>
  <c r="E1088" i="11"/>
  <c r="E1087" i="11"/>
  <c r="E1086" i="11"/>
  <c r="E1085" i="11"/>
  <c r="E1084" i="11"/>
  <c r="E1083" i="11"/>
  <c r="E1082" i="11"/>
  <c r="E1081" i="11"/>
  <c r="E1080" i="11"/>
  <c r="E1079" i="11"/>
  <c r="E1078" i="11"/>
  <c r="E1077" i="11"/>
  <c r="E1076" i="11"/>
  <c r="E1075" i="11"/>
  <c r="E1074" i="11"/>
  <c r="E1073" i="11"/>
  <c r="E1072" i="11"/>
  <c r="E1071" i="11"/>
  <c r="E1070" i="11"/>
  <c r="E1069" i="11"/>
  <c r="E1068" i="11"/>
  <c r="E1067" i="11"/>
  <c r="E1066" i="11"/>
  <c r="E1065" i="11"/>
  <c r="E1064" i="11"/>
  <c r="E1063" i="11"/>
  <c r="E1062" i="11"/>
  <c r="E1061" i="11"/>
  <c r="E1060" i="11"/>
  <c r="E1059" i="11"/>
  <c r="E1058" i="11"/>
  <c r="E1057" i="11"/>
  <c r="E1056" i="11"/>
  <c r="E1055" i="11"/>
  <c r="E1054" i="11"/>
  <c r="E1053" i="11"/>
  <c r="E1052" i="11"/>
  <c r="E1051" i="11"/>
  <c r="E1050" i="11"/>
  <c r="E1049" i="11"/>
  <c r="E1048" i="11"/>
  <c r="E1047" i="11"/>
  <c r="E1046" i="11"/>
  <c r="E1045" i="11"/>
  <c r="E1044" i="11"/>
  <c r="E1043" i="11"/>
  <c r="E1042" i="11"/>
  <c r="E1041" i="11"/>
  <c r="E1040" i="11"/>
  <c r="E1039" i="11"/>
  <c r="E1038" i="11"/>
  <c r="E1037" i="11"/>
  <c r="E1036" i="11"/>
  <c r="E1035" i="11"/>
  <c r="E1034" i="11"/>
  <c r="E1033" i="11"/>
  <c r="E1032" i="11"/>
  <c r="E1031" i="11"/>
  <c r="E1030" i="11"/>
  <c r="E1029" i="11"/>
  <c r="E1028" i="11"/>
  <c r="E1027" i="11"/>
  <c r="E1026" i="11"/>
  <c r="E1025" i="11"/>
  <c r="E1024" i="11"/>
  <c r="E1023" i="11"/>
  <c r="E1022" i="11"/>
  <c r="E1021" i="11"/>
  <c r="E1020" i="11"/>
  <c r="E1019" i="11"/>
  <c r="E1018" i="11"/>
  <c r="E1017" i="11"/>
  <c r="E1016" i="11"/>
  <c r="E1015" i="11"/>
  <c r="E1014" i="11"/>
  <c r="E1013" i="11"/>
  <c r="E1012" i="11"/>
  <c r="E1011" i="11"/>
  <c r="E1010" i="11"/>
  <c r="E1009" i="11"/>
  <c r="E1008" i="11"/>
  <c r="E1007" i="11"/>
  <c r="E1006" i="11"/>
  <c r="E1005" i="11"/>
  <c r="E1004" i="11"/>
  <c r="E1003" i="11"/>
  <c r="E1002" i="11"/>
  <c r="E1001" i="11"/>
  <c r="E1000" i="11"/>
  <c r="E999" i="11"/>
  <c r="E998" i="11"/>
  <c r="E997" i="11"/>
  <c r="E996" i="11"/>
  <c r="E995" i="11"/>
  <c r="E994" i="11"/>
  <c r="E993" i="11"/>
  <c r="E992" i="11"/>
  <c r="E991" i="11"/>
  <c r="E990" i="11"/>
  <c r="E989" i="11"/>
  <c r="E988" i="11"/>
  <c r="E987" i="11"/>
  <c r="E986" i="11"/>
  <c r="E985" i="11"/>
  <c r="E984" i="11"/>
  <c r="E983" i="11"/>
  <c r="E982" i="11"/>
  <c r="E981" i="11"/>
  <c r="E980" i="11"/>
  <c r="E979" i="11"/>
  <c r="E978" i="11"/>
  <c r="E977" i="11"/>
  <c r="E976" i="11"/>
  <c r="E975" i="11"/>
  <c r="E974" i="11"/>
  <c r="E973" i="11"/>
  <c r="E972" i="11"/>
  <c r="E971" i="11"/>
  <c r="E970" i="11"/>
  <c r="E969" i="11"/>
  <c r="E968" i="11"/>
  <c r="E967" i="11"/>
  <c r="E966" i="11"/>
  <c r="E965" i="11"/>
  <c r="E964" i="11"/>
  <c r="E963" i="11"/>
  <c r="E962" i="11"/>
  <c r="E961" i="11"/>
  <c r="E960" i="11"/>
  <c r="E959" i="11"/>
  <c r="E958" i="11"/>
  <c r="E957" i="11"/>
  <c r="E956" i="11"/>
  <c r="E955" i="11"/>
  <c r="E954" i="11"/>
  <c r="E953" i="11"/>
  <c r="E952" i="11"/>
  <c r="E951" i="11"/>
  <c r="E950" i="11"/>
  <c r="E949" i="11"/>
  <c r="E948" i="11"/>
  <c r="E947" i="11"/>
  <c r="E946" i="11"/>
  <c r="E945" i="11"/>
  <c r="E944" i="11"/>
  <c r="E943" i="11"/>
  <c r="E942" i="11"/>
  <c r="E941" i="11"/>
  <c r="E940" i="11"/>
  <c r="E939" i="11"/>
  <c r="E938" i="11"/>
  <c r="E937" i="11"/>
  <c r="E936" i="11"/>
  <c r="E935" i="11"/>
  <c r="E934" i="11"/>
  <c r="E933" i="11"/>
  <c r="E932" i="11"/>
  <c r="E931" i="11"/>
  <c r="E930" i="11"/>
  <c r="E929" i="11"/>
  <c r="E928" i="11"/>
  <c r="E927" i="11"/>
  <c r="E926" i="11"/>
  <c r="E925" i="11"/>
  <c r="E924" i="11"/>
  <c r="E923" i="11"/>
  <c r="E922" i="11"/>
  <c r="E921" i="11"/>
  <c r="E920" i="11"/>
  <c r="E919" i="11"/>
  <c r="E918" i="11"/>
  <c r="E917" i="11"/>
  <c r="E916" i="11"/>
  <c r="E915" i="11"/>
  <c r="E914" i="11"/>
  <c r="E913" i="11"/>
  <c r="E912" i="11"/>
  <c r="E911" i="11"/>
  <c r="E910" i="11"/>
  <c r="E909" i="11"/>
  <c r="E908" i="11"/>
  <c r="E907" i="11"/>
  <c r="E906" i="11"/>
  <c r="E905" i="11"/>
  <c r="E904" i="11"/>
  <c r="E903" i="11"/>
  <c r="E902" i="11"/>
  <c r="E901" i="11"/>
  <c r="E900" i="11"/>
  <c r="E899" i="11"/>
  <c r="E898" i="11"/>
  <c r="E897" i="11"/>
  <c r="E896" i="11"/>
  <c r="E895" i="11"/>
  <c r="E894" i="11"/>
  <c r="E893" i="11"/>
  <c r="E892" i="11"/>
  <c r="E891" i="11"/>
  <c r="E890" i="11"/>
  <c r="E889" i="11"/>
  <c r="E888" i="11"/>
  <c r="E887" i="11"/>
  <c r="E886" i="11"/>
  <c r="E885" i="11"/>
  <c r="E884" i="11"/>
  <c r="E883" i="11"/>
  <c r="E882" i="11"/>
  <c r="E881" i="11"/>
  <c r="E880" i="11"/>
  <c r="E879" i="11"/>
  <c r="E878" i="11"/>
  <c r="E877" i="11"/>
  <c r="E876" i="11"/>
  <c r="E875" i="11"/>
  <c r="E874" i="11"/>
  <c r="E873" i="11"/>
  <c r="E872" i="11"/>
  <c r="E871" i="11"/>
  <c r="E870" i="11"/>
  <c r="E869" i="11"/>
  <c r="E868" i="11"/>
  <c r="E867" i="11"/>
  <c r="E866" i="11"/>
  <c r="E865" i="11"/>
  <c r="E864" i="11"/>
  <c r="E863" i="11"/>
  <c r="E862" i="11"/>
  <c r="E861" i="11"/>
  <c r="E860" i="11"/>
  <c r="E859" i="11"/>
  <c r="E858" i="11"/>
  <c r="E857" i="11"/>
  <c r="E856" i="11"/>
  <c r="E855" i="11"/>
  <c r="E854" i="11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I133" i="11"/>
  <c r="O18" i="5" s="1"/>
  <c r="J18" i="5" s="1"/>
  <c r="BC14" i="36"/>
  <c r="BG16" i="33"/>
  <c r="G102" i="11"/>
  <c r="Q13" i="5" s="1"/>
  <c r="N13" i="5"/>
  <c r="I98" i="11"/>
  <c r="W23" i="33" s="1"/>
  <c r="AO23" i="33" s="1"/>
  <c r="D27" i="3"/>
  <c r="G183" i="33"/>
  <c r="C13" i="5"/>
  <c r="J49" i="38"/>
  <c r="J46" i="43"/>
  <c r="G20" i="3"/>
  <c r="C20" i="3"/>
  <c r="H17" i="3"/>
  <c r="G14" i="3"/>
  <c r="BC17" i="36"/>
  <c r="B11" i="3"/>
  <c r="T47" i="44"/>
  <c r="J11" i="42"/>
  <c r="C8" i="34"/>
  <c r="B11" i="42"/>
  <c r="IS2" i="39"/>
  <c r="IY2" i="39"/>
  <c r="IO2" i="39"/>
  <c r="IK2" i="39"/>
  <c r="AK15" i="34"/>
  <c r="AK16" i="34" s="1"/>
  <c r="IC2" i="39"/>
  <c r="HU2" i="39"/>
  <c r="HM2" i="39"/>
  <c r="W14" i="34"/>
  <c r="HI2" i="39"/>
  <c r="C15" i="1"/>
  <c r="HK2" i="39"/>
  <c r="A23" i="34"/>
  <c r="H3" i="11"/>
  <c r="F3" i="11"/>
  <c r="U99" i="34"/>
  <c r="U98" i="34"/>
  <c r="U97" i="34"/>
  <c r="U96" i="34"/>
  <c r="U95" i="34"/>
  <c r="AE94" i="34"/>
  <c r="AA94" i="34"/>
  <c r="Z94" i="34"/>
  <c r="Y94" i="34"/>
  <c r="X94" i="34"/>
  <c r="W94" i="34"/>
  <c r="V94" i="34"/>
  <c r="D94" i="34"/>
  <c r="C94" i="34" s="1"/>
  <c r="D93" i="34"/>
  <c r="C93" i="34" s="1"/>
  <c r="D92" i="34"/>
  <c r="C92" i="34" s="1"/>
  <c r="D91" i="34"/>
  <c r="C91" i="34" s="1"/>
  <c r="U90" i="34"/>
  <c r="D90" i="34"/>
  <c r="C90" i="34" s="1"/>
  <c r="U89" i="34"/>
  <c r="D89" i="34"/>
  <c r="C89" i="34" s="1"/>
  <c r="U88" i="34"/>
  <c r="D88" i="34"/>
  <c r="C88" i="34" s="1"/>
  <c r="AE87" i="34"/>
  <c r="AA87" i="34"/>
  <c r="Z87" i="34"/>
  <c r="Y87" i="34"/>
  <c r="X87" i="34"/>
  <c r="W87" i="34"/>
  <c r="V87" i="34"/>
  <c r="D87" i="34"/>
  <c r="C87" i="34" s="1"/>
  <c r="U83" i="34"/>
  <c r="D83" i="34"/>
  <c r="U82" i="34"/>
  <c r="U81" i="34"/>
  <c r="AE80" i="34"/>
  <c r="AA80" i="34"/>
  <c r="Z80" i="34"/>
  <c r="Y80" i="34"/>
  <c r="X80" i="34"/>
  <c r="W80" i="34"/>
  <c r="V80" i="34"/>
  <c r="M47" i="34"/>
  <c r="R45" i="34"/>
  <c r="Q45" i="34"/>
  <c r="R44" i="34"/>
  <c r="Q44" i="34"/>
  <c r="R43" i="34"/>
  <c r="Q43" i="34"/>
  <c r="R42" i="34"/>
  <c r="Q42" i="34"/>
  <c r="R41" i="34"/>
  <c r="Q41" i="34"/>
  <c r="R40" i="34"/>
  <c r="Q40" i="34"/>
  <c r="G40" i="34"/>
  <c r="E40" i="34" s="1"/>
  <c r="C40" i="34"/>
  <c r="R39" i="34"/>
  <c r="Q39" i="34"/>
  <c r="C39" i="34"/>
  <c r="R38" i="34"/>
  <c r="Q38" i="34"/>
  <c r="R37" i="34"/>
  <c r="Q37" i="34"/>
  <c r="R36" i="34"/>
  <c r="Q36" i="34"/>
  <c r="R35" i="34"/>
  <c r="Q35" i="34"/>
  <c r="R34" i="34"/>
  <c r="Q34" i="34"/>
  <c r="R33" i="34"/>
  <c r="Q33" i="34"/>
  <c r="R32" i="34"/>
  <c r="Q32" i="34"/>
  <c r="R31" i="34"/>
  <c r="Q31" i="34"/>
  <c r="R30" i="34"/>
  <c r="Q30" i="34"/>
  <c r="R29" i="34"/>
  <c r="Q29" i="34"/>
  <c r="R28" i="34"/>
  <c r="Q28" i="34"/>
  <c r="R27" i="34"/>
  <c r="Q27" i="34"/>
  <c r="R26" i="34"/>
  <c r="Q26" i="34"/>
  <c r="R25" i="34"/>
  <c r="Q25" i="34"/>
  <c r="F25" i="34"/>
  <c r="D25" i="34"/>
  <c r="C25" i="34"/>
  <c r="B25" i="34"/>
  <c r="U24" i="34"/>
  <c r="R24" i="34"/>
  <c r="Q24" i="34"/>
  <c r="AA23" i="34"/>
  <c r="Z23" i="34"/>
  <c r="U23" i="34"/>
  <c r="S23" i="34"/>
  <c r="R23" i="34"/>
  <c r="Q23" i="34"/>
  <c r="Z22" i="34"/>
  <c r="U22" i="34"/>
  <c r="R22" i="34"/>
  <c r="Q22" i="34"/>
  <c r="AE21" i="34"/>
  <c r="AA21" i="34"/>
  <c r="Z21" i="34"/>
  <c r="Y21" i="34"/>
  <c r="X21" i="34"/>
  <c r="W21" i="34"/>
  <c r="V21" i="34"/>
  <c r="R21" i="34"/>
  <c r="Q21" i="34"/>
  <c r="R20" i="34"/>
  <c r="Q20" i="34"/>
  <c r="R19" i="34"/>
  <c r="Q19" i="34"/>
  <c r="R18" i="34"/>
  <c r="Q18" i="34"/>
  <c r="AA16" i="34"/>
  <c r="Z16" i="34"/>
  <c r="Y16" i="34"/>
  <c r="X16" i="34"/>
  <c r="W16" i="34"/>
  <c r="AJ15" i="34"/>
  <c r="AJ16" i="34" s="1"/>
  <c r="AI15" i="34"/>
  <c r="AI16" i="34" s="1"/>
  <c r="AH15" i="34"/>
  <c r="AH16" i="34" s="1"/>
  <c r="Z14" i="34"/>
  <c r="K13" i="34"/>
  <c r="K12" i="34"/>
  <c r="U8" i="34"/>
  <c r="B8" i="34"/>
  <c r="AA7" i="34"/>
  <c r="Y7" i="34"/>
  <c r="Y10" i="34" s="1"/>
  <c r="X7" i="34"/>
  <c r="W7" i="34"/>
  <c r="U7" i="34"/>
  <c r="AA6" i="34"/>
  <c r="U6" i="34"/>
  <c r="AE5" i="34"/>
  <c r="AA5" i="34"/>
  <c r="Z5" i="34"/>
  <c r="Y5" i="34"/>
  <c r="X5" i="34"/>
  <c r="W5" i="34"/>
  <c r="V5" i="34"/>
  <c r="S5" i="34"/>
  <c r="S4" i="34"/>
  <c r="S3" i="34"/>
  <c r="G107" i="11"/>
  <c r="EJ19" i="39" l="1"/>
  <c r="EI19" i="39"/>
  <c r="EG19" i="39"/>
  <c r="EH19" i="39"/>
  <c r="EJ9" i="39"/>
  <c r="EI9" i="39"/>
  <c r="EH9" i="39"/>
  <c r="EG9" i="39"/>
  <c r="EJ6" i="39"/>
  <c r="EI6" i="39"/>
  <c r="EH6" i="39"/>
  <c r="EG6" i="39"/>
  <c r="EJ13" i="39"/>
  <c r="EI13" i="39"/>
  <c r="EG13" i="39"/>
  <c r="EH13" i="39"/>
  <c r="EJ17" i="39"/>
  <c r="EI17" i="39"/>
  <c r="EH17" i="39"/>
  <c r="EG17" i="39"/>
  <c r="EJ23" i="39"/>
  <c r="EI23" i="39"/>
  <c r="EH23" i="39"/>
  <c r="EG23" i="39"/>
  <c r="EJ18" i="39"/>
  <c r="EI18" i="39"/>
  <c r="EH18" i="39"/>
  <c r="EG18" i="39"/>
  <c r="EJ20" i="39"/>
  <c r="EI20" i="39"/>
  <c r="EH20" i="39"/>
  <c r="EG20" i="39"/>
  <c r="EJ7" i="39"/>
  <c r="EI7" i="39"/>
  <c r="EG7" i="39"/>
  <c r="EH7" i="39"/>
  <c r="EJ26" i="39"/>
  <c r="EI26" i="39"/>
  <c r="EH26" i="39"/>
  <c r="EG26" i="39"/>
  <c r="EJ30" i="39"/>
  <c r="EI30" i="39"/>
  <c r="EH30" i="39"/>
  <c r="EG30" i="39"/>
  <c r="EJ34" i="39"/>
  <c r="EI34" i="39"/>
  <c r="EG34" i="39"/>
  <c r="EH34" i="39"/>
  <c r="EJ41" i="39"/>
  <c r="EI41" i="39"/>
  <c r="EH41" i="39"/>
  <c r="EG41" i="39"/>
  <c r="JM45" i="39"/>
  <c r="JN45" i="39" s="1"/>
  <c r="JO45" i="39"/>
  <c r="JI45" i="39"/>
  <c r="JJ45" i="39" s="1"/>
  <c r="JK45" i="39"/>
  <c r="JL45" i="39" s="1"/>
  <c r="JM46" i="39"/>
  <c r="JO46" i="39"/>
  <c r="JP46" i="39" s="1"/>
  <c r="JK46" i="39"/>
  <c r="JL46" i="39" s="1"/>
  <c r="JI46" i="39"/>
  <c r="JJ46" i="39" s="1"/>
  <c r="JM47" i="39"/>
  <c r="JO47" i="39"/>
  <c r="JP47" i="39" s="1"/>
  <c r="JI47" i="39"/>
  <c r="JJ47" i="39" s="1"/>
  <c r="JK47" i="39"/>
  <c r="JL47" i="39" s="1"/>
  <c r="JO48" i="39"/>
  <c r="JP48" i="39" s="1"/>
  <c r="JM48" i="39"/>
  <c r="JN48" i="39" s="1"/>
  <c r="JI48" i="39"/>
  <c r="JK48" i="39"/>
  <c r="JL48" i="39" s="1"/>
  <c r="JM49" i="39"/>
  <c r="JO49" i="39"/>
  <c r="JP49" i="39" s="1"/>
  <c r="JI49" i="39"/>
  <c r="JJ49" i="39" s="1"/>
  <c r="JK49" i="39"/>
  <c r="JL49" i="39" s="1"/>
  <c r="JM54" i="39"/>
  <c r="JO54" i="39"/>
  <c r="JP54" i="39" s="1"/>
  <c r="JK54" i="39"/>
  <c r="JL54" i="39" s="1"/>
  <c r="JI54" i="39"/>
  <c r="JJ54" i="39" s="1"/>
  <c r="EJ67" i="39"/>
  <c r="EI67" i="39"/>
  <c r="EH67" i="39"/>
  <c r="EG67" i="39"/>
  <c r="EJ68" i="39"/>
  <c r="EG68" i="39"/>
  <c r="EI68" i="39"/>
  <c r="EH68" i="39"/>
  <c r="EJ69" i="39"/>
  <c r="EI69" i="39"/>
  <c r="EH69" i="39"/>
  <c r="EG69" i="39"/>
  <c r="EJ70" i="39"/>
  <c r="EG70" i="39"/>
  <c r="EI70" i="39"/>
  <c r="EH70" i="39"/>
  <c r="EG84" i="39"/>
  <c r="EJ84" i="39"/>
  <c r="EI84" i="39"/>
  <c r="EH84" i="39"/>
  <c r="EG85" i="39"/>
  <c r="EJ85" i="39"/>
  <c r="EI85" i="39"/>
  <c r="EH85" i="39"/>
  <c r="EG86" i="39"/>
  <c r="EJ86" i="39"/>
  <c r="EI86" i="39"/>
  <c r="EH86" i="39"/>
  <c r="EG87" i="39"/>
  <c r="EJ87" i="39"/>
  <c r="EI87" i="39"/>
  <c r="EH87" i="39"/>
  <c r="JK105" i="39"/>
  <c r="JL105" i="39" s="1"/>
  <c r="JM105" i="39"/>
  <c r="JO105" i="39"/>
  <c r="JP105" i="39" s="1"/>
  <c r="JI105" i="39"/>
  <c r="JJ105" i="39" s="1"/>
  <c r="JK106" i="39"/>
  <c r="JL106" i="39" s="1"/>
  <c r="JM106" i="39"/>
  <c r="JN106" i="39" s="1"/>
  <c r="JO106" i="39"/>
  <c r="JI106" i="39"/>
  <c r="JJ106" i="39" s="1"/>
  <c r="JM107" i="39"/>
  <c r="JN107" i="39" s="1"/>
  <c r="JO107" i="39"/>
  <c r="JP107" i="39" s="1"/>
  <c r="JK107" i="39"/>
  <c r="JL107" i="39" s="1"/>
  <c r="JI107" i="39"/>
  <c r="JJ107" i="39" s="1"/>
  <c r="JO108" i="39"/>
  <c r="JK108" i="39"/>
  <c r="JL108" i="39" s="1"/>
  <c r="JM108" i="39"/>
  <c r="JI108" i="39"/>
  <c r="JJ108" i="39" s="1"/>
  <c r="JK109" i="39"/>
  <c r="JL109" i="39" s="1"/>
  <c r="JM109" i="39"/>
  <c r="JN109" i="39" s="1"/>
  <c r="JO109" i="39"/>
  <c r="JI109" i="39"/>
  <c r="JJ109" i="39" s="1"/>
  <c r="JK110" i="39"/>
  <c r="JL110" i="39" s="1"/>
  <c r="JM110" i="39"/>
  <c r="JN110" i="39" s="1"/>
  <c r="JO110" i="39"/>
  <c r="JP110" i="39" s="1"/>
  <c r="JI110" i="39"/>
  <c r="JJ110" i="39" s="1"/>
  <c r="JM111" i="39"/>
  <c r="JO111" i="39"/>
  <c r="JP111" i="39" s="1"/>
  <c r="JK111" i="39"/>
  <c r="JL111" i="39" s="1"/>
  <c r="JI111" i="39"/>
  <c r="JJ111" i="39" s="1"/>
  <c r="JO112" i="39"/>
  <c r="JP112" i="39" s="1"/>
  <c r="JK112" i="39"/>
  <c r="JL112" i="39" s="1"/>
  <c r="JM112" i="39"/>
  <c r="JI112" i="39"/>
  <c r="JJ112" i="39" s="1"/>
  <c r="JK113" i="39"/>
  <c r="JL113" i="39" s="1"/>
  <c r="JM113" i="39"/>
  <c r="JN113" i="39" s="1"/>
  <c r="JO113" i="39"/>
  <c r="JP113" i="39" s="1"/>
  <c r="JI113" i="39"/>
  <c r="JJ113" i="39" s="1"/>
  <c r="JK114" i="39"/>
  <c r="JL114" i="39" s="1"/>
  <c r="JM114" i="39"/>
  <c r="JN114" i="39" s="1"/>
  <c r="JO114" i="39"/>
  <c r="JI114" i="39"/>
  <c r="JJ114" i="39" s="1"/>
  <c r="JM115" i="39"/>
  <c r="JN115" i="39" s="1"/>
  <c r="JO115" i="39"/>
  <c r="JP115" i="39" s="1"/>
  <c r="JK115" i="39"/>
  <c r="JI115" i="39"/>
  <c r="JJ115" i="39" s="1"/>
  <c r="JO116" i="39"/>
  <c r="JK116" i="39"/>
  <c r="JL116" i="39" s="1"/>
  <c r="JM116" i="39"/>
  <c r="JN116" i="39" s="1"/>
  <c r="JI116" i="39"/>
  <c r="JJ116" i="39" s="1"/>
  <c r="JK117" i="39"/>
  <c r="JL117" i="39" s="1"/>
  <c r="JM117" i="39"/>
  <c r="JN117" i="39" s="1"/>
  <c r="JO117" i="39"/>
  <c r="JP117" i="39" s="1"/>
  <c r="JI117" i="39"/>
  <c r="JJ117" i="39" s="1"/>
  <c r="JK118" i="39"/>
  <c r="JL118" i="39" s="1"/>
  <c r="JM118" i="39"/>
  <c r="JN118" i="39" s="1"/>
  <c r="JO118" i="39"/>
  <c r="JI118" i="39"/>
  <c r="JJ118" i="39" s="1"/>
  <c r="JM119" i="39"/>
  <c r="JN119" i="39" s="1"/>
  <c r="JO119" i="39"/>
  <c r="JP119" i="39" s="1"/>
  <c r="JK119" i="39"/>
  <c r="JL119" i="39" s="1"/>
  <c r="JI119" i="39"/>
  <c r="JJ119" i="39" s="1"/>
  <c r="JO120" i="39"/>
  <c r="JK120" i="39"/>
  <c r="JL120" i="39" s="1"/>
  <c r="JM120" i="39"/>
  <c r="JN120" i="39" s="1"/>
  <c r="JI120" i="39"/>
  <c r="JJ120" i="39" s="1"/>
  <c r="JK121" i="39"/>
  <c r="JL121" i="39" s="1"/>
  <c r="JM121" i="39"/>
  <c r="JN121" i="39" s="1"/>
  <c r="JO121" i="39"/>
  <c r="JI121" i="39"/>
  <c r="JJ121" i="39" s="1"/>
  <c r="JK122" i="39"/>
  <c r="JL122" i="39" s="1"/>
  <c r="JM122" i="39"/>
  <c r="JN122" i="39" s="1"/>
  <c r="JO122" i="39"/>
  <c r="JP122" i="39" s="1"/>
  <c r="JI122" i="39"/>
  <c r="JJ122" i="39" s="1"/>
  <c r="JM123" i="39"/>
  <c r="JO123" i="39"/>
  <c r="JP123" i="39" s="1"/>
  <c r="JK123" i="39"/>
  <c r="JL123" i="39" s="1"/>
  <c r="JI123" i="39"/>
  <c r="JJ123" i="39" s="1"/>
  <c r="JO124" i="39"/>
  <c r="JP124" i="39" s="1"/>
  <c r="JK124" i="39"/>
  <c r="JL124" i="39" s="1"/>
  <c r="JM124" i="39"/>
  <c r="JI124" i="39"/>
  <c r="JJ124" i="39" s="1"/>
  <c r="JK125" i="39"/>
  <c r="JL125" i="39" s="1"/>
  <c r="JM125" i="39"/>
  <c r="JN125" i="39" s="1"/>
  <c r="JO125" i="39"/>
  <c r="JP125" i="39" s="1"/>
  <c r="JI125" i="39"/>
  <c r="JJ125" i="39" s="1"/>
  <c r="JK126" i="39"/>
  <c r="JM126" i="39"/>
  <c r="JN126" i="39" s="1"/>
  <c r="JO126" i="39"/>
  <c r="JP126" i="39" s="1"/>
  <c r="JI126" i="39"/>
  <c r="JJ126" i="39" s="1"/>
  <c r="JM127" i="39"/>
  <c r="JN127" i="39" s="1"/>
  <c r="JO127" i="39"/>
  <c r="JP127" i="39" s="1"/>
  <c r="JK127" i="39"/>
  <c r="JI127" i="39"/>
  <c r="JJ127" i="39" s="1"/>
  <c r="JO128" i="39"/>
  <c r="JP128" i="39" s="1"/>
  <c r="JK128" i="39"/>
  <c r="JL128" i="39" s="1"/>
  <c r="JM128" i="39"/>
  <c r="JN128" i="39" s="1"/>
  <c r="JI128" i="39"/>
  <c r="JJ128" i="39" s="1"/>
  <c r="JK129" i="39"/>
  <c r="JL129" i="39" s="1"/>
  <c r="JM129" i="39"/>
  <c r="JO129" i="39"/>
  <c r="JP129" i="39" s="1"/>
  <c r="JI129" i="39"/>
  <c r="JJ129" i="39" s="1"/>
  <c r="JK130" i="39"/>
  <c r="JL130" i="39" s="1"/>
  <c r="JM130" i="39"/>
  <c r="JN130" i="39" s="1"/>
  <c r="JO130" i="39"/>
  <c r="JI130" i="39"/>
  <c r="JJ130" i="39" s="1"/>
  <c r="JM131" i="39"/>
  <c r="JN131" i="39" s="1"/>
  <c r="JO131" i="39"/>
  <c r="JP131" i="39" s="1"/>
  <c r="JK131" i="39"/>
  <c r="JL131" i="39" s="1"/>
  <c r="JI131" i="39"/>
  <c r="JJ131" i="39" s="1"/>
  <c r="JO132" i="39"/>
  <c r="JK132" i="39"/>
  <c r="JM132" i="39"/>
  <c r="JN132" i="39" s="1"/>
  <c r="JI132" i="39"/>
  <c r="JJ132" i="39" s="1"/>
  <c r="JK133" i="39"/>
  <c r="JL133" i="39" s="1"/>
  <c r="JM133" i="39"/>
  <c r="JN133" i="39" s="1"/>
  <c r="JO133" i="39"/>
  <c r="JI133" i="39"/>
  <c r="JJ133" i="39" s="1"/>
  <c r="JK134" i="39"/>
  <c r="JL134" i="39" s="1"/>
  <c r="JM134" i="39"/>
  <c r="JN134" i="39" s="1"/>
  <c r="JO134" i="39"/>
  <c r="JP134" i="39" s="1"/>
  <c r="JI134" i="39"/>
  <c r="JJ134" i="39" s="1"/>
  <c r="JM135" i="39"/>
  <c r="JO135" i="39"/>
  <c r="JP135" i="39" s="1"/>
  <c r="JK135" i="39"/>
  <c r="JL135" i="39" s="1"/>
  <c r="JI135" i="39"/>
  <c r="JJ135" i="39" s="1"/>
  <c r="JO136" i="39"/>
  <c r="JP136" i="39" s="1"/>
  <c r="JK136" i="39"/>
  <c r="JL136" i="39" s="1"/>
  <c r="JM136" i="39"/>
  <c r="JI136" i="39"/>
  <c r="JJ136" i="39" s="1"/>
  <c r="JK137" i="39"/>
  <c r="JL137" i="39" s="1"/>
  <c r="JM137" i="39"/>
  <c r="JN137" i="39" s="1"/>
  <c r="JO137" i="39"/>
  <c r="JP137" i="39" s="1"/>
  <c r="JI137" i="39"/>
  <c r="JJ137" i="39" s="1"/>
  <c r="JK138" i="39"/>
  <c r="JL138" i="39" s="1"/>
  <c r="JM138" i="39"/>
  <c r="JN138" i="39" s="1"/>
  <c r="JO138" i="39"/>
  <c r="JI138" i="39"/>
  <c r="JJ138" i="39" s="1"/>
  <c r="JM139" i="39"/>
  <c r="JN139" i="39" s="1"/>
  <c r="JO139" i="39"/>
  <c r="JP139" i="39" s="1"/>
  <c r="JK139" i="39"/>
  <c r="JI139" i="39"/>
  <c r="JJ139" i="39" s="1"/>
  <c r="JO140" i="39"/>
  <c r="JP140" i="39" s="1"/>
  <c r="JK140" i="39"/>
  <c r="JL140" i="39" s="1"/>
  <c r="JM140" i="39"/>
  <c r="JN140" i="39" s="1"/>
  <c r="JI140" i="39"/>
  <c r="JJ140" i="39" s="1"/>
  <c r="JK141" i="39"/>
  <c r="JM141" i="39"/>
  <c r="JN141" i="39" s="1"/>
  <c r="JO141" i="39"/>
  <c r="JP141" i="39" s="1"/>
  <c r="JI141" i="39"/>
  <c r="JJ141" i="39" s="1"/>
  <c r="JK142" i="39"/>
  <c r="JL142" i="39" s="1"/>
  <c r="JM142" i="39"/>
  <c r="JN142" i="39" s="1"/>
  <c r="JO142" i="39"/>
  <c r="JI142" i="39"/>
  <c r="JJ142" i="39" s="1"/>
  <c r="JM143" i="39"/>
  <c r="JN143" i="39" s="1"/>
  <c r="JO143" i="39"/>
  <c r="JP143" i="39" s="1"/>
  <c r="JK143" i="39"/>
  <c r="JL143" i="39" s="1"/>
  <c r="JI143" i="39"/>
  <c r="JJ143" i="39" s="1"/>
  <c r="JO144" i="39"/>
  <c r="JK144" i="39"/>
  <c r="JL144" i="39" s="1"/>
  <c r="JM144" i="39"/>
  <c r="JN144" i="39" s="1"/>
  <c r="JI144" i="39"/>
  <c r="JJ144" i="39" s="1"/>
  <c r="JK145" i="39"/>
  <c r="JL145" i="39" s="1"/>
  <c r="JM145" i="39"/>
  <c r="JN145" i="39" s="1"/>
  <c r="JO145" i="39"/>
  <c r="JI145" i="39"/>
  <c r="JJ145" i="39" s="1"/>
  <c r="JK146" i="39"/>
  <c r="JM146" i="39"/>
  <c r="JN146" i="39" s="1"/>
  <c r="JO146" i="39"/>
  <c r="JP146" i="39" s="1"/>
  <c r="JI146" i="39"/>
  <c r="JJ146" i="39" s="1"/>
  <c r="JM147" i="39"/>
  <c r="JO147" i="39"/>
  <c r="JP147" i="39" s="1"/>
  <c r="JK147" i="39"/>
  <c r="JL147" i="39" s="1"/>
  <c r="JI147" i="39"/>
  <c r="JJ147" i="39" s="1"/>
  <c r="JO148" i="39"/>
  <c r="JP148" i="39" s="1"/>
  <c r="JK148" i="39"/>
  <c r="JL148" i="39" s="1"/>
  <c r="JM148" i="39"/>
  <c r="JI148" i="39"/>
  <c r="JJ148" i="39" s="1"/>
  <c r="JK149" i="39"/>
  <c r="JL149" i="39" s="1"/>
  <c r="JM149" i="39"/>
  <c r="JN149" i="39" s="1"/>
  <c r="JO149" i="39"/>
  <c r="JP149" i="39" s="1"/>
  <c r="JI149" i="39"/>
  <c r="JJ149" i="39" s="1"/>
  <c r="JK150" i="39"/>
  <c r="JL150" i="39" s="1"/>
  <c r="JM150" i="39"/>
  <c r="JN150" i="39" s="1"/>
  <c r="JO150" i="39"/>
  <c r="JP150" i="39" s="1"/>
  <c r="JI150" i="39"/>
  <c r="JJ150" i="39" s="1"/>
  <c r="JM151" i="39"/>
  <c r="JN151" i="39" s="1"/>
  <c r="JO151" i="39"/>
  <c r="JP151" i="39" s="1"/>
  <c r="JK151" i="39"/>
  <c r="JI151" i="39"/>
  <c r="JJ151" i="39" s="1"/>
  <c r="JO152" i="39"/>
  <c r="JP152" i="39" s="1"/>
  <c r="JK152" i="39"/>
  <c r="JL152" i="39" s="1"/>
  <c r="JM152" i="39"/>
  <c r="JN152" i="39" s="1"/>
  <c r="JI152" i="39"/>
  <c r="JJ152" i="39" s="1"/>
  <c r="JK153" i="39"/>
  <c r="JL153" i="39" s="1"/>
  <c r="JM153" i="39"/>
  <c r="JN153" i="39" s="1"/>
  <c r="JO153" i="39"/>
  <c r="JP153" i="39" s="1"/>
  <c r="JI153" i="39"/>
  <c r="JJ153" i="39" s="1"/>
  <c r="JK154" i="39"/>
  <c r="JL154" i="39" s="1"/>
  <c r="JM154" i="39"/>
  <c r="JN154" i="39" s="1"/>
  <c r="JO154" i="39"/>
  <c r="JI154" i="39"/>
  <c r="JJ154" i="39" s="1"/>
  <c r="JM155" i="39"/>
  <c r="JN155" i="39" s="1"/>
  <c r="JO155" i="39"/>
  <c r="JP155" i="39" s="1"/>
  <c r="JK155" i="39"/>
  <c r="JL155" i="39" s="1"/>
  <c r="JI155" i="39"/>
  <c r="JJ155" i="39" s="1"/>
  <c r="JO156" i="39"/>
  <c r="JK156" i="39"/>
  <c r="JL156" i="39" s="1"/>
  <c r="JM156" i="39"/>
  <c r="JN156" i="39" s="1"/>
  <c r="JI156" i="39"/>
  <c r="JJ156" i="39" s="1"/>
  <c r="JK157" i="39"/>
  <c r="JL157" i="39" s="1"/>
  <c r="JM157" i="39"/>
  <c r="JN157" i="39" s="1"/>
  <c r="JO157" i="39"/>
  <c r="JI157" i="39"/>
  <c r="JJ157" i="39" s="1"/>
  <c r="JK158" i="39"/>
  <c r="JL158" i="39" s="1"/>
  <c r="JM158" i="39"/>
  <c r="JN158" i="39" s="1"/>
  <c r="JO158" i="39"/>
  <c r="JP158" i="39" s="1"/>
  <c r="JI158" i="39"/>
  <c r="JJ158" i="39" s="1"/>
  <c r="JM159" i="39"/>
  <c r="JO159" i="39"/>
  <c r="JP159" i="39" s="1"/>
  <c r="JK159" i="39"/>
  <c r="JL159" i="39" s="1"/>
  <c r="JI159" i="39"/>
  <c r="JJ159" i="39" s="1"/>
  <c r="JO160" i="39"/>
  <c r="JP160" i="39" s="1"/>
  <c r="JK160" i="39"/>
  <c r="JL160" i="39" s="1"/>
  <c r="JM160" i="39"/>
  <c r="JI160" i="39"/>
  <c r="JJ160" i="39" s="1"/>
  <c r="JK161" i="39"/>
  <c r="JL161" i="39" s="1"/>
  <c r="JM161" i="39"/>
  <c r="JN161" i="39" s="1"/>
  <c r="JO161" i="39"/>
  <c r="JP161" i="39" s="1"/>
  <c r="JI161" i="39"/>
  <c r="JJ161" i="39" s="1"/>
  <c r="JK162" i="39"/>
  <c r="JM162" i="39"/>
  <c r="JN162" i="39" s="1"/>
  <c r="JO162" i="39"/>
  <c r="JP162" i="39" s="1"/>
  <c r="JI162" i="39"/>
  <c r="JJ162" i="39" s="1"/>
  <c r="JM163" i="39"/>
  <c r="JN163" i="39" s="1"/>
  <c r="JO163" i="39"/>
  <c r="JP163" i="39" s="1"/>
  <c r="JK163" i="39"/>
  <c r="JI163" i="39"/>
  <c r="JJ163" i="39" s="1"/>
  <c r="EJ4" i="39"/>
  <c r="EI4" i="39"/>
  <c r="EG4" i="39"/>
  <c r="EH4" i="39"/>
  <c r="EJ22" i="39"/>
  <c r="EI22" i="39"/>
  <c r="EG22" i="39"/>
  <c r="EH22" i="39"/>
  <c r="EJ24" i="39"/>
  <c r="EI24" i="39"/>
  <c r="EH24" i="39"/>
  <c r="EG24" i="39"/>
  <c r="EJ25" i="39"/>
  <c r="EI25" i="39"/>
  <c r="EG25" i="39"/>
  <c r="EH25" i="39"/>
  <c r="EJ29" i="39"/>
  <c r="EI29" i="39"/>
  <c r="EH29" i="39"/>
  <c r="EG29" i="39"/>
  <c r="EJ33" i="39"/>
  <c r="EI33" i="39"/>
  <c r="EH33" i="39"/>
  <c r="EG33" i="39"/>
  <c r="EJ40" i="39"/>
  <c r="EI40" i="39"/>
  <c r="EG40" i="39"/>
  <c r="EH40" i="39"/>
  <c r="EJ44" i="39"/>
  <c r="EI44" i="39"/>
  <c r="EG44" i="39"/>
  <c r="EH44" i="39"/>
  <c r="EJ45" i="39"/>
  <c r="EI45" i="39"/>
  <c r="EG45" i="39"/>
  <c r="EH45" i="39"/>
  <c r="EJ46" i="39"/>
  <c r="EI46" i="39"/>
  <c r="EH46" i="39"/>
  <c r="EG46" i="39"/>
  <c r="EJ47" i="39"/>
  <c r="EI47" i="39"/>
  <c r="EG47" i="39"/>
  <c r="EH47" i="39"/>
  <c r="EJ48" i="39"/>
  <c r="EI48" i="39"/>
  <c r="EG48" i="39"/>
  <c r="EH48" i="39"/>
  <c r="EJ49" i="39"/>
  <c r="EI49" i="39"/>
  <c r="EG49" i="39"/>
  <c r="EH49" i="39"/>
  <c r="EJ54" i="39"/>
  <c r="EI54" i="39"/>
  <c r="EG54" i="39"/>
  <c r="EH54" i="39"/>
  <c r="JM55" i="39"/>
  <c r="JN55" i="39" s="1"/>
  <c r="JO55" i="39"/>
  <c r="JP55" i="39" s="1"/>
  <c r="JI55" i="39"/>
  <c r="JJ55" i="39" s="1"/>
  <c r="JK55" i="39"/>
  <c r="JL55" i="39" s="1"/>
  <c r="JO56" i="39"/>
  <c r="JP56" i="39" s="1"/>
  <c r="JM56" i="39"/>
  <c r="JN56" i="39" s="1"/>
  <c r="JI56" i="39"/>
  <c r="JJ56" i="39" s="1"/>
  <c r="JK56" i="39"/>
  <c r="JL56" i="39" s="1"/>
  <c r="JM57" i="39"/>
  <c r="JN57" i="39" s="1"/>
  <c r="JO57" i="39"/>
  <c r="JP57" i="39" s="1"/>
  <c r="JI57" i="39"/>
  <c r="JJ57" i="39" s="1"/>
  <c r="JK57" i="39"/>
  <c r="JL57" i="39" s="1"/>
  <c r="JM58" i="39"/>
  <c r="JN58" i="39" s="1"/>
  <c r="JO58" i="39"/>
  <c r="JP58" i="39" s="1"/>
  <c r="JK58" i="39"/>
  <c r="JL58" i="39" s="1"/>
  <c r="JI58" i="39"/>
  <c r="JJ58" i="39" s="1"/>
  <c r="JM59" i="39"/>
  <c r="JN59" i="39" s="1"/>
  <c r="JO59" i="39"/>
  <c r="JP59" i="39" s="1"/>
  <c r="JI59" i="39"/>
  <c r="JJ59" i="39" s="1"/>
  <c r="JK59" i="39"/>
  <c r="JL59" i="39" s="1"/>
  <c r="JO60" i="39"/>
  <c r="JP60" i="39" s="1"/>
  <c r="JM60" i="39"/>
  <c r="JN60" i="39" s="1"/>
  <c r="JI60" i="39"/>
  <c r="JJ60" i="39" s="1"/>
  <c r="JK60" i="39"/>
  <c r="JL60" i="39" s="1"/>
  <c r="JM61" i="39"/>
  <c r="JN61" i="39" s="1"/>
  <c r="JO61" i="39"/>
  <c r="JP61" i="39" s="1"/>
  <c r="JI61" i="39"/>
  <c r="JJ61" i="39" s="1"/>
  <c r="JK61" i="39"/>
  <c r="JL61" i="39" s="1"/>
  <c r="JM62" i="39"/>
  <c r="JN62" i="39" s="1"/>
  <c r="JO62" i="39"/>
  <c r="JP62" i="39" s="1"/>
  <c r="JK62" i="39"/>
  <c r="JL62" i="39" s="1"/>
  <c r="JI62" i="39"/>
  <c r="JJ62" i="39" s="1"/>
  <c r="JM63" i="39"/>
  <c r="JN63" i="39" s="1"/>
  <c r="JO63" i="39"/>
  <c r="JP63" i="39" s="1"/>
  <c r="JI63" i="39"/>
  <c r="JJ63" i="39" s="1"/>
  <c r="JK63" i="39"/>
  <c r="JL63" i="39" s="1"/>
  <c r="JO64" i="39"/>
  <c r="JP64" i="39" s="1"/>
  <c r="JM64" i="39"/>
  <c r="JN64" i="39" s="1"/>
  <c r="JI64" i="39"/>
  <c r="JJ64" i="39" s="1"/>
  <c r="JK64" i="39"/>
  <c r="JL64" i="39" s="1"/>
  <c r="JM65" i="39"/>
  <c r="JN65" i="39" s="1"/>
  <c r="JO65" i="39"/>
  <c r="JP65" i="39" s="1"/>
  <c r="JI65" i="39"/>
  <c r="JJ65" i="39" s="1"/>
  <c r="JK65" i="39"/>
  <c r="JL65" i="39" s="1"/>
  <c r="JM66" i="39"/>
  <c r="JO66" i="39"/>
  <c r="JP66" i="39" s="1"/>
  <c r="JK66" i="39"/>
  <c r="JL66" i="39" s="1"/>
  <c r="JI66" i="39"/>
  <c r="JJ66" i="39" s="1"/>
  <c r="JM71" i="39"/>
  <c r="JN71" i="39" s="1"/>
  <c r="JO71" i="39"/>
  <c r="JP71" i="39" s="1"/>
  <c r="JI71" i="39"/>
  <c r="JJ71" i="39" s="1"/>
  <c r="JK71" i="39"/>
  <c r="JL71" i="39" s="1"/>
  <c r="JO88" i="39"/>
  <c r="JP88" i="39" s="1"/>
  <c r="JM88" i="39"/>
  <c r="JN88" i="39" s="1"/>
  <c r="JI88" i="39"/>
  <c r="JJ88" i="39" s="1"/>
  <c r="JK88" i="39"/>
  <c r="JL88" i="39" s="1"/>
  <c r="EG105" i="39"/>
  <c r="EJ105" i="39"/>
  <c r="EI105" i="39"/>
  <c r="EH105" i="39"/>
  <c r="EG106" i="39"/>
  <c r="EJ106" i="39"/>
  <c r="EI106" i="39"/>
  <c r="EH106" i="39"/>
  <c r="EG107" i="39"/>
  <c r="EJ107" i="39"/>
  <c r="EI107" i="39"/>
  <c r="EH107" i="39"/>
  <c r="EG108" i="39"/>
  <c r="EJ108" i="39"/>
  <c r="EI108" i="39"/>
  <c r="EH108" i="39"/>
  <c r="EG109" i="39"/>
  <c r="EJ109" i="39"/>
  <c r="EI109" i="39"/>
  <c r="EH109" i="39"/>
  <c r="EG110" i="39"/>
  <c r="EJ110" i="39"/>
  <c r="EI110" i="39"/>
  <c r="EH110" i="39"/>
  <c r="EG111" i="39"/>
  <c r="EJ111" i="39"/>
  <c r="EI111" i="39"/>
  <c r="EH111" i="39"/>
  <c r="EG112" i="39"/>
  <c r="EJ112" i="39"/>
  <c r="EI112" i="39"/>
  <c r="EH112" i="39"/>
  <c r="EG113" i="39"/>
  <c r="EJ113" i="39"/>
  <c r="EI113" i="39"/>
  <c r="EH113" i="39"/>
  <c r="EG114" i="39"/>
  <c r="EJ114" i="39"/>
  <c r="EI114" i="39"/>
  <c r="EH114" i="39"/>
  <c r="EG115" i="39"/>
  <c r="EJ115" i="39"/>
  <c r="EI115" i="39"/>
  <c r="EH115" i="39"/>
  <c r="EG116" i="39"/>
  <c r="EJ116" i="39"/>
  <c r="EI116" i="39"/>
  <c r="EH116" i="39"/>
  <c r="EG117" i="39"/>
  <c r="EJ117" i="39"/>
  <c r="EI117" i="39"/>
  <c r="EH117" i="39"/>
  <c r="EG118" i="39"/>
  <c r="EJ118" i="39"/>
  <c r="EI118" i="39"/>
  <c r="EH118" i="39"/>
  <c r="EG119" i="39"/>
  <c r="EJ119" i="39"/>
  <c r="EI119" i="39"/>
  <c r="EH119" i="39"/>
  <c r="EG120" i="39"/>
  <c r="EJ120" i="39"/>
  <c r="EI120" i="39"/>
  <c r="EH120" i="39"/>
  <c r="EG121" i="39"/>
  <c r="EJ121" i="39"/>
  <c r="EI121" i="39"/>
  <c r="EH121" i="39"/>
  <c r="EG122" i="39"/>
  <c r="EJ122" i="39"/>
  <c r="EI122" i="39"/>
  <c r="EH122" i="39"/>
  <c r="EG123" i="39"/>
  <c r="EJ123" i="39"/>
  <c r="EI123" i="39"/>
  <c r="EH123" i="39"/>
  <c r="EG124" i="39"/>
  <c r="EJ124" i="39"/>
  <c r="EI124" i="39"/>
  <c r="EH124" i="39"/>
  <c r="EG125" i="39"/>
  <c r="EJ125" i="39"/>
  <c r="EI125" i="39"/>
  <c r="EH125" i="39"/>
  <c r="EG126" i="39"/>
  <c r="EJ126" i="39"/>
  <c r="EI126" i="39"/>
  <c r="EH126" i="39"/>
  <c r="EG127" i="39"/>
  <c r="EJ127" i="39"/>
  <c r="EI127" i="39"/>
  <c r="EH127" i="39"/>
  <c r="EG128" i="39"/>
  <c r="EJ128" i="39"/>
  <c r="EI128" i="39"/>
  <c r="EH128" i="39"/>
  <c r="EG129" i="39"/>
  <c r="EJ129" i="39"/>
  <c r="EI129" i="39"/>
  <c r="EH129" i="39"/>
  <c r="EG130" i="39"/>
  <c r="EJ130" i="39"/>
  <c r="EI130" i="39"/>
  <c r="EH130" i="39"/>
  <c r="EG131" i="39"/>
  <c r="EJ131" i="39"/>
  <c r="EI131" i="39"/>
  <c r="EH131" i="39"/>
  <c r="EG132" i="39"/>
  <c r="EJ132" i="39"/>
  <c r="EI132" i="39"/>
  <c r="EH132" i="39"/>
  <c r="EG133" i="39"/>
  <c r="EI133" i="39"/>
  <c r="EH133" i="39"/>
  <c r="EJ133" i="39"/>
  <c r="EG134" i="39"/>
  <c r="EI134" i="39"/>
  <c r="EJ134" i="39"/>
  <c r="EH134" i="39"/>
  <c r="EG135" i="39"/>
  <c r="EI135" i="39"/>
  <c r="EH135" i="39"/>
  <c r="EJ135" i="39"/>
  <c r="EG136" i="39"/>
  <c r="EI136" i="39"/>
  <c r="EJ136" i="39"/>
  <c r="EH136" i="39"/>
  <c r="EG137" i="39"/>
  <c r="EI137" i="39"/>
  <c r="EH137" i="39"/>
  <c r="EJ137" i="39"/>
  <c r="EG138" i="39"/>
  <c r="EI138" i="39"/>
  <c r="EJ138" i="39"/>
  <c r="EH138" i="39"/>
  <c r="EG139" i="39"/>
  <c r="EI139" i="39"/>
  <c r="EH139" i="39"/>
  <c r="EJ139" i="39"/>
  <c r="EG140" i="39"/>
  <c r="EI140" i="39"/>
  <c r="EJ140" i="39"/>
  <c r="EH140" i="39"/>
  <c r="EG141" i="39"/>
  <c r="EI141" i="39"/>
  <c r="EH141" i="39"/>
  <c r="EJ141" i="39"/>
  <c r="EG142" i="39"/>
  <c r="EI142" i="39"/>
  <c r="EJ142" i="39"/>
  <c r="EH142" i="39"/>
  <c r="EG143" i="39"/>
  <c r="EI143" i="39"/>
  <c r="EH143" i="39"/>
  <c r="EJ143" i="39"/>
  <c r="EG144" i="39"/>
  <c r="EI144" i="39"/>
  <c r="EJ144" i="39"/>
  <c r="EH144" i="39"/>
  <c r="EG145" i="39"/>
  <c r="EI145" i="39"/>
  <c r="EH145" i="39"/>
  <c r="EJ145" i="39"/>
  <c r="EG146" i="39"/>
  <c r="EI146" i="39"/>
  <c r="EJ146" i="39"/>
  <c r="EH146" i="39"/>
  <c r="EG147" i="39"/>
  <c r="EI147" i="39"/>
  <c r="EH147" i="39"/>
  <c r="EJ147" i="39"/>
  <c r="EG148" i="39"/>
  <c r="EI148" i="39"/>
  <c r="EJ148" i="39"/>
  <c r="EH148" i="39"/>
  <c r="EG149" i="39"/>
  <c r="EI149" i="39"/>
  <c r="EH149" i="39"/>
  <c r="EJ149" i="39"/>
  <c r="EG150" i="39"/>
  <c r="EI150" i="39"/>
  <c r="EJ150" i="39"/>
  <c r="EH150" i="39"/>
  <c r="EG151" i="39"/>
  <c r="EI151" i="39"/>
  <c r="EH151" i="39"/>
  <c r="EJ151" i="39"/>
  <c r="EG152" i="39"/>
  <c r="EJ152" i="39"/>
  <c r="EI152" i="39"/>
  <c r="EH152" i="39"/>
  <c r="EG153" i="39"/>
  <c r="EJ153" i="39"/>
  <c r="EI153" i="39"/>
  <c r="EH153" i="39"/>
  <c r="EG154" i="39"/>
  <c r="EJ154" i="39"/>
  <c r="EI154" i="39"/>
  <c r="EH154" i="39"/>
  <c r="EG155" i="39"/>
  <c r="EJ155" i="39"/>
  <c r="EI155" i="39"/>
  <c r="EH155" i="39"/>
  <c r="EG156" i="39"/>
  <c r="EJ156" i="39"/>
  <c r="EI156" i="39"/>
  <c r="EH156" i="39"/>
  <c r="EG157" i="39"/>
  <c r="EJ157" i="39"/>
  <c r="EI157" i="39"/>
  <c r="EH157" i="39"/>
  <c r="EG158" i="39"/>
  <c r="EJ158" i="39"/>
  <c r="EI158" i="39"/>
  <c r="EH158" i="39"/>
  <c r="EG159" i="39"/>
  <c r="EJ159" i="39"/>
  <c r="EI159" i="39"/>
  <c r="EH159" i="39"/>
  <c r="EG160" i="39"/>
  <c r="EJ160" i="39"/>
  <c r="EI160" i="39"/>
  <c r="EH160" i="39"/>
  <c r="EG161" i="39"/>
  <c r="EJ161" i="39"/>
  <c r="EI161" i="39"/>
  <c r="EH161" i="39"/>
  <c r="EG162" i="39"/>
  <c r="EJ162" i="39"/>
  <c r="EI162" i="39"/>
  <c r="EH162" i="39"/>
  <c r="EG163" i="39"/>
  <c r="EJ163" i="39"/>
  <c r="EI163" i="39"/>
  <c r="EH163" i="39"/>
  <c r="EJ5" i="39"/>
  <c r="EI5" i="39"/>
  <c r="EH5" i="39"/>
  <c r="EG5" i="39"/>
  <c r="EJ16" i="39"/>
  <c r="EI16" i="39"/>
  <c r="EG16" i="39"/>
  <c r="EH16" i="39"/>
  <c r="EJ21" i="39"/>
  <c r="EI21" i="39"/>
  <c r="EH21" i="39"/>
  <c r="EG21" i="39"/>
  <c r="EJ10" i="39"/>
  <c r="EI10" i="39"/>
  <c r="EG10" i="39"/>
  <c r="EH10" i="39"/>
  <c r="EJ15" i="39"/>
  <c r="EI15" i="39"/>
  <c r="EH15" i="39"/>
  <c r="EG15" i="39"/>
  <c r="EJ11" i="39"/>
  <c r="EI11" i="39"/>
  <c r="EH11" i="39"/>
  <c r="EG11" i="39"/>
  <c r="EJ8" i="39"/>
  <c r="EI8" i="39"/>
  <c r="EH8" i="39"/>
  <c r="EG8" i="39"/>
  <c r="EJ28" i="39"/>
  <c r="EI28" i="39"/>
  <c r="EG28" i="39"/>
  <c r="EH28" i="39"/>
  <c r="EJ32" i="39"/>
  <c r="EI32" i="39"/>
  <c r="EH32" i="39"/>
  <c r="EG32" i="39"/>
  <c r="EJ36" i="39"/>
  <c r="EI36" i="39"/>
  <c r="EH36" i="39"/>
  <c r="EG36" i="39"/>
  <c r="EJ39" i="39"/>
  <c r="EI39" i="39"/>
  <c r="EH39" i="39"/>
  <c r="EG39" i="39"/>
  <c r="EJ43" i="39"/>
  <c r="EI43" i="39"/>
  <c r="EH43" i="39"/>
  <c r="EG43" i="39"/>
  <c r="JM50" i="39"/>
  <c r="JN50" i="39" s="1"/>
  <c r="JO50" i="39"/>
  <c r="JP50" i="39" s="1"/>
  <c r="JK50" i="39"/>
  <c r="JL50" i="39" s="1"/>
  <c r="JI50" i="39"/>
  <c r="JJ50" i="39" s="1"/>
  <c r="JM51" i="39"/>
  <c r="JN51" i="39" s="1"/>
  <c r="JO51" i="39"/>
  <c r="JP51" i="39" s="1"/>
  <c r="JI51" i="39"/>
  <c r="JJ51" i="39" s="1"/>
  <c r="JK51" i="39"/>
  <c r="JL51" i="39" s="1"/>
  <c r="JO52" i="39"/>
  <c r="JP52" i="39" s="1"/>
  <c r="JM52" i="39"/>
  <c r="JN52" i="39" s="1"/>
  <c r="JI52" i="39"/>
  <c r="JJ52" i="39" s="1"/>
  <c r="JK52" i="39"/>
  <c r="JL52" i="39" s="1"/>
  <c r="JM53" i="39"/>
  <c r="JN53" i="39" s="1"/>
  <c r="JO53" i="39"/>
  <c r="JP53" i="39" s="1"/>
  <c r="JI53" i="39"/>
  <c r="JJ53" i="39" s="1"/>
  <c r="JK53" i="39"/>
  <c r="JL53" i="39" s="1"/>
  <c r="EJ55" i="39"/>
  <c r="EI55" i="39"/>
  <c r="EG55" i="39"/>
  <c r="EH55" i="39"/>
  <c r="EJ56" i="39"/>
  <c r="EI56" i="39"/>
  <c r="EG56" i="39"/>
  <c r="EH56" i="39"/>
  <c r="EJ57" i="39"/>
  <c r="EI57" i="39"/>
  <c r="EG57" i="39"/>
  <c r="EH57" i="39"/>
  <c r="EJ58" i="39"/>
  <c r="EI58" i="39"/>
  <c r="EG58" i="39"/>
  <c r="EH58" i="39"/>
  <c r="EJ59" i="39"/>
  <c r="EI59" i="39"/>
  <c r="EH59" i="39"/>
  <c r="EG59" i="39"/>
  <c r="EJ60" i="39"/>
  <c r="EI60" i="39"/>
  <c r="EG60" i="39"/>
  <c r="EH60" i="39"/>
  <c r="EJ61" i="39"/>
  <c r="EI61" i="39"/>
  <c r="EH61" i="39"/>
  <c r="EG61" i="39"/>
  <c r="EJ62" i="39"/>
  <c r="EI62" i="39"/>
  <c r="EH62" i="39"/>
  <c r="EG62" i="39"/>
  <c r="EJ63" i="39"/>
  <c r="EI63" i="39"/>
  <c r="EH63" i="39"/>
  <c r="EG63" i="39"/>
  <c r="EJ64" i="39"/>
  <c r="EI64" i="39"/>
  <c r="EH64" i="39"/>
  <c r="EG64" i="39"/>
  <c r="EJ65" i="39"/>
  <c r="EI65" i="39"/>
  <c r="EG65" i="39"/>
  <c r="EH65" i="39"/>
  <c r="EJ66" i="39"/>
  <c r="EI66" i="39"/>
  <c r="EH66" i="39"/>
  <c r="EG66" i="39"/>
  <c r="EJ71" i="39"/>
  <c r="EI71" i="39"/>
  <c r="EH71" i="39"/>
  <c r="EG71" i="39"/>
  <c r="JO72" i="39"/>
  <c r="JP72" i="39" s="1"/>
  <c r="JM72" i="39"/>
  <c r="JN72" i="39" s="1"/>
  <c r="JI72" i="39"/>
  <c r="JJ72" i="39" s="1"/>
  <c r="JK72" i="39"/>
  <c r="JL72" i="39" s="1"/>
  <c r="JM73" i="39"/>
  <c r="JN73" i="39" s="1"/>
  <c r="JO73" i="39"/>
  <c r="JP73" i="39" s="1"/>
  <c r="JI73" i="39"/>
  <c r="JJ73" i="39" s="1"/>
  <c r="JK73" i="39"/>
  <c r="JL73" i="39" s="1"/>
  <c r="JM74" i="39"/>
  <c r="JN74" i="39" s="1"/>
  <c r="JO74" i="39"/>
  <c r="JP74" i="39" s="1"/>
  <c r="JK74" i="39"/>
  <c r="JL74" i="39" s="1"/>
  <c r="JI74" i="39"/>
  <c r="JJ74" i="39" s="1"/>
  <c r="JM75" i="39"/>
  <c r="JN75" i="39" s="1"/>
  <c r="JO75" i="39"/>
  <c r="JP75" i="39" s="1"/>
  <c r="JI75" i="39"/>
  <c r="JJ75" i="39" s="1"/>
  <c r="JK75" i="39"/>
  <c r="JL75" i="39" s="1"/>
  <c r="JO76" i="39"/>
  <c r="JP76" i="39" s="1"/>
  <c r="JM76" i="39"/>
  <c r="JN76" i="39" s="1"/>
  <c r="JI76" i="39"/>
  <c r="JJ76" i="39" s="1"/>
  <c r="JK76" i="39"/>
  <c r="JL76" i="39" s="1"/>
  <c r="JM77" i="39"/>
  <c r="JN77" i="39" s="1"/>
  <c r="JO77" i="39"/>
  <c r="JP77" i="39" s="1"/>
  <c r="JI77" i="39"/>
  <c r="JJ77" i="39" s="1"/>
  <c r="JK77" i="39"/>
  <c r="JL77" i="39" s="1"/>
  <c r="JM78" i="39"/>
  <c r="JN78" i="39" s="1"/>
  <c r="JO78" i="39"/>
  <c r="JP78" i="39" s="1"/>
  <c r="JK78" i="39"/>
  <c r="JL78" i="39" s="1"/>
  <c r="JI78" i="39"/>
  <c r="JJ78" i="39" s="1"/>
  <c r="JM79" i="39"/>
  <c r="JN79" i="39" s="1"/>
  <c r="JO79" i="39"/>
  <c r="JP79" i="39" s="1"/>
  <c r="JI79" i="39"/>
  <c r="JJ79" i="39" s="1"/>
  <c r="JK79" i="39"/>
  <c r="JL79" i="39" s="1"/>
  <c r="JO80" i="39"/>
  <c r="JP80" i="39" s="1"/>
  <c r="JM80" i="39"/>
  <c r="JN80" i="39" s="1"/>
  <c r="JI80" i="39"/>
  <c r="JJ80" i="39" s="1"/>
  <c r="JK80" i="39"/>
  <c r="JL80" i="39" s="1"/>
  <c r="JM81" i="39"/>
  <c r="JN81" i="39" s="1"/>
  <c r="JO81" i="39"/>
  <c r="JP81" i="39" s="1"/>
  <c r="JI81" i="39"/>
  <c r="JJ81" i="39" s="1"/>
  <c r="JK81" i="39"/>
  <c r="JL81" i="39" s="1"/>
  <c r="JM82" i="39"/>
  <c r="JN82" i="39" s="1"/>
  <c r="JO82" i="39"/>
  <c r="JP82" i="39" s="1"/>
  <c r="JK82" i="39"/>
  <c r="JL82" i="39" s="1"/>
  <c r="JI82" i="39"/>
  <c r="JJ82" i="39" s="1"/>
  <c r="JM83" i="39"/>
  <c r="JN83" i="39" s="1"/>
  <c r="JO83" i="39"/>
  <c r="JP83" i="39" s="1"/>
  <c r="JI83" i="39"/>
  <c r="JJ83" i="39" s="1"/>
  <c r="JK83" i="39"/>
  <c r="JL83" i="39" s="1"/>
  <c r="EG88" i="39"/>
  <c r="EJ88" i="39"/>
  <c r="EI88" i="39"/>
  <c r="EH88" i="39"/>
  <c r="JM89" i="39"/>
  <c r="JN89" i="39" s="1"/>
  <c r="JO89" i="39"/>
  <c r="JP89" i="39" s="1"/>
  <c r="JI89" i="39"/>
  <c r="JJ89" i="39" s="1"/>
  <c r="JK89" i="39"/>
  <c r="JL89" i="39" s="1"/>
  <c r="JM90" i="39"/>
  <c r="JN90" i="39" s="1"/>
  <c r="JO90" i="39"/>
  <c r="JP90" i="39" s="1"/>
  <c r="JK90" i="39"/>
  <c r="JL90" i="39" s="1"/>
  <c r="JI90" i="39"/>
  <c r="JJ90" i="39" s="1"/>
  <c r="JM91" i="39"/>
  <c r="JN91" i="39" s="1"/>
  <c r="JO91" i="39"/>
  <c r="JP91" i="39" s="1"/>
  <c r="JI91" i="39"/>
  <c r="JJ91" i="39" s="1"/>
  <c r="JK91" i="39"/>
  <c r="JL91" i="39" s="1"/>
  <c r="JO92" i="39"/>
  <c r="JP92" i="39" s="1"/>
  <c r="JM92" i="39"/>
  <c r="JN92" i="39" s="1"/>
  <c r="JI92" i="39"/>
  <c r="JJ92" i="39" s="1"/>
  <c r="JK92" i="39"/>
  <c r="JL92" i="39" s="1"/>
  <c r="JM93" i="39"/>
  <c r="JN93" i="39" s="1"/>
  <c r="JO93" i="39"/>
  <c r="JP93" i="39" s="1"/>
  <c r="JI93" i="39"/>
  <c r="JJ93" i="39" s="1"/>
  <c r="JK93" i="39"/>
  <c r="JL93" i="39" s="1"/>
  <c r="JM94" i="39"/>
  <c r="JN94" i="39" s="1"/>
  <c r="JO94" i="39"/>
  <c r="JP94" i="39" s="1"/>
  <c r="JK94" i="39"/>
  <c r="JL94" i="39" s="1"/>
  <c r="JI94" i="39"/>
  <c r="JJ94" i="39" s="1"/>
  <c r="JM95" i="39"/>
  <c r="JN95" i="39" s="1"/>
  <c r="JO95" i="39"/>
  <c r="JP95" i="39" s="1"/>
  <c r="JI95" i="39"/>
  <c r="JJ95" i="39" s="1"/>
  <c r="JK95" i="39"/>
  <c r="JL95" i="39" s="1"/>
  <c r="JO96" i="39"/>
  <c r="JP96" i="39" s="1"/>
  <c r="JM96" i="39"/>
  <c r="JN96" i="39" s="1"/>
  <c r="JI96" i="39"/>
  <c r="JJ96" i="39" s="1"/>
  <c r="JK96" i="39"/>
  <c r="JL96" i="39" s="1"/>
  <c r="JM97" i="39"/>
  <c r="JN97" i="39" s="1"/>
  <c r="JO97" i="39"/>
  <c r="JP97" i="39" s="1"/>
  <c r="JI97" i="39"/>
  <c r="JJ97" i="39" s="1"/>
  <c r="JK97" i="39"/>
  <c r="JL97" i="39" s="1"/>
  <c r="JM98" i="39"/>
  <c r="JN98" i="39" s="1"/>
  <c r="JO98" i="39"/>
  <c r="JP98" i="39" s="1"/>
  <c r="JK98" i="39"/>
  <c r="JL98" i="39" s="1"/>
  <c r="JI98" i="39"/>
  <c r="JJ98" i="39" s="1"/>
  <c r="JM99" i="39"/>
  <c r="JN99" i="39" s="1"/>
  <c r="JO99" i="39"/>
  <c r="JP99" i="39" s="1"/>
  <c r="JI99" i="39"/>
  <c r="JJ99" i="39" s="1"/>
  <c r="JK99" i="39"/>
  <c r="JL99" i="39" s="1"/>
  <c r="JO100" i="39"/>
  <c r="JP100" i="39" s="1"/>
  <c r="JM100" i="39"/>
  <c r="JN100" i="39" s="1"/>
  <c r="JI100" i="39"/>
  <c r="JJ100" i="39" s="1"/>
  <c r="JK100" i="39"/>
  <c r="JL100" i="39" s="1"/>
  <c r="JM101" i="39"/>
  <c r="JN101" i="39" s="1"/>
  <c r="JO101" i="39"/>
  <c r="JP101" i="39" s="1"/>
  <c r="JI101" i="39"/>
  <c r="JJ101" i="39" s="1"/>
  <c r="JK101" i="39"/>
  <c r="JL101" i="39" s="1"/>
  <c r="JK102" i="39"/>
  <c r="JL102" i="39" s="1"/>
  <c r="JM102" i="39"/>
  <c r="JN102" i="39" s="1"/>
  <c r="JO102" i="39"/>
  <c r="JP102" i="39" s="1"/>
  <c r="JI102" i="39"/>
  <c r="JJ102" i="39" s="1"/>
  <c r="JM103" i="39"/>
  <c r="JN103" i="39" s="1"/>
  <c r="JO103" i="39"/>
  <c r="JP103" i="39" s="1"/>
  <c r="JK103" i="39"/>
  <c r="JL103" i="39" s="1"/>
  <c r="JI103" i="39"/>
  <c r="JJ103" i="39" s="1"/>
  <c r="JO104" i="39"/>
  <c r="JP104" i="39" s="1"/>
  <c r="JK104" i="39"/>
  <c r="JL104" i="39" s="1"/>
  <c r="JM104" i="39"/>
  <c r="JN104" i="39" s="1"/>
  <c r="JI104" i="39"/>
  <c r="JJ104" i="39" s="1"/>
  <c r="JI4" i="39"/>
  <c r="JK4" i="39" s="1"/>
  <c r="JM4" i="39"/>
  <c r="JO4" i="39" s="1"/>
  <c r="EJ14" i="39"/>
  <c r="EI14" i="39"/>
  <c r="EH14" i="39"/>
  <c r="EG14" i="39"/>
  <c r="EJ12" i="39"/>
  <c r="EI12" i="39"/>
  <c r="EH12" i="39"/>
  <c r="EG12" i="39"/>
  <c r="EJ27" i="39"/>
  <c r="EI27" i="39"/>
  <c r="EH27" i="39"/>
  <c r="EG27" i="39"/>
  <c r="EJ31" i="39"/>
  <c r="EI31" i="39"/>
  <c r="EG31" i="39"/>
  <c r="EH31" i="39"/>
  <c r="EJ35" i="39"/>
  <c r="EI35" i="39"/>
  <c r="EH35" i="39"/>
  <c r="EG35" i="39"/>
  <c r="EJ37" i="39"/>
  <c r="EI37" i="39"/>
  <c r="EG37" i="39"/>
  <c r="EH37" i="39"/>
  <c r="EJ38" i="39"/>
  <c r="EI38" i="39"/>
  <c r="EH38" i="39"/>
  <c r="EG38" i="39"/>
  <c r="EJ42" i="39"/>
  <c r="EI42" i="39"/>
  <c r="EG42" i="39"/>
  <c r="EH42" i="39"/>
  <c r="EJ50" i="39"/>
  <c r="EI50" i="39"/>
  <c r="EG50" i="39"/>
  <c r="EH50" i="39"/>
  <c r="EJ51" i="39"/>
  <c r="EI51" i="39"/>
  <c r="EG51" i="39"/>
  <c r="EH51" i="39"/>
  <c r="EJ52" i="39"/>
  <c r="EI52" i="39"/>
  <c r="EG52" i="39"/>
  <c r="EH52" i="39"/>
  <c r="EJ53" i="39"/>
  <c r="EI53" i="39"/>
  <c r="EG53" i="39"/>
  <c r="EH53" i="39"/>
  <c r="JM67" i="39"/>
  <c r="JN67" i="39" s="1"/>
  <c r="JO67" i="39"/>
  <c r="JP67" i="39" s="1"/>
  <c r="JI67" i="39"/>
  <c r="JJ67" i="39" s="1"/>
  <c r="JK67" i="39"/>
  <c r="JL67" i="39" s="1"/>
  <c r="JO68" i="39"/>
  <c r="JP68" i="39" s="1"/>
  <c r="JM68" i="39"/>
  <c r="JN68" i="39" s="1"/>
  <c r="JI68" i="39"/>
  <c r="JJ68" i="39" s="1"/>
  <c r="JK68" i="39"/>
  <c r="JL68" i="39" s="1"/>
  <c r="JM69" i="39"/>
  <c r="JN69" i="39" s="1"/>
  <c r="JO69" i="39"/>
  <c r="JP69" i="39" s="1"/>
  <c r="JI69" i="39"/>
  <c r="JJ69" i="39" s="1"/>
  <c r="JK69" i="39"/>
  <c r="JL69" i="39" s="1"/>
  <c r="JM70" i="39"/>
  <c r="JN70" i="39" s="1"/>
  <c r="JO70" i="39"/>
  <c r="JP70" i="39" s="1"/>
  <c r="JK70" i="39"/>
  <c r="JL70" i="39" s="1"/>
  <c r="JI70" i="39"/>
  <c r="JJ70" i="39" s="1"/>
  <c r="EJ72" i="39"/>
  <c r="EG72" i="39"/>
  <c r="EI72" i="39"/>
  <c r="EH72" i="39"/>
  <c r="EI73" i="39"/>
  <c r="EJ73" i="39"/>
  <c r="EH73" i="39"/>
  <c r="EG73" i="39"/>
  <c r="EG74" i="39"/>
  <c r="EI74" i="39"/>
  <c r="EH74" i="39"/>
  <c r="EJ74" i="39"/>
  <c r="EG75" i="39"/>
  <c r="EI75" i="39"/>
  <c r="EJ75" i="39"/>
  <c r="EH75" i="39"/>
  <c r="EG76" i="39"/>
  <c r="EI76" i="39"/>
  <c r="EH76" i="39"/>
  <c r="EJ76" i="39"/>
  <c r="EG77" i="39"/>
  <c r="EI77" i="39"/>
  <c r="EJ77" i="39"/>
  <c r="EH77" i="39"/>
  <c r="EG78" i="39"/>
  <c r="EI78" i="39"/>
  <c r="EH78" i="39"/>
  <c r="EJ78" i="39"/>
  <c r="EG79" i="39"/>
  <c r="EI79" i="39"/>
  <c r="EJ79" i="39"/>
  <c r="EH79" i="39"/>
  <c r="EG80" i="39"/>
  <c r="EI80" i="39"/>
  <c r="EH80" i="39"/>
  <c r="EJ80" i="39"/>
  <c r="EG81" i="39"/>
  <c r="EJ81" i="39"/>
  <c r="EI81" i="39"/>
  <c r="EH81" i="39"/>
  <c r="EG82" i="39"/>
  <c r="EJ82" i="39"/>
  <c r="EI82" i="39"/>
  <c r="EH82" i="39"/>
  <c r="EG83" i="39"/>
  <c r="EJ83" i="39"/>
  <c r="EI83" i="39"/>
  <c r="EH83" i="39"/>
  <c r="JO84" i="39"/>
  <c r="JP84" i="39" s="1"/>
  <c r="JM84" i="39"/>
  <c r="JN84" i="39" s="1"/>
  <c r="JI84" i="39"/>
  <c r="JJ84" i="39" s="1"/>
  <c r="JK84" i="39"/>
  <c r="JL84" i="39" s="1"/>
  <c r="JM85" i="39"/>
  <c r="JN85" i="39" s="1"/>
  <c r="JO85" i="39"/>
  <c r="JP85" i="39" s="1"/>
  <c r="JI85" i="39"/>
  <c r="JJ85" i="39" s="1"/>
  <c r="JK85" i="39"/>
  <c r="JL85" i="39" s="1"/>
  <c r="JM86" i="39"/>
  <c r="JN86" i="39" s="1"/>
  <c r="JO86" i="39"/>
  <c r="JP86" i="39" s="1"/>
  <c r="JK86" i="39"/>
  <c r="JL86" i="39" s="1"/>
  <c r="JI86" i="39"/>
  <c r="JJ86" i="39" s="1"/>
  <c r="JM87" i="39"/>
  <c r="JO87" i="39"/>
  <c r="JP87" i="39" s="1"/>
  <c r="JI87" i="39"/>
  <c r="JJ87" i="39" s="1"/>
  <c r="JK87" i="39"/>
  <c r="JL87" i="39" s="1"/>
  <c r="EG89" i="39"/>
  <c r="EJ89" i="39"/>
  <c r="EI89" i="39"/>
  <c r="EH89" i="39"/>
  <c r="EG90" i="39"/>
  <c r="EJ90" i="39"/>
  <c r="EI90" i="39"/>
  <c r="EH90" i="39"/>
  <c r="EG91" i="39"/>
  <c r="EJ91" i="39"/>
  <c r="EI91" i="39"/>
  <c r="EH91" i="39"/>
  <c r="EG92" i="39"/>
  <c r="EJ92" i="39"/>
  <c r="EI92" i="39"/>
  <c r="EH92" i="39"/>
  <c r="EG93" i="39"/>
  <c r="EJ93" i="39"/>
  <c r="EI93" i="39"/>
  <c r="EH93" i="39"/>
  <c r="EG94" i="39"/>
  <c r="EJ94" i="39"/>
  <c r="EI94" i="39"/>
  <c r="EH94" i="39"/>
  <c r="EG95" i="39"/>
  <c r="EJ95" i="39"/>
  <c r="EI95" i="39"/>
  <c r="EH95" i="39"/>
  <c r="EG96" i="39"/>
  <c r="EJ96" i="39"/>
  <c r="EI96" i="39"/>
  <c r="EH96" i="39"/>
  <c r="EG97" i="39"/>
  <c r="EJ97" i="39"/>
  <c r="EI97" i="39"/>
  <c r="EH97" i="39"/>
  <c r="EG98" i="39"/>
  <c r="EJ98" i="39"/>
  <c r="EI98" i="39"/>
  <c r="EH98" i="39"/>
  <c r="EG99" i="39"/>
  <c r="EJ99" i="39"/>
  <c r="EI99" i="39"/>
  <c r="EH99" i="39"/>
  <c r="EG100" i="39"/>
  <c r="EJ100" i="39"/>
  <c r="EI100" i="39"/>
  <c r="EH100" i="39"/>
  <c r="EG101" i="39"/>
  <c r="EJ101" i="39"/>
  <c r="EI101" i="39"/>
  <c r="EH101" i="39"/>
  <c r="EG102" i="39"/>
  <c r="EJ102" i="39"/>
  <c r="EI102" i="39"/>
  <c r="EH102" i="39"/>
  <c r="EG103" i="39"/>
  <c r="EJ103" i="39"/>
  <c r="EI103" i="39"/>
  <c r="EH103" i="39"/>
  <c r="EG104" i="39"/>
  <c r="EJ104" i="39"/>
  <c r="EI104" i="39"/>
  <c r="EH104" i="39"/>
  <c r="AO4" i="39"/>
  <c r="AN4" i="39" s="1"/>
  <c r="H5" i="39"/>
  <c r="H16" i="39"/>
  <c r="H21" i="39"/>
  <c r="X21" i="39" s="1"/>
  <c r="H10" i="39"/>
  <c r="H15" i="39"/>
  <c r="H11" i="39"/>
  <c r="H8" i="39"/>
  <c r="X8" i="39" s="1"/>
  <c r="H28" i="39"/>
  <c r="H32" i="39"/>
  <c r="H36" i="39"/>
  <c r="H39" i="39"/>
  <c r="H43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71" i="39"/>
  <c r="H88" i="39"/>
  <c r="H14" i="39"/>
  <c r="X14" i="39" s="1"/>
  <c r="H12" i="39"/>
  <c r="H27" i="39"/>
  <c r="H31" i="39"/>
  <c r="H35" i="39"/>
  <c r="H37" i="39"/>
  <c r="H38" i="39"/>
  <c r="H42" i="39"/>
  <c r="H50" i="39"/>
  <c r="H51" i="39"/>
  <c r="H52" i="39"/>
  <c r="H53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9" i="39"/>
  <c r="H90" i="39"/>
  <c r="H91" i="39"/>
  <c r="H92" i="39"/>
  <c r="H93" i="39"/>
  <c r="H94" i="39"/>
  <c r="H95" i="39"/>
  <c r="H96" i="39"/>
  <c r="H97" i="39"/>
  <c r="H98" i="39"/>
  <c r="H99" i="39"/>
  <c r="H100" i="39"/>
  <c r="H101" i="39"/>
  <c r="H102" i="39"/>
  <c r="H103" i="39"/>
  <c r="H104" i="39"/>
  <c r="H19" i="39"/>
  <c r="H9" i="39"/>
  <c r="X9" i="39" s="1"/>
  <c r="H6" i="39"/>
  <c r="H13" i="39"/>
  <c r="H17" i="39"/>
  <c r="H23" i="39"/>
  <c r="H18" i="39"/>
  <c r="H20" i="39"/>
  <c r="X20" i="39" s="1"/>
  <c r="H7" i="39"/>
  <c r="X7" i="39" s="1"/>
  <c r="H26" i="39"/>
  <c r="H30" i="39"/>
  <c r="H34" i="39"/>
  <c r="H41" i="39"/>
  <c r="H67" i="39"/>
  <c r="H68" i="39"/>
  <c r="H69" i="39"/>
  <c r="H70" i="39"/>
  <c r="H84" i="39"/>
  <c r="H85" i="39"/>
  <c r="H86" i="39"/>
  <c r="H87" i="39"/>
  <c r="H4" i="39"/>
  <c r="H22" i="39"/>
  <c r="H24" i="39"/>
  <c r="H25" i="39"/>
  <c r="H29" i="39"/>
  <c r="H33" i="39"/>
  <c r="H40" i="39"/>
  <c r="H44" i="39"/>
  <c r="H45" i="39"/>
  <c r="H46" i="39"/>
  <c r="H47" i="39"/>
  <c r="H48" i="39"/>
  <c r="H49" i="39"/>
  <c r="H54" i="39"/>
  <c r="H105" i="39"/>
  <c r="H106" i="39"/>
  <c r="H107" i="39"/>
  <c r="H108" i="39"/>
  <c r="H109" i="39"/>
  <c r="H110" i="39"/>
  <c r="H111" i="39"/>
  <c r="H112" i="39"/>
  <c r="H113" i="39"/>
  <c r="H114" i="39"/>
  <c r="H115" i="39"/>
  <c r="H116" i="39"/>
  <c r="H117" i="39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H156" i="39"/>
  <c r="H157" i="39"/>
  <c r="H158" i="39"/>
  <c r="H159" i="39"/>
  <c r="H160" i="39"/>
  <c r="H161" i="39"/>
  <c r="H162" i="39"/>
  <c r="H163" i="39"/>
  <c r="JQ45" i="39"/>
  <c r="JR45" i="39" s="1"/>
  <c r="JW45" i="39"/>
  <c r="JX45" i="39" s="1"/>
  <c r="JU45" i="39"/>
  <c r="JV45" i="39" s="1"/>
  <c r="JS45" i="39"/>
  <c r="JT45" i="39" s="1"/>
  <c r="JP45" i="39"/>
  <c r="JA45" i="39"/>
  <c r="JB45" i="39" s="1"/>
  <c r="JG45" i="39"/>
  <c r="JH45" i="39" s="1"/>
  <c r="JE45" i="39"/>
  <c r="JF45" i="39" s="1"/>
  <c r="JC45" i="39"/>
  <c r="JD45" i="39" s="1"/>
  <c r="IY45" i="39"/>
  <c r="IZ45" i="39" s="1"/>
  <c r="IW45" i="39"/>
  <c r="IX45" i="39" s="1"/>
  <c r="IU45" i="39"/>
  <c r="IV45" i="39" s="1"/>
  <c r="IS45" i="39"/>
  <c r="IT45" i="39" s="1"/>
  <c r="IM45" i="39"/>
  <c r="IN45" i="39" s="1"/>
  <c r="IC45" i="39"/>
  <c r="ID45" i="39" s="1"/>
  <c r="IK45" i="39"/>
  <c r="IL45" i="39" s="1"/>
  <c r="II45" i="39"/>
  <c r="IJ45" i="39" s="1"/>
  <c r="IQ45" i="39"/>
  <c r="IR45" i="39" s="1"/>
  <c r="IG45" i="39"/>
  <c r="IH45" i="39" s="1"/>
  <c r="IO45" i="39"/>
  <c r="IP45" i="39" s="1"/>
  <c r="IE45" i="39"/>
  <c r="IF45" i="39" s="1"/>
  <c r="HW45" i="39"/>
  <c r="HX45" i="39" s="1"/>
  <c r="HU45" i="39"/>
  <c r="HV45" i="39" s="1"/>
  <c r="IA45" i="39"/>
  <c r="IB45" i="39" s="1"/>
  <c r="HY45" i="39"/>
  <c r="HZ45" i="39" s="1"/>
  <c r="HO45" i="39"/>
  <c r="HP45" i="39" s="1"/>
  <c r="HI45" i="39"/>
  <c r="HJ45" i="39" s="1"/>
  <c r="HM45" i="39"/>
  <c r="HN45" i="39" s="1"/>
  <c r="HK45" i="39"/>
  <c r="HL45" i="39" s="1"/>
  <c r="HS45" i="39"/>
  <c r="HT45" i="39" s="1"/>
  <c r="HQ45" i="39"/>
  <c r="HR45" i="39" s="1"/>
  <c r="HG45" i="39"/>
  <c r="HH45" i="39" s="1"/>
  <c r="HE45" i="39"/>
  <c r="HF45" i="39" s="1"/>
  <c r="JQ49" i="39"/>
  <c r="JR49" i="39" s="1"/>
  <c r="JW49" i="39"/>
  <c r="JX49" i="39" s="1"/>
  <c r="JU49" i="39"/>
  <c r="JV49" i="39" s="1"/>
  <c r="JS49" i="39"/>
  <c r="JT49" i="39" s="1"/>
  <c r="JN49" i="39"/>
  <c r="JA49" i="39"/>
  <c r="JB49" i="39" s="1"/>
  <c r="JG49" i="39"/>
  <c r="JH49" i="39" s="1"/>
  <c r="JE49" i="39"/>
  <c r="JF49" i="39" s="1"/>
  <c r="JC49" i="39"/>
  <c r="JD49" i="39" s="1"/>
  <c r="IY49" i="39"/>
  <c r="IZ49" i="39" s="1"/>
  <c r="IW49" i="39"/>
  <c r="IX49" i="39" s="1"/>
  <c r="IU49" i="39"/>
  <c r="IV49" i="39" s="1"/>
  <c r="IS49" i="39"/>
  <c r="IT49" i="39" s="1"/>
  <c r="IM49" i="39"/>
  <c r="IN49" i="39" s="1"/>
  <c r="IC49" i="39"/>
  <c r="ID49" i="39" s="1"/>
  <c r="IK49" i="39"/>
  <c r="IL49" i="39" s="1"/>
  <c r="II49" i="39"/>
  <c r="IJ49" i="39" s="1"/>
  <c r="IQ49" i="39"/>
  <c r="IR49" i="39" s="1"/>
  <c r="IG49" i="39"/>
  <c r="IH49" i="39" s="1"/>
  <c r="IO49" i="39"/>
  <c r="IP49" i="39" s="1"/>
  <c r="IE49" i="39"/>
  <c r="IF49" i="39" s="1"/>
  <c r="HW49" i="39"/>
  <c r="HX49" i="39" s="1"/>
  <c r="HU49" i="39"/>
  <c r="HV49" i="39" s="1"/>
  <c r="IA49" i="39"/>
  <c r="IB49" i="39" s="1"/>
  <c r="HY49" i="39"/>
  <c r="HZ49" i="39" s="1"/>
  <c r="HO49" i="39"/>
  <c r="HP49" i="39" s="1"/>
  <c r="HI49" i="39"/>
  <c r="HJ49" i="39" s="1"/>
  <c r="HM49" i="39"/>
  <c r="HN49" i="39" s="1"/>
  <c r="HK49" i="39"/>
  <c r="HL49" i="39" s="1"/>
  <c r="HS49" i="39"/>
  <c r="HT49" i="39" s="1"/>
  <c r="HQ49" i="39"/>
  <c r="HR49" i="39" s="1"/>
  <c r="HG49" i="39"/>
  <c r="HH49" i="39" s="1"/>
  <c r="HE49" i="39"/>
  <c r="HF49" i="39" s="1"/>
  <c r="JQ51" i="39"/>
  <c r="JR51" i="39" s="1"/>
  <c r="JU51" i="39"/>
  <c r="JV51" i="39" s="1"/>
  <c r="JS51" i="39"/>
  <c r="JT51" i="39" s="1"/>
  <c r="JW51" i="39"/>
  <c r="JX51" i="39" s="1"/>
  <c r="JA51" i="39"/>
  <c r="JB51" i="39" s="1"/>
  <c r="JG51" i="39"/>
  <c r="JH51" i="39" s="1"/>
  <c r="JE51" i="39"/>
  <c r="JF51" i="39" s="1"/>
  <c r="JC51" i="39"/>
  <c r="JD51" i="39" s="1"/>
  <c r="IY51" i="39"/>
  <c r="IZ51" i="39" s="1"/>
  <c r="IW51" i="39"/>
  <c r="IX51" i="39" s="1"/>
  <c r="IU51" i="39"/>
  <c r="IV51" i="39" s="1"/>
  <c r="IS51" i="39"/>
  <c r="IT51" i="39" s="1"/>
  <c r="IM51" i="39"/>
  <c r="IN51" i="39" s="1"/>
  <c r="IC51" i="39"/>
  <c r="ID51" i="39" s="1"/>
  <c r="IK51" i="39"/>
  <c r="IL51" i="39" s="1"/>
  <c r="II51" i="39"/>
  <c r="IJ51" i="39" s="1"/>
  <c r="IQ51" i="39"/>
  <c r="IR51" i="39" s="1"/>
  <c r="IG51" i="39"/>
  <c r="IH51" i="39" s="1"/>
  <c r="IO51" i="39"/>
  <c r="IP51" i="39" s="1"/>
  <c r="IE51" i="39"/>
  <c r="IF51" i="39" s="1"/>
  <c r="HW51" i="39"/>
  <c r="HX51" i="39" s="1"/>
  <c r="HU51" i="39"/>
  <c r="HV51" i="39" s="1"/>
  <c r="IA51" i="39"/>
  <c r="IB51" i="39" s="1"/>
  <c r="HY51" i="39"/>
  <c r="HZ51" i="39" s="1"/>
  <c r="HO51" i="39"/>
  <c r="HP51" i="39" s="1"/>
  <c r="HM51" i="39"/>
  <c r="HN51" i="39" s="1"/>
  <c r="HS51" i="39"/>
  <c r="HT51" i="39" s="1"/>
  <c r="HI51" i="39"/>
  <c r="HJ51" i="39" s="1"/>
  <c r="HQ51" i="39"/>
  <c r="HR51" i="39" s="1"/>
  <c r="HK51" i="39"/>
  <c r="HL51" i="39" s="1"/>
  <c r="HE51" i="39"/>
  <c r="HF51" i="39" s="1"/>
  <c r="HG51" i="39"/>
  <c r="HH51" i="39" s="1"/>
  <c r="JQ56" i="39"/>
  <c r="JR56" i="39" s="1"/>
  <c r="JS56" i="39"/>
  <c r="JT56" i="39" s="1"/>
  <c r="JW56" i="39"/>
  <c r="JX56" i="39" s="1"/>
  <c r="JU56" i="39"/>
  <c r="JV56" i="39" s="1"/>
  <c r="JA56" i="39"/>
  <c r="JB56" i="39" s="1"/>
  <c r="JG56" i="39"/>
  <c r="JH56" i="39" s="1"/>
  <c r="JE56" i="39"/>
  <c r="JF56" i="39" s="1"/>
  <c r="JC56" i="39"/>
  <c r="JD56" i="39" s="1"/>
  <c r="IY56" i="39"/>
  <c r="IZ56" i="39" s="1"/>
  <c r="IW56" i="39"/>
  <c r="IX56" i="39" s="1"/>
  <c r="IU56" i="39"/>
  <c r="IV56" i="39" s="1"/>
  <c r="IS56" i="39"/>
  <c r="IT56" i="39" s="1"/>
  <c r="IM56" i="39"/>
  <c r="IN56" i="39" s="1"/>
  <c r="IC56" i="39"/>
  <c r="ID56" i="39" s="1"/>
  <c r="IK56" i="39"/>
  <c r="IL56" i="39" s="1"/>
  <c r="II56" i="39"/>
  <c r="IJ56" i="39" s="1"/>
  <c r="IQ56" i="39"/>
  <c r="IR56" i="39" s="1"/>
  <c r="IG56" i="39"/>
  <c r="IH56" i="39" s="1"/>
  <c r="IO56" i="39"/>
  <c r="IP56" i="39" s="1"/>
  <c r="IE56" i="39"/>
  <c r="IF56" i="39" s="1"/>
  <c r="HW56" i="39"/>
  <c r="HX56" i="39" s="1"/>
  <c r="HU56" i="39"/>
  <c r="HV56" i="39" s="1"/>
  <c r="IA56" i="39"/>
  <c r="IB56" i="39" s="1"/>
  <c r="HY56" i="39"/>
  <c r="HZ56" i="39" s="1"/>
  <c r="HO56" i="39"/>
  <c r="HP56" i="39" s="1"/>
  <c r="HM56" i="39"/>
  <c r="HN56" i="39" s="1"/>
  <c r="HI56" i="39"/>
  <c r="HJ56" i="39" s="1"/>
  <c r="HS56" i="39"/>
  <c r="HT56" i="39" s="1"/>
  <c r="HK56" i="39"/>
  <c r="HL56" i="39" s="1"/>
  <c r="HQ56" i="39"/>
  <c r="HR56" i="39" s="1"/>
  <c r="HG56" i="39"/>
  <c r="HH56" i="39" s="1"/>
  <c r="HE56" i="39"/>
  <c r="HF56" i="39" s="1"/>
  <c r="JQ60" i="39"/>
  <c r="JR60" i="39" s="1"/>
  <c r="JS60" i="39"/>
  <c r="JT60" i="39" s="1"/>
  <c r="JU60" i="39"/>
  <c r="JV60" i="39" s="1"/>
  <c r="JW60" i="39"/>
  <c r="JX60" i="39" s="1"/>
  <c r="JA60" i="39"/>
  <c r="JB60" i="39" s="1"/>
  <c r="JG60" i="39"/>
  <c r="JH60" i="39" s="1"/>
  <c r="JE60" i="39"/>
  <c r="JF60" i="39" s="1"/>
  <c r="JC60" i="39"/>
  <c r="JD60" i="39" s="1"/>
  <c r="IY60" i="39"/>
  <c r="IZ60" i="39" s="1"/>
  <c r="IW60" i="39"/>
  <c r="IX60" i="39" s="1"/>
  <c r="IU60" i="39"/>
  <c r="IV60" i="39" s="1"/>
  <c r="IS60" i="39"/>
  <c r="IT60" i="39" s="1"/>
  <c r="IM60" i="39"/>
  <c r="IN60" i="39" s="1"/>
  <c r="IC60" i="39"/>
  <c r="ID60" i="39" s="1"/>
  <c r="IK60" i="39"/>
  <c r="IL60" i="39" s="1"/>
  <c r="II60" i="39"/>
  <c r="IJ60" i="39" s="1"/>
  <c r="IQ60" i="39"/>
  <c r="IR60" i="39" s="1"/>
  <c r="IG60" i="39"/>
  <c r="IH60" i="39" s="1"/>
  <c r="IO60" i="39"/>
  <c r="IP60" i="39" s="1"/>
  <c r="IE60" i="39"/>
  <c r="IF60" i="39" s="1"/>
  <c r="HW60" i="39"/>
  <c r="HX60" i="39" s="1"/>
  <c r="HU60" i="39"/>
  <c r="HV60" i="39" s="1"/>
  <c r="IA60" i="39"/>
  <c r="IB60" i="39" s="1"/>
  <c r="HY60" i="39"/>
  <c r="HZ60" i="39" s="1"/>
  <c r="HO60" i="39"/>
  <c r="HP60" i="39" s="1"/>
  <c r="HM60" i="39"/>
  <c r="HN60" i="39" s="1"/>
  <c r="HI60" i="39"/>
  <c r="HJ60" i="39" s="1"/>
  <c r="HS60" i="39"/>
  <c r="HT60" i="39" s="1"/>
  <c r="HK60" i="39"/>
  <c r="HL60" i="39" s="1"/>
  <c r="HQ60" i="39"/>
  <c r="HR60" i="39" s="1"/>
  <c r="HG60" i="39"/>
  <c r="HH60" i="39" s="1"/>
  <c r="HE60" i="39"/>
  <c r="HF60" i="39" s="1"/>
  <c r="JQ64" i="39"/>
  <c r="JR64" i="39" s="1"/>
  <c r="JS64" i="39"/>
  <c r="JT64" i="39" s="1"/>
  <c r="JW64" i="39"/>
  <c r="JX64" i="39" s="1"/>
  <c r="JU64" i="39"/>
  <c r="JV64" i="39" s="1"/>
  <c r="JA64" i="39"/>
  <c r="JB64" i="39" s="1"/>
  <c r="JG64" i="39"/>
  <c r="JH64" i="39" s="1"/>
  <c r="JE64" i="39"/>
  <c r="JF64" i="39" s="1"/>
  <c r="JC64" i="39"/>
  <c r="JD64" i="39" s="1"/>
  <c r="IY64" i="39"/>
  <c r="IZ64" i="39" s="1"/>
  <c r="IW64" i="39"/>
  <c r="IX64" i="39" s="1"/>
  <c r="IU64" i="39"/>
  <c r="IV64" i="39" s="1"/>
  <c r="IS64" i="39"/>
  <c r="IT64" i="39" s="1"/>
  <c r="IM64" i="39"/>
  <c r="IN64" i="39" s="1"/>
  <c r="IC64" i="39"/>
  <c r="ID64" i="39" s="1"/>
  <c r="IK64" i="39"/>
  <c r="IL64" i="39" s="1"/>
  <c r="II64" i="39"/>
  <c r="IJ64" i="39" s="1"/>
  <c r="IQ64" i="39"/>
  <c r="IR64" i="39" s="1"/>
  <c r="IG64" i="39"/>
  <c r="IH64" i="39" s="1"/>
  <c r="IO64" i="39"/>
  <c r="IP64" i="39" s="1"/>
  <c r="IE64" i="39"/>
  <c r="IF64" i="39" s="1"/>
  <c r="HW64" i="39"/>
  <c r="HX64" i="39" s="1"/>
  <c r="HU64" i="39"/>
  <c r="HV64" i="39" s="1"/>
  <c r="IA64" i="39"/>
  <c r="IB64" i="39" s="1"/>
  <c r="HY64" i="39"/>
  <c r="HZ64" i="39" s="1"/>
  <c r="HO64" i="39"/>
  <c r="HP64" i="39" s="1"/>
  <c r="HM64" i="39"/>
  <c r="HN64" i="39" s="1"/>
  <c r="HI64" i="39"/>
  <c r="HJ64" i="39" s="1"/>
  <c r="HS64" i="39"/>
  <c r="HT64" i="39" s="1"/>
  <c r="HK64" i="39"/>
  <c r="HL64" i="39" s="1"/>
  <c r="HQ64" i="39"/>
  <c r="HR64" i="39" s="1"/>
  <c r="HG64" i="39"/>
  <c r="HH64" i="39" s="1"/>
  <c r="HE64" i="39"/>
  <c r="HF64" i="39" s="1"/>
  <c r="JQ70" i="39"/>
  <c r="JR70" i="39" s="1"/>
  <c r="JW70" i="39"/>
  <c r="JX70" i="39" s="1"/>
  <c r="JU70" i="39"/>
  <c r="JV70" i="39" s="1"/>
  <c r="JS70" i="39"/>
  <c r="JT70" i="39" s="1"/>
  <c r="JA70" i="39"/>
  <c r="JB70" i="39" s="1"/>
  <c r="JG70" i="39"/>
  <c r="JH70" i="39" s="1"/>
  <c r="JE70" i="39"/>
  <c r="JF70" i="39" s="1"/>
  <c r="JC70" i="39"/>
  <c r="JD70" i="39" s="1"/>
  <c r="IY70" i="39"/>
  <c r="IZ70" i="39" s="1"/>
  <c r="IW70" i="39"/>
  <c r="IX70" i="39" s="1"/>
  <c r="IU70" i="39"/>
  <c r="IV70" i="39" s="1"/>
  <c r="IS70" i="39"/>
  <c r="IT70" i="39" s="1"/>
  <c r="IM70" i="39"/>
  <c r="IN70" i="39" s="1"/>
  <c r="IC70" i="39"/>
  <c r="ID70" i="39" s="1"/>
  <c r="IK70" i="39"/>
  <c r="IL70" i="39" s="1"/>
  <c r="II70" i="39"/>
  <c r="IJ70" i="39" s="1"/>
  <c r="IQ70" i="39"/>
  <c r="IR70" i="39" s="1"/>
  <c r="IG70" i="39"/>
  <c r="IH70" i="39" s="1"/>
  <c r="IO70" i="39"/>
  <c r="IP70" i="39" s="1"/>
  <c r="IE70" i="39"/>
  <c r="IF70" i="39" s="1"/>
  <c r="HW70" i="39"/>
  <c r="HX70" i="39" s="1"/>
  <c r="HU70" i="39"/>
  <c r="HV70" i="39" s="1"/>
  <c r="IA70" i="39"/>
  <c r="IB70" i="39" s="1"/>
  <c r="HY70" i="39"/>
  <c r="HZ70" i="39" s="1"/>
  <c r="HO70" i="39"/>
  <c r="HP70" i="39" s="1"/>
  <c r="HK70" i="39"/>
  <c r="HL70" i="39" s="1"/>
  <c r="HM70" i="39"/>
  <c r="HN70" i="39" s="1"/>
  <c r="HS70" i="39"/>
  <c r="HT70" i="39" s="1"/>
  <c r="HQ70" i="39"/>
  <c r="HR70" i="39" s="1"/>
  <c r="HI70" i="39"/>
  <c r="HJ70" i="39" s="1"/>
  <c r="HE70" i="39"/>
  <c r="HF70" i="39" s="1"/>
  <c r="HG70" i="39"/>
  <c r="HH70" i="39" s="1"/>
  <c r="JQ75" i="39"/>
  <c r="JR75" i="39" s="1"/>
  <c r="JW75" i="39"/>
  <c r="JX75" i="39" s="1"/>
  <c r="JU75" i="39"/>
  <c r="JV75" i="39" s="1"/>
  <c r="JS75" i="39"/>
  <c r="JT75" i="39" s="1"/>
  <c r="JA75" i="39"/>
  <c r="JB75" i="39" s="1"/>
  <c r="JG75" i="39"/>
  <c r="JH75" i="39" s="1"/>
  <c r="JE75" i="39"/>
  <c r="JF75" i="39" s="1"/>
  <c r="JC75" i="39"/>
  <c r="JD75" i="39" s="1"/>
  <c r="IY75" i="39"/>
  <c r="IZ75" i="39" s="1"/>
  <c r="IW75" i="39"/>
  <c r="IX75" i="39" s="1"/>
  <c r="IU75" i="39"/>
  <c r="IV75" i="39" s="1"/>
  <c r="IS75" i="39"/>
  <c r="IT75" i="39" s="1"/>
  <c r="IM75" i="39"/>
  <c r="IN75" i="39" s="1"/>
  <c r="IC75" i="39"/>
  <c r="ID75" i="39" s="1"/>
  <c r="IK75" i="39"/>
  <c r="IL75" i="39" s="1"/>
  <c r="II75" i="39"/>
  <c r="IJ75" i="39" s="1"/>
  <c r="IQ75" i="39"/>
  <c r="IR75" i="39" s="1"/>
  <c r="IG75" i="39"/>
  <c r="IH75" i="39" s="1"/>
  <c r="IO75" i="39"/>
  <c r="IP75" i="39" s="1"/>
  <c r="IE75" i="39"/>
  <c r="IF75" i="39" s="1"/>
  <c r="HW75" i="39"/>
  <c r="HX75" i="39" s="1"/>
  <c r="HU75" i="39"/>
  <c r="HV75" i="39" s="1"/>
  <c r="IA75" i="39"/>
  <c r="IB75" i="39" s="1"/>
  <c r="HY75" i="39"/>
  <c r="HZ75" i="39" s="1"/>
  <c r="HO75" i="39"/>
  <c r="HP75" i="39" s="1"/>
  <c r="HM75" i="39"/>
  <c r="HN75" i="39" s="1"/>
  <c r="HS75" i="39"/>
  <c r="HT75" i="39" s="1"/>
  <c r="HI75" i="39"/>
  <c r="HJ75" i="39" s="1"/>
  <c r="HQ75" i="39"/>
  <c r="HR75" i="39" s="1"/>
  <c r="HK75" i="39"/>
  <c r="HL75" i="39" s="1"/>
  <c r="HE75" i="39"/>
  <c r="HF75" i="39" s="1"/>
  <c r="HG75" i="39"/>
  <c r="HH75" i="39" s="1"/>
  <c r="JQ79" i="39"/>
  <c r="JR79" i="39" s="1"/>
  <c r="JW79" i="39"/>
  <c r="JX79" i="39" s="1"/>
  <c r="JU79" i="39"/>
  <c r="JV79" i="39" s="1"/>
  <c r="JS79" i="39"/>
  <c r="JT79" i="39" s="1"/>
  <c r="JA79" i="39"/>
  <c r="JB79" i="39" s="1"/>
  <c r="JG79" i="39"/>
  <c r="JH79" i="39" s="1"/>
  <c r="JE79" i="39"/>
  <c r="JF79" i="39" s="1"/>
  <c r="JC79" i="39"/>
  <c r="JD79" i="39" s="1"/>
  <c r="IY79" i="39"/>
  <c r="IZ79" i="39" s="1"/>
  <c r="IW79" i="39"/>
  <c r="IX79" i="39" s="1"/>
  <c r="IU79" i="39"/>
  <c r="IV79" i="39" s="1"/>
  <c r="IS79" i="39"/>
  <c r="IT79" i="39" s="1"/>
  <c r="IM79" i="39"/>
  <c r="IN79" i="39" s="1"/>
  <c r="IC79" i="39"/>
  <c r="ID79" i="39" s="1"/>
  <c r="IK79" i="39"/>
  <c r="IL79" i="39" s="1"/>
  <c r="II79" i="39"/>
  <c r="IJ79" i="39" s="1"/>
  <c r="IQ79" i="39"/>
  <c r="IR79" i="39" s="1"/>
  <c r="IG79" i="39"/>
  <c r="IH79" i="39" s="1"/>
  <c r="IO79" i="39"/>
  <c r="IP79" i="39" s="1"/>
  <c r="IE79" i="39"/>
  <c r="IF79" i="39" s="1"/>
  <c r="HW79" i="39"/>
  <c r="HX79" i="39" s="1"/>
  <c r="HU79" i="39"/>
  <c r="HV79" i="39" s="1"/>
  <c r="IA79" i="39"/>
  <c r="IB79" i="39" s="1"/>
  <c r="HY79" i="39"/>
  <c r="HZ79" i="39" s="1"/>
  <c r="HO79" i="39"/>
  <c r="HP79" i="39" s="1"/>
  <c r="HM79" i="39"/>
  <c r="HN79" i="39" s="1"/>
  <c r="HS79" i="39"/>
  <c r="HT79" i="39" s="1"/>
  <c r="HI79" i="39"/>
  <c r="HJ79" i="39" s="1"/>
  <c r="HQ79" i="39"/>
  <c r="HR79" i="39" s="1"/>
  <c r="HK79" i="39"/>
  <c r="HL79" i="39" s="1"/>
  <c r="HE79" i="39"/>
  <c r="HF79" i="39" s="1"/>
  <c r="HG79" i="39"/>
  <c r="HH79" i="39" s="1"/>
  <c r="JQ83" i="39"/>
  <c r="JR83" i="39" s="1"/>
  <c r="JU83" i="39"/>
  <c r="JV83" i="39" s="1"/>
  <c r="JS83" i="39"/>
  <c r="JT83" i="39" s="1"/>
  <c r="JW83" i="39"/>
  <c r="JX83" i="39" s="1"/>
  <c r="JA83" i="39"/>
  <c r="JB83" i="39" s="1"/>
  <c r="JG83" i="39"/>
  <c r="JH83" i="39" s="1"/>
  <c r="JE83" i="39"/>
  <c r="JF83" i="39" s="1"/>
  <c r="JC83" i="39"/>
  <c r="JD83" i="39" s="1"/>
  <c r="IY83" i="39"/>
  <c r="IZ83" i="39" s="1"/>
  <c r="IW83" i="39"/>
  <c r="IX83" i="39" s="1"/>
  <c r="IU83" i="39"/>
  <c r="IV83" i="39" s="1"/>
  <c r="IS83" i="39"/>
  <c r="IT83" i="39" s="1"/>
  <c r="IM83" i="39"/>
  <c r="IN83" i="39" s="1"/>
  <c r="IC83" i="39"/>
  <c r="ID83" i="39" s="1"/>
  <c r="IK83" i="39"/>
  <c r="IL83" i="39" s="1"/>
  <c r="II83" i="39"/>
  <c r="IJ83" i="39" s="1"/>
  <c r="IQ83" i="39"/>
  <c r="IR83" i="39" s="1"/>
  <c r="IG83" i="39"/>
  <c r="IH83" i="39" s="1"/>
  <c r="IO83" i="39"/>
  <c r="IP83" i="39" s="1"/>
  <c r="IE83" i="39"/>
  <c r="IF83" i="39" s="1"/>
  <c r="HW83" i="39"/>
  <c r="HX83" i="39" s="1"/>
  <c r="HU83" i="39"/>
  <c r="HV83" i="39" s="1"/>
  <c r="IA83" i="39"/>
  <c r="IB83" i="39" s="1"/>
  <c r="HY83" i="39"/>
  <c r="HZ83" i="39" s="1"/>
  <c r="HO83" i="39"/>
  <c r="HP83" i="39" s="1"/>
  <c r="HM83" i="39"/>
  <c r="HN83" i="39" s="1"/>
  <c r="HS83" i="39"/>
  <c r="HT83" i="39" s="1"/>
  <c r="HI83" i="39"/>
  <c r="HJ83" i="39" s="1"/>
  <c r="HQ83" i="39"/>
  <c r="HR83" i="39" s="1"/>
  <c r="HK83" i="39"/>
  <c r="HL83" i="39" s="1"/>
  <c r="HE83" i="39"/>
  <c r="HF83" i="39" s="1"/>
  <c r="HG83" i="39"/>
  <c r="HH83" i="39" s="1"/>
  <c r="JQ86" i="39"/>
  <c r="JR86" i="39" s="1"/>
  <c r="JW86" i="39"/>
  <c r="JX86" i="39" s="1"/>
  <c r="JU86" i="39"/>
  <c r="JV86" i="39" s="1"/>
  <c r="JS86" i="39"/>
  <c r="JT86" i="39" s="1"/>
  <c r="JA86" i="39"/>
  <c r="JB86" i="39" s="1"/>
  <c r="JG86" i="39"/>
  <c r="JH86" i="39" s="1"/>
  <c r="JE86" i="39"/>
  <c r="JF86" i="39" s="1"/>
  <c r="JC86" i="39"/>
  <c r="JD86" i="39" s="1"/>
  <c r="IY86" i="39"/>
  <c r="IZ86" i="39" s="1"/>
  <c r="IW86" i="39"/>
  <c r="IX86" i="39" s="1"/>
  <c r="IU86" i="39"/>
  <c r="IV86" i="39" s="1"/>
  <c r="IS86" i="39"/>
  <c r="IT86" i="39" s="1"/>
  <c r="IM86" i="39"/>
  <c r="IN86" i="39" s="1"/>
  <c r="IC86" i="39"/>
  <c r="ID86" i="39" s="1"/>
  <c r="IK86" i="39"/>
  <c r="IL86" i="39" s="1"/>
  <c r="II86" i="39"/>
  <c r="IJ86" i="39" s="1"/>
  <c r="IQ86" i="39"/>
  <c r="IR86" i="39" s="1"/>
  <c r="IG86" i="39"/>
  <c r="IH86" i="39" s="1"/>
  <c r="IO86" i="39"/>
  <c r="IP86" i="39" s="1"/>
  <c r="IE86" i="39"/>
  <c r="IF86" i="39" s="1"/>
  <c r="HW86" i="39"/>
  <c r="HX86" i="39" s="1"/>
  <c r="HU86" i="39"/>
  <c r="HV86" i="39" s="1"/>
  <c r="IA86" i="39"/>
  <c r="IB86" i="39" s="1"/>
  <c r="HY86" i="39"/>
  <c r="HZ86" i="39" s="1"/>
  <c r="HO86" i="39"/>
  <c r="HP86" i="39" s="1"/>
  <c r="HK86" i="39"/>
  <c r="HL86" i="39" s="1"/>
  <c r="HM86" i="39"/>
  <c r="HN86" i="39" s="1"/>
  <c r="HS86" i="39"/>
  <c r="HT86" i="39" s="1"/>
  <c r="HQ86" i="39"/>
  <c r="HR86" i="39" s="1"/>
  <c r="HI86" i="39"/>
  <c r="HJ86" i="39" s="1"/>
  <c r="HE86" i="39"/>
  <c r="HF86" i="39" s="1"/>
  <c r="HG86" i="39"/>
  <c r="HH86" i="39" s="1"/>
  <c r="JQ88" i="39"/>
  <c r="JR88" i="39" s="1"/>
  <c r="JS88" i="39"/>
  <c r="JT88" i="39" s="1"/>
  <c r="JW88" i="39"/>
  <c r="JX88" i="39" s="1"/>
  <c r="JU88" i="39"/>
  <c r="JV88" i="39" s="1"/>
  <c r="JA88" i="39"/>
  <c r="JB88" i="39" s="1"/>
  <c r="JG88" i="39"/>
  <c r="JH88" i="39" s="1"/>
  <c r="JE88" i="39"/>
  <c r="JF88" i="39" s="1"/>
  <c r="JC88" i="39"/>
  <c r="JD88" i="39" s="1"/>
  <c r="IY88" i="39"/>
  <c r="IZ88" i="39" s="1"/>
  <c r="IW88" i="39"/>
  <c r="IX88" i="39" s="1"/>
  <c r="IU88" i="39"/>
  <c r="IV88" i="39" s="1"/>
  <c r="IS88" i="39"/>
  <c r="IT88" i="39" s="1"/>
  <c r="IM88" i="39"/>
  <c r="IN88" i="39" s="1"/>
  <c r="IC88" i="39"/>
  <c r="ID88" i="39" s="1"/>
  <c r="IK88" i="39"/>
  <c r="IL88" i="39" s="1"/>
  <c r="II88" i="39"/>
  <c r="IJ88" i="39" s="1"/>
  <c r="IQ88" i="39"/>
  <c r="IR88" i="39" s="1"/>
  <c r="IG88" i="39"/>
  <c r="IH88" i="39" s="1"/>
  <c r="IO88" i="39"/>
  <c r="IP88" i="39" s="1"/>
  <c r="IE88" i="39"/>
  <c r="IF88" i="39" s="1"/>
  <c r="HW88" i="39"/>
  <c r="HX88" i="39" s="1"/>
  <c r="HU88" i="39"/>
  <c r="HV88" i="39" s="1"/>
  <c r="IA88" i="39"/>
  <c r="IB88" i="39" s="1"/>
  <c r="HY88" i="39"/>
  <c r="HZ88" i="39" s="1"/>
  <c r="HO88" i="39"/>
  <c r="HP88" i="39" s="1"/>
  <c r="HG88" i="39"/>
  <c r="HH88" i="39" s="1"/>
  <c r="HM88" i="39"/>
  <c r="HN88" i="39" s="1"/>
  <c r="HI88" i="39"/>
  <c r="HJ88" i="39" s="1"/>
  <c r="HS88" i="39"/>
  <c r="HT88" i="39" s="1"/>
  <c r="HK88" i="39"/>
  <c r="HL88" i="39" s="1"/>
  <c r="HQ88" i="39"/>
  <c r="HR88" i="39" s="1"/>
  <c r="HE88" i="39"/>
  <c r="HF88" i="39" s="1"/>
  <c r="JQ91" i="39"/>
  <c r="JR91" i="39" s="1"/>
  <c r="JW91" i="39"/>
  <c r="JX91" i="39" s="1"/>
  <c r="JU91" i="39"/>
  <c r="JV91" i="39" s="1"/>
  <c r="JS91" i="39"/>
  <c r="JT91" i="39" s="1"/>
  <c r="JE91" i="39"/>
  <c r="JF91" i="39" s="1"/>
  <c r="JC91" i="39"/>
  <c r="JD91" i="39" s="1"/>
  <c r="JG91" i="39"/>
  <c r="JH91" i="39" s="1"/>
  <c r="JA91" i="39"/>
  <c r="JB91" i="39" s="1"/>
  <c r="IY91" i="39"/>
  <c r="IZ91" i="39" s="1"/>
  <c r="IW91" i="39"/>
  <c r="IX91" i="39" s="1"/>
  <c r="IU91" i="39"/>
  <c r="IV91" i="39" s="1"/>
  <c r="IS91" i="39"/>
  <c r="IT91" i="39" s="1"/>
  <c r="IM91" i="39"/>
  <c r="IN91" i="39" s="1"/>
  <c r="IC91" i="39"/>
  <c r="ID91" i="39" s="1"/>
  <c r="IK91" i="39"/>
  <c r="IL91" i="39" s="1"/>
  <c r="II91" i="39"/>
  <c r="IJ91" i="39" s="1"/>
  <c r="IQ91" i="39"/>
  <c r="IR91" i="39" s="1"/>
  <c r="IG91" i="39"/>
  <c r="IH91" i="39" s="1"/>
  <c r="IO91" i="39"/>
  <c r="IP91" i="39" s="1"/>
  <c r="IE91" i="39"/>
  <c r="IF91" i="39" s="1"/>
  <c r="HW91" i="39"/>
  <c r="HX91" i="39" s="1"/>
  <c r="HU91" i="39"/>
  <c r="HV91" i="39" s="1"/>
  <c r="IA91" i="39"/>
  <c r="IB91" i="39" s="1"/>
  <c r="HY91" i="39"/>
  <c r="HZ91" i="39" s="1"/>
  <c r="HS91" i="39"/>
  <c r="HT91" i="39" s="1"/>
  <c r="HO91" i="39"/>
  <c r="HP91" i="39" s="1"/>
  <c r="HM91" i="39"/>
  <c r="HN91" i="39" s="1"/>
  <c r="HG91" i="39"/>
  <c r="HH91" i="39" s="1"/>
  <c r="HI91" i="39"/>
  <c r="HJ91" i="39" s="1"/>
  <c r="HQ91" i="39"/>
  <c r="HR91" i="39" s="1"/>
  <c r="HK91" i="39"/>
  <c r="HL91" i="39" s="1"/>
  <c r="HE91" i="39"/>
  <c r="HF91" i="39" s="1"/>
  <c r="JQ95" i="39"/>
  <c r="JR95" i="39" s="1"/>
  <c r="JW95" i="39"/>
  <c r="JX95" i="39" s="1"/>
  <c r="JU95" i="39"/>
  <c r="JV95" i="39" s="1"/>
  <c r="JS95" i="39"/>
  <c r="JT95" i="39" s="1"/>
  <c r="JE95" i="39"/>
  <c r="JF95" i="39" s="1"/>
  <c r="JC95" i="39"/>
  <c r="JD95" i="39" s="1"/>
  <c r="JG95" i="39"/>
  <c r="JH95" i="39" s="1"/>
  <c r="JA95" i="39"/>
  <c r="JB95" i="39" s="1"/>
  <c r="IY95" i="39"/>
  <c r="IZ95" i="39" s="1"/>
  <c r="IW95" i="39"/>
  <c r="IX95" i="39" s="1"/>
  <c r="IU95" i="39"/>
  <c r="IV95" i="39" s="1"/>
  <c r="IS95" i="39"/>
  <c r="IT95" i="39" s="1"/>
  <c r="IM95" i="39"/>
  <c r="IN95" i="39" s="1"/>
  <c r="IC95" i="39"/>
  <c r="ID95" i="39" s="1"/>
  <c r="IK95" i="39"/>
  <c r="IL95" i="39" s="1"/>
  <c r="II95" i="39"/>
  <c r="IJ95" i="39" s="1"/>
  <c r="IQ95" i="39"/>
  <c r="IR95" i="39" s="1"/>
  <c r="IG95" i="39"/>
  <c r="IH95" i="39" s="1"/>
  <c r="IO95" i="39"/>
  <c r="IP95" i="39" s="1"/>
  <c r="IE95" i="39"/>
  <c r="IF95" i="39" s="1"/>
  <c r="HW95" i="39"/>
  <c r="HX95" i="39" s="1"/>
  <c r="HU95" i="39"/>
  <c r="HV95" i="39" s="1"/>
  <c r="HO95" i="39"/>
  <c r="HP95" i="39" s="1"/>
  <c r="IA95" i="39"/>
  <c r="IB95" i="39" s="1"/>
  <c r="HY95" i="39"/>
  <c r="HZ95" i="39" s="1"/>
  <c r="HS95" i="39"/>
  <c r="HT95" i="39" s="1"/>
  <c r="HM95" i="39"/>
  <c r="HN95" i="39" s="1"/>
  <c r="HG95" i="39"/>
  <c r="HH95" i="39" s="1"/>
  <c r="HI95" i="39"/>
  <c r="HJ95" i="39" s="1"/>
  <c r="HQ95" i="39"/>
  <c r="HR95" i="39" s="1"/>
  <c r="HK95" i="39"/>
  <c r="HL95" i="39" s="1"/>
  <c r="HE95" i="39"/>
  <c r="HF95" i="39" s="1"/>
  <c r="JQ99" i="39"/>
  <c r="JR99" i="39" s="1"/>
  <c r="JU99" i="39"/>
  <c r="JV99" i="39" s="1"/>
  <c r="JS99" i="39"/>
  <c r="JT99" i="39" s="1"/>
  <c r="JW99" i="39"/>
  <c r="JX99" i="39" s="1"/>
  <c r="JE99" i="39"/>
  <c r="JF99" i="39" s="1"/>
  <c r="JC99" i="39"/>
  <c r="JD99" i="39" s="1"/>
  <c r="JG99" i="39"/>
  <c r="JH99" i="39" s="1"/>
  <c r="JA99" i="39"/>
  <c r="JB99" i="39" s="1"/>
  <c r="IY99" i="39"/>
  <c r="IZ99" i="39" s="1"/>
  <c r="IW99" i="39"/>
  <c r="IX99" i="39" s="1"/>
  <c r="IU99" i="39"/>
  <c r="IV99" i="39" s="1"/>
  <c r="IS99" i="39"/>
  <c r="IT99" i="39" s="1"/>
  <c r="IM99" i="39"/>
  <c r="IN99" i="39" s="1"/>
  <c r="IC99" i="39"/>
  <c r="ID99" i="39" s="1"/>
  <c r="IK99" i="39"/>
  <c r="IL99" i="39" s="1"/>
  <c r="II99" i="39"/>
  <c r="IJ99" i="39" s="1"/>
  <c r="IQ99" i="39"/>
  <c r="IR99" i="39" s="1"/>
  <c r="IG99" i="39"/>
  <c r="IH99" i="39" s="1"/>
  <c r="IO99" i="39"/>
  <c r="IP99" i="39" s="1"/>
  <c r="IE99" i="39"/>
  <c r="IF99" i="39" s="1"/>
  <c r="HW99" i="39"/>
  <c r="HX99" i="39" s="1"/>
  <c r="HU99" i="39"/>
  <c r="HV99" i="39" s="1"/>
  <c r="HO99" i="39"/>
  <c r="HP99" i="39" s="1"/>
  <c r="IA99" i="39"/>
  <c r="IB99" i="39" s="1"/>
  <c r="HY99" i="39"/>
  <c r="HZ99" i="39" s="1"/>
  <c r="HS99" i="39"/>
  <c r="HT99" i="39" s="1"/>
  <c r="HM99" i="39"/>
  <c r="HN99" i="39" s="1"/>
  <c r="HG99" i="39"/>
  <c r="HH99" i="39" s="1"/>
  <c r="HI99" i="39"/>
  <c r="HJ99" i="39" s="1"/>
  <c r="HQ99" i="39"/>
  <c r="HR99" i="39" s="1"/>
  <c r="HK99" i="39"/>
  <c r="HL99" i="39" s="1"/>
  <c r="HE99" i="39"/>
  <c r="HF99" i="39" s="1"/>
  <c r="JQ103" i="39"/>
  <c r="JR103" i="39" s="1"/>
  <c r="JS103" i="39"/>
  <c r="JT103" i="39" s="1"/>
  <c r="JW103" i="39"/>
  <c r="JX103" i="39" s="1"/>
  <c r="JU103" i="39"/>
  <c r="JV103" i="39" s="1"/>
  <c r="JE103" i="39"/>
  <c r="JF103" i="39" s="1"/>
  <c r="JC103" i="39"/>
  <c r="JD103" i="39" s="1"/>
  <c r="JG103" i="39"/>
  <c r="JH103" i="39" s="1"/>
  <c r="JA103" i="39"/>
  <c r="JB103" i="39" s="1"/>
  <c r="IY103" i="39"/>
  <c r="IZ103" i="39" s="1"/>
  <c r="IW103" i="39"/>
  <c r="IX103" i="39" s="1"/>
  <c r="IO103" i="39"/>
  <c r="IP103" i="39" s="1"/>
  <c r="IU103" i="39"/>
  <c r="IV103" i="39" s="1"/>
  <c r="IS103" i="39"/>
  <c r="IT103" i="39" s="1"/>
  <c r="IK103" i="39"/>
  <c r="IL103" i="39" s="1"/>
  <c r="IM103" i="39"/>
  <c r="IN103" i="39" s="1"/>
  <c r="IC103" i="39"/>
  <c r="ID103" i="39" s="1"/>
  <c r="II103" i="39"/>
  <c r="IJ103" i="39" s="1"/>
  <c r="IG103" i="39"/>
  <c r="IH103" i="39" s="1"/>
  <c r="IQ103" i="39"/>
  <c r="IR103" i="39" s="1"/>
  <c r="IE103" i="39"/>
  <c r="IF103" i="39" s="1"/>
  <c r="HW103" i="39"/>
  <c r="HX103" i="39" s="1"/>
  <c r="HU103" i="39"/>
  <c r="HV103" i="39" s="1"/>
  <c r="HO103" i="39"/>
  <c r="HP103" i="39" s="1"/>
  <c r="IA103" i="39"/>
  <c r="IB103" i="39" s="1"/>
  <c r="HY103" i="39"/>
  <c r="HZ103" i="39" s="1"/>
  <c r="HS103" i="39"/>
  <c r="HT103" i="39" s="1"/>
  <c r="HM103" i="39"/>
  <c r="HN103" i="39" s="1"/>
  <c r="HG103" i="39"/>
  <c r="HH103" i="39" s="1"/>
  <c r="HI103" i="39"/>
  <c r="HJ103" i="39" s="1"/>
  <c r="HQ103" i="39"/>
  <c r="HR103" i="39" s="1"/>
  <c r="HK103" i="39"/>
  <c r="HL103" i="39" s="1"/>
  <c r="HE103" i="39"/>
  <c r="HF103" i="39" s="1"/>
  <c r="JQ105" i="39"/>
  <c r="JR105" i="39" s="1"/>
  <c r="JU105" i="39"/>
  <c r="JV105" i="39" s="1"/>
  <c r="JW105" i="39"/>
  <c r="JX105" i="39" s="1"/>
  <c r="JS105" i="39"/>
  <c r="JT105" i="39" s="1"/>
  <c r="JN105" i="39"/>
  <c r="JE105" i="39"/>
  <c r="JF105" i="39" s="1"/>
  <c r="JC105" i="39"/>
  <c r="JD105" i="39" s="1"/>
  <c r="JG105" i="39"/>
  <c r="JH105" i="39" s="1"/>
  <c r="JA105" i="39"/>
  <c r="JB105" i="39" s="1"/>
  <c r="IY105" i="39"/>
  <c r="IZ105" i="39" s="1"/>
  <c r="IW105" i="39"/>
  <c r="IX105" i="39" s="1"/>
  <c r="IO105" i="39"/>
  <c r="IP105" i="39" s="1"/>
  <c r="IU105" i="39"/>
  <c r="IV105" i="39" s="1"/>
  <c r="IS105" i="39"/>
  <c r="IT105" i="39" s="1"/>
  <c r="IK105" i="39"/>
  <c r="IL105" i="39" s="1"/>
  <c r="IM105" i="39"/>
  <c r="IN105" i="39" s="1"/>
  <c r="IC105" i="39"/>
  <c r="ID105" i="39" s="1"/>
  <c r="II105" i="39"/>
  <c r="IJ105" i="39" s="1"/>
  <c r="IG105" i="39"/>
  <c r="IH105" i="39" s="1"/>
  <c r="IQ105" i="39"/>
  <c r="IR105" i="39" s="1"/>
  <c r="IE105" i="39"/>
  <c r="IF105" i="39" s="1"/>
  <c r="HW105" i="39"/>
  <c r="HX105" i="39" s="1"/>
  <c r="HU105" i="39"/>
  <c r="HV105" i="39" s="1"/>
  <c r="HO105" i="39"/>
  <c r="HP105" i="39" s="1"/>
  <c r="IA105" i="39"/>
  <c r="IB105" i="39" s="1"/>
  <c r="HY105" i="39"/>
  <c r="HZ105" i="39" s="1"/>
  <c r="HS105" i="39"/>
  <c r="HT105" i="39" s="1"/>
  <c r="HM105" i="39"/>
  <c r="HN105" i="39" s="1"/>
  <c r="HI105" i="39"/>
  <c r="HJ105" i="39" s="1"/>
  <c r="HK105" i="39"/>
  <c r="HL105" i="39" s="1"/>
  <c r="HQ105" i="39"/>
  <c r="HR105" i="39" s="1"/>
  <c r="HG105" i="39"/>
  <c r="HH105" i="39" s="1"/>
  <c r="HE105" i="39"/>
  <c r="HF105" i="39" s="1"/>
  <c r="JQ109" i="39"/>
  <c r="JR109" i="39" s="1"/>
  <c r="JU109" i="39"/>
  <c r="JV109" i="39" s="1"/>
  <c r="JW109" i="39"/>
  <c r="JX109" i="39" s="1"/>
  <c r="JS109" i="39"/>
  <c r="JT109" i="39" s="1"/>
  <c r="JP109" i="39"/>
  <c r="JA109" i="39"/>
  <c r="JB109" i="39" s="1"/>
  <c r="JG109" i="39"/>
  <c r="JH109" i="39" s="1"/>
  <c r="JE109" i="39"/>
  <c r="JF109" i="39" s="1"/>
  <c r="JC109" i="39"/>
  <c r="JD109" i="39" s="1"/>
  <c r="IY109" i="39"/>
  <c r="IZ109" i="39" s="1"/>
  <c r="IW109" i="39"/>
  <c r="IX109" i="39" s="1"/>
  <c r="IO109" i="39"/>
  <c r="IP109" i="39" s="1"/>
  <c r="IU109" i="39"/>
  <c r="IV109" i="39" s="1"/>
  <c r="IS109" i="39"/>
  <c r="IT109" i="39" s="1"/>
  <c r="IK109" i="39"/>
  <c r="IL109" i="39" s="1"/>
  <c r="IM109" i="39"/>
  <c r="IN109" i="39" s="1"/>
  <c r="IC109" i="39"/>
  <c r="ID109" i="39" s="1"/>
  <c r="II109" i="39"/>
  <c r="IJ109" i="39" s="1"/>
  <c r="IG109" i="39"/>
  <c r="IH109" i="39" s="1"/>
  <c r="IQ109" i="39"/>
  <c r="IR109" i="39" s="1"/>
  <c r="IE109" i="39"/>
  <c r="IF109" i="39" s="1"/>
  <c r="HW109" i="39"/>
  <c r="HX109" i="39" s="1"/>
  <c r="HU109" i="39"/>
  <c r="HV109" i="39" s="1"/>
  <c r="HO109" i="39"/>
  <c r="HP109" i="39" s="1"/>
  <c r="IA109" i="39"/>
  <c r="IB109" i="39" s="1"/>
  <c r="HY109" i="39"/>
  <c r="HZ109" i="39" s="1"/>
  <c r="HS109" i="39"/>
  <c r="HT109" i="39" s="1"/>
  <c r="HM109" i="39"/>
  <c r="HN109" i="39" s="1"/>
  <c r="HI109" i="39"/>
  <c r="HJ109" i="39" s="1"/>
  <c r="HK109" i="39"/>
  <c r="HL109" i="39" s="1"/>
  <c r="HQ109" i="39"/>
  <c r="HR109" i="39" s="1"/>
  <c r="HG109" i="39"/>
  <c r="HH109" i="39" s="1"/>
  <c r="HE109" i="39"/>
  <c r="HF109" i="39" s="1"/>
  <c r="JQ113" i="39"/>
  <c r="JR113" i="39" s="1"/>
  <c r="JU113" i="39"/>
  <c r="JV113" i="39" s="1"/>
  <c r="JW113" i="39"/>
  <c r="JX113" i="39" s="1"/>
  <c r="JS113" i="39"/>
  <c r="JT113" i="39" s="1"/>
  <c r="JA113" i="39"/>
  <c r="JB113" i="39" s="1"/>
  <c r="JG113" i="39"/>
  <c r="JH113" i="39" s="1"/>
  <c r="JE113" i="39"/>
  <c r="JF113" i="39" s="1"/>
  <c r="JC113" i="39"/>
  <c r="JD113" i="39" s="1"/>
  <c r="IY113" i="39"/>
  <c r="IZ113" i="39" s="1"/>
  <c r="IW113" i="39"/>
  <c r="IX113" i="39" s="1"/>
  <c r="IO113" i="39"/>
  <c r="IP113" i="39" s="1"/>
  <c r="IU113" i="39"/>
  <c r="IV113" i="39" s="1"/>
  <c r="IS113" i="39"/>
  <c r="IT113" i="39" s="1"/>
  <c r="IK113" i="39"/>
  <c r="IL113" i="39" s="1"/>
  <c r="IM113" i="39"/>
  <c r="IN113" i="39" s="1"/>
  <c r="IC113" i="39"/>
  <c r="ID113" i="39" s="1"/>
  <c r="II113" i="39"/>
  <c r="IJ113" i="39" s="1"/>
  <c r="IG113" i="39"/>
  <c r="IH113" i="39" s="1"/>
  <c r="IQ113" i="39"/>
  <c r="IR113" i="39" s="1"/>
  <c r="IE113" i="39"/>
  <c r="IF113" i="39" s="1"/>
  <c r="HW113" i="39"/>
  <c r="HX113" i="39" s="1"/>
  <c r="HU113" i="39"/>
  <c r="HV113" i="39" s="1"/>
  <c r="HO113" i="39"/>
  <c r="HP113" i="39" s="1"/>
  <c r="IA113" i="39"/>
  <c r="IB113" i="39" s="1"/>
  <c r="HY113" i="39"/>
  <c r="HZ113" i="39" s="1"/>
  <c r="HS113" i="39"/>
  <c r="HT113" i="39" s="1"/>
  <c r="HM113" i="39"/>
  <c r="HN113" i="39" s="1"/>
  <c r="HI113" i="39"/>
  <c r="HJ113" i="39" s="1"/>
  <c r="HK113" i="39"/>
  <c r="HL113" i="39" s="1"/>
  <c r="HQ113" i="39"/>
  <c r="HR113" i="39" s="1"/>
  <c r="HG113" i="39"/>
  <c r="HH113" i="39" s="1"/>
  <c r="HE113" i="39"/>
  <c r="HF113" i="39" s="1"/>
  <c r="JQ117" i="39"/>
  <c r="JR117" i="39" s="1"/>
  <c r="JU117" i="39"/>
  <c r="JV117" i="39" s="1"/>
  <c r="JS117" i="39"/>
  <c r="JT117" i="39" s="1"/>
  <c r="JW117" i="39"/>
  <c r="JX117" i="39" s="1"/>
  <c r="JA117" i="39"/>
  <c r="JB117" i="39" s="1"/>
  <c r="JG117" i="39"/>
  <c r="JH117" i="39" s="1"/>
  <c r="JE117" i="39"/>
  <c r="JF117" i="39" s="1"/>
  <c r="JC117" i="39"/>
  <c r="JD117" i="39" s="1"/>
  <c r="IY117" i="39"/>
  <c r="IZ117" i="39" s="1"/>
  <c r="IQ117" i="39"/>
  <c r="IR117" i="39" s="1"/>
  <c r="IW117" i="39"/>
  <c r="IX117" i="39" s="1"/>
  <c r="IO117" i="39"/>
  <c r="IP117" i="39" s="1"/>
  <c r="IU117" i="39"/>
  <c r="IV117" i="39" s="1"/>
  <c r="IM117" i="39"/>
  <c r="IN117" i="39" s="1"/>
  <c r="IS117" i="39"/>
  <c r="IT117" i="39" s="1"/>
  <c r="IK117" i="39"/>
  <c r="IL117" i="39" s="1"/>
  <c r="IC117" i="39"/>
  <c r="ID117" i="39" s="1"/>
  <c r="II117" i="39"/>
  <c r="IJ117" i="39" s="1"/>
  <c r="IG117" i="39"/>
  <c r="IH117" i="39" s="1"/>
  <c r="IE117" i="39"/>
  <c r="IF117" i="39" s="1"/>
  <c r="HW117" i="39"/>
  <c r="HX117" i="39" s="1"/>
  <c r="HQ117" i="39"/>
  <c r="HR117" i="39" s="1"/>
  <c r="HU117" i="39"/>
  <c r="HV117" i="39" s="1"/>
  <c r="HO117" i="39"/>
  <c r="HP117" i="39" s="1"/>
  <c r="IA117" i="39"/>
  <c r="IB117" i="39" s="1"/>
  <c r="HM117" i="39"/>
  <c r="HN117" i="39" s="1"/>
  <c r="HY117" i="39"/>
  <c r="HZ117" i="39" s="1"/>
  <c r="HS117" i="39"/>
  <c r="HT117" i="39" s="1"/>
  <c r="HI117" i="39"/>
  <c r="HJ117" i="39" s="1"/>
  <c r="HK117" i="39"/>
  <c r="HL117" i="39" s="1"/>
  <c r="HG117" i="39"/>
  <c r="HH117" i="39" s="1"/>
  <c r="HE117" i="39"/>
  <c r="HF117" i="39" s="1"/>
  <c r="JQ121" i="39"/>
  <c r="JR121" i="39" s="1"/>
  <c r="JU121" i="39"/>
  <c r="JV121" i="39" s="1"/>
  <c r="JW121" i="39"/>
  <c r="JX121" i="39" s="1"/>
  <c r="JS121" i="39"/>
  <c r="JT121" i="39" s="1"/>
  <c r="JP121" i="39"/>
  <c r="JA121" i="39"/>
  <c r="JB121" i="39" s="1"/>
  <c r="JG121" i="39"/>
  <c r="JH121" i="39" s="1"/>
  <c r="JE121" i="39"/>
  <c r="JF121" i="39" s="1"/>
  <c r="JC121" i="39"/>
  <c r="JD121" i="39" s="1"/>
  <c r="IY121" i="39"/>
  <c r="IZ121" i="39" s="1"/>
  <c r="IQ121" i="39"/>
  <c r="IR121" i="39" s="1"/>
  <c r="IW121" i="39"/>
  <c r="IX121" i="39" s="1"/>
  <c r="IO121" i="39"/>
  <c r="IP121" i="39" s="1"/>
  <c r="IU121" i="39"/>
  <c r="IV121" i="39" s="1"/>
  <c r="IM121" i="39"/>
  <c r="IN121" i="39" s="1"/>
  <c r="IS121" i="39"/>
  <c r="IT121" i="39" s="1"/>
  <c r="IK121" i="39"/>
  <c r="IL121" i="39" s="1"/>
  <c r="IC121" i="39"/>
  <c r="ID121" i="39" s="1"/>
  <c r="II121" i="39"/>
  <c r="IJ121" i="39" s="1"/>
  <c r="IG121" i="39"/>
  <c r="IH121" i="39" s="1"/>
  <c r="IE121" i="39"/>
  <c r="IF121" i="39" s="1"/>
  <c r="HW121" i="39"/>
  <c r="HX121" i="39" s="1"/>
  <c r="HQ121" i="39"/>
  <c r="HR121" i="39" s="1"/>
  <c r="HU121" i="39"/>
  <c r="HV121" i="39" s="1"/>
  <c r="HO121" i="39"/>
  <c r="HP121" i="39" s="1"/>
  <c r="IA121" i="39"/>
  <c r="IB121" i="39" s="1"/>
  <c r="HM121" i="39"/>
  <c r="HN121" i="39" s="1"/>
  <c r="HY121" i="39"/>
  <c r="HZ121" i="39" s="1"/>
  <c r="HS121" i="39"/>
  <c r="HT121" i="39" s="1"/>
  <c r="HI121" i="39"/>
  <c r="HJ121" i="39" s="1"/>
  <c r="HK121" i="39"/>
  <c r="HL121" i="39" s="1"/>
  <c r="HG121" i="39"/>
  <c r="HH121" i="39" s="1"/>
  <c r="HE121" i="39"/>
  <c r="HF121" i="39" s="1"/>
  <c r="JQ125" i="39"/>
  <c r="JR125" i="39" s="1"/>
  <c r="JU125" i="39"/>
  <c r="JV125" i="39" s="1"/>
  <c r="JW125" i="39"/>
  <c r="JX125" i="39" s="1"/>
  <c r="JS125" i="39"/>
  <c r="JT125" i="39" s="1"/>
  <c r="JA125" i="39"/>
  <c r="JB125" i="39" s="1"/>
  <c r="JG125" i="39"/>
  <c r="JH125" i="39" s="1"/>
  <c r="JE125" i="39"/>
  <c r="JF125" i="39" s="1"/>
  <c r="JC125" i="39"/>
  <c r="JD125" i="39" s="1"/>
  <c r="IY125" i="39"/>
  <c r="IZ125" i="39" s="1"/>
  <c r="IQ125" i="39"/>
  <c r="IR125" i="39" s="1"/>
  <c r="IW125" i="39"/>
  <c r="IX125" i="39" s="1"/>
  <c r="IO125" i="39"/>
  <c r="IP125" i="39" s="1"/>
  <c r="IU125" i="39"/>
  <c r="IV125" i="39" s="1"/>
  <c r="IM125" i="39"/>
  <c r="IN125" i="39" s="1"/>
  <c r="IS125" i="39"/>
  <c r="IT125" i="39" s="1"/>
  <c r="IK125" i="39"/>
  <c r="IL125" i="39" s="1"/>
  <c r="IC125" i="39"/>
  <c r="ID125" i="39" s="1"/>
  <c r="II125" i="39"/>
  <c r="IJ125" i="39" s="1"/>
  <c r="IG125" i="39"/>
  <c r="IH125" i="39" s="1"/>
  <c r="IE125" i="39"/>
  <c r="IF125" i="39" s="1"/>
  <c r="HW125" i="39"/>
  <c r="HX125" i="39" s="1"/>
  <c r="HQ125" i="39"/>
  <c r="HR125" i="39" s="1"/>
  <c r="HU125" i="39"/>
  <c r="HV125" i="39" s="1"/>
  <c r="HO125" i="39"/>
  <c r="HP125" i="39" s="1"/>
  <c r="IA125" i="39"/>
  <c r="IB125" i="39" s="1"/>
  <c r="HM125" i="39"/>
  <c r="HN125" i="39" s="1"/>
  <c r="HY125" i="39"/>
  <c r="HZ125" i="39" s="1"/>
  <c r="HS125" i="39"/>
  <c r="HT125" i="39" s="1"/>
  <c r="HI125" i="39"/>
  <c r="HJ125" i="39" s="1"/>
  <c r="HK125" i="39"/>
  <c r="HL125" i="39" s="1"/>
  <c r="HG125" i="39"/>
  <c r="HH125" i="39" s="1"/>
  <c r="HE125" i="39"/>
  <c r="HF125" i="39" s="1"/>
  <c r="JQ129" i="39"/>
  <c r="JR129" i="39" s="1"/>
  <c r="JW129" i="39"/>
  <c r="JX129" i="39" s="1"/>
  <c r="JU129" i="39"/>
  <c r="JV129" i="39" s="1"/>
  <c r="JS129" i="39"/>
  <c r="JT129" i="39" s="1"/>
  <c r="JN129" i="39"/>
  <c r="JA129" i="39"/>
  <c r="JB129" i="39" s="1"/>
  <c r="JG129" i="39"/>
  <c r="JH129" i="39" s="1"/>
  <c r="JE129" i="39"/>
  <c r="JF129" i="39" s="1"/>
  <c r="JC129" i="39"/>
  <c r="JD129" i="39" s="1"/>
  <c r="IY129" i="39"/>
  <c r="IZ129" i="39" s="1"/>
  <c r="IQ129" i="39"/>
  <c r="IR129" i="39" s="1"/>
  <c r="IW129" i="39"/>
  <c r="IX129" i="39" s="1"/>
  <c r="IO129" i="39"/>
  <c r="IP129" i="39" s="1"/>
  <c r="IU129" i="39"/>
  <c r="IV129" i="39" s="1"/>
  <c r="IM129" i="39"/>
  <c r="IN129" i="39" s="1"/>
  <c r="IS129" i="39"/>
  <c r="IT129" i="39" s="1"/>
  <c r="IK129" i="39"/>
  <c r="IL129" i="39" s="1"/>
  <c r="IC129" i="39"/>
  <c r="ID129" i="39" s="1"/>
  <c r="II129" i="39"/>
  <c r="IJ129" i="39" s="1"/>
  <c r="IG129" i="39"/>
  <c r="IH129" i="39" s="1"/>
  <c r="IE129" i="39"/>
  <c r="IF129" i="39" s="1"/>
  <c r="HW129" i="39"/>
  <c r="HX129" i="39" s="1"/>
  <c r="HQ129" i="39"/>
  <c r="HR129" i="39" s="1"/>
  <c r="HU129" i="39"/>
  <c r="HV129" i="39" s="1"/>
  <c r="HO129" i="39"/>
  <c r="HP129" i="39" s="1"/>
  <c r="IA129" i="39"/>
  <c r="IB129" i="39" s="1"/>
  <c r="HM129" i="39"/>
  <c r="HN129" i="39" s="1"/>
  <c r="HY129" i="39"/>
  <c r="HZ129" i="39" s="1"/>
  <c r="HS129" i="39"/>
  <c r="HT129" i="39" s="1"/>
  <c r="HI129" i="39"/>
  <c r="HJ129" i="39" s="1"/>
  <c r="HK129" i="39"/>
  <c r="HL129" i="39" s="1"/>
  <c r="HG129" i="39"/>
  <c r="HH129" i="39" s="1"/>
  <c r="HE129" i="39"/>
  <c r="HF129" i="39" s="1"/>
  <c r="JQ133" i="39"/>
  <c r="JR133" i="39" s="1"/>
  <c r="JW133" i="39"/>
  <c r="JX133" i="39" s="1"/>
  <c r="JU133" i="39"/>
  <c r="JV133" i="39" s="1"/>
  <c r="JS133" i="39"/>
  <c r="JT133" i="39" s="1"/>
  <c r="JP133" i="39"/>
  <c r="JA133" i="39"/>
  <c r="JB133" i="39" s="1"/>
  <c r="JG133" i="39"/>
  <c r="JH133" i="39" s="1"/>
  <c r="JE133" i="39"/>
  <c r="JF133" i="39" s="1"/>
  <c r="JC133" i="39"/>
  <c r="JD133" i="39" s="1"/>
  <c r="IY133" i="39"/>
  <c r="IZ133" i="39" s="1"/>
  <c r="IQ133" i="39"/>
  <c r="IR133" i="39" s="1"/>
  <c r="IW133" i="39"/>
  <c r="IX133" i="39" s="1"/>
  <c r="IO133" i="39"/>
  <c r="IP133" i="39" s="1"/>
  <c r="IU133" i="39"/>
  <c r="IV133" i="39" s="1"/>
  <c r="IM133" i="39"/>
  <c r="IN133" i="39" s="1"/>
  <c r="IS133" i="39"/>
  <c r="IT133" i="39" s="1"/>
  <c r="IK133" i="39"/>
  <c r="IL133" i="39" s="1"/>
  <c r="IC133" i="39"/>
  <c r="ID133" i="39" s="1"/>
  <c r="II133" i="39"/>
  <c r="IJ133" i="39" s="1"/>
  <c r="IG133" i="39"/>
  <c r="IH133" i="39" s="1"/>
  <c r="IE133" i="39"/>
  <c r="IF133" i="39" s="1"/>
  <c r="HW133" i="39"/>
  <c r="HX133" i="39" s="1"/>
  <c r="HQ133" i="39"/>
  <c r="HR133" i="39" s="1"/>
  <c r="HU133" i="39"/>
  <c r="HV133" i="39" s="1"/>
  <c r="HO133" i="39"/>
  <c r="HP133" i="39" s="1"/>
  <c r="IA133" i="39"/>
  <c r="IB133" i="39" s="1"/>
  <c r="HM133" i="39"/>
  <c r="HN133" i="39" s="1"/>
  <c r="HY133" i="39"/>
  <c r="HZ133" i="39" s="1"/>
  <c r="HS133" i="39"/>
  <c r="HT133" i="39" s="1"/>
  <c r="HI133" i="39"/>
  <c r="HJ133" i="39" s="1"/>
  <c r="HK133" i="39"/>
  <c r="HL133" i="39" s="1"/>
  <c r="HG133" i="39"/>
  <c r="HH133" i="39" s="1"/>
  <c r="HE133" i="39"/>
  <c r="HF133" i="39" s="1"/>
  <c r="JQ137" i="39"/>
  <c r="JR137" i="39" s="1"/>
  <c r="JW137" i="39"/>
  <c r="JX137" i="39" s="1"/>
  <c r="JU137" i="39"/>
  <c r="JV137" i="39" s="1"/>
  <c r="JS137" i="39"/>
  <c r="JT137" i="39" s="1"/>
  <c r="JA137" i="39"/>
  <c r="JB137" i="39" s="1"/>
  <c r="JG137" i="39"/>
  <c r="JH137" i="39" s="1"/>
  <c r="JE137" i="39"/>
  <c r="JF137" i="39" s="1"/>
  <c r="JC137" i="39"/>
  <c r="JD137" i="39" s="1"/>
  <c r="IY137" i="39"/>
  <c r="IZ137" i="39" s="1"/>
  <c r="IQ137" i="39"/>
  <c r="IR137" i="39" s="1"/>
  <c r="IW137" i="39"/>
  <c r="IX137" i="39" s="1"/>
  <c r="IO137" i="39"/>
  <c r="IP137" i="39" s="1"/>
  <c r="IU137" i="39"/>
  <c r="IV137" i="39" s="1"/>
  <c r="IM137" i="39"/>
  <c r="IN137" i="39" s="1"/>
  <c r="IS137" i="39"/>
  <c r="IT137" i="39" s="1"/>
  <c r="IK137" i="39"/>
  <c r="IL137" i="39" s="1"/>
  <c r="IC137" i="39"/>
  <c r="ID137" i="39" s="1"/>
  <c r="II137" i="39"/>
  <c r="IJ137" i="39" s="1"/>
  <c r="IG137" i="39"/>
  <c r="IH137" i="39" s="1"/>
  <c r="IE137" i="39"/>
  <c r="IF137" i="39" s="1"/>
  <c r="HW137" i="39"/>
  <c r="HX137" i="39" s="1"/>
  <c r="HQ137" i="39"/>
  <c r="HR137" i="39" s="1"/>
  <c r="HU137" i="39"/>
  <c r="HV137" i="39" s="1"/>
  <c r="HO137" i="39"/>
  <c r="HP137" i="39" s="1"/>
  <c r="IA137" i="39"/>
  <c r="IB137" i="39" s="1"/>
  <c r="HM137" i="39"/>
  <c r="HN137" i="39" s="1"/>
  <c r="HY137" i="39"/>
  <c r="HZ137" i="39" s="1"/>
  <c r="HS137" i="39"/>
  <c r="HT137" i="39" s="1"/>
  <c r="HI137" i="39"/>
  <c r="HJ137" i="39" s="1"/>
  <c r="HK137" i="39"/>
  <c r="HL137" i="39" s="1"/>
  <c r="HG137" i="39"/>
  <c r="HH137" i="39" s="1"/>
  <c r="HE137" i="39"/>
  <c r="HF137" i="39" s="1"/>
  <c r="JQ141" i="39"/>
  <c r="JR141" i="39" s="1"/>
  <c r="JW141" i="39"/>
  <c r="JX141" i="39" s="1"/>
  <c r="JU141" i="39"/>
  <c r="JV141" i="39" s="1"/>
  <c r="JS141" i="39"/>
  <c r="JT141" i="39" s="1"/>
  <c r="JL141" i="39"/>
  <c r="JA141" i="39"/>
  <c r="JB141" i="39" s="1"/>
  <c r="JG141" i="39"/>
  <c r="JH141" i="39" s="1"/>
  <c r="JE141" i="39"/>
  <c r="JF141" i="39" s="1"/>
  <c r="JC141" i="39"/>
  <c r="JD141" i="39" s="1"/>
  <c r="IY141" i="39"/>
  <c r="IZ141" i="39" s="1"/>
  <c r="IQ141" i="39"/>
  <c r="IR141" i="39" s="1"/>
  <c r="IW141" i="39"/>
  <c r="IX141" i="39" s="1"/>
  <c r="IO141" i="39"/>
  <c r="IP141" i="39" s="1"/>
  <c r="IU141" i="39"/>
  <c r="IV141" i="39" s="1"/>
  <c r="IM141" i="39"/>
  <c r="IN141" i="39" s="1"/>
  <c r="IS141" i="39"/>
  <c r="IT141" i="39" s="1"/>
  <c r="IK141" i="39"/>
  <c r="IL141" i="39" s="1"/>
  <c r="IC141" i="39"/>
  <c r="ID141" i="39" s="1"/>
  <c r="II141" i="39"/>
  <c r="IJ141" i="39" s="1"/>
  <c r="IG141" i="39"/>
  <c r="IH141" i="39" s="1"/>
  <c r="IE141" i="39"/>
  <c r="IF141" i="39" s="1"/>
  <c r="HW141" i="39"/>
  <c r="HX141" i="39" s="1"/>
  <c r="HQ141" i="39"/>
  <c r="HR141" i="39" s="1"/>
  <c r="HU141" i="39"/>
  <c r="HV141" i="39" s="1"/>
  <c r="HO141" i="39"/>
  <c r="HP141" i="39" s="1"/>
  <c r="IA141" i="39"/>
  <c r="IB141" i="39" s="1"/>
  <c r="HM141" i="39"/>
  <c r="HN141" i="39" s="1"/>
  <c r="HY141" i="39"/>
  <c r="HZ141" i="39" s="1"/>
  <c r="HS141" i="39"/>
  <c r="HT141" i="39" s="1"/>
  <c r="HI141" i="39"/>
  <c r="HJ141" i="39" s="1"/>
  <c r="HK141" i="39"/>
  <c r="HL141" i="39" s="1"/>
  <c r="HG141" i="39"/>
  <c r="HH141" i="39" s="1"/>
  <c r="HE141" i="39"/>
  <c r="HF141" i="39" s="1"/>
  <c r="JQ145" i="39"/>
  <c r="JR145" i="39" s="1"/>
  <c r="JW145" i="39"/>
  <c r="JX145" i="39" s="1"/>
  <c r="JU145" i="39"/>
  <c r="JV145" i="39" s="1"/>
  <c r="JS145" i="39"/>
  <c r="JT145" i="39" s="1"/>
  <c r="JP145" i="39"/>
  <c r="JA145" i="39"/>
  <c r="JB145" i="39" s="1"/>
  <c r="JG145" i="39"/>
  <c r="JH145" i="39" s="1"/>
  <c r="JE145" i="39"/>
  <c r="JF145" i="39" s="1"/>
  <c r="JC145" i="39"/>
  <c r="JD145" i="39" s="1"/>
  <c r="IY145" i="39"/>
  <c r="IZ145" i="39" s="1"/>
  <c r="IQ145" i="39"/>
  <c r="IR145" i="39" s="1"/>
  <c r="IW145" i="39"/>
  <c r="IX145" i="39" s="1"/>
  <c r="IO145" i="39"/>
  <c r="IP145" i="39" s="1"/>
  <c r="IU145" i="39"/>
  <c r="IV145" i="39" s="1"/>
  <c r="IM145" i="39"/>
  <c r="IN145" i="39" s="1"/>
  <c r="IS145" i="39"/>
  <c r="IT145" i="39" s="1"/>
  <c r="IK145" i="39"/>
  <c r="IL145" i="39" s="1"/>
  <c r="IC145" i="39"/>
  <c r="ID145" i="39" s="1"/>
  <c r="II145" i="39"/>
  <c r="IJ145" i="39" s="1"/>
  <c r="IG145" i="39"/>
  <c r="IH145" i="39" s="1"/>
  <c r="IE145" i="39"/>
  <c r="IF145" i="39" s="1"/>
  <c r="HW145" i="39"/>
  <c r="HX145" i="39" s="1"/>
  <c r="HQ145" i="39"/>
  <c r="HR145" i="39" s="1"/>
  <c r="HU145" i="39"/>
  <c r="HV145" i="39" s="1"/>
  <c r="HO145" i="39"/>
  <c r="HP145" i="39" s="1"/>
  <c r="IA145" i="39"/>
  <c r="IB145" i="39" s="1"/>
  <c r="HM145" i="39"/>
  <c r="HN145" i="39" s="1"/>
  <c r="HY145" i="39"/>
  <c r="HZ145" i="39" s="1"/>
  <c r="HS145" i="39"/>
  <c r="HT145" i="39" s="1"/>
  <c r="HI145" i="39"/>
  <c r="HJ145" i="39" s="1"/>
  <c r="HK145" i="39"/>
  <c r="HL145" i="39" s="1"/>
  <c r="HG145" i="39"/>
  <c r="HH145" i="39" s="1"/>
  <c r="HE145" i="39"/>
  <c r="HF145" i="39" s="1"/>
  <c r="JQ149" i="39"/>
  <c r="JR149" i="39" s="1"/>
  <c r="JW149" i="39"/>
  <c r="JX149" i="39" s="1"/>
  <c r="JU149" i="39"/>
  <c r="JV149" i="39" s="1"/>
  <c r="JS149" i="39"/>
  <c r="JT149" i="39" s="1"/>
  <c r="JA149" i="39"/>
  <c r="JB149" i="39" s="1"/>
  <c r="JG149" i="39"/>
  <c r="JH149" i="39" s="1"/>
  <c r="JE149" i="39"/>
  <c r="JF149" i="39" s="1"/>
  <c r="JC149" i="39"/>
  <c r="JD149" i="39" s="1"/>
  <c r="IY149" i="39"/>
  <c r="IZ149" i="39" s="1"/>
  <c r="IU149" i="39"/>
  <c r="IV149" i="39" s="1"/>
  <c r="IW149" i="39"/>
  <c r="IX149" i="39" s="1"/>
  <c r="IQ149" i="39"/>
  <c r="IR149" i="39" s="1"/>
  <c r="IS149" i="39"/>
  <c r="IT149" i="39" s="1"/>
  <c r="IO149" i="39"/>
  <c r="IP149" i="39" s="1"/>
  <c r="IM149" i="39"/>
  <c r="IN149" i="39" s="1"/>
  <c r="IK149" i="39"/>
  <c r="IL149" i="39" s="1"/>
  <c r="IC149" i="39"/>
  <c r="ID149" i="39" s="1"/>
  <c r="II149" i="39"/>
  <c r="IJ149" i="39" s="1"/>
  <c r="IG149" i="39"/>
  <c r="IH149" i="39" s="1"/>
  <c r="IE149" i="39"/>
  <c r="IF149" i="39" s="1"/>
  <c r="HW149" i="39"/>
  <c r="HX149" i="39" s="1"/>
  <c r="HQ149" i="39"/>
  <c r="HR149" i="39" s="1"/>
  <c r="HU149" i="39"/>
  <c r="HV149" i="39" s="1"/>
  <c r="HO149" i="39"/>
  <c r="HP149" i="39" s="1"/>
  <c r="IA149" i="39"/>
  <c r="IB149" i="39" s="1"/>
  <c r="HM149" i="39"/>
  <c r="HN149" i="39" s="1"/>
  <c r="HY149" i="39"/>
  <c r="HZ149" i="39" s="1"/>
  <c r="HS149" i="39"/>
  <c r="HT149" i="39" s="1"/>
  <c r="HI149" i="39"/>
  <c r="HJ149" i="39" s="1"/>
  <c r="HK149" i="39"/>
  <c r="HL149" i="39" s="1"/>
  <c r="HG149" i="39"/>
  <c r="HH149" i="39" s="1"/>
  <c r="HE149" i="39"/>
  <c r="HF149" i="39" s="1"/>
  <c r="JQ153" i="39"/>
  <c r="JR153" i="39" s="1"/>
  <c r="JW153" i="39"/>
  <c r="JX153" i="39" s="1"/>
  <c r="JU153" i="39"/>
  <c r="JV153" i="39" s="1"/>
  <c r="JS153" i="39"/>
  <c r="JT153" i="39" s="1"/>
  <c r="JA153" i="39"/>
  <c r="JB153" i="39" s="1"/>
  <c r="JG153" i="39"/>
  <c r="JH153" i="39" s="1"/>
  <c r="JE153" i="39"/>
  <c r="JF153" i="39" s="1"/>
  <c r="JC153" i="39"/>
  <c r="JD153" i="39" s="1"/>
  <c r="IY153" i="39"/>
  <c r="IZ153" i="39" s="1"/>
  <c r="IU153" i="39"/>
  <c r="IV153" i="39" s="1"/>
  <c r="IW153" i="39"/>
  <c r="IX153" i="39" s="1"/>
  <c r="IQ153" i="39"/>
  <c r="IR153" i="39" s="1"/>
  <c r="IS153" i="39"/>
  <c r="IT153" i="39" s="1"/>
  <c r="IO153" i="39"/>
  <c r="IP153" i="39" s="1"/>
  <c r="IM153" i="39"/>
  <c r="IN153" i="39" s="1"/>
  <c r="IK153" i="39"/>
  <c r="IL153" i="39" s="1"/>
  <c r="IC153" i="39"/>
  <c r="ID153" i="39" s="1"/>
  <c r="II153" i="39"/>
  <c r="IJ153" i="39" s="1"/>
  <c r="IG153" i="39"/>
  <c r="IH153" i="39" s="1"/>
  <c r="IE153" i="39"/>
  <c r="IF153" i="39" s="1"/>
  <c r="HW153" i="39"/>
  <c r="HX153" i="39" s="1"/>
  <c r="HQ153" i="39"/>
  <c r="HR153" i="39" s="1"/>
  <c r="HU153" i="39"/>
  <c r="HV153" i="39" s="1"/>
  <c r="HO153" i="39"/>
  <c r="HP153" i="39" s="1"/>
  <c r="IA153" i="39"/>
  <c r="IB153" i="39" s="1"/>
  <c r="HM153" i="39"/>
  <c r="HN153" i="39" s="1"/>
  <c r="HY153" i="39"/>
  <c r="HZ153" i="39" s="1"/>
  <c r="HS153" i="39"/>
  <c r="HT153" i="39" s="1"/>
  <c r="HI153" i="39"/>
  <c r="HJ153" i="39" s="1"/>
  <c r="HK153" i="39"/>
  <c r="HL153" i="39" s="1"/>
  <c r="HG153" i="39"/>
  <c r="HH153" i="39" s="1"/>
  <c r="HE153" i="39"/>
  <c r="HF153" i="39" s="1"/>
  <c r="JQ157" i="39"/>
  <c r="JR157" i="39" s="1"/>
  <c r="JW157" i="39"/>
  <c r="JX157" i="39" s="1"/>
  <c r="JU157" i="39"/>
  <c r="JV157" i="39" s="1"/>
  <c r="JS157" i="39"/>
  <c r="JT157" i="39" s="1"/>
  <c r="JP157" i="39"/>
  <c r="JA157" i="39"/>
  <c r="JB157" i="39" s="1"/>
  <c r="JG157" i="39"/>
  <c r="JH157" i="39" s="1"/>
  <c r="JE157" i="39"/>
  <c r="JF157" i="39" s="1"/>
  <c r="JC157" i="39"/>
  <c r="JD157" i="39" s="1"/>
  <c r="IY157" i="39"/>
  <c r="IZ157" i="39" s="1"/>
  <c r="IU157" i="39"/>
  <c r="IV157" i="39" s="1"/>
  <c r="IW157" i="39"/>
  <c r="IX157" i="39" s="1"/>
  <c r="IQ157" i="39"/>
  <c r="IR157" i="39" s="1"/>
  <c r="IS157" i="39"/>
  <c r="IT157" i="39" s="1"/>
  <c r="IO157" i="39"/>
  <c r="IP157" i="39" s="1"/>
  <c r="IM157" i="39"/>
  <c r="IN157" i="39" s="1"/>
  <c r="IK157" i="39"/>
  <c r="IL157" i="39" s="1"/>
  <c r="IC157" i="39"/>
  <c r="ID157" i="39" s="1"/>
  <c r="II157" i="39"/>
  <c r="IJ157" i="39" s="1"/>
  <c r="IG157" i="39"/>
  <c r="IH157" i="39" s="1"/>
  <c r="IE157" i="39"/>
  <c r="IF157" i="39" s="1"/>
  <c r="HW157" i="39"/>
  <c r="HX157" i="39" s="1"/>
  <c r="HQ157" i="39"/>
  <c r="HR157" i="39" s="1"/>
  <c r="HU157" i="39"/>
  <c r="HV157" i="39" s="1"/>
  <c r="HO157" i="39"/>
  <c r="HP157" i="39" s="1"/>
  <c r="IA157" i="39"/>
  <c r="IB157" i="39" s="1"/>
  <c r="HM157" i="39"/>
  <c r="HN157" i="39" s="1"/>
  <c r="HY157" i="39"/>
  <c r="HZ157" i="39" s="1"/>
  <c r="HS157" i="39"/>
  <c r="HT157" i="39" s="1"/>
  <c r="HI157" i="39"/>
  <c r="HJ157" i="39" s="1"/>
  <c r="HK157" i="39"/>
  <c r="HL157" i="39" s="1"/>
  <c r="HG157" i="39"/>
  <c r="HH157" i="39" s="1"/>
  <c r="HE157" i="39"/>
  <c r="HF157" i="39" s="1"/>
  <c r="JQ161" i="39"/>
  <c r="JR161" i="39" s="1"/>
  <c r="JW161" i="39"/>
  <c r="JX161" i="39" s="1"/>
  <c r="JU161" i="39"/>
  <c r="JV161" i="39" s="1"/>
  <c r="JS161" i="39"/>
  <c r="JT161" i="39" s="1"/>
  <c r="JA161" i="39"/>
  <c r="JB161" i="39" s="1"/>
  <c r="JG161" i="39"/>
  <c r="JH161" i="39" s="1"/>
  <c r="JE161" i="39"/>
  <c r="JF161" i="39" s="1"/>
  <c r="JC161" i="39"/>
  <c r="JD161" i="39" s="1"/>
  <c r="IY161" i="39"/>
  <c r="IZ161" i="39" s="1"/>
  <c r="IU161" i="39"/>
  <c r="IV161" i="39" s="1"/>
  <c r="IW161" i="39"/>
  <c r="IX161" i="39" s="1"/>
  <c r="IQ161" i="39"/>
  <c r="IR161" i="39" s="1"/>
  <c r="IS161" i="39"/>
  <c r="IT161" i="39" s="1"/>
  <c r="IO161" i="39"/>
  <c r="IP161" i="39" s="1"/>
  <c r="IM161" i="39"/>
  <c r="IN161" i="39" s="1"/>
  <c r="IK161" i="39"/>
  <c r="IL161" i="39" s="1"/>
  <c r="IC161" i="39"/>
  <c r="ID161" i="39" s="1"/>
  <c r="II161" i="39"/>
  <c r="IJ161" i="39" s="1"/>
  <c r="IG161" i="39"/>
  <c r="IH161" i="39" s="1"/>
  <c r="IE161" i="39"/>
  <c r="IF161" i="39" s="1"/>
  <c r="HW161" i="39"/>
  <c r="HX161" i="39" s="1"/>
  <c r="HQ161" i="39"/>
  <c r="HR161" i="39" s="1"/>
  <c r="HU161" i="39"/>
  <c r="HV161" i="39" s="1"/>
  <c r="HO161" i="39"/>
  <c r="HP161" i="39" s="1"/>
  <c r="IA161" i="39"/>
  <c r="IB161" i="39" s="1"/>
  <c r="HM161" i="39"/>
  <c r="HN161" i="39" s="1"/>
  <c r="HY161" i="39"/>
  <c r="HZ161" i="39" s="1"/>
  <c r="HS161" i="39"/>
  <c r="HT161" i="39" s="1"/>
  <c r="HI161" i="39"/>
  <c r="HJ161" i="39" s="1"/>
  <c r="HK161" i="39"/>
  <c r="HL161" i="39" s="1"/>
  <c r="HG161" i="39"/>
  <c r="HH161" i="39" s="1"/>
  <c r="HE161" i="39"/>
  <c r="HF161" i="39" s="1"/>
  <c r="JQ46" i="39"/>
  <c r="JR46" i="39" s="1"/>
  <c r="JW46" i="39"/>
  <c r="JX46" i="39" s="1"/>
  <c r="JU46" i="39"/>
  <c r="JV46" i="39" s="1"/>
  <c r="JS46" i="39"/>
  <c r="JT46" i="39" s="1"/>
  <c r="JN46" i="39"/>
  <c r="JA46" i="39"/>
  <c r="JB46" i="39" s="1"/>
  <c r="JG46" i="39"/>
  <c r="JH46" i="39" s="1"/>
  <c r="JE46" i="39"/>
  <c r="JF46" i="39" s="1"/>
  <c r="JC46" i="39"/>
  <c r="JD46" i="39" s="1"/>
  <c r="IY46" i="39"/>
  <c r="IZ46" i="39" s="1"/>
  <c r="IW46" i="39"/>
  <c r="IX46" i="39" s="1"/>
  <c r="IU46" i="39"/>
  <c r="IV46" i="39" s="1"/>
  <c r="IS46" i="39"/>
  <c r="IT46" i="39" s="1"/>
  <c r="IM46" i="39"/>
  <c r="IN46" i="39" s="1"/>
  <c r="IC46" i="39"/>
  <c r="ID46" i="39" s="1"/>
  <c r="IK46" i="39"/>
  <c r="IL46" i="39" s="1"/>
  <c r="II46" i="39"/>
  <c r="IJ46" i="39" s="1"/>
  <c r="IQ46" i="39"/>
  <c r="IR46" i="39" s="1"/>
  <c r="IG46" i="39"/>
  <c r="IH46" i="39" s="1"/>
  <c r="IO46" i="39"/>
  <c r="IP46" i="39" s="1"/>
  <c r="IE46" i="39"/>
  <c r="IF46" i="39" s="1"/>
  <c r="HW46" i="39"/>
  <c r="HX46" i="39" s="1"/>
  <c r="HU46" i="39"/>
  <c r="HV46" i="39" s="1"/>
  <c r="IA46" i="39"/>
  <c r="IB46" i="39" s="1"/>
  <c r="HY46" i="39"/>
  <c r="HZ46" i="39" s="1"/>
  <c r="HO46" i="39"/>
  <c r="HP46" i="39" s="1"/>
  <c r="HK46" i="39"/>
  <c r="HL46" i="39" s="1"/>
  <c r="HM46" i="39"/>
  <c r="HN46" i="39" s="1"/>
  <c r="HS46" i="39"/>
  <c r="HT46" i="39" s="1"/>
  <c r="HQ46" i="39"/>
  <c r="HR46" i="39" s="1"/>
  <c r="HI46" i="39"/>
  <c r="HJ46" i="39" s="1"/>
  <c r="HE46" i="39"/>
  <c r="HF46" i="39" s="1"/>
  <c r="HG46" i="39"/>
  <c r="HH46" i="39" s="1"/>
  <c r="JQ52" i="39"/>
  <c r="JR52" i="39" s="1"/>
  <c r="JS52" i="39"/>
  <c r="JT52" i="39" s="1"/>
  <c r="JW52" i="39"/>
  <c r="JX52" i="39" s="1"/>
  <c r="JU52" i="39"/>
  <c r="JV52" i="39" s="1"/>
  <c r="JA52" i="39"/>
  <c r="JB52" i="39" s="1"/>
  <c r="JG52" i="39"/>
  <c r="JH52" i="39" s="1"/>
  <c r="JE52" i="39"/>
  <c r="JF52" i="39" s="1"/>
  <c r="JC52" i="39"/>
  <c r="JD52" i="39" s="1"/>
  <c r="IY52" i="39"/>
  <c r="IZ52" i="39" s="1"/>
  <c r="IW52" i="39"/>
  <c r="IX52" i="39" s="1"/>
  <c r="IU52" i="39"/>
  <c r="IV52" i="39" s="1"/>
  <c r="IS52" i="39"/>
  <c r="IT52" i="39" s="1"/>
  <c r="IM52" i="39"/>
  <c r="IN52" i="39" s="1"/>
  <c r="IC52" i="39"/>
  <c r="ID52" i="39" s="1"/>
  <c r="IK52" i="39"/>
  <c r="IL52" i="39" s="1"/>
  <c r="II52" i="39"/>
  <c r="IJ52" i="39" s="1"/>
  <c r="IQ52" i="39"/>
  <c r="IR52" i="39" s="1"/>
  <c r="IG52" i="39"/>
  <c r="IH52" i="39" s="1"/>
  <c r="IO52" i="39"/>
  <c r="IP52" i="39" s="1"/>
  <c r="IE52" i="39"/>
  <c r="IF52" i="39" s="1"/>
  <c r="HW52" i="39"/>
  <c r="HX52" i="39" s="1"/>
  <c r="HU52" i="39"/>
  <c r="HV52" i="39" s="1"/>
  <c r="IA52" i="39"/>
  <c r="IB52" i="39" s="1"/>
  <c r="HY52" i="39"/>
  <c r="HZ52" i="39" s="1"/>
  <c r="HO52" i="39"/>
  <c r="HP52" i="39" s="1"/>
  <c r="HM52" i="39"/>
  <c r="HN52" i="39" s="1"/>
  <c r="HI52" i="39"/>
  <c r="HJ52" i="39" s="1"/>
  <c r="HS52" i="39"/>
  <c r="HT52" i="39" s="1"/>
  <c r="HK52" i="39"/>
  <c r="HL52" i="39" s="1"/>
  <c r="HQ52" i="39"/>
  <c r="HR52" i="39" s="1"/>
  <c r="HG52" i="39"/>
  <c r="HH52" i="39" s="1"/>
  <c r="HE52" i="39"/>
  <c r="HF52" i="39" s="1"/>
  <c r="JQ54" i="39"/>
  <c r="JR54" i="39" s="1"/>
  <c r="JW54" i="39"/>
  <c r="JX54" i="39" s="1"/>
  <c r="JU54" i="39"/>
  <c r="JV54" i="39" s="1"/>
  <c r="JS54" i="39"/>
  <c r="JT54" i="39" s="1"/>
  <c r="JN54" i="39"/>
  <c r="JA54" i="39"/>
  <c r="JB54" i="39" s="1"/>
  <c r="JG54" i="39"/>
  <c r="JH54" i="39" s="1"/>
  <c r="JE54" i="39"/>
  <c r="JF54" i="39" s="1"/>
  <c r="JC54" i="39"/>
  <c r="JD54" i="39" s="1"/>
  <c r="IY54" i="39"/>
  <c r="IZ54" i="39" s="1"/>
  <c r="IW54" i="39"/>
  <c r="IX54" i="39" s="1"/>
  <c r="IU54" i="39"/>
  <c r="IV54" i="39" s="1"/>
  <c r="IS54" i="39"/>
  <c r="IT54" i="39" s="1"/>
  <c r="IM54" i="39"/>
  <c r="IN54" i="39" s="1"/>
  <c r="IC54" i="39"/>
  <c r="ID54" i="39" s="1"/>
  <c r="IK54" i="39"/>
  <c r="IL54" i="39" s="1"/>
  <c r="II54" i="39"/>
  <c r="IJ54" i="39" s="1"/>
  <c r="IQ54" i="39"/>
  <c r="IR54" i="39" s="1"/>
  <c r="IG54" i="39"/>
  <c r="IH54" i="39" s="1"/>
  <c r="IO54" i="39"/>
  <c r="IP54" i="39" s="1"/>
  <c r="IE54" i="39"/>
  <c r="IF54" i="39" s="1"/>
  <c r="HW54" i="39"/>
  <c r="HX54" i="39" s="1"/>
  <c r="HU54" i="39"/>
  <c r="HV54" i="39" s="1"/>
  <c r="IA54" i="39"/>
  <c r="IB54" i="39" s="1"/>
  <c r="HY54" i="39"/>
  <c r="HZ54" i="39" s="1"/>
  <c r="HO54" i="39"/>
  <c r="HP54" i="39" s="1"/>
  <c r="HK54" i="39"/>
  <c r="HL54" i="39" s="1"/>
  <c r="HM54" i="39"/>
  <c r="HN54" i="39" s="1"/>
  <c r="HS54" i="39"/>
  <c r="HT54" i="39" s="1"/>
  <c r="HQ54" i="39"/>
  <c r="HR54" i="39" s="1"/>
  <c r="HI54" i="39"/>
  <c r="HJ54" i="39" s="1"/>
  <c r="HE54" i="39"/>
  <c r="HF54" i="39" s="1"/>
  <c r="HG54" i="39"/>
  <c r="HH54" i="39" s="1"/>
  <c r="JQ57" i="39"/>
  <c r="JR57" i="39" s="1"/>
  <c r="JU57" i="39"/>
  <c r="JV57" i="39" s="1"/>
  <c r="JW57" i="39"/>
  <c r="JX57" i="39" s="1"/>
  <c r="JS57" i="39"/>
  <c r="JT57" i="39" s="1"/>
  <c r="JA57" i="39"/>
  <c r="JB57" i="39" s="1"/>
  <c r="JG57" i="39"/>
  <c r="JH57" i="39" s="1"/>
  <c r="JE57" i="39"/>
  <c r="JF57" i="39" s="1"/>
  <c r="JC57" i="39"/>
  <c r="JD57" i="39" s="1"/>
  <c r="IY57" i="39"/>
  <c r="IZ57" i="39" s="1"/>
  <c r="IW57" i="39"/>
  <c r="IX57" i="39" s="1"/>
  <c r="IU57" i="39"/>
  <c r="IV57" i="39" s="1"/>
  <c r="IS57" i="39"/>
  <c r="IT57" i="39" s="1"/>
  <c r="IM57" i="39"/>
  <c r="IN57" i="39" s="1"/>
  <c r="IC57" i="39"/>
  <c r="ID57" i="39" s="1"/>
  <c r="IK57" i="39"/>
  <c r="IL57" i="39" s="1"/>
  <c r="II57" i="39"/>
  <c r="IJ57" i="39" s="1"/>
  <c r="IQ57" i="39"/>
  <c r="IR57" i="39" s="1"/>
  <c r="IG57" i="39"/>
  <c r="IH57" i="39" s="1"/>
  <c r="IO57" i="39"/>
  <c r="IP57" i="39" s="1"/>
  <c r="IE57" i="39"/>
  <c r="IF57" i="39" s="1"/>
  <c r="HW57" i="39"/>
  <c r="HX57" i="39" s="1"/>
  <c r="HU57" i="39"/>
  <c r="HV57" i="39" s="1"/>
  <c r="IA57" i="39"/>
  <c r="IB57" i="39" s="1"/>
  <c r="HY57" i="39"/>
  <c r="HZ57" i="39" s="1"/>
  <c r="HO57" i="39"/>
  <c r="HP57" i="39" s="1"/>
  <c r="HI57" i="39"/>
  <c r="HJ57" i="39" s="1"/>
  <c r="HM57" i="39"/>
  <c r="HN57" i="39" s="1"/>
  <c r="HK57" i="39"/>
  <c r="HL57" i="39" s="1"/>
  <c r="HS57" i="39"/>
  <c r="HT57" i="39" s="1"/>
  <c r="HQ57" i="39"/>
  <c r="HR57" i="39" s="1"/>
  <c r="HG57" i="39"/>
  <c r="HH57" i="39" s="1"/>
  <c r="HE57" i="39"/>
  <c r="HF57" i="39" s="1"/>
  <c r="JQ61" i="39"/>
  <c r="JR61" i="39" s="1"/>
  <c r="JU61" i="39"/>
  <c r="JV61" i="39" s="1"/>
  <c r="JW61" i="39"/>
  <c r="JX61" i="39" s="1"/>
  <c r="JS61" i="39"/>
  <c r="JT61" i="39" s="1"/>
  <c r="JA61" i="39"/>
  <c r="JB61" i="39" s="1"/>
  <c r="JG61" i="39"/>
  <c r="JH61" i="39" s="1"/>
  <c r="JE61" i="39"/>
  <c r="JF61" i="39" s="1"/>
  <c r="JC61" i="39"/>
  <c r="JD61" i="39" s="1"/>
  <c r="IY61" i="39"/>
  <c r="IZ61" i="39" s="1"/>
  <c r="IW61" i="39"/>
  <c r="IX61" i="39" s="1"/>
  <c r="IU61" i="39"/>
  <c r="IV61" i="39" s="1"/>
  <c r="IS61" i="39"/>
  <c r="IT61" i="39" s="1"/>
  <c r="IM61" i="39"/>
  <c r="IN61" i="39" s="1"/>
  <c r="IC61" i="39"/>
  <c r="ID61" i="39" s="1"/>
  <c r="IK61" i="39"/>
  <c r="IL61" i="39" s="1"/>
  <c r="II61" i="39"/>
  <c r="IJ61" i="39" s="1"/>
  <c r="IQ61" i="39"/>
  <c r="IR61" i="39" s="1"/>
  <c r="IG61" i="39"/>
  <c r="IH61" i="39" s="1"/>
  <c r="IO61" i="39"/>
  <c r="IP61" i="39" s="1"/>
  <c r="IE61" i="39"/>
  <c r="IF61" i="39" s="1"/>
  <c r="HW61" i="39"/>
  <c r="HX61" i="39" s="1"/>
  <c r="HU61" i="39"/>
  <c r="HV61" i="39" s="1"/>
  <c r="IA61" i="39"/>
  <c r="IB61" i="39" s="1"/>
  <c r="HY61" i="39"/>
  <c r="HZ61" i="39" s="1"/>
  <c r="HO61" i="39"/>
  <c r="HP61" i="39" s="1"/>
  <c r="HI61" i="39"/>
  <c r="HJ61" i="39" s="1"/>
  <c r="HM61" i="39"/>
  <c r="HN61" i="39" s="1"/>
  <c r="HK61" i="39"/>
  <c r="HL61" i="39" s="1"/>
  <c r="HS61" i="39"/>
  <c r="HT61" i="39" s="1"/>
  <c r="HQ61" i="39"/>
  <c r="HR61" i="39" s="1"/>
  <c r="HG61" i="39"/>
  <c r="HH61" i="39" s="1"/>
  <c r="HE61" i="39"/>
  <c r="HF61" i="39" s="1"/>
  <c r="JQ65" i="39"/>
  <c r="JR65" i="39" s="1"/>
  <c r="JU65" i="39"/>
  <c r="JV65" i="39" s="1"/>
  <c r="JW65" i="39"/>
  <c r="JX65" i="39" s="1"/>
  <c r="JS65" i="39"/>
  <c r="JT65" i="39" s="1"/>
  <c r="JA65" i="39"/>
  <c r="JB65" i="39" s="1"/>
  <c r="JG65" i="39"/>
  <c r="JH65" i="39" s="1"/>
  <c r="JE65" i="39"/>
  <c r="JF65" i="39" s="1"/>
  <c r="JC65" i="39"/>
  <c r="JD65" i="39" s="1"/>
  <c r="IY65" i="39"/>
  <c r="IZ65" i="39" s="1"/>
  <c r="IW65" i="39"/>
  <c r="IX65" i="39" s="1"/>
  <c r="IU65" i="39"/>
  <c r="IV65" i="39" s="1"/>
  <c r="IS65" i="39"/>
  <c r="IT65" i="39" s="1"/>
  <c r="IM65" i="39"/>
  <c r="IN65" i="39" s="1"/>
  <c r="IC65" i="39"/>
  <c r="ID65" i="39" s="1"/>
  <c r="IK65" i="39"/>
  <c r="IL65" i="39" s="1"/>
  <c r="II65" i="39"/>
  <c r="IJ65" i="39" s="1"/>
  <c r="IQ65" i="39"/>
  <c r="IR65" i="39" s="1"/>
  <c r="IG65" i="39"/>
  <c r="IH65" i="39" s="1"/>
  <c r="IO65" i="39"/>
  <c r="IP65" i="39" s="1"/>
  <c r="IE65" i="39"/>
  <c r="IF65" i="39" s="1"/>
  <c r="HW65" i="39"/>
  <c r="HX65" i="39" s="1"/>
  <c r="HU65" i="39"/>
  <c r="HV65" i="39" s="1"/>
  <c r="IA65" i="39"/>
  <c r="IB65" i="39" s="1"/>
  <c r="HY65" i="39"/>
  <c r="HZ65" i="39" s="1"/>
  <c r="HO65" i="39"/>
  <c r="HP65" i="39" s="1"/>
  <c r="HI65" i="39"/>
  <c r="HJ65" i="39" s="1"/>
  <c r="HM65" i="39"/>
  <c r="HN65" i="39" s="1"/>
  <c r="HK65" i="39"/>
  <c r="HL65" i="39" s="1"/>
  <c r="HS65" i="39"/>
  <c r="HT65" i="39" s="1"/>
  <c r="HQ65" i="39"/>
  <c r="HR65" i="39" s="1"/>
  <c r="HG65" i="39"/>
  <c r="HH65" i="39" s="1"/>
  <c r="HE65" i="39"/>
  <c r="HF65" i="39" s="1"/>
  <c r="JQ67" i="39"/>
  <c r="JR67" i="39" s="1"/>
  <c r="JU67" i="39"/>
  <c r="JV67" i="39" s="1"/>
  <c r="JS67" i="39"/>
  <c r="JT67" i="39" s="1"/>
  <c r="JW67" i="39"/>
  <c r="JX67" i="39" s="1"/>
  <c r="JA67" i="39"/>
  <c r="JB67" i="39" s="1"/>
  <c r="JG67" i="39"/>
  <c r="JH67" i="39" s="1"/>
  <c r="JE67" i="39"/>
  <c r="JF67" i="39" s="1"/>
  <c r="JC67" i="39"/>
  <c r="JD67" i="39" s="1"/>
  <c r="IY67" i="39"/>
  <c r="IZ67" i="39" s="1"/>
  <c r="IW67" i="39"/>
  <c r="IX67" i="39" s="1"/>
  <c r="IU67" i="39"/>
  <c r="IV67" i="39" s="1"/>
  <c r="IS67" i="39"/>
  <c r="IT67" i="39" s="1"/>
  <c r="IM67" i="39"/>
  <c r="IN67" i="39" s="1"/>
  <c r="IC67" i="39"/>
  <c r="ID67" i="39" s="1"/>
  <c r="IK67" i="39"/>
  <c r="IL67" i="39" s="1"/>
  <c r="II67" i="39"/>
  <c r="IJ67" i="39" s="1"/>
  <c r="IQ67" i="39"/>
  <c r="IR67" i="39" s="1"/>
  <c r="IG67" i="39"/>
  <c r="IH67" i="39" s="1"/>
  <c r="IO67" i="39"/>
  <c r="IP67" i="39" s="1"/>
  <c r="IE67" i="39"/>
  <c r="IF67" i="39" s="1"/>
  <c r="HW67" i="39"/>
  <c r="HX67" i="39" s="1"/>
  <c r="HU67" i="39"/>
  <c r="HV67" i="39" s="1"/>
  <c r="IA67" i="39"/>
  <c r="IB67" i="39" s="1"/>
  <c r="HY67" i="39"/>
  <c r="HZ67" i="39" s="1"/>
  <c r="HO67" i="39"/>
  <c r="HP67" i="39" s="1"/>
  <c r="HM67" i="39"/>
  <c r="HN67" i="39" s="1"/>
  <c r="HS67" i="39"/>
  <c r="HT67" i="39" s="1"/>
  <c r="HI67" i="39"/>
  <c r="HJ67" i="39" s="1"/>
  <c r="HQ67" i="39"/>
  <c r="HR67" i="39" s="1"/>
  <c r="HK67" i="39"/>
  <c r="HL67" i="39" s="1"/>
  <c r="HE67" i="39"/>
  <c r="HF67" i="39" s="1"/>
  <c r="HG67" i="39"/>
  <c r="HH67" i="39" s="1"/>
  <c r="JQ72" i="39"/>
  <c r="JR72" i="39" s="1"/>
  <c r="JS72" i="39"/>
  <c r="JT72" i="39" s="1"/>
  <c r="JW72" i="39"/>
  <c r="JX72" i="39" s="1"/>
  <c r="JU72" i="39"/>
  <c r="JV72" i="39" s="1"/>
  <c r="JA72" i="39"/>
  <c r="JB72" i="39" s="1"/>
  <c r="JG72" i="39"/>
  <c r="JH72" i="39" s="1"/>
  <c r="JE72" i="39"/>
  <c r="JF72" i="39" s="1"/>
  <c r="JC72" i="39"/>
  <c r="JD72" i="39" s="1"/>
  <c r="IY72" i="39"/>
  <c r="IZ72" i="39" s="1"/>
  <c r="IW72" i="39"/>
  <c r="IX72" i="39" s="1"/>
  <c r="IU72" i="39"/>
  <c r="IV72" i="39" s="1"/>
  <c r="IS72" i="39"/>
  <c r="IT72" i="39" s="1"/>
  <c r="IM72" i="39"/>
  <c r="IN72" i="39" s="1"/>
  <c r="IC72" i="39"/>
  <c r="ID72" i="39" s="1"/>
  <c r="IK72" i="39"/>
  <c r="IL72" i="39" s="1"/>
  <c r="II72" i="39"/>
  <c r="IJ72" i="39" s="1"/>
  <c r="IQ72" i="39"/>
  <c r="IR72" i="39" s="1"/>
  <c r="IG72" i="39"/>
  <c r="IH72" i="39" s="1"/>
  <c r="IO72" i="39"/>
  <c r="IP72" i="39" s="1"/>
  <c r="IE72" i="39"/>
  <c r="IF72" i="39" s="1"/>
  <c r="HW72" i="39"/>
  <c r="HX72" i="39" s="1"/>
  <c r="HU72" i="39"/>
  <c r="HV72" i="39" s="1"/>
  <c r="IA72" i="39"/>
  <c r="IB72" i="39" s="1"/>
  <c r="HY72" i="39"/>
  <c r="HZ72" i="39" s="1"/>
  <c r="HO72" i="39"/>
  <c r="HP72" i="39" s="1"/>
  <c r="HM72" i="39"/>
  <c r="HN72" i="39" s="1"/>
  <c r="HI72" i="39"/>
  <c r="HJ72" i="39" s="1"/>
  <c r="HS72" i="39"/>
  <c r="HT72" i="39" s="1"/>
  <c r="HK72" i="39"/>
  <c r="HL72" i="39" s="1"/>
  <c r="HQ72" i="39"/>
  <c r="HR72" i="39" s="1"/>
  <c r="HG72" i="39"/>
  <c r="HH72" i="39" s="1"/>
  <c r="HE72" i="39"/>
  <c r="HF72" i="39" s="1"/>
  <c r="JQ76" i="39"/>
  <c r="JR76" i="39" s="1"/>
  <c r="JS76" i="39"/>
  <c r="JT76" i="39" s="1"/>
  <c r="JU76" i="39"/>
  <c r="JV76" i="39" s="1"/>
  <c r="JW76" i="39"/>
  <c r="JX76" i="39" s="1"/>
  <c r="JA76" i="39"/>
  <c r="JB76" i="39" s="1"/>
  <c r="JG76" i="39"/>
  <c r="JH76" i="39" s="1"/>
  <c r="JE76" i="39"/>
  <c r="JF76" i="39" s="1"/>
  <c r="JC76" i="39"/>
  <c r="JD76" i="39" s="1"/>
  <c r="IY76" i="39"/>
  <c r="IZ76" i="39" s="1"/>
  <c r="IW76" i="39"/>
  <c r="IX76" i="39" s="1"/>
  <c r="IU76" i="39"/>
  <c r="IV76" i="39" s="1"/>
  <c r="IS76" i="39"/>
  <c r="IT76" i="39" s="1"/>
  <c r="IM76" i="39"/>
  <c r="IN76" i="39" s="1"/>
  <c r="IC76" i="39"/>
  <c r="ID76" i="39" s="1"/>
  <c r="IK76" i="39"/>
  <c r="IL76" i="39" s="1"/>
  <c r="II76" i="39"/>
  <c r="IJ76" i="39" s="1"/>
  <c r="IQ76" i="39"/>
  <c r="IR76" i="39" s="1"/>
  <c r="IG76" i="39"/>
  <c r="IH76" i="39" s="1"/>
  <c r="IO76" i="39"/>
  <c r="IP76" i="39" s="1"/>
  <c r="IE76" i="39"/>
  <c r="IF76" i="39" s="1"/>
  <c r="HW76" i="39"/>
  <c r="HX76" i="39" s="1"/>
  <c r="HU76" i="39"/>
  <c r="HV76" i="39" s="1"/>
  <c r="IA76" i="39"/>
  <c r="IB76" i="39" s="1"/>
  <c r="HY76" i="39"/>
  <c r="HZ76" i="39" s="1"/>
  <c r="HO76" i="39"/>
  <c r="HP76" i="39" s="1"/>
  <c r="HM76" i="39"/>
  <c r="HN76" i="39" s="1"/>
  <c r="HI76" i="39"/>
  <c r="HJ76" i="39" s="1"/>
  <c r="HS76" i="39"/>
  <c r="HT76" i="39" s="1"/>
  <c r="HK76" i="39"/>
  <c r="HL76" i="39" s="1"/>
  <c r="HQ76" i="39"/>
  <c r="HR76" i="39" s="1"/>
  <c r="HG76" i="39"/>
  <c r="HH76" i="39" s="1"/>
  <c r="HE76" i="39"/>
  <c r="HF76" i="39" s="1"/>
  <c r="JQ80" i="39"/>
  <c r="JR80" i="39" s="1"/>
  <c r="JS80" i="39"/>
  <c r="JT80" i="39" s="1"/>
  <c r="JW80" i="39"/>
  <c r="JX80" i="39" s="1"/>
  <c r="JU80" i="39"/>
  <c r="JV80" i="39" s="1"/>
  <c r="JA80" i="39"/>
  <c r="JB80" i="39" s="1"/>
  <c r="JG80" i="39"/>
  <c r="JH80" i="39" s="1"/>
  <c r="JE80" i="39"/>
  <c r="JF80" i="39" s="1"/>
  <c r="JC80" i="39"/>
  <c r="JD80" i="39" s="1"/>
  <c r="IY80" i="39"/>
  <c r="IZ80" i="39" s="1"/>
  <c r="IW80" i="39"/>
  <c r="IX80" i="39" s="1"/>
  <c r="IU80" i="39"/>
  <c r="IV80" i="39" s="1"/>
  <c r="IS80" i="39"/>
  <c r="IT80" i="39" s="1"/>
  <c r="IM80" i="39"/>
  <c r="IN80" i="39" s="1"/>
  <c r="IC80" i="39"/>
  <c r="ID80" i="39" s="1"/>
  <c r="IK80" i="39"/>
  <c r="IL80" i="39" s="1"/>
  <c r="II80" i="39"/>
  <c r="IJ80" i="39" s="1"/>
  <c r="IQ80" i="39"/>
  <c r="IR80" i="39" s="1"/>
  <c r="IG80" i="39"/>
  <c r="IH80" i="39" s="1"/>
  <c r="IO80" i="39"/>
  <c r="IP80" i="39" s="1"/>
  <c r="IE80" i="39"/>
  <c r="IF80" i="39" s="1"/>
  <c r="HW80" i="39"/>
  <c r="HX80" i="39" s="1"/>
  <c r="HU80" i="39"/>
  <c r="HV80" i="39" s="1"/>
  <c r="IA80" i="39"/>
  <c r="IB80" i="39" s="1"/>
  <c r="HY80" i="39"/>
  <c r="HZ80" i="39" s="1"/>
  <c r="HO80" i="39"/>
  <c r="HP80" i="39" s="1"/>
  <c r="HM80" i="39"/>
  <c r="HN80" i="39" s="1"/>
  <c r="HI80" i="39"/>
  <c r="HJ80" i="39" s="1"/>
  <c r="HS80" i="39"/>
  <c r="HT80" i="39" s="1"/>
  <c r="HK80" i="39"/>
  <c r="HL80" i="39" s="1"/>
  <c r="HQ80" i="39"/>
  <c r="HR80" i="39" s="1"/>
  <c r="HG80" i="39"/>
  <c r="HH80" i="39" s="1"/>
  <c r="HE80" i="39"/>
  <c r="HF80" i="39" s="1"/>
  <c r="JQ87" i="39"/>
  <c r="JR87" i="39" s="1"/>
  <c r="JS87" i="39"/>
  <c r="JT87" i="39" s="1"/>
  <c r="JW87" i="39"/>
  <c r="JX87" i="39" s="1"/>
  <c r="JU87" i="39"/>
  <c r="JV87" i="39" s="1"/>
  <c r="JN87" i="39"/>
  <c r="JA87" i="39"/>
  <c r="JB87" i="39" s="1"/>
  <c r="JG87" i="39"/>
  <c r="JH87" i="39" s="1"/>
  <c r="JE87" i="39"/>
  <c r="JF87" i="39" s="1"/>
  <c r="JC87" i="39"/>
  <c r="JD87" i="39" s="1"/>
  <c r="IY87" i="39"/>
  <c r="IZ87" i="39" s="1"/>
  <c r="IW87" i="39"/>
  <c r="IX87" i="39" s="1"/>
  <c r="IU87" i="39"/>
  <c r="IV87" i="39" s="1"/>
  <c r="IS87" i="39"/>
  <c r="IT87" i="39" s="1"/>
  <c r="IM87" i="39"/>
  <c r="IN87" i="39" s="1"/>
  <c r="IC87" i="39"/>
  <c r="ID87" i="39" s="1"/>
  <c r="IK87" i="39"/>
  <c r="IL87" i="39" s="1"/>
  <c r="II87" i="39"/>
  <c r="IJ87" i="39" s="1"/>
  <c r="IQ87" i="39"/>
  <c r="IR87" i="39" s="1"/>
  <c r="IG87" i="39"/>
  <c r="IH87" i="39" s="1"/>
  <c r="IO87" i="39"/>
  <c r="IP87" i="39" s="1"/>
  <c r="IE87" i="39"/>
  <c r="IF87" i="39" s="1"/>
  <c r="HW87" i="39"/>
  <c r="HX87" i="39" s="1"/>
  <c r="HU87" i="39"/>
  <c r="HV87" i="39" s="1"/>
  <c r="IA87" i="39"/>
  <c r="IB87" i="39" s="1"/>
  <c r="HY87" i="39"/>
  <c r="HZ87" i="39" s="1"/>
  <c r="HO87" i="39"/>
  <c r="HP87" i="39" s="1"/>
  <c r="HM87" i="39"/>
  <c r="HN87" i="39" s="1"/>
  <c r="HG87" i="39"/>
  <c r="HH87" i="39" s="1"/>
  <c r="HS87" i="39"/>
  <c r="HT87" i="39" s="1"/>
  <c r="HI87" i="39"/>
  <c r="HJ87" i="39" s="1"/>
  <c r="HQ87" i="39"/>
  <c r="HR87" i="39" s="1"/>
  <c r="HK87" i="39"/>
  <c r="HL87" i="39" s="1"/>
  <c r="HE87" i="39"/>
  <c r="HF87" i="39" s="1"/>
  <c r="JQ92" i="39"/>
  <c r="JR92" i="39" s="1"/>
  <c r="JS92" i="39"/>
  <c r="JT92" i="39" s="1"/>
  <c r="JU92" i="39"/>
  <c r="JV92" i="39" s="1"/>
  <c r="JW92" i="39"/>
  <c r="JX92" i="39" s="1"/>
  <c r="JE92" i="39"/>
  <c r="JF92" i="39" s="1"/>
  <c r="JC92" i="39"/>
  <c r="JD92" i="39" s="1"/>
  <c r="JA92" i="39"/>
  <c r="JB92" i="39" s="1"/>
  <c r="JG92" i="39"/>
  <c r="JH92" i="39" s="1"/>
  <c r="IY92" i="39"/>
  <c r="IZ92" i="39" s="1"/>
  <c r="IW92" i="39"/>
  <c r="IX92" i="39" s="1"/>
  <c r="IU92" i="39"/>
  <c r="IV92" i="39" s="1"/>
  <c r="IS92" i="39"/>
  <c r="IT92" i="39" s="1"/>
  <c r="IM92" i="39"/>
  <c r="IN92" i="39" s="1"/>
  <c r="IC92" i="39"/>
  <c r="ID92" i="39" s="1"/>
  <c r="IK92" i="39"/>
  <c r="IL92" i="39" s="1"/>
  <c r="II92" i="39"/>
  <c r="IJ92" i="39" s="1"/>
  <c r="IQ92" i="39"/>
  <c r="IR92" i="39" s="1"/>
  <c r="IG92" i="39"/>
  <c r="IH92" i="39" s="1"/>
  <c r="IO92" i="39"/>
  <c r="IP92" i="39" s="1"/>
  <c r="IE92" i="39"/>
  <c r="IF92" i="39" s="1"/>
  <c r="HW92" i="39"/>
  <c r="HX92" i="39" s="1"/>
  <c r="HU92" i="39"/>
  <c r="HV92" i="39" s="1"/>
  <c r="HO92" i="39"/>
  <c r="HP92" i="39" s="1"/>
  <c r="IA92" i="39"/>
  <c r="IB92" i="39" s="1"/>
  <c r="HY92" i="39"/>
  <c r="HZ92" i="39" s="1"/>
  <c r="HS92" i="39"/>
  <c r="HT92" i="39" s="1"/>
  <c r="HG92" i="39"/>
  <c r="HH92" i="39" s="1"/>
  <c r="HQ92" i="39"/>
  <c r="HR92" i="39" s="1"/>
  <c r="HI92" i="39"/>
  <c r="HJ92" i="39" s="1"/>
  <c r="HM92" i="39"/>
  <c r="HN92" i="39" s="1"/>
  <c r="HK92" i="39"/>
  <c r="HL92" i="39" s="1"/>
  <c r="HE92" i="39"/>
  <c r="HF92" i="39" s="1"/>
  <c r="JQ96" i="39"/>
  <c r="JR96" i="39" s="1"/>
  <c r="JS96" i="39"/>
  <c r="JT96" i="39" s="1"/>
  <c r="JW96" i="39"/>
  <c r="JX96" i="39" s="1"/>
  <c r="JU96" i="39"/>
  <c r="JV96" i="39" s="1"/>
  <c r="JE96" i="39"/>
  <c r="JF96" i="39" s="1"/>
  <c r="JC96" i="39"/>
  <c r="JD96" i="39" s="1"/>
  <c r="JA96" i="39"/>
  <c r="JB96" i="39" s="1"/>
  <c r="JG96" i="39"/>
  <c r="JH96" i="39" s="1"/>
  <c r="IY96" i="39"/>
  <c r="IZ96" i="39" s="1"/>
  <c r="IW96" i="39"/>
  <c r="IX96" i="39" s="1"/>
  <c r="IU96" i="39"/>
  <c r="IV96" i="39" s="1"/>
  <c r="IS96" i="39"/>
  <c r="IT96" i="39" s="1"/>
  <c r="IM96" i="39"/>
  <c r="IN96" i="39" s="1"/>
  <c r="IC96" i="39"/>
  <c r="ID96" i="39" s="1"/>
  <c r="IK96" i="39"/>
  <c r="IL96" i="39" s="1"/>
  <c r="II96" i="39"/>
  <c r="IJ96" i="39" s="1"/>
  <c r="IQ96" i="39"/>
  <c r="IR96" i="39" s="1"/>
  <c r="IG96" i="39"/>
  <c r="IH96" i="39" s="1"/>
  <c r="IO96" i="39"/>
  <c r="IP96" i="39" s="1"/>
  <c r="IE96" i="39"/>
  <c r="IF96" i="39" s="1"/>
  <c r="HW96" i="39"/>
  <c r="HX96" i="39" s="1"/>
  <c r="HU96" i="39"/>
  <c r="HV96" i="39" s="1"/>
  <c r="HO96" i="39"/>
  <c r="HP96" i="39" s="1"/>
  <c r="IA96" i="39"/>
  <c r="IB96" i="39" s="1"/>
  <c r="HY96" i="39"/>
  <c r="HZ96" i="39" s="1"/>
  <c r="HS96" i="39"/>
  <c r="HT96" i="39" s="1"/>
  <c r="HG96" i="39"/>
  <c r="HH96" i="39" s="1"/>
  <c r="HQ96" i="39"/>
  <c r="HR96" i="39" s="1"/>
  <c r="HI96" i="39"/>
  <c r="HJ96" i="39" s="1"/>
  <c r="HM96" i="39"/>
  <c r="HN96" i="39" s="1"/>
  <c r="HK96" i="39"/>
  <c r="HL96" i="39" s="1"/>
  <c r="HE96" i="39"/>
  <c r="HF96" i="39" s="1"/>
  <c r="JQ100" i="39"/>
  <c r="JR100" i="39" s="1"/>
  <c r="JS100" i="39"/>
  <c r="JT100" i="39" s="1"/>
  <c r="JW100" i="39"/>
  <c r="JX100" i="39" s="1"/>
  <c r="JU100" i="39"/>
  <c r="JV100" i="39" s="1"/>
  <c r="JE100" i="39"/>
  <c r="JF100" i="39" s="1"/>
  <c r="JC100" i="39"/>
  <c r="JD100" i="39" s="1"/>
  <c r="JA100" i="39"/>
  <c r="JB100" i="39" s="1"/>
  <c r="JG100" i="39"/>
  <c r="JH100" i="39" s="1"/>
  <c r="IY100" i="39"/>
  <c r="IZ100" i="39" s="1"/>
  <c r="IW100" i="39"/>
  <c r="IX100" i="39" s="1"/>
  <c r="IU100" i="39"/>
  <c r="IV100" i="39" s="1"/>
  <c r="IS100" i="39"/>
  <c r="IT100" i="39" s="1"/>
  <c r="IM100" i="39"/>
  <c r="IN100" i="39" s="1"/>
  <c r="IC100" i="39"/>
  <c r="ID100" i="39" s="1"/>
  <c r="IK100" i="39"/>
  <c r="IL100" i="39" s="1"/>
  <c r="II100" i="39"/>
  <c r="IJ100" i="39" s="1"/>
  <c r="IQ100" i="39"/>
  <c r="IR100" i="39" s="1"/>
  <c r="IG100" i="39"/>
  <c r="IH100" i="39" s="1"/>
  <c r="IO100" i="39"/>
  <c r="IP100" i="39" s="1"/>
  <c r="IE100" i="39"/>
  <c r="IF100" i="39" s="1"/>
  <c r="HW100" i="39"/>
  <c r="HX100" i="39" s="1"/>
  <c r="HU100" i="39"/>
  <c r="HV100" i="39" s="1"/>
  <c r="HO100" i="39"/>
  <c r="HP100" i="39" s="1"/>
  <c r="IA100" i="39"/>
  <c r="IB100" i="39" s="1"/>
  <c r="HY100" i="39"/>
  <c r="HZ100" i="39" s="1"/>
  <c r="HS100" i="39"/>
  <c r="HT100" i="39" s="1"/>
  <c r="HG100" i="39"/>
  <c r="HH100" i="39" s="1"/>
  <c r="HQ100" i="39"/>
  <c r="HR100" i="39" s="1"/>
  <c r="HI100" i="39"/>
  <c r="HJ100" i="39" s="1"/>
  <c r="HM100" i="39"/>
  <c r="HN100" i="39" s="1"/>
  <c r="HK100" i="39"/>
  <c r="HL100" i="39" s="1"/>
  <c r="HE100" i="39"/>
  <c r="HF100" i="39" s="1"/>
  <c r="JQ104" i="39"/>
  <c r="JR104" i="39" s="1"/>
  <c r="JS104" i="39"/>
  <c r="JT104" i="39" s="1"/>
  <c r="JW104" i="39"/>
  <c r="JX104" i="39" s="1"/>
  <c r="JU104" i="39"/>
  <c r="JV104" i="39" s="1"/>
  <c r="JE104" i="39"/>
  <c r="JF104" i="39" s="1"/>
  <c r="JC104" i="39"/>
  <c r="JD104" i="39" s="1"/>
  <c r="JA104" i="39"/>
  <c r="JB104" i="39" s="1"/>
  <c r="JG104" i="39"/>
  <c r="JH104" i="39" s="1"/>
  <c r="IY104" i="39"/>
  <c r="IZ104" i="39" s="1"/>
  <c r="IW104" i="39"/>
  <c r="IX104" i="39" s="1"/>
  <c r="IO104" i="39"/>
  <c r="IP104" i="39" s="1"/>
  <c r="IU104" i="39"/>
  <c r="IV104" i="39" s="1"/>
  <c r="IS104" i="39"/>
  <c r="IT104" i="39" s="1"/>
  <c r="IK104" i="39"/>
  <c r="IL104" i="39" s="1"/>
  <c r="IC104" i="39"/>
  <c r="ID104" i="39" s="1"/>
  <c r="IQ104" i="39"/>
  <c r="IR104" i="39" s="1"/>
  <c r="II104" i="39"/>
  <c r="IJ104" i="39" s="1"/>
  <c r="IM104" i="39"/>
  <c r="IN104" i="39" s="1"/>
  <c r="IG104" i="39"/>
  <c r="IH104" i="39" s="1"/>
  <c r="IE104" i="39"/>
  <c r="IF104" i="39" s="1"/>
  <c r="HW104" i="39"/>
  <c r="HX104" i="39" s="1"/>
  <c r="HU104" i="39"/>
  <c r="HV104" i="39" s="1"/>
  <c r="HO104" i="39"/>
  <c r="HP104" i="39" s="1"/>
  <c r="IA104" i="39"/>
  <c r="IB104" i="39" s="1"/>
  <c r="HY104" i="39"/>
  <c r="HZ104" i="39" s="1"/>
  <c r="HS104" i="39"/>
  <c r="HT104" i="39" s="1"/>
  <c r="HG104" i="39"/>
  <c r="HH104" i="39" s="1"/>
  <c r="HQ104" i="39"/>
  <c r="HR104" i="39" s="1"/>
  <c r="HI104" i="39"/>
  <c r="HJ104" i="39" s="1"/>
  <c r="HM104" i="39"/>
  <c r="HN104" i="39" s="1"/>
  <c r="HK104" i="39"/>
  <c r="HL104" i="39" s="1"/>
  <c r="HE104" i="39"/>
  <c r="HF104" i="39" s="1"/>
  <c r="JQ106" i="39"/>
  <c r="JR106" i="39" s="1"/>
  <c r="JW106" i="39"/>
  <c r="JX106" i="39" s="1"/>
  <c r="JU106" i="39"/>
  <c r="JV106" i="39" s="1"/>
  <c r="JS106" i="39"/>
  <c r="JT106" i="39" s="1"/>
  <c r="JP106" i="39"/>
  <c r="JE106" i="39"/>
  <c r="JF106" i="39" s="1"/>
  <c r="JC106" i="39"/>
  <c r="JD106" i="39" s="1"/>
  <c r="JA106" i="39"/>
  <c r="JB106" i="39" s="1"/>
  <c r="JG106" i="39"/>
  <c r="JH106" i="39" s="1"/>
  <c r="IY106" i="39"/>
  <c r="IZ106" i="39" s="1"/>
  <c r="IW106" i="39"/>
  <c r="IX106" i="39" s="1"/>
  <c r="IO106" i="39"/>
  <c r="IP106" i="39" s="1"/>
  <c r="IU106" i="39"/>
  <c r="IV106" i="39" s="1"/>
  <c r="IS106" i="39"/>
  <c r="IT106" i="39" s="1"/>
  <c r="IK106" i="39"/>
  <c r="IL106" i="39" s="1"/>
  <c r="IC106" i="39"/>
  <c r="ID106" i="39" s="1"/>
  <c r="IQ106" i="39"/>
  <c r="IR106" i="39" s="1"/>
  <c r="II106" i="39"/>
  <c r="IJ106" i="39" s="1"/>
  <c r="IM106" i="39"/>
  <c r="IN106" i="39" s="1"/>
  <c r="IG106" i="39"/>
  <c r="IH106" i="39" s="1"/>
  <c r="IE106" i="39"/>
  <c r="IF106" i="39" s="1"/>
  <c r="HW106" i="39"/>
  <c r="HX106" i="39" s="1"/>
  <c r="HU106" i="39"/>
  <c r="HV106" i="39" s="1"/>
  <c r="HO106" i="39"/>
  <c r="HP106" i="39" s="1"/>
  <c r="IA106" i="39"/>
  <c r="IB106" i="39" s="1"/>
  <c r="HY106" i="39"/>
  <c r="HZ106" i="39" s="1"/>
  <c r="HS106" i="39"/>
  <c r="HT106" i="39" s="1"/>
  <c r="HK106" i="39"/>
  <c r="HL106" i="39" s="1"/>
  <c r="HQ106" i="39"/>
  <c r="HR106" i="39" s="1"/>
  <c r="HM106" i="39"/>
  <c r="HN106" i="39" s="1"/>
  <c r="HG106" i="39"/>
  <c r="HH106" i="39" s="1"/>
  <c r="HI106" i="39"/>
  <c r="HJ106" i="39" s="1"/>
  <c r="HE106" i="39"/>
  <c r="HF106" i="39" s="1"/>
  <c r="JQ110" i="39"/>
  <c r="JR110" i="39" s="1"/>
  <c r="JW110" i="39"/>
  <c r="JX110" i="39" s="1"/>
  <c r="JS110" i="39"/>
  <c r="JT110" i="39" s="1"/>
  <c r="JU110" i="39"/>
  <c r="JV110" i="39" s="1"/>
  <c r="JA110" i="39"/>
  <c r="JB110" i="39" s="1"/>
  <c r="JG110" i="39"/>
  <c r="JH110" i="39" s="1"/>
  <c r="JE110" i="39"/>
  <c r="JF110" i="39" s="1"/>
  <c r="JC110" i="39"/>
  <c r="JD110" i="39" s="1"/>
  <c r="IY110" i="39"/>
  <c r="IZ110" i="39" s="1"/>
  <c r="IW110" i="39"/>
  <c r="IX110" i="39" s="1"/>
  <c r="IO110" i="39"/>
  <c r="IP110" i="39" s="1"/>
  <c r="IU110" i="39"/>
  <c r="IV110" i="39" s="1"/>
  <c r="IS110" i="39"/>
  <c r="IT110" i="39" s="1"/>
  <c r="IK110" i="39"/>
  <c r="IL110" i="39" s="1"/>
  <c r="IC110" i="39"/>
  <c r="ID110" i="39" s="1"/>
  <c r="IQ110" i="39"/>
  <c r="IR110" i="39" s="1"/>
  <c r="II110" i="39"/>
  <c r="IJ110" i="39" s="1"/>
  <c r="IM110" i="39"/>
  <c r="IN110" i="39" s="1"/>
  <c r="IG110" i="39"/>
  <c r="IH110" i="39" s="1"/>
  <c r="IE110" i="39"/>
  <c r="IF110" i="39" s="1"/>
  <c r="HW110" i="39"/>
  <c r="HX110" i="39" s="1"/>
  <c r="HU110" i="39"/>
  <c r="HV110" i="39" s="1"/>
  <c r="HO110" i="39"/>
  <c r="HP110" i="39" s="1"/>
  <c r="IA110" i="39"/>
  <c r="IB110" i="39" s="1"/>
  <c r="HY110" i="39"/>
  <c r="HZ110" i="39" s="1"/>
  <c r="HS110" i="39"/>
  <c r="HT110" i="39" s="1"/>
  <c r="HK110" i="39"/>
  <c r="HL110" i="39" s="1"/>
  <c r="HQ110" i="39"/>
  <c r="HR110" i="39" s="1"/>
  <c r="HM110" i="39"/>
  <c r="HN110" i="39" s="1"/>
  <c r="HG110" i="39"/>
  <c r="HH110" i="39" s="1"/>
  <c r="HI110" i="39"/>
  <c r="HJ110" i="39" s="1"/>
  <c r="HE110" i="39"/>
  <c r="HF110" i="39" s="1"/>
  <c r="JQ114" i="39"/>
  <c r="JR114" i="39" s="1"/>
  <c r="JW114" i="39"/>
  <c r="JX114" i="39" s="1"/>
  <c r="JU114" i="39"/>
  <c r="JV114" i="39" s="1"/>
  <c r="JS114" i="39"/>
  <c r="JT114" i="39" s="1"/>
  <c r="JP114" i="39"/>
  <c r="JA114" i="39"/>
  <c r="JB114" i="39" s="1"/>
  <c r="JG114" i="39"/>
  <c r="JH114" i="39" s="1"/>
  <c r="JE114" i="39"/>
  <c r="JF114" i="39" s="1"/>
  <c r="JC114" i="39"/>
  <c r="JD114" i="39" s="1"/>
  <c r="IY114" i="39"/>
  <c r="IZ114" i="39" s="1"/>
  <c r="IQ114" i="39"/>
  <c r="IR114" i="39" s="1"/>
  <c r="IW114" i="39"/>
  <c r="IX114" i="39" s="1"/>
  <c r="IO114" i="39"/>
  <c r="IP114" i="39" s="1"/>
  <c r="IU114" i="39"/>
  <c r="IV114" i="39" s="1"/>
  <c r="IM114" i="39"/>
  <c r="IN114" i="39" s="1"/>
  <c r="IS114" i="39"/>
  <c r="IT114" i="39" s="1"/>
  <c r="IK114" i="39"/>
  <c r="IL114" i="39" s="1"/>
  <c r="IC114" i="39"/>
  <c r="ID114" i="39" s="1"/>
  <c r="II114" i="39"/>
  <c r="IJ114" i="39" s="1"/>
  <c r="IG114" i="39"/>
  <c r="IH114" i="39" s="1"/>
  <c r="IE114" i="39"/>
  <c r="IF114" i="39" s="1"/>
  <c r="HW114" i="39"/>
  <c r="HX114" i="39" s="1"/>
  <c r="HQ114" i="39"/>
  <c r="HR114" i="39" s="1"/>
  <c r="HU114" i="39"/>
  <c r="HV114" i="39" s="1"/>
  <c r="HO114" i="39"/>
  <c r="HP114" i="39" s="1"/>
  <c r="IA114" i="39"/>
  <c r="IB114" i="39" s="1"/>
  <c r="HM114" i="39"/>
  <c r="HN114" i="39" s="1"/>
  <c r="HY114" i="39"/>
  <c r="HZ114" i="39" s="1"/>
  <c r="HS114" i="39"/>
  <c r="HT114" i="39" s="1"/>
  <c r="HK114" i="39"/>
  <c r="HL114" i="39" s="1"/>
  <c r="HG114" i="39"/>
  <c r="HH114" i="39" s="1"/>
  <c r="HI114" i="39"/>
  <c r="HJ114" i="39" s="1"/>
  <c r="HE114" i="39"/>
  <c r="HF114" i="39" s="1"/>
  <c r="JQ118" i="39"/>
  <c r="JR118" i="39" s="1"/>
  <c r="JW118" i="39"/>
  <c r="JX118" i="39" s="1"/>
  <c r="JU118" i="39"/>
  <c r="JV118" i="39" s="1"/>
  <c r="JS118" i="39"/>
  <c r="JT118" i="39" s="1"/>
  <c r="JP118" i="39"/>
  <c r="JA118" i="39"/>
  <c r="JB118" i="39" s="1"/>
  <c r="JG118" i="39"/>
  <c r="JH118" i="39" s="1"/>
  <c r="JE118" i="39"/>
  <c r="JF118" i="39" s="1"/>
  <c r="JC118" i="39"/>
  <c r="JD118" i="39" s="1"/>
  <c r="IY118" i="39"/>
  <c r="IZ118" i="39" s="1"/>
  <c r="IQ118" i="39"/>
  <c r="IR118" i="39" s="1"/>
  <c r="IW118" i="39"/>
  <c r="IX118" i="39" s="1"/>
  <c r="IO118" i="39"/>
  <c r="IP118" i="39" s="1"/>
  <c r="IU118" i="39"/>
  <c r="IV118" i="39" s="1"/>
  <c r="IM118" i="39"/>
  <c r="IN118" i="39" s="1"/>
  <c r="IS118" i="39"/>
  <c r="IT118" i="39" s="1"/>
  <c r="IK118" i="39"/>
  <c r="IL118" i="39" s="1"/>
  <c r="IC118" i="39"/>
  <c r="ID118" i="39" s="1"/>
  <c r="II118" i="39"/>
  <c r="IJ118" i="39" s="1"/>
  <c r="IG118" i="39"/>
  <c r="IH118" i="39" s="1"/>
  <c r="IE118" i="39"/>
  <c r="IF118" i="39" s="1"/>
  <c r="HW118" i="39"/>
  <c r="HX118" i="39" s="1"/>
  <c r="HQ118" i="39"/>
  <c r="HR118" i="39" s="1"/>
  <c r="HU118" i="39"/>
  <c r="HV118" i="39" s="1"/>
  <c r="HO118" i="39"/>
  <c r="HP118" i="39" s="1"/>
  <c r="IA118" i="39"/>
  <c r="IB118" i="39" s="1"/>
  <c r="HM118" i="39"/>
  <c r="HN118" i="39" s="1"/>
  <c r="HY118" i="39"/>
  <c r="HZ118" i="39" s="1"/>
  <c r="HS118" i="39"/>
  <c r="HT118" i="39" s="1"/>
  <c r="HK118" i="39"/>
  <c r="HL118" i="39" s="1"/>
  <c r="HG118" i="39"/>
  <c r="HH118" i="39" s="1"/>
  <c r="HI118" i="39"/>
  <c r="HJ118" i="39" s="1"/>
  <c r="HE118" i="39"/>
  <c r="HF118" i="39" s="1"/>
  <c r="JQ122" i="39"/>
  <c r="JR122" i="39" s="1"/>
  <c r="JW122" i="39"/>
  <c r="JX122" i="39" s="1"/>
  <c r="JU122" i="39"/>
  <c r="JV122" i="39" s="1"/>
  <c r="JS122" i="39"/>
  <c r="JT122" i="39" s="1"/>
  <c r="JA122" i="39"/>
  <c r="JB122" i="39" s="1"/>
  <c r="JG122" i="39"/>
  <c r="JH122" i="39" s="1"/>
  <c r="JE122" i="39"/>
  <c r="JF122" i="39" s="1"/>
  <c r="JC122" i="39"/>
  <c r="JD122" i="39" s="1"/>
  <c r="IY122" i="39"/>
  <c r="IZ122" i="39" s="1"/>
  <c r="IQ122" i="39"/>
  <c r="IR122" i="39" s="1"/>
  <c r="IW122" i="39"/>
  <c r="IX122" i="39" s="1"/>
  <c r="IO122" i="39"/>
  <c r="IP122" i="39" s="1"/>
  <c r="IU122" i="39"/>
  <c r="IV122" i="39" s="1"/>
  <c r="IM122" i="39"/>
  <c r="IN122" i="39" s="1"/>
  <c r="IS122" i="39"/>
  <c r="IT122" i="39" s="1"/>
  <c r="IK122" i="39"/>
  <c r="IL122" i="39" s="1"/>
  <c r="IC122" i="39"/>
  <c r="ID122" i="39" s="1"/>
  <c r="II122" i="39"/>
  <c r="IJ122" i="39" s="1"/>
  <c r="IG122" i="39"/>
  <c r="IH122" i="39" s="1"/>
  <c r="IE122" i="39"/>
  <c r="IF122" i="39" s="1"/>
  <c r="HW122" i="39"/>
  <c r="HX122" i="39" s="1"/>
  <c r="HQ122" i="39"/>
  <c r="HR122" i="39" s="1"/>
  <c r="HU122" i="39"/>
  <c r="HV122" i="39" s="1"/>
  <c r="HO122" i="39"/>
  <c r="HP122" i="39" s="1"/>
  <c r="IA122" i="39"/>
  <c r="IB122" i="39" s="1"/>
  <c r="HM122" i="39"/>
  <c r="HN122" i="39" s="1"/>
  <c r="HY122" i="39"/>
  <c r="HZ122" i="39" s="1"/>
  <c r="HS122" i="39"/>
  <c r="HT122" i="39" s="1"/>
  <c r="HK122" i="39"/>
  <c r="HL122" i="39" s="1"/>
  <c r="HG122" i="39"/>
  <c r="HH122" i="39" s="1"/>
  <c r="HI122" i="39"/>
  <c r="HJ122" i="39" s="1"/>
  <c r="HE122" i="39"/>
  <c r="HF122" i="39" s="1"/>
  <c r="JQ126" i="39"/>
  <c r="JR126" i="39" s="1"/>
  <c r="JW126" i="39"/>
  <c r="JX126" i="39" s="1"/>
  <c r="JS126" i="39"/>
  <c r="JT126" i="39" s="1"/>
  <c r="JU126" i="39"/>
  <c r="JV126" i="39" s="1"/>
  <c r="JL126" i="39"/>
  <c r="JA126" i="39"/>
  <c r="JB126" i="39" s="1"/>
  <c r="JG126" i="39"/>
  <c r="JH126" i="39" s="1"/>
  <c r="JE126" i="39"/>
  <c r="JF126" i="39" s="1"/>
  <c r="JC126" i="39"/>
  <c r="JD126" i="39" s="1"/>
  <c r="IY126" i="39"/>
  <c r="IZ126" i="39" s="1"/>
  <c r="IQ126" i="39"/>
  <c r="IR126" i="39" s="1"/>
  <c r="IW126" i="39"/>
  <c r="IX126" i="39" s="1"/>
  <c r="IO126" i="39"/>
  <c r="IP126" i="39" s="1"/>
  <c r="IU126" i="39"/>
  <c r="IV126" i="39" s="1"/>
  <c r="IM126" i="39"/>
  <c r="IN126" i="39" s="1"/>
  <c r="IS126" i="39"/>
  <c r="IT126" i="39" s="1"/>
  <c r="IK126" i="39"/>
  <c r="IL126" i="39" s="1"/>
  <c r="IC126" i="39"/>
  <c r="ID126" i="39" s="1"/>
  <c r="II126" i="39"/>
  <c r="IJ126" i="39" s="1"/>
  <c r="IG126" i="39"/>
  <c r="IH126" i="39" s="1"/>
  <c r="IE126" i="39"/>
  <c r="IF126" i="39" s="1"/>
  <c r="HW126" i="39"/>
  <c r="HX126" i="39" s="1"/>
  <c r="HQ126" i="39"/>
  <c r="HR126" i="39" s="1"/>
  <c r="HU126" i="39"/>
  <c r="HV126" i="39" s="1"/>
  <c r="HO126" i="39"/>
  <c r="HP126" i="39" s="1"/>
  <c r="IA126" i="39"/>
  <c r="IB126" i="39" s="1"/>
  <c r="HM126" i="39"/>
  <c r="HN126" i="39" s="1"/>
  <c r="HY126" i="39"/>
  <c r="HZ126" i="39" s="1"/>
  <c r="HS126" i="39"/>
  <c r="HT126" i="39" s="1"/>
  <c r="HK126" i="39"/>
  <c r="HL126" i="39" s="1"/>
  <c r="HG126" i="39"/>
  <c r="HH126" i="39" s="1"/>
  <c r="HI126" i="39"/>
  <c r="HJ126" i="39" s="1"/>
  <c r="HE126" i="39"/>
  <c r="HF126" i="39" s="1"/>
  <c r="JQ130" i="39"/>
  <c r="JR130" i="39" s="1"/>
  <c r="JS130" i="39"/>
  <c r="JT130" i="39" s="1"/>
  <c r="JW130" i="39"/>
  <c r="JX130" i="39" s="1"/>
  <c r="JU130" i="39"/>
  <c r="JV130" i="39" s="1"/>
  <c r="JP130" i="39"/>
  <c r="JA130" i="39"/>
  <c r="JB130" i="39" s="1"/>
  <c r="JG130" i="39"/>
  <c r="JH130" i="39" s="1"/>
  <c r="JE130" i="39"/>
  <c r="JF130" i="39" s="1"/>
  <c r="JC130" i="39"/>
  <c r="JD130" i="39" s="1"/>
  <c r="IY130" i="39"/>
  <c r="IZ130" i="39" s="1"/>
  <c r="IQ130" i="39"/>
  <c r="IR130" i="39" s="1"/>
  <c r="IW130" i="39"/>
  <c r="IX130" i="39" s="1"/>
  <c r="IO130" i="39"/>
  <c r="IP130" i="39" s="1"/>
  <c r="IU130" i="39"/>
  <c r="IV130" i="39" s="1"/>
  <c r="IM130" i="39"/>
  <c r="IN130" i="39" s="1"/>
  <c r="IS130" i="39"/>
  <c r="IT130" i="39" s="1"/>
  <c r="IK130" i="39"/>
  <c r="IL130" i="39" s="1"/>
  <c r="IC130" i="39"/>
  <c r="ID130" i="39" s="1"/>
  <c r="II130" i="39"/>
  <c r="IJ130" i="39" s="1"/>
  <c r="IG130" i="39"/>
  <c r="IH130" i="39" s="1"/>
  <c r="IE130" i="39"/>
  <c r="IF130" i="39" s="1"/>
  <c r="HW130" i="39"/>
  <c r="HX130" i="39" s="1"/>
  <c r="HQ130" i="39"/>
  <c r="HR130" i="39" s="1"/>
  <c r="HU130" i="39"/>
  <c r="HV130" i="39" s="1"/>
  <c r="HO130" i="39"/>
  <c r="HP130" i="39" s="1"/>
  <c r="IA130" i="39"/>
  <c r="IB130" i="39" s="1"/>
  <c r="HM130" i="39"/>
  <c r="HN130" i="39" s="1"/>
  <c r="HY130" i="39"/>
  <c r="HZ130" i="39" s="1"/>
  <c r="HS130" i="39"/>
  <c r="HT130" i="39" s="1"/>
  <c r="HK130" i="39"/>
  <c r="HL130" i="39" s="1"/>
  <c r="HG130" i="39"/>
  <c r="HH130" i="39" s="1"/>
  <c r="HI130" i="39"/>
  <c r="HJ130" i="39" s="1"/>
  <c r="HE130" i="39"/>
  <c r="HF130" i="39" s="1"/>
  <c r="JQ134" i="39"/>
  <c r="JR134" i="39" s="1"/>
  <c r="JS134" i="39"/>
  <c r="JT134" i="39" s="1"/>
  <c r="JW134" i="39"/>
  <c r="JX134" i="39" s="1"/>
  <c r="JU134" i="39"/>
  <c r="JV134" i="39" s="1"/>
  <c r="JA134" i="39"/>
  <c r="JB134" i="39" s="1"/>
  <c r="JG134" i="39"/>
  <c r="JH134" i="39" s="1"/>
  <c r="JE134" i="39"/>
  <c r="JF134" i="39" s="1"/>
  <c r="JC134" i="39"/>
  <c r="JD134" i="39" s="1"/>
  <c r="IY134" i="39"/>
  <c r="IZ134" i="39" s="1"/>
  <c r="IQ134" i="39"/>
  <c r="IR134" i="39" s="1"/>
  <c r="IW134" i="39"/>
  <c r="IX134" i="39" s="1"/>
  <c r="IO134" i="39"/>
  <c r="IP134" i="39" s="1"/>
  <c r="IU134" i="39"/>
  <c r="IV134" i="39" s="1"/>
  <c r="IM134" i="39"/>
  <c r="IN134" i="39" s="1"/>
  <c r="IS134" i="39"/>
  <c r="IT134" i="39" s="1"/>
  <c r="IK134" i="39"/>
  <c r="IL134" i="39" s="1"/>
  <c r="IC134" i="39"/>
  <c r="ID134" i="39" s="1"/>
  <c r="II134" i="39"/>
  <c r="IJ134" i="39" s="1"/>
  <c r="IG134" i="39"/>
  <c r="IH134" i="39" s="1"/>
  <c r="IE134" i="39"/>
  <c r="IF134" i="39" s="1"/>
  <c r="HW134" i="39"/>
  <c r="HX134" i="39" s="1"/>
  <c r="HQ134" i="39"/>
  <c r="HR134" i="39" s="1"/>
  <c r="HU134" i="39"/>
  <c r="HV134" i="39" s="1"/>
  <c r="HO134" i="39"/>
  <c r="HP134" i="39" s="1"/>
  <c r="IA134" i="39"/>
  <c r="IB134" i="39" s="1"/>
  <c r="HM134" i="39"/>
  <c r="HN134" i="39" s="1"/>
  <c r="HY134" i="39"/>
  <c r="HZ134" i="39" s="1"/>
  <c r="HS134" i="39"/>
  <c r="HT134" i="39" s="1"/>
  <c r="HK134" i="39"/>
  <c r="HL134" i="39" s="1"/>
  <c r="HG134" i="39"/>
  <c r="HH134" i="39" s="1"/>
  <c r="HI134" i="39"/>
  <c r="HJ134" i="39" s="1"/>
  <c r="HE134" i="39"/>
  <c r="HF134" i="39" s="1"/>
  <c r="JQ138" i="39"/>
  <c r="JR138" i="39" s="1"/>
  <c r="JS138" i="39"/>
  <c r="JT138" i="39" s="1"/>
  <c r="JW138" i="39"/>
  <c r="JX138" i="39" s="1"/>
  <c r="JU138" i="39"/>
  <c r="JV138" i="39" s="1"/>
  <c r="JP138" i="39"/>
  <c r="JA138" i="39"/>
  <c r="JB138" i="39" s="1"/>
  <c r="JG138" i="39"/>
  <c r="JH138" i="39" s="1"/>
  <c r="JE138" i="39"/>
  <c r="JF138" i="39" s="1"/>
  <c r="JC138" i="39"/>
  <c r="JD138" i="39" s="1"/>
  <c r="IY138" i="39"/>
  <c r="IZ138" i="39" s="1"/>
  <c r="IQ138" i="39"/>
  <c r="IR138" i="39" s="1"/>
  <c r="IW138" i="39"/>
  <c r="IX138" i="39" s="1"/>
  <c r="IO138" i="39"/>
  <c r="IP138" i="39" s="1"/>
  <c r="IU138" i="39"/>
  <c r="IV138" i="39" s="1"/>
  <c r="IM138" i="39"/>
  <c r="IN138" i="39" s="1"/>
  <c r="IS138" i="39"/>
  <c r="IT138" i="39" s="1"/>
  <c r="IK138" i="39"/>
  <c r="IL138" i="39" s="1"/>
  <c r="IC138" i="39"/>
  <c r="ID138" i="39" s="1"/>
  <c r="II138" i="39"/>
  <c r="IJ138" i="39" s="1"/>
  <c r="IG138" i="39"/>
  <c r="IH138" i="39" s="1"/>
  <c r="IE138" i="39"/>
  <c r="IF138" i="39" s="1"/>
  <c r="HW138" i="39"/>
  <c r="HX138" i="39" s="1"/>
  <c r="HQ138" i="39"/>
  <c r="HR138" i="39" s="1"/>
  <c r="HU138" i="39"/>
  <c r="HV138" i="39" s="1"/>
  <c r="HO138" i="39"/>
  <c r="HP138" i="39" s="1"/>
  <c r="IA138" i="39"/>
  <c r="IB138" i="39" s="1"/>
  <c r="HM138" i="39"/>
  <c r="HN138" i="39" s="1"/>
  <c r="HY138" i="39"/>
  <c r="HZ138" i="39" s="1"/>
  <c r="HS138" i="39"/>
  <c r="HT138" i="39" s="1"/>
  <c r="HK138" i="39"/>
  <c r="HL138" i="39" s="1"/>
  <c r="HG138" i="39"/>
  <c r="HH138" i="39" s="1"/>
  <c r="HI138" i="39"/>
  <c r="HJ138" i="39" s="1"/>
  <c r="HE138" i="39"/>
  <c r="HF138" i="39" s="1"/>
  <c r="JQ142" i="39"/>
  <c r="JR142" i="39" s="1"/>
  <c r="JS142" i="39"/>
  <c r="JT142" i="39" s="1"/>
  <c r="JW142" i="39"/>
  <c r="JX142" i="39" s="1"/>
  <c r="JU142" i="39"/>
  <c r="JV142" i="39" s="1"/>
  <c r="JP142" i="39"/>
  <c r="JA142" i="39"/>
  <c r="JB142" i="39" s="1"/>
  <c r="JG142" i="39"/>
  <c r="JH142" i="39" s="1"/>
  <c r="JE142" i="39"/>
  <c r="JF142" i="39" s="1"/>
  <c r="JC142" i="39"/>
  <c r="JD142" i="39" s="1"/>
  <c r="IY142" i="39"/>
  <c r="IZ142" i="39" s="1"/>
  <c r="IQ142" i="39"/>
  <c r="IR142" i="39" s="1"/>
  <c r="IW142" i="39"/>
  <c r="IX142" i="39" s="1"/>
  <c r="IO142" i="39"/>
  <c r="IP142" i="39" s="1"/>
  <c r="IU142" i="39"/>
  <c r="IV142" i="39" s="1"/>
  <c r="IM142" i="39"/>
  <c r="IN142" i="39" s="1"/>
  <c r="IS142" i="39"/>
  <c r="IT142" i="39" s="1"/>
  <c r="IK142" i="39"/>
  <c r="IL142" i="39" s="1"/>
  <c r="IC142" i="39"/>
  <c r="ID142" i="39" s="1"/>
  <c r="II142" i="39"/>
  <c r="IJ142" i="39" s="1"/>
  <c r="IG142" i="39"/>
  <c r="IH142" i="39" s="1"/>
  <c r="IE142" i="39"/>
  <c r="IF142" i="39" s="1"/>
  <c r="HW142" i="39"/>
  <c r="HX142" i="39" s="1"/>
  <c r="HQ142" i="39"/>
  <c r="HR142" i="39" s="1"/>
  <c r="HU142" i="39"/>
  <c r="HV142" i="39" s="1"/>
  <c r="HO142" i="39"/>
  <c r="HP142" i="39" s="1"/>
  <c r="IA142" i="39"/>
  <c r="IB142" i="39" s="1"/>
  <c r="HM142" i="39"/>
  <c r="HN142" i="39" s="1"/>
  <c r="HY142" i="39"/>
  <c r="HZ142" i="39" s="1"/>
  <c r="HS142" i="39"/>
  <c r="HT142" i="39" s="1"/>
  <c r="HK142" i="39"/>
  <c r="HL142" i="39" s="1"/>
  <c r="HG142" i="39"/>
  <c r="HH142" i="39" s="1"/>
  <c r="HI142" i="39"/>
  <c r="HJ142" i="39" s="1"/>
  <c r="HE142" i="39"/>
  <c r="HF142" i="39" s="1"/>
  <c r="JQ146" i="39"/>
  <c r="JR146" i="39" s="1"/>
  <c r="JS146" i="39"/>
  <c r="JT146" i="39" s="1"/>
  <c r="JW146" i="39"/>
  <c r="JX146" i="39" s="1"/>
  <c r="JU146" i="39"/>
  <c r="JV146" i="39" s="1"/>
  <c r="JL146" i="39"/>
  <c r="JA146" i="39"/>
  <c r="JB146" i="39" s="1"/>
  <c r="JG146" i="39"/>
  <c r="JH146" i="39" s="1"/>
  <c r="JE146" i="39"/>
  <c r="JF146" i="39" s="1"/>
  <c r="JC146" i="39"/>
  <c r="JD146" i="39" s="1"/>
  <c r="IY146" i="39"/>
  <c r="IZ146" i="39" s="1"/>
  <c r="IU146" i="39"/>
  <c r="IV146" i="39" s="1"/>
  <c r="IQ146" i="39"/>
  <c r="IR146" i="39" s="1"/>
  <c r="IO146" i="39"/>
  <c r="IP146" i="39" s="1"/>
  <c r="IW146" i="39"/>
  <c r="IX146" i="39" s="1"/>
  <c r="IM146" i="39"/>
  <c r="IN146" i="39" s="1"/>
  <c r="IS146" i="39"/>
  <c r="IT146" i="39" s="1"/>
  <c r="IK146" i="39"/>
  <c r="IL146" i="39" s="1"/>
  <c r="IC146" i="39"/>
  <c r="ID146" i="39" s="1"/>
  <c r="II146" i="39"/>
  <c r="IJ146" i="39" s="1"/>
  <c r="IG146" i="39"/>
  <c r="IH146" i="39" s="1"/>
  <c r="IE146" i="39"/>
  <c r="IF146" i="39" s="1"/>
  <c r="HW146" i="39"/>
  <c r="HX146" i="39" s="1"/>
  <c r="HQ146" i="39"/>
  <c r="HR146" i="39" s="1"/>
  <c r="HU146" i="39"/>
  <c r="HV146" i="39" s="1"/>
  <c r="HO146" i="39"/>
  <c r="HP146" i="39" s="1"/>
  <c r="IA146" i="39"/>
  <c r="IB146" i="39" s="1"/>
  <c r="HM146" i="39"/>
  <c r="HN146" i="39" s="1"/>
  <c r="HY146" i="39"/>
  <c r="HZ146" i="39" s="1"/>
  <c r="HS146" i="39"/>
  <c r="HT146" i="39" s="1"/>
  <c r="HK146" i="39"/>
  <c r="HL146" i="39" s="1"/>
  <c r="HG146" i="39"/>
  <c r="HH146" i="39" s="1"/>
  <c r="HI146" i="39"/>
  <c r="HJ146" i="39" s="1"/>
  <c r="HE146" i="39"/>
  <c r="HF146" i="39" s="1"/>
  <c r="JQ150" i="39"/>
  <c r="JR150" i="39" s="1"/>
  <c r="JS150" i="39"/>
  <c r="JT150" i="39" s="1"/>
  <c r="JW150" i="39"/>
  <c r="JX150" i="39" s="1"/>
  <c r="JU150" i="39"/>
  <c r="JV150" i="39" s="1"/>
  <c r="JA150" i="39"/>
  <c r="JB150" i="39" s="1"/>
  <c r="JG150" i="39"/>
  <c r="JH150" i="39" s="1"/>
  <c r="JE150" i="39"/>
  <c r="JF150" i="39" s="1"/>
  <c r="JC150" i="39"/>
  <c r="JD150" i="39" s="1"/>
  <c r="IY150" i="39"/>
  <c r="IZ150" i="39" s="1"/>
  <c r="IU150" i="39"/>
  <c r="IV150" i="39" s="1"/>
  <c r="IQ150" i="39"/>
  <c r="IR150" i="39" s="1"/>
  <c r="IO150" i="39"/>
  <c r="IP150" i="39" s="1"/>
  <c r="IW150" i="39"/>
  <c r="IX150" i="39" s="1"/>
  <c r="IM150" i="39"/>
  <c r="IN150" i="39" s="1"/>
  <c r="IS150" i="39"/>
  <c r="IT150" i="39" s="1"/>
  <c r="IK150" i="39"/>
  <c r="IL150" i="39" s="1"/>
  <c r="IC150" i="39"/>
  <c r="ID150" i="39" s="1"/>
  <c r="II150" i="39"/>
  <c r="IJ150" i="39" s="1"/>
  <c r="IG150" i="39"/>
  <c r="IH150" i="39" s="1"/>
  <c r="IE150" i="39"/>
  <c r="IF150" i="39" s="1"/>
  <c r="HW150" i="39"/>
  <c r="HX150" i="39" s="1"/>
  <c r="HQ150" i="39"/>
  <c r="HR150" i="39" s="1"/>
  <c r="HU150" i="39"/>
  <c r="HV150" i="39" s="1"/>
  <c r="HO150" i="39"/>
  <c r="HP150" i="39" s="1"/>
  <c r="IA150" i="39"/>
  <c r="IB150" i="39" s="1"/>
  <c r="HM150" i="39"/>
  <c r="HN150" i="39" s="1"/>
  <c r="HY150" i="39"/>
  <c r="HZ150" i="39" s="1"/>
  <c r="HS150" i="39"/>
  <c r="HT150" i="39" s="1"/>
  <c r="HK150" i="39"/>
  <c r="HL150" i="39" s="1"/>
  <c r="HG150" i="39"/>
  <c r="HH150" i="39" s="1"/>
  <c r="HI150" i="39"/>
  <c r="HJ150" i="39" s="1"/>
  <c r="HE150" i="39"/>
  <c r="HF150" i="39" s="1"/>
  <c r="JQ154" i="39"/>
  <c r="JR154" i="39" s="1"/>
  <c r="JS154" i="39"/>
  <c r="JT154" i="39" s="1"/>
  <c r="JW154" i="39"/>
  <c r="JX154" i="39" s="1"/>
  <c r="JU154" i="39"/>
  <c r="JV154" i="39" s="1"/>
  <c r="JP154" i="39"/>
  <c r="JA154" i="39"/>
  <c r="JB154" i="39" s="1"/>
  <c r="JG154" i="39"/>
  <c r="JH154" i="39" s="1"/>
  <c r="JE154" i="39"/>
  <c r="JF154" i="39" s="1"/>
  <c r="JC154" i="39"/>
  <c r="JD154" i="39" s="1"/>
  <c r="IY154" i="39"/>
  <c r="IZ154" i="39" s="1"/>
  <c r="IU154" i="39"/>
  <c r="IV154" i="39" s="1"/>
  <c r="IQ154" i="39"/>
  <c r="IR154" i="39" s="1"/>
  <c r="IO154" i="39"/>
  <c r="IP154" i="39" s="1"/>
  <c r="IW154" i="39"/>
  <c r="IX154" i="39" s="1"/>
  <c r="IM154" i="39"/>
  <c r="IN154" i="39" s="1"/>
  <c r="IS154" i="39"/>
  <c r="IT154" i="39" s="1"/>
  <c r="IK154" i="39"/>
  <c r="IL154" i="39" s="1"/>
  <c r="IC154" i="39"/>
  <c r="ID154" i="39" s="1"/>
  <c r="II154" i="39"/>
  <c r="IJ154" i="39" s="1"/>
  <c r="IG154" i="39"/>
  <c r="IH154" i="39" s="1"/>
  <c r="IE154" i="39"/>
  <c r="IF154" i="39" s="1"/>
  <c r="HW154" i="39"/>
  <c r="HX154" i="39" s="1"/>
  <c r="HQ154" i="39"/>
  <c r="HR154" i="39" s="1"/>
  <c r="HU154" i="39"/>
  <c r="HV154" i="39" s="1"/>
  <c r="HO154" i="39"/>
  <c r="HP154" i="39" s="1"/>
  <c r="IA154" i="39"/>
  <c r="IB154" i="39" s="1"/>
  <c r="HM154" i="39"/>
  <c r="HN154" i="39" s="1"/>
  <c r="HY154" i="39"/>
  <c r="HZ154" i="39" s="1"/>
  <c r="HS154" i="39"/>
  <c r="HT154" i="39" s="1"/>
  <c r="HK154" i="39"/>
  <c r="HL154" i="39" s="1"/>
  <c r="HG154" i="39"/>
  <c r="HH154" i="39" s="1"/>
  <c r="HI154" i="39"/>
  <c r="HJ154" i="39" s="1"/>
  <c r="HE154" i="39"/>
  <c r="HF154" i="39" s="1"/>
  <c r="JQ158" i="39"/>
  <c r="JR158" i="39" s="1"/>
  <c r="JS158" i="39"/>
  <c r="JT158" i="39" s="1"/>
  <c r="JW158" i="39"/>
  <c r="JX158" i="39" s="1"/>
  <c r="JU158" i="39"/>
  <c r="JV158" i="39" s="1"/>
  <c r="JA158" i="39"/>
  <c r="JB158" i="39" s="1"/>
  <c r="JG158" i="39"/>
  <c r="JH158" i="39" s="1"/>
  <c r="JE158" i="39"/>
  <c r="JF158" i="39" s="1"/>
  <c r="JC158" i="39"/>
  <c r="JD158" i="39" s="1"/>
  <c r="IY158" i="39"/>
  <c r="IZ158" i="39" s="1"/>
  <c r="IU158" i="39"/>
  <c r="IV158" i="39" s="1"/>
  <c r="IQ158" i="39"/>
  <c r="IR158" i="39" s="1"/>
  <c r="IO158" i="39"/>
  <c r="IP158" i="39" s="1"/>
  <c r="IW158" i="39"/>
  <c r="IX158" i="39" s="1"/>
  <c r="IM158" i="39"/>
  <c r="IN158" i="39" s="1"/>
  <c r="IS158" i="39"/>
  <c r="IT158" i="39" s="1"/>
  <c r="IK158" i="39"/>
  <c r="IL158" i="39" s="1"/>
  <c r="IC158" i="39"/>
  <c r="ID158" i="39" s="1"/>
  <c r="II158" i="39"/>
  <c r="IJ158" i="39" s="1"/>
  <c r="IG158" i="39"/>
  <c r="IH158" i="39" s="1"/>
  <c r="IE158" i="39"/>
  <c r="IF158" i="39" s="1"/>
  <c r="HW158" i="39"/>
  <c r="HX158" i="39" s="1"/>
  <c r="HQ158" i="39"/>
  <c r="HR158" i="39" s="1"/>
  <c r="HU158" i="39"/>
  <c r="HV158" i="39" s="1"/>
  <c r="HO158" i="39"/>
  <c r="HP158" i="39" s="1"/>
  <c r="IA158" i="39"/>
  <c r="IB158" i="39" s="1"/>
  <c r="HM158" i="39"/>
  <c r="HN158" i="39" s="1"/>
  <c r="HY158" i="39"/>
  <c r="HZ158" i="39" s="1"/>
  <c r="HS158" i="39"/>
  <c r="HT158" i="39" s="1"/>
  <c r="HK158" i="39"/>
  <c r="HL158" i="39" s="1"/>
  <c r="HG158" i="39"/>
  <c r="HH158" i="39" s="1"/>
  <c r="HI158" i="39"/>
  <c r="HJ158" i="39" s="1"/>
  <c r="HE158" i="39"/>
  <c r="HF158" i="39" s="1"/>
  <c r="JQ162" i="39"/>
  <c r="JR162" i="39" s="1"/>
  <c r="JS162" i="39"/>
  <c r="JT162" i="39" s="1"/>
  <c r="JW162" i="39"/>
  <c r="JX162" i="39" s="1"/>
  <c r="JU162" i="39"/>
  <c r="JV162" i="39" s="1"/>
  <c r="JL162" i="39"/>
  <c r="JA162" i="39"/>
  <c r="JB162" i="39" s="1"/>
  <c r="JG162" i="39"/>
  <c r="JH162" i="39" s="1"/>
  <c r="JE162" i="39"/>
  <c r="JF162" i="39" s="1"/>
  <c r="JC162" i="39"/>
  <c r="JD162" i="39" s="1"/>
  <c r="IY162" i="39"/>
  <c r="IZ162" i="39" s="1"/>
  <c r="IU162" i="39"/>
  <c r="IV162" i="39" s="1"/>
  <c r="IQ162" i="39"/>
  <c r="IR162" i="39" s="1"/>
  <c r="IO162" i="39"/>
  <c r="IP162" i="39" s="1"/>
  <c r="IW162" i="39"/>
  <c r="IX162" i="39" s="1"/>
  <c r="IM162" i="39"/>
  <c r="IN162" i="39" s="1"/>
  <c r="IS162" i="39"/>
  <c r="IT162" i="39" s="1"/>
  <c r="IK162" i="39"/>
  <c r="IL162" i="39" s="1"/>
  <c r="IC162" i="39"/>
  <c r="ID162" i="39" s="1"/>
  <c r="II162" i="39"/>
  <c r="IJ162" i="39" s="1"/>
  <c r="IG162" i="39"/>
  <c r="IH162" i="39" s="1"/>
  <c r="IE162" i="39"/>
  <c r="IF162" i="39" s="1"/>
  <c r="HW162" i="39"/>
  <c r="HX162" i="39" s="1"/>
  <c r="HQ162" i="39"/>
  <c r="HR162" i="39" s="1"/>
  <c r="HU162" i="39"/>
  <c r="HV162" i="39" s="1"/>
  <c r="HO162" i="39"/>
  <c r="HP162" i="39" s="1"/>
  <c r="IA162" i="39"/>
  <c r="IB162" i="39" s="1"/>
  <c r="HM162" i="39"/>
  <c r="HN162" i="39" s="1"/>
  <c r="HY162" i="39"/>
  <c r="HZ162" i="39" s="1"/>
  <c r="HS162" i="39"/>
  <c r="HT162" i="39" s="1"/>
  <c r="HK162" i="39"/>
  <c r="HL162" i="39" s="1"/>
  <c r="HG162" i="39"/>
  <c r="HH162" i="39" s="1"/>
  <c r="HI162" i="39"/>
  <c r="HJ162" i="39" s="1"/>
  <c r="HE162" i="39"/>
  <c r="HF162" i="39" s="1"/>
  <c r="JQ4" i="39"/>
  <c r="JU4" i="39"/>
  <c r="JE4" i="39"/>
  <c r="JA4" i="39"/>
  <c r="JC4" i="39" s="1"/>
  <c r="JD4" i="39" s="1"/>
  <c r="IS4" i="39"/>
  <c r="IO4" i="39"/>
  <c r="IG4" i="39"/>
  <c r="IH4" i="39" s="1"/>
  <c r="IK4" i="39"/>
  <c r="IC4" i="39"/>
  <c r="HU4" i="39"/>
  <c r="HY4" i="39"/>
  <c r="HZ4" i="39" s="1"/>
  <c r="HM4" i="39"/>
  <c r="HI4" i="39"/>
  <c r="HJ4" i="39" s="1"/>
  <c r="HQ4" i="39"/>
  <c r="HR4" i="39" s="1"/>
  <c r="JQ47" i="39"/>
  <c r="JR47" i="39" s="1"/>
  <c r="JS47" i="39"/>
  <c r="JT47" i="39" s="1"/>
  <c r="JW47" i="39"/>
  <c r="JX47" i="39" s="1"/>
  <c r="JU47" i="39"/>
  <c r="JV47" i="39" s="1"/>
  <c r="JN47" i="39"/>
  <c r="JA47" i="39"/>
  <c r="JB47" i="39" s="1"/>
  <c r="JG47" i="39"/>
  <c r="JH47" i="39" s="1"/>
  <c r="JE47" i="39"/>
  <c r="JF47" i="39" s="1"/>
  <c r="JC47" i="39"/>
  <c r="JD47" i="39" s="1"/>
  <c r="IY47" i="39"/>
  <c r="IZ47" i="39" s="1"/>
  <c r="IW47" i="39"/>
  <c r="IX47" i="39" s="1"/>
  <c r="IU47" i="39"/>
  <c r="IV47" i="39" s="1"/>
  <c r="IS47" i="39"/>
  <c r="IT47" i="39" s="1"/>
  <c r="IM47" i="39"/>
  <c r="IN47" i="39" s="1"/>
  <c r="IC47" i="39"/>
  <c r="ID47" i="39" s="1"/>
  <c r="IK47" i="39"/>
  <c r="IL47" i="39" s="1"/>
  <c r="II47" i="39"/>
  <c r="IJ47" i="39" s="1"/>
  <c r="IQ47" i="39"/>
  <c r="IR47" i="39" s="1"/>
  <c r="IG47" i="39"/>
  <c r="IH47" i="39" s="1"/>
  <c r="IO47" i="39"/>
  <c r="IP47" i="39" s="1"/>
  <c r="IE47" i="39"/>
  <c r="IF47" i="39" s="1"/>
  <c r="HW47" i="39"/>
  <c r="HX47" i="39" s="1"/>
  <c r="HU47" i="39"/>
  <c r="HV47" i="39" s="1"/>
  <c r="IA47" i="39"/>
  <c r="IB47" i="39" s="1"/>
  <c r="HY47" i="39"/>
  <c r="HZ47" i="39" s="1"/>
  <c r="HO47" i="39"/>
  <c r="HP47" i="39" s="1"/>
  <c r="HM47" i="39"/>
  <c r="HN47" i="39" s="1"/>
  <c r="HS47" i="39"/>
  <c r="HT47" i="39" s="1"/>
  <c r="HI47" i="39"/>
  <c r="HJ47" i="39" s="1"/>
  <c r="HQ47" i="39"/>
  <c r="HR47" i="39" s="1"/>
  <c r="HK47" i="39"/>
  <c r="HL47" i="39" s="1"/>
  <c r="HE47" i="39"/>
  <c r="HF47" i="39" s="1"/>
  <c r="HG47" i="39"/>
  <c r="HH47" i="39" s="1"/>
  <c r="JQ53" i="39"/>
  <c r="JR53" i="39" s="1"/>
  <c r="JU53" i="39"/>
  <c r="JV53" i="39" s="1"/>
  <c r="JS53" i="39"/>
  <c r="JT53" i="39" s="1"/>
  <c r="JW53" i="39"/>
  <c r="JX53" i="39" s="1"/>
  <c r="JA53" i="39"/>
  <c r="JB53" i="39" s="1"/>
  <c r="JG53" i="39"/>
  <c r="JH53" i="39" s="1"/>
  <c r="JE53" i="39"/>
  <c r="JF53" i="39" s="1"/>
  <c r="JC53" i="39"/>
  <c r="JD53" i="39" s="1"/>
  <c r="IY53" i="39"/>
  <c r="IZ53" i="39" s="1"/>
  <c r="IW53" i="39"/>
  <c r="IX53" i="39" s="1"/>
  <c r="IU53" i="39"/>
  <c r="IV53" i="39" s="1"/>
  <c r="IS53" i="39"/>
  <c r="IT53" i="39" s="1"/>
  <c r="IM53" i="39"/>
  <c r="IN53" i="39" s="1"/>
  <c r="IC53" i="39"/>
  <c r="ID53" i="39" s="1"/>
  <c r="IK53" i="39"/>
  <c r="IL53" i="39" s="1"/>
  <c r="II53" i="39"/>
  <c r="IJ53" i="39" s="1"/>
  <c r="IQ53" i="39"/>
  <c r="IR53" i="39" s="1"/>
  <c r="IG53" i="39"/>
  <c r="IH53" i="39" s="1"/>
  <c r="IO53" i="39"/>
  <c r="IP53" i="39" s="1"/>
  <c r="IE53" i="39"/>
  <c r="IF53" i="39" s="1"/>
  <c r="HW53" i="39"/>
  <c r="HX53" i="39" s="1"/>
  <c r="HU53" i="39"/>
  <c r="HV53" i="39" s="1"/>
  <c r="IA53" i="39"/>
  <c r="IB53" i="39" s="1"/>
  <c r="HY53" i="39"/>
  <c r="HZ53" i="39" s="1"/>
  <c r="HO53" i="39"/>
  <c r="HP53" i="39" s="1"/>
  <c r="HI53" i="39"/>
  <c r="HJ53" i="39" s="1"/>
  <c r="HM53" i="39"/>
  <c r="HN53" i="39" s="1"/>
  <c r="HK53" i="39"/>
  <c r="HL53" i="39" s="1"/>
  <c r="HS53" i="39"/>
  <c r="HT53" i="39" s="1"/>
  <c r="HQ53" i="39"/>
  <c r="HR53" i="39" s="1"/>
  <c r="HG53" i="39"/>
  <c r="HH53" i="39" s="1"/>
  <c r="HE53" i="39"/>
  <c r="HF53" i="39" s="1"/>
  <c r="JQ58" i="39"/>
  <c r="JR58" i="39" s="1"/>
  <c r="JW58" i="39"/>
  <c r="JX58" i="39" s="1"/>
  <c r="JU58" i="39"/>
  <c r="JV58" i="39" s="1"/>
  <c r="JS58" i="39"/>
  <c r="JT58" i="39" s="1"/>
  <c r="JA58" i="39"/>
  <c r="JB58" i="39" s="1"/>
  <c r="JG58" i="39"/>
  <c r="JH58" i="39" s="1"/>
  <c r="JE58" i="39"/>
  <c r="JF58" i="39" s="1"/>
  <c r="JC58" i="39"/>
  <c r="JD58" i="39" s="1"/>
  <c r="IY58" i="39"/>
  <c r="IZ58" i="39" s="1"/>
  <c r="IW58" i="39"/>
  <c r="IX58" i="39" s="1"/>
  <c r="IU58" i="39"/>
  <c r="IV58" i="39" s="1"/>
  <c r="IS58" i="39"/>
  <c r="IT58" i="39" s="1"/>
  <c r="IM58" i="39"/>
  <c r="IN58" i="39" s="1"/>
  <c r="IC58" i="39"/>
  <c r="ID58" i="39" s="1"/>
  <c r="IK58" i="39"/>
  <c r="IL58" i="39" s="1"/>
  <c r="II58" i="39"/>
  <c r="IJ58" i="39" s="1"/>
  <c r="IQ58" i="39"/>
  <c r="IR58" i="39" s="1"/>
  <c r="IG58" i="39"/>
  <c r="IH58" i="39" s="1"/>
  <c r="IO58" i="39"/>
  <c r="IP58" i="39" s="1"/>
  <c r="IE58" i="39"/>
  <c r="IF58" i="39" s="1"/>
  <c r="HW58" i="39"/>
  <c r="HX58" i="39" s="1"/>
  <c r="HU58" i="39"/>
  <c r="HV58" i="39" s="1"/>
  <c r="IA58" i="39"/>
  <c r="IB58" i="39" s="1"/>
  <c r="HY58" i="39"/>
  <c r="HZ58" i="39" s="1"/>
  <c r="HO58" i="39"/>
  <c r="HP58" i="39" s="1"/>
  <c r="HK58" i="39"/>
  <c r="HL58" i="39" s="1"/>
  <c r="HM58" i="39"/>
  <c r="HN58" i="39" s="1"/>
  <c r="HS58" i="39"/>
  <c r="HT58" i="39" s="1"/>
  <c r="HQ58" i="39"/>
  <c r="HR58" i="39" s="1"/>
  <c r="HI58" i="39"/>
  <c r="HJ58" i="39" s="1"/>
  <c r="HE58" i="39"/>
  <c r="HF58" i="39" s="1"/>
  <c r="HG58" i="39"/>
  <c r="HH58" i="39" s="1"/>
  <c r="JQ62" i="39"/>
  <c r="JR62" i="39" s="1"/>
  <c r="JW62" i="39"/>
  <c r="JX62" i="39" s="1"/>
  <c r="JS62" i="39"/>
  <c r="JT62" i="39" s="1"/>
  <c r="JU62" i="39"/>
  <c r="JV62" i="39" s="1"/>
  <c r="JA62" i="39"/>
  <c r="JB62" i="39" s="1"/>
  <c r="JG62" i="39"/>
  <c r="JH62" i="39" s="1"/>
  <c r="JE62" i="39"/>
  <c r="JF62" i="39" s="1"/>
  <c r="JC62" i="39"/>
  <c r="JD62" i="39" s="1"/>
  <c r="IY62" i="39"/>
  <c r="IZ62" i="39" s="1"/>
  <c r="IW62" i="39"/>
  <c r="IX62" i="39" s="1"/>
  <c r="IU62" i="39"/>
  <c r="IV62" i="39" s="1"/>
  <c r="IS62" i="39"/>
  <c r="IT62" i="39" s="1"/>
  <c r="IM62" i="39"/>
  <c r="IN62" i="39" s="1"/>
  <c r="IC62" i="39"/>
  <c r="ID62" i="39" s="1"/>
  <c r="IK62" i="39"/>
  <c r="IL62" i="39" s="1"/>
  <c r="II62" i="39"/>
  <c r="IJ62" i="39" s="1"/>
  <c r="IQ62" i="39"/>
  <c r="IR62" i="39" s="1"/>
  <c r="IG62" i="39"/>
  <c r="IH62" i="39" s="1"/>
  <c r="IO62" i="39"/>
  <c r="IP62" i="39" s="1"/>
  <c r="IE62" i="39"/>
  <c r="IF62" i="39" s="1"/>
  <c r="HW62" i="39"/>
  <c r="HX62" i="39" s="1"/>
  <c r="HU62" i="39"/>
  <c r="HV62" i="39" s="1"/>
  <c r="IA62" i="39"/>
  <c r="IB62" i="39" s="1"/>
  <c r="HY62" i="39"/>
  <c r="HZ62" i="39" s="1"/>
  <c r="HO62" i="39"/>
  <c r="HP62" i="39" s="1"/>
  <c r="HK62" i="39"/>
  <c r="HL62" i="39" s="1"/>
  <c r="HM62" i="39"/>
  <c r="HN62" i="39" s="1"/>
  <c r="HS62" i="39"/>
  <c r="HT62" i="39" s="1"/>
  <c r="HQ62" i="39"/>
  <c r="HR62" i="39" s="1"/>
  <c r="HI62" i="39"/>
  <c r="HJ62" i="39" s="1"/>
  <c r="HE62" i="39"/>
  <c r="HF62" i="39" s="1"/>
  <c r="HG62" i="39"/>
  <c r="HH62" i="39" s="1"/>
  <c r="JQ66" i="39"/>
  <c r="JR66" i="39" s="1"/>
  <c r="JW66" i="39"/>
  <c r="JX66" i="39" s="1"/>
  <c r="JU66" i="39"/>
  <c r="JV66" i="39" s="1"/>
  <c r="JS66" i="39"/>
  <c r="JT66" i="39" s="1"/>
  <c r="JN66" i="39"/>
  <c r="JA66" i="39"/>
  <c r="JB66" i="39" s="1"/>
  <c r="JG66" i="39"/>
  <c r="JH66" i="39" s="1"/>
  <c r="JE66" i="39"/>
  <c r="JF66" i="39" s="1"/>
  <c r="JC66" i="39"/>
  <c r="JD66" i="39" s="1"/>
  <c r="IY66" i="39"/>
  <c r="IZ66" i="39" s="1"/>
  <c r="IW66" i="39"/>
  <c r="IX66" i="39" s="1"/>
  <c r="IU66" i="39"/>
  <c r="IV66" i="39" s="1"/>
  <c r="IS66" i="39"/>
  <c r="IT66" i="39" s="1"/>
  <c r="IM66" i="39"/>
  <c r="IN66" i="39" s="1"/>
  <c r="IC66" i="39"/>
  <c r="ID66" i="39" s="1"/>
  <c r="IK66" i="39"/>
  <c r="IL66" i="39" s="1"/>
  <c r="II66" i="39"/>
  <c r="IJ66" i="39" s="1"/>
  <c r="IQ66" i="39"/>
  <c r="IR66" i="39" s="1"/>
  <c r="IG66" i="39"/>
  <c r="IH66" i="39" s="1"/>
  <c r="IO66" i="39"/>
  <c r="IP66" i="39" s="1"/>
  <c r="IE66" i="39"/>
  <c r="IF66" i="39" s="1"/>
  <c r="HW66" i="39"/>
  <c r="HX66" i="39" s="1"/>
  <c r="HU66" i="39"/>
  <c r="HV66" i="39" s="1"/>
  <c r="IA66" i="39"/>
  <c r="IB66" i="39" s="1"/>
  <c r="HY66" i="39"/>
  <c r="HZ66" i="39" s="1"/>
  <c r="HO66" i="39"/>
  <c r="HP66" i="39" s="1"/>
  <c r="HK66" i="39"/>
  <c r="HL66" i="39" s="1"/>
  <c r="HM66" i="39"/>
  <c r="HN66" i="39" s="1"/>
  <c r="HS66" i="39"/>
  <c r="HT66" i="39" s="1"/>
  <c r="HQ66" i="39"/>
  <c r="HR66" i="39" s="1"/>
  <c r="HI66" i="39"/>
  <c r="HJ66" i="39" s="1"/>
  <c r="HE66" i="39"/>
  <c r="HF66" i="39" s="1"/>
  <c r="HG66" i="39"/>
  <c r="HH66" i="39" s="1"/>
  <c r="JQ68" i="39"/>
  <c r="JR68" i="39" s="1"/>
  <c r="JS68" i="39"/>
  <c r="JT68" i="39" s="1"/>
  <c r="JW68" i="39"/>
  <c r="JX68" i="39" s="1"/>
  <c r="JU68" i="39"/>
  <c r="JV68" i="39" s="1"/>
  <c r="JA68" i="39"/>
  <c r="JB68" i="39" s="1"/>
  <c r="JG68" i="39"/>
  <c r="JH68" i="39" s="1"/>
  <c r="JE68" i="39"/>
  <c r="JF68" i="39" s="1"/>
  <c r="JC68" i="39"/>
  <c r="JD68" i="39" s="1"/>
  <c r="IY68" i="39"/>
  <c r="IZ68" i="39" s="1"/>
  <c r="IW68" i="39"/>
  <c r="IX68" i="39" s="1"/>
  <c r="IU68" i="39"/>
  <c r="IV68" i="39" s="1"/>
  <c r="IS68" i="39"/>
  <c r="IT68" i="39" s="1"/>
  <c r="IM68" i="39"/>
  <c r="IN68" i="39" s="1"/>
  <c r="IC68" i="39"/>
  <c r="ID68" i="39" s="1"/>
  <c r="IK68" i="39"/>
  <c r="IL68" i="39" s="1"/>
  <c r="II68" i="39"/>
  <c r="IJ68" i="39" s="1"/>
  <c r="IQ68" i="39"/>
  <c r="IR68" i="39" s="1"/>
  <c r="IG68" i="39"/>
  <c r="IH68" i="39" s="1"/>
  <c r="IO68" i="39"/>
  <c r="IP68" i="39" s="1"/>
  <c r="IE68" i="39"/>
  <c r="IF68" i="39" s="1"/>
  <c r="HW68" i="39"/>
  <c r="HX68" i="39" s="1"/>
  <c r="HU68" i="39"/>
  <c r="HV68" i="39" s="1"/>
  <c r="IA68" i="39"/>
  <c r="IB68" i="39" s="1"/>
  <c r="HY68" i="39"/>
  <c r="HZ68" i="39" s="1"/>
  <c r="HO68" i="39"/>
  <c r="HP68" i="39" s="1"/>
  <c r="HM68" i="39"/>
  <c r="HN68" i="39" s="1"/>
  <c r="HI68" i="39"/>
  <c r="HJ68" i="39" s="1"/>
  <c r="HS68" i="39"/>
  <c r="HT68" i="39" s="1"/>
  <c r="HK68" i="39"/>
  <c r="HL68" i="39" s="1"/>
  <c r="HQ68" i="39"/>
  <c r="HR68" i="39" s="1"/>
  <c r="HG68" i="39"/>
  <c r="HH68" i="39" s="1"/>
  <c r="HE68" i="39"/>
  <c r="HF68" i="39" s="1"/>
  <c r="JQ73" i="39"/>
  <c r="JR73" i="39" s="1"/>
  <c r="JU73" i="39"/>
  <c r="JV73" i="39" s="1"/>
  <c r="JW73" i="39"/>
  <c r="JX73" i="39" s="1"/>
  <c r="JS73" i="39"/>
  <c r="JT73" i="39" s="1"/>
  <c r="JA73" i="39"/>
  <c r="JB73" i="39" s="1"/>
  <c r="JG73" i="39"/>
  <c r="JH73" i="39" s="1"/>
  <c r="JE73" i="39"/>
  <c r="JF73" i="39" s="1"/>
  <c r="JC73" i="39"/>
  <c r="JD73" i="39" s="1"/>
  <c r="IY73" i="39"/>
  <c r="IZ73" i="39" s="1"/>
  <c r="IW73" i="39"/>
  <c r="IX73" i="39" s="1"/>
  <c r="IU73" i="39"/>
  <c r="IV73" i="39" s="1"/>
  <c r="IS73" i="39"/>
  <c r="IT73" i="39" s="1"/>
  <c r="IM73" i="39"/>
  <c r="IN73" i="39" s="1"/>
  <c r="IC73" i="39"/>
  <c r="ID73" i="39" s="1"/>
  <c r="IK73" i="39"/>
  <c r="IL73" i="39" s="1"/>
  <c r="II73" i="39"/>
  <c r="IJ73" i="39" s="1"/>
  <c r="IQ73" i="39"/>
  <c r="IR73" i="39" s="1"/>
  <c r="IG73" i="39"/>
  <c r="IH73" i="39" s="1"/>
  <c r="IO73" i="39"/>
  <c r="IP73" i="39" s="1"/>
  <c r="IE73" i="39"/>
  <c r="IF73" i="39" s="1"/>
  <c r="HW73" i="39"/>
  <c r="HX73" i="39" s="1"/>
  <c r="HU73" i="39"/>
  <c r="HV73" i="39" s="1"/>
  <c r="IA73" i="39"/>
  <c r="IB73" i="39" s="1"/>
  <c r="HY73" i="39"/>
  <c r="HZ73" i="39" s="1"/>
  <c r="HO73" i="39"/>
  <c r="HP73" i="39" s="1"/>
  <c r="HI73" i="39"/>
  <c r="HJ73" i="39" s="1"/>
  <c r="HM73" i="39"/>
  <c r="HN73" i="39" s="1"/>
  <c r="HK73" i="39"/>
  <c r="HL73" i="39" s="1"/>
  <c r="HS73" i="39"/>
  <c r="HT73" i="39" s="1"/>
  <c r="HQ73" i="39"/>
  <c r="HR73" i="39" s="1"/>
  <c r="HG73" i="39"/>
  <c r="HH73" i="39" s="1"/>
  <c r="HE73" i="39"/>
  <c r="HF73" i="39" s="1"/>
  <c r="JQ77" i="39"/>
  <c r="JR77" i="39" s="1"/>
  <c r="JU77" i="39"/>
  <c r="JV77" i="39" s="1"/>
  <c r="JW77" i="39"/>
  <c r="JX77" i="39" s="1"/>
  <c r="JS77" i="39"/>
  <c r="JT77" i="39" s="1"/>
  <c r="JA77" i="39"/>
  <c r="JB77" i="39" s="1"/>
  <c r="JG77" i="39"/>
  <c r="JH77" i="39" s="1"/>
  <c r="JE77" i="39"/>
  <c r="JF77" i="39" s="1"/>
  <c r="JC77" i="39"/>
  <c r="JD77" i="39" s="1"/>
  <c r="IY77" i="39"/>
  <c r="IZ77" i="39" s="1"/>
  <c r="IW77" i="39"/>
  <c r="IX77" i="39" s="1"/>
  <c r="IU77" i="39"/>
  <c r="IV77" i="39" s="1"/>
  <c r="IS77" i="39"/>
  <c r="IT77" i="39" s="1"/>
  <c r="IM77" i="39"/>
  <c r="IN77" i="39" s="1"/>
  <c r="IC77" i="39"/>
  <c r="ID77" i="39" s="1"/>
  <c r="IK77" i="39"/>
  <c r="IL77" i="39" s="1"/>
  <c r="II77" i="39"/>
  <c r="IJ77" i="39" s="1"/>
  <c r="IQ77" i="39"/>
  <c r="IR77" i="39" s="1"/>
  <c r="IG77" i="39"/>
  <c r="IH77" i="39" s="1"/>
  <c r="IO77" i="39"/>
  <c r="IP77" i="39" s="1"/>
  <c r="IE77" i="39"/>
  <c r="IF77" i="39" s="1"/>
  <c r="HW77" i="39"/>
  <c r="HX77" i="39" s="1"/>
  <c r="HU77" i="39"/>
  <c r="HV77" i="39" s="1"/>
  <c r="IA77" i="39"/>
  <c r="IB77" i="39" s="1"/>
  <c r="HY77" i="39"/>
  <c r="HZ77" i="39" s="1"/>
  <c r="HO77" i="39"/>
  <c r="HP77" i="39" s="1"/>
  <c r="HI77" i="39"/>
  <c r="HJ77" i="39" s="1"/>
  <c r="HM77" i="39"/>
  <c r="HN77" i="39" s="1"/>
  <c r="HK77" i="39"/>
  <c r="HL77" i="39" s="1"/>
  <c r="HS77" i="39"/>
  <c r="HT77" i="39" s="1"/>
  <c r="HQ77" i="39"/>
  <c r="HR77" i="39" s="1"/>
  <c r="HG77" i="39"/>
  <c r="HH77" i="39" s="1"/>
  <c r="HE77" i="39"/>
  <c r="HF77" i="39" s="1"/>
  <c r="JQ81" i="39"/>
  <c r="JR81" i="39" s="1"/>
  <c r="JU81" i="39"/>
  <c r="JV81" i="39" s="1"/>
  <c r="JW81" i="39"/>
  <c r="JX81" i="39" s="1"/>
  <c r="JS81" i="39"/>
  <c r="JT81" i="39" s="1"/>
  <c r="JA81" i="39"/>
  <c r="JB81" i="39" s="1"/>
  <c r="JG81" i="39"/>
  <c r="JH81" i="39" s="1"/>
  <c r="JE81" i="39"/>
  <c r="JF81" i="39" s="1"/>
  <c r="JC81" i="39"/>
  <c r="JD81" i="39" s="1"/>
  <c r="IY81" i="39"/>
  <c r="IZ81" i="39" s="1"/>
  <c r="IW81" i="39"/>
  <c r="IX81" i="39" s="1"/>
  <c r="IU81" i="39"/>
  <c r="IV81" i="39" s="1"/>
  <c r="IS81" i="39"/>
  <c r="IT81" i="39" s="1"/>
  <c r="IM81" i="39"/>
  <c r="IN81" i="39" s="1"/>
  <c r="IC81" i="39"/>
  <c r="ID81" i="39" s="1"/>
  <c r="IK81" i="39"/>
  <c r="IL81" i="39" s="1"/>
  <c r="II81" i="39"/>
  <c r="IJ81" i="39" s="1"/>
  <c r="IQ81" i="39"/>
  <c r="IR81" i="39" s="1"/>
  <c r="IG81" i="39"/>
  <c r="IH81" i="39" s="1"/>
  <c r="IO81" i="39"/>
  <c r="IP81" i="39" s="1"/>
  <c r="IE81" i="39"/>
  <c r="IF81" i="39" s="1"/>
  <c r="HW81" i="39"/>
  <c r="HX81" i="39" s="1"/>
  <c r="HU81" i="39"/>
  <c r="HV81" i="39" s="1"/>
  <c r="IA81" i="39"/>
  <c r="IB81" i="39" s="1"/>
  <c r="HY81" i="39"/>
  <c r="HZ81" i="39" s="1"/>
  <c r="HO81" i="39"/>
  <c r="HP81" i="39" s="1"/>
  <c r="HI81" i="39"/>
  <c r="HJ81" i="39" s="1"/>
  <c r="HM81" i="39"/>
  <c r="HN81" i="39" s="1"/>
  <c r="HK81" i="39"/>
  <c r="HL81" i="39" s="1"/>
  <c r="HS81" i="39"/>
  <c r="HT81" i="39" s="1"/>
  <c r="HQ81" i="39"/>
  <c r="HR81" i="39" s="1"/>
  <c r="HG81" i="39"/>
  <c r="HH81" i="39" s="1"/>
  <c r="HE81" i="39"/>
  <c r="HF81" i="39" s="1"/>
  <c r="JQ84" i="39"/>
  <c r="JR84" i="39" s="1"/>
  <c r="JS84" i="39"/>
  <c r="JT84" i="39" s="1"/>
  <c r="JW84" i="39"/>
  <c r="JX84" i="39" s="1"/>
  <c r="JU84" i="39"/>
  <c r="JV84" i="39" s="1"/>
  <c r="JA84" i="39"/>
  <c r="JB84" i="39" s="1"/>
  <c r="JG84" i="39"/>
  <c r="JH84" i="39" s="1"/>
  <c r="JE84" i="39"/>
  <c r="JF84" i="39" s="1"/>
  <c r="JC84" i="39"/>
  <c r="JD84" i="39" s="1"/>
  <c r="IY84" i="39"/>
  <c r="IZ84" i="39" s="1"/>
  <c r="IW84" i="39"/>
  <c r="IX84" i="39" s="1"/>
  <c r="IU84" i="39"/>
  <c r="IV84" i="39" s="1"/>
  <c r="IS84" i="39"/>
  <c r="IT84" i="39" s="1"/>
  <c r="IM84" i="39"/>
  <c r="IN84" i="39" s="1"/>
  <c r="IC84" i="39"/>
  <c r="ID84" i="39" s="1"/>
  <c r="IK84" i="39"/>
  <c r="IL84" i="39" s="1"/>
  <c r="II84" i="39"/>
  <c r="IJ84" i="39" s="1"/>
  <c r="IQ84" i="39"/>
  <c r="IR84" i="39" s="1"/>
  <c r="IG84" i="39"/>
  <c r="IH84" i="39" s="1"/>
  <c r="IO84" i="39"/>
  <c r="IP84" i="39" s="1"/>
  <c r="IE84" i="39"/>
  <c r="IF84" i="39" s="1"/>
  <c r="HW84" i="39"/>
  <c r="HX84" i="39" s="1"/>
  <c r="HU84" i="39"/>
  <c r="HV84" i="39" s="1"/>
  <c r="IA84" i="39"/>
  <c r="IB84" i="39" s="1"/>
  <c r="HY84" i="39"/>
  <c r="HZ84" i="39" s="1"/>
  <c r="HO84" i="39"/>
  <c r="HP84" i="39" s="1"/>
  <c r="HM84" i="39"/>
  <c r="HN84" i="39" s="1"/>
  <c r="HI84" i="39"/>
  <c r="HJ84" i="39" s="1"/>
  <c r="HS84" i="39"/>
  <c r="HT84" i="39" s="1"/>
  <c r="HK84" i="39"/>
  <c r="HL84" i="39" s="1"/>
  <c r="HQ84" i="39"/>
  <c r="HR84" i="39" s="1"/>
  <c r="HG84" i="39"/>
  <c r="HH84" i="39" s="1"/>
  <c r="HE84" i="39"/>
  <c r="HF84" i="39" s="1"/>
  <c r="JQ89" i="39"/>
  <c r="JR89" i="39" s="1"/>
  <c r="JU89" i="39"/>
  <c r="JV89" i="39" s="1"/>
  <c r="JW89" i="39"/>
  <c r="JX89" i="39" s="1"/>
  <c r="JS89" i="39"/>
  <c r="JT89" i="39" s="1"/>
  <c r="JA89" i="39"/>
  <c r="JB89" i="39" s="1"/>
  <c r="JG89" i="39"/>
  <c r="JH89" i="39" s="1"/>
  <c r="JE89" i="39"/>
  <c r="JF89" i="39" s="1"/>
  <c r="JC89" i="39"/>
  <c r="JD89" i="39" s="1"/>
  <c r="IY89" i="39"/>
  <c r="IZ89" i="39" s="1"/>
  <c r="IW89" i="39"/>
  <c r="IX89" i="39" s="1"/>
  <c r="IU89" i="39"/>
  <c r="IV89" i="39" s="1"/>
  <c r="IS89" i="39"/>
  <c r="IT89" i="39" s="1"/>
  <c r="IM89" i="39"/>
  <c r="IN89" i="39" s="1"/>
  <c r="IC89" i="39"/>
  <c r="ID89" i="39" s="1"/>
  <c r="IK89" i="39"/>
  <c r="IL89" i="39" s="1"/>
  <c r="II89" i="39"/>
  <c r="IJ89" i="39" s="1"/>
  <c r="IQ89" i="39"/>
  <c r="IR89" i="39" s="1"/>
  <c r="IG89" i="39"/>
  <c r="IH89" i="39" s="1"/>
  <c r="IO89" i="39"/>
  <c r="IP89" i="39" s="1"/>
  <c r="IE89" i="39"/>
  <c r="IF89" i="39" s="1"/>
  <c r="HW89" i="39"/>
  <c r="HX89" i="39" s="1"/>
  <c r="HU89" i="39"/>
  <c r="HV89" i="39" s="1"/>
  <c r="IA89" i="39"/>
  <c r="IB89" i="39" s="1"/>
  <c r="HY89" i="39"/>
  <c r="HZ89" i="39" s="1"/>
  <c r="HO89" i="39"/>
  <c r="HP89" i="39" s="1"/>
  <c r="HI89" i="39"/>
  <c r="HJ89" i="39" s="1"/>
  <c r="HM89" i="39"/>
  <c r="HN89" i="39" s="1"/>
  <c r="HK89" i="39"/>
  <c r="HL89" i="39" s="1"/>
  <c r="HS89" i="39"/>
  <c r="HT89" i="39" s="1"/>
  <c r="HQ89" i="39"/>
  <c r="HR89" i="39" s="1"/>
  <c r="HG89" i="39"/>
  <c r="HH89" i="39" s="1"/>
  <c r="HE89" i="39"/>
  <c r="HF89" i="39" s="1"/>
  <c r="JQ93" i="39"/>
  <c r="JR93" i="39" s="1"/>
  <c r="JU93" i="39"/>
  <c r="JV93" i="39" s="1"/>
  <c r="JW93" i="39"/>
  <c r="JX93" i="39" s="1"/>
  <c r="JS93" i="39"/>
  <c r="JT93" i="39" s="1"/>
  <c r="JE93" i="39"/>
  <c r="JF93" i="39" s="1"/>
  <c r="JC93" i="39"/>
  <c r="JD93" i="39" s="1"/>
  <c r="JG93" i="39"/>
  <c r="JH93" i="39" s="1"/>
  <c r="JA93" i="39"/>
  <c r="JB93" i="39" s="1"/>
  <c r="IY93" i="39"/>
  <c r="IZ93" i="39" s="1"/>
  <c r="IW93" i="39"/>
  <c r="IX93" i="39" s="1"/>
  <c r="IU93" i="39"/>
  <c r="IV93" i="39" s="1"/>
  <c r="IS93" i="39"/>
  <c r="IT93" i="39" s="1"/>
  <c r="IM93" i="39"/>
  <c r="IN93" i="39" s="1"/>
  <c r="IC93" i="39"/>
  <c r="ID93" i="39" s="1"/>
  <c r="IK93" i="39"/>
  <c r="IL93" i="39" s="1"/>
  <c r="II93" i="39"/>
  <c r="IJ93" i="39" s="1"/>
  <c r="IQ93" i="39"/>
  <c r="IR93" i="39" s="1"/>
  <c r="IG93" i="39"/>
  <c r="IH93" i="39" s="1"/>
  <c r="IO93" i="39"/>
  <c r="IP93" i="39" s="1"/>
  <c r="IE93" i="39"/>
  <c r="IF93" i="39" s="1"/>
  <c r="HW93" i="39"/>
  <c r="HX93" i="39" s="1"/>
  <c r="HU93" i="39"/>
  <c r="HV93" i="39" s="1"/>
  <c r="HO93" i="39"/>
  <c r="HP93" i="39" s="1"/>
  <c r="IA93" i="39"/>
  <c r="IB93" i="39" s="1"/>
  <c r="HY93" i="39"/>
  <c r="HZ93" i="39" s="1"/>
  <c r="HS93" i="39"/>
  <c r="HT93" i="39" s="1"/>
  <c r="HM93" i="39"/>
  <c r="HN93" i="39" s="1"/>
  <c r="HI93" i="39"/>
  <c r="HJ93" i="39" s="1"/>
  <c r="HK93" i="39"/>
  <c r="HL93" i="39" s="1"/>
  <c r="HQ93" i="39"/>
  <c r="HR93" i="39" s="1"/>
  <c r="HG93" i="39"/>
  <c r="HH93" i="39" s="1"/>
  <c r="HE93" i="39"/>
  <c r="HF93" i="39" s="1"/>
  <c r="JQ97" i="39"/>
  <c r="JR97" i="39" s="1"/>
  <c r="JU97" i="39"/>
  <c r="JV97" i="39" s="1"/>
  <c r="JW97" i="39"/>
  <c r="JX97" i="39" s="1"/>
  <c r="JS97" i="39"/>
  <c r="JT97" i="39" s="1"/>
  <c r="JE97" i="39"/>
  <c r="JF97" i="39" s="1"/>
  <c r="JC97" i="39"/>
  <c r="JD97" i="39" s="1"/>
  <c r="JG97" i="39"/>
  <c r="JH97" i="39" s="1"/>
  <c r="JA97" i="39"/>
  <c r="JB97" i="39" s="1"/>
  <c r="IY97" i="39"/>
  <c r="IZ97" i="39" s="1"/>
  <c r="IW97" i="39"/>
  <c r="IX97" i="39" s="1"/>
  <c r="IU97" i="39"/>
  <c r="IV97" i="39" s="1"/>
  <c r="IS97" i="39"/>
  <c r="IT97" i="39" s="1"/>
  <c r="IM97" i="39"/>
  <c r="IN97" i="39" s="1"/>
  <c r="IC97" i="39"/>
  <c r="ID97" i="39" s="1"/>
  <c r="IK97" i="39"/>
  <c r="IL97" i="39" s="1"/>
  <c r="II97" i="39"/>
  <c r="IJ97" i="39" s="1"/>
  <c r="IQ97" i="39"/>
  <c r="IR97" i="39" s="1"/>
  <c r="IG97" i="39"/>
  <c r="IH97" i="39" s="1"/>
  <c r="IO97" i="39"/>
  <c r="IP97" i="39" s="1"/>
  <c r="IE97" i="39"/>
  <c r="IF97" i="39" s="1"/>
  <c r="HW97" i="39"/>
  <c r="HX97" i="39" s="1"/>
  <c r="HU97" i="39"/>
  <c r="HV97" i="39" s="1"/>
  <c r="HO97" i="39"/>
  <c r="HP97" i="39" s="1"/>
  <c r="IA97" i="39"/>
  <c r="IB97" i="39" s="1"/>
  <c r="HY97" i="39"/>
  <c r="HZ97" i="39" s="1"/>
  <c r="HS97" i="39"/>
  <c r="HT97" i="39" s="1"/>
  <c r="HM97" i="39"/>
  <c r="HN97" i="39" s="1"/>
  <c r="HI97" i="39"/>
  <c r="HJ97" i="39" s="1"/>
  <c r="HK97" i="39"/>
  <c r="HL97" i="39" s="1"/>
  <c r="HQ97" i="39"/>
  <c r="HR97" i="39" s="1"/>
  <c r="HG97" i="39"/>
  <c r="HH97" i="39" s="1"/>
  <c r="HE97" i="39"/>
  <c r="HF97" i="39" s="1"/>
  <c r="JQ101" i="39"/>
  <c r="JR101" i="39" s="1"/>
  <c r="JU101" i="39"/>
  <c r="JV101" i="39" s="1"/>
  <c r="JS101" i="39"/>
  <c r="JT101" i="39" s="1"/>
  <c r="JW101" i="39"/>
  <c r="JX101" i="39" s="1"/>
  <c r="JE101" i="39"/>
  <c r="JF101" i="39" s="1"/>
  <c r="JC101" i="39"/>
  <c r="JD101" i="39" s="1"/>
  <c r="JG101" i="39"/>
  <c r="JH101" i="39" s="1"/>
  <c r="JA101" i="39"/>
  <c r="JB101" i="39" s="1"/>
  <c r="IY101" i="39"/>
  <c r="IZ101" i="39" s="1"/>
  <c r="IW101" i="39"/>
  <c r="IX101" i="39" s="1"/>
  <c r="IO101" i="39"/>
  <c r="IP101" i="39" s="1"/>
  <c r="IU101" i="39"/>
  <c r="IV101" i="39" s="1"/>
  <c r="IS101" i="39"/>
  <c r="IT101" i="39" s="1"/>
  <c r="IM101" i="39"/>
  <c r="IN101" i="39" s="1"/>
  <c r="IC101" i="39"/>
  <c r="ID101" i="39" s="1"/>
  <c r="IK101" i="39"/>
  <c r="IL101" i="39" s="1"/>
  <c r="II101" i="39"/>
  <c r="IJ101" i="39" s="1"/>
  <c r="IG101" i="39"/>
  <c r="IH101" i="39" s="1"/>
  <c r="IQ101" i="39"/>
  <c r="IR101" i="39" s="1"/>
  <c r="IE101" i="39"/>
  <c r="IF101" i="39" s="1"/>
  <c r="HW101" i="39"/>
  <c r="HX101" i="39" s="1"/>
  <c r="HU101" i="39"/>
  <c r="HV101" i="39" s="1"/>
  <c r="HO101" i="39"/>
  <c r="HP101" i="39" s="1"/>
  <c r="IA101" i="39"/>
  <c r="IB101" i="39" s="1"/>
  <c r="HY101" i="39"/>
  <c r="HZ101" i="39" s="1"/>
  <c r="HS101" i="39"/>
  <c r="HT101" i="39" s="1"/>
  <c r="HM101" i="39"/>
  <c r="HN101" i="39" s="1"/>
  <c r="HI101" i="39"/>
  <c r="HJ101" i="39" s="1"/>
  <c r="HK101" i="39"/>
  <c r="HL101" i="39" s="1"/>
  <c r="HQ101" i="39"/>
  <c r="HR101" i="39" s="1"/>
  <c r="HG101" i="39"/>
  <c r="HH101" i="39" s="1"/>
  <c r="HE101" i="39"/>
  <c r="HF101" i="39" s="1"/>
  <c r="JQ107" i="39"/>
  <c r="JR107" i="39" s="1"/>
  <c r="JW107" i="39"/>
  <c r="JX107" i="39" s="1"/>
  <c r="JU107" i="39"/>
  <c r="JV107" i="39" s="1"/>
  <c r="JS107" i="39"/>
  <c r="JT107" i="39" s="1"/>
  <c r="JE107" i="39"/>
  <c r="JF107" i="39" s="1"/>
  <c r="JC107" i="39"/>
  <c r="JD107" i="39" s="1"/>
  <c r="JG107" i="39"/>
  <c r="JH107" i="39" s="1"/>
  <c r="JA107" i="39"/>
  <c r="JB107" i="39" s="1"/>
  <c r="IY107" i="39"/>
  <c r="IZ107" i="39" s="1"/>
  <c r="IW107" i="39"/>
  <c r="IX107" i="39" s="1"/>
  <c r="IO107" i="39"/>
  <c r="IP107" i="39" s="1"/>
  <c r="IU107" i="39"/>
  <c r="IV107" i="39" s="1"/>
  <c r="IS107" i="39"/>
  <c r="IT107" i="39" s="1"/>
  <c r="IK107" i="39"/>
  <c r="IL107" i="39" s="1"/>
  <c r="IM107" i="39"/>
  <c r="IN107" i="39" s="1"/>
  <c r="IC107" i="39"/>
  <c r="ID107" i="39" s="1"/>
  <c r="II107" i="39"/>
  <c r="IJ107" i="39" s="1"/>
  <c r="IG107" i="39"/>
  <c r="IH107" i="39" s="1"/>
  <c r="IQ107" i="39"/>
  <c r="IR107" i="39" s="1"/>
  <c r="IE107" i="39"/>
  <c r="IF107" i="39" s="1"/>
  <c r="HW107" i="39"/>
  <c r="HX107" i="39" s="1"/>
  <c r="HU107" i="39"/>
  <c r="HV107" i="39" s="1"/>
  <c r="HO107" i="39"/>
  <c r="HP107" i="39" s="1"/>
  <c r="IA107" i="39"/>
  <c r="IB107" i="39" s="1"/>
  <c r="HY107" i="39"/>
  <c r="HZ107" i="39" s="1"/>
  <c r="HS107" i="39"/>
  <c r="HT107" i="39" s="1"/>
  <c r="HM107" i="39"/>
  <c r="HN107" i="39" s="1"/>
  <c r="HG107" i="39"/>
  <c r="HH107" i="39" s="1"/>
  <c r="HI107" i="39"/>
  <c r="HJ107" i="39" s="1"/>
  <c r="HQ107" i="39"/>
  <c r="HR107" i="39" s="1"/>
  <c r="HK107" i="39"/>
  <c r="HL107" i="39" s="1"/>
  <c r="HE107" i="39"/>
  <c r="HF107" i="39" s="1"/>
  <c r="JQ111" i="39"/>
  <c r="JR111" i="39" s="1"/>
  <c r="JW111" i="39"/>
  <c r="JX111" i="39" s="1"/>
  <c r="JU111" i="39"/>
  <c r="JV111" i="39" s="1"/>
  <c r="JS111" i="39"/>
  <c r="JT111" i="39" s="1"/>
  <c r="JN111" i="39"/>
  <c r="JA111" i="39"/>
  <c r="JB111" i="39" s="1"/>
  <c r="JG111" i="39"/>
  <c r="JH111" i="39" s="1"/>
  <c r="JE111" i="39"/>
  <c r="JF111" i="39" s="1"/>
  <c r="JC111" i="39"/>
  <c r="JD111" i="39" s="1"/>
  <c r="IY111" i="39"/>
  <c r="IZ111" i="39" s="1"/>
  <c r="IW111" i="39"/>
  <c r="IX111" i="39" s="1"/>
  <c r="IO111" i="39"/>
  <c r="IP111" i="39" s="1"/>
  <c r="IU111" i="39"/>
  <c r="IV111" i="39" s="1"/>
  <c r="IS111" i="39"/>
  <c r="IT111" i="39" s="1"/>
  <c r="IK111" i="39"/>
  <c r="IL111" i="39" s="1"/>
  <c r="IM111" i="39"/>
  <c r="IN111" i="39" s="1"/>
  <c r="IC111" i="39"/>
  <c r="ID111" i="39" s="1"/>
  <c r="II111" i="39"/>
  <c r="IJ111" i="39" s="1"/>
  <c r="IG111" i="39"/>
  <c r="IH111" i="39" s="1"/>
  <c r="IQ111" i="39"/>
  <c r="IR111" i="39" s="1"/>
  <c r="IE111" i="39"/>
  <c r="IF111" i="39" s="1"/>
  <c r="HW111" i="39"/>
  <c r="HX111" i="39" s="1"/>
  <c r="HU111" i="39"/>
  <c r="HV111" i="39" s="1"/>
  <c r="HO111" i="39"/>
  <c r="HP111" i="39" s="1"/>
  <c r="IA111" i="39"/>
  <c r="IB111" i="39" s="1"/>
  <c r="HY111" i="39"/>
  <c r="HZ111" i="39" s="1"/>
  <c r="HS111" i="39"/>
  <c r="HT111" i="39" s="1"/>
  <c r="HM111" i="39"/>
  <c r="HN111" i="39" s="1"/>
  <c r="HG111" i="39"/>
  <c r="HH111" i="39" s="1"/>
  <c r="HI111" i="39"/>
  <c r="HJ111" i="39" s="1"/>
  <c r="HQ111" i="39"/>
  <c r="HR111" i="39" s="1"/>
  <c r="HK111" i="39"/>
  <c r="HL111" i="39" s="1"/>
  <c r="HE111" i="39"/>
  <c r="HF111" i="39" s="1"/>
  <c r="JQ115" i="39"/>
  <c r="JR115" i="39" s="1"/>
  <c r="JU115" i="39"/>
  <c r="JV115" i="39" s="1"/>
  <c r="JS115" i="39"/>
  <c r="JT115" i="39" s="1"/>
  <c r="JW115" i="39"/>
  <c r="JX115" i="39" s="1"/>
  <c r="JL115" i="39"/>
  <c r="JA115" i="39"/>
  <c r="JB115" i="39" s="1"/>
  <c r="JG115" i="39"/>
  <c r="JH115" i="39" s="1"/>
  <c r="JE115" i="39"/>
  <c r="JF115" i="39" s="1"/>
  <c r="JC115" i="39"/>
  <c r="JD115" i="39" s="1"/>
  <c r="IY115" i="39"/>
  <c r="IZ115" i="39" s="1"/>
  <c r="IQ115" i="39"/>
  <c r="IR115" i="39" s="1"/>
  <c r="IW115" i="39"/>
  <c r="IX115" i="39" s="1"/>
  <c r="IO115" i="39"/>
  <c r="IP115" i="39" s="1"/>
  <c r="IU115" i="39"/>
  <c r="IV115" i="39" s="1"/>
  <c r="IM115" i="39"/>
  <c r="IN115" i="39" s="1"/>
  <c r="IS115" i="39"/>
  <c r="IT115" i="39" s="1"/>
  <c r="IK115" i="39"/>
  <c r="IL115" i="39" s="1"/>
  <c r="IC115" i="39"/>
  <c r="ID115" i="39" s="1"/>
  <c r="II115" i="39"/>
  <c r="IJ115" i="39" s="1"/>
  <c r="IG115" i="39"/>
  <c r="IH115" i="39" s="1"/>
  <c r="IE115" i="39"/>
  <c r="IF115" i="39" s="1"/>
  <c r="HW115" i="39"/>
  <c r="HX115" i="39" s="1"/>
  <c r="HQ115" i="39"/>
  <c r="HR115" i="39" s="1"/>
  <c r="HU115" i="39"/>
  <c r="HV115" i="39" s="1"/>
  <c r="HO115" i="39"/>
  <c r="HP115" i="39" s="1"/>
  <c r="IA115" i="39"/>
  <c r="IB115" i="39" s="1"/>
  <c r="HM115" i="39"/>
  <c r="HN115" i="39" s="1"/>
  <c r="HY115" i="39"/>
  <c r="HZ115" i="39" s="1"/>
  <c r="HS115" i="39"/>
  <c r="HT115" i="39" s="1"/>
  <c r="HG115" i="39"/>
  <c r="HH115" i="39" s="1"/>
  <c r="HI115" i="39"/>
  <c r="HJ115" i="39" s="1"/>
  <c r="HK115" i="39"/>
  <c r="HL115" i="39" s="1"/>
  <c r="HE115" i="39"/>
  <c r="HF115" i="39" s="1"/>
  <c r="JQ119" i="39"/>
  <c r="JR119" i="39" s="1"/>
  <c r="JS119" i="39"/>
  <c r="JT119" i="39" s="1"/>
  <c r="JW119" i="39"/>
  <c r="JX119" i="39" s="1"/>
  <c r="JU119" i="39"/>
  <c r="JV119" i="39" s="1"/>
  <c r="JA119" i="39"/>
  <c r="JB119" i="39" s="1"/>
  <c r="JG119" i="39"/>
  <c r="JH119" i="39" s="1"/>
  <c r="JE119" i="39"/>
  <c r="JF119" i="39" s="1"/>
  <c r="JC119" i="39"/>
  <c r="JD119" i="39" s="1"/>
  <c r="IY119" i="39"/>
  <c r="IZ119" i="39" s="1"/>
  <c r="IQ119" i="39"/>
  <c r="IR119" i="39" s="1"/>
  <c r="IW119" i="39"/>
  <c r="IX119" i="39" s="1"/>
  <c r="IO119" i="39"/>
  <c r="IP119" i="39" s="1"/>
  <c r="IU119" i="39"/>
  <c r="IV119" i="39" s="1"/>
  <c r="IM119" i="39"/>
  <c r="IN119" i="39" s="1"/>
  <c r="IS119" i="39"/>
  <c r="IT119" i="39" s="1"/>
  <c r="IK119" i="39"/>
  <c r="IL119" i="39" s="1"/>
  <c r="IC119" i="39"/>
  <c r="ID119" i="39" s="1"/>
  <c r="II119" i="39"/>
  <c r="IJ119" i="39" s="1"/>
  <c r="IG119" i="39"/>
  <c r="IH119" i="39" s="1"/>
  <c r="IE119" i="39"/>
  <c r="IF119" i="39" s="1"/>
  <c r="HW119" i="39"/>
  <c r="HX119" i="39" s="1"/>
  <c r="HQ119" i="39"/>
  <c r="HR119" i="39" s="1"/>
  <c r="HU119" i="39"/>
  <c r="HV119" i="39" s="1"/>
  <c r="HO119" i="39"/>
  <c r="HP119" i="39" s="1"/>
  <c r="IA119" i="39"/>
  <c r="IB119" i="39" s="1"/>
  <c r="HM119" i="39"/>
  <c r="HN119" i="39" s="1"/>
  <c r="HY119" i="39"/>
  <c r="HZ119" i="39" s="1"/>
  <c r="HS119" i="39"/>
  <c r="HT119" i="39" s="1"/>
  <c r="HG119" i="39"/>
  <c r="HH119" i="39" s="1"/>
  <c r="HI119" i="39"/>
  <c r="HJ119" i="39" s="1"/>
  <c r="HK119" i="39"/>
  <c r="HL119" i="39" s="1"/>
  <c r="HE119" i="39"/>
  <c r="HF119" i="39" s="1"/>
  <c r="JQ123" i="39"/>
  <c r="JR123" i="39" s="1"/>
  <c r="JW123" i="39"/>
  <c r="JX123" i="39" s="1"/>
  <c r="JU123" i="39"/>
  <c r="JV123" i="39" s="1"/>
  <c r="JS123" i="39"/>
  <c r="JT123" i="39" s="1"/>
  <c r="JN123" i="39"/>
  <c r="JA123" i="39"/>
  <c r="JB123" i="39" s="1"/>
  <c r="JG123" i="39"/>
  <c r="JH123" i="39" s="1"/>
  <c r="JE123" i="39"/>
  <c r="JF123" i="39" s="1"/>
  <c r="JC123" i="39"/>
  <c r="JD123" i="39" s="1"/>
  <c r="IY123" i="39"/>
  <c r="IZ123" i="39" s="1"/>
  <c r="IQ123" i="39"/>
  <c r="IR123" i="39" s="1"/>
  <c r="IW123" i="39"/>
  <c r="IX123" i="39" s="1"/>
  <c r="IO123" i="39"/>
  <c r="IP123" i="39" s="1"/>
  <c r="IU123" i="39"/>
  <c r="IV123" i="39" s="1"/>
  <c r="IM123" i="39"/>
  <c r="IN123" i="39" s="1"/>
  <c r="IS123" i="39"/>
  <c r="IT123" i="39" s="1"/>
  <c r="IK123" i="39"/>
  <c r="IL123" i="39" s="1"/>
  <c r="IC123" i="39"/>
  <c r="ID123" i="39" s="1"/>
  <c r="II123" i="39"/>
  <c r="IJ123" i="39" s="1"/>
  <c r="IG123" i="39"/>
  <c r="IH123" i="39" s="1"/>
  <c r="IE123" i="39"/>
  <c r="IF123" i="39" s="1"/>
  <c r="HW123" i="39"/>
  <c r="HX123" i="39" s="1"/>
  <c r="HQ123" i="39"/>
  <c r="HR123" i="39" s="1"/>
  <c r="HU123" i="39"/>
  <c r="HV123" i="39" s="1"/>
  <c r="HO123" i="39"/>
  <c r="HP123" i="39" s="1"/>
  <c r="IA123" i="39"/>
  <c r="IB123" i="39" s="1"/>
  <c r="HM123" i="39"/>
  <c r="HN123" i="39" s="1"/>
  <c r="HY123" i="39"/>
  <c r="HZ123" i="39" s="1"/>
  <c r="HS123" i="39"/>
  <c r="HT123" i="39" s="1"/>
  <c r="HG123" i="39"/>
  <c r="HH123" i="39" s="1"/>
  <c r="HI123" i="39"/>
  <c r="HJ123" i="39" s="1"/>
  <c r="HK123" i="39"/>
  <c r="HL123" i="39" s="1"/>
  <c r="HE123" i="39"/>
  <c r="HF123" i="39" s="1"/>
  <c r="JQ127" i="39"/>
  <c r="JR127" i="39" s="1"/>
  <c r="JW127" i="39"/>
  <c r="JX127" i="39" s="1"/>
  <c r="JU127" i="39"/>
  <c r="JV127" i="39" s="1"/>
  <c r="JS127" i="39"/>
  <c r="JT127" i="39" s="1"/>
  <c r="JL127" i="39"/>
  <c r="JA127" i="39"/>
  <c r="JB127" i="39" s="1"/>
  <c r="JG127" i="39"/>
  <c r="JH127" i="39" s="1"/>
  <c r="JE127" i="39"/>
  <c r="JF127" i="39" s="1"/>
  <c r="JC127" i="39"/>
  <c r="JD127" i="39" s="1"/>
  <c r="IY127" i="39"/>
  <c r="IZ127" i="39" s="1"/>
  <c r="IQ127" i="39"/>
  <c r="IR127" i="39" s="1"/>
  <c r="IW127" i="39"/>
  <c r="IX127" i="39" s="1"/>
  <c r="IO127" i="39"/>
  <c r="IP127" i="39" s="1"/>
  <c r="IU127" i="39"/>
  <c r="IV127" i="39" s="1"/>
  <c r="IM127" i="39"/>
  <c r="IN127" i="39" s="1"/>
  <c r="IS127" i="39"/>
  <c r="IT127" i="39" s="1"/>
  <c r="IK127" i="39"/>
  <c r="IL127" i="39" s="1"/>
  <c r="IC127" i="39"/>
  <c r="ID127" i="39" s="1"/>
  <c r="II127" i="39"/>
  <c r="IJ127" i="39" s="1"/>
  <c r="IG127" i="39"/>
  <c r="IH127" i="39" s="1"/>
  <c r="IE127" i="39"/>
  <c r="IF127" i="39" s="1"/>
  <c r="HW127" i="39"/>
  <c r="HX127" i="39" s="1"/>
  <c r="HQ127" i="39"/>
  <c r="HR127" i="39" s="1"/>
  <c r="HU127" i="39"/>
  <c r="HV127" i="39" s="1"/>
  <c r="HO127" i="39"/>
  <c r="HP127" i="39" s="1"/>
  <c r="IA127" i="39"/>
  <c r="IB127" i="39" s="1"/>
  <c r="HM127" i="39"/>
  <c r="HN127" i="39" s="1"/>
  <c r="HY127" i="39"/>
  <c r="HZ127" i="39" s="1"/>
  <c r="HS127" i="39"/>
  <c r="HT127" i="39" s="1"/>
  <c r="HG127" i="39"/>
  <c r="HH127" i="39" s="1"/>
  <c r="HI127" i="39"/>
  <c r="HJ127" i="39" s="1"/>
  <c r="HK127" i="39"/>
  <c r="HL127" i="39" s="1"/>
  <c r="HE127" i="39"/>
  <c r="HF127" i="39" s="1"/>
  <c r="JQ131" i="39"/>
  <c r="JR131" i="39" s="1"/>
  <c r="JU131" i="39"/>
  <c r="JV131" i="39" s="1"/>
  <c r="JS131" i="39"/>
  <c r="JT131" i="39" s="1"/>
  <c r="JW131" i="39"/>
  <c r="JX131" i="39" s="1"/>
  <c r="JA131" i="39"/>
  <c r="JB131" i="39" s="1"/>
  <c r="JG131" i="39"/>
  <c r="JH131" i="39" s="1"/>
  <c r="JE131" i="39"/>
  <c r="JF131" i="39" s="1"/>
  <c r="JC131" i="39"/>
  <c r="JD131" i="39" s="1"/>
  <c r="IY131" i="39"/>
  <c r="IZ131" i="39" s="1"/>
  <c r="IQ131" i="39"/>
  <c r="IR131" i="39" s="1"/>
  <c r="IW131" i="39"/>
  <c r="IX131" i="39" s="1"/>
  <c r="IO131" i="39"/>
  <c r="IP131" i="39" s="1"/>
  <c r="IU131" i="39"/>
  <c r="IV131" i="39" s="1"/>
  <c r="IM131" i="39"/>
  <c r="IN131" i="39" s="1"/>
  <c r="IS131" i="39"/>
  <c r="IT131" i="39" s="1"/>
  <c r="IK131" i="39"/>
  <c r="IL131" i="39" s="1"/>
  <c r="IC131" i="39"/>
  <c r="ID131" i="39" s="1"/>
  <c r="II131" i="39"/>
  <c r="IJ131" i="39" s="1"/>
  <c r="IG131" i="39"/>
  <c r="IH131" i="39" s="1"/>
  <c r="IE131" i="39"/>
  <c r="IF131" i="39" s="1"/>
  <c r="HW131" i="39"/>
  <c r="HX131" i="39" s="1"/>
  <c r="HQ131" i="39"/>
  <c r="HR131" i="39" s="1"/>
  <c r="HU131" i="39"/>
  <c r="HV131" i="39" s="1"/>
  <c r="HO131" i="39"/>
  <c r="HP131" i="39" s="1"/>
  <c r="IA131" i="39"/>
  <c r="IB131" i="39" s="1"/>
  <c r="HM131" i="39"/>
  <c r="HN131" i="39" s="1"/>
  <c r="HY131" i="39"/>
  <c r="HZ131" i="39" s="1"/>
  <c r="HS131" i="39"/>
  <c r="HT131" i="39" s="1"/>
  <c r="HG131" i="39"/>
  <c r="HH131" i="39" s="1"/>
  <c r="HI131" i="39"/>
  <c r="HJ131" i="39" s="1"/>
  <c r="HK131" i="39"/>
  <c r="HL131" i="39" s="1"/>
  <c r="HE131" i="39"/>
  <c r="HF131" i="39" s="1"/>
  <c r="JQ135" i="39"/>
  <c r="JR135" i="39" s="1"/>
  <c r="JU135" i="39"/>
  <c r="JV135" i="39" s="1"/>
  <c r="JS135" i="39"/>
  <c r="JT135" i="39" s="1"/>
  <c r="JW135" i="39"/>
  <c r="JX135" i="39" s="1"/>
  <c r="JN135" i="39"/>
  <c r="JA135" i="39"/>
  <c r="JB135" i="39" s="1"/>
  <c r="JG135" i="39"/>
  <c r="JH135" i="39" s="1"/>
  <c r="JE135" i="39"/>
  <c r="JF135" i="39" s="1"/>
  <c r="JC135" i="39"/>
  <c r="JD135" i="39" s="1"/>
  <c r="IY135" i="39"/>
  <c r="IZ135" i="39" s="1"/>
  <c r="IQ135" i="39"/>
  <c r="IR135" i="39" s="1"/>
  <c r="IW135" i="39"/>
  <c r="IX135" i="39" s="1"/>
  <c r="IO135" i="39"/>
  <c r="IP135" i="39" s="1"/>
  <c r="IU135" i="39"/>
  <c r="IV135" i="39" s="1"/>
  <c r="IM135" i="39"/>
  <c r="IN135" i="39" s="1"/>
  <c r="IS135" i="39"/>
  <c r="IT135" i="39" s="1"/>
  <c r="IK135" i="39"/>
  <c r="IL135" i="39" s="1"/>
  <c r="IC135" i="39"/>
  <c r="ID135" i="39" s="1"/>
  <c r="II135" i="39"/>
  <c r="IJ135" i="39" s="1"/>
  <c r="IG135" i="39"/>
  <c r="IH135" i="39" s="1"/>
  <c r="IE135" i="39"/>
  <c r="IF135" i="39" s="1"/>
  <c r="HW135" i="39"/>
  <c r="HX135" i="39" s="1"/>
  <c r="HQ135" i="39"/>
  <c r="HR135" i="39" s="1"/>
  <c r="HU135" i="39"/>
  <c r="HV135" i="39" s="1"/>
  <c r="HO135" i="39"/>
  <c r="HP135" i="39" s="1"/>
  <c r="IA135" i="39"/>
  <c r="IB135" i="39" s="1"/>
  <c r="HM135" i="39"/>
  <c r="HN135" i="39" s="1"/>
  <c r="HY135" i="39"/>
  <c r="HZ135" i="39" s="1"/>
  <c r="HS135" i="39"/>
  <c r="HT135" i="39" s="1"/>
  <c r="HG135" i="39"/>
  <c r="HH135" i="39" s="1"/>
  <c r="HI135" i="39"/>
  <c r="HJ135" i="39" s="1"/>
  <c r="HK135" i="39"/>
  <c r="HL135" i="39" s="1"/>
  <c r="HE135" i="39"/>
  <c r="HF135" i="39" s="1"/>
  <c r="JQ139" i="39"/>
  <c r="JR139" i="39" s="1"/>
  <c r="JU139" i="39"/>
  <c r="JV139" i="39" s="1"/>
  <c r="JS139" i="39"/>
  <c r="JT139" i="39" s="1"/>
  <c r="JW139" i="39"/>
  <c r="JX139" i="39" s="1"/>
  <c r="JL139" i="39"/>
  <c r="JA139" i="39"/>
  <c r="JB139" i="39" s="1"/>
  <c r="JG139" i="39"/>
  <c r="JH139" i="39" s="1"/>
  <c r="JE139" i="39"/>
  <c r="JF139" i="39" s="1"/>
  <c r="JC139" i="39"/>
  <c r="JD139" i="39" s="1"/>
  <c r="IY139" i="39"/>
  <c r="IZ139" i="39" s="1"/>
  <c r="IQ139" i="39"/>
  <c r="IR139" i="39" s="1"/>
  <c r="IW139" i="39"/>
  <c r="IX139" i="39" s="1"/>
  <c r="IO139" i="39"/>
  <c r="IP139" i="39" s="1"/>
  <c r="IU139" i="39"/>
  <c r="IV139" i="39" s="1"/>
  <c r="IM139" i="39"/>
  <c r="IN139" i="39" s="1"/>
  <c r="IS139" i="39"/>
  <c r="IT139" i="39" s="1"/>
  <c r="IK139" i="39"/>
  <c r="IL139" i="39" s="1"/>
  <c r="IC139" i="39"/>
  <c r="ID139" i="39" s="1"/>
  <c r="II139" i="39"/>
  <c r="IJ139" i="39" s="1"/>
  <c r="IG139" i="39"/>
  <c r="IH139" i="39" s="1"/>
  <c r="IE139" i="39"/>
  <c r="IF139" i="39" s="1"/>
  <c r="HW139" i="39"/>
  <c r="HX139" i="39" s="1"/>
  <c r="HQ139" i="39"/>
  <c r="HR139" i="39" s="1"/>
  <c r="HU139" i="39"/>
  <c r="HV139" i="39" s="1"/>
  <c r="HO139" i="39"/>
  <c r="HP139" i="39" s="1"/>
  <c r="IA139" i="39"/>
  <c r="IB139" i="39" s="1"/>
  <c r="HM139" i="39"/>
  <c r="HN139" i="39" s="1"/>
  <c r="HY139" i="39"/>
  <c r="HZ139" i="39" s="1"/>
  <c r="HS139" i="39"/>
  <c r="HT139" i="39" s="1"/>
  <c r="HG139" i="39"/>
  <c r="HH139" i="39" s="1"/>
  <c r="HI139" i="39"/>
  <c r="HJ139" i="39" s="1"/>
  <c r="HK139" i="39"/>
  <c r="HL139" i="39" s="1"/>
  <c r="HE139" i="39"/>
  <c r="HF139" i="39" s="1"/>
  <c r="JQ143" i="39"/>
  <c r="JR143" i="39" s="1"/>
  <c r="JU143" i="39"/>
  <c r="JV143" i="39" s="1"/>
  <c r="JS143" i="39"/>
  <c r="JT143" i="39" s="1"/>
  <c r="JW143" i="39"/>
  <c r="JX143" i="39" s="1"/>
  <c r="JA143" i="39"/>
  <c r="JB143" i="39" s="1"/>
  <c r="JG143" i="39"/>
  <c r="JH143" i="39" s="1"/>
  <c r="JE143" i="39"/>
  <c r="JF143" i="39" s="1"/>
  <c r="JC143" i="39"/>
  <c r="JD143" i="39" s="1"/>
  <c r="IY143" i="39"/>
  <c r="IZ143" i="39" s="1"/>
  <c r="IQ143" i="39"/>
  <c r="IR143" i="39" s="1"/>
  <c r="IW143" i="39"/>
  <c r="IX143" i="39" s="1"/>
  <c r="IO143" i="39"/>
  <c r="IP143" i="39" s="1"/>
  <c r="IU143" i="39"/>
  <c r="IV143" i="39" s="1"/>
  <c r="IM143" i="39"/>
  <c r="IN143" i="39" s="1"/>
  <c r="IS143" i="39"/>
  <c r="IT143" i="39" s="1"/>
  <c r="IK143" i="39"/>
  <c r="IL143" i="39" s="1"/>
  <c r="IC143" i="39"/>
  <c r="ID143" i="39" s="1"/>
  <c r="II143" i="39"/>
  <c r="IJ143" i="39" s="1"/>
  <c r="IG143" i="39"/>
  <c r="IH143" i="39" s="1"/>
  <c r="IE143" i="39"/>
  <c r="IF143" i="39" s="1"/>
  <c r="HW143" i="39"/>
  <c r="HX143" i="39" s="1"/>
  <c r="HQ143" i="39"/>
  <c r="HR143" i="39" s="1"/>
  <c r="HU143" i="39"/>
  <c r="HV143" i="39" s="1"/>
  <c r="HO143" i="39"/>
  <c r="HP143" i="39" s="1"/>
  <c r="IA143" i="39"/>
  <c r="IB143" i="39" s="1"/>
  <c r="HM143" i="39"/>
  <c r="HN143" i="39" s="1"/>
  <c r="HY143" i="39"/>
  <c r="HZ143" i="39" s="1"/>
  <c r="HS143" i="39"/>
  <c r="HT143" i="39" s="1"/>
  <c r="HG143" i="39"/>
  <c r="HH143" i="39" s="1"/>
  <c r="HI143" i="39"/>
  <c r="HJ143" i="39" s="1"/>
  <c r="HK143" i="39"/>
  <c r="HL143" i="39" s="1"/>
  <c r="HE143" i="39"/>
  <c r="HF143" i="39" s="1"/>
  <c r="JQ147" i="39"/>
  <c r="JR147" i="39" s="1"/>
  <c r="JU147" i="39"/>
  <c r="JV147" i="39" s="1"/>
  <c r="JS147" i="39"/>
  <c r="JT147" i="39" s="1"/>
  <c r="JW147" i="39"/>
  <c r="JX147" i="39" s="1"/>
  <c r="JN147" i="39"/>
  <c r="JA147" i="39"/>
  <c r="JB147" i="39" s="1"/>
  <c r="JG147" i="39"/>
  <c r="JH147" i="39" s="1"/>
  <c r="JE147" i="39"/>
  <c r="JF147" i="39" s="1"/>
  <c r="JC147" i="39"/>
  <c r="JD147" i="39" s="1"/>
  <c r="IY147" i="39"/>
  <c r="IZ147" i="39" s="1"/>
  <c r="IU147" i="39"/>
  <c r="IV147" i="39" s="1"/>
  <c r="IW147" i="39"/>
  <c r="IX147" i="39" s="1"/>
  <c r="IQ147" i="39"/>
  <c r="IR147" i="39" s="1"/>
  <c r="IS147" i="39"/>
  <c r="IT147" i="39" s="1"/>
  <c r="IO147" i="39"/>
  <c r="IP147" i="39" s="1"/>
  <c r="IM147" i="39"/>
  <c r="IN147" i="39" s="1"/>
  <c r="IK147" i="39"/>
  <c r="IL147" i="39" s="1"/>
  <c r="IC147" i="39"/>
  <c r="ID147" i="39" s="1"/>
  <c r="II147" i="39"/>
  <c r="IJ147" i="39" s="1"/>
  <c r="IG147" i="39"/>
  <c r="IH147" i="39" s="1"/>
  <c r="IE147" i="39"/>
  <c r="IF147" i="39" s="1"/>
  <c r="HW147" i="39"/>
  <c r="HX147" i="39" s="1"/>
  <c r="HQ147" i="39"/>
  <c r="HR147" i="39" s="1"/>
  <c r="HU147" i="39"/>
  <c r="HV147" i="39" s="1"/>
  <c r="HO147" i="39"/>
  <c r="HP147" i="39" s="1"/>
  <c r="IA147" i="39"/>
  <c r="IB147" i="39" s="1"/>
  <c r="HM147" i="39"/>
  <c r="HN147" i="39" s="1"/>
  <c r="HY147" i="39"/>
  <c r="HZ147" i="39" s="1"/>
  <c r="HS147" i="39"/>
  <c r="HT147" i="39" s="1"/>
  <c r="HG147" i="39"/>
  <c r="HH147" i="39" s="1"/>
  <c r="HI147" i="39"/>
  <c r="HJ147" i="39" s="1"/>
  <c r="HK147" i="39"/>
  <c r="HL147" i="39" s="1"/>
  <c r="HE147" i="39"/>
  <c r="HF147" i="39" s="1"/>
  <c r="JQ151" i="39"/>
  <c r="JR151" i="39" s="1"/>
  <c r="JU151" i="39"/>
  <c r="JV151" i="39" s="1"/>
  <c r="JS151" i="39"/>
  <c r="JT151" i="39" s="1"/>
  <c r="JW151" i="39"/>
  <c r="JX151" i="39" s="1"/>
  <c r="JL151" i="39"/>
  <c r="JA151" i="39"/>
  <c r="JB151" i="39" s="1"/>
  <c r="JG151" i="39"/>
  <c r="JH151" i="39" s="1"/>
  <c r="JE151" i="39"/>
  <c r="JF151" i="39" s="1"/>
  <c r="JC151" i="39"/>
  <c r="JD151" i="39" s="1"/>
  <c r="IY151" i="39"/>
  <c r="IZ151" i="39" s="1"/>
  <c r="IU151" i="39"/>
  <c r="IV151" i="39" s="1"/>
  <c r="IW151" i="39"/>
  <c r="IX151" i="39" s="1"/>
  <c r="IQ151" i="39"/>
  <c r="IR151" i="39" s="1"/>
  <c r="IS151" i="39"/>
  <c r="IT151" i="39" s="1"/>
  <c r="IO151" i="39"/>
  <c r="IP151" i="39" s="1"/>
  <c r="IM151" i="39"/>
  <c r="IN151" i="39" s="1"/>
  <c r="IK151" i="39"/>
  <c r="IL151" i="39" s="1"/>
  <c r="IC151" i="39"/>
  <c r="ID151" i="39" s="1"/>
  <c r="II151" i="39"/>
  <c r="IJ151" i="39" s="1"/>
  <c r="IG151" i="39"/>
  <c r="IH151" i="39" s="1"/>
  <c r="IE151" i="39"/>
  <c r="IF151" i="39" s="1"/>
  <c r="HW151" i="39"/>
  <c r="HX151" i="39" s="1"/>
  <c r="HQ151" i="39"/>
  <c r="HR151" i="39" s="1"/>
  <c r="HU151" i="39"/>
  <c r="HV151" i="39" s="1"/>
  <c r="HO151" i="39"/>
  <c r="HP151" i="39" s="1"/>
  <c r="IA151" i="39"/>
  <c r="IB151" i="39" s="1"/>
  <c r="HM151" i="39"/>
  <c r="HN151" i="39" s="1"/>
  <c r="HY151" i="39"/>
  <c r="HZ151" i="39" s="1"/>
  <c r="HS151" i="39"/>
  <c r="HT151" i="39" s="1"/>
  <c r="HG151" i="39"/>
  <c r="HH151" i="39" s="1"/>
  <c r="HI151" i="39"/>
  <c r="HJ151" i="39" s="1"/>
  <c r="HK151" i="39"/>
  <c r="HL151" i="39" s="1"/>
  <c r="HE151" i="39"/>
  <c r="HF151" i="39" s="1"/>
  <c r="JQ155" i="39"/>
  <c r="JR155" i="39" s="1"/>
  <c r="JU155" i="39"/>
  <c r="JV155" i="39" s="1"/>
  <c r="JS155" i="39"/>
  <c r="JT155" i="39" s="1"/>
  <c r="JW155" i="39"/>
  <c r="JX155" i="39" s="1"/>
  <c r="JA155" i="39"/>
  <c r="JB155" i="39" s="1"/>
  <c r="JG155" i="39"/>
  <c r="JH155" i="39" s="1"/>
  <c r="JE155" i="39"/>
  <c r="JF155" i="39" s="1"/>
  <c r="JC155" i="39"/>
  <c r="JD155" i="39" s="1"/>
  <c r="IY155" i="39"/>
  <c r="IZ155" i="39" s="1"/>
  <c r="IU155" i="39"/>
  <c r="IV155" i="39" s="1"/>
  <c r="IW155" i="39"/>
  <c r="IX155" i="39" s="1"/>
  <c r="IQ155" i="39"/>
  <c r="IR155" i="39" s="1"/>
  <c r="IS155" i="39"/>
  <c r="IT155" i="39" s="1"/>
  <c r="IO155" i="39"/>
  <c r="IP155" i="39" s="1"/>
  <c r="IM155" i="39"/>
  <c r="IN155" i="39" s="1"/>
  <c r="IK155" i="39"/>
  <c r="IL155" i="39" s="1"/>
  <c r="IC155" i="39"/>
  <c r="ID155" i="39" s="1"/>
  <c r="II155" i="39"/>
  <c r="IJ155" i="39" s="1"/>
  <c r="IG155" i="39"/>
  <c r="IH155" i="39" s="1"/>
  <c r="IE155" i="39"/>
  <c r="IF155" i="39" s="1"/>
  <c r="HW155" i="39"/>
  <c r="HX155" i="39" s="1"/>
  <c r="HQ155" i="39"/>
  <c r="HR155" i="39" s="1"/>
  <c r="HU155" i="39"/>
  <c r="HV155" i="39" s="1"/>
  <c r="HO155" i="39"/>
  <c r="HP155" i="39" s="1"/>
  <c r="IA155" i="39"/>
  <c r="IB155" i="39" s="1"/>
  <c r="HM155" i="39"/>
  <c r="HN155" i="39" s="1"/>
  <c r="HY155" i="39"/>
  <c r="HZ155" i="39" s="1"/>
  <c r="HS155" i="39"/>
  <c r="HT155" i="39" s="1"/>
  <c r="HG155" i="39"/>
  <c r="HH155" i="39" s="1"/>
  <c r="HI155" i="39"/>
  <c r="HJ155" i="39" s="1"/>
  <c r="HK155" i="39"/>
  <c r="HL155" i="39" s="1"/>
  <c r="HE155" i="39"/>
  <c r="HF155" i="39" s="1"/>
  <c r="JQ159" i="39"/>
  <c r="JR159" i="39" s="1"/>
  <c r="JU159" i="39"/>
  <c r="JV159" i="39" s="1"/>
  <c r="JS159" i="39"/>
  <c r="JT159" i="39" s="1"/>
  <c r="JW159" i="39"/>
  <c r="JX159" i="39" s="1"/>
  <c r="JN159" i="39"/>
  <c r="JA159" i="39"/>
  <c r="JB159" i="39" s="1"/>
  <c r="JG159" i="39"/>
  <c r="JH159" i="39" s="1"/>
  <c r="JE159" i="39"/>
  <c r="JF159" i="39" s="1"/>
  <c r="JC159" i="39"/>
  <c r="JD159" i="39" s="1"/>
  <c r="IY159" i="39"/>
  <c r="IZ159" i="39" s="1"/>
  <c r="IU159" i="39"/>
  <c r="IV159" i="39" s="1"/>
  <c r="IW159" i="39"/>
  <c r="IX159" i="39" s="1"/>
  <c r="IQ159" i="39"/>
  <c r="IR159" i="39" s="1"/>
  <c r="IS159" i="39"/>
  <c r="IT159" i="39" s="1"/>
  <c r="IO159" i="39"/>
  <c r="IP159" i="39" s="1"/>
  <c r="IM159" i="39"/>
  <c r="IN159" i="39" s="1"/>
  <c r="IK159" i="39"/>
  <c r="IL159" i="39" s="1"/>
  <c r="IC159" i="39"/>
  <c r="ID159" i="39" s="1"/>
  <c r="II159" i="39"/>
  <c r="IJ159" i="39" s="1"/>
  <c r="IG159" i="39"/>
  <c r="IH159" i="39" s="1"/>
  <c r="IE159" i="39"/>
  <c r="IF159" i="39" s="1"/>
  <c r="HW159" i="39"/>
  <c r="HX159" i="39" s="1"/>
  <c r="HQ159" i="39"/>
  <c r="HR159" i="39" s="1"/>
  <c r="HU159" i="39"/>
  <c r="HV159" i="39" s="1"/>
  <c r="HO159" i="39"/>
  <c r="HP159" i="39" s="1"/>
  <c r="IA159" i="39"/>
  <c r="IB159" i="39" s="1"/>
  <c r="HM159" i="39"/>
  <c r="HN159" i="39" s="1"/>
  <c r="HY159" i="39"/>
  <c r="HZ159" i="39" s="1"/>
  <c r="HS159" i="39"/>
  <c r="HT159" i="39" s="1"/>
  <c r="HG159" i="39"/>
  <c r="HH159" i="39" s="1"/>
  <c r="HI159" i="39"/>
  <c r="HJ159" i="39" s="1"/>
  <c r="HK159" i="39"/>
  <c r="HL159" i="39" s="1"/>
  <c r="HE159" i="39"/>
  <c r="HF159" i="39" s="1"/>
  <c r="JQ163" i="39"/>
  <c r="JR163" i="39" s="1"/>
  <c r="JU163" i="39"/>
  <c r="JV163" i="39" s="1"/>
  <c r="JS163" i="39"/>
  <c r="JT163" i="39" s="1"/>
  <c r="JW163" i="39"/>
  <c r="JX163" i="39" s="1"/>
  <c r="JL163" i="39"/>
  <c r="JA163" i="39"/>
  <c r="JB163" i="39" s="1"/>
  <c r="JG163" i="39"/>
  <c r="JH163" i="39" s="1"/>
  <c r="JE163" i="39"/>
  <c r="JF163" i="39" s="1"/>
  <c r="JC163" i="39"/>
  <c r="JD163" i="39" s="1"/>
  <c r="IY163" i="39"/>
  <c r="IZ163" i="39" s="1"/>
  <c r="IU163" i="39"/>
  <c r="IV163" i="39" s="1"/>
  <c r="IW163" i="39"/>
  <c r="IX163" i="39" s="1"/>
  <c r="IQ163" i="39"/>
  <c r="IR163" i="39" s="1"/>
  <c r="IS163" i="39"/>
  <c r="IT163" i="39" s="1"/>
  <c r="IO163" i="39"/>
  <c r="IP163" i="39" s="1"/>
  <c r="IM163" i="39"/>
  <c r="IN163" i="39" s="1"/>
  <c r="IK163" i="39"/>
  <c r="IL163" i="39" s="1"/>
  <c r="IC163" i="39"/>
  <c r="ID163" i="39" s="1"/>
  <c r="II163" i="39"/>
  <c r="IJ163" i="39" s="1"/>
  <c r="IG163" i="39"/>
  <c r="IH163" i="39" s="1"/>
  <c r="IE163" i="39"/>
  <c r="IF163" i="39" s="1"/>
  <c r="HW163" i="39"/>
  <c r="HX163" i="39" s="1"/>
  <c r="HQ163" i="39"/>
  <c r="HR163" i="39" s="1"/>
  <c r="HU163" i="39"/>
  <c r="HV163" i="39" s="1"/>
  <c r="HO163" i="39"/>
  <c r="HP163" i="39" s="1"/>
  <c r="IA163" i="39"/>
  <c r="IB163" i="39" s="1"/>
  <c r="HM163" i="39"/>
  <c r="HN163" i="39" s="1"/>
  <c r="HY163" i="39"/>
  <c r="HZ163" i="39" s="1"/>
  <c r="HS163" i="39"/>
  <c r="HT163" i="39" s="1"/>
  <c r="HG163" i="39"/>
  <c r="HH163" i="39" s="1"/>
  <c r="HI163" i="39"/>
  <c r="HJ163" i="39" s="1"/>
  <c r="HK163" i="39"/>
  <c r="HL163" i="39" s="1"/>
  <c r="HE163" i="39"/>
  <c r="HF163" i="39" s="1"/>
  <c r="JQ48" i="39"/>
  <c r="JR48" i="39" s="1"/>
  <c r="JU48" i="39"/>
  <c r="JV48" i="39" s="1"/>
  <c r="JS48" i="39"/>
  <c r="JT48" i="39" s="1"/>
  <c r="JW48" i="39"/>
  <c r="JX48" i="39" s="1"/>
  <c r="JJ48" i="39"/>
  <c r="JA48" i="39"/>
  <c r="JB48" i="39" s="1"/>
  <c r="JG48" i="39"/>
  <c r="JH48" i="39" s="1"/>
  <c r="JE48" i="39"/>
  <c r="JF48" i="39" s="1"/>
  <c r="JC48" i="39"/>
  <c r="JD48" i="39" s="1"/>
  <c r="IY48" i="39"/>
  <c r="IZ48" i="39" s="1"/>
  <c r="IW48" i="39"/>
  <c r="IX48" i="39" s="1"/>
  <c r="IU48" i="39"/>
  <c r="IV48" i="39" s="1"/>
  <c r="IS48" i="39"/>
  <c r="IT48" i="39" s="1"/>
  <c r="IM48" i="39"/>
  <c r="IN48" i="39" s="1"/>
  <c r="IC48" i="39"/>
  <c r="ID48" i="39" s="1"/>
  <c r="IK48" i="39"/>
  <c r="IL48" i="39" s="1"/>
  <c r="II48" i="39"/>
  <c r="IJ48" i="39" s="1"/>
  <c r="IQ48" i="39"/>
  <c r="IR48" i="39" s="1"/>
  <c r="IG48" i="39"/>
  <c r="IH48" i="39" s="1"/>
  <c r="IO48" i="39"/>
  <c r="IP48" i="39" s="1"/>
  <c r="IE48" i="39"/>
  <c r="IF48" i="39" s="1"/>
  <c r="HW48" i="39"/>
  <c r="HX48" i="39" s="1"/>
  <c r="HU48" i="39"/>
  <c r="HV48" i="39" s="1"/>
  <c r="IA48" i="39"/>
  <c r="IB48" i="39" s="1"/>
  <c r="HY48" i="39"/>
  <c r="HZ48" i="39" s="1"/>
  <c r="HO48" i="39"/>
  <c r="HP48" i="39" s="1"/>
  <c r="HM48" i="39"/>
  <c r="HN48" i="39" s="1"/>
  <c r="HI48" i="39"/>
  <c r="HJ48" i="39" s="1"/>
  <c r="HS48" i="39"/>
  <c r="HT48" i="39" s="1"/>
  <c r="HK48" i="39"/>
  <c r="HL48" i="39" s="1"/>
  <c r="HQ48" i="39"/>
  <c r="HR48" i="39" s="1"/>
  <c r="HG48" i="39"/>
  <c r="HH48" i="39" s="1"/>
  <c r="HE48" i="39"/>
  <c r="HF48" i="39" s="1"/>
  <c r="JQ50" i="39"/>
  <c r="JR50" i="39" s="1"/>
  <c r="JW50" i="39"/>
  <c r="JX50" i="39" s="1"/>
  <c r="JU50" i="39"/>
  <c r="JV50" i="39" s="1"/>
  <c r="JS50" i="39"/>
  <c r="JT50" i="39" s="1"/>
  <c r="JA50" i="39"/>
  <c r="JB50" i="39" s="1"/>
  <c r="JG50" i="39"/>
  <c r="JH50" i="39" s="1"/>
  <c r="JE50" i="39"/>
  <c r="JF50" i="39" s="1"/>
  <c r="JC50" i="39"/>
  <c r="JD50" i="39" s="1"/>
  <c r="IY50" i="39"/>
  <c r="IZ50" i="39" s="1"/>
  <c r="IW50" i="39"/>
  <c r="IX50" i="39" s="1"/>
  <c r="IU50" i="39"/>
  <c r="IV50" i="39" s="1"/>
  <c r="IS50" i="39"/>
  <c r="IT50" i="39" s="1"/>
  <c r="IM50" i="39"/>
  <c r="IN50" i="39" s="1"/>
  <c r="IC50" i="39"/>
  <c r="ID50" i="39" s="1"/>
  <c r="IK50" i="39"/>
  <c r="IL50" i="39" s="1"/>
  <c r="II50" i="39"/>
  <c r="IJ50" i="39" s="1"/>
  <c r="IQ50" i="39"/>
  <c r="IR50" i="39" s="1"/>
  <c r="IG50" i="39"/>
  <c r="IH50" i="39" s="1"/>
  <c r="IO50" i="39"/>
  <c r="IP50" i="39" s="1"/>
  <c r="IE50" i="39"/>
  <c r="IF50" i="39" s="1"/>
  <c r="HW50" i="39"/>
  <c r="HX50" i="39" s="1"/>
  <c r="HU50" i="39"/>
  <c r="HV50" i="39" s="1"/>
  <c r="IA50" i="39"/>
  <c r="IB50" i="39" s="1"/>
  <c r="HY50" i="39"/>
  <c r="HZ50" i="39" s="1"/>
  <c r="HO50" i="39"/>
  <c r="HP50" i="39" s="1"/>
  <c r="HK50" i="39"/>
  <c r="HL50" i="39" s="1"/>
  <c r="HM50" i="39"/>
  <c r="HN50" i="39" s="1"/>
  <c r="HS50" i="39"/>
  <c r="HT50" i="39" s="1"/>
  <c r="HQ50" i="39"/>
  <c r="HR50" i="39" s="1"/>
  <c r="HI50" i="39"/>
  <c r="HJ50" i="39" s="1"/>
  <c r="HE50" i="39"/>
  <c r="HF50" i="39" s="1"/>
  <c r="HG50" i="39"/>
  <c r="HH50" i="39" s="1"/>
  <c r="JQ55" i="39"/>
  <c r="JR55" i="39" s="1"/>
  <c r="JS55" i="39"/>
  <c r="JT55" i="39" s="1"/>
  <c r="JW55" i="39"/>
  <c r="JX55" i="39" s="1"/>
  <c r="JU55" i="39"/>
  <c r="JV55" i="39" s="1"/>
  <c r="JA55" i="39"/>
  <c r="JB55" i="39" s="1"/>
  <c r="JG55" i="39"/>
  <c r="JH55" i="39" s="1"/>
  <c r="JE55" i="39"/>
  <c r="JF55" i="39" s="1"/>
  <c r="JC55" i="39"/>
  <c r="JD55" i="39" s="1"/>
  <c r="IY55" i="39"/>
  <c r="IZ55" i="39" s="1"/>
  <c r="IW55" i="39"/>
  <c r="IX55" i="39" s="1"/>
  <c r="IU55" i="39"/>
  <c r="IV55" i="39" s="1"/>
  <c r="IS55" i="39"/>
  <c r="IT55" i="39" s="1"/>
  <c r="IM55" i="39"/>
  <c r="IN55" i="39" s="1"/>
  <c r="IC55" i="39"/>
  <c r="ID55" i="39" s="1"/>
  <c r="IK55" i="39"/>
  <c r="IL55" i="39" s="1"/>
  <c r="II55" i="39"/>
  <c r="IJ55" i="39" s="1"/>
  <c r="IQ55" i="39"/>
  <c r="IR55" i="39" s="1"/>
  <c r="IG55" i="39"/>
  <c r="IH55" i="39" s="1"/>
  <c r="IO55" i="39"/>
  <c r="IP55" i="39" s="1"/>
  <c r="IE55" i="39"/>
  <c r="IF55" i="39" s="1"/>
  <c r="HW55" i="39"/>
  <c r="HX55" i="39" s="1"/>
  <c r="HU55" i="39"/>
  <c r="HV55" i="39" s="1"/>
  <c r="IA55" i="39"/>
  <c r="IB55" i="39" s="1"/>
  <c r="HY55" i="39"/>
  <c r="HZ55" i="39" s="1"/>
  <c r="HO55" i="39"/>
  <c r="HP55" i="39" s="1"/>
  <c r="HM55" i="39"/>
  <c r="HN55" i="39" s="1"/>
  <c r="HS55" i="39"/>
  <c r="HT55" i="39" s="1"/>
  <c r="HI55" i="39"/>
  <c r="HJ55" i="39" s="1"/>
  <c r="HQ55" i="39"/>
  <c r="HR55" i="39" s="1"/>
  <c r="HK55" i="39"/>
  <c r="HL55" i="39" s="1"/>
  <c r="HE55" i="39"/>
  <c r="HF55" i="39" s="1"/>
  <c r="HG55" i="39"/>
  <c r="HH55" i="39" s="1"/>
  <c r="JQ59" i="39"/>
  <c r="JR59" i="39" s="1"/>
  <c r="JW59" i="39"/>
  <c r="JX59" i="39" s="1"/>
  <c r="JU59" i="39"/>
  <c r="JV59" i="39" s="1"/>
  <c r="JS59" i="39"/>
  <c r="JT59" i="39" s="1"/>
  <c r="JA59" i="39"/>
  <c r="JB59" i="39" s="1"/>
  <c r="JG59" i="39"/>
  <c r="JH59" i="39" s="1"/>
  <c r="JE59" i="39"/>
  <c r="JF59" i="39" s="1"/>
  <c r="JC59" i="39"/>
  <c r="JD59" i="39" s="1"/>
  <c r="IY59" i="39"/>
  <c r="IZ59" i="39" s="1"/>
  <c r="IW59" i="39"/>
  <c r="IX59" i="39" s="1"/>
  <c r="IU59" i="39"/>
  <c r="IV59" i="39" s="1"/>
  <c r="IS59" i="39"/>
  <c r="IT59" i="39" s="1"/>
  <c r="IM59" i="39"/>
  <c r="IN59" i="39" s="1"/>
  <c r="IC59" i="39"/>
  <c r="ID59" i="39" s="1"/>
  <c r="IK59" i="39"/>
  <c r="IL59" i="39" s="1"/>
  <c r="II59" i="39"/>
  <c r="IJ59" i="39" s="1"/>
  <c r="IQ59" i="39"/>
  <c r="IR59" i="39" s="1"/>
  <c r="IG59" i="39"/>
  <c r="IH59" i="39" s="1"/>
  <c r="IO59" i="39"/>
  <c r="IP59" i="39" s="1"/>
  <c r="IE59" i="39"/>
  <c r="IF59" i="39" s="1"/>
  <c r="HW59" i="39"/>
  <c r="HX59" i="39" s="1"/>
  <c r="HU59" i="39"/>
  <c r="HV59" i="39" s="1"/>
  <c r="IA59" i="39"/>
  <c r="IB59" i="39" s="1"/>
  <c r="HY59" i="39"/>
  <c r="HZ59" i="39" s="1"/>
  <c r="HO59" i="39"/>
  <c r="HP59" i="39" s="1"/>
  <c r="HM59" i="39"/>
  <c r="HN59" i="39" s="1"/>
  <c r="HS59" i="39"/>
  <c r="HT59" i="39" s="1"/>
  <c r="HI59" i="39"/>
  <c r="HJ59" i="39" s="1"/>
  <c r="HQ59" i="39"/>
  <c r="HR59" i="39" s="1"/>
  <c r="HK59" i="39"/>
  <c r="HL59" i="39" s="1"/>
  <c r="HE59" i="39"/>
  <c r="HF59" i="39" s="1"/>
  <c r="HG59" i="39"/>
  <c r="HH59" i="39" s="1"/>
  <c r="JQ63" i="39"/>
  <c r="JR63" i="39" s="1"/>
  <c r="JW63" i="39"/>
  <c r="JX63" i="39" s="1"/>
  <c r="JU63" i="39"/>
  <c r="JV63" i="39" s="1"/>
  <c r="JS63" i="39"/>
  <c r="JT63" i="39" s="1"/>
  <c r="JA63" i="39"/>
  <c r="JB63" i="39" s="1"/>
  <c r="JG63" i="39"/>
  <c r="JH63" i="39" s="1"/>
  <c r="JE63" i="39"/>
  <c r="JF63" i="39" s="1"/>
  <c r="JC63" i="39"/>
  <c r="JD63" i="39" s="1"/>
  <c r="IY63" i="39"/>
  <c r="IZ63" i="39" s="1"/>
  <c r="IW63" i="39"/>
  <c r="IX63" i="39" s="1"/>
  <c r="IU63" i="39"/>
  <c r="IV63" i="39" s="1"/>
  <c r="IS63" i="39"/>
  <c r="IT63" i="39" s="1"/>
  <c r="IM63" i="39"/>
  <c r="IN63" i="39" s="1"/>
  <c r="IC63" i="39"/>
  <c r="ID63" i="39" s="1"/>
  <c r="IK63" i="39"/>
  <c r="IL63" i="39" s="1"/>
  <c r="II63" i="39"/>
  <c r="IJ63" i="39" s="1"/>
  <c r="IQ63" i="39"/>
  <c r="IR63" i="39" s="1"/>
  <c r="IG63" i="39"/>
  <c r="IH63" i="39" s="1"/>
  <c r="IO63" i="39"/>
  <c r="IP63" i="39" s="1"/>
  <c r="IE63" i="39"/>
  <c r="IF63" i="39" s="1"/>
  <c r="HW63" i="39"/>
  <c r="HX63" i="39" s="1"/>
  <c r="HU63" i="39"/>
  <c r="HV63" i="39" s="1"/>
  <c r="IA63" i="39"/>
  <c r="IB63" i="39" s="1"/>
  <c r="HY63" i="39"/>
  <c r="HZ63" i="39" s="1"/>
  <c r="HO63" i="39"/>
  <c r="HP63" i="39" s="1"/>
  <c r="HM63" i="39"/>
  <c r="HN63" i="39" s="1"/>
  <c r="HS63" i="39"/>
  <c r="HT63" i="39" s="1"/>
  <c r="HI63" i="39"/>
  <c r="HJ63" i="39" s="1"/>
  <c r="HQ63" i="39"/>
  <c r="HR63" i="39" s="1"/>
  <c r="HK63" i="39"/>
  <c r="HL63" i="39" s="1"/>
  <c r="HE63" i="39"/>
  <c r="HF63" i="39" s="1"/>
  <c r="HG63" i="39"/>
  <c r="HH63" i="39" s="1"/>
  <c r="JQ69" i="39"/>
  <c r="JR69" i="39" s="1"/>
  <c r="JU69" i="39"/>
  <c r="JV69" i="39" s="1"/>
  <c r="JS69" i="39"/>
  <c r="JT69" i="39" s="1"/>
  <c r="JW69" i="39"/>
  <c r="JX69" i="39" s="1"/>
  <c r="JA69" i="39"/>
  <c r="JB69" i="39" s="1"/>
  <c r="JG69" i="39"/>
  <c r="JH69" i="39" s="1"/>
  <c r="JE69" i="39"/>
  <c r="JF69" i="39" s="1"/>
  <c r="JC69" i="39"/>
  <c r="JD69" i="39" s="1"/>
  <c r="IY69" i="39"/>
  <c r="IZ69" i="39" s="1"/>
  <c r="IW69" i="39"/>
  <c r="IX69" i="39" s="1"/>
  <c r="IU69" i="39"/>
  <c r="IV69" i="39" s="1"/>
  <c r="IS69" i="39"/>
  <c r="IT69" i="39" s="1"/>
  <c r="IM69" i="39"/>
  <c r="IN69" i="39" s="1"/>
  <c r="IC69" i="39"/>
  <c r="ID69" i="39" s="1"/>
  <c r="IK69" i="39"/>
  <c r="IL69" i="39" s="1"/>
  <c r="II69" i="39"/>
  <c r="IJ69" i="39" s="1"/>
  <c r="IQ69" i="39"/>
  <c r="IR69" i="39" s="1"/>
  <c r="IG69" i="39"/>
  <c r="IH69" i="39" s="1"/>
  <c r="IO69" i="39"/>
  <c r="IP69" i="39" s="1"/>
  <c r="IE69" i="39"/>
  <c r="IF69" i="39" s="1"/>
  <c r="HW69" i="39"/>
  <c r="HX69" i="39" s="1"/>
  <c r="HU69" i="39"/>
  <c r="HV69" i="39" s="1"/>
  <c r="IA69" i="39"/>
  <c r="IB69" i="39" s="1"/>
  <c r="HY69" i="39"/>
  <c r="HZ69" i="39" s="1"/>
  <c r="HO69" i="39"/>
  <c r="HP69" i="39" s="1"/>
  <c r="HI69" i="39"/>
  <c r="HJ69" i="39" s="1"/>
  <c r="HM69" i="39"/>
  <c r="HN69" i="39" s="1"/>
  <c r="HK69" i="39"/>
  <c r="HL69" i="39" s="1"/>
  <c r="HS69" i="39"/>
  <c r="HT69" i="39" s="1"/>
  <c r="HQ69" i="39"/>
  <c r="HR69" i="39" s="1"/>
  <c r="HG69" i="39"/>
  <c r="HH69" i="39" s="1"/>
  <c r="HE69" i="39"/>
  <c r="HF69" i="39" s="1"/>
  <c r="JQ71" i="39"/>
  <c r="JR71" i="39" s="1"/>
  <c r="JS71" i="39"/>
  <c r="JT71" i="39" s="1"/>
  <c r="JW71" i="39"/>
  <c r="JX71" i="39" s="1"/>
  <c r="JU71" i="39"/>
  <c r="JV71" i="39" s="1"/>
  <c r="JA71" i="39"/>
  <c r="JB71" i="39" s="1"/>
  <c r="JG71" i="39"/>
  <c r="JH71" i="39" s="1"/>
  <c r="JE71" i="39"/>
  <c r="JF71" i="39" s="1"/>
  <c r="JC71" i="39"/>
  <c r="JD71" i="39" s="1"/>
  <c r="IY71" i="39"/>
  <c r="IZ71" i="39" s="1"/>
  <c r="IW71" i="39"/>
  <c r="IX71" i="39" s="1"/>
  <c r="IU71" i="39"/>
  <c r="IV71" i="39" s="1"/>
  <c r="IS71" i="39"/>
  <c r="IT71" i="39" s="1"/>
  <c r="IM71" i="39"/>
  <c r="IN71" i="39" s="1"/>
  <c r="IC71" i="39"/>
  <c r="ID71" i="39" s="1"/>
  <c r="IK71" i="39"/>
  <c r="IL71" i="39" s="1"/>
  <c r="II71" i="39"/>
  <c r="IJ71" i="39" s="1"/>
  <c r="IQ71" i="39"/>
  <c r="IR71" i="39" s="1"/>
  <c r="IG71" i="39"/>
  <c r="IH71" i="39" s="1"/>
  <c r="IO71" i="39"/>
  <c r="IP71" i="39" s="1"/>
  <c r="IE71" i="39"/>
  <c r="IF71" i="39" s="1"/>
  <c r="HW71" i="39"/>
  <c r="HX71" i="39" s="1"/>
  <c r="HU71" i="39"/>
  <c r="HV71" i="39" s="1"/>
  <c r="IA71" i="39"/>
  <c r="IB71" i="39" s="1"/>
  <c r="HY71" i="39"/>
  <c r="HZ71" i="39" s="1"/>
  <c r="HO71" i="39"/>
  <c r="HP71" i="39" s="1"/>
  <c r="HM71" i="39"/>
  <c r="HN71" i="39" s="1"/>
  <c r="HS71" i="39"/>
  <c r="HT71" i="39" s="1"/>
  <c r="HI71" i="39"/>
  <c r="HJ71" i="39" s="1"/>
  <c r="HQ71" i="39"/>
  <c r="HR71" i="39" s="1"/>
  <c r="HK71" i="39"/>
  <c r="HL71" i="39" s="1"/>
  <c r="HE71" i="39"/>
  <c r="HF71" i="39" s="1"/>
  <c r="HG71" i="39"/>
  <c r="HH71" i="39" s="1"/>
  <c r="JQ74" i="39"/>
  <c r="JR74" i="39" s="1"/>
  <c r="JW74" i="39"/>
  <c r="JX74" i="39" s="1"/>
  <c r="JU74" i="39"/>
  <c r="JV74" i="39" s="1"/>
  <c r="JS74" i="39"/>
  <c r="JT74" i="39" s="1"/>
  <c r="JA74" i="39"/>
  <c r="JB74" i="39" s="1"/>
  <c r="JG74" i="39"/>
  <c r="JH74" i="39" s="1"/>
  <c r="JE74" i="39"/>
  <c r="JF74" i="39" s="1"/>
  <c r="JC74" i="39"/>
  <c r="JD74" i="39" s="1"/>
  <c r="IY74" i="39"/>
  <c r="IZ74" i="39" s="1"/>
  <c r="IW74" i="39"/>
  <c r="IX74" i="39" s="1"/>
  <c r="IU74" i="39"/>
  <c r="IV74" i="39" s="1"/>
  <c r="IS74" i="39"/>
  <c r="IT74" i="39" s="1"/>
  <c r="IM74" i="39"/>
  <c r="IN74" i="39" s="1"/>
  <c r="IC74" i="39"/>
  <c r="ID74" i="39" s="1"/>
  <c r="IK74" i="39"/>
  <c r="IL74" i="39" s="1"/>
  <c r="II74" i="39"/>
  <c r="IJ74" i="39" s="1"/>
  <c r="IQ74" i="39"/>
  <c r="IR74" i="39" s="1"/>
  <c r="IG74" i="39"/>
  <c r="IH74" i="39" s="1"/>
  <c r="IO74" i="39"/>
  <c r="IP74" i="39" s="1"/>
  <c r="IE74" i="39"/>
  <c r="IF74" i="39" s="1"/>
  <c r="HW74" i="39"/>
  <c r="HX74" i="39" s="1"/>
  <c r="HU74" i="39"/>
  <c r="HV74" i="39" s="1"/>
  <c r="IA74" i="39"/>
  <c r="IB74" i="39" s="1"/>
  <c r="HY74" i="39"/>
  <c r="HZ74" i="39" s="1"/>
  <c r="HO74" i="39"/>
  <c r="HP74" i="39" s="1"/>
  <c r="HK74" i="39"/>
  <c r="HL74" i="39" s="1"/>
  <c r="HM74" i="39"/>
  <c r="HN74" i="39" s="1"/>
  <c r="HS74" i="39"/>
  <c r="HT74" i="39" s="1"/>
  <c r="HQ74" i="39"/>
  <c r="HR74" i="39" s="1"/>
  <c r="HI74" i="39"/>
  <c r="HJ74" i="39" s="1"/>
  <c r="HE74" i="39"/>
  <c r="HF74" i="39" s="1"/>
  <c r="HG74" i="39"/>
  <c r="HH74" i="39" s="1"/>
  <c r="JQ78" i="39"/>
  <c r="JR78" i="39" s="1"/>
  <c r="JW78" i="39"/>
  <c r="JX78" i="39" s="1"/>
  <c r="JS78" i="39"/>
  <c r="JT78" i="39" s="1"/>
  <c r="JU78" i="39"/>
  <c r="JV78" i="39" s="1"/>
  <c r="JA78" i="39"/>
  <c r="JB78" i="39" s="1"/>
  <c r="JG78" i="39"/>
  <c r="JH78" i="39" s="1"/>
  <c r="JE78" i="39"/>
  <c r="JF78" i="39" s="1"/>
  <c r="JC78" i="39"/>
  <c r="JD78" i="39" s="1"/>
  <c r="IY78" i="39"/>
  <c r="IZ78" i="39" s="1"/>
  <c r="IW78" i="39"/>
  <c r="IX78" i="39" s="1"/>
  <c r="IU78" i="39"/>
  <c r="IV78" i="39" s="1"/>
  <c r="IS78" i="39"/>
  <c r="IT78" i="39" s="1"/>
  <c r="IM78" i="39"/>
  <c r="IN78" i="39" s="1"/>
  <c r="IC78" i="39"/>
  <c r="ID78" i="39" s="1"/>
  <c r="IK78" i="39"/>
  <c r="IL78" i="39" s="1"/>
  <c r="II78" i="39"/>
  <c r="IJ78" i="39" s="1"/>
  <c r="IQ78" i="39"/>
  <c r="IR78" i="39" s="1"/>
  <c r="IG78" i="39"/>
  <c r="IH78" i="39" s="1"/>
  <c r="IO78" i="39"/>
  <c r="IP78" i="39" s="1"/>
  <c r="IE78" i="39"/>
  <c r="IF78" i="39" s="1"/>
  <c r="HW78" i="39"/>
  <c r="HX78" i="39" s="1"/>
  <c r="HU78" i="39"/>
  <c r="HV78" i="39" s="1"/>
  <c r="IA78" i="39"/>
  <c r="IB78" i="39" s="1"/>
  <c r="HY78" i="39"/>
  <c r="HZ78" i="39" s="1"/>
  <c r="HO78" i="39"/>
  <c r="HP78" i="39" s="1"/>
  <c r="HK78" i="39"/>
  <c r="HL78" i="39" s="1"/>
  <c r="HM78" i="39"/>
  <c r="HN78" i="39" s="1"/>
  <c r="HS78" i="39"/>
  <c r="HT78" i="39" s="1"/>
  <c r="HQ78" i="39"/>
  <c r="HR78" i="39" s="1"/>
  <c r="HI78" i="39"/>
  <c r="HJ78" i="39" s="1"/>
  <c r="HE78" i="39"/>
  <c r="HF78" i="39" s="1"/>
  <c r="HG78" i="39"/>
  <c r="HH78" i="39" s="1"/>
  <c r="JQ82" i="39"/>
  <c r="JR82" i="39" s="1"/>
  <c r="JW82" i="39"/>
  <c r="JX82" i="39" s="1"/>
  <c r="JU82" i="39"/>
  <c r="JV82" i="39" s="1"/>
  <c r="JS82" i="39"/>
  <c r="JT82" i="39" s="1"/>
  <c r="JA82" i="39"/>
  <c r="JB82" i="39" s="1"/>
  <c r="JG82" i="39"/>
  <c r="JH82" i="39" s="1"/>
  <c r="JE82" i="39"/>
  <c r="JF82" i="39" s="1"/>
  <c r="JC82" i="39"/>
  <c r="JD82" i="39" s="1"/>
  <c r="IY82" i="39"/>
  <c r="IZ82" i="39" s="1"/>
  <c r="IW82" i="39"/>
  <c r="IX82" i="39" s="1"/>
  <c r="IU82" i="39"/>
  <c r="IV82" i="39" s="1"/>
  <c r="IS82" i="39"/>
  <c r="IT82" i="39" s="1"/>
  <c r="IM82" i="39"/>
  <c r="IN82" i="39" s="1"/>
  <c r="IC82" i="39"/>
  <c r="ID82" i="39" s="1"/>
  <c r="IK82" i="39"/>
  <c r="IL82" i="39" s="1"/>
  <c r="II82" i="39"/>
  <c r="IJ82" i="39" s="1"/>
  <c r="IQ82" i="39"/>
  <c r="IR82" i="39" s="1"/>
  <c r="IG82" i="39"/>
  <c r="IH82" i="39" s="1"/>
  <c r="IO82" i="39"/>
  <c r="IP82" i="39" s="1"/>
  <c r="IE82" i="39"/>
  <c r="IF82" i="39" s="1"/>
  <c r="HW82" i="39"/>
  <c r="HX82" i="39" s="1"/>
  <c r="HU82" i="39"/>
  <c r="HV82" i="39" s="1"/>
  <c r="IA82" i="39"/>
  <c r="IB82" i="39" s="1"/>
  <c r="HY82" i="39"/>
  <c r="HZ82" i="39" s="1"/>
  <c r="HO82" i="39"/>
  <c r="HP82" i="39" s="1"/>
  <c r="HK82" i="39"/>
  <c r="HL82" i="39" s="1"/>
  <c r="HM82" i="39"/>
  <c r="HN82" i="39" s="1"/>
  <c r="HS82" i="39"/>
  <c r="HT82" i="39" s="1"/>
  <c r="HQ82" i="39"/>
  <c r="HR82" i="39" s="1"/>
  <c r="HI82" i="39"/>
  <c r="HJ82" i="39" s="1"/>
  <c r="HE82" i="39"/>
  <c r="HF82" i="39" s="1"/>
  <c r="HG82" i="39"/>
  <c r="HH82" i="39" s="1"/>
  <c r="JQ85" i="39"/>
  <c r="JR85" i="39" s="1"/>
  <c r="JU85" i="39"/>
  <c r="JV85" i="39" s="1"/>
  <c r="JS85" i="39"/>
  <c r="JT85" i="39" s="1"/>
  <c r="JW85" i="39"/>
  <c r="JX85" i="39" s="1"/>
  <c r="JA85" i="39"/>
  <c r="JB85" i="39" s="1"/>
  <c r="JG85" i="39"/>
  <c r="JH85" i="39" s="1"/>
  <c r="JE85" i="39"/>
  <c r="JF85" i="39" s="1"/>
  <c r="JC85" i="39"/>
  <c r="JD85" i="39" s="1"/>
  <c r="IY85" i="39"/>
  <c r="IZ85" i="39" s="1"/>
  <c r="IW85" i="39"/>
  <c r="IX85" i="39" s="1"/>
  <c r="IU85" i="39"/>
  <c r="IV85" i="39" s="1"/>
  <c r="IS85" i="39"/>
  <c r="IT85" i="39" s="1"/>
  <c r="IM85" i="39"/>
  <c r="IN85" i="39" s="1"/>
  <c r="IC85" i="39"/>
  <c r="ID85" i="39" s="1"/>
  <c r="IK85" i="39"/>
  <c r="IL85" i="39" s="1"/>
  <c r="II85" i="39"/>
  <c r="IJ85" i="39" s="1"/>
  <c r="IQ85" i="39"/>
  <c r="IR85" i="39" s="1"/>
  <c r="IG85" i="39"/>
  <c r="IH85" i="39" s="1"/>
  <c r="IO85" i="39"/>
  <c r="IP85" i="39" s="1"/>
  <c r="IE85" i="39"/>
  <c r="IF85" i="39" s="1"/>
  <c r="HW85" i="39"/>
  <c r="HX85" i="39" s="1"/>
  <c r="HU85" i="39"/>
  <c r="HV85" i="39" s="1"/>
  <c r="IA85" i="39"/>
  <c r="IB85" i="39" s="1"/>
  <c r="HY85" i="39"/>
  <c r="HZ85" i="39" s="1"/>
  <c r="HO85" i="39"/>
  <c r="HP85" i="39" s="1"/>
  <c r="HI85" i="39"/>
  <c r="HJ85" i="39" s="1"/>
  <c r="HM85" i="39"/>
  <c r="HN85" i="39" s="1"/>
  <c r="HK85" i="39"/>
  <c r="HL85" i="39" s="1"/>
  <c r="HS85" i="39"/>
  <c r="HT85" i="39" s="1"/>
  <c r="HQ85" i="39"/>
  <c r="HR85" i="39" s="1"/>
  <c r="HG85" i="39"/>
  <c r="HH85" i="39" s="1"/>
  <c r="HE85" i="39"/>
  <c r="HF85" i="39" s="1"/>
  <c r="JQ90" i="39"/>
  <c r="JR90" i="39" s="1"/>
  <c r="JW90" i="39"/>
  <c r="JX90" i="39" s="1"/>
  <c r="JU90" i="39"/>
  <c r="JV90" i="39" s="1"/>
  <c r="JS90" i="39"/>
  <c r="JT90" i="39" s="1"/>
  <c r="JE90" i="39"/>
  <c r="JF90" i="39" s="1"/>
  <c r="JC90" i="39"/>
  <c r="JD90" i="39" s="1"/>
  <c r="JA90" i="39"/>
  <c r="JB90" i="39" s="1"/>
  <c r="JG90" i="39"/>
  <c r="JH90" i="39" s="1"/>
  <c r="IY90" i="39"/>
  <c r="IZ90" i="39" s="1"/>
  <c r="IW90" i="39"/>
  <c r="IX90" i="39" s="1"/>
  <c r="IU90" i="39"/>
  <c r="IV90" i="39" s="1"/>
  <c r="IS90" i="39"/>
  <c r="IT90" i="39" s="1"/>
  <c r="IM90" i="39"/>
  <c r="IN90" i="39" s="1"/>
  <c r="IC90" i="39"/>
  <c r="ID90" i="39" s="1"/>
  <c r="IK90" i="39"/>
  <c r="IL90" i="39" s="1"/>
  <c r="II90" i="39"/>
  <c r="IJ90" i="39" s="1"/>
  <c r="IQ90" i="39"/>
  <c r="IR90" i="39" s="1"/>
  <c r="IG90" i="39"/>
  <c r="IH90" i="39" s="1"/>
  <c r="IO90" i="39"/>
  <c r="IP90" i="39" s="1"/>
  <c r="IE90" i="39"/>
  <c r="IF90" i="39" s="1"/>
  <c r="HW90" i="39"/>
  <c r="HX90" i="39" s="1"/>
  <c r="HU90" i="39"/>
  <c r="HV90" i="39" s="1"/>
  <c r="IA90" i="39"/>
  <c r="IB90" i="39" s="1"/>
  <c r="HY90" i="39"/>
  <c r="HZ90" i="39" s="1"/>
  <c r="HO90" i="39"/>
  <c r="HP90" i="39" s="1"/>
  <c r="HK90" i="39"/>
  <c r="HL90" i="39" s="1"/>
  <c r="HM90" i="39"/>
  <c r="HN90" i="39" s="1"/>
  <c r="HS90" i="39"/>
  <c r="HT90" i="39" s="1"/>
  <c r="HG90" i="39"/>
  <c r="HH90" i="39" s="1"/>
  <c r="HQ90" i="39"/>
  <c r="HR90" i="39" s="1"/>
  <c r="HI90" i="39"/>
  <c r="HJ90" i="39" s="1"/>
  <c r="HE90" i="39"/>
  <c r="HF90" i="39" s="1"/>
  <c r="JQ94" i="39"/>
  <c r="JR94" i="39" s="1"/>
  <c r="JW94" i="39"/>
  <c r="JX94" i="39" s="1"/>
  <c r="JS94" i="39"/>
  <c r="JT94" i="39" s="1"/>
  <c r="JU94" i="39"/>
  <c r="JV94" i="39" s="1"/>
  <c r="JE94" i="39"/>
  <c r="JF94" i="39" s="1"/>
  <c r="JC94" i="39"/>
  <c r="JD94" i="39" s="1"/>
  <c r="JA94" i="39"/>
  <c r="JB94" i="39" s="1"/>
  <c r="JG94" i="39"/>
  <c r="JH94" i="39" s="1"/>
  <c r="IY94" i="39"/>
  <c r="IZ94" i="39" s="1"/>
  <c r="IW94" i="39"/>
  <c r="IX94" i="39" s="1"/>
  <c r="IU94" i="39"/>
  <c r="IV94" i="39" s="1"/>
  <c r="IS94" i="39"/>
  <c r="IT94" i="39" s="1"/>
  <c r="IM94" i="39"/>
  <c r="IN94" i="39" s="1"/>
  <c r="IC94" i="39"/>
  <c r="ID94" i="39" s="1"/>
  <c r="IK94" i="39"/>
  <c r="IL94" i="39" s="1"/>
  <c r="II94" i="39"/>
  <c r="IJ94" i="39" s="1"/>
  <c r="IQ94" i="39"/>
  <c r="IR94" i="39" s="1"/>
  <c r="IG94" i="39"/>
  <c r="IH94" i="39" s="1"/>
  <c r="IO94" i="39"/>
  <c r="IP94" i="39" s="1"/>
  <c r="IE94" i="39"/>
  <c r="IF94" i="39" s="1"/>
  <c r="HW94" i="39"/>
  <c r="HX94" i="39" s="1"/>
  <c r="HU94" i="39"/>
  <c r="HV94" i="39" s="1"/>
  <c r="HO94" i="39"/>
  <c r="HP94" i="39" s="1"/>
  <c r="IA94" i="39"/>
  <c r="IB94" i="39" s="1"/>
  <c r="HY94" i="39"/>
  <c r="HZ94" i="39" s="1"/>
  <c r="HS94" i="39"/>
  <c r="HT94" i="39" s="1"/>
  <c r="HK94" i="39"/>
  <c r="HL94" i="39" s="1"/>
  <c r="HQ94" i="39"/>
  <c r="HR94" i="39" s="1"/>
  <c r="HM94" i="39"/>
  <c r="HN94" i="39" s="1"/>
  <c r="HG94" i="39"/>
  <c r="HH94" i="39" s="1"/>
  <c r="HI94" i="39"/>
  <c r="HJ94" i="39" s="1"/>
  <c r="HE94" i="39"/>
  <c r="HF94" i="39" s="1"/>
  <c r="JQ98" i="39"/>
  <c r="JR98" i="39" s="1"/>
  <c r="JW98" i="39"/>
  <c r="JX98" i="39" s="1"/>
  <c r="JU98" i="39"/>
  <c r="JV98" i="39" s="1"/>
  <c r="JS98" i="39"/>
  <c r="JT98" i="39" s="1"/>
  <c r="JE98" i="39"/>
  <c r="JF98" i="39" s="1"/>
  <c r="JC98" i="39"/>
  <c r="JD98" i="39" s="1"/>
  <c r="JA98" i="39"/>
  <c r="JB98" i="39" s="1"/>
  <c r="JG98" i="39"/>
  <c r="JH98" i="39" s="1"/>
  <c r="IY98" i="39"/>
  <c r="IZ98" i="39" s="1"/>
  <c r="IW98" i="39"/>
  <c r="IX98" i="39" s="1"/>
  <c r="IU98" i="39"/>
  <c r="IV98" i="39" s="1"/>
  <c r="IS98" i="39"/>
  <c r="IT98" i="39" s="1"/>
  <c r="IM98" i="39"/>
  <c r="IN98" i="39" s="1"/>
  <c r="IC98" i="39"/>
  <c r="ID98" i="39" s="1"/>
  <c r="IK98" i="39"/>
  <c r="IL98" i="39" s="1"/>
  <c r="II98" i="39"/>
  <c r="IJ98" i="39" s="1"/>
  <c r="IQ98" i="39"/>
  <c r="IR98" i="39" s="1"/>
  <c r="IG98" i="39"/>
  <c r="IH98" i="39" s="1"/>
  <c r="IO98" i="39"/>
  <c r="IP98" i="39" s="1"/>
  <c r="IE98" i="39"/>
  <c r="IF98" i="39" s="1"/>
  <c r="HW98" i="39"/>
  <c r="HX98" i="39" s="1"/>
  <c r="HU98" i="39"/>
  <c r="HV98" i="39" s="1"/>
  <c r="HO98" i="39"/>
  <c r="HP98" i="39" s="1"/>
  <c r="IA98" i="39"/>
  <c r="IB98" i="39" s="1"/>
  <c r="HY98" i="39"/>
  <c r="HZ98" i="39" s="1"/>
  <c r="HS98" i="39"/>
  <c r="HT98" i="39" s="1"/>
  <c r="HK98" i="39"/>
  <c r="HL98" i="39" s="1"/>
  <c r="HQ98" i="39"/>
  <c r="HR98" i="39" s="1"/>
  <c r="HM98" i="39"/>
  <c r="HN98" i="39" s="1"/>
  <c r="HG98" i="39"/>
  <c r="HH98" i="39" s="1"/>
  <c r="HI98" i="39"/>
  <c r="HJ98" i="39" s="1"/>
  <c r="HE98" i="39"/>
  <c r="HF98" i="39" s="1"/>
  <c r="JQ102" i="39"/>
  <c r="JR102" i="39" s="1"/>
  <c r="JW102" i="39"/>
  <c r="JX102" i="39" s="1"/>
  <c r="JU102" i="39"/>
  <c r="JV102" i="39" s="1"/>
  <c r="JS102" i="39"/>
  <c r="JT102" i="39" s="1"/>
  <c r="JE102" i="39"/>
  <c r="JF102" i="39" s="1"/>
  <c r="JC102" i="39"/>
  <c r="JD102" i="39" s="1"/>
  <c r="JA102" i="39"/>
  <c r="JB102" i="39" s="1"/>
  <c r="JG102" i="39"/>
  <c r="JH102" i="39" s="1"/>
  <c r="IY102" i="39"/>
  <c r="IZ102" i="39" s="1"/>
  <c r="IW102" i="39"/>
  <c r="IX102" i="39" s="1"/>
  <c r="IO102" i="39"/>
  <c r="IP102" i="39" s="1"/>
  <c r="IU102" i="39"/>
  <c r="IV102" i="39" s="1"/>
  <c r="IS102" i="39"/>
  <c r="IT102" i="39" s="1"/>
  <c r="IK102" i="39"/>
  <c r="IL102" i="39" s="1"/>
  <c r="IC102" i="39"/>
  <c r="ID102" i="39" s="1"/>
  <c r="IQ102" i="39"/>
  <c r="IR102" i="39" s="1"/>
  <c r="II102" i="39"/>
  <c r="IJ102" i="39" s="1"/>
  <c r="IM102" i="39"/>
  <c r="IN102" i="39" s="1"/>
  <c r="IG102" i="39"/>
  <c r="IH102" i="39" s="1"/>
  <c r="IE102" i="39"/>
  <c r="IF102" i="39" s="1"/>
  <c r="HW102" i="39"/>
  <c r="HX102" i="39" s="1"/>
  <c r="HU102" i="39"/>
  <c r="HV102" i="39" s="1"/>
  <c r="HO102" i="39"/>
  <c r="HP102" i="39" s="1"/>
  <c r="IA102" i="39"/>
  <c r="IB102" i="39" s="1"/>
  <c r="HY102" i="39"/>
  <c r="HZ102" i="39" s="1"/>
  <c r="HS102" i="39"/>
  <c r="HT102" i="39" s="1"/>
  <c r="HK102" i="39"/>
  <c r="HL102" i="39" s="1"/>
  <c r="HQ102" i="39"/>
  <c r="HR102" i="39" s="1"/>
  <c r="HM102" i="39"/>
  <c r="HN102" i="39" s="1"/>
  <c r="HG102" i="39"/>
  <c r="HH102" i="39" s="1"/>
  <c r="HI102" i="39"/>
  <c r="HJ102" i="39" s="1"/>
  <c r="HE102" i="39"/>
  <c r="HF102" i="39" s="1"/>
  <c r="JQ108" i="39"/>
  <c r="JR108" i="39" s="1"/>
  <c r="JS108" i="39"/>
  <c r="JT108" i="39" s="1"/>
  <c r="JU108" i="39"/>
  <c r="JV108" i="39" s="1"/>
  <c r="JW108" i="39"/>
  <c r="JX108" i="39" s="1"/>
  <c r="JP108" i="39"/>
  <c r="JN108" i="39"/>
  <c r="JE108" i="39"/>
  <c r="JF108" i="39" s="1"/>
  <c r="JC108" i="39"/>
  <c r="JD108" i="39" s="1"/>
  <c r="JA108" i="39"/>
  <c r="JB108" i="39" s="1"/>
  <c r="JG108" i="39"/>
  <c r="JH108" i="39" s="1"/>
  <c r="IY108" i="39"/>
  <c r="IZ108" i="39" s="1"/>
  <c r="IW108" i="39"/>
  <c r="IX108" i="39" s="1"/>
  <c r="IO108" i="39"/>
  <c r="IP108" i="39" s="1"/>
  <c r="IU108" i="39"/>
  <c r="IV108" i="39" s="1"/>
  <c r="IS108" i="39"/>
  <c r="IT108" i="39" s="1"/>
  <c r="IK108" i="39"/>
  <c r="IL108" i="39" s="1"/>
  <c r="IC108" i="39"/>
  <c r="ID108" i="39" s="1"/>
  <c r="IQ108" i="39"/>
  <c r="IR108" i="39" s="1"/>
  <c r="II108" i="39"/>
  <c r="IJ108" i="39" s="1"/>
  <c r="IM108" i="39"/>
  <c r="IN108" i="39" s="1"/>
  <c r="IG108" i="39"/>
  <c r="IH108" i="39" s="1"/>
  <c r="IE108" i="39"/>
  <c r="IF108" i="39" s="1"/>
  <c r="HW108" i="39"/>
  <c r="HX108" i="39" s="1"/>
  <c r="HU108" i="39"/>
  <c r="HV108" i="39" s="1"/>
  <c r="HO108" i="39"/>
  <c r="HP108" i="39" s="1"/>
  <c r="IA108" i="39"/>
  <c r="IB108" i="39" s="1"/>
  <c r="HY108" i="39"/>
  <c r="HZ108" i="39" s="1"/>
  <c r="HS108" i="39"/>
  <c r="HT108" i="39" s="1"/>
  <c r="HG108" i="39"/>
  <c r="HH108" i="39" s="1"/>
  <c r="HQ108" i="39"/>
  <c r="HR108" i="39" s="1"/>
  <c r="HI108" i="39"/>
  <c r="HJ108" i="39" s="1"/>
  <c r="HM108" i="39"/>
  <c r="HN108" i="39" s="1"/>
  <c r="HK108" i="39"/>
  <c r="HL108" i="39" s="1"/>
  <c r="HE108" i="39"/>
  <c r="HF108" i="39" s="1"/>
  <c r="JQ112" i="39"/>
  <c r="JR112" i="39" s="1"/>
  <c r="JS112" i="39"/>
  <c r="JT112" i="39" s="1"/>
  <c r="JW112" i="39"/>
  <c r="JX112" i="39" s="1"/>
  <c r="JU112" i="39"/>
  <c r="JV112" i="39" s="1"/>
  <c r="JN112" i="39"/>
  <c r="JA112" i="39"/>
  <c r="JB112" i="39" s="1"/>
  <c r="JG112" i="39"/>
  <c r="JH112" i="39" s="1"/>
  <c r="JE112" i="39"/>
  <c r="JF112" i="39" s="1"/>
  <c r="JC112" i="39"/>
  <c r="JD112" i="39" s="1"/>
  <c r="IY112" i="39"/>
  <c r="IZ112" i="39" s="1"/>
  <c r="IW112" i="39"/>
  <c r="IX112" i="39" s="1"/>
  <c r="IO112" i="39"/>
  <c r="IP112" i="39" s="1"/>
  <c r="IU112" i="39"/>
  <c r="IV112" i="39" s="1"/>
  <c r="IS112" i="39"/>
  <c r="IT112" i="39" s="1"/>
  <c r="IK112" i="39"/>
  <c r="IL112" i="39" s="1"/>
  <c r="IC112" i="39"/>
  <c r="ID112" i="39" s="1"/>
  <c r="IQ112" i="39"/>
  <c r="IR112" i="39" s="1"/>
  <c r="II112" i="39"/>
  <c r="IJ112" i="39" s="1"/>
  <c r="IM112" i="39"/>
  <c r="IN112" i="39" s="1"/>
  <c r="IG112" i="39"/>
  <c r="IH112" i="39" s="1"/>
  <c r="IE112" i="39"/>
  <c r="IF112" i="39" s="1"/>
  <c r="HW112" i="39"/>
  <c r="HX112" i="39" s="1"/>
  <c r="HU112" i="39"/>
  <c r="HV112" i="39" s="1"/>
  <c r="HO112" i="39"/>
  <c r="HP112" i="39" s="1"/>
  <c r="IA112" i="39"/>
  <c r="IB112" i="39" s="1"/>
  <c r="HY112" i="39"/>
  <c r="HZ112" i="39" s="1"/>
  <c r="HS112" i="39"/>
  <c r="HT112" i="39" s="1"/>
  <c r="HG112" i="39"/>
  <c r="HH112" i="39" s="1"/>
  <c r="HQ112" i="39"/>
  <c r="HR112" i="39" s="1"/>
  <c r="HI112" i="39"/>
  <c r="HJ112" i="39" s="1"/>
  <c r="HM112" i="39"/>
  <c r="HN112" i="39" s="1"/>
  <c r="HK112" i="39"/>
  <c r="HL112" i="39" s="1"/>
  <c r="HE112" i="39"/>
  <c r="HF112" i="39" s="1"/>
  <c r="JQ116" i="39"/>
  <c r="JR116" i="39" s="1"/>
  <c r="JS116" i="39"/>
  <c r="JT116" i="39" s="1"/>
  <c r="JW116" i="39"/>
  <c r="JX116" i="39" s="1"/>
  <c r="JU116" i="39"/>
  <c r="JV116" i="39" s="1"/>
  <c r="JP116" i="39"/>
  <c r="JA116" i="39"/>
  <c r="JB116" i="39" s="1"/>
  <c r="JG116" i="39"/>
  <c r="JH116" i="39" s="1"/>
  <c r="JE116" i="39"/>
  <c r="JF116" i="39" s="1"/>
  <c r="JC116" i="39"/>
  <c r="JD116" i="39" s="1"/>
  <c r="IY116" i="39"/>
  <c r="IZ116" i="39" s="1"/>
  <c r="IQ116" i="39"/>
  <c r="IR116" i="39" s="1"/>
  <c r="IW116" i="39"/>
  <c r="IX116" i="39" s="1"/>
  <c r="IO116" i="39"/>
  <c r="IP116" i="39" s="1"/>
  <c r="IU116" i="39"/>
  <c r="IV116" i="39" s="1"/>
  <c r="IM116" i="39"/>
  <c r="IN116" i="39" s="1"/>
  <c r="IS116" i="39"/>
  <c r="IT116" i="39" s="1"/>
  <c r="IK116" i="39"/>
  <c r="IL116" i="39" s="1"/>
  <c r="IC116" i="39"/>
  <c r="ID116" i="39" s="1"/>
  <c r="II116" i="39"/>
  <c r="IJ116" i="39" s="1"/>
  <c r="IG116" i="39"/>
  <c r="IH116" i="39" s="1"/>
  <c r="IE116" i="39"/>
  <c r="IF116" i="39" s="1"/>
  <c r="HW116" i="39"/>
  <c r="HX116" i="39" s="1"/>
  <c r="HQ116" i="39"/>
  <c r="HR116" i="39" s="1"/>
  <c r="HU116" i="39"/>
  <c r="HV116" i="39" s="1"/>
  <c r="HO116" i="39"/>
  <c r="HP116" i="39" s="1"/>
  <c r="IA116" i="39"/>
  <c r="IB116" i="39" s="1"/>
  <c r="HM116" i="39"/>
  <c r="HN116" i="39" s="1"/>
  <c r="HY116" i="39"/>
  <c r="HZ116" i="39" s="1"/>
  <c r="HS116" i="39"/>
  <c r="HT116" i="39" s="1"/>
  <c r="HG116" i="39"/>
  <c r="HH116" i="39" s="1"/>
  <c r="HI116" i="39"/>
  <c r="HJ116" i="39" s="1"/>
  <c r="HK116" i="39"/>
  <c r="HL116" i="39" s="1"/>
  <c r="HE116" i="39"/>
  <c r="HF116" i="39" s="1"/>
  <c r="JQ120" i="39"/>
  <c r="JR120" i="39" s="1"/>
  <c r="JS120" i="39"/>
  <c r="JT120" i="39" s="1"/>
  <c r="JW120" i="39"/>
  <c r="JX120" i="39" s="1"/>
  <c r="JU120" i="39"/>
  <c r="JV120" i="39" s="1"/>
  <c r="JP120" i="39"/>
  <c r="JA120" i="39"/>
  <c r="JB120" i="39" s="1"/>
  <c r="JG120" i="39"/>
  <c r="JH120" i="39" s="1"/>
  <c r="JE120" i="39"/>
  <c r="JF120" i="39" s="1"/>
  <c r="JC120" i="39"/>
  <c r="JD120" i="39" s="1"/>
  <c r="IY120" i="39"/>
  <c r="IZ120" i="39" s="1"/>
  <c r="IQ120" i="39"/>
  <c r="IR120" i="39" s="1"/>
  <c r="IW120" i="39"/>
  <c r="IX120" i="39" s="1"/>
  <c r="IO120" i="39"/>
  <c r="IP120" i="39" s="1"/>
  <c r="IU120" i="39"/>
  <c r="IV120" i="39" s="1"/>
  <c r="IM120" i="39"/>
  <c r="IN120" i="39" s="1"/>
  <c r="IS120" i="39"/>
  <c r="IT120" i="39" s="1"/>
  <c r="IK120" i="39"/>
  <c r="IL120" i="39" s="1"/>
  <c r="IC120" i="39"/>
  <c r="ID120" i="39" s="1"/>
  <c r="II120" i="39"/>
  <c r="IJ120" i="39" s="1"/>
  <c r="IG120" i="39"/>
  <c r="IH120" i="39" s="1"/>
  <c r="IE120" i="39"/>
  <c r="IF120" i="39" s="1"/>
  <c r="HW120" i="39"/>
  <c r="HX120" i="39" s="1"/>
  <c r="HQ120" i="39"/>
  <c r="HR120" i="39" s="1"/>
  <c r="HU120" i="39"/>
  <c r="HV120" i="39" s="1"/>
  <c r="HO120" i="39"/>
  <c r="HP120" i="39" s="1"/>
  <c r="IA120" i="39"/>
  <c r="IB120" i="39" s="1"/>
  <c r="HM120" i="39"/>
  <c r="HN120" i="39" s="1"/>
  <c r="HY120" i="39"/>
  <c r="HZ120" i="39" s="1"/>
  <c r="HS120" i="39"/>
  <c r="HT120" i="39" s="1"/>
  <c r="HG120" i="39"/>
  <c r="HH120" i="39" s="1"/>
  <c r="HI120" i="39"/>
  <c r="HJ120" i="39" s="1"/>
  <c r="HK120" i="39"/>
  <c r="HL120" i="39" s="1"/>
  <c r="HE120" i="39"/>
  <c r="HF120" i="39" s="1"/>
  <c r="JQ124" i="39"/>
  <c r="JR124" i="39" s="1"/>
  <c r="JS124" i="39"/>
  <c r="JT124" i="39" s="1"/>
  <c r="JU124" i="39"/>
  <c r="JV124" i="39" s="1"/>
  <c r="JW124" i="39"/>
  <c r="JX124" i="39" s="1"/>
  <c r="JN124" i="39"/>
  <c r="JA124" i="39"/>
  <c r="JB124" i="39" s="1"/>
  <c r="JG124" i="39"/>
  <c r="JH124" i="39" s="1"/>
  <c r="JE124" i="39"/>
  <c r="JF124" i="39" s="1"/>
  <c r="JC124" i="39"/>
  <c r="JD124" i="39" s="1"/>
  <c r="IY124" i="39"/>
  <c r="IZ124" i="39" s="1"/>
  <c r="IQ124" i="39"/>
  <c r="IR124" i="39" s="1"/>
  <c r="IW124" i="39"/>
  <c r="IX124" i="39" s="1"/>
  <c r="IO124" i="39"/>
  <c r="IP124" i="39" s="1"/>
  <c r="IU124" i="39"/>
  <c r="IV124" i="39" s="1"/>
  <c r="IM124" i="39"/>
  <c r="IN124" i="39" s="1"/>
  <c r="IS124" i="39"/>
  <c r="IT124" i="39" s="1"/>
  <c r="IK124" i="39"/>
  <c r="IL124" i="39" s="1"/>
  <c r="IC124" i="39"/>
  <c r="ID124" i="39" s="1"/>
  <c r="II124" i="39"/>
  <c r="IJ124" i="39" s="1"/>
  <c r="IG124" i="39"/>
  <c r="IH124" i="39" s="1"/>
  <c r="IE124" i="39"/>
  <c r="IF124" i="39" s="1"/>
  <c r="HW124" i="39"/>
  <c r="HX124" i="39" s="1"/>
  <c r="HQ124" i="39"/>
  <c r="HR124" i="39" s="1"/>
  <c r="HU124" i="39"/>
  <c r="HV124" i="39" s="1"/>
  <c r="HO124" i="39"/>
  <c r="HP124" i="39" s="1"/>
  <c r="IA124" i="39"/>
  <c r="IB124" i="39" s="1"/>
  <c r="HM124" i="39"/>
  <c r="HN124" i="39" s="1"/>
  <c r="HY124" i="39"/>
  <c r="HZ124" i="39" s="1"/>
  <c r="HS124" i="39"/>
  <c r="HT124" i="39" s="1"/>
  <c r="HG124" i="39"/>
  <c r="HH124" i="39" s="1"/>
  <c r="HI124" i="39"/>
  <c r="HJ124" i="39" s="1"/>
  <c r="HK124" i="39"/>
  <c r="HL124" i="39" s="1"/>
  <c r="HE124" i="39"/>
  <c r="HF124" i="39" s="1"/>
  <c r="JQ128" i="39"/>
  <c r="JR128" i="39" s="1"/>
  <c r="JS128" i="39"/>
  <c r="JT128" i="39" s="1"/>
  <c r="JW128" i="39"/>
  <c r="JX128" i="39" s="1"/>
  <c r="JU128" i="39"/>
  <c r="JV128" i="39" s="1"/>
  <c r="JA128" i="39"/>
  <c r="JB128" i="39" s="1"/>
  <c r="JG128" i="39"/>
  <c r="JH128" i="39" s="1"/>
  <c r="JE128" i="39"/>
  <c r="JF128" i="39" s="1"/>
  <c r="JC128" i="39"/>
  <c r="JD128" i="39" s="1"/>
  <c r="IY128" i="39"/>
  <c r="IZ128" i="39" s="1"/>
  <c r="IQ128" i="39"/>
  <c r="IR128" i="39" s="1"/>
  <c r="IW128" i="39"/>
  <c r="IX128" i="39" s="1"/>
  <c r="IO128" i="39"/>
  <c r="IP128" i="39" s="1"/>
  <c r="IU128" i="39"/>
  <c r="IV128" i="39" s="1"/>
  <c r="IM128" i="39"/>
  <c r="IN128" i="39" s="1"/>
  <c r="IS128" i="39"/>
  <c r="IT128" i="39" s="1"/>
  <c r="IK128" i="39"/>
  <c r="IL128" i="39" s="1"/>
  <c r="IC128" i="39"/>
  <c r="ID128" i="39" s="1"/>
  <c r="II128" i="39"/>
  <c r="IJ128" i="39" s="1"/>
  <c r="IG128" i="39"/>
  <c r="IH128" i="39" s="1"/>
  <c r="IE128" i="39"/>
  <c r="IF128" i="39" s="1"/>
  <c r="HW128" i="39"/>
  <c r="HX128" i="39" s="1"/>
  <c r="HQ128" i="39"/>
  <c r="HR128" i="39" s="1"/>
  <c r="HU128" i="39"/>
  <c r="HV128" i="39" s="1"/>
  <c r="HO128" i="39"/>
  <c r="HP128" i="39" s="1"/>
  <c r="IA128" i="39"/>
  <c r="IB128" i="39" s="1"/>
  <c r="HM128" i="39"/>
  <c r="HN128" i="39" s="1"/>
  <c r="HY128" i="39"/>
  <c r="HZ128" i="39" s="1"/>
  <c r="HS128" i="39"/>
  <c r="HT128" i="39" s="1"/>
  <c r="HG128" i="39"/>
  <c r="HH128" i="39" s="1"/>
  <c r="HI128" i="39"/>
  <c r="HJ128" i="39" s="1"/>
  <c r="HK128" i="39"/>
  <c r="HL128" i="39" s="1"/>
  <c r="HE128" i="39"/>
  <c r="HF128" i="39" s="1"/>
  <c r="JQ132" i="39"/>
  <c r="JR132" i="39" s="1"/>
  <c r="JW132" i="39"/>
  <c r="JX132" i="39" s="1"/>
  <c r="JU132" i="39"/>
  <c r="JV132" i="39" s="1"/>
  <c r="JS132" i="39"/>
  <c r="JT132" i="39" s="1"/>
  <c r="JP132" i="39"/>
  <c r="JL132" i="39"/>
  <c r="JA132" i="39"/>
  <c r="JB132" i="39" s="1"/>
  <c r="JG132" i="39"/>
  <c r="JH132" i="39" s="1"/>
  <c r="JE132" i="39"/>
  <c r="JF132" i="39" s="1"/>
  <c r="JC132" i="39"/>
  <c r="JD132" i="39" s="1"/>
  <c r="IY132" i="39"/>
  <c r="IZ132" i="39" s="1"/>
  <c r="IQ132" i="39"/>
  <c r="IR132" i="39" s="1"/>
  <c r="IW132" i="39"/>
  <c r="IX132" i="39" s="1"/>
  <c r="IO132" i="39"/>
  <c r="IP132" i="39" s="1"/>
  <c r="IU132" i="39"/>
  <c r="IV132" i="39" s="1"/>
  <c r="IM132" i="39"/>
  <c r="IN132" i="39" s="1"/>
  <c r="IS132" i="39"/>
  <c r="IT132" i="39" s="1"/>
  <c r="IK132" i="39"/>
  <c r="IL132" i="39" s="1"/>
  <c r="IC132" i="39"/>
  <c r="ID132" i="39" s="1"/>
  <c r="II132" i="39"/>
  <c r="IJ132" i="39" s="1"/>
  <c r="IG132" i="39"/>
  <c r="IH132" i="39" s="1"/>
  <c r="IE132" i="39"/>
  <c r="IF132" i="39" s="1"/>
  <c r="HW132" i="39"/>
  <c r="HX132" i="39" s="1"/>
  <c r="HQ132" i="39"/>
  <c r="HR132" i="39" s="1"/>
  <c r="HU132" i="39"/>
  <c r="HV132" i="39" s="1"/>
  <c r="HO132" i="39"/>
  <c r="HP132" i="39" s="1"/>
  <c r="IA132" i="39"/>
  <c r="IB132" i="39" s="1"/>
  <c r="HM132" i="39"/>
  <c r="HN132" i="39" s="1"/>
  <c r="HY132" i="39"/>
  <c r="HZ132" i="39" s="1"/>
  <c r="HS132" i="39"/>
  <c r="HT132" i="39" s="1"/>
  <c r="HG132" i="39"/>
  <c r="HH132" i="39" s="1"/>
  <c r="HI132" i="39"/>
  <c r="HJ132" i="39" s="1"/>
  <c r="HK132" i="39"/>
  <c r="HL132" i="39" s="1"/>
  <c r="HE132" i="39"/>
  <c r="HF132" i="39" s="1"/>
  <c r="JQ136" i="39"/>
  <c r="JR136" i="39" s="1"/>
  <c r="JW136" i="39"/>
  <c r="JX136" i="39" s="1"/>
  <c r="JU136" i="39"/>
  <c r="JV136" i="39" s="1"/>
  <c r="JS136" i="39"/>
  <c r="JT136" i="39" s="1"/>
  <c r="JN136" i="39"/>
  <c r="JA136" i="39"/>
  <c r="JB136" i="39" s="1"/>
  <c r="JG136" i="39"/>
  <c r="JH136" i="39" s="1"/>
  <c r="JE136" i="39"/>
  <c r="JF136" i="39" s="1"/>
  <c r="JC136" i="39"/>
  <c r="JD136" i="39" s="1"/>
  <c r="IY136" i="39"/>
  <c r="IZ136" i="39" s="1"/>
  <c r="IQ136" i="39"/>
  <c r="IR136" i="39" s="1"/>
  <c r="IW136" i="39"/>
  <c r="IX136" i="39" s="1"/>
  <c r="IO136" i="39"/>
  <c r="IP136" i="39" s="1"/>
  <c r="IU136" i="39"/>
  <c r="IV136" i="39" s="1"/>
  <c r="IM136" i="39"/>
  <c r="IN136" i="39" s="1"/>
  <c r="IS136" i="39"/>
  <c r="IT136" i="39" s="1"/>
  <c r="IK136" i="39"/>
  <c r="IL136" i="39" s="1"/>
  <c r="IC136" i="39"/>
  <c r="ID136" i="39" s="1"/>
  <c r="II136" i="39"/>
  <c r="IJ136" i="39" s="1"/>
  <c r="IG136" i="39"/>
  <c r="IH136" i="39" s="1"/>
  <c r="IE136" i="39"/>
  <c r="IF136" i="39" s="1"/>
  <c r="HW136" i="39"/>
  <c r="HX136" i="39" s="1"/>
  <c r="HQ136" i="39"/>
  <c r="HR136" i="39" s="1"/>
  <c r="HU136" i="39"/>
  <c r="HV136" i="39" s="1"/>
  <c r="HO136" i="39"/>
  <c r="HP136" i="39" s="1"/>
  <c r="IA136" i="39"/>
  <c r="IB136" i="39" s="1"/>
  <c r="HM136" i="39"/>
  <c r="HN136" i="39" s="1"/>
  <c r="HY136" i="39"/>
  <c r="HZ136" i="39" s="1"/>
  <c r="HS136" i="39"/>
  <c r="HT136" i="39" s="1"/>
  <c r="HG136" i="39"/>
  <c r="HH136" i="39" s="1"/>
  <c r="HI136" i="39"/>
  <c r="HJ136" i="39" s="1"/>
  <c r="HK136" i="39"/>
  <c r="HL136" i="39" s="1"/>
  <c r="HE136" i="39"/>
  <c r="HF136" i="39" s="1"/>
  <c r="JQ140" i="39"/>
  <c r="JR140" i="39" s="1"/>
  <c r="JW140" i="39"/>
  <c r="JX140" i="39" s="1"/>
  <c r="JU140" i="39"/>
  <c r="JV140" i="39" s="1"/>
  <c r="JS140" i="39"/>
  <c r="JT140" i="39" s="1"/>
  <c r="JA140" i="39"/>
  <c r="JB140" i="39" s="1"/>
  <c r="JG140" i="39"/>
  <c r="JH140" i="39" s="1"/>
  <c r="JE140" i="39"/>
  <c r="JF140" i="39" s="1"/>
  <c r="JC140" i="39"/>
  <c r="JD140" i="39" s="1"/>
  <c r="IY140" i="39"/>
  <c r="IZ140" i="39" s="1"/>
  <c r="IQ140" i="39"/>
  <c r="IR140" i="39" s="1"/>
  <c r="IW140" i="39"/>
  <c r="IX140" i="39" s="1"/>
  <c r="IO140" i="39"/>
  <c r="IP140" i="39" s="1"/>
  <c r="IU140" i="39"/>
  <c r="IV140" i="39" s="1"/>
  <c r="IM140" i="39"/>
  <c r="IN140" i="39" s="1"/>
  <c r="IS140" i="39"/>
  <c r="IT140" i="39" s="1"/>
  <c r="IK140" i="39"/>
  <c r="IL140" i="39" s="1"/>
  <c r="IC140" i="39"/>
  <c r="ID140" i="39" s="1"/>
  <c r="II140" i="39"/>
  <c r="IJ140" i="39" s="1"/>
  <c r="IG140" i="39"/>
  <c r="IH140" i="39" s="1"/>
  <c r="IE140" i="39"/>
  <c r="IF140" i="39" s="1"/>
  <c r="HW140" i="39"/>
  <c r="HX140" i="39" s="1"/>
  <c r="HQ140" i="39"/>
  <c r="HR140" i="39" s="1"/>
  <c r="HU140" i="39"/>
  <c r="HV140" i="39" s="1"/>
  <c r="HO140" i="39"/>
  <c r="HP140" i="39" s="1"/>
  <c r="IA140" i="39"/>
  <c r="IB140" i="39" s="1"/>
  <c r="HM140" i="39"/>
  <c r="HN140" i="39" s="1"/>
  <c r="HY140" i="39"/>
  <c r="HZ140" i="39" s="1"/>
  <c r="HS140" i="39"/>
  <c r="HT140" i="39" s="1"/>
  <c r="HG140" i="39"/>
  <c r="HH140" i="39" s="1"/>
  <c r="HI140" i="39"/>
  <c r="HJ140" i="39" s="1"/>
  <c r="HK140" i="39"/>
  <c r="HL140" i="39" s="1"/>
  <c r="HE140" i="39"/>
  <c r="HF140" i="39" s="1"/>
  <c r="JQ144" i="39"/>
  <c r="JR144" i="39" s="1"/>
  <c r="JW144" i="39"/>
  <c r="JX144" i="39" s="1"/>
  <c r="JU144" i="39"/>
  <c r="JV144" i="39" s="1"/>
  <c r="JS144" i="39"/>
  <c r="JT144" i="39" s="1"/>
  <c r="JP144" i="39"/>
  <c r="JA144" i="39"/>
  <c r="JB144" i="39" s="1"/>
  <c r="JG144" i="39"/>
  <c r="JH144" i="39" s="1"/>
  <c r="JE144" i="39"/>
  <c r="JF144" i="39" s="1"/>
  <c r="JC144" i="39"/>
  <c r="JD144" i="39" s="1"/>
  <c r="IY144" i="39"/>
  <c r="IZ144" i="39" s="1"/>
  <c r="IQ144" i="39"/>
  <c r="IR144" i="39" s="1"/>
  <c r="IW144" i="39"/>
  <c r="IX144" i="39" s="1"/>
  <c r="IO144" i="39"/>
  <c r="IP144" i="39" s="1"/>
  <c r="IU144" i="39"/>
  <c r="IV144" i="39" s="1"/>
  <c r="IM144" i="39"/>
  <c r="IN144" i="39" s="1"/>
  <c r="IS144" i="39"/>
  <c r="IT144" i="39" s="1"/>
  <c r="IK144" i="39"/>
  <c r="IL144" i="39" s="1"/>
  <c r="IC144" i="39"/>
  <c r="ID144" i="39" s="1"/>
  <c r="II144" i="39"/>
  <c r="IJ144" i="39" s="1"/>
  <c r="IG144" i="39"/>
  <c r="IH144" i="39" s="1"/>
  <c r="IE144" i="39"/>
  <c r="IF144" i="39" s="1"/>
  <c r="HW144" i="39"/>
  <c r="HX144" i="39" s="1"/>
  <c r="HQ144" i="39"/>
  <c r="HR144" i="39" s="1"/>
  <c r="HU144" i="39"/>
  <c r="HV144" i="39" s="1"/>
  <c r="HO144" i="39"/>
  <c r="HP144" i="39" s="1"/>
  <c r="IA144" i="39"/>
  <c r="IB144" i="39" s="1"/>
  <c r="HM144" i="39"/>
  <c r="HN144" i="39" s="1"/>
  <c r="HY144" i="39"/>
  <c r="HZ144" i="39" s="1"/>
  <c r="HS144" i="39"/>
  <c r="HT144" i="39" s="1"/>
  <c r="HG144" i="39"/>
  <c r="HH144" i="39" s="1"/>
  <c r="HI144" i="39"/>
  <c r="HJ144" i="39" s="1"/>
  <c r="HK144" i="39"/>
  <c r="HL144" i="39" s="1"/>
  <c r="HE144" i="39"/>
  <c r="HF144" i="39" s="1"/>
  <c r="JQ148" i="39"/>
  <c r="JR148" i="39" s="1"/>
  <c r="JW148" i="39"/>
  <c r="JX148" i="39" s="1"/>
  <c r="JU148" i="39"/>
  <c r="JV148" i="39" s="1"/>
  <c r="JS148" i="39"/>
  <c r="JT148" i="39" s="1"/>
  <c r="JN148" i="39"/>
  <c r="JA148" i="39"/>
  <c r="JB148" i="39" s="1"/>
  <c r="JG148" i="39"/>
  <c r="JH148" i="39" s="1"/>
  <c r="JE148" i="39"/>
  <c r="JF148" i="39" s="1"/>
  <c r="JC148" i="39"/>
  <c r="JD148" i="39" s="1"/>
  <c r="IY148" i="39"/>
  <c r="IZ148" i="39" s="1"/>
  <c r="IU148" i="39"/>
  <c r="IV148" i="39" s="1"/>
  <c r="IQ148" i="39"/>
  <c r="IR148" i="39" s="1"/>
  <c r="IO148" i="39"/>
  <c r="IP148" i="39" s="1"/>
  <c r="IW148" i="39"/>
  <c r="IX148" i="39" s="1"/>
  <c r="IM148" i="39"/>
  <c r="IN148" i="39" s="1"/>
  <c r="IS148" i="39"/>
  <c r="IT148" i="39" s="1"/>
  <c r="IK148" i="39"/>
  <c r="IL148" i="39" s="1"/>
  <c r="IC148" i="39"/>
  <c r="ID148" i="39" s="1"/>
  <c r="II148" i="39"/>
  <c r="IJ148" i="39" s="1"/>
  <c r="IG148" i="39"/>
  <c r="IH148" i="39" s="1"/>
  <c r="IE148" i="39"/>
  <c r="IF148" i="39" s="1"/>
  <c r="HW148" i="39"/>
  <c r="HX148" i="39" s="1"/>
  <c r="HQ148" i="39"/>
  <c r="HR148" i="39" s="1"/>
  <c r="HU148" i="39"/>
  <c r="HV148" i="39" s="1"/>
  <c r="HO148" i="39"/>
  <c r="HP148" i="39" s="1"/>
  <c r="IA148" i="39"/>
  <c r="IB148" i="39" s="1"/>
  <c r="HM148" i="39"/>
  <c r="HN148" i="39" s="1"/>
  <c r="HY148" i="39"/>
  <c r="HZ148" i="39" s="1"/>
  <c r="HS148" i="39"/>
  <c r="HT148" i="39" s="1"/>
  <c r="HG148" i="39"/>
  <c r="HH148" i="39" s="1"/>
  <c r="HI148" i="39"/>
  <c r="HJ148" i="39" s="1"/>
  <c r="HK148" i="39"/>
  <c r="HL148" i="39" s="1"/>
  <c r="HE148" i="39"/>
  <c r="HF148" i="39" s="1"/>
  <c r="JQ152" i="39"/>
  <c r="JR152" i="39" s="1"/>
  <c r="JW152" i="39"/>
  <c r="JX152" i="39" s="1"/>
  <c r="JU152" i="39"/>
  <c r="JV152" i="39" s="1"/>
  <c r="JS152" i="39"/>
  <c r="JT152" i="39" s="1"/>
  <c r="JA152" i="39"/>
  <c r="JB152" i="39" s="1"/>
  <c r="JG152" i="39"/>
  <c r="JH152" i="39" s="1"/>
  <c r="JE152" i="39"/>
  <c r="JF152" i="39" s="1"/>
  <c r="JC152" i="39"/>
  <c r="JD152" i="39" s="1"/>
  <c r="IY152" i="39"/>
  <c r="IZ152" i="39" s="1"/>
  <c r="IU152" i="39"/>
  <c r="IV152" i="39" s="1"/>
  <c r="IQ152" i="39"/>
  <c r="IR152" i="39" s="1"/>
  <c r="IO152" i="39"/>
  <c r="IP152" i="39" s="1"/>
  <c r="IW152" i="39"/>
  <c r="IX152" i="39" s="1"/>
  <c r="IM152" i="39"/>
  <c r="IN152" i="39" s="1"/>
  <c r="IS152" i="39"/>
  <c r="IT152" i="39" s="1"/>
  <c r="IK152" i="39"/>
  <c r="IL152" i="39" s="1"/>
  <c r="IC152" i="39"/>
  <c r="ID152" i="39" s="1"/>
  <c r="II152" i="39"/>
  <c r="IJ152" i="39" s="1"/>
  <c r="IG152" i="39"/>
  <c r="IH152" i="39" s="1"/>
  <c r="IE152" i="39"/>
  <c r="IF152" i="39" s="1"/>
  <c r="HW152" i="39"/>
  <c r="HX152" i="39" s="1"/>
  <c r="HQ152" i="39"/>
  <c r="HR152" i="39" s="1"/>
  <c r="HU152" i="39"/>
  <c r="HV152" i="39" s="1"/>
  <c r="HO152" i="39"/>
  <c r="HP152" i="39" s="1"/>
  <c r="IA152" i="39"/>
  <c r="IB152" i="39" s="1"/>
  <c r="HM152" i="39"/>
  <c r="HN152" i="39" s="1"/>
  <c r="HY152" i="39"/>
  <c r="HZ152" i="39" s="1"/>
  <c r="HS152" i="39"/>
  <c r="HT152" i="39" s="1"/>
  <c r="HG152" i="39"/>
  <c r="HH152" i="39" s="1"/>
  <c r="HI152" i="39"/>
  <c r="HJ152" i="39" s="1"/>
  <c r="HK152" i="39"/>
  <c r="HL152" i="39" s="1"/>
  <c r="HE152" i="39"/>
  <c r="HF152" i="39" s="1"/>
  <c r="JQ156" i="39"/>
  <c r="JR156" i="39" s="1"/>
  <c r="JW156" i="39"/>
  <c r="JX156" i="39" s="1"/>
  <c r="JU156" i="39"/>
  <c r="JV156" i="39" s="1"/>
  <c r="JS156" i="39"/>
  <c r="JT156" i="39" s="1"/>
  <c r="JP156" i="39"/>
  <c r="JA156" i="39"/>
  <c r="JB156" i="39" s="1"/>
  <c r="JG156" i="39"/>
  <c r="JH156" i="39" s="1"/>
  <c r="JE156" i="39"/>
  <c r="JF156" i="39" s="1"/>
  <c r="JC156" i="39"/>
  <c r="JD156" i="39" s="1"/>
  <c r="IY156" i="39"/>
  <c r="IZ156" i="39" s="1"/>
  <c r="IU156" i="39"/>
  <c r="IV156" i="39" s="1"/>
  <c r="IQ156" i="39"/>
  <c r="IR156" i="39" s="1"/>
  <c r="IO156" i="39"/>
  <c r="IP156" i="39" s="1"/>
  <c r="IW156" i="39"/>
  <c r="IX156" i="39" s="1"/>
  <c r="IM156" i="39"/>
  <c r="IN156" i="39" s="1"/>
  <c r="IS156" i="39"/>
  <c r="IT156" i="39" s="1"/>
  <c r="IK156" i="39"/>
  <c r="IL156" i="39" s="1"/>
  <c r="IC156" i="39"/>
  <c r="ID156" i="39" s="1"/>
  <c r="II156" i="39"/>
  <c r="IJ156" i="39" s="1"/>
  <c r="IG156" i="39"/>
  <c r="IH156" i="39" s="1"/>
  <c r="IE156" i="39"/>
  <c r="IF156" i="39" s="1"/>
  <c r="HW156" i="39"/>
  <c r="HX156" i="39" s="1"/>
  <c r="HQ156" i="39"/>
  <c r="HR156" i="39" s="1"/>
  <c r="HU156" i="39"/>
  <c r="HV156" i="39" s="1"/>
  <c r="HO156" i="39"/>
  <c r="HP156" i="39" s="1"/>
  <c r="IA156" i="39"/>
  <c r="IB156" i="39" s="1"/>
  <c r="HM156" i="39"/>
  <c r="HN156" i="39" s="1"/>
  <c r="HY156" i="39"/>
  <c r="HZ156" i="39" s="1"/>
  <c r="HS156" i="39"/>
  <c r="HT156" i="39" s="1"/>
  <c r="HG156" i="39"/>
  <c r="HH156" i="39" s="1"/>
  <c r="HI156" i="39"/>
  <c r="HJ156" i="39" s="1"/>
  <c r="HK156" i="39"/>
  <c r="HL156" i="39" s="1"/>
  <c r="HE156" i="39"/>
  <c r="HF156" i="39" s="1"/>
  <c r="JQ160" i="39"/>
  <c r="JR160" i="39" s="1"/>
  <c r="JW160" i="39"/>
  <c r="JX160" i="39" s="1"/>
  <c r="JU160" i="39"/>
  <c r="JV160" i="39" s="1"/>
  <c r="JS160" i="39"/>
  <c r="JT160" i="39" s="1"/>
  <c r="JN160" i="39"/>
  <c r="JA160" i="39"/>
  <c r="JB160" i="39" s="1"/>
  <c r="JG160" i="39"/>
  <c r="JH160" i="39" s="1"/>
  <c r="JE160" i="39"/>
  <c r="JF160" i="39" s="1"/>
  <c r="JC160" i="39"/>
  <c r="JD160" i="39" s="1"/>
  <c r="IY160" i="39"/>
  <c r="IZ160" i="39" s="1"/>
  <c r="IU160" i="39"/>
  <c r="IV160" i="39" s="1"/>
  <c r="IQ160" i="39"/>
  <c r="IR160" i="39" s="1"/>
  <c r="IO160" i="39"/>
  <c r="IP160" i="39" s="1"/>
  <c r="IW160" i="39"/>
  <c r="IX160" i="39" s="1"/>
  <c r="IM160" i="39"/>
  <c r="IN160" i="39" s="1"/>
  <c r="IS160" i="39"/>
  <c r="IT160" i="39" s="1"/>
  <c r="IK160" i="39"/>
  <c r="IL160" i="39" s="1"/>
  <c r="IC160" i="39"/>
  <c r="ID160" i="39" s="1"/>
  <c r="II160" i="39"/>
  <c r="IJ160" i="39" s="1"/>
  <c r="IG160" i="39"/>
  <c r="IH160" i="39" s="1"/>
  <c r="IE160" i="39"/>
  <c r="IF160" i="39" s="1"/>
  <c r="HW160" i="39"/>
  <c r="HX160" i="39" s="1"/>
  <c r="HQ160" i="39"/>
  <c r="HR160" i="39" s="1"/>
  <c r="HU160" i="39"/>
  <c r="HV160" i="39" s="1"/>
  <c r="HO160" i="39"/>
  <c r="HP160" i="39" s="1"/>
  <c r="IA160" i="39"/>
  <c r="IB160" i="39" s="1"/>
  <c r="HM160" i="39"/>
  <c r="HN160" i="39" s="1"/>
  <c r="HY160" i="39"/>
  <c r="HZ160" i="39" s="1"/>
  <c r="HS160" i="39"/>
  <c r="HT160" i="39" s="1"/>
  <c r="HG160" i="39"/>
  <c r="HH160" i="39" s="1"/>
  <c r="HI160" i="39"/>
  <c r="HJ160" i="39" s="1"/>
  <c r="HK160" i="39"/>
  <c r="HL160" i="39" s="1"/>
  <c r="HE160" i="39"/>
  <c r="HF160" i="39" s="1"/>
  <c r="EC11" i="39"/>
  <c r="EF11" i="39"/>
  <c r="ED11" i="39"/>
  <c r="EE11" i="39"/>
  <c r="EC17" i="39"/>
  <c r="EF17" i="39"/>
  <c r="ED17" i="39"/>
  <c r="EE17" i="39"/>
  <c r="EC6" i="39"/>
  <c r="EF6" i="39"/>
  <c r="EE6" i="39"/>
  <c r="ED6" i="39"/>
  <c r="EC7" i="39"/>
  <c r="EF7" i="39"/>
  <c r="ED7" i="39"/>
  <c r="EE7" i="39"/>
  <c r="EC10" i="39"/>
  <c r="EF10" i="39"/>
  <c r="EE10" i="39"/>
  <c r="ED10" i="39"/>
  <c r="EC18" i="39"/>
  <c r="EF18" i="39"/>
  <c r="EE18" i="39"/>
  <c r="ED18" i="39"/>
  <c r="EC12" i="39"/>
  <c r="EF12" i="39"/>
  <c r="EE12" i="39"/>
  <c r="ED12" i="39"/>
  <c r="DS21" i="39"/>
  <c r="EC13" i="39"/>
  <c r="EF13" i="39"/>
  <c r="ED13" i="39"/>
  <c r="EE13" i="39"/>
  <c r="DW40" i="39"/>
  <c r="EC40" i="39"/>
  <c r="EF40" i="39"/>
  <c r="EE40" i="39"/>
  <c r="ED40" i="39"/>
  <c r="DZ44" i="39"/>
  <c r="EC44" i="39"/>
  <c r="EF44" i="39"/>
  <c r="EE44" i="39"/>
  <c r="ED44" i="39"/>
  <c r="DZ48" i="39"/>
  <c r="EE48" i="39"/>
  <c r="ED48" i="39"/>
  <c r="EC48" i="39"/>
  <c r="EF48" i="39"/>
  <c r="DW50" i="39"/>
  <c r="EE50" i="39"/>
  <c r="ED50" i="39"/>
  <c r="EC50" i="39"/>
  <c r="EF50" i="39"/>
  <c r="DX56" i="39"/>
  <c r="EE56" i="39"/>
  <c r="ED56" i="39"/>
  <c r="EC56" i="39"/>
  <c r="EF56" i="39"/>
  <c r="EE60" i="39"/>
  <c r="ED60" i="39"/>
  <c r="EC60" i="39"/>
  <c r="EF60" i="39"/>
  <c r="DZ64" i="39"/>
  <c r="EE64" i="39"/>
  <c r="ED64" i="39"/>
  <c r="EC64" i="39"/>
  <c r="EF64" i="39"/>
  <c r="EB72" i="39"/>
  <c r="EE72" i="39"/>
  <c r="ED72" i="39"/>
  <c r="EC72" i="39"/>
  <c r="EF72" i="39"/>
  <c r="EA76" i="39"/>
  <c r="EE76" i="39"/>
  <c r="ED76" i="39"/>
  <c r="EC76" i="39"/>
  <c r="EF76" i="39"/>
  <c r="DQ81" i="39"/>
  <c r="EE81" i="39"/>
  <c r="ED81" i="39"/>
  <c r="EC81" i="39"/>
  <c r="EF81" i="39"/>
  <c r="DG84" i="39"/>
  <c r="EE84" i="39"/>
  <c r="ED84" i="39"/>
  <c r="EC84" i="39"/>
  <c r="EF84" i="39"/>
  <c r="DW88" i="39"/>
  <c r="EF88" i="39"/>
  <c r="EE88" i="39"/>
  <c r="ED88" i="39"/>
  <c r="EC88" i="39"/>
  <c r="EB91" i="39"/>
  <c r="EF91" i="39"/>
  <c r="EE91" i="39"/>
  <c r="EC91" i="39"/>
  <c r="ED91" i="39"/>
  <c r="DG92" i="39"/>
  <c r="EF92" i="39"/>
  <c r="EE92" i="39"/>
  <c r="ED92" i="39"/>
  <c r="EC92" i="39"/>
  <c r="DT96" i="39"/>
  <c r="EF96" i="39"/>
  <c r="EE96" i="39"/>
  <c r="ED96" i="39"/>
  <c r="EC96" i="39"/>
  <c r="EF100" i="39"/>
  <c r="EE100" i="39"/>
  <c r="ED100" i="39"/>
  <c r="EC100" i="39"/>
  <c r="DW104" i="39"/>
  <c r="EF104" i="39"/>
  <c r="EE104" i="39"/>
  <c r="ED104" i="39"/>
  <c r="EC104" i="39"/>
  <c r="DR106" i="39"/>
  <c r="EF106" i="39"/>
  <c r="EE106" i="39"/>
  <c r="ED106" i="39"/>
  <c r="EC106" i="39"/>
  <c r="DV110" i="39"/>
  <c r="EF110" i="39"/>
  <c r="EE110" i="39"/>
  <c r="ED110" i="39"/>
  <c r="EC110" i="39"/>
  <c r="EB114" i="39"/>
  <c r="EF114" i="39"/>
  <c r="EE114" i="39"/>
  <c r="ED114" i="39"/>
  <c r="EC114" i="39"/>
  <c r="EA119" i="39"/>
  <c r="EF119" i="39"/>
  <c r="EE119" i="39"/>
  <c r="EC119" i="39"/>
  <c r="ED119" i="39"/>
  <c r="DE123" i="39"/>
  <c r="EF123" i="39"/>
  <c r="EE123" i="39"/>
  <c r="EC123" i="39"/>
  <c r="ED123" i="39"/>
  <c r="DU127" i="39"/>
  <c r="EF127" i="39"/>
  <c r="EE127" i="39"/>
  <c r="EC127" i="39"/>
  <c r="ED127" i="39"/>
  <c r="DZ132" i="39"/>
  <c r="EF132" i="39"/>
  <c r="EE132" i="39"/>
  <c r="ED132" i="39"/>
  <c r="EC132" i="39"/>
  <c r="EF137" i="39"/>
  <c r="EE137" i="39"/>
  <c r="EC137" i="39"/>
  <c r="ED137" i="39"/>
  <c r="DK141" i="39"/>
  <c r="EF141" i="39"/>
  <c r="EE141" i="39"/>
  <c r="EC141" i="39"/>
  <c r="ED141" i="39"/>
  <c r="DY145" i="39"/>
  <c r="EF145" i="39"/>
  <c r="EE145" i="39"/>
  <c r="EC145" i="39"/>
  <c r="ED145" i="39"/>
  <c r="DY149" i="39"/>
  <c r="EF149" i="39"/>
  <c r="EE149" i="39"/>
  <c r="EC149" i="39"/>
  <c r="ED149" i="39"/>
  <c r="EA153" i="39"/>
  <c r="EF153" i="39"/>
  <c r="EE153" i="39"/>
  <c r="EC153" i="39"/>
  <c r="ED153" i="39"/>
  <c r="DW157" i="39"/>
  <c r="EF157" i="39"/>
  <c r="EE157" i="39"/>
  <c r="EC157" i="39"/>
  <c r="ED157" i="39"/>
  <c r="EA161" i="39"/>
  <c r="EF161" i="39"/>
  <c r="EE161" i="39"/>
  <c r="EC161" i="39"/>
  <c r="ED161" i="39"/>
  <c r="EC23" i="39"/>
  <c r="EF23" i="39"/>
  <c r="ED23" i="39"/>
  <c r="EE23" i="39"/>
  <c r="EC21" i="39"/>
  <c r="EF21" i="39"/>
  <c r="ED21" i="39"/>
  <c r="EE21" i="39"/>
  <c r="EC36" i="39"/>
  <c r="EF36" i="39"/>
  <c r="EE36" i="39"/>
  <c r="ED36" i="39"/>
  <c r="EC39" i="39"/>
  <c r="EF39" i="39"/>
  <c r="ED39" i="39"/>
  <c r="EE39" i="39"/>
  <c r="EA43" i="39"/>
  <c r="EC43" i="39"/>
  <c r="EF43" i="39"/>
  <c r="ED43" i="39"/>
  <c r="EE43" i="39"/>
  <c r="DN45" i="39"/>
  <c r="EC45" i="39"/>
  <c r="EF45" i="39"/>
  <c r="ED45" i="39"/>
  <c r="EE45" i="39"/>
  <c r="DR49" i="39"/>
  <c r="EE49" i="39"/>
  <c r="ED49" i="39"/>
  <c r="EC49" i="39"/>
  <c r="EF49" i="39"/>
  <c r="DZ51" i="39"/>
  <c r="EE51" i="39"/>
  <c r="ED51" i="39"/>
  <c r="EC51" i="39"/>
  <c r="EF51" i="39"/>
  <c r="DS54" i="39"/>
  <c r="EE54" i="39"/>
  <c r="ED54" i="39"/>
  <c r="EC54" i="39"/>
  <c r="EF54" i="39"/>
  <c r="DX57" i="39"/>
  <c r="EE57" i="39"/>
  <c r="ED57" i="39"/>
  <c r="EC57" i="39"/>
  <c r="EF57" i="39"/>
  <c r="EB61" i="39"/>
  <c r="EE61" i="39"/>
  <c r="ED61" i="39"/>
  <c r="EC61" i="39"/>
  <c r="EF61" i="39"/>
  <c r="EE65" i="39"/>
  <c r="ED65" i="39"/>
  <c r="EC65" i="39"/>
  <c r="EF65" i="39"/>
  <c r="EB67" i="39"/>
  <c r="EE67" i="39"/>
  <c r="ED67" i="39"/>
  <c r="EC67" i="39"/>
  <c r="EF67" i="39"/>
  <c r="DX73" i="39"/>
  <c r="EE73" i="39"/>
  <c r="ED73" i="39"/>
  <c r="EC73" i="39"/>
  <c r="EF73" i="39"/>
  <c r="DV77" i="39"/>
  <c r="EE77" i="39"/>
  <c r="ED77" i="39"/>
  <c r="EC77" i="39"/>
  <c r="EF77" i="39"/>
  <c r="DY78" i="39"/>
  <c r="EE78" i="39"/>
  <c r="ED78" i="39"/>
  <c r="EC78" i="39"/>
  <c r="EF78" i="39"/>
  <c r="DV82" i="39"/>
  <c r="EE82" i="39"/>
  <c r="ED82" i="39"/>
  <c r="EC82" i="39"/>
  <c r="EF82" i="39"/>
  <c r="DX85" i="39"/>
  <c r="EE85" i="39"/>
  <c r="ED85" i="39"/>
  <c r="EC85" i="39"/>
  <c r="EF85" i="39"/>
  <c r="DT86" i="39"/>
  <c r="EF86" i="39"/>
  <c r="EE86" i="39"/>
  <c r="ED86" i="39"/>
  <c r="EC86" i="39"/>
  <c r="DZ93" i="39"/>
  <c r="EF93" i="39"/>
  <c r="EE93" i="39"/>
  <c r="EC93" i="39"/>
  <c r="ED93" i="39"/>
  <c r="DX97" i="39"/>
  <c r="EF97" i="39"/>
  <c r="EE97" i="39"/>
  <c r="EC97" i="39"/>
  <c r="ED97" i="39"/>
  <c r="DX101" i="39"/>
  <c r="EF101" i="39"/>
  <c r="EE101" i="39"/>
  <c r="EC101" i="39"/>
  <c r="ED101" i="39"/>
  <c r="DF107" i="39"/>
  <c r="EF107" i="39"/>
  <c r="EE107" i="39"/>
  <c r="EC107" i="39"/>
  <c r="ED107" i="39"/>
  <c r="DU111" i="39"/>
  <c r="EF111" i="39"/>
  <c r="EE111" i="39"/>
  <c r="EC111" i="39"/>
  <c r="ED111" i="39"/>
  <c r="DT115" i="39"/>
  <c r="EF115" i="39"/>
  <c r="EE115" i="39"/>
  <c r="EC115" i="39"/>
  <c r="ED115" i="39"/>
  <c r="DO120" i="39"/>
  <c r="EF120" i="39"/>
  <c r="EE120" i="39"/>
  <c r="ED120" i="39"/>
  <c r="EC120" i="39"/>
  <c r="DL124" i="39"/>
  <c r="EF124" i="39"/>
  <c r="EE124" i="39"/>
  <c r="ED124" i="39"/>
  <c r="EC124" i="39"/>
  <c r="DY128" i="39"/>
  <c r="EF128" i="39"/>
  <c r="EE128" i="39"/>
  <c r="ED128" i="39"/>
  <c r="EC128" i="39"/>
  <c r="DZ133" i="39"/>
  <c r="EF133" i="39"/>
  <c r="EE133" i="39"/>
  <c r="EC133" i="39"/>
  <c r="ED133" i="39"/>
  <c r="DQ138" i="39"/>
  <c r="EF138" i="39"/>
  <c r="EE138" i="39"/>
  <c r="ED138" i="39"/>
  <c r="EC138" i="39"/>
  <c r="EB142" i="39"/>
  <c r="EF142" i="39"/>
  <c r="EE142" i="39"/>
  <c r="ED142" i="39"/>
  <c r="EC142" i="39"/>
  <c r="EA146" i="39"/>
  <c r="EF146" i="39"/>
  <c r="EE146" i="39"/>
  <c r="ED146" i="39"/>
  <c r="EC146" i="39"/>
  <c r="DX150" i="39"/>
  <c r="EF150" i="39"/>
  <c r="EE150" i="39"/>
  <c r="ED150" i="39"/>
  <c r="EC150" i="39"/>
  <c r="EF154" i="39"/>
  <c r="EE154" i="39"/>
  <c r="ED154" i="39"/>
  <c r="EC154" i="39"/>
  <c r="EA158" i="39"/>
  <c r="EF158" i="39"/>
  <c r="EE158" i="39"/>
  <c r="ED158" i="39"/>
  <c r="EC158" i="39"/>
  <c r="DR162" i="39"/>
  <c r="EF162" i="39"/>
  <c r="EE162" i="39"/>
  <c r="ED162" i="39"/>
  <c r="EC162" i="39"/>
  <c r="EC4" i="39"/>
  <c r="DE4" i="39"/>
  <c r="EF4" i="39"/>
  <c r="DH4" i="39"/>
  <c r="DF4" i="39"/>
  <c r="EE4" i="39"/>
  <c r="ED4" i="39"/>
  <c r="DG4" i="39"/>
  <c r="EC19" i="39"/>
  <c r="EF19" i="39"/>
  <c r="ED19" i="39"/>
  <c r="EE19" i="39"/>
  <c r="EC8" i="39"/>
  <c r="EF8" i="39"/>
  <c r="EE8" i="39"/>
  <c r="ED8" i="39"/>
  <c r="EC24" i="39"/>
  <c r="EF24" i="39"/>
  <c r="EE24" i="39"/>
  <c r="ED24" i="39"/>
  <c r="EC20" i="39"/>
  <c r="EF20" i="39"/>
  <c r="EE20" i="39"/>
  <c r="ED20" i="39"/>
  <c r="DW35" i="39"/>
  <c r="EC35" i="39"/>
  <c r="EF35" i="39"/>
  <c r="ED35" i="39"/>
  <c r="EE35" i="39"/>
  <c r="DW37" i="39"/>
  <c r="EC37" i="39"/>
  <c r="EF37" i="39"/>
  <c r="ED37" i="39"/>
  <c r="EE37" i="39"/>
  <c r="DZ38" i="39"/>
  <c r="EC38" i="39"/>
  <c r="EF38" i="39"/>
  <c r="EE38" i="39"/>
  <c r="ED38" i="39"/>
  <c r="EB42" i="39"/>
  <c r="EC42" i="39"/>
  <c r="EF42" i="39"/>
  <c r="EE42" i="39"/>
  <c r="ED42" i="39"/>
  <c r="DZ46" i="39"/>
  <c r="EC46" i="39"/>
  <c r="EF46" i="39"/>
  <c r="EE46" i="39"/>
  <c r="ED46" i="39"/>
  <c r="DX52" i="39"/>
  <c r="EE52" i="39"/>
  <c r="ED52" i="39"/>
  <c r="EC52" i="39"/>
  <c r="EF52" i="39"/>
  <c r="DU58" i="39"/>
  <c r="EE58" i="39"/>
  <c r="ED58" i="39"/>
  <c r="EC58" i="39"/>
  <c r="EF58" i="39"/>
  <c r="DW62" i="39"/>
  <c r="EE62" i="39"/>
  <c r="ED62" i="39"/>
  <c r="EC62" i="39"/>
  <c r="EF62" i="39"/>
  <c r="DW66" i="39"/>
  <c r="EE66" i="39"/>
  <c r="ED66" i="39"/>
  <c r="EC66" i="39"/>
  <c r="EF66" i="39"/>
  <c r="EA68" i="39"/>
  <c r="EE68" i="39"/>
  <c r="ED68" i="39"/>
  <c r="EC68" i="39"/>
  <c r="EF68" i="39"/>
  <c r="DY69" i="39"/>
  <c r="EE69" i="39"/>
  <c r="ED69" i="39"/>
  <c r="EC69" i="39"/>
  <c r="EF69" i="39"/>
  <c r="EB71" i="39"/>
  <c r="EE71" i="39"/>
  <c r="ED71" i="39"/>
  <c r="EC71" i="39"/>
  <c r="EF71" i="39"/>
  <c r="DW74" i="39"/>
  <c r="EE74" i="39"/>
  <c r="ED74" i="39"/>
  <c r="EC74" i="39"/>
  <c r="EF74" i="39"/>
  <c r="EB79" i="39"/>
  <c r="EE79" i="39"/>
  <c r="ED79" i="39"/>
  <c r="EC79" i="39"/>
  <c r="EF79" i="39"/>
  <c r="DT83" i="39"/>
  <c r="EE83" i="39"/>
  <c r="ED83" i="39"/>
  <c r="EC83" i="39"/>
  <c r="EF83" i="39"/>
  <c r="EB87" i="39"/>
  <c r="EF87" i="39"/>
  <c r="EE87" i="39"/>
  <c r="EC87" i="39"/>
  <c r="ED87" i="39"/>
  <c r="EB89" i="39"/>
  <c r="EF89" i="39"/>
  <c r="EE89" i="39"/>
  <c r="EC89" i="39"/>
  <c r="ED89" i="39"/>
  <c r="EF94" i="39"/>
  <c r="EE94" i="39"/>
  <c r="ED94" i="39"/>
  <c r="EC94" i="39"/>
  <c r="DL98" i="39"/>
  <c r="EF98" i="39"/>
  <c r="EE98" i="39"/>
  <c r="ED98" i="39"/>
  <c r="EC98" i="39"/>
  <c r="DZ102" i="39"/>
  <c r="EF102" i="39"/>
  <c r="EE102" i="39"/>
  <c r="ED102" i="39"/>
  <c r="EC102" i="39"/>
  <c r="DV108" i="39"/>
  <c r="EF108" i="39"/>
  <c r="EE108" i="39"/>
  <c r="ED108" i="39"/>
  <c r="EC108" i="39"/>
  <c r="DF112" i="39"/>
  <c r="EF112" i="39"/>
  <c r="EE112" i="39"/>
  <c r="ED112" i="39"/>
  <c r="EC112" i="39"/>
  <c r="DQ116" i="39"/>
  <c r="EF116" i="39"/>
  <c r="EE116" i="39"/>
  <c r="ED116" i="39"/>
  <c r="EC116" i="39"/>
  <c r="DW117" i="39"/>
  <c r="EF117" i="39"/>
  <c r="EE117" i="39"/>
  <c r="EC117" i="39"/>
  <c r="ED117" i="39"/>
  <c r="DY121" i="39"/>
  <c r="EF121" i="39"/>
  <c r="EE121" i="39"/>
  <c r="EC121" i="39"/>
  <c r="ED121" i="39"/>
  <c r="DN125" i="39"/>
  <c r="EF125" i="39"/>
  <c r="EE125" i="39"/>
  <c r="EC125" i="39"/>
  <c r="ED125" i="39"/>
  <c r="DJ129" i="39"/>
  <c r="EF129" i="39"/>
  <c r="EE129" i="39"/>
  <c r="EC129" i="39"/>
  <c r="ED129" i="39"/>
  <c r="DK134" i="39"/>
  <c r="EF134" i="39"/>
  <c r="EE134" i="39"/>
  <c r="ED134" i="39"/>
  <c r="EC134" i="39"/>
  <c r="DU139" i="39"/>
  <c r="EF139" i="39"/>
  <c r="EE139" i="39"/>
  <c r="EC139" i="39"/>
  <c r="ED139" i="39"/>
  <c r="DR143" i="39"/>
  <c r="EF143" i="39"/>
  <c r="EE143" i="39"/>
  <c r="EC143" i="39"/>
  <c r="ED143" i="39"/>
  <c r="DJ147" i="39"/>
  <c r="EF147" i="39"/>
  <c r="EE147" i="39"/>
  <c r="EC147" i="39"/>
  <c r="ED147" i="39"/>
  <c r="DE151" i="39"/>
  <c r="EF151" i="39"/>
  <c r="EE151" i="39"/>
  <c r="EC151" i="39"/>
  <c r="ED151" i="39"/>
  <c r="DV155" i="39"/>
  <c r="EF155" i="39"/>
  <c r="EE155" i="39"/>
  <c r="EC155" i="39"/>
  <c r="ED155" i="39"/>
  <c r="DX159" i="39"/>
  <c r="EF159" i="39"/>
  <c r="EE159" i="39"/>
  <c r="EC159" i="39"/>
  <c r="ED159" i="39"/>
  <c r="DZ163" i="39"/>
  <c r="EF163" i="39"/>
  <c r="EE163" i="39"/>
  <c r="EC163" i="39"/>
  <c r="ED163" i="39"/>
  <c r="EC9" i="39"/>
  <c r="EF9" i="39"/>
  <c r="ED9" i="39"/>
  <c r="EE9" i="39"/>
  <c r="EC5" i="39"/>
  <c r="EF5" i="39"/>
  <c r="ED5" i="39"/>
  <c r="EE5" i="39"/>
  <c r="EC22" i="39"/>
  <c r="EF22" i="39"/>
  <c r="EE22" i="39"/>
  <c r="ED22" i="39"/>
  <c r="DZ22" i="39"/>
  <c r="EC14" i="39"/>
  <c r="EF14" i="39"/>
  <c r="EE14" i="39"/>
  <c r="ED14" i="39"/>
  <c r="DZ23" i="39"/>
  <c r="EC15" i="39"/>
  <c r="EF15" i="39"/>
  <c r="ED15" i="39"/>
  <c r="EE15" i="39"/>
  <c r="DT24" i="39"/>
  <c r="EC16" i="39"/>
  <c r="EF16" i="39"/>
  <c r="EE16" i="39"/>
  <c r="ED16" i="39"/>
  <c r="DZ25" i="39"/>
  <c r="EC25" i="39"/>
  <c r="EF25" i="39"/>
  <c r="ED25" i="39"/>
  <c r="EE25" i="39"/>
  <c r="DZ26" i="39"/>
  <c r="EC26" i="39"/>
  <c r="EF26" i="39"/>
  <c r="EE26" i="39"/>
  <c r="ED26" i="39"/>
  <c r="DY27" i="39"/>
  <c r="EC27" i="39"/>
  <c r="EF27" i="39"/>
  <c r="ED27" i="39"/>
  <c r="EE27" i="39"/>
  <c r="EA28" i="39"/>
  <c r="EC28" i="39"/>
  <c r="EF28" i="39"/>
  <c r="EE28" i="39"/>
  <c r="ED28" i="39"/>
  <c r="DQ29" i="39"/>
  <c r="EC29" i="39"/>
  <c r="EF29" i="39"/>
  <c r="ED29" i="39"/>
  <c r="EE29" i="39"/>
  <c r="DY30" i="39"/>
  <c r="EC30" i="39"/>
  <c r="EF30" i="39"/>
  <c r="EE30" i="39"/>
  <c r="ED30" i="39"/>
  <c r="DV31" i="39"/>
  <c r="EC31" i="39"/>
  <c r="EF31" i="39"/>
  <c r="ED31" i="39"/>
  <c r="EE31" i="39"/>
  <c r="DZ32" i="39"/>
  <c r="EC32" i="39"/>
  <c r="EF32" i="39"/>
  <c r="EE32" i="39"/>
  <c r="ED32" i="39"/>
  <c r="DR33" i="39"/>
  <c r="EC33" i="39"/>
  <c r="EF33" i="39"/>
  <c r="ED33" i="39"/>
  <c r="EE33" i="39"/>
  <c r="EC34" i="39"/>
  <c r="EF34" i="39"/>
  <c r="EE34" i="39"/>
  <c r="ED34" i="39"/>
  <c r="DZ41" i="39"/>
  <c r="EC41" i="39"/>
  <c r="EF41" i="39"/>
  <c r="ED41" i="39"/>
  <c r="EE41" i="39"/>
  <c r="DZ47" i="39"/>
  <c r="EE47" i="39"/>
  <c r="ED47" i="39"/>
  <c r="EC47" i="39"/>
  <c r="EF47" i="39"/>
  <c r="DL53" i="39"/>
  <c r="EE53" i="39"/>
  <c r="ED53" i="39"/>
  <c r="EC53" i="39"/>
  <c r="EF53" i="39"/>
  <c r="EE55" i="39"/>
  <c r="ED55" i="39"/>
  <c r="EC55" i="39"/>
  <c r="EF55" i="39"/>
  <c r="EB59" i="39"/>
  <c r="EE59" i="39"/>
  <c r="ED59" i="39"/>
  <c r="EC59" i="39"/>
  <c r="EF59" i="39"/>
  <c r="DV63" i="39"/>
  <c r="EE63" i="39"/>
  <c r="ED63" i="39"/>
  <c r="EC63" i="39"/>
  <c r="EF63" i="39"/>
  <c r="DZ70" i="39"/>
  <c r="EE70" i="39"/>
  <c r="ED70" i="39"/>
  <c r="EC70" i="39"/>
  <c r="EF70" i="39"/>
  <c r="DY75" i="39"/>
  <c r="EE75" i="39"/>
  <c r="ED75" i="39"/>
  <c r="EC75" i="39"/>
  <c r="EF75" i="39"/>
  <c r="DV80" i="39"/>
  <c r="EE80" i="39"/>
  <c r="ED80" i="39"/>
  <c r="EC80" i="39"/>
  <c r="EF80" i="39"/>
  <c r="Z4" i="44"/>
  <c r="Y2" i="44" s="1"/>
  <c r="Z4" i="47"/>
  <c r="Y2" i="47" s="1"/>
  <c r="Z4" i="46"/>
  <c r="Y2" i="46" s="1"/>
  <c r="Z4" i="45"/>
  <c r="Y2" i="45" s="1"/>
  <c r="DZ90" i="39"/>
  <c r="EF90" i="39"/>
  <c r="EE90" i="39"/>
  <c r="ED90" i="39"/>
  <c r="EC90" i="39"/>
  <c r="EF95" i="39"/>
  <c r="EE95" i="39"/>
  <c r="EC95" i="39"/>
  <c r="ED95" i="39"/>
  <c r="DT99" i="39"/>
  <c r="EF99" i="39"/>
  <c r="EE99" i="39"/>
  <c r="EC99" i="39"/>
  <c r="ED99" i="39"/>
  <c r="DY103" i="39"/>
  <c r="EF103" i="39"/>
  <c r="EE103" i="39"/>
  <c r="EC103" i="39"/>
  <c r="ED103" i="39"/>
  <c r="DQ105" i="39"/>
  <c r="EF105" i="39"/>
  <c r="EE105" i="39"/>
  <c r="EC105" i="39"/>
  <c r="ED105" i="39"/>
  <c r="DX109" i="39"/>
  <c r="EF109" i="39"/>
  <c r="EE109" i="39"/>
  <c r="EC109" i="39"/>
  <c r="ED109" i="39"/>
  <c r="DZ113" i="39"/>
  <c r="EF113" i="39"/>
  <c r="EE113" i="39"/>
  <c r="EC113" i="39"/>
  <c r="ED113" i="39"/>
  <c r="DT118" i="39"/>
  <c r="EF118" i="39"/>
  <c r="EE118" i="39"/>
  <c r="ED118" i="39"/>
  <c r="EC118" i="39"/>
  <c r="DH122" i="39"/>
  <c r="EF122" i="39"/>
  <c r="EE122" i="39"/>
  <c r="ED122" i="39"/>
  <c r="EC122" i="39"/>
  <c r="DW126" i="39"/>
  <c r="EF126" i="39"/>
  <c r="EE126" i="39"/>
  <c r="ED126" i="39"/>
  <c r="EC126" i="39"/>
  <c r="DY130" i="39"/>
  <c r="EF130" i="39"/>
  <c r="EE130" i="39"/>
  <c r="ED130" i="39"/>
  <c r="EC130" i="39"/>
  <c r="EF131" i="39"/>
  <c r="EE131" i="39"/>
  <c r="EC131" i="39"/>
  <c r="ED131" i="39"/>
  <c r="DV135" i="39"/>
  <c r="EF135" i="39"/>
  <c r="EE135" i="39"/>
  <c r="EC135" i="39"/>
  <c r="ED135" i="39"/>
  <c r="DF136" i="39"/>
  <c r="EF136" i="39"/>
  <c r="EE136" i="39"/>
  <c r="ED136" i="39"/>
  <c r="EC136" i="39"/>
  <c r="DY140" i="39"/>
  <c r="EF140" i="39"/>
  <c r="EE140" i="39"/>
  <c r="ED140" i="39"/>
  <c r="EC140" i="39"/>
  <c r="EB144" i="39"/>
  <c r="EF144" i="39"/>
  <c r="EE144" i="39"/>
  <c r="ED144" i="39"/>
  <c r="EC144" i="39"/>
  <c r="DS148" i="39"/>
  <c r="EF148" i="39"/>
  <c r="EE148" i="39"/>
  <c r="ED148" i="39"/>
  <c r="EC148" i="39"/>
  <c r="DX152" i="39"/>
  <c r="EF152" i="39"/>
  <c r="EE152" i="39"/>
  <c r="ED152" i="39"/>
  <c r="EC152" i="39"/>
  <c r="EB156" i="39"/>
  <c r="EF156" i="39"/>
  <c r="EE156" i="39"/>
  <c r="ED156" i="39"/>
  <c r="EC156" i="39"/>
  <c r="DT160" i="39"/>
  <c r="EF160" i="39"/>
  <c r="EE160" i="39"/>
  <c r="ED160" i="39"/>
  <c r="EC160" i="39"/>
  <c r="B24" i="44"/>
  <c r="B26" i="44"/>
  <c r="B30" i="44"/>
  <c r="B35" i="44"/>
  <c r="B34" i="44"/>
  <c r="B23" i="44"/>
  <c r="B25" i="44"/>
  <c r="B29" i="44"/>
  <c r="B28" i="44"/>
  <c r="B33" i="44"/>
  <c r="AF109" i="33"/>
  <c r="B22" i="44"/>
  <c r="B27" i="44"/>
  <c r="B31" i="44"/>
  <c r="B32" i="44"/>
  <c r="W10" i="34"/>
  <c r="X10" i="34"/>
  <c r="AA10" i="34"/>
  <c r="A55" i="33"/>
  <c r="A57" i="33"/>
  <c r="A59" i="33"/>
  <c r="A60" i="33"/>
  <c r="A56" i="33"/>
  <c r="A40" i="33"/>
  <c r="A43" i="33"/>
  <c r="A39" i="33"/>
  <c r="A41" i="33"/>
  <c r="A42" i="33"/>
  <c r="K21" i="34"/>
  <c r="K17" i="34"/>
  <c r="K22" i="34"/>
  <c r="K18" i="34"/>
  <c r="DX18" i="39"/>
  <c r="DU19" i="39"/>
  <c r="DZ16" i="39"/>
  <c r="DZ17" i="39"/>
  <c r="W91" i="33"/>
  <c r="DX14" i="39"/>
  <c r="DW15" i="39"/>
  <c r="AF90" i="33"/>
  <c r="AG113" i="33"/>
  <c r="B113" i="33"/>
  <c r="AQ113" i="33"/>
  <c r="AQ93" i="33"/>
  <c r="AG93" i="33"/>
  <c r="B93" i="33"/>
  <c r="PW3" i="39"/>
  <c r="PX3" i="39" s="1"/>
  <c r="B21" i="42"/>
  <c r="Z21" i="42" s="1"/>
  <c r="Z36" i="42" s="1"/>
  <c r="PZ3" i="39"/>
  <c r="QA3" i="39" s="1"/>
  <c r="B21" i="43"/>
  <c r="Z21" i="43" s="1"/>
  <c r="Z36" i="43" s="1"/>
  <c r="QC3" i="39"/>
  <c r="QD3" i="39" s="1"/>
  <c r="B21" i="44"/>
  <c r="Z21" i="44" s="1"/>
  <c r="Z36" i="44" s="1"/>
  <c r="B21" i="41"/>
  <c r="Z21" i="41" s="1"/>
  <c r="Z36" i="41" s="1"/>
  <c r="PT3" i="39"/>
  <c r="PU3" i="39" s="1"/>
  <c r="C41" i="34"/>
  <c r="B43" i="34" s="1"/>
  <c r="M11" i="18"/>
  <c r="T3" i="11"/>
  <c r="I7" i="11" s="1"/>
  <c r="B7" i="34"/>
  <c r="Y14" i="34"/>
  <c r="Y17" i="34" s="1"/>
  <c r="W32" i="11"/>
  <c r="AA14" i="34"/>
  <c r="AA17" i="34" s="1"/>
  <c r="W44" i="11"/>
  <c r="A114" i="33" s="1"/>
  <c r="HO2" i="39"/>
  <c r="AL35" i="39" s="1"/>
  <c r="HN2" i="39" s="1"/>
  <c r="A37" i="33"/>
  <c r="IM2" i="39"/>
  <c r="AL83" i="39" s="1"/>
  <c r="IL2" i="39" s="1"/>
  <c r="W38" i="11"/>
  <c r="A94" i="33" s="1"/>
  <c r="W17" i="34"/>
  <c r="A29" i="33"/>
  <c r="HW2" i="39"/>
  <c r="AL51" i="39" s="1"/>
  <c r="HV2" i="39" s="1"/>
  <c r="A53" i="33"/>
  <c r="L6" i="34"/>
  <c r="N7" i="34" s="1"/>
  <c r="K14" i="34" s="1"/>
  <c r="P197" i="6"/>
  <c r="AX6" i="39"/>
  <c r="AX7" i="39"/>
  <c r="AX8" i="39"/>
  <c r="AX9" i="39"/>
  <c r="AX4" i="39"/>
  <c r="AX10" i="39"/>
  <c r="AX11" i="39"/>
  <c r="AX5" i="39"/>
  <c r="AM35" i="39"/>
  <c r="HR2" i="39" s="1"/>
  <c r="W6" i="34"/>
  <c r="AL15" i="34"/>
  <c r="AL16" i="34" s="1"/>
  <c r="B47" i="34"/>
  <c r="U1" i="34" s="1"/>
  <c r="Q18" i="5"/>
  <c r="Q19" i="5" s="1"/>
  <c r="T19" i="5" s="1"/>
  <c r="AG13" i="34"/>
  <c r="AG12" i="34" s="1"/>
  <c r="V14" i="34"/>
  <c r="C64" i="34"/>
  <c r="Y6" i="34"/>
  <c r="Z6" i="34"/>
  <c r="Z9" i="34" s="1"/>
  <c r="X14" i="34"/>
  <c r="X17" i="34" s="1"/>
  <c r="AI13" i="34"/>
  <c r="AI12" i="34" s="1"/>
  <c r="V7" i="34"/>
  <c r="AK13" i="34"/>
  <c r="AK12" i="34" s="1"/>
  <c r="DY9" i="39"/>
  <c r="DZ13" i="39"/>
  <c r="EA8" i="39"/>
  <c r="DW10" i="39"/>
  <c r="EA11" i="39"/>
  <c r="DZ12" i="39"/>
  <c r="DW6" i="39"/>
  <c r="EA7" i="39"/>
  <c r="DW5" i="39"/>
  <c r="AM19" i="39"/>
  <c r="HJ2" i="39" s="1"/>
  <c r="E25" i="34"/>
  <c r="AM51" i="39"/>
  <c r="HZ2" i="39" s="1"/>
  <c r="Z17" i="34"/>
  <c r="M16" i="38"/>
  <c r="AM67" i="39"/>
  <c r="IH2" i="39" s="1"/>
  <c r="L4" i="34"/>
  <c r="M4" i="34" s="1"/>
  <c r="N4" i="34" s="1"/>
  <c r="K24" i="34" s="1"/>
  <c r="AJ13" i="34"/>
  <c r="AJ12" i="34" s="1"/>
  <c r="B21" i="34"/>
  <c r="B16" i="34" s="1"/>
  <c r="G25" i="34"/>
  <c r="AA8" i="34"/>
  <c r="AL13" i="34"/>
  <c r="AL12" i="34" s="1"/>
  <c r="M16" i="42"/>
  <c r="T16" i="42" s="1"/>
  <c r="Y89" i="34" s="1"/>
  <c r="M16" i="41"/>
  <c r="AH13" i="34"/>
  <c r="AH12" i="34" s="1"/>
  <c r="B6" i="34"/>
  <c r="A24" i="34"/>
  <c r="O7" i="11"/>
  <c r="P15" i="42"/>
  <c r="W74" i="33" s="1"/>
  <c r="P15" i="41"/>
  <c r="W58" i="33" s="1"/>
  <c r="EA4" i="39"/>
  <c r="P16" i="41"/>
  <c r="Y23" i="34"/>
  <c r="Y24" i="34" s="1"/>
  <c r="BG47" i="31" s="1"/>
  <c r="H47" i="31" s="1"/>
  <c r="A47" i="31" s="1"/>
  <c r="M12" i="34"/>
  <c r="G58" i="31"/>
  <c r="A58" i="31" s="1"/>
  <c r="G61" i="31"/>
  <c r="A61" i="31" s="1"/>
  <c r="BH182" i="33"/>
  <c r="BG8" i="33"/>
  <c r="BG14" i="33"/>
  <c r="AO182" i="33"/>
  <c r="R9" i="5"/>
  <c r="R171" i="18"/>
  <c r="R131" i="18"/>
  <c r="R91" i="18"/>
  <c r="R11" i="18"/>
  <c r="V6" i="34"/>
  <c r="J13" i="5"/>
  <c r="O11" i="18"/>
  <c r="W1" i="39"/>
  <c r="KB66" i="39" s="1"/>
  <c r="O171" i="18"/>
  <c r="O131" i="18"/>
  <c r="O91" i="18"/>
  <c r="L11" i="18"/>
  <c r="L11" i="44"/>
  <c r="N9" i="5"/>
  <c r="L171" i="18"/>
  <c r="L131" i="18"/>
  <c r="L91" i="18"/>
  <c r="L11" i="42"/>
  <c r="N77" i="11"/>
  <c r="HE2" i="39"/>
  <c r="HE4" i="39" s="1"/>
  <c r="HF4" i="39" s="1"/>
  <c r="E109" i="11"/>
  <c r="BF6" i="31"/>
  <c r="BF26" i="31"/>
  <c r="BF29" i="31"/>
  <c r="BF13" i="31" s="1"/>
  <c r="BI14" i="33"/>
  <c r="D8" i="3"/>
  <c r="E10" i="1"/>
  <c r="V11" i="1"/>
  <c r="G16" i="1"/>
  <c r="Z28" i="31" s="1"/>
  <c r="J46" i="1"/>
  <c r="T50" i="1"/>
  <c r="M47" i="5" s="1"/>
  <c r="L11" i="38"/>
  <c r="G15" i="38"/>
  <c r="Q29" i="31" s="1"/>
  <c r="J11" i="41"/>
  <c r="C15" i="41"/>
  <c r="J46" i="41"/>
  <c r="T47" i="42"/>
  <c r="E10" i="43"/>
  <c r="E10" i="44"/>
  <c r="C15" i="44"/>
  <c r="K11" i="18"/>
  <c r="L51" i="18"/>
  <c r="O9" i="5"/>
  <c r="W2" i="39"/>
  <c r="Q51" i="18"/>
  <c r="IQ2" i="39"/>
  <c r="G16" i="43"/>
  <c r="Z32" i="31" s="1"/>
  <c r="C16" i="44"/>
  <c r="IW2" i="39"/>
  <c r="IW4" i="39" s="1"/>
  <c r="J47" i="44"/>
  <c r="T47" i="43"/>
  <c r="J50" i="44"/>
  <c r="T50" i="43"/>
  <c r="J50" i="41"/>
  <c r="G100" i="11"/>
  <c r="H24" i="3" s="1"/>
  <c r="O127" i="11"/>
  <c r="P127" i="11" s="1"/>
  <c r="J137" i="11"/>
  <c r="BC21" i="36" s="1"/>
  <c r="BF27" i="31"/>
  <c r="BI22" i="33"/>
  <c r="H27" i="3"/>
  <c r="B49" i="3"/>
  <c r="B11" i="1"/>
  <c r="X11" i="1"/>
  <c r="J47" i="1"/>
  <c r="R11" i="38"/>
  <c r="L11" i="41"/>
  <c r="G15" i="41"/>
  <c r="Q30" i="31" s="1"/>
  <c r="J47" i="41"/>
  <c r="E10" i="42"/>
  <c r="J11" i="43"/>
  <c r="C15" i="43"/>
  <c r="J47" i="43"/>
  <c r="J11" i="44"/>
  <c r="O51" i="18"/>
  <c r="K91" i="18"/>
  <c r="K131" i="18"/>
  <c r="K171" i="18"/>
  <c r="F13" i="5"/>
  <c r="U35" i="5"/>
  <c r="R157" i="6"/>
  <c r="BC15" i="36"/>
  <c r="X6" i="34"/>
  <c r="Z7" i="34"/>
  <c r="Z10" i="34" s="1"/>
  <c r="C65" i="34"/>
  <c r="D12" i="36"/>
  <c r="M51" i="18"/>
  <c r="C67" i="11"/>
  <c r="F46" i="5"/>
  <c r="J49" i="43"/>
  <c r="J49" i="42"/>
  <c r="H100" i="11"/>
  <c r="J138" i="11"/>
  <c r="BE21" i="36" s="1"/>
  <c r="F77" i="31"/>
  <c r="BJ22" i="33"/>
  <c r="B29" i="3"/>
  <c r="E50" i="3"/>
  <c r="J11" i="1"/>
  <c r="Y11" i="1"/>
  <c r="T47" i="1"/>
  <c r="J50" i="38"/>
  <c r="R11" i="41"/>
  <c r="T47" i="41"/>
  <c r="C15" i="42"/>
  <c r="J50" i="42"/>
  <c r="L11" i="43"/>
  <c r="G15" i="43"/>
  <c r="Q32" i="31" s="1"/>
  <c r="R11" i="44"/>
  <c r="G16" i="44"/>
  <c r="Z33" i="31" s="1"/>
  <c r="J49" i="44"/>
  <c r="Q11" i="18"/>
  <c r="R51" i="18"/>
  <c r="M91" i="18"/>
  <c r="M131" i="18"/>
  <c r="M171" i="18"/>
  <c r="L13" i="5"/>
  <c r="P117" i="6"/>
  <c r="B9" i="5"/>
  <c r="B171" i="18"/>
  <c r="B131" i="18"/>
  <c r="B91" i="18"/>
  <c r="U17" i="6"/>
  <c r="B11" i="18"/>
  <c r="B11" i="44"/>
  <c r="B11" i="43"/>
  <c r="B11" i="41"/>
  <c r="I100" i="11"/>
  <c r="D24" i="3" s="1"/>
  <c r="B1" i="39"/>
  <c r="BC13" i="36"/>
  <c r="BD13" i="36" s="1"/>
  <c r="AK5" i="31"/>
  <c r="K17" i="31"/>
  <c r="G54" i="31"/>
  <c r="BI16" i="33"/>
  <c r="K3" i="3"/>
  <c r="L11" i="1"/>
  <c r="E10" i="38"/>
  <c r="J46" i="38"/>
  <c r="T50" i="38"/>
  <c r="T50" i="42"/>
  <c r="R11" i="43"/>
  <c r="J50" i="43"/>
  <c r="T50" i="44"/>
  <c r="Q91" i="18"/>
  <c r="S117" i="18"/>
  <c r="Q131" i="18"/>
  <c r="S157" i="18"/>
  <c r="Q171" i="18"/>
  <c r="S197" i="18"/>
  <c r="S18" i="5"/>
  <c r="K5" i="36"/>
  <c r="AG15" i="34"/>
  <c r="AG16" i="34" s="1"/>
  <c r="V16" i="34"/>
  <c r="AE16" i="34" s="1"/>
  <c r="IE2" i="39"/>
  <c r="AL67" i="39" s="1"/>
  <c r="ID2" i="39" s="1"/>
  <c r="G15" i="42"/>
  <c r="Q31" i="31" s="1"/>
  <c r="IU2" i="39"/>
  <c r="G15" i="44"/>
  <c r="Q33" i="31" s="1"/>
  <c r="J167" i="6"/>
  <c r="U18" i="6"/>
  <c r="J127" i="6"/>
  <c r="J87" i="6"/>
  <c r="R17" i="31"/>
  <c r="BF25" i="31"/>
  <c r="AF4" i="33"/>
  <c r="B6" i="3"/>
  <c r="J49" i="1"/>
  <c r="B11" i="38"/>
  <c r="J47" i="38"/>
  <c r="J49" i="41"/>
  <c r="R11" i="42"/>
  <c r="J46" i="42"/>
  <c r="R57" i="6"/>
  <c r="R77" i="6" s="1"/>
  <c r="S77" i="18"/>
  <c r="J47" i="6"/>
  <c r="BC19" i="36"/>
  <c r="K51" i="18"/>
  <c r="AM4" i="33"/>
  <c r="BG22" i="33"/>
  <c r="B8" i="3"/>
  <c r="B27" i="3"/>
  <c r="R11" i="1"/>
  <c r="C16" i="1"/>
  <c r="J50" i="1"/>
  <c r="F47" i="5" s="1"/>
  <c r="J11" i="38"/>
  <c r="C15" i="38"/>
  <c r="T47" i="38"/>
  <c r="E10" i="41"/>
  <c r="T50" i="41"/>
  <c r="J47" i="42"/>
  <c r="C16" i="43"/>
  <c r="J46" i="44"/>
  <c r="B51" i="18"/>
  <c r="K9" i="5"/>
  <c r="U5" i="6"/>
  <c r="R117" i="6"/>
  <c r="P157" i="6"/>
  <c r="P77" i="6"/>
  <c r="R197" i="6"/>
  <c r="V35" i="5"/>
  <c r="AA22" i="34"/>
  <c r="AA24" i="34" s="1"/>
  <c r="P15" i="44"/>
  <c r="W108" i="33" s="1"/>
  <c r="Z28" i="39"/>
  <c r="DK68" i="39"/>
  <c r="DF28" i="39"/>
  <c r="DQ121" i="39"/>
  <c r="DH121" i="39"/>
  <c r="DH135" i="39"/>
  <c r="EA91" i="39"/>
  <c r="EB145" i="39"/>
  <c r="DU18" i="39"/>
  <c r="DZ91" i="39"/>
  <c r="P16" i="38"/>
  <c r="W23" i="34"/>
  <c r="Q23" i="5"/>
  <c r="T23" i="5" s="1"/>
  <c r="DX53" i="39"/>
  <c r="DJ59" i="39"/>
  <c r="DH61" i="39"/>
  <c r="DZ96" i="39"/>
  <c r="V23" i="34"/>
  <c r="P16" i="1"/>
  <c r="DT28" i="39"/>
  <c r="X41" i="39"/>
  <c r="DE41" i="39"/>
  <c r="DK54" i="39"/>
  <c r="DX59" i="39"/>
  <c r="DW105" i="39"/>
  <c r="DL113" i="39"/>
  <c r="DT125" i="39"/>
  <c r="DK41" i="39"/>
  <c r="EA59" i="39"/>
  <c r="EA44" i="39"/>
  <c r="DX66" i="39"/>
  <c r="DS70" i="39"/>
  <c r="DM86" i="39"/>
  <c r="DL91" i="39"/>
  <c r="DM102" i="39"/>
  <c r="DM103" i="39"/>
  <c r="EB70" i="39"/>
  <c r="DW86" i="39"/>
  <c r="DV91" i="39"/>
  <c r="EB135" i="39"/>
  <c r="DU40" i="39"/>
  <c r="DU145" i="39"/>
  <c r="DI159" i="39"/>
  <c r="B32" i="18"/>
  <c r="X36" i="41"/>
  <c r="Q22" i="18"/>
  <c r="Q22" i="6" s="1"/>
  <c r="Q30" i="18"/>
  <c r="Q30" i="6" s="1"/>
  <c r="B31" i="18"/>
  <c r="DM18" i="39"/>
  <c r="DI32" i="39"/>
  <c r="DE58" i="39"/>
  <c r="DT85" i="39"/>
  <c r="DZ87" i="39"/>
  <c r="DT108" i="39"/>
  <c r="DZ115" i="39"/>
  <c r="DX24" i="39"/>
  <c r="X32" i="39"/>
  <c r="DR32" i="39"/>
  <c r="DQ40" i="39"/>
  <c r="DU44" i="39"/>
  <c r="DK46" i="39"/>
  <c r="DP53" i="39"/>
  <c r="DM58" i="39"/>
  <c r="DU70" i="39"/>
  <c r="EB85" i="39"/>
  <c r="DO91" i="39"/>
  <c r="DH96" i="39"/>
  <c r="DT121" i="39"/>
  <c r="DP135" i="39"/>
  <c r="P15" i="1"/>
  <c r="W24" i="33" s="1"/>
  <c r="DL8" i="39"/>
  <c r="DK26" i="39"/>
  <c r="DK74" i="39"/>
  <c r="DM8" i="39"/>
  <c r="DZ40" i="39"/>
  <c r="DL41" i="39"/>
  <c r="EB53" i="39"/>
  <c r="DH59" i="39"/>
  <c r="DT63" i="39"/>
  <c r="DZ68" i="39"/>
  <c r="DS74" i="39"/>
  <c r="EA90" i="39"/>
  <c r="EA74" i="39"/>
  <c r="DK106" i="39"/>
  <c r="DQ111" i="39"/>
  <c r="DS113" i="39"/>
  <c r="DU126" i="39"/>
  <c r="DX127" i="39"/>
  <c r="DO140" i="39"/>
  <c r="DL148" i="39"/>
  <c r="EB152" i="39"/>
  <c r="DT156" i="39"/>
  <c r="DK159" i="39"/>
  <c r="DQ21" i="39"/>
  <c r="DP42" i="39"/>
  <c r="DI48" i="39"/>
  <c r="DM70" i="39"/>
  <c r="DP85" i="39"/>
  <c r="DJ91" i="39"/>
  <c r="DE108" i="39"/>
  <c r="DZ140" i="39"/>
  <c r="Y36" i="41"/>
  <c r="Y36" i="42"/>
  <c r="X36" i="43"/>
  <c r="DF38" i="39"/>
  <c r="DS12" i="39"/>
  <c r="DL15" i="39"/>
  <c r="DR16" i="39"/>
  <c r="DE32" i="39"/>
  <c r="EA32" i="39"/>
  <c r="DQ44" i="39"/>
  <c r="DU57" i="39"/>
  <c r="DR59" i="39"/>
  <c r="DT64" i="39"/>
  <c r="DO67" i="39"/>
  <c r="DR71" i="39"/>
  <c r="DI74" i="39"/>
  <c r="EB76" i="39"/>
  <c r="DM85" i="39"/>
  <c r="DL87" i="39"/>
  <c r="DO90" i="39"/>
  <c r="DH91" i="39"/>
  <c r="DU91" i="39"/>
  <c r="EA102" i="39"/>
  <c r="DS103" i="39"/>
  <c r="DH105" i="39"/>
  <c r="EA108" i="39"/>
  <c r="EA113" i="39"/>
  <c r="DQ115" i="39"/>
  <c r="DT120" i="39"/>
  <c r="DL121" i="39"/>
  <c r="DZ121" i="39"/>
  <c r="DE125" i="39"/>
  <c r="DM134" i="39"/>
  <c r="DY135" i="39"/>
  <c r="DX139" i="39"/>
  <c r="DN145" i="39"/>
  <c r="DS146" i="39"/>
  <c r="DT147" i="39"/>
  <c r="DR149" i="39"/>
  <c r="DH153" i="39"/>
  <c r="EA159" i="39"/>
  <c r="DJ160" i="39"/>
  <c r="DE46" i="39"/>
  <c r="DE48" i="39"/>
  <c r="DF59" i="39"/>
  <c r="DU59" i="39"/>
  <c r="DV67" i="39"/>
  <c r="DF97" i="39"/>
  <c r="DQ98" i="39"/>
  <c r="DT103" i="39"/>
  <c r="DT105" i="39"/>
  <c r="DE109" i="39"/>
  <c r="DO111" i="39"/>
  <c r="DE113" i="39"/>
  <c r="DX115" i="39"/>
  <c r="DM121" i="39"/>
  <c r="EA121" i="39"/>
  <c r="DR125" i="39"/>
  <c r="DV153" i="39"/>
  <c r="DQ156" i="39"/>
  <c r="DF162" i="39"/>
  <c r="DY16" i="39"/>
  <c r="DF30" i="39"/>
  <c r="DJ32" i="39"/>
  <c r="DK38" i="39"/>
  <c r="DL77" i="39"/>
  <c r="DS88" i="39"/>
  <c r="DJ97" i="39"/>
  <c r="DT98" i="39"/>
  <c r="DG103" i="39"/>
  <c r="DU103" i="39"/>
  <c r="DL162" i="39"/>
  <c r="DE30" i="39"/>
  <c r="DX8" i="39"/>
  <c r="DP32" i="39"/>
  <c r="DR38" i="39"/>
  <c r="DI40" i="39"/>
  <c r="DS41" i="39"/>
  <c r="DO46" i="39"/>
  <c r="DI47" i="39"/>
  <c r="DR48" i="39"/>
  <c r="DN62" i="39"/>
  <c r="DJ72" i="39"/>
  <c r="DU97" i="39"/>
  <c r="DH103" i="39"/>
  <c r="DW103" i="39"/>
  <c r="DL108" i="39"/>
  <c r="DW111" i="39"/>
  <c r="DM113" i="39"/>
  <c r="DQ117" i="39"/>
  <c r="DE121" i="39"/>
  <c r="DS121" i="39"/>
  <c r="DM123" i="39"/>
  <c r="DK135" i="39"/>
  <c r="DH139" i="39"/>
  <c r="DK140" i="39"/>
  <c r="DV156" i="39"/>
  <c r="DX37" i="39"/>
  <c r="DU38" i="39"/>
  <c r="DL40" i="39"/>
  <c r="DY41" i="39"/>
  <c r="DF44" i="39"/>
  <c r="DR46" i="39"/>
  <c r="DL47" i="39"/>
  <c r="DQ54" i="39"/>
  <c r="DO56" i="39"/>
  <c r="DT58" i="39"/>
  <c r="DN59" i="39"/>
  <c r="DO62" i="39"/>
  <c r="DQ68" i="39"/>
  <c r="DF70" i="39"/>
  <c r="DV72" i="39"/>
  <c r="DG73" i="39"/>
  <c r="EB74" i="39"/>
  <c r="DX89" i="39"/>
  <c r="DE91" i="39"/>
  <c r="DQ91" i="39"/>
  <c r="DV97" i="39"/>
  <c r="DK102" i="39"/>
  <c r="DL103" i="39"/>
  <c r="EB106" i="39"/>
  <c r="DR108" i="39"/>
  <c r="DR113" i="39"/>
  <c r="DI139" i="39"/>
  <c r="DX16" i="39"/>
  <c r="DY8" i="39"/>
  <c r="EB8" i="39"/>
  <c r="DJ16" i="39"/>
  <c r="DK21" i="39"/>
  <c r="DL24" i="39"/>
  <c r="DV32" i="39"/>
  <c r="EB38" i="39"/>
  <c r="DN40" i="39"/>
  <c r="EA41" i="39"/>
  <c r="DL44" i="39"/>
  <c r="DX46" i="39"/>
  <c r="DF53" i="39"/>
  <c r="DZ54" i="39"/>
  <c r="DQ59" i="39"/>
  <c r="DE63" i="39"/>
  <c r="DI66" i="39"/>
  <c r="DS68" i="39"/>
  <c r="DL70" i="39"/>
  <c r="DH76" i="39"/>
  <c r="DG85" i="39"/>
  <c r="DF90" i="39"/>
  <c r="DF91" i="39"/>
  <c r="DR91" i="39"/>
  <c r="DG115" i="39"/>
  <c r="DI121" i="39"/>
  <c r="DU121" i="39"/>
  <c r="DL134" i="39"/>
  <c r="DR135" i="39"/>
  <c r="DV139" i="39"/>
  <c r="DR140" i="39"/>
  <c r="DG145" i="39"/>
  <c r="DL146" i="39"/>
  <c r="DL151" i="39"/>
  <c r="DG155" i="39"/>
  <c r="DY159" i="39"/>
  <c r="M1" i="39"/>
  <c r="J15" i="1"/>
  <c r="X36" i="42"/>
  <c r="Y36" i="44"/>
  <c r="S33" i="18"/>
  <c r="R33" i="6" s="1"/>
  <c r="J31" i="6"/>
  <c r="AA31" i="6" s="1"/>
  <c r="B29" i="18"/>
  <c r="B35" i="18"/>
  <c r="Y25" i="5"/>
  <c r="Y28" i="5"/>
  <c r="Y30" i="5"/>
  <c r="M31" i="6"/>
  <c r="Y19" i="5"/>
  <c r="X20" i="5"/>
  <c r="Q28" i="5"/>
  <c r="T28" i="5" s="1"/>
  <c r="Q18" i="18"/>
  <c r="Q18" i="6" s="1"/>
  <c r="S25" i="5"/>
  <c r="S28" i="5"/>
  <c r="S30" i="5"/>
  <c r="P24" i="6"/>
  <c r="P36" i="6"/>
  <c r="EA12" i="39"/>
  <c r="DT15" i="39"/>
  <c r="DO18" i="39"/>
  <c r="DG19" i="39"/>
  <c r="DS19" i="39"/>
  <c r="X22" i="39"/>
  <c r="DL21" i="39"/>
  <c r="DM24" i="39"/>
  <c r="DO28" i="39"/>
  <c r="DF32" i="39"/>
  <c r="DQ32" i="39"/>
  <c r="EB32" i="39"/>
  <c r="DX35" i="39"/>
  <c r="DI38" i="39"/>
  <c r="DS38" i="39"/>
  <c r="DG40" i="39"/>
  <c r="DX40" i="39"/>
  <c r="DF41" i="39"/>
  <c r="DU41" i="39"/>
  <c r="DE42" i="39"/>
  <c r="DT42" i="39"/>
  <c r="DI44" i="39"/>
  <c r="DX44" i="39"/>
  <c r="DF45" i="39"/>
  <c r="DZ45" i="39"/>
  <c r="DQ46" i="39"/>
  <c r="DF48" i="39"/>
  <c r="DY52" i="39"/>
  <c r="DY53" i="39"/>
  <c r="DL54" i="39"/>
  <c r="EA54" i="39"/>
  <c r="EA58" i="39"/>
  <c r="DN58" i="39"/>
  <c r="DL58" i="39"/>
  <c r="DW58" i="39"/>
  <c r="DL61" i="39"/>
  <c r="DX15" i="39"/>
  <c r="DH19" i="39"/>
  <c r="DW19" i="39"/>
  <c r="DY35" i="39"/>
  <c r="DI42" i="39"/>
  <c r="DV42" i="39"/>
  <c r="DH45" i="39"/>
  <c r="EB65" i="39"/>
  <c r="DX65" i="39"/>
  <c r="DF65" i="39"/>
  <c r="DV65" i="39"/>
  <c r="DE65" i="39"/>
  <c r="DO65" i="39"/>
  <c r="Z24" i="34"/>
  <c r="BG48" i="31" s="1"/>
  <c r="H48" i="31" s="1"/>
  <c r="A48" i="31" s="1"/>
  <c r="DP8" i="39"/>
  <c r="DN10" i="39"/>
  <c r="DI12" i="39"/>
  <c r="DZ15" i="39"/>
  <c r="DK16" i="39"/>
  <c r="DW18" i="39"/>
  <c r="DI19" i="39"/>
  <c r="DX19" i="39"/>
  <c r="DW21" i="39"/>
  <c r="DG23" i="39"/>
  <c r="DY24" i="39"/>
  <c r="DL26" i="39"/>
  <c r="DG28" i="39"/>
  <c r="DU28" i="39"/>
  <c r="DL38" i="39"/>
  <c r="DW38" i="39"/>
  <c r="DJ42" i="39"/>
  <c r="DW42" i="39"/>
  <c r="DO44" i="39"/>
  <c r="DL45" i="39"/>
  <c r="DF46" i="39"/>
  <c r="DW46" i="39"/>
  <c r="DQ48" i="39"/>
  <c r="DF58" i="39"/>
  <c r="DX62" i="39"/>
  <c r="DL62" i="39"/>
  <c r="DZ62" i="39"/>
  <c r="DH62" i="39"/>
  <c r="DL65" i="39"/>
  <c r="DZ72" i="39"/>
  <c r="DQ72" i="39"/>
  <c r="DG72" i="39"/>
  <c r="DX72" i="39"/>
  <c r="DO72" i="39"/>
  <c r="DW72" i="39"/>
  <c r="DM72" i="39"/>
  <c r="DU72" i="39"/>
  <c r="DI72" i="39"/>
  <c r="DF72" i="39"/>
  <c r="DU80" i="39"/>
  <c r="DN80" i="39"/>
  <c r="DE80" i="39"/>
  <c r="DW80" i="39"/>
  <c r="DO80" i="39"/>
  <c r="DO82" i="39"/>
  <c r="DH82" i="39"/>
  <c r="DR10" i="39"/>
  <c r="DK12" i="39"/>
  <c r="X23" i="39"/>
  <c r="DF15" i="39"/>
  <c r="DQ16" i="39"/>
  <c r="DI18" i="39"/>
  <c r="DY18" i="39"/>
  <c r="DN19" i="39"/>
  <c r="DZ19" i="39"/>
  <c r="DE21" i="39"/>
  <c r="DX21" i="39"/>
  <c r="DO23" i="39"/>
  <c r="DF24" i="39"/>
  <c r="DW26" i="39"/>
  <c r="DL28" i="39"/>
  <c r="DV28" i="39"/>
  <c r="DW30" i="39"/>
  <c r="DL32" i="39"/>
  <c r="DW32" i="39"/>
  <c r="DS33" i="39"/>
  <c r="DK35" i="39"/>
  <c r="DQ37" i="39"/>
  <c r="Z38" i="39"/>
  <c r="DM38" i="39"/>
  <c r="DY38" i="39"/>
  <c r="DM41" i="39"/>
  <c r="EB41" i="39"/>
  <c r="DL42" i="39"/>
  <c r="DX42" i="39"/>
  <c r="DR45" i="39"/>
  <c r="DX54" i="39"/>
  <c r="DR54" i="39"/>
  <c r="DG54" i="39"/>
  <c r="DT54" i="39"/>
  <c r="DV57" i="39"/>
  <c r="DT57" i="39"/>
  <c r="DF57" i="39"/>
  <c r="DE57" i="39"/>
  <c r="DW60" i="39"/>
  <c r="DQ60" i="39"/>
  <c r="DI60" i="39"/>
  <c r="DG60" i="39"/>
  <c r="DN65" i="39"/>
  <c r="DT10" i="39"/>
  <c r="DR12" i="39"/>
  <c r="DG14" i="39"/>
  <c r="DH15" i="39"/>
  <c r="DK18" i="39"/>
  <c r="EA18" i="39"/>
  <c r="DO19" i="39"/>
  <c r="EA19" i="39"/>
  <c r="DF21" i="39"/>
  <c r="DV23" i="39"/>
  <c r="DG24" i="39"/>
  <c r="DX26" i="39"/>
  <c r="DM28" i="39"/>
  <c r="DY28" i="39"/>
  <c r="DX30" i="39"/>
  <c r="DO32" i="39"/>
  <c r="DX32" i="39"/>
  <c r="DQ35" i="39"/>
  <c r="DE38" i="39"/>
  <c r="DP38" i="39"/>
  <c r="EA38" i="39"/>
  <c r="DR41" i="39"/>
  <c r="DO42" i="39"/>
  <c r="EA42" i="39"/>
  <c r="DE44" i="39"/>
  <c r="DR44" i="39"/>
  <c r="DT45" i="39"/>
  <c r="DL46" i="39"/>
  <c r="EA46" i="39"/>
  <c r="DU48" i="39"/>
  <c r="DE50" i="39"/>
  <c r="DG52" i="39"/>
  <c r="EA53" i="39"/>
  <c r="DM53" i="39"/>
  <c r="DR53" i="39"/>
  <c r="DI54" i="39"/>
  <c r="DY54" i="39"/>
  <c r="DJ57" i="39"/>
  <c r="DN60" i="39"/>
  <c r="DL64" i="39"/>
  <c r="DU65" i="39"/>
  <c r="DP72" i="39"/>
  <c r="DG80" i="39"/>
  <c r="DV81" i="39"/>
  <c r="DJ81" i="39"/>
  <c r="DY14" i="39"/>
  <c r="DF19" i="39"/>
  <c r="DQ19" i="39"/>
  <c r="DK20" i="39"/>
  <c r="DN28" i="39"/>
  <c r="EB28" i="39"/>
  <c r="DR35" i="39"/>
  <c r="DU45" i="39"/>
  <c r="DU52" i="39"/>
  <c r="DN56" i="39"/>
  <c r="DL59" i="39"/>
  <c r="DV59" i="39"/>
  <c r="DG66" i="39"/>
  <c r="DL67" i="39"/>
  <c r="DO68" i="39"/>
  <c r="DE70" i="39"/>
  <c r="EA70" i="39"/>
  <c r="DH71" i="39"/>
  <c r="DP74" i="39"/>
  <c r="DG76" i="39"/>
  <c r="EA85" i="39"/>
  <c r="DK87" i="39"/>
  <c r="DX87" i="39"/>
  <c r="DN88" i="39"/>
  <c r="DQ89" i="39"/>
  <c r="DE90" i="39"/>
  <c r="DN90" i="39"/>
  <c r="DX90" i="39"/>
  <c r="DN91" i="39"/>
  <c r="DX91" i="39"/>
  <c r="DG96" i="39"/>
  <c r="DX96" i="39"/>
  <c r="DE97" i="39"/>
  <c r="DQ97" i="39"/>
  <c r="EB124" i="39"/>
  <c r="DW124" i="39"/>
  <c r="DU124" i="39"/>
  <c r="DR124" i="39"/>
  <c r="DO124" i="39"/>
  <c r="DF124" i="39"/>
  <c r="DE59" i="39"/>
  <c r="DO59" i="39"/>
  <c r="DZ59" i="39"/>
  <c r="DN66" i="39"/>
  <c r="DT67" i="39"/>
  <c r="DR69" i="39"/>
  <c r="DT74" i="39"/>
  <c r="DP76" i="39"/>
  <c r="DS84" i="39"/>
  <c r="DF86" i="39"/>
  <c r="EA86" i="39"/>
  <c r="DO87" i="39"/>
  <c r="EA87" i="39"/>
  <c r="DG90" i="39"/>
  <c r="DS90" i="39"/>
  <c r="DM96" i="39"/>
  <c r="DU101" i="39"/>
  <c r="DY102" i="39"/>
  <c r="DW102" i="39"/>
  <c r="DT102" i="39"/>
  <c r="DE102" i="39"/>
  <c r="DQ104" i="39"/>
  <c r="DQ66" i="39"/>
  <c r="DX69" i="39"/>
  <c r="DH74" i="39"/>
  <c r="DZ74" i="39"/>
  <c r="DS76" i="39"/>
  <c r="DU84" i="39"/>
  <c r="DH86" i="39"/>
  <c r="DQ87" i="39"/>
  <c r="DI90" i="39"/>
  <c r="DT90" i="39"/>
  <c r="DO96" i="39"/>
  <c r="DL97" i="39"/>
  <c r="DI102" i="39"/>
  <c r="DX110" i="39"/>
  <c r="DU116" i="39"/>
  <c r="DH116" i="39"/>
  <c r="EA116" i="39"/>
  <c r="DZ116" i="39"/>
  <c r="DR116" i="39"/>
  <c r="DJ116" i="39"/>
  <c r="DE87" i="39"/>
  <c r="DR87" i="39"/>
  <c r="DH89" i="39"/>
  <c r="DL90" i="39"/>
  <c r="DU90" i="39"/>
  <c r="DQ96" i="39"/>
  <c r="EB97" i="39"/>
  <c r="DR97" i="39"/>
  <c r="DH97" i="39"/>
  <c r="DN97" i="39"/>
  <c r="DZ97" i="39"/>
  <c r="DX98" i="39"/>
  <c r="DE98" i="39"/>
  <c r="DZ77" i="39"/>
  <c r="DO86" i="39"/>
  <c r="DH87" i="39"/>
  <c r="DV87" i="39"/>
  <c r="DE88" i="39"/>
  <c r="DO89" i="39"/>
  <c r="DM90" i="39"/>
  <c r="DW90" i="39"/>
  <c r="DE96" i="39"/>
  <c r="DU96" i="39"/>
  <c r="DO97" i="39"/>
  <c r="EA97" i="39"/>
  <c r="DI98" i="39"/>
  <c r="EB118" i="39"/>
  <c r="DE118" i="39"/>
  <c r="DV118" i="39"/>
  <c r="DH118" i="39"/>
  <c r="DN117" i="39"/>
  <c r="DF120" i="39"/>
  <c r="DK123" i="39"/>
  <c r="DK126" i="39"/>
  <c r="DY132" i="39"/>
  <c r="DL140" i="39"/>
  <c r="EA140" i="39"/>
  <c r="DV142" i="39"/>
  <c r="DZ143" i="39"/>
  <c r="DM145" i="39"/>
  <c r="DT146" i="39"/>
  <c r="DZ148" i="39"/>
  <c r="DS149" i="39"/>
  <c r="DJ156" i="39"/>
  <c r="DW159" i="39"/>
  <c r="DK161" i="39"/>
  <c r="DW163" i="39"/>
  <c r="DG142" i="39"/>
  <c r="DW142" i="39"/>
  <c r="DU161" i="39"/>
  <c r="DN106" i="39"/>
  <c r="DU117" i="39"/>
  <c r="DV120" i="39"/>
  <c r="DP123" i="39"/>
  <c r="DH125" i="39"/>
  <c r="DV125" i="39"/>
  <c r="DS134" i="39"/>
  <c r="DJ139" i="39"/>
  <c r="EB139" i="39"/>
  <c r="DJ142" i="39"/>
  <c r="DX142" i="39"/>
  <c r="DF150" i="39"/>
  <c r="DW161" i="39"/>
  <c r="DE103" i="39"/>
  <c r="DN103" i="39"/>
  <c r="DZ103" i="39"/>
  <c r="DI105" i="39"/>
  <c r="DO106" i="39"/>
  <c r="DK108" i="39"/>
  <c r="DL109" i="39"/>
  <c r="DI113" i="39"/>
  <c r="DU113" i="39"/>
  <c r="DH115" i="39"/>
  <c r="DZ117" i="39"/>
  <c r="DF121" i="39"/>
  <c r="DN121" i="39"/>
  <c r="DW121" i="39"/>
  <c r="DV123" i="39"/>
  <c r="DI125" i="39"/>
  <c r="DZ125" i="39"/>
  <c r="DJ130" i="39"/>
  <c r="DT134" i="39"/>
  <c r="DF135" i="39"/>
  <c r="DS135" i="39"/>
  <c r="DN139" i="39"/>
  <c r="DG140" i="39"/>
  <c r="DS140" i="39"/>
  <c r="DK142" i="39"/>
  <c r="DG150" i="39"/>
  <c r="DS154" i="39"/>
  <c r="DR155" i="39"/>
  <c r="DM159" i="39"/>
  <c r="DE163" i="39"/>
  <c r="DF103" i="39"/>
  <c r="DO103" i="39"/>
  <c r="EA103" i="39"/>
  <c r="DK113" i="39"/>
  <c r="DW113" i="39"/>
  <c r="DO115" i="39"/>
  <c r="DG117" i="39"/>
  <c r="DG121" i="39"/>
  <c r="DO121" i="39"/>
  <c r="DX121" i="39"/>
  <c r="DM122" i="39"/>
  <c r="DY123" i="39"/>
  <c r="DK125" i="39"/>
  <c r="EA125" i="39"/>
  <c r="DP130" i="39"/>
  <c r="DE134" i="39"/>
  <c r="EA134" i="39"/>
  <c r="DG135" i="39"/>
  <c r="DW135" i="39"/>
  <c r="DR139" i="39"/>
  <c r="DH140" i="39"/>
  <c r="DT140" i="39"/>
  <c r="DO142" i="39"/>
  <c r="DM146" i="39"/>
  <c r="DG148" i="39"/>
  <c r="DT150" i="39"/>
  <c r="EA151" i="39"/>
  <c r="DN152" i="39"/>
  <c r="DX155" i="39"/>
  <c r="DH156" i="39"/>
  <c r="DO159" i="39"/>
  <c r="DK163" i="39"/>
  <c r="DL117" i="39"/>
  <c r="DQ130" i="39"/>
  <c r="DG139" i="39"/>
  <c r="DQ142" i="39"/>
  <c r="DV150" i="39"/>
  <c r="DI156" i="39"/>
  <c r="DU159" i="39"/>
  <c r="DI161" i="39"/>
  <c r="DO163" i="39"/>
  <c r="Y31" i="5"/>
  <c r="B33" i="18"/>
  <c r="N33" i="6"/>
  <c r="Y36" i="43"/>
  <c r="S23" i="18"/>
  <c r="R23" i="6" s="1"/>
  <c r="B34" i="18"/>
  <c r="Q21" i="5"/>
  <c r="T21" i="5" s="1"/>
  <c r="Q26" i="5"/>
  <c r="T26" i="5" s="1"/>
  <c r="X29" i="5"/>
  <c r="Q31" i="5"/>
  <c r="T31" i="5" s="1"/>
  <c r="Y34" i="5"/>
  <c r="J18" i="6"/>
  <c r="AA18" i="6" s="1"/>
  <c r="N23" i="6"/>
  <c r="P35" i="6"/>
  <c r="Q16" i="18"/>
  <c r="Q16" i="6" s="1"/>
  <c r="Q25" i="18"/>
  <c r="Q25" i="6" s="1"/>
  <c r="Q34" i="18"/>
  <c r="Q34" i="6" s="1"/>
  <c r="S21" i="5"/>
  <c r="Y22" i="5"/>
  <c r="S31" i="5"/>
  <c r="J27" i="6"/>
  <c r="AA27" i="6" s="1"/>
  <c r="J33" i="6"/>
  <c r="AA33" i="6" s="1"/>
  <c r="J36" i="6"/>
  <c r="AA36" i="6" s="1"/>
  <c r="S17" i="18"/>
  <c r="R17" i="6" s="1"/>
  <c r="S26" i="18"/>
  <c r="R26" i="6" s="1"/>
  <c r="Q22" i="5"/>
  <c r="T22" i="5" s="1"/>
  <c r="Q34" i="5"/>
  <c r="T34" i="5" s="1"/>
  <c r="Q19" i="18"/>
  <c r="Q19" i="6" s="1"/>
  <c r="Q28" i="18"/>
  <c r="Q28" i="6" s="1"/>
  <c r="S22" i="5"/>
  <c r="Q29" i="5"/>
  <c r="T29" i="5" s="1"/>
  <c r="Q32" i="5"/>
  <c r="T32" i="5" s="1"/>
  <c r="S34" i="5"/>
  <c r="J30" i="6"/>
  <c r="AA30" i="6" s="1"/>
  <c r="CZ3" i="39"/>
  <c r="DA3" i="39" s="1"/>
  <c r="X36" i="44"/>
  <c r="S20" i="18"/>
  <c r="R20" i="6" s="1"/>
  <c r="S28" i="18"/>
  <c r="R28" i="6" s="1"/>
  <c r="T32" i="18"/>
  <c r="T35" i="18"/>
  <c r="S19" i="5"/>
  <c r="Y21" i="5"/>
  <c r="O35" i="5"/>
  <c r="U39" i="5" s="1"/>
  <c r="BG60" i="31" s="1"/>
  <c r="G60" i="31" s="1"/>
  <c r="Q25" i="5"/>
  <c r="T25" i="5" s="1"/>
  <c r="X26" i="5"/>
  <c r="Q30" i="5"/>
  <c r="T30" i="5" s="1"/>
  <c r="N17" i="6"/>
  <c r="J21" i="6"/>
  <c r="AA21" i="6" s="1"/>
  <c r="DE9" i="39"/>
  <c r="DQ9" i="39"/>
  <c r="DH11" i="39"/>
  <c r="DR11" i="39"/>
  <c r="DZ11" i="39"/>
  <c r="DI14" i="39"/>
  <c r="EA14" i="39"/>
  <c r="P15" i="38"/>
  <c r="DJ8" i="39"/>
  <c r="DV8" i="39"/>
  <c r="DP9" i="39"/>
  <c r="EB9" i="39"/>
  <c r="DL10" i="39"/>
  <c r="DG11" i="39"/>
  <c r="DP11" i="39"/>
  <c r="DY11" i="39"/>
  <c r="DG12" i="39"/>
  <c r="DQ12" i="39"/>
  <c r="DY12" i="39"/>
  <c r="DU14" i="39"/>
  <c r="DI16" i="39"/>
  <c r="DP16" i="39"/>
  <c r="DW16" i="39"/>
  <c r="DF23" i="39"/>
  <c r="DM23" i="39"/>
  <c r="DU23" i="39"/>
  <c r="EB23" i="39"/>
  <c r="DJ26" i="39"/>
  <c r="DV26" i="39"/>
  <c r="DT30" i="39"/>
  <c r="DZ50" i="39"/>
  <c r="DS50" i="39"/>
  <c r="DK50" i="39"/>
  <c r="EA50" i="39"/>
  <c r="DR50" i="39"/>
  <c r="DI50" i="39"/>
  <c r="DY50" i="39"/>
  <c r="DQ50" i="39"/>
  <c r="DG50" i="39"/>
  <c r="DX50" i="39"/>
  <c r="DO50" i="39"/>
  <c r="DF50" i="39"/>
  <c r="DU50" i="39"/>
  <c r="DL50" i="39"/>
  <c r="DM50" i="39"/>
  <c r="DI23" i="39"/>
  <c r="DP23" i="39"/>
  <c r="DW23" i="39"/>
  <c r="DI29" i="39"/>
  <c r="DZ33" i="39"/>
  <c r="DX33" i="39"/>
  <c r="DF33" i="39"/>
  <c r="DY33" i="39"/>
  <c r="DY36" i="39"/>
  <c r="DW36" i="39"/>
  <c r="EB55" i="39"/>
  <c r="DH55" i="39"/>
  <c r="EA55" i="39"/>
  <c r="DE55" i="39"/>
  <c r="DV55" i="39"/>
  <c r="DT55" i="39"/>
  <c r="DL55" i="39"/>
  <c r="X6" i="39"/>
  <c r="DH9" i="39"/>
  <c r="DT9" i="39"/>
  <c r="DJ11" i="39"/>
  <c r="DS11" i="39"/>
  <c r="EB11" i="39"/>
  <c r="DN6" i="39"/>
  <c r="DJ9" i="39"/>
  <c r="DV9" i="39"/>
  <c r="DL11" i="39"/>
  <c r="DT11" i="39"/>
  <c r="DL12" i="39"/>
  <c r="DU12" i="39"/>
  <c r="DM14" i="39"/>
  <c r="DE16" i="39"/>
  <c r="DL16" i="39"/>
  <c r="DS16" i="39"/>
  <c r="EA16" i="39"/>
  <c r="DR20" i="39"/>
  <c r="DJ23" i="39"/>
  <c r="DQ23" i="39"/>
  <c r="DX23" i="39"/>
  <c r="DP26" i="39"/>
  <c r="EB26" i="39"/>
  <c r="DO29" i="39"/>
  <c r="DL30" i="39"/>
  <c r="DG33" i="39"/>
  <c r="DP36" i="39"/>
  <c r="DV39" i="39"/>
  <c r="DW39" i="39"/>
  <c r="DN47" i="39"/>
  <c r="DF8" i="39"/>
  <c r="DR8" i="39"/>
  <c r="DK9" i="39"/>
  <c r="DW9" i="39"/>
  <c r="DF10" i="39"/>
  <c r="DX10" i="39"/>
  <c r="DM11" i="39"/>
  <c r="DV11" i="39"/>
  <c r="DE12" i="39"/>
  <c r="DM12" i="39"/>
  <c r="DW12" i="39"/>
  <c r="DO14" i="39"/>
  <c r="DN15" i="39"/>
  <c r="X15" i="39"/>
  <c r="DF16" i="39"/>
  <c r="DM16" i="39"/>
  <c r="DU16" i="39"/>
  <c r="EB16" i="39"/>
  <c r="DE18" i="39"/>
  <c r="DQ18" i="39"/>
  <c r="DL19" i="39"/>
  <c r="DT19" i="39"/>
  <c r="EA20" i="39"/>
  <c r="DR21" i="39"/>
  <c r="X12" i="39"/>
  <c r="DK23" i="39"/>
  <c r="DR23" i="39"/>
  <c r="DY23" i="39"/>
  <c r="DR24" i="39"/>
  <c r="DE26" i="39"/>
  <c r="DQ26" i="39"/>
  <c r="DH28" i="39"/>
  <c r="DR28" i="39"/>
  <c r="DZ28" i="39"/>
  <c r="DW29" i="39"/>
  <c r="DM30" i="39"/>
  <c r="DK32" i="39"/>
  <c r="DU32" i="39"/>
  <c r="DL33" i="39"/>
  <c r="DQ36" i="39"/>
  <c r="DI39" i="39"/>
  <c r="W22" i="34"/>
  <c r="DZ6" i="39"/>
  <c r="X24" i="34"/>
  <c r="BG46" i="31" s="1"/>
  <c r="H46" i="31" s="1"/>
  <c r="A46" i="31" s="1"/>
  <c r="DG8" i="39"/>
  <c r="DS8" i="39"/>
  <c r="DN9" i="39"/>
  <c r="DZ9" i="39"/>
  <c r="DH10" i="39"/>
  <c r="DZ10" i="39"/>
  <c r="DF11" i="39"/>
  <c r="DN11" i="39"/>
  <c r="DX11" i="39"/>
  <c r="DF12" i="39"/>
  <c r="DO12" i="39"/>
  <c r="DX12" i="39"/>
  <c r="DS14" i="39"/>
  <c r="DR15" i="39"/>
  <c r="DG16" i="39"/>
  <c r="DO16" i="39"/>
  <c r="DV16" i="39"/>
  <c r="DG18" i="39"/>
  <c r="DS18" i="39"/>
  <c r="DE19" i="39"/>
  <c r="DM19" i="39"/>
  <c r="DE23" i="39"/>
  <c r="DL23" i="39"/>
  <c r="DS23" i="39"/>
  <c r="EA23" i="39"/>
  <c r="DS24" i="39"/>
  <c r="X26" i="39"/>
  <c r="DF26" i="39"/>
  <c r="DR26" i="39"/>
  <c r="DJ28" i="39"/>
  <c r="DS28" i="39"/>
  <c r="X30" i="39"/>
  <c r="DN30" i="39"/>
  <c r="DM33" i="39"/>
  <c r="DP39" i="39"/>
  <c r="DT47" i="39"/>
  <c r="DX47" i="39"/>
  <c r="DF47" i="39"/>
  <c r="DU47" i="39"/>
  <c r="DR47" i="39"/>
  <c r="DO55" i="39"/>
  <c r="DQ63" i="39"/>
  <c r="DI64" i="39"/>
  <c r="DS64" i="39"/>
  <c r="EA64" i="39"/>
  <c r="DW75" i="39"/>
  <c r="DK77" i="39"/>
  <c r="DY77" i="39"/>
  <c r="DV79" i="39"/>
  <c r="DW92" i="39"/>
  <c r="EA92" i="39"/>
  <c r="DQ92" i="39"/>
  <c r="DF92" i="39"/>
  <c r="DZ92" i="39"/>
  <c r="DN92" i="39"/>
  <c r="DE92" i="39"/>
  <c r="DX92" i="39"/>
  <c r="DM92" i="39"/>
  <c r="DT92" i="39"/>
  <c r="DI92" i="39"/>
  <c r="EB93" i="39"/>
  <c r="DV93" i="39"/>
  <c r="DK93" i="39"/>
  <c r="DT93" i="39"/>
  <c r="DJ93" i="39"/>
  <c r="DR93" i="39"/>
  <c r="DH93" i="39"/>
  <c r="EA93" i="39"/>
  <c r="DQ93" i="39"/>
  <c r="DE93" i="39"/>
  <c r="DX93" i="39"/>
  <c r="DL93" i="39"/>
  <c r="DO93" i="39"/>
  <c r="DW94" i="39"/>
  <c r="DQ94" i="39"/>
  <c r="DI94" i="39"/>
  <c r="DG94" i="39"/>
  <c r="DX94" i="39"/>
  <c r="EB95" i="39"/>
  <c r="DV95" i="39"/>
  <c r="DO95" i="39"/>
  <c r="DH95" i="39"/>
  <c r="DI52" i="39"/>
  <c r="EA52" i="39"/>
  <c r="DE56" i="39"/>
  <c r="DS56" i="39"/>
  <c r="DO61" i="39"/>
  <c r="DF63" i="39"/>
  <c r="DU63" i="39"/>
  <c r="DE64" i="39"/>
  <c r="DM64" i="39"/>
  <c r="DU64" i="39"/>
  <c r="DZ69" i="39"/>
  <c r="DG70" i="39"/>
  <c r="DO70" i="39"/>
  <c r="DV70" i="39"/>
  <c r="DM74" i="39"/>
  <c r="DU74" i="39"/>
  <c r="DI76" i="39"/>
  <c r="DU76" i="39"/>
  <c r="DM77" i="39"/>
  <c r="EB77" i="39"/>
  <c r="DH80" i="39"/>
  <c r="DP80" i="39"/>
  <c r="DZ80" i="39"/>
  <c r="EB84" i="39"/>
  <c r="DL92" i="39"/>
  <c r="DG38" i="39"/>
  <c r="DO38" i="39"/>
  <c r="DV38" i="39"/>
  <c r="DE40" i="39"/>
  <c r="DS40" i="39"/>
  <c r="DG41" i="39"/>
  <c r="DO41" i="39"/>
  <c r="DV41" i="39"/>
  <c r="DH42" i="39"/>
  <c r="DQ42" i="39"/>
  <c r="DK44" i="39"/>
  <c r="DW44" i="39"/>
  <c r="DI45" i="39"/>
  <c r="DX45" i="39"/>
  <c r="DI46" i="39"/>
  <c r="DU46" i="39"/>
  <c r="DK48" i="39"/>
  <c r="DW48" i="39"/>
  <c r="DM52" i="39"/>
  <c r="DG53" i="39"/>
  <c r="DS53" i="39"/>
  <c r="DE54" i="39"/>
  <c r="DM54" i="39"/>
  <c r="DU54" i="39"/>
  <c r="DG56" i="39"/>
  <c r="DU56" i="39"/>
  <c r="DL57" i="39"/>
  <c r="EA57" i="39"/>
  <c r="DG58" i="39"/>
  <c r="DO58" i="39"/>
  <c r="DX58" i="39"/>
  <c r="DU60" i="39"/>
  <c r="DT61" i="39"/>
  <c r="DE62" i="39"/>
  <c r="DS62" i="39"/>
  <c r="DJ63" i="39"/>
  <c r="DX63" i="39"/>
  <c r="DF64" i="39"/>
  <c r="DN64" i="39"/>
  <c r="DW64" i="39"/>
  <c r="DH65" i="39"/>
  <c r="DQ65" i="39"/>
  <c r="DZ65" i="39"/>
  <c r="DE67" i="39"/>
  <c r="EA67" i="39"/>
  <c r="DH68" i="39"/>
  <c r="DV68" i="39"/>
  <c r="DH69" i="39"/>
  <c r="DI70" i="39"/>
  <c r="DP70" i="39"/>
  <c r="DW70" i="39"/>
  <c r="DZ71" i="39"/>
  <c r="DK72" i="39"/>
  <c r="DR72" i="39"/>
  <c r="DY72" i="39"/>
  <c r="DS73" i="39"/>
  <c r="DE74" i="39"/>
  <c r="DN74" i="39"/>
  <c r="DV74" i="39"/>
  <c r="DK76" i="39"/>
  <c r="DV76" i="39"/>
  <c r="DR77" i="39"/>
  <c r="DI80" i="39"/>
  <c r="DS80" i="39"/>
  <c r="EA80" i="39"/>
  <c r="DS92" i="39"/>
  <c r="DI41" i="39"/>
  <c r="DP41" i="39"/>
  <c r="DW41" i="39"/>
  <c r="DL48" i="39"/>
  <c r="DX48" i="39"/>
  <c r="DO52" i="39"/>
  <c r="DJ53" i="39"/>
  <c r="DV53" i="39"/>
  <c r="DF54" i="39"/>
  <c r="DN54" i="39"/>
  <c r="DH56" i="39"/>
  <c r="DW56" i="39"/>
  <c r="DN57" i="39"/>
  <c r="EB57" i="39"/>
  <c r="DH58" i="39"/>
  <c r="DQ58" i="39"/>
  <c r="DZ58" i="39"/>
  <c r="DK59" i="39"/>
  <c r="DT59" i="39"/>
  <c r="DX60" i="39"/>
  <c r="DV61" i="39"/>
  <c r="DG62" i="39"/>
  <c r="DU62" i="39"/>
  <c r="DL63" i="39"/>
  <c r="EA63" i="39"/>
  <c r="DG64" i="39"/>
  <c r="DO64" i="39"/>
  <c r="DX64" i="39"/>
  <c r="DJ65" i="39"/>
  <c r="DR65" i="39"/>
  <c r="EA65" i="39"/>
  <c r="DU66" i="39"/>
  <c r="DH67" i="39"/>
  <c r="DJ68" i="39"/>
  <c r="DY68" i="39"/>
  <c r="DJ69" i="39"/>
  <c r="DJ70" i="39"/>
  <c r="DQ70" i="39"/>
  <c r="DX70" i="39"/>
  <c r="DE72" i="39"/>
  <c r="DL72" i="39"/>
  <c r="DS72" i="39"/>
  <c r="EA72" i="39"/>
  <c r="DG74" i="39"/>
  <c r="DO74" i="39"/>
  <c r="DN76" i="39"/>
  <c r="DW76" i="39"/>
  <c r="DE77" i="39"/>
  <c r="DS77" i="39"/>
  <c r="DG79" i="39"/>
  <c r="DK80" i="39"/>
  <c r="DT80" i="39"/>
  <c r="EB80" i="39"/>
  <c r="DU92" i="39"/>
  <c r="DJ35" i="39"/>
  <c r="DI37" i="39"/>
  <c r="DJ38" i="39"/>
  <c r="DQ38" i="39"/>
  <c r="DX38" i="39"/>
  <c r="DJ41" i="39"/>
  <c r="DQ41" i="39"/>
  <c r="DX41" i="39"/>
  <c r="DO48" i="39"/>
  <c r="EA48" i="39"/>
  <c r="DS52" i="39"/>
  <c r="DL56" i="39"/>
  <c r="DZ56" i="39"/>
  <c r="DQ57" i="39"/>
  <c r="DI58" i="39"/>
  <c r="DS58" i="39"/>
  <c r="DE61" i="39"/>
  <c r="EA61" i="39"/>
  <c r="DN63" i="39"/>
  <c r="EB63" i="39"/>
  <c r="DH64" i="39"/>
  <c r="DQ64" i="39"/>
  <c r="DK65" i="39"/>
  <c r="DT65" i="39"/>
  <c r="DO69" i="39"/>
  <c r="DK70" i="39"/>
  <c r="DR70" i="39"/>
  <c r="DY70" i="39"/>
  <c r="DH75" i="39"/>
  <c r="DO76" i="39"/>
  <c r="DZ76" i="39"/>
  <c r="DF77" i="39"/>
  <c r="DT77" i="39"/>
  <c r="DN79" i="39"/>
  <c r="DM80" i="39"/>
  <c r="DV84" i="39"/>
  <c r="EA84" i="39"/>
  <c r="DP84" i="39"/>
  <c r="DE84" i="39"/>
  <c r="DZ84" i="39"/>
  <c r="DN84" i="39"/>
  <c r="DW84" i="39"/>
  <c r="DM84" i="39"/>
  <c r="DT84" i="39"/>
  <c r="DI84" i="39"/>
  <c r="DK84" i="39"/>
  <c r="DX100" i="39"/>
  <c r="DQ100" i="39"/>
  <c r="DE100" i="39"/>
  <c r="DF85" i="39"/>
  <c r="DS85" i="39"/>
  <c r="DG86" i="39"/>
  <c r="DN86" i="39"/>
  <c r="DU86" i="39"/>
  <c r="DJ87" i="39"/>
  <c r="DT87" i="39"/>
  <c r="DQ88" i="39"/>
  <c r="DJ89" i="39"/>
  <c r="DH90" i="39"/>
  <c r="DQ90" i="39"/>
  <c r="DK91" i="39"/>
  <c r="DT91" i="39"/>
  <c r="DF96" i="39"/>
  <c r="DN96" i="39"/>
  <c r="DW96" i="39"/>
  <c r="DK97" i="39"/>
  <c r="DT97" i="39"/>
  <c r="DZ98" i="39"/>
  <c r="DP101" i="39"/>
  <c r="EA106" i="39"/>
  <c r="DU106" i="39"/>
  <c r="DF106" i="39"/>
  <c r="DV106" i="39"/>
  <c r="DH106" i="39"/>
  <c r="DZ106" i="39"/>
  <c r="EA107" i="39"/>
  <c r="DI85" i="39"/>
  <c r="DU85" i="39"/>
  <c r="DI86" i="39"/>
  <c r="DQ86" i="39"/>
  <c r="DX86" i="39"/>
  <c r="DG88" i="39"/>
  <c r="DU88" i="39"/>
  <c r="EB101" i="39"/>
  <c r="DX81" i="39"/>
  <c r="DL85" i="39"/>
  <c r="DK86" i="39"/>
  <c r="DR86" i="39"/>
  <c r="DY86" i="39"/>
  <c r="DI88" i="39"/>
  <c r="DX88" i="39"/>
  <c r="DV89" i="39"/>
  <c r="DI96" i="39"/>
  <c r="DS96" i="39"/>
  <c r="EA96" i="39"/>
  <c r="DU105" i="39"/>
  <c r="EA105" i="39"/>
  <c r="DM105" i="39"/>
  <c r="DO105" i="39"/>
  <c r="DF105" i="39"/>
  <c r="DX105" i="39"/>
  <c r="EA112" i="39"/>
  <c r="DO112" i="39"/>
  <c r="DN112" i="39"/>
  <c r="DV112" i="39"/>
  <c r="DU112" i="39"/>
  <c r="DH112" i="39"/>
  <c r="DW119" i="39"/>
  <c r="DV119" i="39"/>
  <c r="DK119" i="39"/>
  <c r="DT119" i="39"/>
  <c r="DJ119" i="39"/>
  <c r="DS119" i="39"/>
  <c r="DH119" i="39"/>
  <c r="DZ119" i="39"/>
  <c r="DO119" i="39"/>
  <c r="DY119" i="39"/>
  <c r="DM119" i="39"/>
  <c r="DE119" i="39"/>
  <c r="DE86" i="39"/>
  <c r="DL86" i="39"/>
  <c r="DS86" i="39"/>
  <c r="DZ86" i="39"/>
  <c r="DL88" i="39"/>
  <c r="DZ88" i="39"/>
  <c r="DL96" i="39"/>
  <c r="DF101" i="39"/>
  <c r="DX107" i="39"/>
  <c r="DT107" i="39"/>
  <c r="DN107" i="39"/>
  <c r="DU107" i="39"/>
  <c r="DG107" i="39"/>
  <c r="EB112" i="39"/>
  <c r="DQ119" i="39"/>
  <c r="DN101" i="39"/>
  <c r="DJ104" i="39"/>
  <c r="DI104" i="39"/>
  <c r="DP104" i="39"/>
  <c r="DM107" i="39"/>
  <c r="DS102" i="39"/>
  <c r="DK103" i="39"/>
  <c r="DR103" i="39"/>
  <c r="DZ108" i="39"/>
  <c r="DQ110" i="39"/>
  <c r="DI111" i="39"/>
  <c r="DG113" i="39"/>
  <c r="DQ113" i="39"/>
  <c r="DY113" i="39"/>
  <c r="DE115" i="39"/>
  <c r="DM115" i="39"/>
  <c r="DU115" i="39"/>
  <c r="DE116" i="39"/>
  <c r="DN116" i="39"/>
  <c r="DV116" i="39"/>
  <c r="DI117" i="39"/>
  <c r="DX117" i="39"/>
  <c r="DO118" i="39"/>
  <c r="DF122" i="39"/>
  <c r="DZ123" i="39"/>
  <c r="DS123" i="39"/>
  <c r="DG123" i="39"/>
  <c r="EB123" i="39"/>
  <c r="DY126" i="39"/>
  <c r="DO126" i="39"/>
  <c r="DG126" i="39"/>
  <c r="DG127" i="39"/>
  <c r="DL128" i="39"/>
  <c r="DX128" i="39"/>
  <c r="DG130" i="39"/>
  <c r="DV130" i="39"/>
  <c r="DV137" i="39"/>
  <c r="EA137" i="39"/>
  <c r="DO137" i="39"/>
  <c r="DE137" i="39"/>
  <c r="DF115" i="39"/>
  <c r="DN115" i="39"/>
  <c r="DW115" i="39"/>
  <c r="DF116" i="39"/>
  <c r="DO116" i="39"/>
  <c r="DX116" i="39"/>
  <c r="DQ118" i="39"/>
  <c r="DX120" i="39"/>
  <c r="EA120" i="39"/>
  <c r="DM120" i="39"/>
  <c r="DR120" i="39"/>
  <c r="DO128" i="39"/>
  <c r="DI130" i="39"/>
  <c r="EA128" i="39"/>
  <c r="DT128" i="39"/>
  <c r="DM128" i="39"/>
  <c r="DF128" i="39"/>
  <c r="DU128" i="39"/>
  <c r="DN128" i="39"/>
  <c r="DG128" i="39"/>
  <c r="DE128" i="39"/>
  <c r="DQ128" i="39"/>
  <c r="DZ128" i="39"/>
  <c r="DJ132" i="39"/>
  <c r="DY134" i="39"/>
  <c r="DO134" i="39"/>
  <c r="DH134" i="39"/>
  <c r="DW134" i="39"/>
  <c r="DN134" i="39"/>
  <c r="DG134" i="39"/>
  <c r="DZ134" i="39"/>
  <c r="DR134" i="39"/>
  <c r="DI134" i="39"/>
  <c r="DF134" i="39"/>
  <c r="DU134" i="39"/>
  <c r="DX122" i="39"/>
  <c r="DT122" i="39"/>
  <c r="DP122" i="39"/>
  <c r="DH128" i="39"/>
  <c r="DR128" i="39"/>
  <c r="DS109" i="39"/>
  <c r="DX111" i="39"/>
  <c r="DI115" i="39"/>
  <c r="DS115" i="39"/>
  <c r="EA115" i="39"/>
  <c r="DK116" i="39"/>
  <c r="DT116" i="39"/>
  <c r="EB116" i="39"/>
  <c r="DE117" i="39"/>
  <c r="DS117" i="39"/>
  <c r="DJ118" i="39"/>
  <c r="DX118" i="39"/>
  <c r="DH120" i="39"/>
  <c r="DY120" i="39"/>
  <c r="DW122" i="39"/>
  <c r="EB127" i="39"/>
  <c r="DL127" i="39"/>
  <c r="DO127" i="39"/>
  <c r="DI128" i="39"/>
  <c r="DS128" i="39"/>
  <c r="DY129" i="39"/>
  <c r="DQ129" i="39"/>
  <c r="DV129" i="39"/>
  <c r="DR131" i="39"/>
  <c r="DH131" i="39"/>
  <c r="DK131" i="39"/>
  <c r="DV131" i="39"/>
  <c r="DP102" i="39"/>
  <c r="DI103" i="39"/>
  <c r="DQ103" i="39"/>
  <c r="DX103" i="39"/>
  <c r="DZ109" i="39"/>
  <c r="DJ110" i="39"/>
  <c r="DH111" i="39"/>
  <c r="DF113" i="39"/>
  <c r="DO113" i="39"/>
  <c r="DX113" i="39"/>
  <c r="DL115" i="39"/>
  <c r="DL116" i="39"/>
  <c r="DL118" i="39"/>
  <c r="EA118" i="39"/>
  <c r="DJ120" i="39"/>
  <c r="EB122" i="39"/>
  <c r="DK128" i="39"/>
  <c r="DW128" i="39"/>
  <c r="DG129" i="39"/>
  <c r="EB130" i="39"/>
  <c r="DW130" i="39"/>
  <c r="DK130" i="39"/>
  <c r="DX130" i="39"/>
  <c r="DO130" i="39"/>
  <c r="DR130" i="39"/>
  <c r="DZ131" i="39"/>
  <c r="DK121" i="39"/>
  <c r="DR121" i="39"/>
  <c r="DI124" i="39"/>
  <c r="EA124" i="39"/>
  <c r="DP125" i="39"/>
  <c r="EB125" i="39"/>
  <c r="DL133" i="39"/>
  <c r="DN135" i="39"/>
  <c r="DZ135" i="39"/>
  <c r="EA139" i="39"/>
  <c r="DY139" i="39"/>
  <c r="DO139" i="39"/>
  <c r="DP139" i="39"/>
  <c r="DF140" i="39"/>
  <c r="DN140" i="39"/>
  <c r="DF146" i="39"/>
  <c r="DL149" i="39"/>
  <c r="DM136" i="39"/>
  <c r="DR136" i="39"/>
  <c r="DY136" i="39"/>
  <c r="DX143" i="39"/>
  <c r="DJ143" i="39"/>
  <c r="DU149" i="39"/>
  <c r="DN149" i="39"/>
  <c r="DG149" i="39"/>
  <c r="EA149" i="39"/>
  <c r="DT149" i="39"/>
  <c r="DM149" i="39"/>
  <c r="DF149" i="39"/>
  <c r="DX149" i="39"/>
  <c r="DQ149" i="39"/>
  <c r="DI149" i="39"/>
  <c r="DW149" i="39"/>
  <c r="DO149" i="39"/>
  <c r="DH149" i="39"/>
  <c r="DE149" i="39"/>
  <c r="DZ149" i="39"/>
  <c r="DU140" i="39"/>
  <c r="DX140" i="39"/>
  <c r="DQ140" i="39"/>
  <c r="DI140" i="39"/>
  <c r="DE140" i="39"/>
  <c r="DM140" i="39"/>
  <c r="DW140" i="39"/>
  <c r="DQ143" i="39"/>
  <c r="EB146" i="39"/>
  <c r="DW146" i="39"/>
  <c r="DO146" i="39"/>
  <c r="DH146" i="39"/>
  <c r="DU146" i="39"/>
  <c r="DN146" i="39"/>
  <c r="DG146" i="39"/>
  <c r="DY146" i="39"/>
  <c r="DR146" i="39"/>
  <c r="DK146" i="39"/>
  <c r="DX146" i="39"/>
  <c r="DQ146" i="39"/>
  <c r="DI146" i="39"/>
  <c r="DE146" i="39"/>
  <c r="DZ146" i="39"/>
  <c r="DK149" i="39"/>
  <c r="DI142" i="39"/>
  <c r="DR142" i="39"/>
  <c r="DF145" i="39"/>
  <c r="EA145" i="39"/>
  <c r="DN150" i="39"/>
  <c r="DH152" i="39"/>
  <c r="DV152" i="39"/>
  <c r="DP153" i="39"/>
  <c r="DL154" i="39"/>
  <c r="DP155" i="39"/>
  <c r="DE156" i="39"/>
  <c r="DP156" i="39"/>
  <c r="EA156" i="39"/>
  <c r="DM157" i="39"/>
  <c r="DY157" i="39"/>
  <c r="DE161" i="39"/>
  <c r="DQ161" i="39"/>
  <c r="DE150" i="39"/>
  <c r="DS150" i="39"/>
  <c r="DL152" i="39"/>
  <c r="EA152" i="39"/>
  <c r="DQ153" i="39"/>
  <c r="DN154" i="39"/>
  <c r="DQ155" i="39"/>
  <c r="DO157" i="39"/>
  <c r="DZ157" i="39"/>
  <c r="DG161" i="39"/>
  <c r="DS161" i="39"/>
  <c r="DI163" i="39"/>
  <c r="EA163" i="39"/>
  <c r="DE157" i="39"/>
  <c r="DQ157" i="39"/>
  <c r="EA157" i="39"/>
  <c r="DO152" i="39"/>
  <c r="DI153" i="39"/>
  <c r="DW153" i="39"/>
  <c r="DV154" i="39"/>
  <c r="DH157" i="39"/>
  <c r="DS157" i="39"/>
  <c r="DO158" i="39"/>
  <c r="DP142" i="39"/>
  <c r="DY142" i="39"/>
  <c r="DT145" i="39"/>
  <c r="DU148" i="39"/>
  <c r="DL150" i="39"/>
  <c r="DZ150" i="39"/>
  <c r="DE152" i="39"/>
  <c r="DT152" i="39"/>
  <c r="DJ153" i="39"/>
  <c r="DY153" i="39"/>
  <c r="DE154" i="39"/>
  <c r="DW154" i="39"/>
  <c r="DI155" i="39"/>
  <c r="DY155" i="39"/>
  <c r="DL156" i="39"/>
  <c r="DW156" i="39"/>
  <c r="DJ157" i="39"/>
  <c r="DT157" i="39"/>
  <c r="DZ158" i="39"/>
  <c r="DE159" i="39"/>
  <c r="DQ159" i="39"/>
  <c r="EB160" i="39"/>
  <c r="DM161" i="39"/>
  <c r="DY161" i="39"/>
  <c r="DX162" i="39"/>
  <c r="DQ163" i="39"/>
  <c r="DM150" i="39"/>
  <c r="EB150" i="39"/>
  <c r="DF152" i="39"/>
  <c r="DU152" i="39"/>
  <c r="DO153" i="39"/>
  <c r="DK154" i="39"/>
  <c r="DJ155" i="39"/>
  <c r="EA155" i="39"/>
  <c r="DO156" i="39"/>
  <c r="DX156" i="39"/>
  <c r="DK157" i="39"/>
  <c r="DV157" i="39"/>
  <c r="DG159" i="39"/>
  <c r="DS159" i="39"/>
  <c r="DO161" i="39"/>
  <c r="DU163" i="39"/>
  <c r="R16" i="6"/>
  <c r="S18" i="18"/>
  <c r="R18" i="6" s="1"/>
  <c r="B20" i="18"/>
  <c r="S21" i="18"/>
  <c r="R21" i="6" s="1"/>
  <c r="B26" i="18"/>
  <c r="S27" i="18"/>
  <c r="R27" i="6" s="1"/>
  <c r="S29" i="18"/>
  <c r="R29" i="6" s="1"/>
  <c r="T34" i="18"/>
  <c r="M35" i="6"/>
  <c r="Q35" i="18"/>
  <c r="Q35" i="6" s="1"/>
  <c r="Q24" i="5"/>
  <c r="T24" i="5" s="1"/>
  <c r="Y24" i="5"/>
  <c r="Y26" i="5"/>
  <c r="Q33" i="5"/>
  <c r="T33" i="5" s="1"/>
  <c r="Y33" i="5"/>
  <c r="P16" i="6"/>
  <c r="M18" i="6"/>
  <c r="P19" i="6"/>
  <c r="J20" i="6"/>
  <c r="AA20" i="6" s="1"/>
  <c r="N27" i="6"/>
  <c r="P30" i="6"/>
  <c r="CW3" i="39"/>
  <c r="CX3" i="39" s="1"/>
  <c r="Q17" i="18"/>
  <c r="Q17" i="6" s="1"/>
  <c r="Q20" i="18"/>
  <c r="Q20" i="6" s="1"/>
  <c r="Q23" i="18"/>
  <c r="Q23" i="6" s="1"/>
  <c r="T24" i="18"/>
  <c r="Q26" i="18"/>
  <c r="Q26" i="6" s="1"/>
  <c r="B28" i="18"/>
  <c r="T29" i="18"/>
  <c r="S31" i="18"/>
  <c r="R31" i="6" s="1"/>
  <c r="Q33" i="18"/>
  <c r="Q33" i="6" s="1"/>
  <c r="X23" i="5"/>
  <c r="S24" i="5"/>
  <c r="X32" i="5"/>
  <c r="S33" i="5"/>
  <c r="J17" i="6"/>
  <c r="AA17" i="6" s="1"/>
  <c r="N18" i="6"/>
  <c r="M24" i="6"/>
  <c r="B16" i="18"/>
  <c r="B19" i="18"/>
  <c r="B22" i="18"/>
  <c r="B25" i="18"/>
  <c r="B30" i="18"/>
  <c r="Y23" i="5"/>
  <c r="Y32" i="5"/>
  <c r="J25" i="6"/>
  <c r="AA25" i="6" s="1"/>
  <c r="M32" i="6"/>
  <c r="AX3" i="39"/>
  <c r="T23" i="18"/>
  <c r="T26" i="18"/>
  <c r="X27" i="5"/>
  <c r="J16" i="6"/>
  <c r="AA16" i="6" s="1"/>
  <c r="J19" i="6"/>
  <c r="AA19" i="6" s="1"/>
  <c r="M36" i="6"/>
  <c r="B21" i="18"/>
  <c r="S22" i="18"/>
  <c r="R22" i="6" s="1"/>
  <c r="B24" i="18"/>
  <c r="S25" i="18"/>
  <c r="R25" i="6" s="1"/>
  <c r="T28" i="18"/>
  <c r="M29" i="6"/>
  <c r="Q29" i="18"/>
  <c r="Q29" i="6" s="1"/>
  <c r="S32" i="18"/>
  <c r="R32" i="6" s="1"/>
  <c r="B36" i="18"/>
  <c r="Y20" i="5"/>
  <c r="Q27" i="5"/>
  <c r="T27" i="5" s="1"/>
  <c r="Y27" i="5"/>
  <c r="Y29" i="5"/>
  <c r="M21" i="6"/>
  <c r="T22" i="18"/>
  <c r="Q27" i="18"/>
  <c r="Q27" i="6" s="1"/>
  <c r="S34" i="18"/>
  <c r="R34" i="6" s="1"/>
  <c r="X24" i="5"/>
  <c r="G172" i="39"/>
  <c r="A59" i="31"/>
  <c r="F59" i="31"/>
  <c r="DQ4" i="39"/>
  <c r="A5" i="39"/>
  <c r="DO4" i="39"/>
  <c r="DW4" i="39"/>
  <c r="DI5" i="39"/>
  <c r="DP5" i="39"/>
  <c r="DK6" i="39"/>
  <c r="DO7" i="39"/>
  <c r="DP13" i="39"/>
  <c r="DZ5" i="39"/>
  <c r="DT5" i="39"/>
  <c r="DN5" i="39"/>
  <c r="DH5" i="39"/>
  <c r="DJ5" i="39"/>
  <c r="DQ5" i="39"/>
  <c r="DX5" i="39"/>
  <c r="DW7" i="39"/>
  <c r="DQ7" i="39"/>
  <c r="DK7" i="39"/>
  <c r="DE7" i="39"/>
  <c r="X5" i="39"/>
  <c r="EB7" i="39"/>
  <c r="DV7" i="39"/>
  <c r="DP7" i="39"/>
  <c r="DJ7" i="39"/>
  <c r="DY7" i="39"/>
  <c r="DS7" i="39"/>
  <c r="DM7" i="39"/>
  <c r="DG7" i="39"/>
  <c r="DF7" i="39"/>
  <c r="DR7" i="39"/>
  <c r="DT13" i="39"/>
  <c r="DK4" i="39"/>
  <c r="DR4" i="39"/>
  <c r="DY4" i="39"/>
  <c r="DK5" i="39"/>
  <c r="DR5" i="39"/>
  <c r="DY5" i="39"/>
  <c r="DY6" i="39"/>
  <c r="DS6" i="39"/>
  <c r="DM6" i="39"/>
  <c r="DG6" i="39"/>
  <c r="DX6" i="39"/>
  <c r="DR6" i="39"/>
  <c r="DL6" i="39"/>
  <c r="DF6" i="39"/>
  <c r="EA6" i="39"/>
  <c r="DU6" i="39"/>
  <c r="DO6" i="39"/>
  <c r="DI6" i="39"/>
  <c r="DP6" i="39"/>
  <c r="EB6" i="39"/>
  <c r="DH7" i="39"/>
  <c r="DT7" i="39"/>
  <c r="DV13" i="39"/>
  <c r="Z19" i="39"/>
  <c r="DL4" i="39"/>
  <c r="DS4" i="39"/>
  <c r="DZ4" i="39"/>
  <c r="DE5" i="39"/>
  <c r="DL5" i="39"/>
  <c r="DS5" i="39"/>
  <c r="EA5" i="39"/>
  <c r="DE6" i="39"/>
  <c r="DQ6" i="39"/>
  <c r="DI7" i="39"/>
  <c r="DU7" i="39"/>
  <c r="DH13" i="39"/>
  <c r="DI4" i="39"/>
  <c r="DX4" i="39"/>
  <c r="DM4" i="39"/>
  <c r="DT4" i="39"/>
  <c r="DF5" i="39"/>
  <c r="DM5" i="39"/>
  <c r="DU5" i="39"/>
  <c r="EB5" i="39"/>
  <c r="Z4" i="39"/>
  <c r="DH6" i="39"/>
  <c r="DT6" i="39"/>
  <c r="DL7" i="39"/>
  <c r="DX7" i="39"/>
  <c r="DY13" i="39"/>
  <c r="DS13" i="39"/>
  <c r="DM13" i="39"/>
  <c r="DG13" i="39"/>
  <c r="DX13" i="39"/>
  <c r="DR13" i="39"/>
  <c r="DL13" i="39"/>
  <c r="DF13" i="39"/>
  <c r="X17" i="39"/>
  <c r="DW13" i="39"/>
  <c r="DQ13" i="39"/>
  <c r="DK13" i="39"/>
  <c r="DE13" i="39"/>
  <c r="EA13" i="39"/>
  <c r="DU13" i="39"/>
  <c r="DO13" i="39"/>
  <c r="DI13" i="39"/>
  <c r="DJ13" i="39"/>
  <c r="EB13" i="39"/>
  <c r="EB4" i="39"/>
  <c r="DV4" i="39"/>
  <c r="DP4" i="39"/>
  <c r="DJ4" i="39"/>
  <c r="DN4" i="39"/>
  <c r="DU4" i="39"/>
  <c r="DG5" i="39"/>
  <c r="DO5" i="39"/>
  <c r="DV5" i="39"/>
  <c r="DJ6" i="39"/>
  <c r="DV6" i="39"/>
  <c r="DN7" i="39"/>
  <c r="DZ7" i="39"/>
  <c r="DN13" i="39"/>
  <c r="DE8" i="39"/>
  <c r="DK8" i="39"/>
  <c r="DQ8" i="39"/>
  <c r="DW8" i="39"/>
  <c r="DI9" i="39"/>
  <c r="DO9" i="39"/>
  <c r="DU9" i="39"/>
  <c r="EA9" i="39"/>
  <c r="DG10" i="39"/>
  <c r="DM10" i="39"/>
  <c r="DS10" i="39"/>
  <c r="DY10" i="39"/>
  <c r="X13" i="39"/>
  <c r="DE11" i="39"/>
  <c r="DK11" i="39"/>
  <c r="DQ11" i="39"/>
  <c r="DW11" i="39"/>
  <c r="DJ12" i="39"/>
  <c r="DP12" i="39"/>
  <c r="DV12" i="39"/>
  <c r="EB12" i="39"/>
  <c r="DH14" i="39"/>
  <c r="DN14" i="39"/>
  <c r="DT14" i="39"/>
  <c r="DZ14" i="39"/>
  <c r="DG15" i="39"/>
  <c r="DM15" i="39"/>
  <c r="DS15" i="39"/>
  <c r="DY15" i="39"/>
  <c r="DI17" i="39"/>
  <c r="DO17" i="39"/>
  <c r="DU17" i="39"/>
  <c r="EA17" i="39"/>
  <c r="DH18" i="39"/>
  <c r="DN18" i="39"/>
  <c r="DT18" i="39"/>
  <c r="DZ18" i="39"/>
  <c r="EB19" i="39"/>
  <c r="DV19" i="39"/>
  <c r="DP19" i="39"/>
  <c r="DJ19" i="39"/>
  <c r="DK19" i="39"/>
  <c r="DR19" i="39"/>
  <c r="DY19" i="39"/>
  <c r="DJ20" i="39"/>
  <c r="DQ20" i="39"/>
  <c r="DZ20" i="39"/>
  <c r="DG21" i="39"/>
  <c r="DN22" i="39"/>
  <c r="DH24" i="39"/>
  <c r="DN25" i="39"/>
  <c r="DM27" i="39"/>
  <c r="DJ29" i="39"/>
  <c r="DX29" i="39"/>
  <c r="X31" i="39"/>
  <c r="DJ17" i="39"/>
  <c r="DP17" i="39"/>
  <c r="DV17" i="39"/>
  <c r="EB17" i="39"/>
  <c r="DX22" i="39"/>
  <c r="DR22" i="39"/>
  <c r="DL22" i="39"/>
  <c r="DF22" i="39"/>
  <c r="DW22" i="39"/>
  <c r="DQ22" i="39"/>
  <c r="DK22" i="39"/>
  <c r="DE22" i="39"/>
  <c r="DY22" i="39"/>
  <c r="DS22" i="39"/>
  <c r="DM22" i="39"/>
  <c r="DG22" i="39"/>
  <c r="DO22" i="39"/>
  <c r="EA22" i="39"/>
  <c r="DX25" i="39"/>
  <c r="DR25" i="39"/>
  <c r="DL25" i="39"/>
  <c r="DF25" i="39"/>
  <c r="DW25" i="39"/>
  <c r="DQ25" i="39"/>
  <c r="DK25" i="39"/>
  <c r="DE25" i="39"/>
  <c r="DY25" i="39"/>
  <c r="DS25" i="39"/>
  <c r="DM25" i="39"/>
  <c r="DG25" i="39"/>
  <c r="DO25" i="39"/>
  <c r="EA25" i="39"/>
  <c r="EB27" i="39"/>
  <c r="DV27" i="39"/>
  <c r="DP27" i="39"/>
  <c r="DJ27" i="39"/>
  <c r="X27" i="39"/>
  <c r="EA27" i="39"/>
  <c r="DU27" i="39"/>
  <c r="DO27" i="39"/>
  <c r="DI27" i="39"/>
  <c r="DW27" i="39"/>
  <c r="DQ27" i="39"/>
  <c r="DK27" i="39"/>
  <c r="DE27" i="39"/>
  <c r="DN27" i="39"/>
  <c r="DZ27" i="39"/>
  <c r="DN31" i="39"/>
  <c r="DI10" i="39"/>
  <c r="DO10" i="39"/>
  <c r="DU10" i="39"/>
  <c r="EA10" i="39"/>
  <c r="DJ14" i="39"/>
  <c r="DP14" i="39"/>
  <c r="DV14" i="39"/>
  <c r="EB14" i="39"/>
  <c r="DI15" i="39"/>
  <c r="DO15" i="39"/>
  <c r="DU15" i="39"/>
  <c r="EA15" i="39"/>
  <c r="DE17" i="39"/>
  <c r="DK17" i="39"/>
  <c r="DQ17" i="39"/>
  <c r="DW17" i="39"/>
  <c r="DJ18" i="39"/>
  <c r="DP18" i="39"/>
  <c r="DV18" i="39"/>
  <c r="EB18" i="39"/>
  <c r="DE20" i="39"/>
  <c r="DL20" i="39"/>
  <c r="DT20" i="39"/>
  <c r="EB20" i="39"/>
  <c r="DP22" i="39"/>
  <c r="EB22" i="39"/>
  <c r="DP25" i="39"/>
  <c r="EB25" i="39"/>
  <c r="DF27" i="39"/>
  <c r="DR27" i="39"/>
  <c r="DP29" i="39"/>
  <c r="DH8" i="39"/>
  <c r="DN8" i="39"/>
  <c r="DT8" i="39"/>
  <c r="DZ8" i="39"/>
  <c r="DF9" i="39"/>
  <c r="DL9" i="39"/>
  <c r="DR9" i="39"/>
  <c r="DX9" i="39"/>
  <c r="DJ10" i="39"/>
  <c r="DP10" i="39"/>
  <c r="DV10" i="39"/>
  <c r="EB10" i="39"/>
  <c r="DE14" i="39"/>
  <c r="DK14" i="39"/>
  <c r="DQ14" i="39"/>
  <c r="DW14" i="39"/>
  <c r="DJ15" i="39"/>
  <c r="DP15" i="39"/>
  <c r="DV15" i="39"/>
  <c r="EB15" i="39"/>
  <c r="Z18" i="39"/>
  <c r="DF17" i="39"/>
  <c r="DL17" i="39"/>
  <c r="DR17" i="39"/>
  <c r="DX17" i="39"/>
  <c r="DF20" i="39"/>
  <c r="DN20" i="39"/>
  <c r="DU20" i="39"/>
  <c r="EA21" i="39"/>
  <c r="DU21" i="39"/>
  <c r="DO21" i="39"/>
  <c r="DI21" i="39"/>
  <c r="DZ21" i="39"/>
  <c r="DT21" i="39"/>
  <c r="DN21" i="39"/>
  <c r="DH21" i="39"/>
  <c r="EB21" i="39"/>
  <c r="DV21" i="39"/>
  <c r="DP21" i="39"/>
  <c r="DJ21" i="39"/>
  <c r="X24" i="39"/>
  <c r="DM21" i="39"/>
  <c r="DY21" i="39"/>
  <c r="DH22" i="39"/>
  <c r="DT22" i="39"/>
  <c r="EB24" i="39"/>
  <c r="DV24" i="39"/>
  <c r="DP24" i="39"/>
  <c r="DJ24" i="39"/>
  <c r="EA24" i="39"/>
  <c r="DU24" i="39"/>
  <c r="DO24" i="39"/>
  <c r="DI24" i="39"/>
  <c r="DW24" i="39"/>
  <c r="DQ24" i="39"/>
  <c r="DK24" i="39"/>
  <c r="DE24" i="39"/>
  <c r="DN24" i="39"/>
  <c r="DZ24" i="39"/>
  <c r="X25" i="39"/>
  <c r="DH25" i="39"/>
  <c r="DT25" i="39"/>
  <c r="DG27" i="39"/>
  <c r="DS27" i="39"/>
  <c r="DI8" i="39"/>
  <c r="DO8" i="39"/>
  <c r="DU8" i="39"/>
  <c r="DG9" i="39"/>
  <c r="DM9" i="39"/>
  <c r="DS9" i="39"/>
  <c r="X16" i="39"/>
  <c r="DE10" i="39"/>
  <c r="DK10" i="39"/>
  <c r="DQ10" i="39"/>
  <c r="DI11" i="39"/>
  <c r="DO11" i="39"/>
  <c r="DU11" i="39"/>
  <c r="DH12" i="39"/>
  <c r="DN12" i="39"/>
  <c r="DT12" i="39"/>
  <c r="X10" i="39"/>
  <c r="DF14" i="39"/>
  <c r="DL14" i="39"/>
  <c r="DR14" i="39"/>
  <c r="DE15" i="39"/>
  <c r="DK15" i="39"/>
  <c r="DQ15" i="39"/>
  <c r="DH16" i="39"/>
  <c r="DN16" i="39"/>
  <c r="DT16" i="39"/>
  <c r="DG17" i="39"/>
  <c r="DM17" i="39"/>
  <c r="DS17" i="39"/>
  <c r="DY17" i="39"/>
  <c r="X11" i="39"/>
  <c r="DF18" i="39"/>
  <c r="DL18" i="39"/>
  <c r="DR18" i="39"/>
  <c r="DH20" i="39"/>
  <c r="DO20" i="39"/>
  <c r="DV20" i="39"/>
  <c r="DI22" i="39"/>
  <c r="DU22" i="39"/>
  <c r="DI25" i="39"/>
  <c r="DU25" i="39"/>
  <c r="DH27" i="39"/>
  <c r="DT27" i="39"/>
  <c r="DY29" i="39"/>
  <c r="DS29" i="39"/>
  <c r="DM29" i="39"/>
  <c r="DG29" i="39"/>
  <c r="EA29" i="39"/>
  <c r="DT29" i="39"/>
  <c r="DL29" i="39"/>
  <c r="DE29" i="39"/>
  <c r="DZ29" i="39"/>
  <c r="DR29" i="39"/>
  <c r="DK29" i="39"/>
  <c r="X29" i="39"/>
  <c r="EB29" i="39"/>
  <c r="DU29" i="39"/>
  <c r="DN29" i="39"/>
  <c r="DF29" i="39"/>
  <c r="DH29" i="39"/>
  <c r="DV29" i="39"/>
  <c r="DX31" i="39"/>
  <c r="DR31" i="39"/>
  <c r="DL31" i="39"/>
  <c r="DF31" i="39"/>
  <c r="DW31" i="39"/>
  <c r="DQ31" i="39"/>
  <c r="DK31" i="39"/>
  <c r="DE31" i="39"/>
  <c r="DZ31" i="39"/>
  <c r="DP31" i="39"/>
  <c r="DH31" i="39"/>
  <c r="DY31" i="39"/>
  <c r="DO31" i="39"/>
  <c r="DG31" i="39"/>
  <c r="DU31" i="39"/>
  <c r="DM31" i="39"/>
  <c r="EB31" i="39"/>
  <c r="DT31" i="39"/>
  <c r="DJ31" i="39"/>
  <c r="EA31" i="39"/>
  <c r="DS31" i="39"/>
  <c r="DI31" i="39"/>
  <c r="DH17" i="39"/>
  <c r="DN17" i="39"/>
  <c r="DT17" i="39"/>
  <c r="DX20" i="39"/>
  <c r="DY20" i="39"/>
  <c r="DS20" i="39"/>
  <c r="DM20" i="39"/>
  <c r="DG20" i="39"/>
  <c r="DI20" i="39"/>
  <c r="DP20" i="39"/>
  <c r="DW20" i="39"/>
  <c r="DJ22" i="39"/>
  <c r="DV22" i="39"/>
  <c r="DJ25" i="39"/>
  <c r="DV25" i="39"/>
  <c r="DL27" i="39"/>
  <c r="DX27" i="39"/>
  <c r="DI26" i="39"/>
  <c r="DO26" i="39"/>
  <c r="DU26" i="39"/>
  <c r="EA26" i="39"/>
  <c r="DW28" i="39"/>
  <c r="DQ28" i="39"/>
  <c r="DK28" i="39"/>
  <c r="DE28" i="39"/>
  <c r="DI28" i="39"/>
  <c r="DP28" i="39"/>
  <c r="DX28" i="39"/>
  <c r="DK30" i="39"/>
  <c r="DS30" i="39"/>
  <c r="DQ34" i="39"/>
  <c r="DJ36" i="39"/>
  <c r="DV34" i="39"/>
  <c r="DE34" i="39"/>
  <c r="DW34" i="39"/>
  <c r="DX34" i="39"/>
  <c r="DR34" i="39"/>
  <c r="DL34" i="39"/>
  <c r="DF34" i="39"/>
  <c r="X34" i="39"/>
  <c r="EA34" i="39"/>
  <c r="DU34" i="39"/>
  <c r="DO34" i="39"/>
  <c r="DI34" i="39"/>
  <c r="DZ34" i="39"/>
  <c r="DT34" i="39"/>
  <c r="DN34" i="39"/>
  <c r="DH34" i="39"/>
  <c r="DY34" i="39"/>
  <c r="DS34" i="39"/>
  <c r="DM34" i="39"/>
  <c r="DG34" i="39"/>
  <c r="DJ34" i="39"/>
  <c r="EB34" i="39"/>
  <c r="DG26" i="39"/>
  <c r="DM26" i="39"/>
  <c r="DS26" i="39"/>
  <c r="DY26" i="39"/>
  <c r="DG30" i="39"/>
  <c r="DQ30" i="39"/>
  <c r="DK34" i="39"/>
  <c r="DH23" i="39"/>
  <c r="DN23" i="39"/>
  <c r="DT23" i="39"/>
  <c r="DH26" i="39"/>
  <c r="DN26" i="39"/>
  <c r="DT26" i="39"/>
  <c r="EB30" i="39"/>
  <c r="DV30" i="39"/>
  <c r="DP30" i="39"/>
  <c r="DJ30" i="39"/>
  <c r="EA30" i="39"/>
  <c r="DU30" i="39"/>
  <c r="DO30" i="39"/>
  <c r="DI30" i="39"/>
  <c r="DH30" i="39"/>
  <c r="DR30" i="39"/>
  <c r="DZ30" i="39"/>
  <c r="DP34" i="39"/>
  <c r="DX36" i="39"/>
  <c r="DR36" i="39"/>
  <c r="DL36" i="39"/>
  <c r="DF36" i="39"/>
  <c r="DZ36" i="39"/>
  <c r="DS36" i="39"/>
  <c r="DK36" i="39"/>
  <c r="DV36" i="39"/>
  <c r="DO36" i="39"/>
  <c r="DH36" i="39"/>
  <c r="EB36" i="39"/>
  <c r="DU36" i="39"/>
  <c r="DN36" i="39"/>
  <c r="DG36" i="39"/>
  <c r="EA36" i="39"/>
  <c r="DT36" i="39"/>
  <c r="DM36" i="39"/>
  <c r="DE36" i="39"/>
  <c r="X36" i="39"/>
  <c r="DI36" i="39"/>
  <c r="DG32" i="39"/>
  <c r="DM32" i="39"/>
  <c r="DS32" i="39"/>
  <c r="DY32" i="39"/>
  <c r="DI33" i="39"/>
  <c r="DO33" i="39"/>
  <c r="DU33" i="39"/>
  <c r="EA33" i="39"/>
  <c r="DF35" i="39"/>
  <c r="DM35" i="39"/>
  <c r="DU35" i="39"/>
  <c r="EB35" i="39"/>
  <c r="DF37" i="39"/>
  <c r="DM37" i="39"/>
  <c r="DT37" i="39"/>
  <c r="EA37" i="39"/>
  <c r="X39" i="39"/>
  <c r="DE39" i="39"/>
  <c r="DM39" i="39"/>
  <c r="DT39" i="39"/>
  <c r="EA39" i="39"/>
  <c r="DF40" i="39"/>
  <c r="DM40" i="39"/>
  <c r="DT40" i="39"/>
  <c r="EA40" i="39"/>
  <c r="X42" i="39"/>
  <c r="DF42" i="39"/>
  <c r="DN42" i="39"/>
  <c r="DU42" i="39"/>
  <c r="DG43" i="39"/>
  <c r="DO43" i="39"/>
  <c r="DY43" i="39"/>
  <c r="DW45" i="39"/>
  <c r="DQ45" i="39"/>
  <c r="DK45" i="39"/>
  <c r="DE45" i="39"/>
  <c r="EB45" i="39"/>
  <c r="DV45" i="39"/>
  <c r="DP45" i="39"/>
  <c r="DJ45" i="39"/>
  <c r="DY45" i="39"/>
  <c r="DS45" i="39"/>
  <c r="DM45" i="39"/>
  <c r="DG45" i="39"/>
  <c r="DO45" i="39"/>
  <c r="EA45" i="39"/>
  <c r="DH47" i="39"/>
  <c r="DN51" i="39"/>
  <c r="DH32" i="39"/>
  <c r="DN32" i="39"/>
  <c r="DT32" i="39"/>
  <c r="X33" i="39"/>
  <c r="DJ33" i="39"/>
  <c r="DP33" i="39"/>
  <c r="DV33" i="39"/>
  <c r="EB33" i="39"/>
  <c r="X35" i="39"/>
  <c r="DG35" i="39"/>
  <c r="DO35" i="39"/>
  <c r="DV35" i="39"/>
  <c r="DG37" i="39"/>
  <c r="DN37" i="39"/>
  <c r="DU37" i="39"/>
  <c r="DG39" i="39"/>
  <c r="DN39" i="39"/>
  <c r="DU39" i="39"/>
  <c r="EB39" i="39"/>
  <c r="DH43" i="39"/>
  <c r="DQ43" i="39"/>
  <c r="DZ43" i="39"/>
  <c r="DW49" i="39"/>
  <c r="DQ49" i="39"/>
  <c r="DK49" i="39"/>
  <c r="DE49" i="39"/>
  <c r="EB49" i="39"/>
  <c r="DV49" i="39"/>
  <c r="DP49" i="39"/>
  <c r="DJ49" i="39"/>
  <c r="EA49" i="39"/>
  <c r="DU49" i="39"/>
  <c r="DO49" i="39"/>
  <c r="DI49" i="39"/>
  <c r="DY49" i="39"/>
  <c r="DS49" i="39"/>
  <c r="DM49" i="39"/>
  <c r="DG49" i="39"/>
  <c r="DT49" i="39"/>
  <c r="DP51" i="39"/>
  <c r="DE33" i="39"/>
  <c r="DK33" i="39"/>
  <c r="DQ33" i="39"/>
  <c r="DW33" i="39"/>
  <c r="DI35" i="39"/>
  <c r="DP35" i="39"/>
  <c r="DH37" i="39"/>
  <c r="DO37" i="39"/>
  <c r="X38" i="39"/>
  <c r="DH39" i="39"/>
  <c r="DO39" i="39"/>
  <c r="DH40" i="39"/>
  <c r="DO40" i="39"/>
  <c r="DI43" i="39"/>
  <c r="DS43" i="39"/>
  <c r="DF49" i="39"/>
  <c r="DX49" i="39"/>
  <c r="DT51" i="39"/>
  <c r="EB43" i="39"/>
  <c r="DV43" i="39"/>
  <c r="DP43" i="39"/>
  <c r="DJ43" i="39"/>
  <c r="DX43" i="39"/>
  <c r="DR43" i="39"/>
  <c r="DL43" i="39"/>
  <c r="DF43" i="39"/>
  <c r="DK43" i="39"/>
  <c r="DT43" i="39"/>
  <c r="DH49" i="39"/>
  <c r="DZ49" i="39"/>
  <c r="DV51" i="39"/>
  <c r="EB37" i="39"/>
  <c r="DV37" i="39"/>
  <c r="DP37" i="39"/>
  <c r="DJ37" i="39"/>
  <c r="X37" i="39"/>
  <c r="DK37" i="39"/>
  <c r="DR37" i="39"/>
  <c r="DY37" i="39"/>
  <c r="DX39" i="39"/>
  <c r="DR39" i="39"/>
  <c r="DL39" i="39"/>
  <c r="DF39" i="39"/>
  <c r="DJ39" i="39"/>
  <c r="DQ39" i="39"/>
  <c r="DY39" i="39"/>
  <c r="EB40" i="39"/>
  <c r="DV40" i="39"/>
  <c r="DP40" i="39"/>
  <c r="DJ40" i="39"/>
  <c r="X40" i="39"/>
  <c r="DK40" i="39"/>
  <c r="DR40" i="39"/>
  <c r="DY40" i="39"/>
  <c r="DY42" i="39"/>
  <c r="DS42" i="39"/>
  <c r="DM42" i="39"/>
  <c r="DG42" i="39"/>
  <c r="DK42" i="39"/>
  <c r="DR42" i="39"/>
  <c r="DZ42" i="39"/>
  <c r="DM43" i="39"/>
  <c r="DU43" i="39"/>
  <c r="DW47" i="39"/>
  <c r="DQ47" i="39"/>
  <c r="DK47" i="39"/>
  <c r="DE47" i="39"/>
  <c r="EB47" i="39"/>
  <c r="DV47" i="39"/>
  <c r="DP47" i="39"/>
  <c r="DJ47" i="39"/>
  <c r="DY47" i="39"/>
  <c r="DS47" i="39"/>
  <c r="DM47" i="39"/>
  <c r="DG47" i="39"/>
  <c r="DO47" i="39"/>
  <c r="EA47" i="39"/>
  <c r="DL49" i="39"/>
  <c r="DH51" i="39"/>
  <c r="DH33" i="39"/>
  <c r="DN33" i="39"/>
  <c r="DT33" i="39"/>
  <c r="DZ35" i="39"/>
  <c r="DT35" i="39"/>
  <c r="DN35" i="39"/>
  <c r="DH35" i="39"/>
  <c r="DE35" i="39"/>
  <c r="DL35" i="39"/>
  <c r="DS35" i="39"/>
  <c r="EA35" i="39"/>
  <c r="DE37" i="39"/>
  <c r="DL37" i="39"/>
  <c r="DS37" i="39"/>
  <c r="DZ37" i="39"/>
  <c r="DK39" i="39"/>
  <c r="DS39" i="39"/>
  <c r="DZ39" i="39"/>
  <c r="X43" i="39"/>
  <c r="DE43" i="39"/>
  <c r="DN43" i="39"/>
  <c r="DW43" i="39"/>
  <c r="DN49" i="39"/>
  <c r="DY51" i="39"/>
  <c r="DS51" i="39"/>
  <c r="DM51" i="39"/>
  <c r="DG51" i="39"/>
  <c r="DX51" i="39"/>
  <c r="DR51" i="39"/>
  <c r="DL51" i="39"/>
  <c r="DF51" i="39"/>
  <c r="DW51" i="39"/>
  <c r="DQ51" i="39"/>
  <c r="DK51" i="39"/>
  <c r="DE51" i="39"/>
  <c r="EA51" i="39"/>
  <c r="DU51" i="39"/>
  <c r="DO51" i="39"/>
  <c r="DI51" i="39"/>
  <c r="DJ51" i="39"/>
  <c r="EB51" i="39"/>
  <c r="DH38" i="39"/>
  <c r="DN38" i="39"/>
  <c r="DT38" i="39"/>
  <c r="DH41" i="39"/>
  <c r="DN41" i="39"/>
  <c r="DT41" i="39"/>
  <c r="DJ44" i="39"/>
  <c r="DP44" i="39"/>
  <c r="DV44" i="39"/>
  <c r="EB44" i="39"/>
  <c r="DJ46" i="39"/>
  <c r="DP46" i="39"/>
  <c r="DV46" i="39"/>
  <c r="EB46" i="39"/>
  <c r="DJ48" i="39"/>
  <c r="DP48" i="39"/>
  <c r="DV48" i="39"/>
  <c r="EB48" i="39"/>
  <c r="DJ50" i="39"/>
  <c r="DP50" i="39"/>
  <c r="DV50" i="39"/>
  <c r="EB50" i="39"/>
  <c r="DH52" i="39"/>
  <c r="DN52" i="39"/>
  <c r="DT52" i="39"/>
  <c r="DZ52" i="39"/>
  <c r="DE53" i="39"/>
  <c r="DK53" i="39"/>
  <c r="DQ53" i="39"/>
  <c r="DW53" i="39"/>
  <c r="EB54" i="39"/>
  <c r="DV54" i="39"/>
  <c r="DP54" i="39"/>
  <c r="DJ54" i="39"/>
  <c r="DH54" i="39"/>
  <c r="DO54" i="39"/>
  <c r="DW54" i="39"/>
  <c r="DF55" i="39"/>
  <c r="DN55" i="39"/>
  <c r="DU55" i="39"/>
  <c r="DF56" i="39"/>
  <c r="DM56" i="39"/>
  <c r="DT56" i="39"/>
  <c r="EA56" i="39"/>
  <c r="DK57" i="39"/>
  <c r="DR57" i="39"/>
  <c r="DZ57" i="39"/>
  <c r="EB58" i="39"/>
  <c r="DV58" i="39"/>
  <c r="DP58" i="39"/>
  <c r="DJ58" i="39"/>
  <c r="DK58" i="39"/>
  <c r="DR58" i="39"/>
  <c r="DY58" i="39"/>
  <c r="DY59" i="39"/>
  <c r="DS59" i="39"/>
  <c r="DM59" i="39"/>
  <c r="DG59" i="39"/>
  <c r="DI59" i="39"/>
  <c r="DP59" i="39"/>
  <c r="DW59" i="39"/>
  <c r="DH60" i="39"/>
  <c r="DO60" i="39"/>
  <c r="DF61" i="39"/>
  <c r="DN61" i="39"/>
  <c r="DU61" i="39"/>
  <c r="DF62" i="39"/>
  <c r="DM62" i="39"/>
  <c r="DT62" i="39"/>
  <c r="EA62" i="39"/>
  <c r="DK63" i="39"/>
  <c r="DR63" i="39"/>
  <c r="DZ63" i="39"/>
  <c r="EB64" i="39"/>
  <c r="DV64" i="39"/>
  <c r="DP64" i="39"/>
  <c r="DJ64" i="39"/>
  <c r="DK64" i="39"/>
  <c r="DR64" i="39"/>
  <c r="DY64" i="39"/>
  <c r="DY65" i="39"/>
  <c r="DS65" i="39"/>
  <c r="DM65" i="39"/>
  <c r="DG65" i="39"/>
  <c r="DI65" i="39"/>
  <c r="DP65" i="39"/>
  <c r="DW65" i="39"/>
  <c r="DH66" i="39"/>
  <c r="DO66" i="39"/>
  <c r="DF67" i="39"/>
  <c r="DN67" i="39"/>
  <c r="DU67" i="39"/>
  <c r="DI68" i="39"/>
  <c r="DP68" i="39"/>
  <c r="DW68" i="39"/>
  <c r="DI69" i="39"/>
  <c r="DP69" i="39"/>
  <c r="DJ71" i="39"/>
  <c r="DS71" i="39"/>
  <c r="DH73" i="39"/>
  <c r="DT73" i="39"/>
  <c r="DJ75" i="39"/>
  <c r="DX75" i="39"/>
  <c r="EA71" i="39"/>
  <c r="DU71" i="39"/>
  <c r="DO71" i="39"/>
  <c r="DI71" i="39"/>
  <c r="DW71" i="39"/>
  <c r="DQ71" i="39"/>
  <c r="DK71" i="39"/>
  <c r="DE71" i="39"/>
  <c r="DL71" i="39"/>
  <c r="DT71" i="39"/>
  <c r="DL73" i="39"/>
  <c r="DK75" i="39"/>
  <c r="DJ52" i="39"/>
  <c r="DP52" i="39"/>
  <c r="DV52" i="39"/>
  <c r="EB52" i="39"/>
  <c r="DY55" i="39"/>
  <c r="DS55" i="39"/>
  <c r="DM55" i="39"/>
  <c r="DG55" i="39"/>
  <c r="DI55" i="39"/>
  <c r="DP55" i="39"/>
  <c r="DW55" i="39"/>
  <c r="EB60" i="39"/>
  <c r="DV60" i="39"/>
  <c r="DP60" i="39"/>
  <c r="DJ60" i="39"/>
  <c r="DK60" i="39"/>
  <c r="DR60" i="39"/>
  <c r="DY60" i="39"/>
  <c r="DY61" i="39"/>
  <c r="DS61" i="39"/>
  <c r="DM61" i="39"/>
  <c r="DG61" i="39"/>
  <c r="DI61" i="39"/>
  <c r="DP61" i="39"/>
  <c r="DW61" i="39"/>
  <c r="EB66" i="39"/>
  <c r="DV66" i="39"/>
  <c r="DP66" i="39"/>
  <c r="DJ66" i="39"/>
  <c r="DK66" i="39"/>
  <c r="DR66" i="39"/>
  <c r="DY66" i="39"/>
  <c r="DY67" i="39"/>
  <c r="DS67" i="39"/>
  <c r="DM67" i="39"/>
  <c r="DG67" i="39"/>
  <c r="DI67" i="39"/>
  <c r="DP67" i="39"/>
  <c r="DW67" i="39"/>
  <c r="EA69" i="39"/>
  <c r="DU69" i="39"/>
  <c r="DW69" i="39"/>
  <c r="DQ69" i="39"/>
  <c r="DK69" i="39"/>
  <c r="DE69" i="39"/>
  <c r="DL69" i="39"/>
  <c r="DS69" i="39"/>
  <c r="EB69" i="39"/>
  <c r="DM71" i="39"/>
  <c r="DV71" i="39"/>
  <c r="EB73" i="39"/>
  <c r="DV73" i="39"/>
  <c r="DP73" i="39"/>
  <c r="DJ73" i="39"/>
  <c r="EA73" i="39"/>
  <c r="DU73" i="39"/>
  <c r="DO73" i="39"/>
  <c r="DI73" i="39"/>
  <c r="DW73" i="39"/>
  <c r="DQ73" i="39"/>
  <c r="DK73" i="39"/>
  <c r="DE73" i="39"/>
  <c r="DM73" i="39"/>
  <c r="DY73" i="39"/>
  <c r="EA75" i="39"/>
  <c r="DU75" i="39"/>
  <c r="DO75" i="39"/>
  <c r="DI75" i="39"/>
  <c r="EB75" i="39"/>
  <c r="DT75" i="39"/>
  <c r="DM75" i="39"/>
  <c r="DF75" i="39"/>
  <c r="DZ75" i="39"/>
  <c r="DS75" i="39"/>
  <c r="DL75" i="39"/>
  <c r="DE75" i="39"/>
  <c r="DV75" i="39"/>
  <c r="DN75" i="39"/>
  <c r="DG75" i="39"/>
  <c r="DP75" i="39"/>
  <c r="DG44" i="39"/>
  <c r="DM44" i="39"/>
  <c r="DS44" i="39"/>
  <c r="DY44" i="39"/>
  <c r="DG46" i="39"/>
  <c r="DM46" i="39"/>
  <c r="DS46" i="39"/>
  <c r="DY46" i="39"/>
  <c r="DG48" i="39"/>
  <c r="DM48" i="39"/>
  <c r="DS48" i="39"/>
  <c r="DY48" i="39"/>
  <c r="DE52" i="39"/>
  <c r="DK52" i="39"/>
  <c r="DQ52" i="39"/>
  <c r="DW52" i="39"/>
  <c r="DH53" i="39"/>
  <c r="DN53" i="39"/>
  <c r="DT53" i="39"/>
  <c r="DZ53" i="39"/>
  <c r="DJ55" i="39"/>
  <c r="DQ55" i="39"/>
  <c r="DX55" i="39"/>
  <c r="DI56" i="39"/>
  <c r="DQ56" i="39"/>
  <c r="DH57" i="39"/>
  <c r="DO57" i="39"/>
  <c r="DE60" i="39"/>
  <c r="DL60" i="39"/>
  <c r="DS60" i="39"/>
  <c r="DZ60" i="39"/>
  <c r="DJ61" i="39"/>
  <c r="DQ61" i="39"/>
  <c r="DX61" i="39"/>
  <c r="DI62" i="39"/>
  <c r="DQ62" i="39"/>
  <c r="DH63" i="39"/>
  <c r="DO63" i="39"/>
  <c r="DE66" i="39"/>
  <c r="DL66" i="39"/>
  <c r="DS66" i="39"/>
  <c r="DZ66" i="39"/>
  <c r="DJ67" i="39"/>
  <c r="DQ67" i="39"/>
  <c r="DX67" i="39"/>
  <c r="DE68" i="39"/>
  <c r="DM68" i="39"/>
  <c r="DT68" i="39"/>
  <c r="DF69" i="39"/>
  <c r="DM69" i="39"/>
  <c r="DT69" i="39"/>
  <c r="DF71" i="39"/>
  <c r="DN71" i="39"/>
  <c r="DX71" i="39"/>
  <c r="DN73" i="39"/>
  <c r="DZ73" i="39"/>
  <c r="DQ75" i="39"/>
  <c r="DX78" i="39"/>
  <c r="DR78" i="39"/>
  <c r="DL78" i="39"/>
  <c r="DF78" i="39"/>
  <c r="EB78" i="39"/>
  <c r="DU78" i="39"/>
  <c r="DN78" i="39"/>
  <c r="DG78" i="39"/>
  <c r="EA78" i="39"/>
  <c r="DT78" i="39"/>
  <c r="DM78" i="39"/>
  <c r="DE78" i="39"/>
  <c r="DZ78" i="39"/>
  <c r="DS78" i="39"/>
  <c r="DK78" i="39"/>
  <c r="DW78" i="39"/>
  <c r="DP78" i="39"/>
  <c r="DI78" i="39"/>
  <c r="DV78" i="39"/>
  <c r="DO78" i="39"/>
  <c r="DH78" i="39"/>
  <c r="DJ78" i="39"/>
  <c r="DH44" i="39"/>
  <c r="DN44" i="39"/>
  <c r="DT44" i="39"/>
  <c r="DH46" i="39"/>
  <c r="DN46" i="39"/>
  <c r="DT46" i="39"/>
  <c r="DH48" i="39"/>
  <c r="DN48" i="39"/>
  <c r="DT48" i="39"/>
  <c r="DH50" i="39"/>
  <c r="DN50" i="39"/>
  <c r="DT50" i="39"/>
  <c r="DF52" i="39"/>
  <c r="DL52" i="39"/>
  <c r="DR52" i="39"/>
  <c r="DI53" i="39"/>
  <c r="DO53" i="39"/>
  <c r="DU53" i="39"/>
  <c r="DK55" i="39"/>
  <c r="DR55" i="39"/>
  <c r="DZ55" i="39"/>
  <c r="EB56" i="39"/>
  <c r="DV56" i="39"/>
  <c r="DP56" i="39"/>
  <c r="DJ56" i="39"/>
  <c r="DK56" i="39"/>
  <c r="DR56" i="39"/>
  <c r="DY56" i="39"/>
  <c r="DY57" i="39"/>
  <c r="DS57" i="39"/>
  <c r="DM57" i="39"/>
  <c r="DG57" i="39"/>
  <c r="DI57" i="39"/>
  <c r="DP57" i="39"/>
  <c r="DW57" i="39"/>
  <c r="DF60" i="39"/>
  <c r="DM60" i="39"/>
  <c r="DT60" i="39"/>
  <c r="EA60" i="39"/>
  <c r="DK61" i="39"/>
  <c r="DR61" i="39"/>
  <c r="DZ61" i="39"/>
  <c r="EB62" i="39"/>
  <c r="DV62" i="39"/>
  <c r="DP62" i="39"/>
  <c r="DJ62" i="39"/>
  <c r="DK62" i="39"/>
  <c r="DR62" i="39"/>
  <c r="DY62" i="39"/>
  <c r="DY63" i="39"/>
  <c r="DS63" i="39"/>
  <c r="DM63" i="39"/>
  <c r="DG63" i="39"/>
  <c r="DI63" i="39"/>
  <c r="DP63" i="39"/>
  <c r="DW63" i="39"/>
  <c r="DF66" i="39"/>
  <c r="DM66" i="39"/>
  <c r="DT66" i="39"/>
  <c r="EA66" i="39"/>
  <c r="DK67" i="39"/>
  <c r="DR67" i="39"/>
  <c r="DZ67" i="39"/>
  <c r="DX68" i="39"/>
  <c r="DR68" i="39"/>
  <c r="DL68" i="39"/>
  <c r="DF68" i="39"/>
  <c r="DG68" i="39"/>
  <c r="DN68" i="39"/>
  <c r="DU68" i="39"/>
  <c r="EB68" i="39"/>
  <c r="DG69" i="39"/>
  <c r="DN69" i="39"/>
  <c r="DV69" i="39"/>
  <c r="DG71" i="39"/>
  <c r="DP71" i="39"/>
  <c r="DY71" i="39"/>
  <c r="DF73" i="39"/>
  <c r="DR73" i="39"/>
  <c r="DR75" i="39"/>
  <c r="DQ78" i="39"/>
  <c r="DH70" i="39"/>
  <c r="DN70" i="39"/>
  <c r="DT70" i="39"/>
  <c r="DH72" i="39"/>
  <c r="DN72" i="39"/>
  <c r="DT72" i="39"/>
  <c r="DX74" i="39"/>
  <c r="DR74" i="39"/>
  <c r="DL74" i="39"/>
  <c r="DF74" i="39"/>
  <c r="DJ74" i="39"/>
  <c r="DQ74" i="39"/>
  <c r="DY74" i="39"/>
  <c r="DE76" i="39"/>
  <c r="DM76" i="39"/>
  <c r="DT76" i="39"/>
  <c r="DJ77" i="39"/>
  <c r="DQ77" i="39"/>
  <c r="DX77" i="39"/>
  <c r="DE79" i="39"/>
  <c r="DL79" i="39"/>
  <c r="DS79" i="39"/>
  <c r="DZ79" i="39"/>
  <c r="DX80" i="39"/>
  <c r="DR80" i="39"/>
  <c r="DL80" i="39"/>
  <c r="DF80" i="39"/>
  <c r="DJ80" i="39"/>
  <c r="DQ80" i="39"/>
  <c r="DY80" i="39"/>
  <c r="DG81" i="39"/>
  <c r="DN81" i="39"/>
  <c r="DE82" i="39"/>
  <c r="DM82" i="39"/>
  <c r="DT82" i="39"/>
  <c r="EA82" i="39"/>
  <c r="DG83" i="39"/>
  <c r="DR83" i="39"/>
  <c r="DW85" i="39"/>
  <c r="DQ85" i="39"/>
  <c r="DK85" i="39"/>
  <c r="DE85" i="39"/>
  <c r="DY85" i="39"/>
  <c r="DR85" i="39"/>
  <c r="DJ85" i="39"/>
  <c r="DV85" i="39"/>
  <c r="DO85" i="39"/>
  <c r="DH85" i="39"/>
  <c r="DN85" i="39"/>
  <c r="DZ85" i="39"/>
  <c r="DF79" i="39"/>
  <c r="DM79" i="39"/>
  <c r="DT79" i="39"/>
  <c r="EA81" i="39"/>
  <c r="DU81" i="39"/>
  <c r="DO81" i="39"/>
  <c r="DI81" i="39"/>
  <c r="DH81" i="39"/>
  <c r="DP81" i="39"/>
  <c r="DW81" i="39"/>
  <c r="DG82" i="39"/>
  <c r="DN82" i="39"/>
  <c r="DU82" i="39"/>
  <c r="EB82" i="39"/>
  <c r="DH83" i="39"/>
  <c r="EA83" i="39"/>
  <c r="DU83" i="39"/>
  <c r="DO83" i="39"/>
  <c r="DI83" i="39"/>
  <c r="DZ83" i="39"/>
  <c r="DS83" i="39"/>
  <c r="DL83" i="39"/>
  <c r="DE83" i="39"/>
  <c r="DX83" i="39"/>
  <c r="DQ83" i="39"/>
  <c r="DJ83" i="39"/>
  <c r="DK83" i="39"/>
  <c r="DV83" i="39"/>
  <c r="EA79" i="39"/>
  <c r="DU79" i="39"/>
  <c r="DO79" i="39"/>
  <c r="DI79" i="39"/>
  <c r="DH79" i="39"/>
  <c r="DP79" i="39"/>
  <c r="DW79" i="39"/>
  <c r="DK81" i="39"/>
  <c r="DR81" i="39"/>
  <c r="DY81" i="39"/>
  <c r="DI82" i="39"/>
  <c r="DP82" i="39"/>
  <c r="DW82" i="39"/>
  <c r="DM83" i="39"/>
  <c r="DW83" i="39"/>
  <c r="DX76" i="39"/>
  <c r="DR76" i="39"/>
  <c r="DL76" i="39"/>
  <c r="DF76" i="39"/>
  <c r="DJ76" i="39"/>
  <c r="DQ76" i="39"/>
  <c r="DY76" i="39"/>
  <c r="DG77" i="39"/>
  <c r="DN77" i="39"/>
  <c r="DJ79" i="39"/>
  <c r="DQ79" i="39"/>
  <c r="DX79" i="39"/>
  <c r="DE81" i="39"/>
  <c r="DL81" i="39"/>
  <c r="DS81" i="39"/>
  <c r="DZ81" i="39"/>
  <c r="DX82" i="39"/>
  <c r="DR82" i="39"/>
  <c r="DL82" i="39"/>
  <c r="DF82" i="39"/>
  <c r="DJ82" i="39"/>
  <c r="DQ82" i="39"/>
  <c r="DY82" i="39"/>
  <c r="DN83" i="39"/>
  <c r="DY83" i="39"/>
  <c r="EA77" i="39"/>
  <c r="DU77" i="39"/>
  <c r="DO77" i="39"/>
  <c r="DI77" i="39"/>
  <c r="DH77" i="39"/>
  <c r="DP77" i="39"/>
  <c r="DW77" i="39"/>
  <c r="DK79" i="39"/>
  <c r="DR79" i="39"/>
  <c r="DY79" i="39"/>
  <c r="DF81" i="39"/>
  <c r="DM81" i="39"/>
  <c r="DT81" i="39"/>
  <c r="EB81" i="39"/>
  <c r="DK82" i="39"/>
  <c r="DS82" i="39"/>
  <c r="DZ82" i="39"/>
  <c r="DF83" i="39"/>
  <c r="DP83" i="39"/>
  <c r="EB83" i="39"/>
  <c r="DH84" i="39"/>
  <c r="DO84" i="39"/>
  <c r="DF87" i="39"/>
  <c r="DN87" i="39"/>
  <c r="DU87" i="39"/>
  <c r="DF88" i="39"/>
  <c r="DM88" i="39"/>
  <c r="DT88" i="39"/>
  <c r="EA88" i="39"/>
  <c r="DK89" i="39"/>
  <c r="DR89" i="39"/>
  <c r="DZ89" i="39"/>
  <c r="EB90" i="39"/>
  <c r="DV90" i="39"/>
  <c r="DP90" i="39"/>
  <c r="DJ90" i="39"/>
  <c r="DK90" i="39"/>
  <c r="DR90" i="39"/>
  <c r="DY90" i="39"/>
  <c r="DY91" i="39"/>
  <c r="DS91" i="39"/>
  <c r="DM91" i="39"/>
  <c r="DG91" i="39"/>
  <c r="DI91" i="39"/>
  <c r="DP91" i="39"/>
  <c r="DW91" i="39"/>
  <c r="DH92" i="39"/>
  <c r="DO92" i="39"/>
  <c r="DF93" i="39"/>
  <c r="DN93" i="39"/>
  <c r="DU93" i="39"/>
  <c r="DF94" i="39"/>
  <c r="DM94" i="39"/>
  <c r="DT94" i="39"/>
  <c r="EA94" i="39"/>
  <c r="DK95" i="39"/>
  <c r="DR95" i="39"/>
  <c r="DZ95" i="39"/>
  <c r="EB96" i="39"/>
  <c r="DV96" i="39"/>
  <c r="DP96" i="39"/>
  <c r="DJ96" i="39"/>
  <c r="DK96" i="39"/>
  <c r="DR96" i="39"/>
  <c r="DY96" i="39"/>
  <c r="DY97" i="39"/>
  <c r="DS97" i="39"/>
  <c r="DM97" i="39"/>
  <c r="DG97" i="39"/>
  <c r="DI97" i="39"/>
  <c r="DP97" i="39"/>
  <c r="DW97" i="39"/>
  <c r="DH98" i="39"/>
  <c r="DO98" i="39"/>
  <c r="DH99" i="39"/>
  <c r="DQ99" i="39"/>
  <c r="DZ99" i="39"/>
  <c r="DK100" i="39"/>
  <c r="DW100" i="39"/>
  <c r="DI101" i="39"/>
  <c r="DW101" i="39"/>
  <c r="DE89" i="39"/>
  <c r="DL89" i="39"/>
  <c r="DT89" i="39"/>
  <c r="EA89" i="39"/>
  <c r="DN94" i="39"/>
  <c r="DU94" i="39"/>
  <c r="DE95" i="39"/>
  <c r="DL95" i="39"/>
  <c r="DT95" i="39"/>
  <c r="EA95" i="39"/>
  <c r="DI99" i="39"/>
  <c r="DR99" i="39"/>
  <c r="EA99" i="39"/>
  <c r="DL100" i="39"/>
  <c r="DJ101" i="39"/>
  <c r="DX84" i="39"/>
  <c r="DR84" i="39"/>
  <c r="DL84" i="39"/>
  <c r="DF84" i="39"/>
  <c r="DJ84" i="39"/>
  <c r="DQ84" i="39"/>
  <c r="DY84" i="39"/>
  <c r="DY87" i="39"/>
  <c r="DS87" i="39"/>
  <c r="DM87" i="39"/>
  <c r="DG87" i="39"/>
  <c r="DI87" i="39"/>
  <c r="DP87" i="39"/>
  <c r="DW87" i="39"/>
  <c r="DH88" i="39"/>
  <c r="DO88" i="39"/>
  <c r="DF89" i="39"/>
  <c r="DN89" i="39"/>
  <c r="DU89" i="39"/>
  <c r="EB92" i="39"/>
  <c r="DV92" i="39"/>
  <c r="DP92" i="39"/>
  <c r="DJ92" i="39"/>
  <c r="DK92" i="39"/>
  <c r="DR92" i="39"/>
  <c r="DY92" i="39"/>
  <c r="DY93" i="39"/>
  <c r="DS93" i="39"/>
  <c r="DM93" i="39"/>
  <c r="DG93" i="39"/>
  <c r="DI93" i="39"/>
  <c r="DP93" i="39"/>
  <c r="DW93" i="39"/>
  <c r="DH94" i="39"/>
  <c r="DO94" i="39"/>
  <c r="DF95" i="39"/>
  <c r="DN95" i="39"/>
  <c r="DU95" i="39"/>
  <c r="DY98" i="39"/>
  <c r="DS98" i="39"/>
  <c r="EB98" i="39"/>
  <c r="DV98" i="39"/>
  <c r="DP98" i="39"/>
  <c r="DJ98" i="39"/>
  <c r="DK98" i="39"/>
  <c r="DR98" i="39"/>
  <c r="EA98" i="39"/>
  <c r="DK99" i="39"/>
  <c r="DZ100" i="39"/>
  <c r="DT100" i="39"/>
  <c r="DN100" i="39"/>
  <c r="DH100" i="39"/>
  <c r="DY100" i="39"/>
  <c r="DS100" i="39"/>
  <c r="DM100" i="39"/>
  <c r="DG100" i="39"/>
  <c r="EB100" i="39"/>
  <c r="DV100" i="39"/>
  <c r="DP100" i="39"/>
  <c r="DJ100" i="39"/>
  <c r="DO100" i="39"/>
  <c r="EA100" i="39"/>
  <c r="EB99" i="39"/>
  <c r="DV99" i="39"/>
  <c r="DP99" i="39"/>
  <c r="DJ99" i="39"/>
  <c r="DY99" i="39"/>
  <c r="DS99" i="39"/>
  <c r="DM99" i="39"/>
  <c r="DG99" i="39"/>
  <c r="DL99" i="39"/>
  <c r="DU99" i="39"/>
  <c r="EB88" i="39"/>
  <c r="DV88" i="39"/>
  <c r="DP88" i="39"/>
  <c r="DJ88" i="39"/>
  <c r="DK88" i="39"/>
  <c r="DR88" i="39"/>
  <c r="DY88" i="39"/>
  <c r="DY89" i="39"/>
  <c r="DS89" i="39"/>
  <c r="DM89" i="39"/>
  <c r="DG89" i="39"/>
  <c r="DI89" i="39"/>
  <c r="DP89" i="39"/>
  <c r="DW89" i="39"/>
  <c r="EB94" i="39"/>
  <c r="DV94" i="39"/>
  <c r="DP94" i="39"/>
  <c r="DJ94" i="39"/>
  <c r="DK94" i="39"/>
  <c r="DR94" i="39"/>
  <c r="DY94" i="39"/>
  <c r="DY95" i="39"/>
  <c r="DS95" i="39"/>
  <c r="DM95" i="39"/>
  <c r="DG95" i="39"/>
  <c r="DI95" i="39"/>
  <c r="DP95" i="39"/>
  <c r="DW95" i="39"/>
  <c r="DF98" i="39"/>
  <c r="DM98" i="39"/>
  <c r="DU98" i="39"/>
  <c r="DE99" i="39"/>
  <c r="DN99" i="39"/>
  <c r="DW99" i="39"/>
  <c r="DF100" i="39"/>
  <c r="DR100" i="39"/>
  <c r="DY101" i="39"/>
  <c r="DS101" i="39"/>
  <c r="DM101" i="39"/>
  <c r="DG101" i="39"/>
  <c r="EA101" i="39"/>
  <c r="DT101" i="39"/>
  <c r="DL101" i="39"/>
  <c r="DE101" i="39"/>
  <c r="DZ101" i="39"/>
  <c r="DR101" i="39"/>
  <c r="DK101" i="39"/>
  <c r="DV101" i="39"/>
  <c r="DO101" i="39"/>
  <c r="DH101" i="39"/>
  <c r="DQ101" i="39"/>
  <c r="DY104" i="39"/>
  <c r="DS104" i="39"/>
  <c r="DM104" i="39"/>
  <c r="DG104" i="39"/>
  <c r="EB104" i="39"/>
  <c r="DU104" i="39"/>
  <c r="DN104" i="39"/>
  <c r="DF104" i="39"/>
  <c r="EA104" i="39"/>
  <c r="DT104" i="39"/>
  <c r="DL104" i="39"/>
  <c r="DE104" i="39"/>
  <c r="DZ104" i="39"/>
  <c r="DR104" i="39"/>
  <c r="DK104" i="39"/>
  <c r="DV104" i="39"/>
  <c r="DO104" i="39"/>
  <c r="DH104" i="39"/>
  <c r="DX104" i="39"/>
  <c r="DE94" i="39"/>
  <c r="DL94" i="39"/>
  <c r="DS94" i="39"/>
  <c r="DZ94" i="39"/>
  <c r="DJ95" i="39"/>
  <c r="DQ95" i="39"/>
  <c r="DX95" i="39"/>
  <c r="DG98" i="39"/>
  <c r="DN98" i="39"/>
  <c r="DW98" i="39"/>
  <c r="DF99" i="39"/>
  <c r="DO99" i="39"/>
  <c r="DX99" i="39"/>
  <c r="DI100" i="39"/>
  <c r="DU100" i="39"/>
  <c r="DJ86" i="39"/>
  <c r="DP86" i="39"/>
  <c r="DV86" i="39"/>
  <c r="EB86" i="39"/>
  <c r="DJ102" i="39"/>
  <c r="DQ102" i="39"/>
  <c r="DG105" i="39"/>
  <c r="DN105" i="39"/>
  <c r="DE106" i="39"/>
  <c r="DL106" i="39"/>
  <c r="DT106" i="39"/>
  <c r="DE107" i="39"/>
  <c r="DL107" i="39"/>
  <c r="DS107" i="39"/>
  <c r="DZ107" i="39"/>
  <c r="DJ108" i="39"/>
  <c r="DQ108" i="39"/>
  <c r="DX108" i="39"/>
  <c r="DI109" i="39"/>
  <c r="DQ109" i="39"/>
  <c r="DH110" i="39"/>
  <c r="DO110" i="39"/>
  <c r="DG111" i="39"/>
  <c r="DN111" i="39"/>
  <c r="DE112" i="39"/>
  <c r="DL112" i="39"/>
  <c r="DT112" i="39"/>
  <c r="DH114" i="39"/>
  <c r="DP114" i="39"/>
  <c r="EA114" i="39"/>
  <c r="EB109" i="39"/>
  <c r="DV109" i="39"/>
  <c r="DP109" i="39"/>
  <c r="DJ109" i="39"/>
  <c r="DK109" i="39"/>
  <c r="DR109" i="39"/>
  <c r="DY109" i="39"/>
  <c r="DY110" i="39"/>
  <c r="DS110" i="39"/>
  <c r="DM110" i="39"/>
  <c r="DG110" i="39"/>
  <c r="DI110" i="39"/>
  <c r="DP110" i="39"/>
  <c r="DW110" i="39"/>
  <c r="DI114" i="39"/>
  <c r="DR114" i="39"/>
  <c r="DY114" i="39"/>
  <c r="DW114" i="39"/>
  <c r="DQ114" i="39"/>
  <c r="DK114" i="39"/>
  <c r="DE114" i="39"/>
  <c r="DZ114" i="39"/>
  <c r="DS114" i="39"/>
  <c r="DM114" i="39"/>
  <c r="DG114" i="39"/>
  <c r="DJ114" i="39"/>
  <c r="DT114" i="39"/>
  <c r="DX102" i="39"/>
  <c r="DR102" i="39"/>
  <c r="DL102" i="39"/>
  <c r="DF102" i="39"/>
  <c r="DG102" i="39"/>
  <c r="DN102" i="39"/>
  <c r="DU102" i="39"/>
  <c r="EB102" i="39"/>
  <c r="EB105" i="39"/>
  <c r="DV105" i="39"/>
  <c r="DP105" i="39"/>
  <c r="DJ105" i="39"/>
  <c r="DK105" i="39"/>
  <c r="DR105" i="39"/>
  <c r="DY105" i="39"/>
  <c r="DY106" i="39"/>
  <c r="DS106" i="39"/>
  <c r="DM106" i="39"/>
  <c r="DG106" i="39"/>
  <c r="DI106" i="39"/>
  <c r="DP106" i="39"/>
  <c r="DW106" i="39"/>
  <c r="DH107" i="39"/>
  <c r="DO107" i="39"/>
  <c r="DW107" i="39"/>
  <c r="DF108" i="39"/>
  <c r="DN108" i="39"/>
  <c r="DU108" i="39"/>
  <c r="EB108" i="39"/>
  <c r="DF109" i="39"/>
  <c r="DM109" i="39"/>
  <c r="DT109" i="39"/>
  <c r="EA109" i="39"/>
  <c r="DK110" i="39"/>
  <c r="DR110" i="39"/>
  <c r="DZ110" i="39"/>
  <c r="EB111" i="39"/>
  <c r="DV111" i="39"/>
  <c r="DP111" i="39"/>
  <c r="DJ111" i="39"/>
  <c r="DK111" i="39"/>
  <c r="DR111" i="39"/>
  <c r="DY111" i="39"/>
  <c r="DY112" i="39"/>
  <c r="DS112" i="39"/>
  <c r="DM112" i="39"/>
  <c r="DG112" i="39"/>
  <c r="DI112" i="39"/>
  <c r="DP112" i="39"/>
  <c r="DW112" i="39"/>
  <c r="DL114" i="39"/>
  <c r="DU114" i="39"/>
  <c r="DH102" i="39"/>
  <c r="DO102" i="39"/>
  <c r="DV102" i="39"/>
  <c r="DE105" i="39"/>
  <c r="DL105" i="39"/>
  <c r="DS105" i="39"/>
  <c r="DZ105" i="39"/>
  <c r="DJ106" i="39"/>
  <c r="DQ106" i="39"/>
  <c r="DX106" i="39"/>
  <c r="DI107" i="39"/>
  <c r="DQ107" i="39"/>
  <c r="DH108" i="39"/>
  <c r="DO108" i="39"/>
  <c r="DG109" i="39"/>
  <c r="DN109" i="39"/>
  <c r="DU109" i="39"/>
  <c r="DE110" i="39"/>
  <c r="DL110" i="39"/>
  <c r="DT110" i="39"/>
  <c r="EA110" i="39"/>
  <c r="DE111" i="39"/>
  <c r="DL111" i="39"/>
  <c r="DS111" i="39"/>
  <c r="DZ111" i="39"/>
  <c r="DJ112" i="39"/>
  <c r="DQ112" i="39"/>
  <c r="DX112" i="39"/>
  <c r="DN114" i="39"/>
  <c r="DV114" i="39"/>
  <c r="EB107" i="39"/>
  <c r="DV107" i="39"/>
  <c r="DP107" i="39"/>
  <c r="DJ107" i="39"/>
  <c r="DK107" i="39"/>
  <c r="DR107" i="39"/>
  <c r="DY107" i="39"/>
  <c r="DY108" i="39"/>
  <c r="DS108" i="39"/>
  <c r="DM108" i="39"/>
  <c r="DG108" i="39"/>
  <c r="DI108" i="39"/>
  <c r="DP108" i="39"/>
  <c r="DW108" i="39"/>
  <c r="DH109" i="39"/>
  <c r="DO109" i="39"/>
  <c r="DW109" i="39"/>
  <c r="DF110" i="39"/>
  <c r="DN110" i="39"/>
  <c r="DU110" i="39"/>
  <c r="EB110" i="39"/>
  <c r="DF111" i="39"/>
  <c r="DM111" i="39"/>
  <c r="DT111" i="39"/>
  <c r="EA111" i="39"/>
  <c r="DK112" i="39"/>
  <c r="DR112" i="39"/>
  <c r="DZ112" i="39"/>
  <c r="DF114" i="39"/>
  <c r="DO114" i="39"/>
  <c r="DX114" i="39"/>
  <c r="DJ103" i="39"/>
  <c r="DP103" i="39"/>
  <c r="DV103" i="39"/>
  <c r="EB103" i="39"/>
  <c r="DJ113" i="39"/>
  <c r="DP113" i="39"/>
  <c r="DV113" i="39"/>
  <c r="EB113" i="39"/>
  <c r="EB115" i="39"/>
  <c r="DV115" i="39"/>
  <c r="DP115" i="39"/>
  <c r="DJ115" i="39"/>
  <c r="DK115" i="39"/>
  <c r="DR115" i="39"/>
  <c r="DY115" i="39"/>
  <c r="DY116" i="39"/>
  <c r="DS116" i="39"/>
  <c r="DM116" i="39"/>
  <c r="DG116" i="39"/>
  <c r="DI116" i="39"/>
  <c r="DP116" i="39"/>
  <c r="DW116" i="39"/>
  <c r="DH117" i="39"/>
  <c r="DO117" i="39"/>
  <c r="DF118" i="39"/>
  <c r="DN118" i="39"/>
  <c r="DU118" i="39"/>
  <c r="DI119" i="39"/>
  <c r="DP119" i="39"/>
  <c r="DI120" i="39"/>
  <c r="DP120" i="39"/>
  <c r="DJ122" i="39"/>
  <c r="DQ122" i="39"/>
  <c r="DH123" i="39"/>
  <c r="DR123" i="39"/>
  <c r="DK124" i="39"/>
  <c r="DS124" i="39"/>
  <c r="DF125" i="39"/>
  <c r="DO125" i="39"/>
  <c r="DW125" i="39"/>
  <c r="DH126" i="39"/>
  <c r="DP126" i="39"/>
  <c r="DH127" i="39"/>
  <c r="DP127" i="39"/>
  <c r="DY127" i="39"/>
  <c r="DK129" i="39"/>
  <c r="DW129" i="39"/>
  <c r="DO131" i="39"/>
  <c r="DQ132" i="39"/>
  <c r="EA122" i="39"/>
  <c r="DU122" i="39"/>
  <c r="DO122" i="39"/>
  <c r="DI122" i="39"/>
  <c r="DK122" i="39"/>
  <c r="DR122" i="39"/>
  <c r="DY122" i="39"/>
  <c r="DX126" i="39"/>
  <c r="DR126" i="39"/>
  <c r="DL126" i="39"/>
  <c r="DF126" i="39"/>
  <c r="EA126" i="39"/>
  <c r="DT126" i="39"/>
  <c r="DM126" i="39"/>
  <c r="DE126" i="39"/>
  <c r="DI126" i="39"/>
  <c r="DQ126" i="39"/>
  <c r="DZ126" i="39"/>
  <c r="DI127" i="39"/>
  <c r="DR127" i="39"/>
  <c r="DZ127" i="39"/>
  <c r="DN129" i="39"/>
  <c r="DX129" i="39"/>
  <c r="DP131" i="39"/>
  <c r="DS132" i="39"/>
  <c r="EB117" i="39"/>
  <c r="DV117" i="39"/>
  <c r="DP117" i="39"/>
  <c r="DJ117" i="39"/>
  <c r="DK117" i="39"/>
  <c r="DR117" i="39"/>
  <c r="DY117" i="39"/>
  <c r="DY118" i="39"/>
  <c r="DS118" i="39"/>
  <c r="DM118" i="39"/>
  <c r="DG118" i="39"/>
  <c r="DI118" i="39"/>
  <c r="DP118" i="39"/>
  <c r="DW118" i="39"/>
  <c r="DW120" i="39"/>
  <c r="DQ120" i="39"/>
  <c r="DK120" i="39"/>
  <c r="DE120" i="39"/>
  <c r="DL120" i="39"/>
  <c r="DS120" i="39"/>
  <c r="DZ120" i="39"/>
  <c r="DE122" i="39"/>
  <c r="DL122" i="39"/>
  <c r="DS122" i="39"/>
  <c r="DZ122" i="39"/>
  <c r="EA123" i="39"/>
  <c r="DU123" i="39"/>
  <c r="DO123" i="39"/>
  <c r="DI123" i="39"/>
  <c r="DX123" i="39"/>
  <c r="DQ123" i="39"/>
  <c r="DJ123" i="39"/>
  <c r="DL123" i="39"/>
  <c r="DT123" i="39"/>
  <c r="DZ124" i="39"/>
  <c r="DT124" i="39"/>
  <c r="DN124" i="39"/>
  <c r="DH124" i="39"/>
  <c r="DX124" i="39"/>
  <c r="DQ124" i="39"/>
  <c r="DJ124" i="39"/>
  <c r="DE124" i="39"/>
  <c r="DM124" i="39"/>
  <c r="DV124" i="39"/>
  <c r="DJ126" i="39"/>
  <c r="DS126" i="39"/>
  <c r="EB126" i="39"/>
  <c r="DJ127" i="39"/>
  <c r="DS127" i="39"/>
  <c r="DP129" i="39"/>
  <c r="DG132" i="39"/>
  <c r="DU132" i="39"/>
  <c r="DH113" i="39"/>
  <c r="DN113" i="39"/>
  <c r="DT113" i="39"/>
  <c r="DF117" i="39"/>
  <c r="DM117" i="39"/>
  <c r="DT117" i="39"/>
  <c r="EA117" i="39"/>
  <c r="DK118" i="39"/>
  <c r="DR118" i="39"/>
  <c r="DZ118" i="39"/>
  <c r="DX119" i="39"/>
  <c r="DR119" i="39"/>
  <c r="DL119" i="39"/>
  <c r="DF119" i="39"/>
  <c r="DG119" i="39"/>
  <c r="DN119" i="39"/>
  <c r="DU119" i="39"/>
  <c r="EB119" i="39"/>
  <c r="DG120" i="39"/>
  <c r="DN120" i="39"/>
  <c r="DU120" i="39"/>
  <c r="EB120" i="39"/>
  <c r="DG122" i="39"/>
  <c r="DN122" i="39"/>
  <c r="DV122" i="39"/>
  <c r="DF123" i="39"/>
  <c r="DN123" i="39"/>
  <c r="DW123" i="39"/>
  <c r="DG124" i="39"/>
  <c r="DP124" i="39"/>
  <c r="DY124" i="39"/>
  <c r="DY125" i="39"/>
  <c r="DS125" i="39"/>
  <c r="DM125" i="39"/>
  <c r="DG125" i="39"/>
  <c r="DX125" i="39"/>
  <c r="DQ125" i="39"/>
  <c r="DJ125" i="39"/>
  <c r="DL125" i="39"/>
  <c r="DU125" i="39"/>
  <c r="DN126" i="39"/>
  <c r="DV126" i="39"/>
  <c r="DW127" i="39"/>
  <c r="DQ127" i="39"/>
  <c r="DK127" i="39"/>
  <c r="DE127" i="39"/>
  <c r="EA127" i="39"/>
  <c r="DT127" i="39"/>
  <c r="DM127" i="39"/>
  <c r="DF127" i="39"/>
  <c r="DN127" i="39"/>
  <c r="DV127" i="39"/>
  <c r="EA129" i="39"/>
  <c r="DU129" i="39"/>
  <c r="DO129" i="39"/>
  <c r="DI129" i="39"/>
  <c r="DZ129" i="39"/>
  <c r="DS129" i="39"/>
  <c r="DL129" i="39"/>
  <c r="DE129" i="39"/>
  <c r="EB129" i="39"/>
  <c r="DT129" i="39"/>
  <c r="DM129" i="39"/>
  <c r="DF129" i="39"/>
  <c r="DH129" i="39"/>
  <c r="DR129" i="39"/>
  <c r="DY131" i="39"/>
  <c r="DS131" i="39"/>
  <c r="DM131" i="39"/>
  <c r="DG131" i="39"/>
  <c r="EA131" i="39"/>
  <c r="DT131" i="39"/>
  <c r="DL131" i="39"/>
  <c r="DE131" i="39"/>
  <c r="DX131" i="39"/>
  <c r="DQ131" i="39"/>
  <c r="DJ131" i="39"/>
  <c r="EB131" i="39"/>
  <c r="DU131" i="39"/>
  <c r="DN131" i="39"/>
  <c r="DF131" i="39"/>
  <c r="DI131" i="39"/>
  <c r="DW131" i="39"/>
  <c r="DK132" i="39"/>
  <c r="DW133" i="39"/>
  <c r="DQ133" i="39"/>
  <c r="DK133" i="39"/>
  <c r="DE133" i="39"/>
  <c r="DV133" i="39"/>
  <c r="DO133" i="39"/>
  <c r="DH133" i="39"/>
  <c r="EB133" i="39"/>
  <c r="DU133" i="39"/>
  <c r="DN133" i="39"/>
  <c r="DG133" i="39"/>
  <c r="EA133" i="39"/>
  <c r="DT133" i="39"/>
  <c r="DM133" i="39"/>
  <c r="DF133" i="39"/>
  <c r="DY133" i="39"/>
  <c r="DR133" i="39"/>
  <c r="DJ133" i="39"/>
  <c r="DX133" i="39"/>
  <c r="DP133" i="39"/>
  <c r="DI133" i="39"/>
  <c r="DS133" i="39"/>
  <c r="DX132" i="39"/>
  <c r="DR132" i="39"/>
  <c r="DL132" i="39"/>
  <c r="DF132" i="39"/>
  <c r="DV132" i="39"/>
  <c r="DO132" i="39"/>
  <c r="DH132" i="39"/>
  <c r="EA132" i="39"/>
  <c r="DT132" i="39"/>
  <c r="DM132" i="39"/>
  <c r="DE132" i="39"/>
  <c r="DW132" i="39"/>
  <c r="DP132" i="39"/>
  <c r="DI132" i="39"/>
  <c r="DN132" i="39"/>
  <c r="EB132" i="39"/>
  <c r="DJ121" i="39"/>
  <c r="DP121" i="39"/>
  <c r="DV121" i="39"/>
  <c r="EB121" i="39"/>
  <c r="DF130" i="39"/>
  <c r="DM130" i="39"/>
  <c r="DU130" i="39"/>
  <c r="DE135" i="39"/>
  <c r="DM135" i="39"/>
  <c r="DK136" i="39"/>
  <c r="DU136" i="39"/>
  <c r="DL137" i="39"/>
  <c r="DG138" i="39"/>
  <c r="DP138" i="39"/>
  <c r="DJ141" i="39"/>
  <c r="DY143" i="39"/>
  <c r="DS143" i="39"/>
  <c r="DM143" i="39"/>
  <c r="DG143" i="39"/>
  <c r="EA143" i="39"/>
  <c r="DT143" i="39"/>
  <c r="DL143" i="39"/>
  <c r="DE143" i="39"/>
  <c r="DW143" i="39"/>
  <c r="DP143" i="39"/>
  <c r="DI143" i="39"/>
  <c r="DV143" i="39"/>
  <c r="DO143" i="39"/>
  <c r="DH143" i="39"/>
  <c r="EB143" i="39"/>
  <c r="DU143" i="39"/>
  <c r="DN143" i="39"/>
  <c r="DF143" i="39"/>
  <c r="DK143" i="39"/>
  <c r="DG144" i="39"/>
  <c r="DX147" i="39"/>
  <c r="DR147" i="39"/>
  <c r="DL147" i="39"/>
  <c r="DF147" i="39"/>
  <c r="DV147" i="39"/>
  <c r="DO147" i="39"/>
  <c r="DH147" i="39"/>
  <c r="DY147" i="39"/>
  <c r="DW147" i="39"/>
  <c r="DP147" i="39"/>
  <c r="DI147" i="39"/>
  <c r="DZ147" i="39"/>
  <c r="DM147" i="39"/>
  <c r="DU147" i="39"/>
  <c r="DK147" i="39"/>
  <c r="DS147" i="39"/>
  <c r="DG147" i="39"/>
  <c r="EB147" i="39"/>
  <c r="DQ147" i="39"/>
  <c r="DE147" i="39"/>
  <c r="EA147" i="39"/>
  <c r="DN147" i="39"/>
  <c r="DL136" i="39"/>
  <c r="DV136" i="39"/>
  <c r="DY137" i="39"/>
  <c r="DS137" i="39"/>
  <c r="DM137" i="39"/>
  <c r="DG137" i="39"/>
  <c r="DW137" i="39"/>
  <c r="DP137" i="39"/>
  <c r="DI137" i="39"/>
  <c r="DX137" i="39"/>
  <c r="DQ137" i="39"/>
  <c r="DJ137" i="39"/>
  <c r="DN137" i="39"/>
  <c r="DZ137" i="39"/>
  <c r="DH138" i="39"/>
  <c r="DX144" i="39"/>
  <c r="DR144" i="39"/>
  <c r="DL144" i="39"/>
  <c r="DF144" i="39"/>
  <c r="DV144" i="39"/>
  <c r="DO144" i="39"/>
  <c r="DH144" i="39"/>
  <c r="DZ144" i="39"/>
  <c r="DS144" i="39"/>
  <c r="DK144" i="39"/>
  <c r="DY144" i="39"/>
  <c r="DQ144" i="39"/>
  <c r="DJ144" i="39"/>
  <c r="DW144" i="39"/>
  <c r="DP144" i="39"/>
  <c r="DI144" i="39"/>
  <c r="DM144" i="39"/>
  <c r="DX138" i="39"/>
  <c r="DR138" i="39"/>
  <c r="DL138" i="39"/>
  <c r="DF138" i="39"/>
  <c r="DZ138" i="39"/>
  <c r="DS138" i="39"/>
  <c r="DK138" i="39"/>
  <c r="DV138" i="39"/>
  <c r="EA138" i="39"/>
  <c r="DT138" i="39"/>
  <c r="DM138" i="39"/>
  <c r="DE138" i="39"/>
  <c r="DI138" i="39"/>
  <c r="DU138" i="39"/>
  <c r="EA141" i="39"/>
  <c r="DU141" i="39"/>
  <c r="DO141" i="39"/>
  <c r="DI141" i="39"/>
  <c r="DZ141" i="39"/>
  <c r="DS141" i="39"/>
  <c r="DL141" i="39"/>
  <c r="DE141" i="39"/>
  <c r="DW141" i="39"/>
  <c r="DP141" i="39"/>
  <c r="DH141" i="39"/>
  <c r="DV141" i="39"/>
  <c r="DN141" i="39"/>
  <c r="DG141" i="39"/>
  <c r="EB141" i="39"/>
  <c r="DT141" i="39"/>
  <c r="DM141" i="39"/>
  <c r="DF141" i="39"/>
  <c r="DQ141" i="39"/>
  <c r="DN144" i="39"/>
  <c r="DZ136" i="39"/>
  <c r="DT136" i="39"/>
  <c r="DN136" i="39"/>
  <c r="DH136" i="39"/>
  <c r="DW136" i="39"/>
  <c r="DP136" i="39"/>
  <c r="DI136" i="39"/>
  <c r="DX136" i="39"/>
  <c r="DQ136" i="39"/>
  <c r="DJ136" i="39"/>
  <c r="DE136" i="39"/>
  <c r="DO136" i="39"/>
  <c r="EA136" i="39"/>
  <c r="DF137" i="39"/>
  <c r="DR137" i="39"/>
  <c r="EB137" i="39"/>
  <c r="DJ138" i="39"/>
  <c r="DW138" i="39"/>
  <c r="DR141" i="39"/>
  <c r="DT144" i="39"/>
  <c r="EB136" i="39"/>
  <c r="DH137" i="39"/>
  <c r="DT137" i="39"/>
  <c r="DN138" i="39"/>
  <c r="DY138" i="39"/>
  <c r="DX141" i="39"/>
  <c r="DU144" i="39"/>
  <c r="DZ130" i="39"/>
  <c r="DT130" i="39"/>
  <c r="DN130" i="39"/>
  <c r="DH130" i="39"/>
  <c r="DE130" i="39"/>
  <c r="DL130" i="39"/>
  <c r="DS130" i="39"/>
  <c r="EA130" i="39"/>
  <c r="EA135" i="39"/>
  <c r="DU135" i="39"/>
  <c r="DO135" i="39"/>
  <c r="DI135" i="39"/>
  <c r="DX135" i="39"/>
  <c r="DQ135" i="39"/>
  <c r="DJ135" i="39"/>
  <c r="DL135" i="39"/>
  <c r="DT135" i="39"/>
  <c r="DG136" i="39"/>
  <c r="DS136" i="39"/>
  <c r="DK137" i="39"/>
  <c r="DU137" i="39"/>
  <c r="DO138" i="39"/>
  <c r="EB138" i="39"/>
  <c r="DY141" i="39"/>
  <c r="DE144" i="39"/>
  <c r="EA144" i="39"/>
  <c r="DJ128" i="39"/>
  <c r="DP128" i="39"/>
  <c r="DV128" i="39"/>
  <c r="EB128" i="39"/>
  <c r="EB134" i="39"/>
  <c r="DV134" i="39"/>
  <c r="DP134" i="39"/>
  <c r="DJ134" i="39"/>
  <c r="DQ134" i="39"/>
  <c r="DX134" i="39"/>
  <c r="DF139" i="39"/>
  <c r="DM139" i="39"/>
  <c r="DT139" i="39"/>
  <c r="DF142" i="39"/>
  <c r="DM142" i="39"/>
  <c r="DU142" i="39"/>
  <c r="DI145" i="39"/>
  <c r="DP145" i="39"/>
  <c r="DX145" i="39"/>
  <c r="DN148" i="39"/>
  <c r="EB148" i="39"/>
  <c r="DZ151" i="39"/>
  <c r="DT151" i="39"/>
  <c r="DN151" i="39"/>
  <c r="DH151" i="39"/>
  <c r="DW151" i="39"/>
  <c r="DP151" i="39"/>
  <c r="DI151" i="39"/>
  <c r="DV151" i="39"/>
  <c r="DO151" i="39"/>
  <c r="DG151" i="39"/>
  <c r="EB151" i="39"/>
  <c r="DU151" i="39"/>
  <c r="DM151" i="39"/>
  <c r="DF151" i="39"/>
  <c r="DY151" i="39"/>
  <c r="DR151" i="39"/>
  <c r="DK151" i="39"/>
  <c r="DX151" i="39"/>
  <c r="DQ151" i="39"/>
  <c r="DJ151" i="39"/>
  <c r="DS151" i="39"/>
  <c r="DJ145" i="39"/>
  <c r="DR145" i="39"/>
  <c r="DW145" i="39"/>
  <c r="DQ145" i="39"/>
  <c r="DK145" i="39"/>
  <c r="DE145" i="39"/>
  <c r="DL145" i="39"/>
  <c r="DS145" i="39"/>
  <c r="DZ145" i="39"/>
  <c r="DW148" i="39"/>
  <c r="DQ148" i="39"/>
  <c r="DK148" i="39"/>
  <c r="DE148" i="39"/>
  <c r="DV148" i="39"/>
  <c r="DO148" i="39"/>
  <c r="DH148" i="39"/>
  <c r="DY148" i="39"/>
  <c r="DR148" i="39"/>
  <c r="DJ148" i="39"/>
  <c r="DX148" i="39"/>
  <c r="DP148" i="39"/>
  <c r="DI148" i="39"/>
  <c r="DF148" i="39"/>
  <c r="DT148" i="39"/>
  <c r="DW139" i="39"/>
  <c r="DQ139" i="39"/>
  <c r="DK139" i="39"/>
  <c r="DE139" i="39"/>
  <c r="DL139" i="39"/>
  <c r="DS139" i="39"/>
  <c r="DZ139" i="39"/>
  <c r="DZ142" i="39"/>
  <c r="DT142" i="39"/>
  <c r="DN142" i="39"/>
  <c r="DH142" i="39"/>
  <c r="DE142" i="39"/>
  <c r="DL142" i="39"/>
  <c r="DS142" i="39"/>
  <c r="EA142" i="39"/>
  <c r="DH145" i="39"/>
  <c r="DO145" i="39"/>
  <c r="DV145" i="39"/>
  <c r="DM148" i="39"/>
  <c r="EA148" i="39"/>
  <c r="DJ140" i="39"/>
  <c r="DP140" i="39"/>
  <c r="DV140" i="39"/>
  <c r="EB140" i="39"/>
  <c r="DJ146" i="39"/>
  <c r="DP146" i="39"/>
  <c r="DV146" i="39"/>
  <c r="DJ150" i="39"/>
  <c r="DQ150" i="39"/>
  <c r="DJ152" i="39"/>
  <c r="DQ152" i="39"/>
  <c r="DE153" i="39"/>
  <c r="DM153" i="39"/>
  <c r="DT153" i="39"/>
  <c r="DH154" i="39"/>
  <c r="DQ154" i="39"/>
  <c r="DY154" i="39"/>
  <c r="DL155" i="39"/>
  <c r="DL158" i="39"/>
  <c r="DV158" i="39"/>
  <c r="EA150" i="39"/>
  <c r="DU150" i="39"/>
  <c r="DO150" i="39"/>
  <c r="DI150" i="39"/>
  <c r="DK150" i="39"/>
  <c r="DR150" i="39"/>
  <c r="DY150" i="39"/>
  <c r="DY152" i="39"/>
  <c r="DS152" i="39"/>
  <c r="DM152" i="39"/>
  <c r="DG152" i="39"/>
  <c r="DK152" i="39"/>
  <c r="DR152" i="39"/>
  <c r="DZ152" i="39"/>
  <c r="DX153" i="39"/>
  <c r="DR153" i="39"/>
  <c r="DL153" i="39"/>
  <c r="DF153" i="39"/>
  <c r="DG153" i="39"/>
  <c r="DN153" i="39"/>
  <c r="DU153" i="39"/>
  <c r="EB153" i="39"/>
  <c r="DJ154" i="39"/>
  <c r="DR154" i="39"/>
  <c r="DZ154" i="39"/>
  <c r="DZ155" i="39"/>
  <c r="DT155" i="39"/>
  <c r="DN155" i="39"/>
  <c r="DH155" i="39"/>
  <c r="EB155" i="39"/>
  <c r="DU155" i="39"/>
  <c r="DM155" i="39"/>
  <c r="DF155" i="39"/>
  <c r="DE155" i="39"/>
  <c r="DO155" i="39"/>
  <c r="DW155" i="39"/>
  <c r="DM158" i="39"/>
  <c r="DY158" i="39"/>
  <c r="DF158" i="39"/>
  <c r="DR158" i="39"/>
  <c r="DW158" i="39"/>
  <c r="DQ158" i="39"/>
  <c r="DK158" i="39"/>
  <c r="DE158" i="39"/>
  <c r="EB158" i="39"/>
  <c r="DU158" i="39"/>
  <c r="DN158" i="39"/>
  <c r="DG158" i="39"/>
  <c r="DX158" i="39"/>
  <c r="DP158" i="39"/>
  <c r="DI158" i="39"/>
  <c r="DH158" i="39"/>
  <c r="DS158" i="39"/>
  <c r="DH150" i="39"/>
  <c r="DP150" i="39"/>
  <c r="DW150" i="39"/>
  <c r="DI152" i="39"/>
  <c r="DP152" i="39"/>
  <c r="DW152" i="39"/>
  <c r="DK153" i="39"/>
  <c r="DS153" i="39"/>
  <c r="DZ153" i="39"/>
  <c r="EA154" i="39"/>
  <c r="DU154" i="39"/>
  <c r="DO154" i="39"/>
  <c r="DI154" i="39"/>
  <c r="EB154" i="39"/>
  <c r="DT154" i="39"/>
  <c r="DM154" i="39"/>
  <c r="DF154" i="39"/>
  <c r="DG154" i="39"/>
  <c r="DP154" i="39"/>
  <c r="DX154" i="39"/>
  <c r="DK155" i="39"/>
  <c r="DS155" i="39"/>
  <c r="DJ158" i="39"/>
  <c r="DT158" i="39"/>
  <c r="DJ149" i="39"/>
  <c r="DP149" i="39"/>
  <c r="DV149" i="39"/>
  <c r="EB149" i="39"/>
  <c r="DF156" i="39"/>
  <c r="DN156" i="39"/>
  <c r="DU156" i="39"/>
  <c r="DI157" i="39"/>
  <c r="DP157" i="39"/>
  <c r="DH160" i="39"/>
  <c r="DZ160" i="39"/>
  <c r="DN160" i="39"/>
  <c r="DP160" i="39"/>
  <c r="DY156" i="39"/>
  <c r="DS156" i="39"/>
  <c r="DM156" i="39"/>
  <c r="DG156" i="39"/>
  <c r="DK156" i="39"/>
  <c r="DR156" i="39"/>
  <c r="DZ156" i="39"/>
  <c r="DX157" i="39"/>
  <c r="DR157" i="39"/>
  <c r="DL157" i="39"/>
  <c r="DF157" i="39"/>
  <c r="DG157" i="39"/>
  <c r="DN157" i="39"/>
  <c r="DU157" i="39"/>
  <c r="EB157" i="39"/>
  <c r="DW160" i="39"/>
  <c r="DQ160" i="39"/>
  <c r="DK160" i="39"/>
  <c r="DE160" i="39"/>
  <c r="EA160" i="39"/>
  <c r="DU160" i="39"/>
  <c r="DO160" i="39"/>
  <c r="DI160" i="39"/>
  <c r="DY160" i="39"/>
  <c r="DS160" i="39"/>
  <c r="DM160" i="39"/>
  <c r="DG160" i="39"/>
  <c r="DX160" i="39"/>
  <c r="DL160" i="39"/>
  <c r="DR160" i="39"/>
  <c r="DF160" i="39"/>
  <c r="DV160" i="39"/>
  <c r="DH159" i="39"/>
  <c r="DN159" i="39"/>
  <c r="DT159" i="39"/>
  <c r="DZ159" i="39"/>
  <c r="DF161" i="39"/>
  <c r="DL161" i="39"/>
  <c r="DR161" i="39"/>
  <c r="DX161" i="39"/>
  <c r="DE162" i="39"/>
  <c r="DK162" i="39"/>
  <c r="DQ162" i="39"/>
  <c r="DW162" i="39"/>
  <c r="DJ163" i="39"/>
  <c r="DP163" i="39"/>
  <c r="DV163" i="39"/>
  <c r="EB163" i="39"/>
  <c r="DJ159" i="39"/>
  <c r="DP159" i="39"/>
  <c r="DV159" i="39"/>
  <c r="EB159" i="39"/>
  <c r="DH161" i="39"/>
  <c r="DN161" i="39"/>
  <c r="DT161" i="39"/>
  <c r="DZ161" i="39"/>
  <c r="DG162" i="39"/>
  <c r="DM162" i="39"/>
  <c r="DS162" i="39"/>
  <c r="DY162" i="39"/>
  <c r="DF163" i="39"/>
  <c r="DL163" i="39"/>
  <c r="DR163" i="39"/>
  <c r="DX163" i="39"/>
  <c r="DH162" i="39"/>
  <c r="DN162" i="39"/>
  <c r="DT162" i="39"/>
  <c r="DZ162" i="39"/>
  <c r="DG163" i="39"/>
  <c r="DM163" i="39"/>
  <c r="DS163" i="39"/>
  <c r="DY163" i="39"/>
  <c r="DF159" i="39"/>
  <c r="DL159" i="39"/>
  <c r="DR159" i="39"/>
  <c r="DJ161" i="39"/>
  <c r="DP161" i="39"/>
  <c r="DV161" i="39"/>
  <c r="EB161" i="39"/>
  <c r="DI162" i="39"/>
  <c r="DO162" i="39"/>
  <c r="DU162" i="39"/>
  <c r="EA162" i="39"/>
  <c r="DH163" i="39"/>
  <c r="DN163" i="39"/>
  <c r="DT163" i="39"/>
  <c r="DJ162" i="39"/>
  <c r="DP162" i="39"/>
  <c r="DV162" i="39"/>
  <c r="EB162" i="39"/>
  <c r="EF164" i="39" l="1"/>
  <c r="EI164" i="39"/>
  <c r="EE164" i="39"/>
  <c r="EJ164" i="39"/>
  <c r="IA4" i="39"/>
  <c r="IB4" i="39" s="1"/>
  <c r="II4" i="39"/>
  <c r="IJ4" i="39" s="1"/>
  <c r="HS4" i="39"/>
  <c r="HT4" i="39" s="1"/>
  <c r="JM5" i="39"/>
  <c r="JO5" i="39" s="1"/>
  <c r="JI5" i="39"/>
  <c r="JK5" i="39" s="1"/>
  <c r="A96" i="33"/>
  <c r="KB131" i="39"/>
  <c r="KD131" i="39" s="1"/>
  <c r="KB45" i="39"/>
  <c r="KC45" i="39" s="1"/>
  <c r="KB102" i="39"/>
  <c r="KC102" i="39" s="1"/>
  <c r="KB163" i="39"/>
  <c r="KC163" i="39" s="1"/>
  <c r="KB37" i="39"/>
  <c r="KD66" i="39"/>
  <c r="KC66" i="39"/>
  <c r="KB155" i="39"/>
  <c r="KB123" i="39"/>
  <c r="KB4" i="39"/>
  <c r="KB94" i="39"/>
  <c r="KB5" i="39"/>
  <c r="KB21" i="39"/>
  <c r="KB15" i="39"/>
  <c r="KB8" i="39"/>
  <c r="KB32" i="39"/>
  <c r="KB39" i="39"/>
  <c r="KB55" i="39"/>
  <c r="KB57" i="39"/>
  <c r="KB59" i="39"/>
  <c r="KB61" i="39"/>
  <c r="KB63" i="39"/>
  <c r="KB65" i="39"/>
  <c r="KB71" i="39"/>
  <c r="KB13" i="39"/>
  <c r="KB27" i="39"/>
  <c r="KB35" i="39"/>
  <c r="KB38" i="39"/>
  <c r="KB50" i="39"/>
  <c r="KB52" i="39"/>
  <c r="KB72" i="39"/>
  <c r="KB74" i="39"/>
  <c r="KB76" i="39"/>
  <c r="KB78" i="39"/>
  <c r="KB80" i="39"/>
  <c r="KB82" i="39"/>
  <c r="KB89" i="39"/>
  <c r="KB91" i="39"/>
  <c r="KB93" i="39"/>
  <c r="KB95" i="39"/>
  <c r="KB97" i="39"/>
  <c r="KB99" i="39"/>
  <c r="KB101" i="39"/>
  <c r="KB103" i="39"/>
  <c r="KB20" i="39"/>
  <c r="KB6" i="39"/>
  <c r="KB18" i="39"/>
  <c r="KB17" i="39"/>
  <c r="KB7" i="39"/>
  <c r="KB30" i="39"/>
  <c r="KB41" i="39"/>
  <c r="KB68" i="39"/>
  <c r="KB70" i="39"/>
  <c r="KB85" i="39"/>
  <c r="KB87" i="39"/>
  <c r="KB22" i="39"/>
  <c r="KB25" i="39"/>
  <c r="KB33" i="39"/>
  <c r="KB44" i="39"/>
  <c r="KB46" i="39"/>
  <c r="KB48" i="39"/>
  <c r="KB54" i="39"/>
  <c r="KB106" i="39"/>
  <c r="KB108" i="39"/>
  <c r="KB110" i="39"/>
  <c r="KB112" i="39"/>
  <c r="KB114" i="39"/>
  <c r="KB116" i="39"/>
  <c r="KB118" i="39"/>
  <c r="KB120" i="39"/>
  <c r="KB122" i="39"/>
  <c r="KB124" i="39"/>
  <c r="KB126" i="39"/>
  <c r="KB128" i="39"/>
  <c r="KB130" i="39"/>
  <c r="KB132" i="39"/>
  <c r="KB134" i="39"/>
  <c r="KB136" i="39"/>
  <c r="KB138" i="39"/>
  <c r="KB140" i="39"/>
  <c r="KB142" i="39"/>
  <c r="KB144" i="39"/>
  <c r="KB146" i="39"/>
  <c r="KB148" i="39"/>
  <c r="KB150" i="39"/>
  <c r="KB152" i="39"/>
  <c r="KB154" i="39"/>
  <c r="KB156" i="39"/>
  <c r="KB158" i="39"/>
  <c r="KB160" i="39"/>
  <c r="KB162" i="39"/>
  <c r="KB11" i="39"/>
  <c r="KB56" i="39"/>
  <c r="KB64" i="39"/>
  <c r="KB31" i="39"/>
  <c r="KB53" i="39"/>
  <c r="KB79" i="39"/>
  <c r="KB92" i="39"/>
  <c r="KB100" i="39"/>
  <c r="KB14" i="39"/>
  <c r="KB34" i="39"/>
  <c r="KB86" i="39"/>
  <c r="KB40" i="39"/>
  <c r="KD40" i="39" s="1"/>
  <c r="KB105" i="39"/>
  <c r="KB113" i="39"/>
  <c r="KB121" i="39"/>
  <c r="KB129" i="39"/>
  <c r="KB137" i="39"/>
  <c r="KB145" i="39"/>
  <c r="KB153" i="39"/>
  <c r="KB161" i="39"/>
  <c r="KB10" i="39"/>
  <c r="KB43" i="39"/>
  <c r="KB62" i="39"/>
  <c r="KB12" i="39"/>
  <c r="KB51" i="39"/>
  <c r="KB77" i="39"/>
  <c r="KB90" i="39"/>
  <c r="KB98" i="39"/>
  <c r="KB9" i="39"/>
  <c r="KC9" i="39" s="1"/>
  <c r="KB26" i="39"/>
  <c r="KB84" i="39"/>
  <c r="KB29" i="39"/>
  <c r="KB49" i="39"/>
  <c r="KB111" i="39"/>
  <c r="KB119" i="39"/>
  <c r="KB127" i="39"/>
  <c r="KB135" i="39"/>
  <c r="KB143" i="39"/>
  <c r="KB151" i="39"/>
  <c r="KB159" i="39"/>
  <c r="KB16" i="39"/>
  <c r="KB36" i="39"/>
  <c r="KB60" i="39"/>
  <c r="KB88" i="39"/>
  <c r="KB42" i="39"/>
  <c r="KD42" i="39" s="1"/>
  <c r="KB75" i="39"/>
  <c r="KB83" i="39"/>
  <c r="KB96" i="39"/>
  <c r="KB104" i="39"/>
  <c r="KB19" i="39"/>
  <c r="KB69" i="39"/>
  <c r="KC69" i="39" s="1"/>
  <c r="KB24" i="39"/>
  <c r="KB47" i="39"/>
  <c r="KB109" i="39"/>
  <c r="KB117" i="39"/>
  <c r="KB125" i="39"/>
  <c r="KB133" i="39"/>
  <c r="KB141" i="39"/>
  <c r="KB149" i="39"/>
  <c r="KB157" i="39"/>
  <c r="KB147" i="39"/>
  <c r="KB115" i="39"/>
  <c r="KB67" i="39"/>
  <c r="KB81" i="39"/>
  <c r="KB58" i="39"/>
  <c r="AE7" i="34"/>
  <c r="KB139" i="39"/>
  <c r="KB107" i="39"/>
  <c r="KB23" i="39"/>
  <c r="KB73" i="39"/>
  <c r="KB28" i="39"/>
  <c r="IU4" i="39"/>
  <c r="IV4" i="39" s="1"/>
  <c r="BG49" i="31"/>
  <c r="H49" i="31" s="1"/>
  <c r="A49" i="31" s="1"/>
  <c r="Q37" i="31"/>
  <c r="Z37" i="31"/>
  <c r="HK4" i="39"/>
  <c r="HL4" i="39" s="1"/>
  <c r="HG4" i="39"/>
  <c r="HH4" i="39" s="1"/>
  <c r="JW4" i="39"/>
  <c r="JX4" i="39" s="1"/>
  <c r="JV4" i="39"/>
  <c r="HW4" i="39"/>
  <c r="HX4" i="39" s="1"/>
  <c r="HV4" i="39"/>
  <c r="IQ4" i="39"/>
  <c r="IR4" i="39" s="1"/>
  <c r="IP4" i="39"/>
  <c r="IW5" i="39"/>
  <c r="IX5" i="39" s="1"/>
  <c r="IX4" i="39"/>
  <c r="JG4" i="39"/>
  <c r="JH4" i="39" s="1"/>
  <c r="JF4" i="39"/>
  <c r="JS4" i="39"/>
  <c r="JT4" i="39" s="1"/>
  <c r="JR4" i="39"/>
  <c r="HO4" i="39"/>
  <c r="HP4" i="39" s="1"/>
  <c r="HN4" i="39"/>
  <c r="IE4" i="39"/>
  <c r="IF4" i="39" s="1"/>
  <c r="ID4" i="39"/>
  <c r="IY4" i="39"/>
  <c r="IZ4" i="39" s="1"/>
  <c r="JL4" i="39"/>
  <c r="JJ4" i="39"/>
  <c r="IG5" i="39"/>
  <c r="IH5" i="39" s="1"/>
  <c r="HY5" i="39"/>
  <c r="HZ5" i="39" s="1"/>
  <c r="HQ5" i="39"/>
  <c r="HR5" i="39" s="1"/>
  <c r="HI5" i="39"/>
  <c r="HJ5" i="39" s="1"/>
  <c r="HE5" i="39"/>
  <c r="HF5" i="39" s="1"/>
  <c r="JE5" i="39"/>
  <c r="JF5" i="39" s="1"/>
  <c r="IK5" i="39"/>
  <c r="IL5" i="39" s="1"/>
  <c r="HM5" i="39"/>
  <c r="HN5" i="39" s="1"/>
  <c r="IO5" i="39"/>
  <c r="IP5" i="39" s="1"/>
  <c r="JQ5" i="39"/>
  <c r="JR5" i="39" s="1"/>
  <c r="IC5" i="39"/>
  <c r="ID5" i="39" s="1"/>
  <c r="JU5" i="39"/>
  <c r="JV5" i="39" s="1"/>
  <c r="HU5" i="39"/>
  <c r="HV5" i="39" s="1"/>
  <c r="IM4" i="39"/>
  <c r="IN4" i="39" s="1"/>
  <c r="IL4" i="39"/>
  <c r="IS5" i="39"/>
  <c r="IT5" i="39" s="1"/>
  <c r="IT4" i="39"/>
  <c r="JA5" i="39"/>
  <c r="JB5" i="39" s="1"/>
  <c r="JB4" i="39"/>
  <c r="JP4" i="39"/>
  <c r="JN4" i="39"/>
  <c r="AE22" i="34"/>
  <c r="ED3" i="39"/>
  <c r="EH3" i="39"/>
  <c r="EC3" i="39"/>
  <c r="EK3" i="39"/>
  <c r="EG3" i="39"/>
  <c r="EL3" i="39"/>
  <c r="A28" i="33"/>
  <c r="V24" i="34"/>
  <c r="BG44" i="31" s="1"/>
  <c r="AE23" i="34"/>
  <c r="A63" i="33"/>
  <c r="A62" i="33"/>
  <c r="W109" i="33"/>
  <c r="AO109" i="33" s="1"/>
  <c r="A112" i="33"/>
  <c r="A115" i="33"/>
  <c r="W75" i="33"/>
  <c r="AO75" i="33" s="1"/>
  <c r="A79" i="33"/>
  <c r="A78" i="33"/>
  <c r="A97" i="33"/>
  <c r="X11" i="46"/>
  <c r="X11" i="47"/>
  <c r="AE6" i="34"/>
  <c r="AE14" i="34"/>
  <c r="AE17" i="34" s="1"/>
  <c r="X11" i="43"/>
  <c r="X11" i="45"/>
  <c r="AM99" i="39"/>
  <c r="IX2" i="39" s="1"/>
  <c r="AL99" i="39"/>
  <c r="IT2" i="39" s="1"/>
  <c r="K23" i="34"/>
  <c r="V9" i="34"/>
  <c r="BH181" i="33"/>
  <c r="Y8" i="34"/>
  <c r="Y9" i="34"/>
  <c r="W8" i="34"/>
  <c r="W9" i="34"/>
  <c r="X8" i="34"/>
  <c r="X9" i="34"/>
  <c r="V10" i="34"/>
  <c r="AA9" i="34"/>
  <c r="W25" i="33"/>
  <c r="W59" i="33"/>
  <c r="AO59" i="33" s="1"/>
  <c r="A89" i="33"/>
  <c r="A88" i="33"/>
  <c r="A87" i="33"/>
  <c r="A92" i="33"/>
  <c r="A91" i="33"/>
  <c r="A90" i="33"/>
  <c r="A74" i="33"/>
  <c r="A73" i="33"/>
  <c r="A72" i="33"/>
  <c r="A71" i="33"/>
  <c r="A76" i="33"/>
  <c r="A75" i="33"/>
  <c r="A111" i="33"/>
  <c r="A106" i="33"/>
  <c r="A113" i="33"/>
  <c r="A105" i="33"/>
  <c r="A110" i="33"/>
  <c r="A109" i="33"/>
  <c r="A108" i="33"/>
  <c r="A107" i="33"/>
  <c r="BH21" i="33"/>
  <c r="BH20" i="33"/>
  <c r="Z20" i="39"/>
  <c r="Z15" i="39"/>
  <c r="AF91" i="33"/>
  <c r="AO91" i="33" s="1"/>
  <c r="Z23" i="39"/>
  <c r="AO90" i="33"/>
  <c r="AG27" i="33"/>
  <c r="B27" i="33"/>
  <c r="AQ27" i="33"/>
  <c r="AQ61" i="33"/>
  <c r="B61" i="33"/>
  <c r="AG61" i="33"/>
  <c r="AO58" i="33"/>
  <c r="W42" i="33"/>
  <c r="AF24" i="33"/>
  <c r="A30" i="33" s="1"/>
  <c r="B111" i="33"/>
  <c r="AG111" i="33"/>
  <c r="AQ111" i="33"/>
  <c r="AQ77" i="33"/>
  <c r="B77" i="33"/>
  <c r="AG77" i="33"/>
  <c r="AO74" i="33"/>
  <c r="AO108" i="33"/>
  <c r="AQ95" i="33"/>
  <c r="B95" i="33"/>
  <c r="AG95" i="33"/>
  <c r="A27" i="33"/>
  <c r="Z5" i="39"/>
  <c r="F61" i="31"/>
  <c r="Z17" i="39"/>
  <c r="N11" i="1"/>
  <c r="AL19" i="39"/>
  <c r="X11" i="44"/>
  <c r="T16" i="38"/>
  <c r="W89" i="34" s="1"/>
  <c r="A103" i="33"/>
  <c r="A85" i="33"/>
  <c r="A93" i="33"/>
  <c r="A95" i="33"/>
  <c r="A69" i="33"/>
  <c r="A77" i="33"/>
  <c r="A61" i="33"/>
  <c r="A45" i="33"/>
  <c r="X11" i="38"/>
  <c r="X11" i="42"/>
  <c r="Z9" i="39"/>
  <c r="X4" i="39"/>
  <c r="X11" i="41"/>
  <c r="B18" i="34"/>
  <c r="B19" i="34"/>
  <c r="B20" i="34"/>
  <c r="B14" i="34"/>
  <c r="B15" i="34" s="1"/>
  <c r="W24" i="34"/>
  <c r="BG45" i="31" s="1"/>
  <c r="H45" i="31" s="1"/>
  <c r="A45" i="31" s="1"/>
  <c r="T16" i="41"/>
  <c r="X89" i="34" s="1"/>
  <c r="AM83" i="39"/>
  <c r="IP2" i="39" s="1"/>
  <c r="BH14" i="33"/>
  <c r="AK60" i="39"/>
  <c r="AK151" i="39"/>
  <c r="AK144" i="39"/>
  <c r="AK123" i="39"/>
  <c r="AK13" i="39"/>
  <c r="AK132" i="39"/>
  <c r="AK160" i="39"/>
  <c r="AK158" i="39"/>
  <c r="AK162" i="39"/>
  <c r="AK155" i="39"/>
  <c r="AK142" i="39"/>
  <c r="AK145" i="39"/>
  <c r="AK143" i="39"/>
  <c r="AK110" i="39"/>
  <c r="AK94" i="39"/>
  <c r="AK81" i="39"/>
  <c r="AK37" i="39"/>
  <c r="AK45" i="39"/>
  <c r="AK39" i="39"/>
  <c r="AK24" i="39"/>
  <c r="AK152" i="39"/>
  <c r="AK149" i="39"/>
  <c r="AK137" i="39"/>
  <c r="AK119" i="39"/>
  <c r="AK100" i="39"/>
  <c r="AK92" i="39"/>
  <c r="AK23" i="39"/>
  <c r="AK12" i="39"/>
  <c r="AK163" i="39"/>
  <c r="AK59" i="39"/>
  <c r="AK21" i="39"/>
  <c r="AK125" i="39"/>
  <c r="AK131" i="39"/>
  <c r="AK129" i="39"/>
  <c r="AK127" i="39"/>
  <c r="AK120" i="39"/>
  <c r="AK114" i="39"/>
  <c r="AK112" i="39"/>
  <c r="AK107" i="39"/>
  <c r="AK95" i="39"/>
  <c r="AK52" i="39"/>
  <c r="AK73" i="39"/>
  <c r="AK34" i="39"/>
  <c r="AK31" i="39"/>
  <c r="AK25" i="39"/>
  <c r="AK11" i="39"/>
  <c r="AK157" i="39"/>
  <c r="AK161" i="39"/>
  <c r="AK84" i="39"/>
  <c r="AK62" i="39"/>
  <c r="AK54" i="39"/>
  <c r="AK55" i="39"/>
  <c r="AK134" i="39"/>
  <c r="AK57" i="39"/>
  <c r="AK65" i="39"/>
  <c r="AK48" i="39"/>
  <c r="AK41" i="39"/>
  <c r="AK148" i="39"/>
  <c r="AK138" i="39"/>
  <c r="AK111" i="39"/>
  <c r="AK83" i="39"/>
  <c r="AK85" i="39"/>
  <c r="AK79" i="39"/>
  <c r="AK76" i="39"/>
  <c r="AK68" i="39"/>
  <c r="AK66" i="39"/>
  <c r="AK69" i="39"/>
  <c r="AK53" i="39"/>
  <c r="AK47" i="39"/>
  <c r="AK29" i="39"/>
  <c r="AK8" i="39"/>
  <c r="AK6" i="39"/>
  <c r="AK116" i="39"/>
  <c r="AK67" i="39"/>
  <c r="AK64" i="39"/>
  <c r="AK18" i="39"/>
  <c r="AK98" i="39"/>
  <c r="AK44" i="39"/>
  <c r="AK63" i="39"/>
  <c r="AK30" i="39"/>
  <c r="AK113" i="39"/>
  <c r="AK46" i="39"/>
  <c r="AK147" i="39"/>
  <c r="AK135" i="39"/>
  <c r="AK124" i="39"/>
  <c r="AK126" i="39"/>
  <c r="AK89" i="39"/>
  <c r="AK78" i="39"/>
  <c r="AK10" i="39"/>
  <c r="AK20" i="39"/>
  <c r="AK22" i="39"/>
  <c r="AK154" i="39"/>
  <c r="AK156" i="39"/>
  <c r="AK117" i="39"/>
  <c r="AK61" i="39"/>
  <c r="AK72" i="39"/>
  <c r="AK74" i="39"/>
  <c r="AK19" i="39"/>
  <c r="AK26" i="39"/>
  <c r="AK103" i="39"/>
  <c r="AK118" i="39"/>
  <c r="AK88" i="39"/>
  <c r="AK97" i="39"/>
  <c r="AK70" i="39"/>
  <c r="AK153" i="39"/>
  <c r="AK139" i="39"/>
  <c r="AK130" i="39"/>
  <c r="AK136" i="39"/>
  <c r="AK141" i="39"/>
  <c r="AK133" i="39"/>
  <c r="AK105" i="39"/>
  <c r="AK106" i="39"/>
  <c r="AK104" i="39"/>
  <c r="AK82" i="39"/>
  <c r="AK71" i="39"/>
  <c r="AK49" i="39"/>
  <c r="AK28" i="39"/>
  <c r="AK150" i="39"/>
  <c r="AK128" i="39"/>
  <c r="AK86" i="39"/>
  <c r="AK77" i="39"/>
  <c r="AK56" i="39"/>
  <c r="AK93" i="39"/>
  <c r="AK16" i="39"/>
  <c r="AK9" i="39"/>
  <c r="AK87" i="39"/>
  <c r="AK102" i="39"/>
  <c r="AK90" i="39"/>
  <c r="AK50" i="39"/>
  <c r="AK80" i="39"/>
  <c r="AK121" i="39"/>
  <c r="AK108" i="39"/>
  <c r="AK122" i="39"/>
  <c r="AK101" i="39"/>
  <c r="AK99" i="39"/>
  <c r="AK75" i="39"/>
  <c r="AK51" i="39"/>
  <c r="AK17" i="39"/>
  <c r="AK27" i="39"/>
  <c r="AK7" i="39"/>
  <c r="AK159" i="39"/>
  <c r="AK146" i="39"/>
  <c r="AK140" i="39"/>
  <c r="AK115" i="39"/>
  <c r="AK96" i="39"/>
  <c r="AK91" i="39"/>
  <c r="AK109" i="39"/>
  <c r="AK58" i="39"/>
  <c r="AK5" i="39"/>
  <c r="AK32" i="39"/>
  <c r="AK35" i="39"/>
  <c r="AK33" i="39"/>
  <c r="AK36" i="39"/>
  <c r="AK38" i="39"/>
  <c r="AK42" i="39"/>
  <c r="AK40" i="39"/>
  <c r="AK15" i="39"/>
  <c r="AK43" i="39"/>
  <c r="AK14" i="39"/>
  <c r="AK4" i="39"/>
  <c r="Z16" i="39"/>
  <c r="Z6" i="39"/>
  <c r="Q35" i="5"/>
  <c r="Z14" i="39"/>
  <c r="X18" i="39"/>
  <c r="Z42" i="39"/>
  <c r="Z40" i="39"/>
  <c r="Z33" i="39"/>
  <c r="Z36" i="39"/>
  <c r="Q20" i="5"/>
  <c r="T20" i="5" s="1"/>
  <c r="F58" i="31"/>
  <c r="B13" i="5"/>
  <c r="B24" i="3"/>
  <c r="A203" i="6"/>
  <c r="A199" i="6"/>
  <c r="A172" i="6"/>
  <c r="A162" i="6"/>
  <c r="A201" i="6"/>
  <c r="A176" i="6"/>
  <c r="A170" i="6"/>
  <c r="A166" i="6"/>
  <c r="A192" i="6"/>
  <c r="A183" i="6"/>
  <c r="A174" i="6"/>
  <c r="A167" i="6"/>
  <c r="A200" i="6"/>
  <c r="A196" i="6"/>
  <c r="A194" i="6"/>
  <c r="A187" i="6"/>
  <c r="A185" i="6"/>
  <c r="A178" i="6"/>
  <c r="A173" i="6"/>
  <c r="A165" i="6"/>
  <c r="A198" i="6"/>
  <c r="A189" i="6"/>
  <c r="A180" i="6"/>
  <c r="A171" i="6"/>
  <c r="A164" i="6"/>
  <c r="A204" i="6"/>
  <c r="A193" i="6"/>
  <c r="A191" i="6"/>
  <c r="A184" i="6"/>
  <c r="A182" i="6"/>
  <c r="A163" i="6"/>
  <c r="A202" i="6"/>
  <c r="A195" i="6"/>
  <c r="A186" i="6"/>
  <c r="A177" i="6"/>
  <c r="A169" i="6"/>
  <c r="A188" i="6"/>
  <c r="A168" i="6"/>
  <c r="A179" i="6"/>
  <c r="A190" i="6"/>
  <c r="A197" i="6"/>
  <c r="A175" i="6"/>
  <c r="A181" i="6"/>
  <c r="F44" i="5"/>
  <c r="F41" i="6"/>
  <c r="I42" i="18"/>
  <c r="BH52" i="33"/>
  <c r="M16" i="1"/>
  <c r="BK19" i="36"/>
  <c r="BN18" i="36"/>
  <c r="BN16" i="36"/>
  <c r="BG19" i="36"/>
  <c r="BK18" i="36"/>
  <c r="BK17" i="36"/>
  <c r="BM17" i="36"/>
  <c r="BI17" i="36"/>
  <c r="BM18" i="36"/>
  <c r="BG17" i="36"/>
  <c r="BM19" i="36"/>
  <c r="BI18" i="36"/>
  <c r="BI19" i="36"/>
  <c r="BG18" i="36"/>
  <c r="BE19" i="36"/>
  <c r="BE18" i="36"/>
  <c r="M15" i="44"/>
  <c r="T15" i="44" s="1"/>
  <c r="A157" i="18"/>
  <c r="A155" i="18"/>
  <c r="A153" i="18"/>
  <c r="A151" i="18"/>
  <c r="A149" i="18"/>
  <c r="A147" i="18"/>
  <c r="A145" i="18"/>
  <c r="A143" i="18"/>
  <c r="A141" i="18"/>
  <c r="A139" i="18"/>
  <c r="A137" i="18"/>
  <c r="A126" i="18"/>
  <c r="A160" i="18"/>
  <c r="A135" i="18"/>
  <c r="A130" i="18"/>
  <c r="A124" i="18"/>
  <c r="A162" i="18"/>
  <c r="A158" i="18"/>
  <c r="A133" i="18"/>
  <c r="A128" i="18"/>
  <c r="A161" i="18"/>
  <c r="A146" i="18"/>
  <c r="A134" i="18"/>
  <c r="A129" i="18"/>
  <c r="A159" i="18"/>
  <c r="A148" i="18"/>
  <c r="A132" i="18"/>
  <c r="A127" i="18"/>
  <c r="A150" i="18"/>
  <c r="A138" i="18"/>
  <c r="A125" i="18"/>
  <c r="A152" i="18"/>
  <c r="A140" i="18"/>
  <c r="A123" i="18"/>
  <c r="A154" i="18"/>
  <c r="A142" i="18"/>
  <c r="A156" i="18"/>
  <c r="A144" i="18"/>
  <c r="A136" i="18"/>
  <c r="A131" i="18"/>
  <c r="B15" i="33"/>
  <c r="B254" i="33"/>
  <c r="B198" i="33"/>
  <c r="M16" i="44"/>
  <c r="T16" i="44" s="1"/>
  <c r="AA89" i="34" s="1"/>
  <c r="M16" i="43"/>
  <c r="T16" i="43" s="1"/>
  <c r="Z89" i="34" s="1"/>
  <c r="BG25" i="31"/>
  <c r="P23" i="31"/>
  <c r="V8" i="34"/>
  <c r="BF24" i="31"/>
  <c r="BF12" i="31" s="1"/>
  <c r="G25" i="31" s="1"/>
  <c r="BF23" i="31"/>
  <c r="BF5" i="31" s="1"/>
  <c r="S73" i="31" s="1"/>
  <c r="V17" i="34"/>
  <c r="AI29" i="31"/>
  <c r="A29" i="31" s="1"/>
  <c r="M15" i="38"/>
  <c r="T15" i="38" s="1"/>
  <c r="C10" i="18"/>
  <c r="C8" i="5"/>
  <c r="A158" i="6"/>
  <c r="A155" i="6"/>
  <c r="A152" i="6"/>
  <c r="A149" i="6"/>
  <c r="A146" i="6"/>
  <c r="A143" i="6"/>
  <c r="A140" i="6"/>
  <c r="A137" i="6"/>
  <c r="A131" i="6"/>
  <c r="A127" i="6"/>
  <c r="A156" i="6"/>
  <c r="A153" i="6"/>
  <c r="A150" i="6"/>
  <c r="A147" i="6"/>
  <c r="A144" i="6"/>
  <c r="A141" i="6"/>
  <c r="A138" i="6"/>
  <c r="A135" i="6"/>
  <c r="A125" i="6"/>
  <c r="A160" i="6"/>
  <c r="A154" i="6"/>
  <c r="A145" i="6"/>
  <c r="A133" i="6"/>
  <c r="A159" i="6"/>
  <c r="A132" i="6"/>
  <c r="A126" i="6"/>
  <c r="A151" i="6"/>
  <c r="A142" i="6"/>
  <c r="A130" i="6"/>
  <c r="A124" i="6"/>
  <c r="A123" i="6"/>
  <c r="A161" i="6"/>
  <c r="A157" i="6"/>
  <c r="A148" i="6"/>
  <c r="A139" i="6"/>
  <c r="A136" i="6"/>
  <c r="A129" i="6"/>
  <c r="A122" i="6"/>
  <c r="A134" i="6"/>
  <c r="A128" i="6"/>
  <c r="BG23" i="33"/>
  <c r="BH218" i="33"/>
  <c r="B14" i="33" s="1"/>
  <c r="BH212" i="33"/>
  <c r="B253" i="33" s="1"/>
  <c r="BI21" i="33"/>
  <c r="BH209" i="33"/>
  <c r="B197" i="33" s="1"/>
  <c r="BI192" i="33"/>
  <c r="BH192" i="33" s="1"/>
  <c r="B181" i="33" s="1"/>
  <c r="BG20" i="33"/>
  <c r="BH22" i="33" s="1"/>
  <c r="A117" i="18"/>
  <c r="A115" i="18"/>
  <c r="A113" i="18"/>
  <c r="A111" i="18"/>
  <c r="A109" i="18"/>
  <c r="A107" i="18"/>
  <c r="A105" i="18"/>
  <c r="A103" i="18"/>
  <c r="A101" i="18"/>
  <c r="A99" i="18"/>
  <c r="A97" i="18"/>
  <c r="A86" i="18"/>
  <c r="A120" i="18"/>
  <c r="A95" i="18"/>
  <c r="A90" i="18"/>
  <c r="A84" i="18"/>
  <c r="A122" i="18"/>
  <c r="A118" i="18"/>
  <c r="A93" i="18"/>
  <c r="A88" i="18"/>
  <c r="A121" i="18"/>
  <c r="A106" i="18"/>
  <c r="A94" i="18"/>
  <c r="A89" i="18"/>
  <c r="A119" i="18"/>
  <c r="A108" i="18"/>
  <c r="A92" i="18"/>
  <c r="A87" i="18"/>
  <c r="A110" i="18"/>
  <c r="A98" i="18"/>
  <c r="A85" i="18"/>
  <c r="A112" i="18"/>
  <c r="A100" i="18"/>
  <c r="A83" i="18"/>
  <c r="A114" i="18"/>
  <c r="A102" i="18"/>
  <c r="A116" i="18"/>
  <c r="A104" i="18"/>
  <c r="A96" i="18"/>
  <c r="A91" i="18"/>
  <c r="BH53" i="33"/>
  <c r="M15" i="42"/>
  <c r="AI31" i="31"/>
  <c r="A31" i="31" s="1"/>
  <c r="M15" i="43"/>
  <c r="M15" i="41"/>
  <c r="AI30" i="31"/>
  <c r="A30" i="31" s="1"/>
  <c r="BD22" i="36"/>
  <c r="BC22" i="36"/>
  <c r="BE22" i="36"/>
  <c r="F160" i="6"/>
  <c r="F40" i="6"/>
  <c r="AB30" i="36"/>
  <c r="F80" i="6"/>
  <c r="I41" i="18"/>
  <c r="J81" i="18"/>
  <c r="F200" i="6"/>
  <c r="F52" i="3"/>
  <c r="D31" i="3"/>
  <c r="F120" i="6"/>
  <c r="F43" i="5"/>
  <c r="J201" i="18"/>
  <c r="J161" i="18"/>
  <c r="J121" i="18"/>
  <c r="Z8" i="34"/>
  <c r="A121" i="6"/>
  <c r="A96" i="6"/>
  <c r="A90" i="6"/>
  <c r="A86" i="6"/>
  <c r="A94" i="6"/>
  <c r="A89" i="6"/>
  <c r="A84" i="6"/>
  <c r="A117" i="6"/>
  <c r="A115" i="6"/>
  <c r="A108" i="6"/>
  <c r="A106" i="6"/>
  <c r="A99" i="6"/>
  <c r="A97" i="6"/>
  <c r="A88" i="6"/>
  <c r="A120" i="6"/>
  <c r="A110" i="6"/>
  <c r="A101" i="6"/>
  <c r="A95" i="6"/>
  <c r="A119" i="6"/>
  <c r="A114" i="6"/>
  <c r="A112" i="6"/>
  <c r="A105" i="6"/>
  <c r="A103" i="6"/>
  <c r="A93" i="6"/>
  <c r="A87" i="6"/>
  <c r="A118" i="6"/>
  <c r="A116" i="6"/>
  <c r="A111" i="6"/>
  <c r="A109" i="6"/>
  <c r="A102" i="6"/>
  <c r="A100" i="6"/>
  <c r="A91" i="6"/>
  <c r="A83" i="6"/>
  <c r="A85" i="6"/>
  <c r="A82" i="6"/>
  <c r="A104" i="6"/>
  <c r="A98" i="6"/>
  <c r="A113" i="6"/>
  <c r="A92" i="6"/>
  <c r="A107" i="6"/>
  <c r="M41" i="6"/>
  <c r="N42" i="18"/>
  <c r="M44" i="5"/>
  <c r="V16" i="6"/>
  <c r="C7" i="6" s="1"/>
  <c r="U9" i="6"/>
  <c r="BH183" i="33"/>
  <c r="A197" i="18"/>
  <c r="A195" i="18"/>
  <c r="A193" i="18"/>
  <c r="A191" i="18"/>
  <c r="A189" i="18"/>
  <c r="A187" i="18"/>
  <c r="A185" i="18"/>
  <c r="A183" i="18"/>
  <c r="A181" i="18"/>
  <c r="A179" i="18"/>
  <c r="A177" i="18"/>
  <c r="A166" i="18"/>
  <c r="A200" i="18"/>
  <c r="A175" i="18"/>
  <c r="A170" i="18"/>
  <c r="A164" i="18"/>
  <c r="A202" i="18"/>
  <c r="A198" i="18"/>
  <c r="A173" i="18"/>
  <c r="A168" i="18"/>
  <c r="A201" i="18"/>
  <c r="A186" i="18"/>
  <c r="A174" i="18"/>
  <c r="A169" i="18"/>
  <c r="A199" i="18"/>
  <c r="A188" i="18"/>
  <c r="A172" i="18"/>
  <c r="A167" i="18"/>
  <c r="A190" i="18"/>
  <c r="A178" i="18"/>
  <c r="A165" i="18"/>
  <c r="A203" i="18"/>
  <c r="A192" i="18"/>
  <c r="A180" i="18"/>
  <c r="A163" i="18"/>
  <c r="A194" i="18"/>
  <c r="A182" i="18"/>
  <c r="A196" i="18"/>
  <c r="A184" i="18"/>
  <c r="A176" i="18"/>
  <c r="A171" i="18"/>
  <c r="BG14" i="36"/>
  <c r="BG8" i="36"/>
  <c r="BG13" i="36"/>
  <c r="BG15" i="36"/>
  <c r="BG12" i="36"/>
  <c r="BI22" i="36"/>
  <c r="BH22" i="36"/>
  <c r="BG22" i="36"/>
  <c r="BC11" i="36"/>
  <c r="AB29" i="36"/>
  <c r="BC12" i="36"/>
  <c r="E87" i="11"/>
  <c r="E90" i="11"/>
  <c r="Z24" i="39"/>
  <c r="M15" i="1"/>
  <c r="Q37" i="6"/>
  <c r="P37" i="6"/>
  <c r="X35" i="5"/>
  <c r="EA164" i="39"/>
  <c r="BQ69" i="33" s="1"/>
  <c r="B17" i="6"/>
  <c r="R37" i="6"/>
  <c r="AY3" i="39"/>
  <c r="AY1" i="39"/>
  <c r="Q37" i="18"/>
  <c r="Q56" i="18" s="1"/>
  <c r="S37" i="18"/>
  <c r="F60" i="31"/>
  <c r="A60" i="31"/>
  <c r="DP164" i="39"/>
  <c r="BL69" i="33" s="1"/>
  <c r="DX164" i="39"/>
  <c r="BP69" i="33" s="1"/>
  <c r="X19" i="39"/>
  <c r="H3" i="39"/>
  <c r="K26" i="34" s="1"/>
  <c r="DO164" i="39"/>
  <c r="BK69" i="33" s="1"/>
  <c r="DU3" i="39"/>
  <c r="DV3" i="39"/>
  <c r="DT164" i="39"/>
  <c r="BN69" i="33" s="1"/>
  <c r="DI3" i="39"/>
  <c r="DH164" i="39"/>
  <c r="BH69" i="33" s="1"/>
  <c r="DN3" i="39"/>
  <c r="EB164" i="39"/>
  <c r="BR69" i="33" s="1"/>
  <c r="DM3" i="39"/>
  <c r="DZ3" i="39"/>
  <c r="DY3" i="39"/>
  <c r="A6" i="39"/>
  <c r="DG164" i="39"/>
  <c r="BG69" i="33" s="1"/>
  <c r="DF3" i="39"/>
  <c r="DS164" i="39"/>
  <c r="BM69" i="33" s="1"/>
  <c r="DR3" i="39"/>
  <c r="DL164" i="39"/>
  <c r="BJ69" i="33" s="1"/>
  <c r="DK164" i="39"/>
  <c r="BI69" i="33" s="1"/>
  <c r="DQ3" i="39"/>
  <c r="DJ3" i="39"/>
  <c r="DE3" i="39"/>
  <c r="DW164" i="39"/>
  <c r="BO69" i="33" s="1"/>
  <c r="KD45" i="39" l="1"/>
  <c r="EJ165" i="39"/>
  <c r="BV69" i="33"/>
  <c r="EE165" i="39"/>
  <c r="BS69" i="33"/>
  <c r="EI165" i="39"/>
  <c r="BU69" i="33"/>
  <c r="EF165" i="39"/>
  <c r="BT69" i="33"/>
  <c r="II5" i="39"/>
  <c r="IJ5" i="39" s="1"/>
  <c r="AE8" i="34"/>
  <c r="JJ5" i="39"/>
  <c r="HS5" i="39"/>
  <c r="HT5" i="39" s="1"/>
  <c r="IA5" i="39"/>
  <c r="IB5" i="39" s="1"/>
  <c r="JN5" i="39"/>
  <c r="JI6" i="39"/>
  <c r="JK6" i="39" s="1"/>
  <c r="JM6" i="39"/>
  <c r="JN6" i="39" s="1"/>
  <c r="KD102" i="39"/>
  <c r="KC42" i="39"/>
  <c r="KD69" i="39"/>
  <c r="KC131" i="39"/>
  <c r="KD9" i="39"/>
  <c r="KC40" i="39"/>
  <c r="KD163" i="39"/>
  <c r="KC37" i="39"/>
  <c r="KD37" i="39"/>
  <c r="KD23" i="39"/>
  <c r="KC23" i="39"/>
  <c r="KC81" i="39"/>
  <c r="KD81" i="39"/>
  <c r="KD133" i="39"/>
  <c r="KC133" i="39"/>
  <c r="KD47" i="39"/>
  <c r="KC47" i="39"/>
  <c r="KD104" i="39"/>
  <c r="KC104" i="39"/>
  <c r="KD16" i="39"/>
  <c r="KC16" i="39"/>
  <c r="KC135" i="39"/>
  <c r="KD135" i="39"/>
  <c r="KD49" i="39"/>
  <c r="KC49" i="39"/>
  <c r="KD51" i="39"/>
  <c r="KC51" i="39"/>
  <c r="KD10" i="39"/>
  <c r="KC10" i="39"/>
  <c r="KD137" i="39"/>
  <c r="KC137" i="39"/>
  <c r="KD105" i="39"/>
  <c r="KC105" i="39"/>
  <c r="KD14" i="39"/>
  <c r="KC14" i="39"/>
  <c r="KC53" i="39"/>
  <c r="KD53" i="39"/>
  <c r="KD11" i="39"/>
  <c r="KC11" i="39"/>
  <c r="KC156" i="39"/>
  <c r="KD156" i="39"/>
  <c r="KC148" i="39"/>
  <c r="KD148" i="39"/>
  <c r="KC140" i="39"/>
  <c r="KD140" i="39"/>
  <c r="KD132" i="39"/>
  <c r="KC132" i="39"/>
  <c r="KD124" i="39"/>
  <c r="KC124" i="39"/>
  <c r="KD116" i="39"/>
  <c r="KC116" i="39"/>
  <c r="KD108" i="39"/>
  <c r="KC108" i="39"/>
  <c r="KD46" i="39"/>
  <c r="KC46" i="39"/>
  <c r="KD22" i="39"/>
  <c r="KC22" i="39"/>
  <c r="KD68" i="39"/>
  <c r="KC68" i="39"/>
  <c r="KD17" i="39"/>
  <c r="KC17" i="39"/>
  <c r="KC103" i="39"/>
  <c r="KD103" i="39"/>
  <c r="KC95" i="39"/>
  <c r="KD95" i="39"/>
  <c r="KD82" i="39"/>
  <c r="KC82" i="39"/>
  <c r="KD74" i="39"/>
  <c r="KC74" i="39"/>
  <c r="KC38" i="39"/>
  <c r="KD38" i="39"/>
  <c r="KC71" i="39"/>
  <c r="KD71" i="39"/>
  <c r="KC59" i="39"/>
  <c r="KD59" i="39"/>
  <c r="KC32" i="39"/>
  <c r="KD32" i="39"/>
  <c r="KC5" i="39"/>
  <c r="KD5" i="39"/>
  <c r="KC123" i="39"/>
  <c r="KD123" i="39"/>
  <c r="KC107" i="39"/>
  <c r="KD107" i="39"/>
  <c r="KD67" i="39"/>
  <c r="KC67" i="39"/>
  <c r="KD157" i="39"/>
  <c r="KC157" i="39"/>
  <c r="KD125" i="39"/>
  <c r="KC125" i="39"/>
  <c r="KD24" i="39"/>
  <c r="KC24" i="39"/>
  <c r="KD96" i="39"/>
  <c r="KC96" i="39"/>
  <c r="KC88" i="39"/>
  <c r="KD88" i="39"/>
  <c r="KC159" i="39"/>
  <c r="KD159" i="39"/>
  <c r="KC127" i="39"/>
  <c r="KD127" i="39"/>
  <c r="KC29" i="39"/>
  <c r="KD29" i="39"/>
  <c r="KD98" i="39"/>
  <c r="KC98" i="39"/>
  <c r="KD12" i="39"/>
  <c r="KC12" i="39"/>
  <c r="KD161" i="39"/>
  <c r="KC161" i="39"/>
  <c r="KD129" i="39"/>
  <c r="KC129" i="39"/>
  <c r="KD100" i="39"/>
  <c r="KC100" i="39"/>
  <c r="KD31" i="39"/>
  <c r="KC31" i="39"/>
  <c r="KC162" i="39"/>
  <c r="KD162" i="39"/>
  <c r="KC154" i="39"/>
  <c r="KD154" i="39"/>
  <c r="KC146" i="39"/>
  <c r="KD146" i="39"/>
  <c r="KC138" i="39"/>
  <c r="KD138" i="39"/>
  <c r="KD130" i="39"/>
  <c r="KC130" i="39"/>
  <c r="KD122" i="39"/>
  <c r="KC122" i="39"/>
  <c r="KD114" i="39"/>
  <c r="KC114" i="39"/>
  <c r="KD106" i="39"/>
  <c r="KC106" i="39"/>
  <c r="KD44" i="39"/>
  <c r="KC44" i="39"/>
  <c r="KD87" i="39"/>
  <c r="KC87" i="39"/>
  <c r="KD41" i="39"/>
  <c r="KC41" i="39"/>
  <c r="KD18" i="39"/>
  <c r="KC18" i="39"/>
  <c r="KC101" i="39"/>
  <c r="KD101" i="39"/>
  <c r="KC93" i="39"/>
  <c r="KD93" i="39"/>
  <c r="KD80" i="39"/>
  <c r="KC80" i="39"/>
  <c r="KD72" i="39"/>
  <c r="KC72" i="39"/>
  <c r="KD35" i="39"/>
  <c r="KC35" i="39"/>
  <c r="KC65" i="39"/>
  <c r="KD65" i="39"/>
  <c r="KC57" i="39"/>
  <c r="KD57" i="39"/>
  <c r="KC8" i="39"/>
  <c r="KD8" i="39"/>
  <c r="KC155" i="39"/>
  <c r="KD155" i="39"/>
  <c r="KC28" i="39"/>
  <c r="KD28" i="39"/>
  <c r="KD139" i="39"/>
  <c r="KC139" i="39"/>
  <c r="KC115" i="39"/>
  <c r="KD115" i="39"/>
  <c r="KD149" i="39"/>
  <c r="KC149" i="39"/>
  <c r="KD117" i="39"/>
  <c r="KC117" i="39"/>
  <c r="KD83" i="39"/>
  <c r="KC83" i="39"/>
  <c r="KD60" i="39"/>
  <c r="KC60" i="39"/>
  <c r="KC151" i="39"/>
  <c r="KD151" i="39"/>
  <c r="KD119" i="39"/>
  <c r="KC119" i="39"/>
  <c r="KD84" i="39"/>
  <c r="KC84" i="39"/>
  <c r="KD90" i="39"/>
  <c r="KC90" i="39"/>
  <c r="KD62" i="39"/>
  <c r="KC62" i="39"/>
  <c r="KD153" i="39"/>
  <c r="KC153" i="39"/>
  <c r="KD121" i="39"/>
  <c r="KC121" i="39"/>
  <c r="KD86" i="39"/>
  <c r="KC86" i="39"/>
  <c r="KD92" i="39"/>
  <c r="KC92" i="39"/>
  <c r="KC64" i="39"/>
  <c r="KD64" i="39"/>
  <c r="KD160" i="39"/>
  <c r="KC160" i="39"/>
  <c r="KC152" i="39"/>
  <c r="KD152" i="39"/>
  <c r="KD144" i="39"/>
  <c r="KC144" i="39"/>
  <c r="KC136" i="39"/>
  <c r="KD136" i="39"/>
  <c r="KC128" i="39"/>
  <c r="KD128" i="39"/>
  <c r="KC120" i="39"/>
  <c r="KD120" i="39"/>
  <c r="KC112" i="39"/>
  <c r="KD112" i="39"/>
  <c r="KD54" i="39"/>
  <c r="KC54" i="39"/>
  <c r="KD33" i="39"/>
  <c r="KC33" i="39"/>
  <c r="KD85" i="39"/>
  <c r="KC85" i="39"/>
  <c r="KD30" i="39"/>
  <c r="KC30" i="39"/>
  <c r="KC6" i="39"/>
  <c r="KD6" i="39"/>
  <c r="KC99" i="39"/>
  <c r="KD99" i="39"/>
  <c r="KC91" i="39"/>
  <c r="KD91" i="39"/>
  <c r="KC78" i="39"/>
  <c r="KD78" i="39"/>
  <c r="KD52" i="39"/>
  <c r="KC52" i="39"/>
  <c r="KD27" i="39"/>
  <c r="KC27" i="39"/>
  <c r="KD63" i="39"/>
  <c r="KC63" i="39"/>
  <c r="KD55" i="39"/>
  <c r="KC55" i="39"/>
  <c r="KC15" i="39"/>
  <c r="KD15" i="39"/>
  <c r="KC94" i="39"/>
  <c r="KD94" i="39"/>
  <c r="KC73" i="39"/>
  <c r="KD73" i="39"/>
  <c r="KD58" i="39"/>
  <c r="KC58" i="39"/>
  <c r="KD147" i="39"/>
  <c r="KC147" i="39"/>
  <c r="KD141" i="39"/>
  <c r="KC141" i="39"/>
  <c r="KD109" i="39"/>
  <c r="KC109" i="39"/>
  <c r="KD19" i="39"/>
  <c r="KC19" i="39"/>
  <c r="KC75" i="39"/>
  <c r="KD75" i="39"/>
  <c r="KC36" i="39"/>
  <c r="KD36" i="39"/>
  <c r="KC143" i="39"/>
  <c r="KD143" i="39"/>
  <c r="KD111" i="39"/>
  <c r="KC111" i="39"/>
  <c r="KC26" i="39"/>
  <c r="KD26" i="39"/>
  <c r="KC77" i="39"/>
  <c r="KD77" i="39"/>
  <c r="KC43" i="39"/>
  <c r="KD43" i="39"/>
  <c r="KD145" i="39"/>
  <c r="KC145" i="39"/>
  <c r="KD113" i="39"/>
  <c r="KC113" i="39"/>
  <c r="KC34" i="39"/>
  <c r="KD34" i="39"/>
  <c r="KD79" i="39"/>
  <c r="KC79" i="39"/>
  <c r="KC56" i="39"/>
  <c r="KD56" i="39"/>
  <c r="KC158" i="39"/>
  <c r="KD158" i="39"/>
  <c r="KC150" i="39"/>
  <c r="KD150" i="39"/>
  <c r="KC142" i="39"/>
  <c r="KD142" i="39"/>
  <c r="KC134" i="39"/>
  <c r="KD134" i="39"/>
  <c r="KD126" i="39"/>
  <c r="KC126" i="39"/>
  <c r="KD118" i="39"/>
  <c r="KC118" i="39"/>
  <c r="KD110" i="39"/>
  <c r="KC110" i="39"/>
  <c r="KD48" i="39"/>
  <c r="KC48" i="39"/>
  <c r="KD25" i="39"/>
  <c r="KC25" i="39"/>
  <c r="KC70" i="39"/>
  <c r="KD70" i="39"/>
  <c r="KD7" i="39"/>
  <c r="KC7" i="39"/>
  <c r="KD20" i="39"/>
  <c r="KC20" i="39"/>
  <c r="KC97" i="39"/>
  <c r="KD97" i="39"/>
  <c r="KC89" i="39"/>
  <c r="KD89" i="39"/>
  <c r="KD76" i="39"/>
  <c r="KC76" i="39"/>
  <c r="KC50" i="39"/>
  <c r="KD50" i="39"/>
  <c r="KC13" i="39"/>
  <c r="KD13" i="39"/>
  <c r="KC61" i="39"/>
  <c r="KD61" i="39"/>
  <c r="KD39" i="39"/>
  <c r="KC39" i="39"/>
  <c r="KD21" i="39"/>
  <c r="KC21" i="39"/>
  <c r="KC4" i="39"/>
  <c r="KD4" i="39"/>
  <c r="JL5" i="39"/>
  <c r="HF2" i="39"/>
  <c r="AL163" i="39"/>
  <c r="P1" i="39" s="1"/>
  <c r="N1" i="39" s="1"/>
  <c r="IQ5" i="39"/>
  <c r="IR5" i="39" s="1"/>
  <c r="HK5" i="39"/>
  <c r="HL5" i="39" s="1"/>
  <c r="IY5" i="39"/>
  <c r="IZ5" i="39" s="1"/>
  <c r="HG5" i="39"/>
  <c r="HH5" i="39" s="1"/>
  <c r="JG5" i="39"/>
  <c r="JH5" i="39" s="1"/>
  <c r="HO5" i="39"/>
  <c r="HP5" i="39" s="1"/>
  <c r="IE5" i="39"/>
  <c r="IF5" i="39" s="1"/>
  <c r="HW5" i="39"/>
  <c r="HX5" i="39" s="1"/>
  <c r="JP5" i="39"/>
  <c r="IU5" i="39"/>
  <c r="IV5" i="39" s="1"/>
  <c r="IM5" i="39"/>
  <c r="IN5" i="39" s="1"/>
  <c r="JW5" i="39"/>
  <c r="JX5" i="39" s="1"/>
  <c r="JS5" i="39"/>
  <c r="JT5" i="39" s="1"/>
  <c r="IG6" i="39"/>
  <c r="IH6" i="39" s="1"/>
  <c r="HY6" i="39"/>
  <c r="HZ6" i="39" s="1"/>
  <c r="HI6" i="39"/>
  <c r="HJ6" i="39" s="1"/>
  <c r="HQ6" i="39"/>
  <c r="HR6" i="39" s="1"/>
  <c r="HE6" i="39"/>
  <c r="IS6" i="39"/>
  <c r="IT6" i="39" s="1"/>
  <c r="JA6" i="39"/>
  <c r="JB6" i="39" s="1"/>
  <c r="IW6" i="39"/>
  <c r="IX6" i="39" s="1"/>
  <c r="IK6" i="39"/>
  <c r="IL6" i="39" s="1"/>
  <c r="HU6" i="39"/>
  <c r="HV6" i="39" s="1"/>
  <c r="JQ6" i="39"/>
  <c r="JR6" i="39" s="1"/>
  <c r="IC6" i="39"/>
  <c r="ID6" i="39" s="1"/>
  <c r="IO6" i="39"/>
  <c r="IP6" i="39" s="1"/>
  <c r="JU6" i="39"/>
  <c r="JV6" i="39" s="1"/>
  <c r="JE6" i="39"/>
  <c r="JF6" i="39" s="1"/>
  <c r="HM6" i="39"/>
  <c r="HN6" i="39" s="1"/>
  <c r="JC5" i="39"/>
  <c r="JD5" i="39" s="1"/>
  <c r="R174" i="33"/>
  <c r="BW65" i="33" s="1"/>
  <c r="Y155" i="33"/>
  <c r="AL136" i="33"/>
  <c r="BT65" i="33" s="1"/>
  <c r="AS174" i="33"/>
  <c r="R155" i="33"/>
  <c r="BU65" i="33" s="1"/>
  <c r="Y136" i="33"/>
  <c r="AL174" i="33"/>
  <c r="BX65" i="33" s="1"/>
  <c r="AS155" i="33"/>
  <c r="R136" i="33"/>
  <c r="BS65" i="33" s="1"/>
  <c r="Y174" i="33"/>
  <c r="AL155" i="33"/>
  <c r="BV65" i="33" s="1"/>
  <c r="AS136" i="33"/>
  <c r="A47" i="33"/>
  <c r="A46" i="33"/>
  <c r="A31" i="33"/>
  <c r="BI70" i="33"/>
  <c r="BJ70" i="33"/>
  <c r="BG70" i="33"/>
  <c r="BH70" i="33"/>
  <c r="AS33" i="33" s="1"/>
  <c r="BK70" i="33"/>
  <c r="BL70" i="33"/>
  <c r="AM163" i="39"/>
  <c r="T1" i="39" s="1"/>
  <c r="R1" i="39" s="1"/>
  <c r="A99" i="33"/>
  <c r="W43" i="33"/>
  <c r="AO43" i="33" s="1"/>
  <c r="AF25" i="33"/>
  <c r="AO25" i="33" s="1"/>
  <c r="R33" i="33"/>
  <c r="BG65" i="33" s="1"/>
  <c r="B255" i="33"/>
  <c r="B16" i="33"/>
  <c r="A33" i="33"/>
  <c r="A65" i="33"/>
  <c r="A81" i="33"/>
  <c r="A49" i="33"/>
  <c r="AO24" i="33"/>
  <c r="AQ29" i="33"/>
  <c r="AG45" i="33"/>
  <c r="AQ45" i="33"/>
  <c r="B45" i="33"/>
  <c r="AO42" i="33"/>
  <c r="AG29" i="33"/>
  <c r="B29" i="33"/>
  <c r="AL33" i="33"/>
  <c r="BH65" i="33" s="1"/>
  <c r="Y33" i="33"/>
  <c r="BP70" i="33"/>
  <c r="AS99" i="33" s="1"/>
  <c r="BO70" i="33"/>
  <c r="R99" i="33"/>
  <c r="BO65" i="33" s="1"/>
  <c r="AL99" i="33"/>
  <c r="BP65" i="33" s="1"/>
  <c r="Y99" i="33"/>
  <c r="B99" i="33"/>
  <c r="AS117" i="33"/>
  <c r="A117" i="33"/>
  <c r="BQ70" i="33"/>
  <c r="R117" i="33"/>
  <c r="B117" i="33"/>
  <c r="BR70" i="33"/>
  <c r="AL117" i="33"/>
  <c r="Y117" i="33"/>
  <c r="R81" i="33"/>
  <c r="BM65" i="33" s="1"/>
  <c r="BM70" i="33"/>
  <c r="AL81" i="33"/>
  <c r="BN65" i="33" s="1"/>
  <c r="Y81" i="33"/>
  <c r="BN70" i="33"/>
  <c r="AS81" i="33" s="1"/>
  <c r="B81" i="33"/>
  <c r="Y65" i="33"/>
  <c r="AL65" i="33"/>
  <c r="BL65" i="33" s="1"/>
  <c r="R65" i="33"/>
  <c r="BK65" i="33" s="1"/>
  <c r="AS65" i="33"/>
  <c r="B65" i="33"/>
  <c r="AL49" i="33"/>
  <c r="BJ65" i="33" s="1"/>
  <c r="AS49" i="33"/>
  <c r="Y49" i="33"/>
  <c r="R49" i="33"/>
  <c r="BI65" i="33" s="1"/>
  <c r="B49" i="33"/>
  <c r="B33" i="33"/>
  <c r="J9" i="38"/>
  <c r="AE24" i="34"/>
  <c r="AI32" i="31"/>
  <c r="A32" i="31" s="1"/>
  <c r="AI28" i="31"/>
  <c r="J18" i="44"/>
  <c r="AI33" i="31"/>
  <c r="A33" i="31" s="1"/>
  <c r="KB3" i="39"/>
  <c r="X2" i="39" s="1"/>
  <c r="X3" i="39" s="1"/>
  <c r="J9" i="44"/>
  <c r="W15" i="38"/>
  <c r="W88" i="34"/>
  <c r="W90" i="34" s="1"/>
  <c r="J18" i="38"/>
  <c r="T15" i="41"/>
  <c r="J18" i="41"/>
  <c r="J18" i="42"/>
  <c r="T15" i="42"/>
  <c r="J18" i="43"/>
  <c r="T15" i="43"/>
  <c r="P6" i="31"/>
  <c r="AA88" i="34"/>
  <c r="AA90" i="34" s="1"/>
  <c r="W15" i="44"/>
  <c r="BI184" i="33"/>
  <c r="T16" i="1"/>
  <c r="G184" i="33" s="1"/>
  <c r="BC24" i="36"/>
  <c r="BC23" i="36"/>
  <c r="BO18" i="36"/>
  <c r="BO17" i="36"/>
  <c r="BO19" i="36"/>
  <c r="B29" i="34"/>
  <c r="BH184" i="33"/>
  <c r="T15" i="1"/>
  <c r="J18" i="1"/>
  <c r="EA165" i="39"/>
  <c r="B30" i="34"/>
  <c r="A53" i="18"/>
  <c r="A48" i="18"/>
  <c r="A82" i="18"/>
  <c r="A78" i="18"/>
  <c r="A54" i="18"/>
  <c r="A47" i="18"/>
  <c r="S9" i="18"/>
  <c r="S4" i="18" s="1"/>
  <c r="Q2" i="18" s="1"/>
  <c r="A52" i="18"/>
  <c r="A46" i="18"/>
  <c r="A77" i="18"/>
  <c r="A75" i="18"/>
  <c r="A73" i="18"/>
  <c r="A71" i="18"/>
  <c r="A69" i="18"/>
  <c r="A67" i="18"/>
  <c r="A65" i="18"/>
  <c r="A63" i="18"/>
  <c r="A61" i="18"/>
  <c r="A59" i="18"/>
  <c r="A57" i="18"/>
  <c r="A45" i="18"/>
  <c r="A81" i="18"/>
  <c r="A51" i="18"/>
  <c r="A44" i="18"/>
  <c r="A80" i="18"/>
  <c r="A56" i="18"/>
  <c r="A50" i="18"/>
  <c r="A43" i="18"/>
  <c r="A79" i="18"/>
  <c r="A76" i="18"/>
  <c r="A74" i="18"/>
  <c r="A72" i="18"/>
  <c r="A70" i="18"/>
  <c r="A68" i="18"/>
  <c r="A66" i="18"/>
  <c r="A64" i="18"/>
  <c r="A62" i="18"/>
  <c r="A60" i="18"/>
  <c r="A58" i="18"/>
  <c r="A55" i="18"/>
  <c r="A49" i="18"/>
  <c r="Q77" i="18"/>
  <c r="Q96" i="18" s="1"/>
  <c r="Q56" i="6"/>
  <c r="Q77" i="6" s="1"/>
  <c r="A74" i="6"/>
  <c r="A68" i="6"/>
  <c r="A62" i="6"/>
  <c r="A53" i="6"/>
  <c r="A48" i="6"/>
  <c r="A43" i="6"/>
  <c r="A78" i="6"/>
  <c r="A72" i="6"/>
  <c r="A66" i="6"/>
  <c r="A60" i="6"/>
  <c r="A55" i="6"/>
  <c r="A45" i="6"/>
  <c r="A81" i="6"/>
  <c r="A65" i="6"/>
  <c r="A42" i="6"/>
  <c r="R9" i="6"/>
  <c r="R4" i="6" s="1"/>
  <c r="Q2" i="6" s="1"/>
  <c r="Q1" i="6" s="1"/>
  <c r="A76" i="6"/>
  <c r="A73" i="6"/>
  <c r="A69" i="6"/>
  <c r="A58" i="6"/>
  <c r="A56" i="6"/>
  <c r="A49" i="6"/>
  <c r="A77" i="6"/>
  <c r="A59" i="6"/>
  <c r="A54" i="6"/>
  <c r="A80" i="6"/>
  <c r="A70" i="6"/>
  <c r="A67" i="6"/>
  <c r="A63" i="6"/>
  <c r="A52" i="6"/>
  <c r="A47" i="6"/>
  <c r="A79" i="6"/>
  <c r="A71" i="6"/>
  <c r="A51" i="6"/>
  <c r="A46" i="6"/>
  <c r="A75" i="6"/>
  <c r="A64" i="6"/>
  <c r="A61" i="6"/>
  <c r="A57" i="6"/>
  <c r="A50" i="6"/>
  <c r="A44" i="6"/>
  <c r="B18" i="6"/>
  <c r="C17" i="6"/>
  <c r="A7" i="39"/>
  <c r="EB165" i="39"/>
  <c r="DO165" i="39"/>
  <c r="DG165" i="39"/>
  <c r="DX165" i="39"/>
  <c r="DL165" i="39"/>
  <c r="DS165" i="39"/>
  <c r="DH165" i="39"/>
  <c r="DT165" i="39"/>
  <c r="DP165" i="39"/>
  <c r="DK165" i="39"/>
  <c r="DW165" i="39"/>
  <c r="M44" i="34"/>
  <c r="N44" i="34" s="1"/>
  <c r="M41" i="34"/>
  <c r="N41" i="34" s="1"/>
  <c r="M43" i="34"/>
  <c r="N43" i="34" s="1"/>
  <c r="M40" i="34"/>
  <c r="N40" i="34" s="1"/>
  <c r="M38" i="34"/>
  <c r="N38" i="34" s="1"/>
  <c r="M35" i="34"/>
  <c r="N35" i="34" s="1"/>
  <c r="M45" i="34"/>
  <c r="N45" i="34" s="1"/>
  <c r="M37" i="34"/>
  <c r="N37" i="34" s="1"/>
  <c r="M34" i="34"/>
  <c r="N34" i="34" s="1"/>
  <c r="M32" i="34"/>
  <c r="N32" i="34" s="1"/>
  <c r="M30" i="34"/>
  <c r="N30" i="34" s="1"/>
  <c r="M33" i="34"/>
  <c r="N33" i="34" s="1"/>
  <c r="M36" i="34"/>
  <c r="N36" i="34" s="1"/>
  <c r="M29" i="34"/>
  <c r="N29" i="34" s="1"/>
  <c r="M25" i="34"/>
  <c r="N25" i="34" s="1"/>
  <c r="M21" i="34"/>
  <c r="N21" i="34" s="1"/>
  <c r="M18" i="34"/>
  <c r="M28" i="34"/>
  <c r="N28" i="34" s="1"/>
  <c r="M24" i="34"/>
  <c r="N24" i="34" s="1"/>
  <c r="M39" i="34"/>
  <c r="N39" i="34" s="1"/>
  <c r="M31" i="34"/>
  <c r="N31" i="34" s="1"/>
  <c r="M23" i="34"/>
  <c r="N23" i="34" s="1"/>
  <c r="M20" i="34"/>
  <c r="N20" i="34" s="1"/>
  <c r="M42" i="34"/>
  <c r="N42" i="34" s="1"/>
  <c r="M27" i="34"/>
  <c r="N27" i="34" s="1"/>
  <c r="M22" i="34"/>
  <c r="N22" i="34" s="1"/>
  <c r="M19" i="34"/>
  <c r="N19" i="34" s="1"/>
  <c r="M26" i="34"/>
  <c r="N26" i="34" s="1"/>
  <c r="A155" i="33" l="1"/>
  <c r="A136" i="33"/>
  <c r="BV70" i="33"/>
  <c r="B155" i="33"/>
  <c r="BU70" i="33"/>
  <c r="BT70" i="33"/>
  <c r="B136" i="33"/>
  <c r="BS70" i="33"/>
  <c r="G99" i="34"/>
  <c r="JJ6" i="39"/>
  <c r="HS6" i="39"/>
  <c r="HT6" i="39" s="1"/>
  <c r="IA6" i="39"/>
  <c r="IB6" i="39" s="1"/>
  <c r="II6" i="39"/>
  <c r="IJ6" i="39" s="1"/>
  <c r="JM7" i="39"/>
  <c r="JN7" i="39" s="1"/>
  <c r="JO6" i="39"/>
  <c r="JP6" i="39" s="1"/>
  <c r="JI7" i="39"/>
  <c r="JJ7" i="39" s="1"/>
  <c r="AS183" i="33"/>
  <c r="A28" i="31"/>
  <c r="AI37" i="31"/>
  <c r="A37" i="31" s="1"/>
  <c r="HG6" i="39"/>
  <c r="HH6" i="39" s="1"/>
  <c r="HK6" i="39"/>
  <c r="HL6" i="39" s="1"/>
  <c r="IQ6" i="39"/>
  <c r="IR6" i="39" s="1"/>
  <c r="IY6" i="39"/>
  <c r="IZ6" i="39" s="1"/>
  <c r="JS6" i="39"/>
  <c r="JT6" i="39" s="1"/>
  <c r="IU6" i="39"/>
  <c r="IV6" i="39" s="1"/>
  <c r="IE6" i="39"/>
  <c r="IF6" i="39" s="1"/>
  <c r="JL6" i="39"/>
  <c r="JC6" i="39"/>
  <c r="JD6" i="39" s="1"/>
  <c r="IM6" i="39"/>
  <c r="IN6" i="39" s="1"/>
  <c r="HO6" i="39"/>
  <c r="HP6" i="39" s="1"/>
  <c r="JG6" i="39"/>
  <c r="JH6" i="39" s="1"/>
  <c r="JW6" i="39"/>
  <c r="JX6" i="39" s="1"/>
  <c r="HE7" i="39"/>
  <c r="HF6" i="39"/>
  <c r="IG7" i="39"/>
  <c r="IH7" i="39" s="1"/>
  <c r="IA7" i="39"/>
  <c r="IB7" i="39" s="1"/>
  <c r="HY7" i="39"/>
  <c r="HZ7" i="39" s="1"/>
  <c r="HQ7" i="39"/>
  <c r="HR7" i="39" s="1"/>
  <c r="HI7" i="39"/>
  <c r="IS7" i="39"/>
  <c r="IT7" i="39" s="1"/>
  <c r="JA7" i="39"/>
  <c r="JB7" i="39" s="1"/>
  <c r="IW7" i="39"/>
  <c r="IX7" i="39" s="1"/>
  <c r="JE7" i="39"/>
  <c r="JF7" i="39" s="1"/>
  <c r="JQ7" i="39"/>
  <c r="JR7" i="39" s="1"/>
  <c r="IK7" i="39"/>
  <c r="IL7" i="39" s="1"/>
  <c r="HM7" i="39"/>
  <c r="HN7" i="39" s="1"/>
  <c r="JU7" i="39"/>
  <c r="JV7" i="39" s="1"/>
  <c r="IO7" i="39"/>
  <c r="IP7" i="39" s="1"/>
  <c r="HU7" i="39"/>
  <c r="HV7" i="39" s="1"/>
  <c r="IC7" i="39"/>
  <c r="ID7" i="39" s="1"/>
  <c r="HW6" i="39"/>
  <c r="HX6" i="39" s="1"/>
  <c r="BQ65" i="33"/>
  <c r="BR65" i="33"/>
  <c r="Y21" i="38"/>
  <c r="H31" i="38"/>
  <c r="D30" i="38"/>
  <c r="B29" i="38"/>
  <c r="N27" i="38"/>
  <c r="J26" i="38"/>
  <c r="T24" i="38"/>
  <c r="R23" i="38"/>
  <c r="O22" i="38"/>
  <c r="H21" i="38"/>
  <c r="J35" i="1"/>
  <c r="D33" i="1"/>
  <c r="O31" i="1"/>
  <c r="X29" i="1"/>
  <c r="T27" i="1"/>
  <c r="R26" i="1"/>
  <c r="X21" i="38"/>
  <c r="O35" i="38"/>
  <c r="Y34" i="38"/>
  <c r="N34" i="38"/>
  <c r="X33" i="38"/>
  <c r="J33" i="38"/>
  <c r="V32" i="38"/>
  <c r="H32" i="38"/>
  <c r="T31" i="38"/>
  <c r="D31" i="38"/>
  <c r="R30" i="38"/>
  <c r="B30" i="38"/>
  <c r="O29" i="38"/>
  <c r="Y28" i="38"/>
  <c r="N28" i="38"/>
  <c r="X27" i="38"/>
  <c r="J27" i="38"/>
  <c r="V26" i="38"/>
  <c r="H26" i="38"/>
  <c r="T25" i="38"/>
  <c r="D25" i="38"/>
  <c r="R24" i="38"/>
  <c r="B24" i="38"/>
  <c r="X35" i="38"/>
  <c r="V35" i="38"/>
  <c r="T35" i="38"/>
  <c r="D35" i="38"/>
  <c r="R34" i="38"/>
  <c r="B34" i="38"/>
  <c r="O33" i="38"/>
  <c r="Y32" i="38"/>
  <c r="N32" i="38"/>
  <c r="X31" i="38"/>
  <c r="J31" i="38"/>
  <c r="V30" i="38"/>
  <c r="H30" i="38"/>
  <c r="T29" i="38"/>
  <c r="D29" i="38"/>
  <c r="R28" i="38"/>
  <c r="B28" i="38"/>
  <c r="O27" i="38"/>
  <c r="Y26" i="38"/>
  <c r="N26" i="38"/>
  <c r="X25" i="38"/>
  <c r="J25" i="38"/>
  <c r="V24" i="38"/>
  <c r="H24" i="38"/>
  <c r="T23" i="38"/>
  <c r="D23" i="38"/>
  <c r="R22" i="38"/>
  <c r="B22" i="38"/>
  <c r="J21" i="38"/>
  <c r="Y35" i="1"/>
  <c r="N35" i="1"/>
  <c r="X34" i="1"/>
  <c r="J34" i="1"/>
  <c r="V33" i="1"/>
  <c r="H33" i="1"/>
  <c r="T32" i="1"/>
  <c r="D32" i="1"/>
  <c r="R31" i="1"/>
  <c r="B31" i="1"/>
  <c r="O30" i="1"/>
  <c r="Y29" i="1"/>
  <c r="N29" i="1"/>
  <c r="X28" i="1"/>
  <c r="J28" i="1"/>
  <c r="V27" i="1"/>
  <c r="H27" i="1"/>
  <c r="T26" i="1"/>
  <c r="D26" i="1"/>
  <c r="R25" i="1"/>
  <c r="B25" i="1"/>
  <c r="O24" i="1"/>
  <c r="Y23" i="1"/>
  <c r="N23" i="1"/>
  <c r="X22" i="1"/>
  <c r="J22" i="1"/>
  <c r="R21" i="1"/>
  <c r="B21" i="1"/>
  <c r="Z21" i="1" s="1"/>
  <c r="Z36" i="1" s="1"/>
  <c r="R35" i="38"/>
  <c r="B35" i="38"/>
  <c r="O34" i="38"/>
  <c r="Y33" i="38"/>
  <c r="N33" i="38"/>
  <c r="X32" i="38"/>
  <c r="J32" i="38"/>
  <c r="V31" i="38"/>
  <c r="T30" i="38"/>
  <c r="R29" i="38"/>
  <c r="O28" i="38"/>
  <c r="Y27" i="38"/>
  <c r="X26" i="38"/>
  <c r="V25" i="38"/>
  <c r="H25" i="38"/>
  <c r="D24" i="38"/>
  <c r="B23" i="38"/>
  <c r="V21" i="38"/>
  <c r="X35" i="1"/>
  <c r="V34" i="1"/>
  <c r="H34" i="1"/>
  <c r="T33" i="1"/>
  <c r="R32" i="1"/>
  <c r="B32" i="1"/>
  <c r="Y30" i="1"/>
  <c r="N30" i="1"/>
  <c r="J29" i="1"/>
  <c r="V28" i="1"/>
  <c r="H28" i="1"/>
  <c r="D27" i="1"/>
  <c r="Y35" i="38"/>
  <c r="D22" i="38"/>
  <c r="J31" i="1"/>
  <c r="V23" i="1"/>
  <c r="D32" i="38"/>
  <c r="X28" i="38"/>
  <c r="O23" i="38"/>
  <c r="Y21" i="1"/>
  <c r="R33" i="1"/>
  <c r="R29" i="1"/>
  <c r="J26" i="1"/>
  <c r="T23" i="1"/>
  <c r="O21" i="1"/>
  <c r="N23" i="38"/>
  <c r="D35" i="1"/>
  <c r="D31" i="1"/>
  <c r="X27" i="1"/>
  <c r="O25" i="1"/>
  <c r="N21" i="1"/>
  <c r="Y31" i="38"/>
  <c r="T28" i="38"/>
  <c r="N22" i="38"/>
  <c r="N33" i="1"/>
  <c r="D30" i="1"/>
  <c r="N25" i="1"/>
  <c r="D22" i="1"/>
  <c r="H33" i="38"/>
  <c r="B27" i="1"/>
  <c r="H30" i="1"/>
  <c r="H24" i="1"/>
  <c r="D34" i="38"/>
  <c r="V29" i="38"/>
  <c r="J23" i="38"/>
  <c r="V35" i="1"/>
  <c r="V31" i="1"/>
  <c r="R27" i="1"/>
  <c r="D24" i="1"/>
  <c r="J35" i="38"/>
  <c r="H34" i="38"/>
  <c r="D33" i="38"/>
  <c r="B32" i="38"/>
  <c r="Y30" i="38"/>
  <c r="X29" i="38"/>
  <c r="V28" i="38"/>
  <c r="T27" i="38"/>
  <c r="R26" i="38"/>
  <c r="T22" i="38"/>
  <c r="R21" i="38"/>
  <c r="O33" i="1"/>
  <c r="H22" i="1"/>
  <c r="X30" i="38"/>
  <c r="R27" i="38"/>
  <c r="J24" i="38"/>
  <c r="B35" i="1"/>
  <c r="X30" i="1"/>
  <c r="X26" i="1"/>
  <c r="V22" i="1"/>
  <c r="X34" i="38"/>
  <c r="V33" i="38"/>
  <c r="T32" i="38"/>
  <c r="R31" i="38"/>
  <c r="O30" i="38"/>
  <c r="N29" i="38"/>
  <c r="J28" i="38"/>
  <c r="H27" i="38"/>
  <c r="D26" i="38"/>
  <c r="B25" i="38"/>
  <c r="Y23" i="38"/>
  <c r="H23" i="38"/>
  <c r="J22" i="38"/>
  <c r="N21" i="38"/>
  <c r="T35" i="1"/>
  <c r="Y34" i="1"/>
  <c r="B34" i="1"/>
  <c r="J33" i="1"/>
  <c r="N32" i="1"/>
  <c r="T31" i="1"/>
  <c r="V30" i="1"/>
  <c r="B30" i="1"/>
  <c r="D29" i="1"/>
  <c r="N28" i="1"/>
  <c r="O27" i="1"/>
  <c r="V26" i="1"/>
  <c r="Y25" i="1"/>
  <c r="J25" i="1"/>
  <c r="T24" i="1"/>
  <c r="B24" i="1"/>
  <c r="J23" i="1"/>
  <c r="T22" i="1"/>
  <c r="B22" i="1"/>
  <c r="H21" i="1"/>
  <c r="T34" i="38"/>
  <c r="O32" i="38"/>
  <c r="J30" i="38"/>
  <c r="H29" i="38"/>
  <c r="D28" i="38"/>
  <c r="Y25" i="38"/>
  <c r="V23" i="38"/>
  <c r="B21" i="38"/>
  <c r="Z21" i="38" s="1"/>
  <c r="Z36" i="38" s="1"/>
  <c r="R34" i="1"/>
  <c r="Y32" i="1"/>
  <c r="R30" i="1"/>
  <c r="Y28" i="1"/>
  <c r="J27" i="1"/>
  <c r="V25" i="1"/>
  <c r="N24" i="1"/>
  <c r="O22" i="1"/>
  <c r="J34" i="38"/>
  <c r="B31" i="38"/>
  <c r="V27" i="38"/>
  <c r="T26" i="38"/>
  <c r="O24" i="38"/>
  <c r="T21" i="38"/>
  <c r="O34" i="1"/>
  <c r="Y31" i="1"/>
  <c r="J30" i="1"/>
  <c r="Y27" i="1"/>
  <c r="Y24" i="1"/>
  <c r="B23" i="1"/>
  <c r="O25" i="38"/>
  <c r="X21" i="1"/>
  <c r="V32" i="1"/>
  <c r="O29" i="1"/>
  <c r="Y26" i="1"/>
  <c r="X24" i="1"/>
  <c r="Y22" i="1"/>
  <c r="B33" i="38"/>
  <c r="N25" i="38"/>
  <c r="D34" i="1"/>
  <c r="O28" i="1"/>
  <c r="V24" i="1"/>
  <c r="J21" i="1"/>
  <c r="V34" i="38"/>
  <c r="T33" i="38"/>
  <c r="R32" i="38"/>
  <c r="O31" i="38"/>
  <c r="N30" i="38"/>
  <c r="J29" i="38"/>
  <c r="H28" i="38"/>
  <c r="D27" i="38"/>
  <c r="B26" i="38"/>
  <c r="Y24" i="38"/>
  <c r="X23" i="38"/>
  <c r="Y22" i="38"/>
  <c r="H22" i="38"/>
  <c r="D21" i="38"/>
  <c r="R35" i="1"/>
  <c r="T34" i="1"/>
  <c r="Y33" i="1"/>
  <c r="B33" i="1"/>
  <c r="J32" i="1"/>
  <c r="N31" i="1"/>
  <c r="T30" i="1"/>
  <c r="V29" i="1"/>
  <c r="B29" i="1"/>
  <c r="D28" i="1"/>
  <c r="N27" i="1"/>
  <c r="O26" i="1"/>
  <c r="X25" i="1"/>
  <c r="H25" i="1"/>
  <c r="R24" i="1"/>
  <c r="X23" i="1"/>
  <c r="H23" i="1"/>
  <c r="R22" i="1"/>
  <c r="V21" i="1"/>
  <c r="D21" i="1"/>
  <c r="R33" i="38"/>
  <c r="N31" i="38"/>
  <c r="B27" i="38"/>
  <c r="X24" i="38"/>
  <c r="X22" i="38"/>
  <c r="O35" i="1"/>
  <c r="X33" i="1"/>
  <c r="H32" i="1"/>
  <c r="T29" i="1"/>
  <c r="B28" i="1"/>
  <c r="N26" i="1"/>
  <c r="D25" i="1"/>
  <c r="D23" i="1"/>
  <c r="T21" i="1"/>
  <c r="N35" i="38"/>
  <c r="Y29" i="38"/>
  <c r="R25" i="38"/>
  <c r="V22" i="38"/>
  <c r="H35" i="1"/>
  <c r="X32" i="1"/>
  <c r="H31" i="1"/>
  <c r="T28" i="1"/>
  <c r="T25" i="1"/>
  <c r="J24" i="1"/>
  <c r="N22" i="1"/>
  <c r="N24" i="38"/>
  <c r="N34" i="1"/>
  <c r="X31" i="1"/>
  <c r="R28" i="1"/>
  <c r="H26" i="1"/>
  <c r="R23" i="1"/>
  <c r="H35" i="38"/>
  <c r="O26" i="38"/>
  <c r="O21" i="38"/>
  <c r="O32" i="1"/>
  <c r="H29" i="1"/>
  <c r="B26" i="1"/>
  <c r="O23" i="1"/>
  <c r="B32" i="34"/>
  <c r="B4" i="34" s="1"/>
  <c r="W15" i="42"/>
  <c r="Y88" i="34"/>
  <c r="Y90" i="34" s="1"/>
  <c r="J9" i="42"/>
  <c r="BC10" i="36"/>
  <c r="D15" i="36" s="1"/>
  <c r="K6" i="36"/>
  <c r="F8" i="3"/>
  <c r="V89" i="34"/>
  <c r="AE89" i="34" s="1"/>
  <c r="W15" i="43"/>
  <c r="J9" i="43"/>
  <c r="Z88" i="34"/>
  <c r="Z90" i="34" s="1"/>
  <c r="X88" i="34"/>
  <c r="X90" i="34" s="1"/>
  <c r="J9" i="41"/>
  <c r="W15" i="41"/>
  <c r="B31" i="34"/>
  <c r="O49" i="34" s="1"/>
  <c r="P49" i="34" s="1"/>
  <c r="W15" i="1"/>
  <c r="V88" i="34"/>
  <c r="J9" i="1"/>
  <c r="C18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Q96" i="6"/>
  <c r="Q117" i="6" s="1"/>
  <c r="Q117" i="18"/>
  <c r="Q136" i="18" s="1"/>
  <c r="KC3" i="39"/>
  <c r="M46" i="34"/>
  <c r="M17" i="34"/>
  <c r="N18" i="34"/>
  <c r="A8" i="39"/>
  <c r="HS7" i="39" l="1"/>
  <c r="HT7" i="39" s="1"/>
  <c r="II7" i="39"/>
  <c r="IJ7" i="39" s="1"/>
  <c r="HK7" i="39"/>
  <c r="HL7" i="39" s="1"/>
  <c r="JO7" i="39"/>
  <c r="JP7" i="39" s="1"/>
  <c r="JI8" i="39"/>
  <c r="JJ8" i="39" s="1"/>
  <c r="JM8" i="39"/>
  <c r="JK7" i="39"/>
  <c r="HG7" i="39"/>
  <c r="HH7" i="39" s="1"/>
  <c r="AE88" i="34"/>
  <c r="AE90" i="34" s="1"/>
  <c r="JW7" i="39"/>
  <c r="JX7" i="39" s="1"/>
  <c r="IM7" i="39"/>
  <c r="IN7" i="39" s="1"/>
  <c r="HO7" i="39"/>
  <c r="HP7" i="39" s="1"/>
  <c r="JS7" i="39"/>
  <c r="JT7" i="39" s="1"/>
  <c r="IE7" i="39"/>
  <c r="IF7" i="39" s="1"/>
  <c r="IY7" i="39"/>
  <c r="IZ7" i="39" s="1"/>
  <c r="IU7" i="39"/>
  <c r="IV7" i="39" s="1"/>
  <c r="JG7" i="39"/>
  <c r="JH7" i="39" s="1"/>
  <c r="JC7" i="39"/>
  <c r="JD7" i="39" s="1"/>
  <c r="HW7" i="39"/>
  <c r="HX7" i="39" s="1"/>
  <c r="II8" i="39"/>
  <c r="IJ8" i="39" s="1"/>
  <c r="IG8" i="39"/>
  <c r="IH8" i="39" s="1"/>
  <c r="IA8" i="39"/>
  <c r="IB8" i="39" s="1"/>
  <c r="HY8" i="39"/>
  <c r="HZ8" i="39" s="1"/>
  <c r="HS8" i="39"/>
  <c r="HT8" i="39" s="1"/>
  <c r="HQ8" i="39"/>
  <c r="HR8" i="39" s="1"/>
  <c r="IS8" i="39"/>
  <c r="IT8" i="39" s="1"/>
  <c r="JA8" i="39"/>
  <c r="JB8" i="39" s="1"/>
  <c r="IW8" i="39"/>
  <c r="IX8" i="39" s="1"/>
  <c r="JQ8" i="39"/>
  <c r="JR8" i="39" s="1"/>
  <c r="HU8" i="39"/>
  <c r="HV8" i="39" s="1"/>
  <c r="IO8" i="39"/>
  <c r="IP8" i="39" s="1"/>
  <c r="IK8" i="39"/>
  <c r="IL8" i="39" s="1"/>
  <c r="HM8" i="39"/>
  <c r="HN8" i="39" s="1"/>
  <c r="IC8" i="39"/>
  <c r="ID8" i="39" s="1"/>
  <c r="JU8" i="39"/>
  <c r="JV8" i="39" s="1"/>
  <c r="JE8" i="39"/>
  <c r="JF8" i="39" s="1"/>
  <c r="HI8" i="39"/>
  <c r="HJ7" i="39"/>
  <c r="HE8" i="39"/>
  <c r="HF7" i="39"/>
  <c r="IQ7" i="39"/>
  <c r="IR7" i="39" s="1"/>
  <c r="I102" i="11"/>
  <c r="V90" i="34"/>
  <c r="Q136" i="6"/>
  <c r="Q157" i="6" s="1"/>
  <c r="Q157" i="18"/>
  <c r="Q176" i="18" s="1"/>
  <c r="A9" i="39"/>
  <c r="N17" i="34"/>
  <c r="Y36" i="38"/>
  <c r="X36" i="38"/>
  <c r="X36" i="1"/>
  <c r="Y36" i="1"/>
  <c r="JO8" i="39" l="1"/>
  <c r="JP8" i="39" s="1"/>
  <c r="HK8" i="39"/>
  <c r="HL8" i="39" s="1"/>
  <c r="JN8" i="39"/>
  <c r="HG8" i="39"/>
  <c r="HH8" i="39" s="1"/>
  <c r="JK8" i="39"/>
  <c r="JL8" i="39" s="1"/>
  <c r="JL7" i="39"/>
  <c r="JM9" i="39"/>
  <c r="JO9" i="39" s="1"/>
  <c r="JI9" i="39"/>
  <c r="JJ9" i="39" s="1"/>
  <c r="JW8" i="39"/>
  <c r="JX8" i="39" s="1"/>
  <c r="IY8" i="39"/>
  <c r="IZ8" i="39" s="1"/>
  <c r="IM8" i="39"/>
  <c r="IN8" i="39" s="1"/>
  <c r="JC8" i="39"/>
  <c r="JD8" i="39" s="1"/>
  <c r="HW8" i="39"/>
  <c r="HX8" i="39" s="1"/>
  <c r="IE8" i="39"/>
  <c r="IF8" i="39" s="1"/>
  <c r="IQ8" i="39"/>
  <c r="IR8" i="39" s="1"/>
  <c r="IG9" i="39"/>
  <c r="IH9" i="39" s="1"/>
  <c r="II9" i="39"/>
  <c r="IJ9" i="39" s="1"/>
  <c r="HY9" i="39"/>
  <c r="HZ9" i="39" s="1"/>
  <c r="HS9" i="39"/>
  <c r="HT9" i="39" s="1"/>
  <c r="HQ9" i="39"/>
  <c r="HR9" i="39" s="1"/>
  <c r="JA9" i="39"/>
  <c r="IW9" i="39"/>
  <c r="IX9" i="39" s="1"/>
  <c r="IS9" i="39"/>
  <c r="IT9" i="39" s="1"/>
  <c r="IK9" i="39"/>
  <c r="IL9" i="39" s="1"/>
  <c r="HM9" i="39"/>
  <c r="HN9" i="39" s="1"/>
  <c r="HU9" i="39"/>
  <c r="HV9" i="39" s="1"/>
  <c r="JE9" i="39"/>
  <c r="JQ9" i="39"/>
  <c r="JR9" i="39" s="1"/>
  <c r="JU9" i="39"/>
  <c r="JV9" i="39" s="1"/>
  <c r="IO9" i="39"/>
  <c r="IP9" i="39" s="1"/>
  <c r="IC9" i="39"/>
  <c r="ID9" i="39" s="1"/>
  <c r="JG8" i="39"/>
  <c r="JH8" i="39" s="1"/>
  <c r="IU8" i="39"/>
  <c r="IV8" i="39" s="1"/>
  <c r="HI9" i="39"/>
  <c r="HJ8" i="39"/>
  <c r="HE9" i="39"/>
  <c r="HF8" i="39"/>
  <c r="JS8" i="39"/>
  <c r="JT8" i="39" s="1"/>
  <c r="HO8" i="39"/>
  <c r="HP8" i="39" s="1"/>
  <c r="N13" i="34"/>
  <c r="M13" i="34" s="1"/>
  <c r="Q176" i="6"/>
  <c r="Q197" i="6" s="1"/>
  <c r="Q197" i="18"/>
  <c r="A10" i="39"/>
  <c r="N12" i="34" l="1"/>
  <c r="M10" i="34"/>
  <c r="N10" i="34" s="1"/>
  <c r="IA9" i="39"/>
  <c r="IB9" i="39" s="1"/>
  <c r="HK9" i="39"/>
  <c r="HL9" i="39" s="1"/>
  <c r="HG9" i="39"/>
  <c r="HH9" i="39" s="1"/>
  <c r="JN9" i="39"/>
  <c r="JM10" i="39"/>
  <c r="JO10" i="39" s="1"/>
  <c r="JI10" i="39"/>
  <c r="JJ10" i="39" s="1"/>
  <c r="JK9" i="39"/>
  <c r="JC9" i="39"/>
  <c r="JD9" i="39" s="1"/>
  <c r="IY9" i="39"/>
  <c r="IZ9" i="39" s="1"/>
  <c r="IQ9" i="39"/>
  <c r="IR9" i="39" s="1"/>
  <c r="IM9" i="39"/>
  <c r="IN9" i="39" s="1"/>
  <c r="HW9" i="39"/>
  <c r="HX9" i="39" s="1"/>
  <c r="IE9" i="39"/>
  <c r="IF9" i="39" s="1"/>
  <c r="HO9" i="39"/>
  <c r="HP9" i="39" s="1"/>
  <c r="JP9" i="39"/>
  <c r="JW9" i="39"/>
  <c r="JX9" i="39" s="1"/>
  <c r="IG10" i="39"/>
  <c r="IH10" i="39" s="1"/>
  <c r="HY10" i="39"/>
  <c r="HZ10" i="39" s="1"/>
  <c r="HS10" i="39"/>
  <c r="HT10" i="39" s="1"/>
  <c r="HQ10" i="39"/>
  <c r="HR10" i="39" s="1"/>
  <c r="IW10" i="39"/>
  <c r="IX10" i="39" s="1"/>
  <c r="IS10" i="39"/>
  <c r="IT10" i="39" s="1"/>
  <c r="HU10" i="39"/>
  <c r="HV10" i="39" s="1"/>
  <c r="JU10" i="39"/>
  <c r="JV10" i="39" s="1"/>
  <c r="IK10" i="39"/>
  <c r="IL10" i="39" s="1"/>
  <c r="JQ10" i="39"/>
  <c r="JR10" i="39" s="1"/>
  <c r="IO10" i="39"/>
  <c r="IP10" i="39" s="1"/>
  <c r="IC10" i="39"/>
  <c r="ID10" i="39" s="1"/>
  <c r="HM10" i="39"/>
  <c r="HN10" i="39" s="1"/>
  <c r="IU9" i="39"/>
  <c r="IV9" i="39" s="1"/>
  <c r="JS9" i="39"/>
  <c r="JT9" i="39" s="1"/>
  <c r="JA10" i="39"/>
  <c r="JB9" i="39"/>
  <c r="HI10" i="39"/>
  <c r="HJ9" i="39"/>
  <c r="JG9" i="39"/>
  <c r="JE10" i="39"/>
  <c r="JF9" i="39"/>
  <c r="HE10" i="39"/>
  <c r="HF9" i="39"/>
  <c r="A11" i="39"/>
  <c r="L26" i="34" l="1"/>
  <c r="II10" i="39"/>
  <c r="IJ10" i="39" s="1"/>
  <c r="IA10" i="39"/>
  <c r="IB10" i="39" s="1"/>
  <c r="JK10" i="39"/>
  <c r="JL10" i="39" s="1"/>
  <c r="HK10" i="39"/>
  <c r="HL10" i="39" s="1"/>
  <c r="JN10" i="39"/>
  <c r="JM11" i="39"/>
  <c r="JO11" i="39" s="1"/>
  <c r="JI11" i="39"/>
  <c r="JL9" i="39"/>
  <c r="JC10" i="39"/>
  <c r="JD10" i="39" s="1"/>
  <c r="JW10" i="39"/>
  <c r="JX10" i="39" s="1"/>
  <c r="IM10" i="39"/>
  <c r="IN10" i="39" s="1"/>
  <c r="IQ10" i="39"/>
  <c r="IR10" i="39" s="1"/>
  <c r="HW10" i="39"/>
  <c r="HX10" i="39" s="1"/>
  <c r="HO10" i="39"/>
  <c r="HP10" i="39" s="1"/>
  <c r="IE10" i="39"/>
  <c r="IF10" i="39" s="1"/>
  <c r="JP10" i="39"/>
  <c r="JE11" i="39"/>
  <c r="JF11" i="39" s="1"/>
  <c r="JF10" i="39"/>
  <c r="IG11" i="39"/>
  <c r="IH11" i="39" s="1"/>
  <c r="HY11" i="39"/>
  <c r="HZ11" i="39" s="1"/>
  <c r="HQ11" i="39"/>
  <c r="HR11" i="39" s="1"/>
  <c r="IW11" i="39"/>
  <c r="IX11" i="39" s="1"/>
  <c r="IS11" i="39"/>
  <c r="IT11" i="39" s="1"/>
  <c r="IO11" i="39"/>
  <c r="IP11" i="39" s="1"/>
  <c r="HM11" i="39"/>
  <c r="HN11" i="39" s="1"/>
  <c r="IC11" i="39"/>
  <c r="ID11" i="39" s="1"/>
  <c r="JQ11" i="39"/>
  <c r="JR11" i="39" s="1"/>
  <c r="JU11" i="39"/>
  <c r="JV11" i="39" s="1"/>
  <c r="HU11" i="39"/>
  <c r="IK11" i="39"/>
  <c r="IL11" i="39" s="1"/>
  <c r="JG10" i="39"/>
  <c r="JH9" i="39"/>
  <c r="JA11" i="39"/>
  <c r="JB11" i="39" s="1"/>
  <c r="JB10" i="39"/>
  <c r="JS10" i="39"/>
  <c r="JT10" i="39" s="1"/>
  <c r="IU10" i="39"/>
  <c r="IV10" i="39" s="1"/>
  <c r="HE11" i="39"/>
  <c r="HF10" i="39"/>
  <c r="HI11" i="39"/>
  <c r="HJ10" i="39"/>
  <c r="IY10" i="39"/>
  <c r="IZ10" i="39" s="1"/>
  <c r="HG10" i="39"/>
  <c r="D81" i="34"/>
  <c r="C81" i="34" s="1"/>
  <c r="A12" i="39"/>
  <c r="HS11" i="39" l="1"/>
  <c r="HT11" i="39" s="1"/>
  <c r="IA11" i="39"/>
  <c r="IB11" i="39" s="1"/>
  <c r="II11" i="39"/>
  <c r="IJ11" i="39" s="1"/>
  <c r="JN11" i="39"/>
  <c r="JI12" i="39"/>
  <c r="JJ12" i="39" s="1"/>
  <c r="JJ11" i="39"/>
  <c r="JM12" i="39"/>
  <c r="JO12" i="39" s="1"/>
  <c r="JK11" i="39"/>
  <c r="JL11" i="39" s="1"/>
  <c r="HW11" i="39"/>
  <c r="HX11" i="39" s="1"/>
  <c r="JW11" i="39"/>
  <c r="JX11" i="39" s="1"/>
  <c r="IM11" i="39"/>
  <c r="IN11" i="39" s="1"/>
  <c r="IQ11" i="39"/>
  <c r="IR11" i="39" s="1"/>
  <c r="HO11" i="39"/>
  <c r="HP11" i="39" s="1"/>
  <c r="JC11" i="39"/>
  <c r="JD11" i="39" s="1"/>
  <c r="IE11" i="39"/>
  <c r="IF11" i="39" s="1"/>
  <c r="IU11" i="39"/>
  <c r="IV11" i="39" s="1"/>
  <c r="HI12" i="39"/>
  <c r="HJ11" i="39"/>
  <c r="HG11" i="39"/>
  <c r="HH10" i="39"/>
  <c r="HE12" i="39"/>
  <c r="HF11" i="39"/>
  <c r="JG11" i="39"/>
  <c r="JH11" i="39" s="1"/>
  <c r="JH10" i="39"/>
  <c r="JS11" i="39"/>
  <c r="JT11" i="39" s="1"/>
  <c r="IG12" i="39"/>
  <c r="IH12" i="39" s="1"/>
  <c r="HY12" i="39"/>
  <c r="HZ12" i="39" s="1"/>
  <c r="HQ12" i="39"/>
  <c r="HR12" i="39" s="1"/>
  <c r="JA12" i="39"/>
  <c r="JB12" i="39" s="1"/>
  <c r="JE12" i="39"/>
  <c r="JF12" i="39" s="1"/>
  <c r="IW12" i="39"/>
  <c r="IX12" i="39" s="1"/>
  <c r="IS12" i="39"/>
  <c r="IT12" i="39" s="1"/>
  <c r="IC12" i="39"/>
  <c r="ID12" i="39" s="1"/>
  <c r="HM12" i="39"/>
  <c r="HN12" i="39" s="1"/>
  <c r="JU12" i="39"/>
  <c r="JV12" i="39" s="1"/>
  <c r="JQ12" i="39"/>
  <c r="JR12" i="39" s="1"/>
  <c r="IO12" i="39"/>
  <c r="IP12" i="39" s="1"/>
  <c r="IK12" i="39"/>
  <c r="IL12" i="39" s="1"/>
  <c r="JP11" i="39"/>
  <c r="HU12" i="39"/>
  <c r="HV11" i="39"/>
  <c r="IY11" i="39"/>
  <c r="IZ11" i="39" s="1"/>
  <c r="HK11" i="39"/>
  <c r="A13" i="39"/>
  <c r="HS12" i="39" l="1"/>
  <c r="HT12" i="39" s="1"/>
  <c r="IA12" i="39"/>
  <c r="IB12" i="39" s="1"/>
  <c r="II12" i="39"/>
  <c r="IJ12" i="39" s="1"/>
  <c r="JN12" i="39"/>
  <c r="JK12" i="39"/>
  <c r="JL12" i="39" s="1"/>
  <c r="JM13" i="39"/>
  <c r="JO13" i="39" s="1"/>
  <c r="JI13" i="39"/>
  <c r="HW12" i="39"/>
  <c r="HX12" i="39" s="1"/>
  <c r="IQ12" i="39"/>
  <c r="IR12" i="39" s="1"/>
  <c r="JW12" i="39"/>
  <c r="JX12" i="39" s="1"/>
  <c r="IE12" i="39"/>
  <c r="IF12" i="39" s="1"/>
  <c r="HO12" i="39"/>
  <c r="HP12" i="39" s="1"/>
  <c r="IU12" i="39"/>
  <c r="IV12" i="39" s="1"/>
  <c r="JS12" i="39"/>
  <c r="JT12" i="39" s="1"/>
  <c r="JC12" i="39"/>
  <c r="JD12" i="39" s="1"/>
  <c r="IG13" i="39"/>
  <c r="IH13" i="39" s="1"/>
  <c r="HY13" i="39"/>
  <c r="HZ13" i="39" s="1"/>
  <c r="HQ13" i="39"/>
  <c r="HR13" i="39" s="1"/>
  <c r="JA13" i="39"/>
  <c r="JB13" i="39" s="1"/>
  <c r="JE13" i="39"/>
  <c r="JF13" i="39" s="1"/>
  <c r="IW13" i="39"/>
  <c r="IS13" i="39"/>
  <c r="IU13" i="39" s="1"/>
  <c r="IK13" i="39"/>
  <c r="IL13" i="39" s="1"/>
  <c r="HM13" i="39"/>
  <c r="HN13" i="39" s="1"/>
  <c r="IC13" i="39"/>
  <c r="ID13" i="39" s="1"/>
  <c r="JU13" i="39"/>
  <c r="JV13" i="39" s="1"/>
  <c r="IO13" i="39"/>
  <c r="IP13" i="39" s="1"/>
  <c r="JQ13" i="39"/>
  <c r="JR13" i="39" s="1"/>
  <c r="HK12" i="39"/>
  <c r="HL11" i="39"/>
  <c r="JP12" i="39"/>
  <c r="IY12" i="39"/>
  <c r="HG12" i="39"/>
  <c r="HH12" i="39" s="1"/>
  <c r="HH11" i="39"/>
  <c r="HU13" i="39"/>
  <c r="HV13" i="39" s="1"/>
  <c r="HV12" i="39"/>
  <c r="IM12" i="39"/>
  <c r="IN12" i="39" s="1"/>
  <c r="JG12" i="39"/>
  <c r="JH12" i="39" s="1"/>
  <c r="HE13" i="39"/>
  <c r="HF12" i="39"/>
  <c r="HI13" i="39"/>
  <c r="HJ12" i="39"/>
  <c r="A14" i="39"/>
  <c r="JN13" i="39" l="1"/>
  <c r="IA13" i="39"/>
  <c r="IB13" i="39" s="1"/>
  <c r="II13" i="39"/>
  <c r="IJ13" i="39" s="1"/>
  <c r="HS13" i="39"/>
  <c r="HT13" i="39" s="1"/>
  <c r="JI14" i="39"/>
  <c r="JJ14" i="39" s="1"/>
  <c r="JJ13" i="39"/>
  <c r="JK13" i="39"/>
  <c r="JL13" i="39" s="1"/>
  <c r="JM14" i="39"/>
  <c r="JO14" i="39" s="1"/>
  <c r="IE13" i="39"/>
  <c r="IF13" i="39" s="1"/>
  <c r="HG13" i="39"/>
  <c r="HH13" i="39" s="1"/>
  <c r="HO13" i="39"/>
  <c r="HP13" i="39" s="1"/>
  <c r="IQ13" i="39"/>
  <c r="IR13" i="39" s="1"/>
  <c r="JW13" i="39"/>
  <c r="JX13" i="39" s="1"/>
  <c r="HW13" i="39"/>
  <c r="HX13" i="39" s="1"/>
  <c r="JP13" i="39"/>
  <c r="HK13" i="39"/>
  <c r="HL12" i="39"/>
  <c r="JS13" i="39"/>
  <c r="JT13" i="39" s="1"/>
  <c r="JG13" i="39"/>
  <c r="JH13" i="39" s="1"/>
  <c r="IG14" i="39"/>
  <c r="IH14" i="39" s="1"/>
  <c r="HY14" i="39"/>
  <c r="HZ14" i="39" s="1"/>
  <c r="HQ14" i="39"/>
  <c r="HR14" i="39" s="1"/>
  <c r="JA14" i="39"/>
  <c r="JB14" i="39" s="1"/>
  <c r="JE14" i="39"/>
  <c r="JF14" i="39" s="1"/>
  <c r="HU14" i="39"/>
  <c r="HV14" i="39" s="1"/>
  <c r="IO14" i="39"/>
  <c r="IP14" i="39" s="1"/>
  <c r="IC14" i="39"/>
  <c r="ID14" i="39" s="1"/>
  <c r="JQ14" i="39"/>
  <c r="JR14" i="39" s="1"/>
  <c r="IK14" i="39"/>
  <c r="IL14" i="39" s="1"/>
  <c r="JU14" i="39"/>
  <c r="JV14" i="39" s="1"/>
  <c r="HM14" i="39"/>
  <c r="HN14" i="39" s="1"/>
  <c r="HE14" i="39"/>
  <c r="HF13" i="39"/>
  <c r="HI14" i="39"/>
  <c r="HJ13" i="39"/>
  <c r="IY13" i="39"/>
  <c r="IZ12" i="39"/>
  <c r="IS14" i="39"/>
  <c r="IU14" i="39" s="1"/>
  <c r="IV14" i="39" s="1"/>
  <c r="IT13" i="39"/>
  <c r="IV13" i="39"/>
  <c r="IM13" i="39"/>
  <c r="IN13" i="39" s="1"/>
  <c r="IW14" i="39"/>
  <c r="IX13" i="39"/>
  <c r="JC13" i="39"/>
  <c r="JD13" i="39" s="1"/>
  <c r="A15" i="39"/>
  <c r="IA14" i="39" l="1"/>
  <c r="IB14" i="39" s="1"/>
  <c r="HS14" i="39"/>
  <c r="HT14" i="39" s="1"/>
  <c r="II14" i="39"/>
  <c r="IJ14" i="39" s="1"/>
  <c r="HG14" i="39"/>
  <c r="HH14" i="39" s="1"/>
  <c r="JK14" i="39"/>
  <c r="JL14" i="39" s="1"/>
  <c r="JM15" i="39"/>
  <c r="JO15" i="39" s="1"/>
  <c r="JN14" i="39"/>
  <c r="JI15" i="39"/>
  <c r="JJ15" i="39" s="1"/>
  <c r="JS14" i="39"/>
  <c r="JT14" i="39" s="1"/>
  <c r="JG14" i="39"/>
  <c r="JH14" i="39" s="1"/>
  <c r="JP14" i="39"/>
  <c r="HO14" i="39"/>
  <c r="HP14" i="39" s="1"/>
  <c r="HE15" i="39"/>
  <c r="HF14" i="39"/>
  <c r="IW15" i="39"/>
  <c r="IX15" i="39" s="1"/>
  <c r="IX14" i="39"/>
  <c r="IM14" i="39"/>
  <c r="HW14" i="39"/>
  <c r="HX14" i="39" s="1"/>
  <c r="JC14" i="39"/>
  <c r="JD14" i="39" s="1"/>
  <c r="IY14" i="39"/>
  <c r="IZ14" i="39" s="1"/>
  <c r="IZ13" i="39"/>
  <c r="IE14" i="39"/>
  <c r="IF14" i="39" s="1"/>
  <c r="JW14" i="39"/>
  <c r="JX14" i="39" s="1"/>
  <c r="IG15" i="39"/>
  <c r="IH15" i="39" s="1"/>
  <c r="HY15" i="39"/>
  <c r="HZ15" i="39" s="1"/>
  <c r="HQ15" i="39"/>
  <c r="HR15" i="39" s="1"/>
  <c r="JA15" i="39"/>
  <c r="JB15" i="39" s="1"/>
  <c r="JE15" i="39"/>
  <c r="JF15" i="39" s="1"/>
  <c r="HU15" i="39"/>
  <c r="HV15" i="39" s="1"/>
  <c r="JU15" i="39"/>
  <c r="JV15" i="39" s="1"/>
  <c r="IO15" i="39"/>
  <c r="HM15" i="39"/>
  <c r="HN15" i="39" s="1"/>
  <c r="JQ15" i="39"/>
  <c r="JR15" i="39" s="1"/>
  <c r="IK15" i="39"/>
  <c r="IC15" i="39"/>
  <c r="ID15" i="39" s="1"/>
  <c r="IS15" i="39"/>
  <c r="IT15" i="39" s="1"/>
  <c r="IT14" i="39"/>
  <c r="HI15" i="39"/>
  <c r="HJ14" i="39"/>
  <c r="IQ14" i="39"/>
  <c r="HK14" i="39"/>
  <c r="HL13" i="39"/>
  <c r="A16" i="39"/>
  <c r="IA15" i="39" l="1"/>
  <c r="IB15" i="39" s="1"/>
  <c r="II15" i="39"/>
  <c r="IJ15" i="39" s="1"/>
  <c r="HS15" i="39"/>
  <c r="HT15" i="39" s="1"/>
  <c r="JN15" i="39"/>
  <c r="HG15" i="39"/>
  <c r="HH15" i="39" s="1"/>
  <c r="JM16" i="39"/>
  <c r="JN16" i="39" s="1"/>
  <c r="JI16" i="39"/>
  <c r="JJ16" i="39" s="1"/>
  <c r="JK15" i="39"/>
  <c r="JP15" i="39"/>
  <c r="JW15" i="39"/>
  <c r="JX15" i="39" s="1"/>
  <c r="JG15" i="39"/>
  <c r="JH15" i="39" s="1"/>
  <c r="JS15" i="39"/>
  <c r="JT15" i="39" s="1"/>
  <c r="IE15" i="39"/>
  <c r="IF15" i="39" s="1"/>
  <c r="JC15" i="39"/>
  <c r="JD15" i="39" s="1"/>
  <c r="IG16" i="39"/>
  <c r="IH16" i="39" s="1"/>
  <c r="HY16" i="39"/>
  <c r="HZ16" i="39" s="1"/>
  <c r="HS16" i="39"/>
  <c r="HT16" i="39" s="1"/>
  <c r="HQ16" i="39"/>
  <c r="HR16" i="39" s="1"/>
  <c r="JA16" i="39"/>
  <c r="JB16" i="39" s="1"/>
  <c r="IS16" i="39"/>
  <c r="IT16" i="39" s="1"/>
  <c r="IW16" i="39"/>
  <c r="IX16" i="39" s="1"/>
  <c r="JE16" i="39"/>
  <c r="JF16" i="39" s="1"/>
  <c r="HU16" i="39"/>
  <c r="HV16" i="39" s="1"/>
  <c r="JU16" i="39"/>
  <c r="JV16" i="39" s="1"/>
  <c r="IC16" i="39"/>
  <c r="ID16" i="39" s="1"/>
  <c r="HM16" i="39"/>
  <c r="HN16" i="39" s="1"/>
  <c r="JQ16" i="39"/>
  <c r="JR16" i="39" s="1"/>
  <c r="HI16" i="39"/>
  <c r="HJ15" i="39"/>
  <c r="HO15" i="39"/>
  <c r="HP15" i="39" s="1"/>
  <c r="IY15" i="39"/>
  <c r="IZ15" i="39" s="1"/>
  <c r="HK15" i="39"/>
  <c r="HL14" i="39"/>
  <c r="IQ15" i="39"/>
  <c r="IR14" i="39"/>
  <c r="IK16" i="39"/>
  <c r="IL15" i="39"/>
  <c r="IO16" i="39"/>
  <c r="IP15" i="39"/>
  <c r="HW15" i="39"/>
  <c r="HX15" i="39" s="1"/>
  <c r="IU15" i="39"/>
  <c r="IV15" i="39" s="1"/>
  <c r="IM15" i="39"/>
  <c r="IN14" i="39"/>
  <c r="HE16" i="39"/>
  <c r="HF15" i="39"/>
  <c r="A17" i="39"/>
  <c r="IA16" i="39" l="1"/>
  <c r="IB16" i="39" s="1"/>
  <c r="II16" i="39"/>
  <c r="IJ16" i="39" s="1"/>
  <c r="JO16" i="39"/>
  <c r="JP16" i="39" s="1"/>
  <c r="JK16" i="39"/>
  <c r="JL16" i="39" s="1"/>
  <c r="JL15" i="39"/>
  <c r="JM17" i="39"/>
  <c r="JI17" i="39"/>
  <c r="JW16" i="39"/>
  <c r="JX16" i="39" s="1"/>
  <c r="JS16" i="39"/>
  <c r="JT16" i="39" s="1"/>
  <c r="JC16" i="39"/>
  <c r="JD16" i="39" s="1"/>
  <c r="JG16" i="39"/>
  <c r="JH16" i="39" s="1"/>
  <c r="HE17" i="39"/>
  <c r="HF16" i="39"/>
  <c r="IK17" i="39"/>
  <c r="IL17" i="39" s="1"/>
  <c r="IL16" i="39"/>
  <c r="IE16" i="39"/>
  <c r="IF16" i="39" s="1"/>
  <c r="HG16" i="39"/>
  <c r="HH16" i="39" s="1"/>
  <c r="IQ16" i="39"/>
  <c r="IR16" i="39" s="1"/>
  <c r="IR15" i="39"/>
  <c r="HK16" i="39"/>
  <c r="HL15" i="39"/>
  <c r="IY16" i="39"/>
  <c r="IZ16" i="39" s="1"/>
  <c r="HI17" i="39"/>
  <c r="HJ16" i="39"/>
  <c r="HO16" i="39"/>
  <c r="HP16" i="39" s="1"/>
  <c r="IG17" i="39"/>
  <c r="IH17" i="39" s="1"/>
  <c r="II17" i="39"/>
  <c r="IJ17" i="39" s="1"/>
  <c r="HY17" i="39"/>
  <c r="HZ17" i="39" s="1"/>
  <c r="HQ17" i="39"/>
  <c r="HR17" i="39" s="1"/>
  <c r="IW17" i="39"/>
  <c r="IX17" i="39" s="1"/>
  <c r="JA17" i="39"/>
  <c r="JB17" i="39" s="1"/>
  <c r="IS17" i="39"/>
  <c r="IT17" i="39" s="1"/>
  <c r="JE17" i="39"/>
  <c r="JF17" i="39" s="1"/>
  <c r="HU17" i="39"/>
  <c r="HV17" i="39" s="1"/>
  <c r="JQ17" i="39"/>
  <c r="HM17" i="39"/>
  <c r="HN17" i="39" s="1"/>
  <c r="JU17" i="39"/>
  <c r="IC17" i="39"/>
  <c r="ID17" i="39" s="1"/>
  <c r="IM16" i="39"/>
  <c r="IN16" i="39" s="1"/>
  <c r="IN15" i="39"/>
  <c r="IO17" i="39"/>
  <c r="IP17" i="39" s="1"/>
  <c r="IP16" i="39"/>
  <c r="HW16" i="39"/>
  <c r="HX16" i="39" s="1"/>
  <c r="IU16" i="39"/>
  <c r="IV16" i="39" s="1"/>
  <c r="A18" i="39"/>
  <c r="HS17" i="39" l="1"/>
  <c r="HT17" i="39" s="1"/>
  <c r="IA17" i="39"/>
  <c r="IB17" i="39" s="1"/>
  <c r="JO17" i="39"/>
  <c r="JP17" i="39" s="1"/>
  <c r="JN17" i="39"/>
  <c r="JM18" i="39"/>
  <c r="JI18" i="39"/>
  <c r="JJ18" i="39" s="1"/>
  <c r="JJ17" i="39"/>
  <c r="JK17" i="39"/>
  <c r="JL17" i="39" s="1"/>
  <c r="JW17" i="39"/>
  <c r="JX17" i="39" s="1"/>
  <c r="JS17" i="39"/>
  <c r="JT17" i="39" s="1"/>
  <c r="HO17" i="39"/>
  <c r="HP17" i="39" s="1"/>
  <c r="IE17" i="39"/>
  <c r="IF17" i="39" s="1"/>
  <c r="IU17" i="39"/>
  <c r="IV17" i="39" s="1"/>
  <c r="IQ17" i="39"/>
  <c r="IR17" i="39" s="1"/>
  <c r="IM17" i="39"/>
  <c r="IN17" i="39" s="1"/>
  <c r="JG17" i="39"/>
  <c r="JH17" i="39" s="1"/>
  <c r="IY17" i="39"/>
  <c r="IZ17" i="39" s="1"/>
  <c r="HG17" i="39"/>
  <c r="HH17" i="39" s="1"/>
  <c r="II18" i="39"/>
  <c r="IJ18" i="39" s="1"/>
  <c r="IG18" i="39"/>
  <c r="IH18" i="39" s="1"/>
  <c r="HY18" i="39"/>
  <c r="HZ18" i="39" s="1"/>
  <c r="HQ18" i="39"/>
  <c r="HR18" i="39" s="1"/>
  <c r="IW18" i="39"/>
  <c r="IX18" i="39" s="1"/>
  <c r="JA18" i="39"/>
  <c r="JB18" i="39" s="1"/>
  <c r="IS18" i="39"/>
  <c r="IT18" i="39" s="1"/>
  <c r="JE18" i="39"/>
  <c r="JF18" i="39" s="1"/>
  <c r="IO18" i="39"/>
  <c r="IP18" i="39" s="1"/>
  <c r="IK18" i="39"/>
  <c r="IL18" i="39" s="1"/>
  <c r="HU18" i="39"/>
  <c r="HV18" i="39" s="1"/>
  <c r="IC18" i="39"/>
  <c r="ID18" i="39" s="1"/>
  <c r="HM18" i="39"/>
  <c r="HN18" i="39" s="1"/>
  <c r="HW17" i="39"/>
  <c r="HX17" i="39" s="1"/>
  <c r="JC17" i="39"/>
  <c r="JD17" i="39" s="1"/>
  <c r="HI18" i="39"/>
  <c r="HJ17" i="39"/>
  <c r="HK17" i="39"/>
  <c r="HL16" i="39"/>
  <c r="HE18" i="39"/>
  <c r="HF17" i="39"/>
  <c r="JQ18" i="39"/>
  <c r="JR17" i="39"/>
  <c r="JU18" i="39"/>
  <c r="JW18" i="39" s="1"/>
  <c r="JX18" i="39" s="1"/>
  <c r="JV17" i="39"/>
  <c r="A19" i="39"/>
  <c r="HS18" i="39" l="1"/>
  <c r="HT18" i="39" s="1"/>
  <c r="IA18" i="39"/>
  <c r="IB18" i="39" s="1"/>
  <c r="JO18" i="39"/>
  <c r="JN18" i="39"/>
  <c r="JM19" i="39"/>
  <c r="JI19" i="39"/>
  <c r="JK18" i="39"/>
  <c r="JK19" i="39" s="1"/>
  <c r="JS18" i="39"/>
  <c r="JT18" i="39" s="1"/>
  <c r="IY18" i="39"/>
  <c r="IZ18" i="39" s="1"/>
  <c r="IM18" i="39"/>
  <c r="IN18" i="39" s="1"/>
  <c r="IU18" i="39"/>
  <c r="IV18" i="39" s="1"/>
  <c r="IQ18" i="39"/>
  <c r="IR18" i="39" s="1"/>
  <c r="IE18" i="39"/>
  <c r="IF18" i="39" s="1"/>
  <c r="HE19" i="39"/>
  <c r="HF18" i="39"/>
  <c r="IG19" i="39"/>
  <c r="IH19" i="39" s="1"/>
  <c r="IA19" i="39"/>
  <c r="IB19" i="39" s="1"/>
  <c r="HY19" i="39"/>
  <c r="HZ19" i="39" s="1"/>
  <c r="HQ19" i="39"/>
  <c r="HR19" i="39" s="1"/>
  <c r="IW19" i="39"/>
  <c r="IX19" i="39" s="1"/>
  <c r="IS19" i="39"/>
  <c r="IT19" i="39" s="1"/>
  <c r="JA19" i="39"/>
  <c r="JB19" i="39" s="1"/>
  <c r="JE19" i="39"/>
  <c r="JF19" i="39" s="1"/>
  <c r="IO19" i="39"/>
  <c r="IP19" i="39" s="1"/>
  <c r="HU19" i="39"/>
  <c r="HV19" i="39" s="1"/>
  <c r="IK19" i="39"/>
  <c r="IL19" i="39" s="1"/>
  <c r="HM19" i="39"/>
  <c r="HN19" i="39" s="1"/>
  <c r="IC19" i="39"/>
  <c r="ID19" i="39" s="1"/>
  <c r="JU19" i="39"/>
  <c r="JV19" i="39" s="1"/>
  <c r="JV18" i="39"/>
  <c r="HW18" i="39"/>
  <c r="HX18" i="39" s="1"/>
  <c r="HG18" i="39"/>
  <c r="HH18" i="39" s="1"/>
  <c r="JQ19" i="39"/>
  <c r="JR19" i="39" s="1"/>
  <c r="JR18" i="39"/>
  <c r="HK18" i="39"/>
  <c r="HL17" i="39"/>
  <c r="HO18" i="39"/>
  <c r="HP18" i="39" s="1"/>
  <c r="JG18" i="39"/>
  <c r="JH18" i="39" s="1"/>
  <c r="JC18" i="39"/>
  <c r="JD18" i="39" s="1"/>
  <c r="HI19" i="39"/>
  <c r="HJ18" i="39"/>
  <c r="A20" i="39"/>
  <c r="II19" i="39" l="1"/>
  <c r="IJ19" i="39" s="1"/>
  <c r="JO19" i="39"/>
  <c r="JP19" i="39" s="1"/>
  <c r="HS19" i="39"/>
  <c r="HT19" i="39" s="1"/>
  <c r="JK20" i="39"/>
  <c r="JI20" i="39"/>
  <c r="JM20" i="39"/>
  <c r="JO20" i="39" s="1"/>
  <c r="JP18" i="39"/>
  <c r="IQ19" i="39"/>
  <c r="IR19" i="39" s="1"/>
  <c r="IM19" i="39"/>
  <c r="IN19" i="39" s="1"/>
  <c r="JS19" i="39"/>
  <c r="JT19" i="39" s="1"/>
  <c r="IY19" i="39"/>
  <c r="IZ19" i="39" s="1"/>
  <c r="IG20" i="39"/>
  <c r="IH20" i="39" s="1"/>
  <c r="HY20" i="39"/>
  <c r="HZ20" i="39" s="1"/>
  <c r="HQ20" i="39"/>
  <c r="HR20" i="39" s="1"/>
  <c r="IW20" i="39"/>
  <c r="IX20" i="39" s="1"/>
  <c r="JA20" i="39"/>
  <c r="JB20" i="39" s="1"/>
  <c r="IS20" i="39"/>
  <c r="IT20" i="39" s="1"/>
  <c r="JQ20" i="39"/>
  <c r="JR20" i="39" s="1"/>
  <c r="IO20" i="39"/>
  <c r="IP20" i="39" s="1"/>
  <c r="JU20" i="39"/>
  <c r="JV20" i="39" s="1"/>
  <c r="IK20" i="39"/>
  <c r="IL20" i="39" s="1"/>
  <c r="HU20" i="39"/>
  <c r="HV20" i="39" s="1"/>
  <c r="JE20" i="39"/>
  <c r="JF20" i="39" s="1"/>
  <c r="HM20" i="39"/>
  <c r="HN20" i="39" s="1"/>
  <c r="IC20" i="39"/>
  <c r="ID20" i="39" s="1"/>
  <c r="HK19" i="39"/>
  <c r="HL18" i="39"/>
  <c r="JN19" i="39"/>
  <c r="JG19" i="39"/>
  <c r="JH19" i="39" s="1"/>
  <c r="JW19" i="39"/>
  <c r="JX19" i="39" s="1"/>
  <c r="IU19" i="39"/>
  <c r="IV19" i="39" s="1"/>
  <c r="JL18" i="39"/>
  <c r="IE19" i="39"/>
  <c r="IF19" i="39" s="1"/>
  <c r="HI20" i="39"/>
  <c r="HJ19" i="39"/>
  <c r="HO19" i="39"/>
  <c r="HP19" i="39" s="1"/>
  <c r="JJ19" i="39"/>
  <c r="HW19" i="39"/>
  <c r="HX19" i="39" s="1"/>
  <c r="JC19" i="39"/>
  <c r="JD19" i="39" s="1"/>
  <c r="HG19" i="39"/>
  <c r="HH19" i="39" s="1"/>
  <c r="HE20" i="39"/>
  <c r="HF19" i="39"/>
  <c r="A21" i="39"/>
  <c r="HS20" i="39" l="1"/>
  <c r="HT20" i="39" s="1"/>
  <c r="IA20" i="39"/>
  <c r="IB20" i="39" s="1"/>
  <c r="II20" i="39"/>
  <c r="IJ20" i="39" s="1"/>
  <c r="JM21" i="39"/>
  <c r="JO21" i="39" s="1"/>
  <c r="JI21" i="39"/>
  <c r="JK21" i="39" s="1"/>
  <c r="JP20" i="39"/>
  <c r="IM20" i="39"/>
  <c r="IN20" i="39" s="1"/>
  <c r="JS20" i="39"/>
  <c r="JT20" i="39" s="1"/>
  <c r="HG20" i="39"/>
  <c r="HH20" i="39" s="1"/>
  <c r="IQ20" i="39"/>
  <c r="IR20" i="39" s="1"/>
  <c r="IY20" i="39"/>
  <c r="IZ20" i="39" s="1"/>
  <c r="IE20" i="39"/>
  <c r="IF20" i="39" s="1"/>
  <c r="JW20" i="39"/>
  <c r="JX20" i="39" s="1"/>
  <c r="JN20" i="39"/>
  <c r="IU20" i="39"/>
  <c r="IV20" i="39" s="1"/>
  <c r="HI21" i="39"/>
  <c r="HJ20" i="39"/>
  <c r="HW20" i="39"/>
  <c r="HX20" i="39" s="1"/>
  <c r="JC20" i="39"/>
  <c r="JD20" i="39" s="1"/>
  <c r="IG21" i="39"/>
  <c r="IH21" i="39" s="1"/>
  <c r="IA21" i="39"/>
  <c r="IB21" i="39" s="1"/>
  <c r="HY21" i="39"/>
  <c r="HZ21" i="39" s="1"/>
  <c r="HS21" i="39"/>
  <c r="HT21" i="39" s="1"/>
  <c r="HQ21" i="39"/>
  <c r="HR21" i="39" s="1"/>
  <c r="JA21" i="39"/>
  <c r="JB21" i="39" s="1"/>
  <c r="IS21" i="39"/>
  <c r="IT21" i="39" s="1"/>
  <c r="IW21" i="39"/>
  <c r="IX21" i="39" s="1"/>
  <c r="JQ21" i="39"/>
  <c r="JR21" i="39" s="1"/>
  <c r="JE21" i="39"/>
  <c r="JF21" i="39" s="1"/>
  <c r="IO21" i="39"/>
  <c r="IP21" i="39" s="1"/>
  <c r="HU21" i="39"/>
  <c r="HV21" i="39" s="1"/>
  <c r="JU21" i="39"/>
  <c r="JV21" i="39" s="1"/>
  <c r="IK21" i="39"/>
  <c r="IL21" i="39" s="1"/>
  <c r="HM21" i="39"/>
  <c r="HN21" i="39" s="1"/>
  <c r="IC21" i="39"/>
  <c r="HK20" i="39"/>
  <c r="HL19" i="39"/>
  <c r="HE21" i="39"/>
  <c r="HF20" i="39"/>
  <c r="JJ20" i="39"/>
  <c r="JL20" i="39"/>
  <c r="JL19" i="39"/>
  <c r="HO20" i="39"/>
  <c r="HP20" i="39" s="1"/>
  <c r="JG20" i="39"/>
  <c r="JH20" i="39" s="1"/>
  <c r="A22" i="39"/>
  <c r="II21" i="39" l="1"/>
  <c r="IJ21" i="39" s="1"/>
  <c r="JN21" i="39"/>
  <c r="JJ21" i="39"/>
  <c r="JI22" i="39"/>
  <c r="JJ22" i="39" s="1"/>
  <c r="JM22" i="39"/>
  <c r="JO22" i="39" s="1"/>
  <c r="IE21" i="39"/>
  <c r="IF21" i="39" s="1"/>
  <c r="JP21" i="39"/>
  <c r="IQ21" i="39"/>
  <c r="IR21" i="39" s="1"/>
  <c r="HG21" i="39"/>
  <c r="HH21" i="39" s="1"/>
  <c r="HW21" i="39"/>
  <c r="HX21" i="39" s="1"/>
  <c r="IM21" i="39"/>
  <c r="IN21" i="39" s="1"/>
  <c r="IU21" i="39"/>
  <c r="IV21" i="39" s="1"/>
  <c r="JL21" i="39"/>
  <c r="HK21" i="39"/>
  <c r="HL20" i="39"/>
  <c r="JG21" i="39"/>
  <c r="JH21" i="39" s="1"/>
  <c r="JC21" i="39"/>
  <c r="JD21" i="39" s="1"/>
  <c r="IY21" i="39"/>
  <c r="IZ21" i="39" s="1"/>
  <c r="JS21" i="39"/>
  <c r="JT21" i="39" s="1"/>
  <c r="HO21" i="39"/>
  <c r="HP21" i="39" s="1"/>
  <c r="IG22" i="39"/>
  <c r="IH22" i="39" s="1"/>
  <c r="HY22" i="39"/>
  <c r="HZ22" i="39" s="1"/>
  <c r="HQ22" i="39"/>
  <c r="HR22" i="39" s="1"/>
  <c r="IW22" i="39"/>
  <c r="IX22" i="39" s="1"/>
  <c r="JA22" i="39"/>
  <c r="JB22" i="39" s="1"/>
  <c r="IS22" i="39"/>
  <c r="IT22" i="39" s="1"/>
  <c r="JU22" i="39"/>
  <c r="JV22" i="39" s="1"/>
  <c r="IK22" i="39"/>
  <c r="IL22" i="39" s="1"/>
  <c r="HU22" i="39"/>
  <c r="HV22" i="39" s="1"/>
  <c r="JQ22" i="39"/>
  <c r="JR22" i="39" s="1"/>
  <c r="JE22" i="39"/>
  <c r="JF22" i="39" s="1"/>
  <c r="IO22" i="39"/>
  <c r="IP22" i="39" s="1"/>
  <c r="HM22" i="39"/>
  <c r="HN22" i="39" s="1"/>
  <c r="HE22" i="39"/>
  <c r="HF21" i="39"/>
  <c r="IC22" i="39"/>
  <c r="ID21" i="39"/>
  <c r="JW21" i="39"/>
  <c r="JX21" i="39" s="1"/>
  <c r="HI22" i="39"/>
  <c r="HJ21" i="39"/>
  <c r="A23" i="39"/>
  <c r="IA22" i="39" l="1"/>
  <c r="IB22" i="39" s="1"/>
  <c r="II22" i="39"/>
  <c r="IJ22" i="39" s="1"/>
  <c r="HS22" i="39"/>
  <c r="HT22" i="39" s="1"/>
  <c r="IE22" i="39"/>
  <c r="IF22" i="39" s="1"/>
  <c r="JN22" i="39"/>
  <c r="JM23" i="39"/>
  <c r="JO23" i="39" s="1"/>
  <c r="JI23" i="39"/>
  <c r="JJ23" i="39" s="1"/>
  <c r="JK22" i="39"/>
  <c r="IQ22" i="39"/>
  <c r="IR22" i="39" s="1"/>
  <c r="HW22" i="39"/>
  <c r="HX22" i="39" s="1"/>
  <c r="JW22" i="39"/>
  <c r="JX22" i="39" s="1"/>
  <c r="IU22" i="39"/>
  <c r="IV22" i="39" s="1"/>
  <c r="HE23" i="39"/>
  <c r="HF22" i="39"/>
  <c r="IM22" i="39"/>
  <c r="IN22" i="39" s="1"/>
  <c r="IG23" i="39"/>
  <c r="IH23" i="39" s="1"/>
  <c r="II23" i="39"/>
  <c r="IJ23" i="39" s="1"/>
  <c r="IA23" i="39"/>
  <c r="IB23" i="39" s="1"/>
  <c r="HY23" i="39"/>
  <c r="HZ23" i="39" s="1"/>
  <c r="HQ23" i="39"/>
  <c r="HR23" i="39" s="1"/>
  <c r="JA23" i="39"/>
  <c r="JB23" i="39" s="1"/>
  <c r="IS23" i="39"/>
  <c r="IT23" i="39" s="1"/>
  <c r="IW23" i="39"/>
  <c r="IX23" i="39" s="1"/>
  <c r="HU23" i="39"/>
  <c r="HV23" i="39" s="1"/>
  <c r="JQ23" i="39"/>
  <c r="JR23" i="39" s="1"/>
  <c r="IK23" i="39"/>
  <c r="IL23" i="39" s="1"/>
  <c r="JU23" i="39"/>
  <c r="JV23" i="39" s="1"/>
  <c r="JE23" i="39"/>
  <c r="JF23" i="39" s="1"/>
  <c r="IO23" i="39"/>
  <c r="IP23" i="39" s="1"/>
  <c r="HM23" i="39"/>
  <c r="HO22" i="39"/>
  <c r="JG22" i="39"/>
  <c r="JH22" i="39" s="1"/>
  <c r="JP22" i="39"/>
  <c r="IY22" i="39"/>
  <c r="IZ22" i="39" s="1"/>
  <c r="HG22" i="39"/>
  <c r="HH22" i="39" s="1"/>
  <c r="HI23" i="39"/>
  <c r="HJ22" i="39"/>
  <c r="IC23" i="39"/>
  <c r="ID23" i="39" s="1"/>
  <c r="ID22" i="39"/>
  <c r="JS22" i="39"/>
  <c r="JT22" i="39" s="1"/>
  <c r="JC22" i="39"/>
  <c r="JD22" i="39" s="1"/>
  <c r="HK22" i="39"/>
  <c r="HL21" i="39"/>
  <c r="A24" i="39"/>
  <c r="HS23" i="39" l="1"/>
  <c r="HT23" i="39" s="1"/>
  <c r="JK23" i="39"/>
  <c r="JL23" i="39" s="1"/>
  <c r="JN23" i="39"/>
  <c r="JI24" i="39"/>
  <c r="JJ24" i="39" s="1"/>
  <c r="JM24" i="39"/>
  <c r="JO24" i="39" s="1"/>
  <c r="JL22" i="39"/>
  <c r="HW23" i="39"/>
  <c r="HX23" i="39" s="1"/>
  <c r="JW23" i="39"/>
  <c r="JX23" i="39" s="1"/>
  <c r="IQ23" i="39"/>
  <c r="IR23" i="39" s="1"/>
  <c r="IU23" i="39"/>
  <c r="IV23" i="39" s="1"/>
  <c r="IM23" i="39"/>
  <c r="IN23" i="39" s="1"/>
  <c r="HI24" i="39"/>
  <c r="HJ24" i="39" s="1"/>
  <c r="HJ23" i="39"/>
  <c r="IE23" i="39"/>
  <c r="IF23" i="39" s="1"/>
  <c r="IY23" i="39"/>
  <c r="IZ23" i="39" s="1"/>
  <c r="HO23" i="39"/>
  <c r="HP22" i="39"/>
  <c r="JG23" i="39"/>
  <c r="JH23" i="39" s="1"/>
  <c r="IG24" i="39"/>
  <c r="IH24" i="39" s="1"/>
  <c r="HY24" i="39"/>
  <c r="HZ24" i="39" s="1"/>
  <c r="HQ24" i="39"/>
  <c r="HR24" i="39" s="1"/>
  <c r="JA24" i="39"/>
  <c r="IS24" i="39"/>
  <c r="IW24" i="39"/>
  <c r="IC24" i="39"/>
  <c r="ID24" i="39" s="1"/>
  <c r="HU24" i="39"/>
  <c r="HV24" i="39" s="1"/>
  <c r="JU24" i="39"/>
  <c r="JV24" i="39" s="1"/>
  <c r="JE24" i="39"/>
  <c r="JF24" i="39" s="1"/>
  <c r="IK24" i="39"/>
  <c r="IL24" i="39" s="1"/>
  <c r="JQ24" i="39"/>
  <c r="JR24" i="39" s="1"/>
  <c r="IO24" i="39"/>
  <c r="HM24" i="39"/>
  <c r="HN24" i="39" s="1"/>
  <c r="HN23" i="39"/>
  <c r="JP23" i="39"/>
  <c r="JC23" i="39"/>
  <c r="JD23" i="39" s="1"/>
  <c r="HG23" i="39"/>
  <c r="HH23" i="39" s="1"/>
  <c r="HK23" i="39"/>
  <c r="HL22" i="39"/>
  <c r="JS23" i="39"/>
  <c r="JT23" i="39" s="1"/>
  <c r="HE24" i="39"/>
  <c r="HF24" i="39" s="1"/>
  <c r="HF23" i="39"/>
  <c r="A25" i="39"/>
  <c r="JN24" i="39" l="1"/>
  <c r="HS24" i="39"/>
  <c r="HT24" i="39" s="1"/>
  <c r="IA24" i="39"/>
  <c r="IB24" i="39" s="1"/>
  <c r="II24" i="39"/>
  <c r="IJ24" i="39" s="1"/>
  <c r="JK24" i="39"/>
  <c r="JL24" i="39" s="1"/>
  <c r="JM25" i="39"/>
  <c r="JN25" i="39" s="1"/>
  <c r="JO25" i="39"/>
  <c r="JP25" i="39" s="1"/>
  <c r="JI25" i="39"/>
  <c r="JJ25" i="39" s="1"/>
  <c r="JK25" i="39"/>
  <c r="JL25" i="39" s="1"/>
  <c r="HW24" i="39"/>
  <c r="HX24" i="39" s="1"/>
  <c r="JW24" i="39"/>
  <c r="JX24" i="39" s="1"/>
  <c r="IM24" i="39"/>
  <c r="IN24" i="39" s="1"/>
  <c r="IE24" i="39"/>
  <c r="IF24" i="39" s="1"/>
  <c r="JG24" i="39"/>
  <c r="JH24" i="39" s="1"/>
  <c r="JQ25" i="39"/>
  <c r="JR25" i="39" s="1"/>
  <c r="JW25" i="39"/>
  <c r="JX25" i="39" s="1"/>
  <c r="JU25" i="39"/>
  <c r="JV25" i="39" s="1"/>
  <c r="JS25" i="39"/>
  <c r="JT25" i="39" s="1"/>
  <c r="JA25" i="39"/>
  <c r="JB25" i="39" s="1"/>
  <c r="JG25" i="39"/>
  <c r="JH25" i="39" s="1"/>
  <c r="JE25" i="39"/>
  <c r="JF25" i="39" s="1"/>
  <c r="JC25" i="39"/>
  <c r="JD25" i="39" s="1"/>
  <c r="IY25" i="39"/>
  <c r="IZ25" i="39" s="1"/>
  <c r="IW25" i="39"/>
  <c r="IX25" i="39" s="1"/>
  <c r="IU25" i="39"/>
  <c r="IV25" i="39" s="1"/>
  <c r="IS25" i="39"/>
  <c r="IT25" i="39" s="1"/>
  <c r="IM25" i="39"/>
  <c r="IN25" i="39" s="1"/>
  <c r="IC25" i="39"/>
  <c r="ID25" i="39" s="1"/>
  <c r="IK25" i="39"/>
  <c r="IL25" i="39" s="1"/>
  <c r="II25" i="39"/>
  <c r="IJ25" i="39" s="1"/>
  <c r="IQ25" i="39"/>
  <c r="IR25" i="39" s="1"/>
  <c r="IG25" i="39"/>
  <c r="IH25" i="39" s="1"/>
  <c r="IO25" i="39"/>
  <c r="IP25" i="39" s="1"/>
  <c r="IE25" i="39"/>
  <c r="IF25" i="39" s="1"/>
  <c r="HW25" i="39"/>
  <c r="HX25" i="39" s="1"/>
  <c r="HU25" i="39"/>
  <c r="HV25" i="39" s="1"/>
  <c r="IA25" i="39"/>
  <c r="IB25" i="39" s="1"/>
  <c r="HY25" i="39"/>
  <c r="HZ25" i="39" s="1"/>
  <c r="HO25" i="39"/>
  <c r="HP25" i="39" s="1"/>
  <c r="HI25" i="39"/>
  <c r="HJ25" i="39" s="1"/>
  <c r="HM25" i="39"/>
  <c r="HN25" i="39" s="1"/>
  <c r="HK25" i="39"/>
  <c r="HL25" i="39" s="1"/>
  <c r="HS25" i="39"/>
  <c r="HT25" i="39" s="1"/>
  <c r="HQ25" i="39"/>
  <c r="HR25" i="39" s="1"/>
  <c r="HG25" i="39"/>
  <c r="HH25" i="39" s="1"/>
  <c r="HE25" i="39"/>
  <c r="HF25" i="39" s="1"/>
  <c r="HK24" i="39"/>
  <c r="HL24" i="39" s="1"/>
  <c r="HL23" i="39"/>
  <c r="IU24" i="39"/>
  <c r="IV24" i="39" s="1"/>
  <c r="IT24" i="39"/>
  <c r="JC24" i="39"/>
  <c r="JD24" i="39" s="1"/>
  <c r="JB24" i="39"/>
  <c r="JP24" i="39"/>
  <c r="JS24" i="39"/>
  <c r="JT24" i="39" s="1"/>
  <c r="IQ24" i="39"/>
  <c r="IR24" i="39" s="1"/>
  <c r="IP24" i="39"/>
  <c r="HG24" i="39"/>
  <c r="HH24" i="39" s="1"/>
  <c r="IY24" i="39"/>
  <c r="IZ24" i="39" s="1"/>
  <c r="IX24" i="39"/>
  <c r="HO24" i="39"/>
  <c r="HP24" i="39" s="1"/>
  <c r="HP23" i="39"/>
  <c r="A26" i="39"/>
  <c r="JM26" i="39" l="1"/>
  <c r="JN26" i="39" s="1"/>
  <c r="JO26" i="39"/>
  <c r="JP26" i="39" s="1"/>
  <c r="JK26" i="39"/>
  <c r="JL26" i="39" s="1"/>
  <c r="JI26" i="39"/>
  <c r="JJ26" i="39" s="1"/>
  <c r="JQ26" i="39"/>
  <c r="JR26" i="39" s="1"/>
  <c r="JW26" i="39"/>
  <c r="JX26" i="39" s="1"/>
  <c r="JU26" i="39"/>
  <c r="JV26" i="39" s="1"/>
  <c r="JS26" i="39"/>
  <c r="JT26" i="39" s="1"/>
  <c r="JA26" i="39"/>
  <c r="JB26" i="39" s="1"/>
  <c r="JG26" i="39"/>
  <c r="JH26" i="39" s="1"/>
  <c r="JE26" i="39"/>
  <c r="JF26" i="39" s="1"/>
  <c r="JC26" i="39"/>
  <c r="JD26" i="39" s="1"/>
  <c r="IY26" i="39"/>
  <c r="IZ26" i="39" s="1"/>
  <c r="IW26" i="39"/>
  <c r="IX26" i="39" s="1"/>
  <c r="IU26" i="39"/>
  <c r="IV26" i="39" s="1"/>
  <c r="IS26" i="39"/>
  <c r="IT26" i="39" s="1"/>
  <c r="IM26" i="39"/>
  <c r="IN26" i="39" s="1"/>
  <c r="IC26" i="39"/>
  <c r="ID26" i="39" s="1"/>
  <c r="IK26" i="39"/>
  <c r="IL26" i="39" s="1"/>
  <c r="II26" i="39"/>
  <c r="IJ26" i="39" s="1"/>
  <c r="IQ26" i="39"/>
  <c r="IR26" i="39" s="1"/>
  <c r="IG26" i="39"/>
  <c r="IH26" i="39" s="1"/>
  <c r="IO26" i="39"/>
  <c r="IP26" i="39" s="1"/>
  <c r="IE26" i="39"/>
  <c r="IF26" i="39" s="1"/>
  <c r="HW26" i="39"/>
  <c r="HX26" i="39" s="1"/>
  <c r="HU26" i="39"/>
  <c r="HV26" i="39" s="1"/>
  <c r="IA26" i="39"/>
  <c r="IB26" i="39" s="1"/>
  <c r="HY26" i="39"/>
  <c r="HZ26" i="39" s="1"/>
  <c r="HO26" i="39"/>
  <c r="HP26" i="39" s="1"/>
  <c r="HK26" i="39"/>
  <c r="HL26" i="39" s="1"/>
  <c r="HM26" i="39"/>
  <c r="HN26" i="39" s="1"/>
  <c r="HS26" i="39"/>
  <c r="HT26" i="39" s="1"/>
  <c r="HQ26" i="39"/>
  <c r="HR26" i="39" s="1"/>
  <c r="HI26" i="39"/>
  <c r="HJ26" i="39" s="1"/>
  <c r="HE26" i="39"/>
  <c r="HF26" i="39" s="1"/>
  <c r="HG26" i="39"/>
  <c r="HH26" i="39" s="1"/>
  <c r="A27" i="39"/>
  <c r="JM27" i="39" l="1"/>
  <c r="JN27" i="39" s="1"/>
  <c r="JO27" i="39"/>
  <c r="JP27" i="39" s="1"/>
  <c r="JI27" i="39"/>
  <c r="JJ27" i="39" s="1"/>
  <c r="JK27" i="39"/>
  <c r="JL27" i="39" s="1"/>
  <c r="JQ27" i="39"/>
  <c r="JR27" i="39" s="1"/>
  <c r="JS27" i="39"/>
  <c r="JT27" i="39" s="1"/>
  <c r="JW27" i="39"/>
  <c r="JX27" i="39" s="1"/>
  <c r="JU27" i="39"/>
  <c r="JV27" i="39" s="1"/>
  <c r="JA27" i="39"/>
  <c r="JB27" i="39" s="1"/>
  <c r="JG27" i="39"/>
  <c r="JH27" i="39" s="1"/>
  <c r="JE27" i="39"/>
  <c r="JF27" i="39" s="1"/>
  <c r="JC27" i="39"/>
  <c r="JD27" i="39" s="1"/>
  <c r="IY27" i="39"/>
  <c r="IZ27" i="39" s="1"/>
  <c r="IW27" i="39"/>
  <c r="IX27" i="39" s="1"/>
  <c r="IU27" i="39"/>
  <c r="IV27" i="39" s="1"/>
  <c r="IS27" i="39"/>
  <c r="IT27" i="39" s="1"/>
  <c r="IM27" i="39"/>
  <c r="IN27" i="39" s="1"/>
  <c r="IC27" i="39"/>
  <c r="ID27" i="39" s="1"/>
  <c r="IK27" i="39"/>
  <c r="IL27" i="39" s="1"/>
  <c r="II27" i="39"/>
  <c r="IJ27" i="39" s="1"/>
  <c r="IQ27" i="39"/>
  <c r="IR27" i="39" s="1"/>
  <c r="IG27" i="39"/>
  <c r="IH27" i="39" s="1"/>
  <c r="IO27" i="39"/>
  <c r="IP27" i="39" s="1"/>
  <c r="IE27" i="39"/>
  <c r="IF27" i="39" s="1"/>
  <c r="HW27" i="39"/>
  <c r="HX27" i="39" s="1"/>
  <c r="HU27" i="39"/>
  <c r="HV27" i="39" s="1"/>
  <c r="IA27" i="39"/>
  <c r="IB27" i="39" s="1"/>
  <c r="HY27" i="39"/>
  <c r="HZ27" i="39" s="1"/>
  <c r="HO27" i="39"/>
  <c r="HP27" i="39" s="1"/>
  <c r="HM27" i="39"/>
  <c r="HN27" i="39" s="1"/>
  <c r="HS27" i="39"/>
  <c r="HT27" i="39" s="1"/>
  <c r="HI27" i="39"/>
  <c r="HJ27" i="39" s="1"/>
  <c r="HQ27" i="39"/>
  <c r="HR27" i="39" s="1"/>
  <c r="HK27" i="39"/>
  <c r="HL27" i="39" s="1"/>
  <c r="HE27" i="39"/>
  <c r="HF27" i="39" s="1"/>
  <c r="HG27" i="39"/>
  <c r="HH27" i="39" s="1"/>
  <c r="A28" i="39"/>
  <c r="JO28" i="39" l="1"/>
  <c r="JP28" i="39" s="1"/>
  <c r="JM28" i="39"/>
  <c r="JN28" i="39" s="1"/>
  <c r="JI28" i="39"/>
  <c r="JJ28" i="39" s="1"/>
  <c r="JK28" i="39"/>
  <c r="JL28" i="39" s="1"/>
  <c r="JQ28" i="39"/>
  <c r="JR28" i="39" s="1"/>
  <c r="JU28" i="39"/>
  <c r="JV28" i="39" s="1"/>
  <c r="JS28" i="39"/>
  <c r="JT28" i="39" s="1"/>
  <c r="JW28" i="39"/>
  <c r="JX28" i="39" s="1"/>
  <c r="JA28" i="39"/>
  <c r="JB28" i="39" s="1"/>
  <c r="JG28" i="39"/>
  <c r="JH28" i="39" s="1"/>
  <c r="JE28" i="39"/>
  <c r="JF28" i="39" s="1"/>
  <c r="JC28" i="39"/>
  <c r="JD28" i="39" s="1"/>
  <c r="IY28" i="39"/>
  <c r="IZ28" i="39" s="1"/>
  <c r="IW28" i="39"/>
  <c r="IX28" i="39" s="1"/>
  <c r="IU28" i="39"/>
  <c r="IV28" i="39" s="1"/>
  <c r="IS28" i="39"/>
  <c r="IT28" i="39" s="1"/>
  <c r="IM28" i="39"/>
  <c r="IN28" i="39" s="1"/>
  <c r="IC28" i="39"/>
  <c r="ID28" i="39" s="1"/>
  <c r="IK28" i="39"/>
  <c r="IL28" i="39" s="1"/>
  <c r="II28" i="39"/>
  <c r="IJ28" i="39" s="1"/>
  <c r="IQ28" i="39"/>
  <c r="IR28" i="39" s="1"/>
  <c r="IG28" i="39"/>
  <c r="IH28" i="39" s="1"/>
  <c r="IO28" i="39"/>
  <c r="IP28" i="39" s="1"/>
  <c r="IE28" i="39"/>
  <c r="IF28" i="39" s="1"/>
  <c r="HW28" i="39"/>
  <c r="HX28" i="39" s="1"/>
  <c r="HU28" i="39"/>
  <c r="HV28" i="39" s="1"/>
  <c r="IA28" i="39"/>
  <c r="IB28" i="39" s="1"/>
  <c r="HY28" i="39"/>
  <c r="HZ28" i="39" s="1"/>
  <c r="HO28" i="39"/>
  <c r="HP28" i="39" s="1"/>
  <c r="HM28" i="39"/>
  <c r="HN28" i="39" s="1"/>
  <c r="HI28" i="39"/>
  <c r="HJ28" i="39" s="1"/>
  <c r="HS28" i="39"/>
  <c r="HT28" i="39" s="1"/>
  <c r="HK28" i="39"/>
  <c r="HL28" i="39" s="1"/>
  <c r="HQ28" i="39"/>
  <c r="HR28" i="39" s="1"/>
  <c r="HG28" i="39"/>
  <c r="HH28" i="39" s="1"/>
  <c r="HE28" i="39"/>
  <c r="HF28" i="39" s="1"/>
  <c r="A29" i="39"/>
  <c r="JM29" i="39" l="1"/>
  <c r="JN29" i="39" s="1"/>
  <c r="JO29" i="39"/>
  <c r="JP29" i="39" s="1"/>
  <c r="JI29" i="39"/>
  <c r="JJ29" i="39" s="1"/>
  <c r="JK29" i="39"/>
  <c r="JL29" i="39" s="1"/>
  <c r="JQ29" i="39"/>
  <c r="JR29" i="39" s="1"/>
  <c r="JW29" i="39"/>
  <c r="JX29" i="39" s="1"/>
  <c r="JU29" i="39"/>
  <c r="JV29" i="39" s="1"/>
  <c r="JS29" i="39"/>
  <c r="JT29" i="39" s="1"/>
  <c r="JA29" i="39"/>
  <c r="JB29" i="39" s="1"/>
  <c r="JG29" i="39"/>
  <c r="JH29" i="39" s="1"/>
  <c r="JE29" i="39"/>
  <c r="JF29" i="39" s="1"/>
  <c r="JC29" i="39"/>
  <c r="JD29" i="39" s="1"/>
  <c r="IY29" i="39"/>
  <c r="IZ29" i="39" s="1"/>
  <c r="IW29" i="39"/>
  <c r="IX29" i="39" s="1"/>
  <c r="IU29" i="39"/>
  <c r="IV29" i="39" s="1"/>
  <c r="IS29" i="39"/>
  <c r="IT29" i="39" s="1"/>
  <c r="IM29" i="39"/>
  <c r="IN29" i="39" s="1"/>
  <c r="IC29" i="39"/>
  <c r="ID29" i="39" s="1"/>
  <c r="IK29" i="39"/>
  <c r="IL29" i="39" s="1"/>
  <c r="II29" i="39"/>
  <c r="IJ29" i="39" s="1"/>
  <c r="IQ29" i="39"/>
  <c r="IR29" i="39" s="1"/>
  <c r="IG29" i="39"/>
  <c r="IH29" i="39" s="1"/>
  <c r="IO29" i="39"/>
  <c r="IP29" i="39" s="1"/>
  <c r="IE29" i="39"/>
  <c r="IF29" i="39" s="1"/>
  <c r="HW29" i="39"/>
  <c r="HX29" i="39" s="1"/>
  <c r="HU29" i="39"/>
  <c r="HV29" i="39" s="1"/>
  <c r="IA29" i="39"/>
  <c r="IB29" i="39" s="1"/>
  <c r="HY29" i="39"/>
  <c r="HZ29" i="39" s="1"/>
  <c r="HO29" i="39"/>
  <c r="HP29" i="39" s="1"/>
  <c r="HI29" i="39"/>
  <c r="HJ29" i="39" s="1"/>
  <c r="HM29" i="39"/>
  <c r="HN29" i="39" s="1"/>
  <c r="HK29" i="39"/>
  <c r="HL29" i="39" s="1"/>
  <c r="HS29" i="39"/>
  <c r="HT29" i="39" s="1"/>
  <c r="HQ29" i="39"/>
  <c r="HR29" i="39" s="1"/>
  <c r="HG29" i="39"/>
  <c r="HH29" i="39" s="1"/>
  <c r="HE29" i="39"/>
  <c r="HF29" i="39" s="1"/>
  <c r="A30" i="39"/>
  <c r="JM30" i="39" l="1"/>
  <c r="JN30" i="39" s="1"/>
  <c r="JO30" i="39"/>
  <c r="JP30" i="39" s="1"/>
  <c r="JK30" i="39"/>
  <c r="JL30" i="39" s="1"/>
  <c r="JI30" i="39"/>
  <c r="JJ30" i="39" s="1"/>
  <c r="JQ30" i="39"/>
  <c r="JR30" i="39" s="1"/>
  <c r="JW30" i="39"/>
  <c r="JX30" i="39" s="1"/>
  <c r="JU30" i="39"/>
  <c r="JV30" i="39" s="1"/>
  <c r="JS30" i="39"/>
  <c r="JT30" i="39" s="1"/>
  <c r="JA30" i="39"/>
  <c r="JB30" i="39" s="1"/>
  <c r="JG30" i="39"/>
  <c r="JH30" i="39" s="1"/>
  <c r="JE30" i="39"/>
  <c r="JF30" i="39" s="1"/>
  <c r="JC30" i="39"/>
  <c r="JD30" i="39" s="1"/>
  <c r="IY30" i="39"/>
  <c r="IZ30" i="39" s="1"/>
  <c r="IW30" i="39"/>
  <c r="IX30" i="39" s="1"/>
  <c r="IU30" i="39"/>
  <c r="IV30" i="39" s="1"/>
  <c r="IS30" i="39"/>
  <c r="IT30" i="39" s="1"/>
  <c r="IM30" i="39"/>
  <c r="IN30" i="39" s="1"/>
  <c r="IC30" i="39"/>
  <c r="ID30" i="39" s="1"/>
  <c r="IK30" i="39"/>
  <c r="IL30" i="39" s="1"/>
  <c r="II30" i="39"/>
  <c r="IJ30" i="39" s="1"/>
  <c r="IQ30" i="39"/>
  <c r="IR30" i="39" s="1"/>
  <c r="IG30" i="39"/>
  <c r="IH30" i="39" s="1"/>
  <c r="IO30" i="39"/>
  <c r="IP30" i="39" s="1"/>
  <c r="IE30" i="39"/>
  <c r="IF30" i="39" s="1"/>
  <c r="HW30" i="39"/>
  <c r="HX30" i="39" s="1"/>
  <c r="HU30" i="39"/>
  <c r="HV30" i="39" s="1"/>
  <c r="IA30" i="39"/>
  <c r="IB30" i="39" s="1"/>
  <c r="HY30" i="39"/>
  <c r="HZ30" i="39" s="1"/>
  <c r="HO30" i="39"/>
  <c r="HP30" i="39" s="1"/>
  <c r="HK30" i="39"/>
  <c r="HL30" i="39" s="1"/>
  <c r="HM30" i="39"/>
  <c r="HN30" i="39" s="1"/>
  <c r="HS30" i="39"/>
  <c r="HT30" i="39" s="1"/>
  <c r="HQ30" i="39"/>
  <c r="HR30" i="39" s="1"/>
  <c r="HI30" i="39"/>
  <c r="HJ30" i="39" s="1"/>
  <c r="HE30" i="39"/>
  <c r="HF30" i="39" s="1"/>
  <c r="HG30" i="39"/>
  <c r="HH30" i="39" s="1"/>
  <c r="A31" i="39"/>
  <c r="JM31" i="39" l="1"/>
  <c r="JN31" i="39" s="1"/>
  <c r="JO31" i="39"/>
  <c r="JP31" i="39" s="1"/>
  <c r="JI31" i="39"/>
  <c r="JJ31" i="39" s="1"/>
  <c r="JK31" i="39"/>
  <c r="JL31" i="39" s="1"/>
  <c r="JQ31" i="39"/>
  <c r="JR31" i="39" s="1"/>
  <c r="JS31" i="39"/>
  <c r="JT31" i="39" s="1"/>
  <c r="JW31" i="39"/>
  <c r="JX31" i="39" s="1"/>
  <c r="JU31" i="39"/>
  <c r="JV31" i="39" s="1"/>
  <c r="JA31" i="39"/>
  <c r="JB31" i="39" s="1"/>
  <c r="JG31" i="39"/>
  <c r="JH31" i="39" s="1"/>
  <c r="JE31" i="39"/>
  <c r="JF31" i="39" s="1"/>
  <c r="JC31" i="39"/>
  <c r="JD31" i="39" s="1"/>
  <c r="IY31" i="39"/>
  <c r="IZ31" i="39" s="1"/>
  <c r="IW31" i="39"/>
  <c r="IX31" i="39" s="1"/>
  <c r="IU31" i="39"/>
  <c r="IV31" i="39" s="1"/>
  <c r="IS31" i="39"/>
  <c r="IT31" i="39" s="1"/>
  <c r="IM31" i="39"/>
  <c r="IN31" i="39" s="1"/>
  <c r="IC31" i="39"/>
  <c r="ID31" i="39" s="1"/>
  <c r="IK31" i="39"/>
  <c r="IL31" i="39" s="1"/>
  <c r="II31" i="39"/>
  <c r="IJ31" i="39" s="1"/>
  <c r="IQ31" i="39"/>
  <c r="IR31" i="39" s="1"/>
  <c r="IG31" i="39"/>
  <c r="IH31" i="39" s="1"/>
  <c r="IO31" i="39"/>
  <c r="IP31" i="39" s="1"/>
  <c r="IE31" i="39"/>
  <c r="IF31" i="39" s="1"/>
  <c r="HW31" i="39"/>
  <c r="HX31" i="39" s="1"/>
  <c r="HU31" i="39"/>
  <c r="HV31" i="39" s="1"/>
  <c r="IA31" i="39"/>
  <c r="IB31" i="39" s="1"/>
  <c r="HY31" i="39"/>
  <c r="HZ31" i="39" s="1"/>
  <c r="HO31" i="39"/>
  <c r="HP31" i="39" s="1"/>
  <c r="HM31" i="39"/>
  <c r="HN31" i="39" s="1"/>
  <c r="HS31" i="39"/>
  <c r="HT31" i="39" s="1"/>
  <c r="HI31" i="39"/>
  <c r="HJ31" i="39" s="1"/>
  <c r="HQ31" i="39"/>
  <c r="HR31" i="39" s="1"/>
  <c r="HK31" i="39"/>
  <c r="HL31" i="39" s="1"/>
  <c r="HE31" i="39"/>
  <c r="HF31" i="39" s="1"/>
  <c r="HG31" i="39"/>
  <c r="HH31" i="39" s="1"/>
  <c r="A32" i="39"/>
  <c r="JO32" i="39" l="1"/>
  <c r="JP32" i="39" s="1"/>
  <c r="JM32" i="39"/>
  <c r="JN32" i="39" s="1"/>
  <c r="JI32" i="39"/>
  <c r="JJ32" i="39" s="1"/>
  <c r="JK32" i="39"/>
  <c r="JL32" i="39" s="1"/>
  <c r="JQ32" i="39"/>
  <c r="JR32" i="39" s="1"/>
  <c r="JU32" i="39"/>
  <c r="JV32" i="39" s="1"/>
  <c r="JS32" i="39"/>
  <c r="JT32" i="39" s="1"/>
  <c r="JW32" i="39"/>
  <c r="JX32" i="39" s="1"/>
  <c r="JA32" i="39"/>
  <c r="JB32" i="39" s="1"/>
  <c r="JG32" i="39"/>
  <c r="JH32" i="39" s="1"/>
  <c r="JE32" i="39"/>
  <c r="JF32" i="39" s="1"/>
  <c r="JC32" i="39"/>
  <c r="JD32" i="39" s="1"/>
  <c r="IY32" i="39"/>
  <c r="IZ32" i="39" s="1"/>
  <c r="IW32" i="39"/>
  <c r="IX32" i="39" s="1"/>
  <c r="IU32" i="39"/>
  <c r="IV32" i="39" s="1"/>
  <c r="IS32" i="39"/>
  <c r="IT32" i="39" s="1"/>
  <c r="IM32" i="39"/>
  <c r="IN32" i="39" s="1"/>
  <c r="IC32" i="39"/>
  <c r="ID32" i="39" s="1"/>
  <c r="IK32" i="39"/>
  <c r="IL32" i="39" s="1"/>
  <c r="II32" i="39"/>
  <c r="IJ32" i="39" s="1"/>
  <c r="IQ32" i="39"/>
  <c r="IR32" i="39" s="1"/>
  <c r="IG32" i="39"/>
  <c r="IH32" i="39" s="1"/>
  <c r="IO32" i="39"/>
  <c r="IP32" i="39" s="1"/>
  <c r="IE32" i="39"/>
  <c r="IF32" i="39" s="1"/>
  <c r="HW32" i="39"/>
  <c r="HX32" i="39" s="1"/>
  <c r="HU32" i="39"/>
  <c r="HV32" i="39" s="1"/>
  <c r="IA32" i="39"/>
  <c r="IB32" i="39" s="1"/>
  <c r="HY32" i="39"/>
  <c r="HZ32" i="39" s="1"/>
  <c r="HO32" i="39"/>
  <c r="HP32" i="39" s="1"/>
  <c r="HM32" i="39"/>
  <c r="HN32" i="39" s="1"/>
  <c r="HI32" i="39"/>
  <c r="HJ32" i="39" s="1"/>
  <c r="HS32" i="39"/>
  <c r="HT32" i="39" s="1"/>
  <c r="HK32" i="39"/>
  <c r="HL32" i="39" s="1"/>
  <c r="HQ32" i="39"/>
  <c r="HR32" i="39" s="1"/>
  <c r="HG32" i="39"/>
  <c r="HH32" i="39" s="1"/>
  <c r="HE32" i="39"/>
  <c r="HF32" i="39" s="1"/>
  <c r="A33" i="39"/>
  <c r="JM33" i="39" l="1"/>
  <c r="JN33" i="39" s="1"/>
  <c r="JO33" i="39"/>
  <c r="JP33" i="39" s="1"/>
  <c r="JI33" i="39"/>
  <c r="JJ33" i="39" s="1"/>
  <c r="JK33" i="39"/>
  <c r="JL33" i="39" s="1"/>
  <c r="JQ33" i="39"/>
  <c r="JR33" i="39" s="1"/>
  <c r="JW33" i="39"/>
  <c r="JX33" i="39" s="1"/>
  <c r="JU33" i="39"/>
  <c r="JV33" i="39" s="1"/>
  <c r="JS33" i="39"/>
  <c r="JT33" i="39" s="1"/>
  <c r="JA33" i="39"/>
  <c r="JB33" i="39" s="1"/>
  <c r="JG33" i="39"/>
  <c r="JH33" i="39" s="1"/>
  <c r="JE33" i="39"/>
  <c r="JF33" i="39" s="1"/>
  <c r="JC33" i="39"/>
  <c r="JD33" i="39" s="1"/>
  <c r="IY33" i="39"/>
  <c r="IZ33" i="39" s="1"/>
  <c r="IW33" i="39"/>
  <c r="IX33" i="39" s="1"/>
  <c r="IU33" i="39"/>
  <c r="IV33" i="39" s="1"/>
  <c r="IS33" i="39"/>
  <c r="IT33" i="39" s="1"/>
  <c r="IM33" i="39"/>
  <c r="IN33" i="39" s="1"/>
  <c r="IC33" i="39"/>
  <c r="ID33" i="39" s="1"/>
  <c r="IK33" i="39"/>
  <c r="IL33" i="39" s="1"/>
  <c r="II33" i="39"/>
  <c r="IJ33" i="39" s="1"/>
  <c r="IQ33" i="39"/>
  <c r="IR33" i="39" s="1"/>
  <c r="IG33" i="39"/>
  <c r="IH33" i="39" s="1"/>
  <c r="IO33" i="39"/>
  <c r="IP33" i="39" s="1"/>
  <c r="IE33" i="39"/>
  <c r="IF33" i="39" s="1"/>
  <c r="HW33" i="39"/>
  <c r="HX33" i="39" s="1"/>
  <c r="HU33" i="39"/>
  <c r="HV33" i="39" s="1"/>
  <c r="IA33" i="39"/>
  <c r="IB33" i="39" s="1"/>
  <c r="HY33" i="39"/>
  <c r="HZ33" i="39" s="1"/>
  <c r="HO33" i="39"/>
  <c r="HP33" i="39" s="1"/>
  <c r="HI33" i="39"/>
  <c r="HJ33" i="39" s="1"/>
  <c r="HM33" i="39"/>
  <c r="HN33" i="39" s="1"/>
  <c r="HK33" i="39"/>
  <c r="HL33" i="39" s="1"/>
  <c r="HS33" i="39"/>
  <c r="HT33" i="39" s="1"/>
  <c r="HQ33" i="39"/>
  <c r="HR33" i="39" s="1"/>
  <c r="HG33" i="39"/>
  <c r="HH33" i="39" s="1"/>
  <c r="HE33" i="39"/>
  <c r="HF33" i="39" s="1"/>
  <c r="A34" i="39"/>
  <c r="JM34" i="39" l="1"/>
  <c r="JN34" i="39" s="1"/>
  <c r="JO34" i="39"/>
  <c r="JP34" i="39" s="1"/>
  <c r="JK34" i="39"/>
  <c r="JL34" i="39" s="1"/>
  <c r="JI34" i="39"/>
  <c r="JJ34" i="39" s="1"/>
  <c r="JQ34" i="39"/>
  <c r="JR34" i="39" s="1"/>
  <c r="JW34" i="39"/>
  <c r="JX34" i="39" s="1"/>
  <c r="JU34" i="39"/>
  <c r="JV34" i="39" s="1"/>
  <c r="JS34" i="39"/>
  <c r="JT34" i="39" s="1"/>
  <c r="JA34" i="39"/>
  <c r="JB34" i="39" s="1"/>
  <c r="JG34" i="39"/>
  <c r="JH34" i="39" s="1"/>
  <c r="JE34" i="39"/>
  <c r="JF34" i="39" s="1"/>
  <c r="JC34" i="39"/>
  <c r="JD34" i="39" s="1"/>
  <c r="IY34" i="39"/>
  <c r="IZ34" i="39" s="1"/>
  <c r="IW34" i="39"/>
  <c r="IX34" i="39" s="1"/>
  <c r="IU34" i="39"/>
  <c r="IV34" i="39" s="1"/>
  <c r="IS34" i="39"/>
  <c r="IT34" i="39" s="1"/>
  <c r="IM34" i="39"/>
  <c r="IN34" i="39" s="1"/>
  <c r="IC34" i="39"/>
  <c r="ID34" i="39" s="1"/>
  <c r="IK34" i="39"/>
  <c r="IL34" i="39" s="1"/>
  <c r="II34" i="39"/>
  <c r="IJ34" i="39" s="1"/>
  <c r="IQ34" i="39"/>
  <c r="IR34" i="39" s="1"/>
  <c r="IG34" i="39"/>
  <c r="IH34" i="39" s="1"/>
  <c r="IO34" i="39"/>
  <c r="IP34" i="39" s="1"/>
  <c r="IE34" i="39"/>
  <c r="IF34" i="39" s="1"/>
  <c r="HW34" i="39"/>
  <c r="HX34" i="39" s="1"/>
  <c r="HU34" i="39"/>
  <c r="HV34" i="39" s="1"/>
  <c r="IA34" i="39"/>
  <c r="IB34" i="39" s="1"/>
  <c r="HY34" i="39"/>
  <c r="HZ34" i="39" s="1"/>
  <c r="HO34" i="39"/>
  <c r="HP34" i="39" s="1"/>
  <c r="HK34" i="39"/>
  <c r="HL34" i="39" s="1"/>
  <c r="HM34" i="39"/>
  <c r="HN34" i="39" s="1"/>
  <c r="HS34" i="39"/>
  <c r="HT34" i="39" s="1"/>
  <c r="HQ34" i="39"/>
  <c r="HR34" i="39" s="1"/>
  <c r="HI34" i="39"/>
  <c r="HJ34" i="39" s="1"/>
  <c r="HE34" i="39"/>
  <c r="HF34" i="39" s="1"/>
  <c r="HG34" i="39"/>
  <c r="HH34" i="39" s="1"/>
  <c r="A35" i="39"/>
  <c r="JM35" i="39" l="1"/>
  <c r="JN35" i="39" s="1"/>
  <c r="JO35" i="39"/>
  <c r="JP35" i="39" s="1"/>
  <c r="JI35" i="39"/>
  <c r="JJ35" i="39" s="1"/>
  <c r="JK35" i="39"/>
  <c r="JL35" i="39" s="1"/>
  <c r="JQ35" i="39"/>
  <c r="JR35" i="39" s="1"/>
  <c r="JS35" i="39"/>
  <c r="JT35" i="39" s="1"/>
  <c r="JW35" i="39"/>
  <c r="JX35" i="39" s="1"/>
  <c r="JU35" i="39"/>
  <c r="JV35" i="39" s="1"/>
  <c r="JA35" i="39"/>
  <c r="JB35" i="39" s="1"/>
  <c r="JG35" i="39"/>
  <c r="JH35" i="39" s="1"/>
  <c r="JE35" i="39"/>
  <c r="JF35" i="39" s="1"/>
  <c r="JC35" i="39"/>
  <c r="JD35" i="39" s="1"/>
  <c r="IY35" i="39"/>
  <c r="IZ35" i="39" s="1"/>
  <c r="IW35" i="39"/>
  <c r="IX35" i="39" s="1"/>
  <c r="IU35" i="39"/>
  <c r="IV35" i="39" s="1"/>
  <c r="IS35" i="39"/>
  <c r="IT35" i="39" s="1"/>
  <c r="IM35" i="39"/>
  <c r="IN35" i="39" s="1"/>
  <c r="IC35" i="39"/>
  <c r="ID35" i="39" s="1"/>
  <c r="IK35" i="39"/>
  <c r="IL35" i="39" s="1"/>
  <c r="II35" i="39"/>
  <c r="IJ35" i="39" s="1"/>
  <c r="IQ35" i="39"/>
  <c r="IR35" i="39" s="1"/>
  <c r="IG35" i="39"/>
  <c r="IH35" i="39" s="1"/>
  <c r="IO35" i="39"/>
  <c r="IP35" i="39" s="1"/>
  <c r="IE35" i="39"/>
  <c r="IF35" i="39" s="1"/>
  <c r="HW35" i="39"/>
  <c r="HX35" i="39" s="1"/>
  <c r="HU35" i="39"/>
  <c r="HV35" i="39" s="1"/>
  <c r="IA35" i="39"/>
  <c r="IB35" i="39" s="1"/>
  <c r="HY35" i="39"/>
  <c r="HZ35" i="39" s="1"/>
  <c r="HO35" i="39"/>
  <c r="HP35" i="39" s="1"/>
  <c r="HM35" i="39"/>
  <c r="HN35" i="39" s="1"/>
  <c r="HS35" i="39"/>
  <c r="HT35" i="39" s="1"/>
  <c r="HI35" i="39"/>
  <c r="HJ35" i="39" s="1"/>
  <c r="HQ35" i="39"/>
  <c r="HR35" i="39" s="1"/>
  <c r="HK35" i="39"/>
  <c r="HL35" i="39" s="1"/>
  <c r="HE35" i="39"/>
  <c r="HF35" i="39" s="1"/>
  <c r="HG35" i="39"/>
  <c r="HH35" i="39" s="1"/>
  <c r="A36" i="39"/>
  <c r="JO36" i="39" l="1"/>
  <c r="JP36" i="39" s="1"/>
  <c r="JM36" i="39"/>
  <c r="JN36" i="39" s="1"/>
  <c r="JI36" i="39"/>
  <c r="JJ36" i="39" s="1"/>
  <c r="JK36" i="39"/>
  <c r="JL36" i="39" s="1"/>
  <c r="JQ36" i="39"/>
  <c r="JR36" i="39" s="1"/>
  <c r="JU36" i="39"/>
  <c r="JV36" i="39" s="1"/>
  <c r="JS36" i="39"/>
  <c r="JT36" i="39" s="1"/>
  <c r="JW36" i="39"/>
  <c r="JX36" i="39" s="1"/>
  <c r="JA36" i="39"/>
  <c r="JB36" i="39" s="1"/>
  <c r="JG36" i="39"/>
  <c r="JH36" i="39" s="1"/>
  <c r="JE36" i="39"/>
  <c r="JF36" i="39" s="1"/>
  <c r="JC36" i="39"/>
  <c r="JD36" i="39" s="1"/>
  <c r="IY36" i="39"/>
  <c r="IZ36" i="39" s="1"/>
  <c r="IW36" i="39"/>
  <c r="IX36" i="39" s="1"/>
  <c r="IU36" i="39"/>
  <c r="IV36" i="39" s="1"/>
  <c r="IS36" i="39"/>
  <c r="IT36" i="39" s="1"/>
  <c r="IM36" i="39"/>
  <c r="IN36" i="39" s="1"/>
  <c r="IC36" i="39"/>
  <c r="ID36" i="39" s="1"/>
  <c r="IK36" i="39"/>
  <c r="IL36" i="39" s="1"/>
  <c r="II36" i="39"/>
  <c r="IJ36" i="39" s="1"/>
  <c r="IQ36" i="39"/>
  <c r="IR36" i="39" s="1"/>
  <c r="IG36" i="39"/>
  <c r="IH36" i="39" s="1"/>
  <c r="IO36" i="39"/>
  <c r="IP36" i="39" s="1"/>
  <c r="IE36" i="39"/>
  <c r="IF36" i="39" s="1"/>
  <c r="HW36" i="39"/>
  <c r="HX36" i="39" s="1"/>
  <c r="HU36" i="39"/>
  <c r="HV36" i="39" s="1"/>
  <c r="IA36" i="39"/>
  <c r="IB36" i="39" s="1"/>
  <c r="HY36" i="39"/>
  <c r="HZ36" i="39" s="1"/>
  <c r="HO36" i="39"/>
  <c r="HP36" i="39" s="1"/>
  <c r="HM36" i="39"/>
  <c r="HN36" i="39" s="1"/>
  <c r="HI36" i="39"/>
  <c r="HJ36" i="39" s="1"/>
  <c r="HS36" i="39"/>
  <c r="HT36" i="39" s="1"/>
  <c r="HK36" i="39"/>
  <c r="HL36" i="39" s="1"/>
  <c r="HQ36" i="39"/>
  <c r="HR36" i="39" s="1"/>
  <c r="HG36" i="39"/>
  <c r="HH36" i="39" s="1"/>
  <c r="HE36" i="39"/>
  <c r="HF36" i="39" s="1"/>
  <c r="A37" i="39"/>
  <c r="JM37" i="39" l="1"/>
  <c r="JN37" i="39" s="1"/>
  <c r="JO37" i="39"/>
  <c r="JP37" i="39" s="1"/>
  <c r="JI37" i="39"/>
  <c r="JJ37" i="39" s="1"/>
  <c r="JK37" i="39"/>
  <c r="JL37" i="39" s="1"/>
  <c r="JQ37" i="39"/>
  <c r="JR37" i="39" s="1"/>
  <c r="JW37" i="39"/>
  <c r="JX37" i="39" s="1"/>
  <c r="JU37" i="39"/>
  <c r="JV37" i="39" s="1"/>
  <c r="JS37" i="39"/>
  <c r="JT37" i="39" s="1"/>
  <c r="JA37" i="39"/>
  <c r="JB37" i="39" s="1"/>
  <c r="JG37" i="39"/>
  <c r="JH37" i="39" s="1"/>
  <c r="JE37" i="39"/>
  <c r="JF37" i="39" s="1"/>
  <c r="JC37" i="39"/>
  <c r="JD37" i="39" s="1"/>
  <c r="IY37" i="39"/>
  <c r="IZ37" i="39" s="1"/>
  <c r="IW37" i="39"/>
  <c r="IX37" i="39" s="1"/>
  <c r="IU37" i="39"/>
  <c r="IV37" i="39" s="1"/>
  <c r="IS37" i="39"/>
  <c r="IT37" i="39" s="1"/>
  <c r="IM37" i="39"/>
  <c r="IN37" i="39" s="1"/>
  <c r="IC37" i="39"/>
  <c r="ID37" i="39" s="1"/>
  <c r="IK37" i="39"/>
  <c r="IL37" i="39" s="1"/>
  <c r="II37" i="39"/>
  <c r="IJ37" i="39" s="1"/>
  <c r="IQ37" i="39"/>
  <c r="IR37" i="39" s="1"/>
  <c r="IG37" i="39"/>
  <c r="IH37" i="39" s="1"/>
  <c r="IO37" i="39"/>
  <c r="IP37" i="39" s="1"/>
  <c r="IE37" i="39"/>
  <c r="IF37" i="39" s="1"/>
  <c r="HW37" i="39"/>
  <c r="HX37" i="39" s="1"/>
  <c r="HU37" i="39"/>
  <c r="HV37" i="39" s="1"/>
  <c r="IA37" i="39"/>
  <c r="IB37" i="39" s="1"/>
  <c r="HY37" i="39"/>
  <c r="HZ37" i="39" s="1"/>
  <c r="HO37" i="39"/>
  <c r="HP37" i="39" s="1"/>
  <c r="HI37" i="39"/>
  <c r="HJ37" i="39" s="1"/>
  <c r="HM37" i="39"/>
  <c r="HN37" i="39" s="1"/>
  <c r="HK37" i="39"/>
  <c r="HL37" i="39" s="1"/>
  <c r="HS37" i="39"/>
  <c r="HT37" i="39" s="1"/>
  <c r="HQ37" i="39"/>
  <c r="HR37" i="39" s="1"/>
  <c r="HG37" i="39"/>
  <c r="HH37" i="39" s="1"/>
  <c r="HE37" i="39"/>
  <c r="HF37" i="39" s="1"/>
  <c r="A38" i="39"/>
  <c r="JM38" i="39" l="1"/>
  <c r="JN38" i="39" s="1"/>
  <c r="JO38" i="39"/>
  <c r="JP38" i="39" s="1"/>
  <c r="JK38" i="39"/>
  <c r="JL38" i="39" s="1"/>
  <c r="JI38" i="39"/>
  <c r="JJ38" i="39" s="1"/>
  <c r="JQ38" i="39"/>
  <c r="JR38" i="39" s="1"/>
  <c r="JW38" i="39"/>
  <c r="JX38" i="39" s="1"/>
  <c r="JU38" i="39"/>
  <c r="JV38" i="39" s="1"/>
  <c r="JS38" i="39"/>
  <c r="JT38" i="39" s="1"/>
  <c r="JA38" i="39"/>
  <c r="JB38" i="39" s="1"/>
  <c r="JG38" i="39"/>
  <c r="JH38" i="39" s="1"/>
  <c r="JE38" i="39"/>
  <c r="JF38" i="39" s="1"/>
  <c r="JC38" i="39"/>
  <c r="JD38" i="39" s="1"/>
  <c r="IY38" i="39"/>
  <c r="IZ38" i="39" s="1"/>
  <c r="IW38" i="39"/>
  <c r="IX38" i="39" s="1"/>
  <c r="IU38" i="39"/>
  <c r="IV38" i="39" s="1"/>
  <c r="IS38" i="39"/>
  <c r="IT38" i="39" s="1"/>
  <c r="IM38" i="39"/>
  <c r="IN38" i="39" s="1"/>
  <c r="IC38" i="39"/>
  <c r="ID38" i="39" s="1"/>
  <c r="IK38" i="39"/>
  <c r="IL38" i="39" s="1"/>
  <c r="II38" i="39"/>
  <c r="IJ38" i="39" s="1"/>
  <c r="IQ38" i="39"/>
  <c r="IR38" i="39" s="1"/>
  <c r="IG38" i="39"/>
  <c r="IH38" i="39" s="1"/>
  <c r="IO38" i="39"/>
  <c r="IP38" i="39" s="1"/>
  <c r="IE38" i="39"/>
  <c r="IF38" i="39" s="1"/>
  <c r="HW38" i="39"/>
  <c r="HX38" i="39" s="1"/>
  <c r="HU38" i="39"/>
  <c r="HV38" i="39" s="1"/>
  <c r="IA38" i="39"/>
  <c r="IB38" i="39" s="1"/>
  <c r="HY38" i="39"/>
  <c r="HZ38" i="39" s="1"/>
  <c r="HO38" i="39"/>
  <c r="HP38" i="39" s="1"/>
  <c r="HK38" i="39"/>
  <c r="HL38" i="39" s="1"/>
  <c r="HM38" i="39"/>
  <c r="HN38" i="39" s="1"/>
  <c r="HS38" i="39"/>
  <c r="HT38" i="39" s="1"/>
  <c r="HQ38" i="39"/>
  <c r="HR38" i="39" s="1"/>
  <c r="HI38" i="39"/>
  <c r="HJ38" i="39" s="1"/>
  <c r="HE38" i="39"/>
  <c r="HF38" i="39" s="1"/>
  <c r="HG38" i="39"/>
  <c r="HH38" i="39" s="1"/>
  <c r="A39" i="39"/>
  <c r="JM39" i="39" l="1"/>
  <c r="JN39" i="39" s="1"/>
  <c r="JO39" i="39"/>
  <c r="JP39" i="39" s="1"/>
  <c r="JI39" i="39"/>
  <c r="JJ39" i="39" s="1"/>
  <c r="JK39" i="39"/>
  <c r="JL39" i="39" s="1"/>
  <c r="JQ39" i="39"/>
  <c r="JR39" i="39" s="1"/>
  <c r="JS39" i="39"/>
  <c r="JT39" i="39" s="1"/>
  <c r="JW39" i="39"/>
  <c r="JX39" i="39" s="1"/>
  <c r="JU39" i="39"/>
  <c r="JV39" i="39" s="1"/>
  <c r="JA39" i="39"/>
  <c r="JB39" i="39" s="1"/>
  <c r="JG39" i="39"/>
  <c r="JH39" i="39" s="1"/>
  <c r="JE39" i="39"/>
  <c r="JF39" i="39" s="1"/>
  <c r="JC39" i="39"/>
  <c r="JD39" i="39" s="1"/>
  <c r="IY39" i="39"/>
  <c r="IZ39" i="39" s="1"/>
  <c r="IW39" i="39"/>
  <c r="IX39" i="39" s="1"/>
  <c r="IU39" i="39"/>
  <c r="IV39" i="39" s="1"/>
  <c r="IS39" i="39"/>
  <c r="IT39" i="39" s="1"/>
  <c r="IM39" i="39"/>
  <c r="IN39" i="39" s="1"/>
  <c r="IC39" i="39"/>
  <c r="ID39" i="39" s="1"/>
  <c r="IK39" i="39"/>
  <c r="IL39" i="39" s="1"/>
  <c r="II39" i="39"/>
  <c r="IJ39" i="39" s="1"/>
  <c r="IQ39" i="39"/>
  <c r="IR39" i="39" s="1"/>
  <c r="IG39" i="39"/>
  <c r="IH39" i="39" s="1"/>
  <c r="IO39" i="39"/>
  <c r="IP39" i="39" s="1"/>
  <c r="IE39" i="39"/>
  <c r="IF39" i="39" s="1"/>
  <c r="HW39" i="39"/>
  <c r="HX39" i="39" s="1"/>
  <c r="HU39" i="39"/>
  <c r="HV39" i="39" s="1"/>
  <c r="IA39" i="39"/>
  <c r="IB39" i="39" s="1"/>
  <c r="HY39" i="39"/>
  <c r="HZ39" i="39" s="1"/>
  <c r="HO39" i="39"/>
  <c r="HP39" i="39" s="1"/>
  <c r="HM39" i="39"/>
  <c r="HN39" i="39" s="1"/>
  <c r="HS39" i="39"/>
  <c r="HT39" i="39" s="1"/>
  <c r="HI39" i="39"/>
  <c r="HJ39" i="39" s="1"/>
  <c r="HQ39" i="39"/>
  <c r="HR39" i="39" s="1"/>
  <c r="HK39" i="39"/>
  <c r="HL39" i="39" s="1"/>
  <c r="HE39" i="39"/>
  <c r="HF39" i="39" s="1"/>
  <c r="HG39" i="39"/>
  <c r="HH39" i="39" s="1"/>
  <c r="A40" i="39"/>
  <c r="JO40" i="39" l="1"/>
  <c r="JP40" i="39" s="1"/>
  <c r="JM40" i="39"/>
  <c r="JN40" i="39" s="1"/>
  <c r="JI40" i="39"/>
  <c r="JJ40" i="39" s="1"/>
  <c r="JK40" i="39"/>
  <c r="JL40" i="39" s="1"/>
  <c r="JQ40" i="39"/>
  <c r="JR40" i="39" s="1"/>
  <c r="JU40" i="39"/>
  <c r="JV40" i="39" s="1"/>
  <c r="JS40" i="39"/>
  <c r="JT40" i="39" s="1"/>
  <c r="JW40" i="39"/>
  <c r="JX40" i="39" s="1"/>
  <c r="JA40" i="39"/>
  <c r="JB40" i="39" s="1"/>
  <c r="JG40" i="39"/>
  <c r="JH40" i="39" s="1"/>
  <c r="JE40" i="39"/>
  <c r="JF40" i="39" s="1"/>
  <c r="JC40" i="39"/>
  <c r="JD40" i="39" s="1"/>
  <c r="IY40" i="39"/>
  <c r="IZ40" i="39" s="1"/>
  <c r="IW40" i="39"/>
  <c r="IX40" i="39" s="1"/>
  <c r="IU40" i="39"/>
  <c r="IV40" i="39" s="1"/>
  <c r="IS40" i="39"/>
  <c r="IT40" i="39" s="1"/>
  <c r="IM40" i="39"/>
  <c r="IN40" i="39" s="1"/>
  <c r="IC40" i="39"/>
  <c r="ID40" i="39" s="1"/>
  <c r="IK40" i="39"/>
  <c r="IL40" i="39" s="1"/>
  <c r="II40" i="39"/>
  <c r="IJ40" i="39" s="1"/>
  <c r="IQ40" i="39"/>
  <c r="IR40" i="39" s="1"/>
  <c r="IG40" i="39"/>
  <c r="IH40" i="39" s="1"/>
  <c r="IO40" i="39"/>
  <c r="IP40" i="39" s="1"/>
  <c r="IE40" i="39"/>
  <c r="IF40" i="39" s="1"/>
  <c r="HW40" i="39"/>
  <c r="HX40" i="39" s="1"/>
  <c r="HU40" i="39"/>
  <c r="HV40" i="39" s="1"/>
  <c r="IA40" i="39"/>
  <c r="IB40" i="39" s="1"/>
  <c r="HY40" i="39"/>
  <c r="HZ40" i="39" s="1"/>
  <c r="HO40" i="39"/>
  <c r="HP40" i="39" s="1"/>
  <c r="HM40" i="39"/>
  <c r="HN40" i="39" s="1"/>
  <c r="HI40" i="39"/>
  <c r="HJ40" i="39" s="1"/>
  <c r="HS40" i="39"/>
  <c r="HT40" i="39" s="1"/>
  <c r="HK40" i="39"/>
  <c r="HL40" i="39" s="1"/>
  <c r="HQ40" i="39"/>
  <c r="HR40" i="39" s="1"/>
  <c r="HG40" i="39"/>
  <c r="HH40" i="39" s="1"/>
  <c r="HE40" i="39"/>
  <c r="HF40" i="39" s="1"/>
  <c r="A41" i="39"/>
  <c r="JM41" i="39" l="1"/>
  <c r="JN41" i="39" s="1"/>
  <c r="JO41" i="39"/>
  <c r="JP41" i="39" s="1"/>
  <c r="JI41" i="39"/>
  <c r="JJ41" i="39" s="1"/>
  <c r="JK41" i="39"/>
  <c r="JL41" i="39" s="1"/>
  <c r="JQ41" i="39"/>
  <c r="JR41" i="39" s="1"/>
  <c r="JW41" i="39"/>
  <c r="JX41" i="39" s="1"/>
  <c r="JU41" i="39"/>
  <c r="JV41" i="39" s="1"/>
  <c r="JS41" i="39"/>
  <c r="JT41" i="39" s="1"/>
  <c r="JA41" i="39"/>
  <c r="JB41" i="39" s="1"/>
  <c r="JG41" i="39"/>
  <c r="JH41" i="39" s="1"/>
  <c r="JE41" i="39"/>
  <c r="JF41" i="39" s="1"/>
  <c r="JC41" i="39"/>
  <c r="JD41" i="39" s="1"/>
  <c r="IY41" i="39"/>
  <c r="IZ41" i="39" s="1"/>
  <c r="IW41" i="39"/>
  <c r="IX41" i="39" s="1"/>
  <c r="IU41" i="39"/>
  <c r="IV41" i="39" s="1"/>
  <c r="IS41" i="39"/>
  <c r="IT41" i="39" s="1"/>
  <c r="IM41" i="39"/>
  <c r="IN41" i="39" s="1"/>
  <c r="IC41" i="39"/>
  <c r="ID41" i="39" s="1"/>
  <c r="IK41" i="39"/>
  <c r="IL41" i="39" s="1"/>
  <c r="II41" i="39"/>
  <c r="IJ41" i="39" s="1"/>
  <c r="IQ41" i="39"/>
  <c r="IR41" i="39" s="1"/>
  <c r="IG41" i="39"/>
  <c r="IH41" i="39" s="1"/>
  <c r="IO41" i="39"/>
  <c r="IP41" i="39" s="1"/>
  <c r="IE41" i="39"/>
  <c r="IF41" i="39" s="1"/>
  <c r="HW41" i="39"/>
  <c r="HX41" i="39" s="1"/>
  <c r="HU41" i="39"/>
  <c r="HV41" i="39" s="1"/>
  <c r="IA41" i="39"/>
  <c r="IB41" i="39" s="1"/>
  <c r="HY41" i="39"/>
  <c r="HZ41" i="39" s="1"/>
  <c r="HO41" i="39"/>
  <c r="HP41" i="39" s="1"/>
  <c r="HI41" i="39"/>
  <c r="HJ41" i="39" s="1"/>
  <c r="HM41" i="39"/>
  <c r="HN41" i="39" s="1"/>
  <c r="HK41" i="39"/>
  <c r="HL41" i="39" s="1"/>
  <c r="HS41" i="39"/>
  <c r="HT41" i="39" s="1"/>
  <c r="HQ41" i="39"/>
  <c r="HR41" i="39" s="1"/>
  <c r="HG41" i="39"/>
  <c r="HH41" i="39" s="1"/>
  <c r="HE41" i="39"/>
  <c r="HF41" i="39" s="1"/>
  <c r="A42" i="39"/>
  <c r="JM42" i="39" l="1"/>
  <c r="JN42" i="39" s="1"/>
  <c r="JO42" i="39"/>
  <c r="JP42" i="39" s="1"/>
  <c r="JK42" i="39"/>
  <c r="JL42" i="39" s="1"/>
  <c r="JI42" i="39"/>
  <c r="JJ42" i="39" s="1"/>
  <c r="JQ42" i="39"/>
  <c r="JR42" i="39" s="1"/>
  <c r="JW42" i="39"/>
  <c r="JX42" i="39" s="1"/>
  <c r="JU42" i="39"/>
  <c r="JV42" i="39" s="1"/>
  <c r="JS42" i="39"/>
  <c r="JT42" i="39" s="1"/>
  <c r="JA42" i="39"/>
  <c r="JB42" i="39" s="1"/>
  <c r="JG42" i="39"/>
  <c r="JH42" i="39" s="1"/>
  <c r="JE42" i="39"/>
  <c r="JF42" i="39" s="1"/>
  <c r="JC42" i="39"/>
  <c r="JD42" i="39" s="1"/>
  <c r="IY42" i="39"/>
  <c r="IZ42" i="39" s="1"/>
  <c r="IW42" i="39"/>
  <c r="IX42" i="39" s="1"/>
  <c r="IU42" i="39"/>
  <c r="IV42" i="39" s="1"/>
  <c r="IS42" i="39"/>
  <c r="IT42" i="39" s="1"/>
  <c r="IM42" i="39"/>
  <c r="IN42" i="39" s="1"/>
  <c r="IC42" i="39"/>
  <c r="ID42" i="39" s="1"/>
  <c r="IK42" i="39"/>
  <c r="IL42" i="39" s="1"/>
  <c r="II42" i="39"/>
  <c r="IJ42" i="39" s="1"/>
  <c r="IQ42" i="39"/>
  <c r="IR42" i="39" s="1"/>
  <c r="IG42" i="39"/>
  <c r="IH42" i="39" s="1"/>
  <c r="IO42" i="39"/>
  <c r="IP42" i="39" s="1"/>
  <c r="IE42" i="39"/>
  <c r="IF42" i="39" s="1"/>
  <c r="HW42" i="39"/>
  <c r="HX42" i="39" s="1"/>
  <c r="HU42" i="39"/>
  <c r="HV42" i="39" s="1"/>
  <c r="IA42" i="39"/>
  <c r="IB42" i="39" s="1"/>
  <c r="HY42" i="39"/>
  <c r="HZ42" i="39" s="1"/>
  <c r="HO42" i="39"/>
  <c r="HP42" i="39" s="1"/>
  <c r="HK42" i="39"/>
  <c r="HL42" i="39" s="1"/>
  <c r="HM42" i="39"/>
  <c r="HN42" i="39" s="1"/>
  <c r="HS42" i="39"/>
  <c r="HT42" i="39" s="1"/>
  <c r="HQ42" i="39"/>
  <c r="HR42" i="39" s="1"/>
  <c r="HI42" i="39"/>
  <c r="HJ42" i="39" s="1"/>
  <c r="HE42" i="39"/>
  <c r="HF42" i="39" s="1"/>
  <c r="HG42" i="39"/>
  <c r="HH42" i="39" s="1"/>
  <c r="A43" i="39"/>
  <c r="JM43" i="39" l="1"/>
  <c r="JN43" i="39" s="1"/>
  <c r="JO43" i="39"/>
  <c r="JP43" i="39" s="1"/>
  <c r="JI43" i="39"/>
  <c r="JJ43" i="39" s="1"/>
  <c r="JK43" i="39"/>
  <c r="JL43" i="39" s="1"/>
  <c r="JQ43" i="39"/>
  <c r="JR43" i="39" s="1"/>
  <c r="JS43" i="39"/>
  <c r="JT43" i="39" s="1"/>
  <c r="JW43" i="39"/>
  <c r="JX43" i="39" s="1"/>
  <c r="JU43" i="39"/>
  <c r="JV43" i="39" s="1"/>
  <c r="JA43" i="39"/>
  <c r="JB43" i="39" s="1"/>
  <c r="JG43" i="39"/>
  <c r="JH43" i="39" s="1"/>
  <c r="JE43" i="39"/>
  <c r="JF43" i="39" s="1"/>
  <c r="JC43" i="39"/>
  <c r="JD43" i="39" s="1"/>
  <c r="IY43" i="39"/>
  <c r="IZ43" i="39" s="1"/>
  <c r="IW43" i="39"/>
  <c r="IX43" i="39" s="1"/>
  <c r="IU43" i="39"/>
  <c r="IV43" i="39" s="1"/>
  <c r="IS43" i="39"/>
  <c r="IT43" i="39" s="1"/>
  <c r="IM43" i="39"/>
  <c r="IN43" i="39" s="1"/>
  <c r="IC43" i="39"/>
  <c r="ID43" i="39" s="1"/>
  <c r="IK43" i="39"/>
  <c r="IL43" i="39" s="1"/>
  <c r="II43" i="39"/>
  <c r="IJ43" i="39" s="1"/>
  <c r="IQ43" i="39"/>
  <c r="IR43" i="39" s="1"/>
  <c r="IG43" i="39"/>
  <c r="IH43" i="39" s="1"/>
  <c r="IO43" i="39"/>
  <c r="IP43" i="39" s="1"/>
  <c r="IE43" i="39"/>
  <c r="IF43" i="39" s="1"/>
  <c r="HW43" i="39"/>
  <c r="HX43" i="39" s="1"/>
  <c r="HU43" i="39"/>
  <c r="HV43" i="39" s="1"/>
  <c r="IA43" i="39"/>
  <c r="IB43" i="39" s="1"/>
  <c r="HY43" i="39"/>
  <c r="HZ43" i="39" s="1"/>
  <c r="HO43" i="39"/>
  <c r="HP43" i="39" s="1"/>
  <c r="HM43" i="39"/>
  <c r="HN43" i="39" s="1"/>
  <c r="HS43" i="39"/>
  <c r="HT43" i="39" s="1"/>
  <c r="HI43" i="39"/>
  <c r="HJ43" i="39" s="1"/>
  <c r="HQ43" i="39"/>
  <c r="HR43" i="39" s="1"/>
  <c r="HK43" i="39"/>
  <c r="HL43" i="39" s="1"/>
  <c r="HE43" i="39"/>
  <c r="HF43" i="39" s="1"/>
  <c r="HG43" i="39"/>
  <c r="HH43" i="39" s="1"/>
  <c r="A44" i="39"/>
  <c r="JO44" i="39" l="1"/>
  <c r="JP44" i="39" s="1"/>
  <c r="JO165" i="39" s="1"/>
  <c r="AC98" i="34" s="1"/>
  <c r="JM44" i="39"/>
  <c r="JN44" i="39" s="1"/>
  <c r="JM165" i="39" s="1"/>
  <c r="AC97" i="34" s="1"/>
  <c r="JI44" i="39"/>
  <c r="JK44" i="39"/>
  <c r="JL44" i="39" s="1"/>
  <c r="JK165" i="39" s="1"/>
  <c r="AC96" i="34" s="1"/>
  <c r="JQ44" i="39"/>
  <c r="JR44" i="39" s="1"/>
  <c r="JQ165" i="39" s="1"/>
  <c r="AD95" i="34" s="1"/>
  <c r="JU44" i="39"/>
  <c r="JV44" i="39" s="1"/>
  <c r="JU165" i="39" s="1"/>
  <c r="AD97" i="34" s="1"/>
  <c r="JS44" i="39"/>
  <c r="JT44" i="39" s="1"/>
  <c r="JS165" i="39" s="1"/>
  <c r="AD96" i="34" s="1"/>
  <c r="JW44" i="39"/>
  <c r="JX44" i="39" s="1"/>
  <c r="JW165" i="39" s="1"/>
  <c r="AD98" i="34" s="1"/>
  <c r="JJ44" i="39"/>
  <c r="JI165" i="39" s="1"/>
  <c r="AC95" i="34" s="1"/>
  <c r="JA44" i="39"/>
  <c r="JB44" i="39" s="1"/>
  <c r="JG44" i="39"/>
  <c r="JH44" i="39" s="1"/>
  <c r="JE44" i="39"/>
  <c r="JF44" i="39" s="1"/>
  <c r="JC44" i="39"/>
  <c r="JD44" i="39" s="1"/>
  <c r="IY44" i="39"/>
  <c r="IZ44" i="39" s="1"/>
  <c r="IW44" i="39"/>
  <c r="IX44" i="39" s="1"/>
  <c r="IU44" i="39"/>
  <c r="IV44" i="39" s="1"/>
  <c r="IS44" i="39"/>
  <c r="IT44" i="39" s="1"/>
  <c r="IM44" i="39"/>
  <c r="IN44" i="39" s="1"/>
  <c r="IC44" i="39"/>
  <c r="ID44" i="39" s="1"/>
  <c r="IC165" i="39" s="1"/>
  <c r="Y95" i="34" s="1"/>
  <c r="IK44" i="39"/>
  <c r="IL44" i="39" s="1"/>
  <c r="IK165" i="39" s="1"/>
  <c r="Z95" i="34" s="1"/>
  <c r="II44" i="39"/>
  <c r="IJ44" i="39" s="1"/>
  <c r="II165" i="39" s="1"/>
  <c r="Y98" i="34" s="1"/>
  <c r="IQ44" i="39"/>
  <c r="IR44" i="39" s="1"/>
  <c r="IG44" i="39"/>
  <c r="IH44" i="39" s="1"/>
  <c r="IG165" i="39" s="1"/>
  <c r="Y97" i="34" s="1"/>
  <c r="IO44" i="39"/>
  <c r="IP44" i="39" s="1"/>
  <c r="IO165" i="39" s="1"/>
  <c r="Z97" i="34" s="1"/>
  <c r="IE44" i="39"/>
  <c r="IF44" i="39" s="1"/>
  <c r="HW44" i="39"/>
  <c r="HX44" i="39" s="1"/>
  <c r="HU44" i="39"/>
  <c r="HV44" i="39" s="1"/>
  <c r="IA44" i="39"/>
  <c r="IB44" i="39" s="1"/>
  <c r="IA165" i="39" s="1"/>
  <c r="X98" i="34" s="1"/>
  <c r="HY44" i="39"/>
  <c r="HZ44" i="39" s="1"/>
  <c r="HY165" i="39" s="1"/>
  <c r="X97" i="34" s="1"/>
  <c r="HO44" i="39"/>
  <c r="HP44" i="39" s="1"/>
  <c r="HM44" i="39"/>
  <c r="HN44" i="39" s="1"/>
  <c r="HM165" i="39" s="1"/>
  <c r="W95" i="34" s="1"/>
  <c r="HI44" i="39"/>
  <c r="HJ44" i="39" s="1"/>
  <c r="HS44" i="39"/>
  <c r="HT44" i="39" s="1"/>
  <c r="HS165" i="39" s="1"/>
  <c r="W98" i="34" s="1"/>
  <c r="HK44" i="39"/>
  <c r="HL44" i="39" s="1"/>
  <c r="HQ44" i="39"/>
  <c r="HR44" i="39" s="1"/>
  <c r="HQ165" i="39" s="1"/>
  <c r="W97" i="34" s="1"/>
  <c r="HG44" i="39"/>
  <c r="HH44" i="39" s="1"/>
  <c r="HE44" i="39"/>
  <c r="HF44" i="39" s="1"/>
  <c r="F168" i="39"/>
  <c r="F170" i="39" s="1"/>
  <c r="M172" i="39" s="1"/>
  <c r="A169" i="39"/>
  <c r="AL150" i="39"/>
  <c r="AM150" i="39" s="1"/>
  <c r="A171" i="39"/>
  <c r="A168" i="39"/>
  <c r="A166" i="39"/>
  <c r="A170" i="39"/>
  <c r="A167" i="39"/>
  <c r="F172" i="39" l="1"/>
  <c r="F174" i="39" s="1"/>
  <c r="BX66" i="33"/>
  <c r="BX64" i="33" s="1"/>
  <c r="E41" i="47" s="1"/>
  <c r="BV66" i="33"/>
  <c r="BV64" i="33" s="1"/>
  <c r="E41" i="46" s="1"/>
  <c r="AD99" i="34"/>
  <c r="BW66" i="33"/>
  <c r="AC99" i="34"/>
  <c r="BU66" i="33"/>
  <c r="IS165" i="39"/>
  <c r="AA95" i="34" s="1"/>
  <c r="JA165" i="39"/>
  <c r="AB95" i="34" s="1"/>
  <c r="JG165" i="39"/>
  <c r="AB98" i="34" s="1"/>
  <c r="IW165" i="39"/>
  <c r="AA97" i="34" s="1"/>
  <c r="JE165" i="39"/>
  <c r="AB97" i="34" s="1"/>
  <c r="JC165" i="39"/>
  <c r="AB96" i="34" s="1"/>
  <c r="BN66" i="33"/>
  <c r="BN64" i="33" s="1"/>
  <c r="Y82" i="34" s="1"/>
  <c r="BJ66" i="33"/>
  <c r="BJ64" i="33" s="1"/>
  <c r="W82" i="34" s="1"/>
  <c r="BL66" i="33"/>
  <c r="BL64" i="33" s="1"/>
  <c r="X82" i="34" s="1"/>
  <c r="HO165" i="39"/>
  <c r="HU165" i="39"/>
  <c r="X95" i="34" s="1"/>
  <c r="HI165" i="39"/>
  <c r="HK165" i="39"/>
  <c r="V98" i="34" s="1"/>
  <c r="IE165" i="39"/>
  <c r="HE165" i="39"/>
  <c r="V95" i="34" s="1"/>
  <c r="HG165" i="39"/>
  <c r="V96" i="34" s="1"/>
  <c r="AD82" i="34" l="1"/>
  <c r="AC82" i="34"/>
  <c r="BT66" i="33"/>
  <c r="BT64" i="33" s="1"/>
  <c r="E41" i="45" s="1"/>
  <c r="A156" i="33"/>
  <c r="BU64" i="33"/>
  <c r="AE95" i="34"/>
  <c r="A175" i="33"/>
  <c r="BW64" i="33"/>
  <c r="AB99" i="34"/>
  <c r="BS66" i="33"/>
  <c r="BG66" i="33"/>
  <c r="BG64" i="33" s="1"/>
  <c r="V81" i="34" s="1"/>
  <c r="E41" i="42"/>
  <c r="E40" i="42" s="1"/>
  <c r="E41" i="41"/>
  <c r="E40" i="41" s="1"/>
  <c r="E41" i="38"/>
  <c r="E40" i="38" s="1"/>
  <c r="Y96" i="34"/>
  <c r="V97" i="34"/>
  <c r="AE97" i="34" s="1"/>
  <c r="W96" i="34"/>
  <c r="HW165" i="39"/>
  <c r="IQ165" i="39"/>
  <c r="Z98" i="34" s="1"/>
  <c r="BP66" i="33" s="1"/>
  <c r="BP64" i="33" s="1"/>
  <c r="Z82" i="34" s="1"/>
  <c r="IM165" i="39"/>
  <c r="Z96" i="34" s="1"/>
  <c r="IY165" i="39"/>
  <c r="AA98" i="34" s="1"/>
  <c r="BR66" i="33" s="1"/>
  <c r="BR64" i="33" s="1"/>
  <c r="IU165" i="39"/>
  <c r="AA96" i="34" s="1"/>
  <c r="BQ66" i="33" s="1"/>
  <c r="AB82" i="34" l="1"/>
  <c r="V99" i="34"/>
  <c r="AE98" i="34"/>
  <c r="B175" i="33"/>
  <c r="A177" i="33"/>
  <c r="A173" i="33"/>
  <c r="AA99" i="34"/>
  <c r="A137" i="33"/>
  <c r="BS64" i="33"/>
  <c r="AC81" i="34"/>
  <c r="AC83" i="34" s="1"/>
  <c r="D41" i="46"/>
  <c r="BI66" i="33"/>
  <c r="A50" i="33" s="1"/>
  <c r="A48" i="33" s="1"/>
  <c r="W99" i="34"/>
  <c r="B156" i="33"/>
  <c r="A154" i="33"/>
  <c r="A158" i="33"/>
  <c r="BM66" i="33"/>
  <c r="A82" i="33" s="1"/>
  <c r="A80" i="33" s="1"/>
  <c r="Y99" i="34"/>
  <c r="BO66" i="33"/>
  <c r="BO64" i="33" s="1"/>
  <c r="Z81" i="34" s="1"/>
  <c r="Z83" i="34" s="1"/>
  <c r="Z99" i="34"/>
  <c r="AD81" i="34"/>
  <c r="AD83" i="34" s="1"/>
  <c r="D41" i="47"/>
  <c r="BQ64" i="33"/>
  <c r="R175" i="33"/>
  <c r="AL137" i="33"/>
  <c r="R156" i="33"/>
  <c r="AL175" i="33"/>
  <c r="R137" i="33"/>
  <c r="AL156" i="33"/>
  <c r="E40" i="46"/>
  <c r="E40" i="47"/>
  <c r="AA82" i="34"/>
  <c r="E40" i="45"/>
  <c r="AL118" i="33"/>
  <c r="A118" i="33"/>
  <c r="R118" i="33"/>
  <c r="BH66" i="33"/>
  <c r="BH64" i="33" s="1"/>
  <c r="V82" i="34" s="1"/>
  <c r="X96" i="34"/>
  <c r="AE96" i="34" s="1"/>
  <c r="D40" i="46" l="1"/>
  <c r="AE99" i="34"/>
  <c r="AL50" i="33"/>
  <c r="AE82" i="34"/>
  <c r="R50" i="33"/>
  <c r="BI64" i="33"/>
  <c r="W81" i="34" s="1"/>
  <c r="W83" i="34" s="1"/>
  <c r="BM64" i="33"/>
  <c r="Y81" i="34" s="1"/>
  <c r="Y83" i="34" s="1"/>
  <c r="R82" i="33"/>
  <c r="AL82" i="33"/>
  <c r="R100" i="33"/>
  <c r="AL100" i="33"/>
  <c r="A100" i="33"/>
  <c r="A98" i="33" s="1"/>
  <c r="B137" i="33"/>
  <c r="A139" i="33"/>
  <c r="A135" i="33"/>
  <c r="BK66" i="33"/>
  <c r="A66" i="33" s="1"/>
  <c r="A68" i="33" s="1"/>
  <c r="X99" i="34"/>
  <c r="D41" i="45"/>
  <c r="G41" i="45" s="1"/>
  <c r="AB81" i="34"/>
  <c r="AB83" i="34" s="1"/>
  <c r="V83" i="34"/>
  <c r="D40" i="47"/>
  <c r="AA81" i="34"/>
  <c r="AA83" i="34" s="1"/>
  <c r="A120" i="33"/>
  <c r="Y156" i="33"/>
  <c r="AS175" i="33"/>
  <c r="Y137" i="33"/>
  <c r="AS156" i="33"/>
  <c r="Y175" i="33"/>
  <c r="AS137" i="33"/>
  <c r="BH73" i="33"/>
  <c r="G41" i="46"/>
  <c r="G40" i="46"/>
  <c r="A84" i="33"/>
  <c r="A52" i="33"/>
  <c r="A34" i="33"/>
  <c r="AS82" i="33"/>
  <c r="B82" i="33"/>
  <c r="Y82" i="33"/>
  <c r="AS50" i="33"/>
  <c r="B50" i="33"/>
  <c r="Y50" i="33"/>
  <c r="B118" i="33"/>
  <c r="AS118" i="33"/>
  <c r="Y118" i="33"/>
  <c r="A116" i="33"/>
  <c r="R34" i="33"/>
  <c r="AL34" i="33"/>
  <c r="D41" i="44"/>
  <c r="E41" i="43"/>
  <c r="E40" i="43" s="1"/>
  <c r="D41" i="43"/>
  <c r="E41" i="44"/>
  <c r="E40" i="44" s="1"/>
  <c r="D39" i="46" l="1"/>
  <c r="H39" i="46"/>
  <c r="D39" i="45"/>
  <c r="H39" i="45"/>
  <c r="D41" i="38"/>
  <c r="G41" i="38" s="1"/>
  <c r="B100" i="33"/>
  <c r="A102" i="33"/>
  <c r="Y100" i="33"/>
  <c r="AS100" i="33"/>
  <c r="D41" i="42"/>
  <c r="D40" i="42" s="1"/>
  <c r="G40" i="45"/>
  <c r="D40" i="45"/>
  <c r="AL66" i="33"/>
  <c r="R66" i="33"/>
  <c r="BK64" i="33"/>
  <c r="BG73" i="33" s="1"/>
  <c r="G40" i="47"/>
  <c r="G41" i="47"/>
  <c r="A36" i="33"/>
  <c r="A32" i="33"/>
  <c r="A64" i="33"/>
  <c r="AS66" i="33"/>
  <c r="B66" i="33"/>
  <c r="Y66" i="33"/>
  <c r="B34" i="33"/>
  <c r="Y34" i="33"/>
  <c r="AS34" i="33"/>
  <c r="G41" i="44"/>
  <c r="G41" i="43"/>
  <c r="D40" i="43"/>
  <c r="G40" i="43"/>
  <c r="G40" i="44"/>
  <c r="D40" i="44"/>
  <c r="D39" i="38" l="1"/>
  <c r="H39" i="38"/>
  <c r="D39" i="43"/>
  <c r="H39" i="43"/>
  <c r="D39" i="44"/>
  <c r="H39" i="44"/>
  <c r="D39" i="47"/>
  <c r="H39" i="47"/>
  <c r="D40" i="38"/>
  <c r="G41" i="42"/>
  <c r="G40" i="38"/>
  <c r="G40" i="42"/>
  <c r="X81" i="34"/>
  <c r="X83" i="34" s="1"/>
  <c r="D41" i="41"/>
  <c r="D40" i="41" s="1"/>
  <c r="D39" i="42" l="1"/>
  <c r="H39" i="42"/>
  <c r="AE81" i="34"/>
  <c r="AE83" i="34" s="1"/>
  <c r="BG57" i="31" s="1"/>
  <c r="G57" i="31" s="1"/>
  <c r="A57" i="31" s="1"/>
  <c r="G40" i="41"/>
  <c r="G41" i="41"/>
  <c r="E41" i="1"/>
  <c r="E40" i="1" s="1"/>
  <c r="D41" i="1"/>
  <c r="D39" i="41" l="1"/>
  <c r="H39" i="41"/>
  <c r="F57" i="31"/>
  <c r="G41" i="1"/>
  <c r="D40" i="1"/>
  <c r="G40" i="1"/>
  <c r="D39" i="1" l="1"/>
  <c r="Z42" i="1"/>
  <c r="H39" i="1" s="1"/>
  <c r="U80" i="34"/>
  <c r="U94" i="34"/>
  <c r="U21" i="34"/>
  <c r="U87" i="34"/>
  <c r="U5" i="34"/>
</calcChain>
</file>

<file path=xl/sharedStrings.xml><?xml version="1.0" encoding="utf-8"?>
<sst xmlns="http://schemas.openxmlformats.org/spreadsheetml/2006/main" count="49288" uniqueCount="15218">
  <si>
    <t>TIPO 2</t>
  </si>
  <si>
    <t>QTD</t>
  </si>
  <si>
    <t>Conservação de Equipamentos e Mobiliários</t>
  </si>
  <si>
    <t>Conservação do Prédio</t>
  </si>
  <si>
    <t>TFE</t>
  </si>
  <si>
    <t>Despesas Cartorárias</t>
  </si>
  <si>
    <t>Tarifas Bancárias</t>
  </si>
  <si>
    <t>TAB_A</t>
  </si>
  <si>
    <t>TAB_A_1</t>
  </si>
  <si>
    <t>Certificação Digital</t>
  </si>
  <si>
    <t>Cópia dos extratos da conta bancária, evidenciando a movimentação de todos os cheques emitidos;</t>
  </si>
  <si>
    <t>Cópia da Ata de prestação de contas e Parecer do Conselho Fiscal sobre a regularidade das contas;</t>
  </si>
  <si>
    <t>Cópia dos comprovantes de despesas;</t>
  </si>
  <si>
    <t>Presidente da Diretoria Executiva</t>
  </si>
  <si>
    <t>para</t>
  </si>
  <si>
    <t>APM da(o):</t>
  </si>
  <si>
    <t>DIRETORIA REGIONAL DE EDUCAÇÃO -</t>
  </si>
  <si>
    <t>Kg</t>
  </si>
  <si>
    <t>g</t>
  </si>
  <si>
    <t>mg</t>
  </si>
  <si>
    <t>L</t>
  </si>
  <si>
    <t>ml</t>
  </si>
  <si>
    <t>Pç</t>
  </si>
  <si>
    <t>Resma</t>
  </si>
  <si>
    <t>No aguardo da aprovação das contas ora apresentadas, reitero protesto de estima e consideração.</t>
  </si>
  <si>
    <t>Comprovantes de pagamento de tributos;</t>
  </si>
  <si>
    <t>Demonstrativo da Conciliação Bancária (Modelo - IV);</t>
  </si>
  <si>
    <t xml:space="preserve"> correspondentes a: </t>
  </si>
  <si>
    <t xml:space="preserve"> Aberta a reunião em segunda (2ª) convocação, pelo(a) Sr(a) </t>
  </si>
  <si>
    <t xml:space="preserve"> solicitou aos presentes a análise dos documentos fiscais das despesas.</t>
  </si>
  <si>
    <t xml:space="preserve">Em seguida, o(a) Sr(a) </t>
  </si>
  <si>
    <t>e relacionadas a seguir:</t>
  </si>
  <si>
    <t>, restaram na</t>
  </si>
  <si>
    <t>conta nº</t>
  </si>
  <si>
    <t xml:space="preserve">as seguintes quantias de </t>
  </si>
  <si>
    <t>custeio e</t>
  </si>
  <si>
    <t>para capital, valores esses que foram reprogramados.</t>
  </si>
  <si>
    <t>para custeio e</t>
  </si>
  <si>
    <t>vai para a ata</t>
  </si>
  <si>
    <t xml:space="preserve">Custeio ( C ): </t>
  </si>
  <si>
    <t>faz, em conformidade com a legislação aplicável ao Progra-</t>
  </si>
  <si>
    <t>RENDIMENTO DE APLICAÇÃO FINANCEIRA</t>
  </si>
  <si>
    <t>Profissão/Função:</t>
  </si>
  <si>
    <t>horas:</t>
  </si>
  <si>
    <t xml:space="preserve">às </t>
  </si>
  <si>
    <t xml:space="preserve">, </t>
  </si>
  <si>
    <t xml:space="preserve"> h.</t>
  </si>
  <si>
    <t>Presidiu Reunião:</t>
  </si>
  <si>
    <t xml:space="preserve"> para capital e R$ </t>
  </si>
  <si>
    <t xml:space="preserve"> a </t>
  </si>
  <si>
    <t>Saldo Bancário em :</t>
  </si>
  <si>
    <t>VALOR</t>
  </si>
  <si>
    <t>Período:</t>
  </si>
  <si>
    <t xml:space="preserve">, acrescidos dos valores reprogramados do </t>
  </si>
  <si>
    <t xml:space="preserve">, de R$ </t>
  </si>
  <si>
    <t xml:space="preserve"> (custeio), totalizando R$ </t>
  </si>
  <si>
    <t xml:space="preserve"> para custeio, para o período de realização de despesas compreendido de </t>
  </si>
  <si>
    <t xml:space="preserve"> para custeio.</t>
  </si>
  <si>
    <t xml:space="preserve"> As aquisições de capital foram da ordem de R$ </t>
  </si>
  <si>
    <t xml:space="preserve">O (a) Sr (a) </t>
  </si>
  <si>
    <t xml:space="preserve">Em seguida, explicou que ao término do período de realização das despesas do </t>
  </si>
  <si>
    <t xml:space="preserve">, restaram na conta nº </t>
  </si>
  <si>
    <t xml:space="preserve"> para custeio e R$ </t>
  </si>
  <si>
    <t xml:space="preserve"> as quantias de R$ </t>
  </si>
  <si>
    <t xml:space="preserve"> para capital, valores esses que foram reprogramados. </t>
  </si>
  <si>
    <t xml:space="preserve"> ofereceu a palavra a quem dela desejasse fazer uso e como não houve manifestação agradeceu a presença de todos, considerando encerrada a reunião, a qual, eu,</t>
  </si>
  <si>
    <t>Redigiu a Ata:</t>
  </si>
  <si>
    <t>CODIGO EOL</t>
  </si>
  <si>
    <t xml:space="preserve"> lavrei-a na presente ata, que vai por mim assinada e pelos demais presentes.</t>
  </si>
  <si>
    <t>24-ENDEREÇO (Rua, Avenida ou Praça e Nº)</t>
  </si>
  <si>
    <t>25-COMPLEMENTO (Andar, Sala, etc.)</t>
  </si>
  <si>
    <t>26-BAIRRO/DISTRITO</t>
  </si>
  <si>
    <t>27-UF</t>
  </si>
  <si>
    <t>28-MUNICÍPIO</t>
  </si>
  <si>
    <t>29-CEP</t>
  </si>
  <si>
    <t>30-DDD</t>
  </si>
  <si>
    <t>31-TELEFONE</t>
  </si>
  <si>
    <t>32-FAX</t>
  </si>
  <si>
    <t>33-E-MAIL</t>
  </si>
  <si>
    <t>34-CARGO OU FUNÇÃO</t>
  </si>
  <si>
    <t>35-Nº DO REGISTRO GERAL</t>
  </si>
  <si>
    <t>36-DATA DA EMISSÃO</t>
  </si>
  <si>
    <t>BLOCO 4 - AUTENTICAÇÃO</t>
  </si>
  <si>
    <t>38-Local e Data</t>
  </si>
  <si>
    <t>39-NOME E ASSINATURA DO PRESIDENTE DA DIRETORIA EXECUTIVA DA APM</t>
  </si>
  <si>
    <t>São Paulo,</t>
  </si>
  <si>
    <t>Nome:</t>
  </si>
  <si>
    <t>Assinatura:</t>
  </si>
  <si>
    <t>Prestação de Contas - Modelo III</t>
  </si>
  <si>
    <t xml:space="preserve">Relação de Bens Adquiridos ou Produzidos </t>
  </si>
  <si>
    <t>BLOCO 1 – IDENTIFICAÇÃO</t>
  </si>
  <si>
    <t>02 -  N.º DO CNPJ</t>
  </si>
  <si>
    <t>03  - Nº DO CCM</t>
  </si>
  <si>
    <t>05 - PERÍODO DE REALIZAÇÃO</t>
  </si>
  <si>
    <t>06 - EXERCÍCIO</t>
  </si>
  <si>
    <t>BLOCO 2 – IDENTIFICAÇÃO DOS BENS ADQUIRIDOS OU PRODUZIDOS</t>
  </si>
  <si>
    <t>07 - DOCUMENTO</t>
  </si>
  <si>
    <t xml:space="preserve">08 -  ESPECIFICAÇÃO DOS BENS                                </t>
  </si>
  <si>
    <t>09 - Nº DO PROCESSO DE INCORPORAÇÃO</t>
  </si>
  <si>
    <t>10 - QUANTIDADE</t>
  </si>
  <si>
    <t>11 -  VALOR (R$)</t>
  </si>
  <si>
    <t>UNITÁRIO</t>
  </si>
  <si>
    <t>TOTAL</t>
  </si>
  <si>
    <t>12 - TOTAL</t>
  </si>
  <si>
    <t>BLOCO 3 - AUTENTICAÇÃO</t>
  </si>
  <si>
    <t>Nº do Cheque</t>
  </si>
  <si>
    <t>Data</t>
  </si>
  <si>
    <t>Valor</t>
  </si>
  <si>
    <t>Nota Fiscal</t>
  </si>
  <si>
    <t>Local e Data</t>
  </si>
  <si>
    <t>SP</t>
  </si>
  <si>
    <t>SÃO PAULO</t>
  </si>
  <si>
    <t>11 - SALDO DO  EXTRATO BANCÁRIO</t>
  </si>
  <si>
    <t>R$</t>
  </si>
  <si>
    <t>BLOCO 3 – DEMONSTRAÇÃO CONTÁBIL / FINANCEIRA</t>
  </si>
  <si>
    <t>12 - CRÉDITOS NÃO  DEMONSTRADOS NO EXTRATO</t>
  </si>
  <si>
    <t>HISTÓRICO</t>
  </si>
  <si>
    <t>TIPO DESPESA</t>
  </si>
  <si>
    <t>VALOR (R$)</t>
  </si>
  <si>
    <t xml:space="preserve">      </t>
  </si>
  <si>
    <t>BLOCO 5 - AUTENTICAÇÃO</t>
  </si>
  <si>
    <t>Prestação de Contas - Modelo II</t>
  </si>
  <si>
    <t>MODELO V</t>
  </si>
  <si>
    <t>TERMO DE DOAÇÃO</t>
  </si>
  <si>
    <t>Pelo presente instrumento, a Associação de Pais e Mestres da(o)</t>
  </si>
  <si>
    <t>Nº DE</t>
  </si>
  <si>
    <t>DESCRIÇÃO DO(S) BEM(NS)</t>
  </si>
  <si>
    <t xml:space="preserve">NÚMERO DO PROCESSO DE </t>
  </si>
  <si>
    <t>NOTA FISCAL</t>
  </si>
  <si>
    <t xml:space="preserve"> ORDEM</t>
  </si>
  <si>
    <t>INCORPORAÇÃO</t>
  </si>
  <si>
    <t>QTDE.</t>
  </si>
  <si>
    <t xml:space="preserve">          Local e data</t>
  </si>
  <si>
    <t>da Unidade Educacional</t>
  </si>
  <si>
    <t>01-Nº DO CNPJ</t>
  </si>
  <si>
    <t>Complem.:</t>
  </si>
  <si>
    <t>Bairro:</t>
  </si>
  <si>
    <t>Exercício:</t>
  </si>
  <si>
    <t>Unidade:</t>
  </si>
  <si>
    <t>CNPJ:</t>
  </si>
  <si>
    <t>Endereço:</t>
  </si>
  <si>
    <t>Cidade:</t>
  </si>
  <si>
    <t>E-mail:</t>
  </si>
  <si>
    <t>DDD:</t>
  </si>
  <si>
    <t>Município:</t>
  </si>
  <si>
    <t>Cód. Agência:</t>
  </si>
  <si>
    <t>CPF:</t>
  </si>
  <si>
    <t>RG:</t>
  </si>
  <si>
    <t>07 - CÓDIGO DA AGÊNCIA</t>
  </si>
  <si>
    <t>10 - DATA DO EXTRATO BANCÁRIO</t>
  </si>
  <si>
    <t xml:space="preserve">14 - SALDO CONTÁBIL (11+12-13)  </t>
  </si>
  <si>
    <t>Assinatura do Presidente da Diretoria Executiva da APM</t>
  </si>
  <si>
    <t>de</t>
  </si>
  <si>
    <t>13 - DÉBITOS NÃO DEMONSTRADOS NO EXTRATO</t>
  </si>
  <si>
    <t>NÚMERO DO CHEQUE - HISTÓRICO</t>
  </si>
  <si>
    <t>Confirmamos ser o presente Relatório, a expressão da verdade.</t>
  </si>
  <si>
    <t>02 - Nº DO CNPJ</t>
  </si>
  <si>
    <t>04 - TERMO DE COMPROMISSO</t>
  </si>
  <si>
    <t xml:space="preserve">06 - PERÍODO DE REALIZAÇÃO </t>
  </si>
  <si>
    <t xml:space="preserve"> 07 - EXERCÍCIO </t>
  </si>
  <si>
    <t>08 - SALDO PERÍODO ANTERIOR</t>
  </si>
  <si>
    <t>09 - RECEBIMENTO NO PERÍODO</t>
  </si>
  <si>
    <t>10 - RENDIMENTO APLIC. FINANCEIRA</t>
  </si>
  <si>
    <t>BLOCO 5 - ASSINATURA DOS RESPONSÁVEIS POR ESTA PRESTAÇÃO DE CONTAS</t>
  </si>
  <si>
    <t>03 - Nº DO CCM</t>
  </si>
  <si>
    <t>BLOCO 4 - OBSERVAÇÃO</t>
  </si>
  <si>
    <t>11 - VALOR TOTAL ( 8 + 9 +10)</t>
  </si>
  <si>
    <r>
      <t xml:space="preserve">22 -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K</t>
    </r>
  </si>
  <si>
    <t xml:space="preserve">     _____________________________</t>
  </si>
  <si>
    <t>01 - APM</t>
  </si>
  <si>
    <t>Diretoria:</t>
  </si>
  <si>
    <t>05 - DIRETORIA REGIONAL DE EDUCAÇÃO</t>
  </si>
  <si>
    <t>Outros</t>
  </si>
  <si>
    <t>O Que ?</t>
  </si>
  <si>
    <t>Valor ?</t>
  </si>
  <si>
    <t>CHEQUE CANCELADO</t>
  </si>
  <si>
    <t>Cheq. Canc.</t>
  </si>
  <si>
    <t>Cupom Fisc.</t>
  </si>
  <si>
    <t>Recibo</t>
  </si>
  <si>
    <t>Tributos</t>
  </si>
  <si>
    <t>TARIFA BANCÁRIA</t>
  </si>
  <si>
    <t>Custeio</t>
  </si>
  <si>
    <t>Capital</t>
  </si>
  <si>
    <t>De transporte .....................................................................</t>
  </si>
  <si>
    <t>Valor total do(s) cheque(s) pendente(s) de repasses anteriores</t>
  </si>
  <si>
    <t>BENS PATRIMONIAIS</t>
  </si>
  <si>
    <t xml:space="preserve"> Os valores recebidos foram de R$ </t>
  </si>
  <si>
    <t>c</t>
  </si>
  <si>
    <t>reg</t>
  </si>
  <si>
    <t>contr</t>
  </si>
  <si>
    <t>Outros Contratos</t>
  </si>
  <si>
    <t>k</t>
  </si>
  <si>
    <t>Outras Regularidades</t>
  </si>
  <si>
    <r>
      <t>Relação de bens adquiridos ou produzidos (Modelo - III</t>
    </r>
    <r>
      <rPr>
        <sz val="10"/>
        <color indexed="10"/>
        <rFont val="Arial"/>
        <family val="2"/>
      </rPr>
      <t>);</t>
    </r>
  </si>
  <si>
    <t>Termo de Doação (Modelo - V);</t>
  </si>
  <si>
    <t>Nome Agência:</t>
  </si>
  <si>
    <t>Nome da Escola</t>
  </si>
  <si>
    <t>(custeio) ,</t>
  </si>
  <si>
    <t>, totalizando</t>
  </si>
  <si>
    <t xml:space="preserve">(custeio) e </t>
  </si>
  <si>
    <t>(capital).</t>
  </si>
  <si>
    <t>Cópia do DAMSP - Devolução ao Tesouro Municipal;</t>
  </si>
  <si>
    <t>A</t>
  </si>
  <si>
    <t>Nº</t>
  </si>
  <si>
    <t>DESC.</t>
  </si>
  <si>
    <t>Nº PROC.</t>
  </si>
  <si>
    <t>QUANT.</t>
  </si>
  <si>
    <t>TIPO
CRÉDITO</t>
  </si>
  <si>
    <t>total</t>
  </si>
  <si>
    <t>Transportar.......................................................................</t>
  </si>
  <si>
    <t>CHEQUE</t>
  </si>
  <si>
    <t>ORDEM</t>
  </si>
  <si>
    <t>total itens mod. 3A</t>
  </si>
  <si>
    <t>total pag. Mod 3A</t>
  </si>
  <si>
    <t>total por pág. Custeio</t>
  </si>
  <si>
    <t>total por pág. Capital</t>
  </si>
  <si>
    <t>total por pág. Mod. 3A</t>
  </si>
  <si>
    <t>Data:</t>
  </si>
  <si>
    <t>Status:</t>
  </si>
  <si>
    <t xml:space="preserve">realizou-se a reunião </t>
  </si>
  <si>
    <t>com os membros da Diretoria Executiva e Conselho Fiscal e demais participantes.</t>
  </si>
  <si>
    <t>, do Banco do Brasil, Agência nº</t>
  </si>
  <si>
    <t xml:space="preserve">, do Banco do Brasil, agência nº </t>
  </si>
  <si>
    <t>Após a análise dos documentos apresentados referentes à aplicação de recursos do Programa de Transferência de</t>
  </si>
  <si>
    <t xml:space="preserve">Recursos Financeiros – PTRF, período de </t>
  </si>
  <si>
    <t>o Conselho Fiscal</t>
  </si>
  <si>
    <t>confirma a exatidão dos documentos julgando-os em ordem e em condições de serem aprovados.</t>
  </si>
  <si>
    <t>DIRETORIA EXECUTIVA</t>
  </si>
  <si>
    <t xml:space="preserve"> Esgotados os assuntos o(a) Presidente da Diretoria Executiva, Sr(a) </t>
  </si>
  <si>
    <t xml:space="preserve"> Parecer Favorável à aprovação da referida Prestação de Contas.</t>
  </si>
  <si>
    <t>R$:</t>
  </si>
  <si>
    <t>PRESIDENTE DA DIRETORIA EXECUTIVA</t>
  </si>
  <si>
    <t>LISTA DE PRESENÇA</t>
  </si>
  <si>
    <t>ASSINATURA</t>
  </si>
  <si>
    <t>VICE-PRESIDENTE DA DIRETORIA EXECUTIVA</t>
  </si>
  <si>
    <t>SECRETÁRIO</t>
  </si>
  <si>
    <t>CONSELHO FISCAL</t>
  </si>
  <si>
    <t>DEMAIS PRESENTES</t>
  </si>
  <si>
    <t>●</t>
  </si>
  <si>
    <t>ma de Transferência de Recursos Financeiros (PTRF) e demais normas pertinentes à matéria, a doação do(s)  bem(ns),  conforme  discriminado(s)  abaixo,  adquirido(s)  ou</t>
  </si>
  <si>
    <t>produzido(s) com recursos do referido Programa à PMSP / Secretaria Municipal de Educação para que seja(m) incorporado(s) ao patrimônio público e destinado(s) à  Unida-</t>
  </si>
  <si>
    <t>de Educacional acima identificada, à qual cabe a responsabilidade pela guarda e conservação do(s) mesmo(s).</t>
  </si>
  <si>
    <t>SSP-SP</t>
  </si>
  <si>
    <t>ÍTEM</t>
  </si>
  <si>
    <t>DOCUMENTO</t>
  </si>
  <si>
    <t>PAGAMENTO</t>
  </si>
  <si>
    <t>.</t>
  </si>
  <si>
    <r>
      <t xml:space="preserve"> (capital)</t>
    </r>
    <r>
      <rPr>
        <b/>
        <sz val="10"/>
        <color indexed="10"/>
        <rFont val="Arial"/>
        <family val="2"/>
      </rPr>
      <t xml:space="preserve"> </t>
    </r>
    <r>
      <rPr>
        <sz val="10"/>
        <color indexed="63"/>
        <rFont val="Arial"/>
        <family val="2"/>
      </rPr>
      <t xml:space="preserve">e R$ </t>
    </r>
  </si>
  <si>
    <t>Estamos encaminhando à  Diretoria Regional de Educação, o Relatório de Prestação de Contas do Termo de Compromisso acima identificado.</t>
  </si>
  <si>
    <t>04 - DIRETORIA REGIONAL DE EDUCAÇÃO</t>
  </si>
  <si>
    <t>04 -  DIRETORIA REGIONAL DE EDUCAÇÃO</t>
  </si>
  <si>
    <t>17 - CNPJ  OU  CPF</t>
  </si>
  <si>
    <t xml:space="preserve">18 - ESPECIFICAÇÃO DO MATERIAL OU SERVIÇO </t>
  </si>
  <si>
    <t>19 - DOCUMENTO</t>
  </si>
  <si>
    <t>20 - PAGAMENTO</t>
  </si>
  <si>
    <t xml:space="preserve">23 - TOTAL </t>
  </si>
  <si>
    <t>Prestação de Contas - Modelo IV</t>
  </si>
  <si>
    <t>CONCILIAÇÃO BANCÁRIA</t>
  </si>
  <si>
    <t>02 - N.º DO CNPJ</t>
  </si>
  <si>
    <t>05 - EXERCÍCIO</t>
  </si>
  <si>
    <t>BLOCO 2 – IDENTIFICAÇÃO BANCÁRIA E SALDO</t>
  </si>
  <si>
    <t>06 - BANCO</t>
  </si>
  <si>
    <t>08 - Nº DA  CONTA CORRENTE</t>
  </si>
  <si>
    <t>09 - PERÍODO DE REALIZAÇÃO</t>
  </si>
  <si>
    <t xml:space="preserve">Período: </t>
  </si>
  <si>
    <t xml:space="preserve">Termo de Compromisso: </t>
  </si>
  <si>
    <t xml:space="preserve">Capital ( K ): </t>
  </si>
  <si>
    <t xml:space="preserve">Nº DO CCM: </t>
  </si>
  <si>
    <t xml:space="preserve">U.F.: </t>
  </si>
  <si>
    <t xml:space="preserve">CEP: </t>
  </si>
  <si>
    <t xml:space="preserve">Fone: </t>
  </si>
  <si>
    <t xml:space="preserve">Fax: </t>
  </si>
  <si>
    <t xml:space="preserve">Caixa Postal: </t>
  </si>
  <si>
    <t xml:space="preserve">Município: </t>
  </si>
  <si>
    <t xml:space="preserve">Nº da Conta: </t>
  </si>
  <si>
    <t xml:space="preserve">Emissão: </t>
  </si>
  <si>
    <t xml:space="preserve">Orgão Expedidor: </t>
  </si>
  <si>
    <t>Demonstrativo da Execução da Receita e da Despesa e de Pagamento Efetuados</t>
  </si>
  <si>
    <t>BLOCO 1 - IDENTIFICAÇÃO DA APM  DA ESCOLA</t>
  </si>
  <si>
    <t>BLOCO 2 - SÍNTESE DA RECEITA E DA DESPESA (R$)</t>
  </si>
  <si>
    <t xml:space="preserve"> </t>
  </si>
  <si>
    <t>TIPO</t>
  </si>
  <si>
    <t>DATA</t>
  </si>
  <si>
    <t>N.º CHEQUE/OB</t>
  </si>
  <si>
    <t>(R$)</t>
  </si>
  <si>
    <t>Nome Legível do Presidente da Diretoria Executiva da APM</t>
  </si>
  <si>
    <t>Legenda: C - CUSTEIO / K - CAPITAL</t>
  </si>
  <si>
    <t>Nome do Presidente da Diretoria Executiva da APM</t>
  </si>
  <si>
    <t>13 - SALDO REPROGRAMADO</t>
  </si>
  <si>
    <t>12 - DESPESA REALIZADA</t>
  </si>
  <si>
    <t>BLOCO 3 - PAGAMENTOS EFETUADOS</t>
  </si>
  <si>
    <t>16 - NOME DO FAVORECIDO</t>
  </si>
  <si>
    <t>a</t>
  </si>
  <si>
    <t>K</t>
  </si>
  <si>
    <t>C</t>
  </si>
  <si>
    <r>
      <t xml:space="preserve">21 -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C</t>
    </r>
  </si>
  <si>
    <r>
      <t xml:space="preserve">14 - TOTAL REPROGRAMADO </t>
    </r>
    <r>
      <rPr>
        <b/>
        <sz val="6"/>
        <rFont val="Arial"/>
        <family val="2"/>
      </rPr>
      <t>( C + K )</t>
    </r>
  </si>
  <si>
    <t>24 - AUTENTICAÇÃO</t>
  </si>
  <si>
    <t>PREFEITURA DO MUNICÍPIO DE SÃO PAULO</t>
  </si>
  <si>
    <t>MODELO I</t>
  </si>
  <si>
    <t>SECRETARIA MUNICIPAL DE EDUCAÇÃO</t>
  </si>
  <si>
    <t>Cadastro da APM e do Dirigente</t>
  </si>
  <si>
    <t>PROGRAMA DE TRANSFERÊNCIA DE RECURSOS FINANCEIROS - PTRF</t>
  </si>
  <si>
    <t>BLOCO 1 - DADOS DA ASSOCIAÇÃO DE PAIS E MESTRES - APM</t>
  </si>
  <si>
    <t>02-Nº DO CCM</t>
  </si>
  <si>
    <t>03-NOME (de acordo com o cartão do CNPJ)</t>
  </si>
  <si>
    <t>04-ENDEREÇO (Rua, Avenida ou Praça e Nº)</t>
  </si>
  <si>
    <t>FAVORECIDO</t>
  </si>
  <si>
    <t>TOTAL DE PÁGINAS</t>
  </si>
  <si>
    <t>05-COMPLEMENTO (Andar, Sala, etc.)</t>
  </si>
  <si>
    <t>06-BAIRRO/DISTRITO</t>
  </si>
  <si>
    <t>07-UF</t>
  </si>
  <si>
    <t>08-MUNICÍPIO</t>
  </si>
  <si>
    <t>09-CEP</t>
  </si>
  <si>
    <t>10-CAIXA POSTAL</t>
  </si>
  <si>
    <t>11-DDD</t>
  </si>
  <si>
    <t>12-TELEFONE</t>
  </si>
  <si>
    <t>13-FAX</t>
  </si>
  <si>
    <t>14-E-MAIL</t>
  </si>
  <si>
    <t>BLOCO 2 - DADOS BANCÁRIOS</t>
  </si>
  <si>
    <t>15-CÓDIGO DO BANCO</t>
  </si>
  <si>
    <t>16-NOME DO BANCO</t>
  </si>
  <si>
    <t>17-UF</t>
  </si>
  <si>
    <t>18-MUNICÍPIO DA AGÊNCIA</t>
  </si>
  <si>
    <t>19-CÓD AGÊNCIA/DV</t>
  </si>
  <si>
    <t>20-NOME DA AGÊNCIA</t>
  </si>
  <si>
    <t>21-Nº DA CONTA CORRENTE/DV (PTRF)</t>
  </si>
  <si>
    <t>BLOCO 3 - DADOS DO (A) DIRIGENTE (PRESIDENTE DA DIRETORIA EXECUTIVA DA APM)</t>
  </si>
  <si>
    <t>22-CPF</t>
  </si>
  <si>
    <t>23-NOME</t>
  </si>
  <si>
    <t>NÚMERO</t>
  </si>
  <si>
    <t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</si>
  <si>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37-ÓRGÃO EXPEDIDOR/UF</t>
  </si>
  <si>
    <t>15
- ÍTEM</t>
  </si>
  <si>
    <t>CUSTEIO</t>
  </si>
  <si>
    <t>CAPITAL</t>
  </si>
  <si>
    <t>15 - TOTAL</t>
  </si>
  <si>
    <t>APM da(o)</t>
  </si>
  <si>
    <t>Nº:</t>
  </si>
  <si>
    <t>Saldo de:</t>
  </si>
  <si>
    <t xml:space="preserve"> e relacionadas a seguir: </t>
  </si>
  <si>
    <t>VALOR MOD 4</t>
  </si>
  <si>
    <t>Dados do Presidente da Diretoria Executiva</t>
  </si>
  <si>
    <t>Reunião:</t>
  </si>
  <si>
    <t>Dia:</t>
  </si>
  <si>
    <t>Mês:</t>
  </si>
  <si>
    <t>Local:</t>
  </si>
  <si>
    <t>Ano:</t>
  </si>
  <si>
    <t xml:space="preserve"> de </t>
  </si>
  <si>
    <t xml:space="preserve">São Paulo, </t>
  </si>
  <si>
    <t>Ofício n°:</t>
  </si>
  <si>
    <t>Prestação de Contas do Programa de Transferência de Recursos Financeiros</t>
  </si>
  <si>
    <t>PTRF</t>
  </si>
  <si>
    <t>Sr.(a) Diretor(a) Regional</t>
  </si>
  <si>
    <t>Aquisição Permanente</t>
  </si>
  <si>
    <t>Aquisição Consumo</t>
  </si>
  <si>
    <t>Contratação de Serviço</t>
  </si>
  <si>
    <t>Regularidades</t>
  </si>
  <si>
    <t>Atividades Educacionais</t>
  </si>
  <si>
    <t>Alunos</t>
  </si>
  <si>
    <t>APLICAÇÃO DE RECURSOS</t>
  </si>
  <si>
    <t>Nº PROCESSO INCORPORAÇÃO</t>
  </si>
  <si>
    <t>QUANTIDADE</t>
  </si>
  <si>
    <t>VALOR UNITÁRIO</t>
  </si>
  <si>
    <t>Diretor(a) Regional de Educação</t>
  </si>
  <si>
    <t xml:space="preserve">, inscrita no CNPJ nº </t>
  </si>
  <si>
    <t>-</t>
  </si>
  <si>
    <t>/</t>
  </si>
  <si>
    <t>0</t>
  </si>
  <si>
    <t>modelo 3</t>
  </si>
  <si>
    <t>ESPECIFICAÇÃO DO MATERIAL OU SERVIÇO</t>
  </si>
  <si>
    <t xml:space="preserve"> do PTRF, conforme disposto no item 6, Anexo I, da Portaria SME nº 4.554/08.</t>
  </si>
  <si>
    <t xml:space="preserve"> - </t>
  </si>
  <si>
    <t>Ordem</t>
  </si>
  <si>
    <t>EOL</t>
  </si>
  <si>
    <t>Unidade Educacional</t>
  </si>
  <si>
    <t>Tipo</t>
  </si>
  <si>
    <t>Nome APM</t>
  </si>
  <si>
    <t>DRE</t>
  </si>
  <si>
    <t>Email da U.E.</t>
  </si>
  <si>
    <t>Data da Inscrição</t>
  </si>
  <si>
    <t>CCM</t>
  </si>
  <si>
    <t xml:space="preserve">Endereço </t>
  </si>
  <si>
    <t>Numero</t>
  </si>
  <si>
    <t>Bairro</t>
  </si>
  <si>
    <t xml:space="preserve">CEP </t>
  </si>
  <si>
    <t>Fone</t>
  </si>
  <si>
    <t>Nº Processo</t>
  </si>
  <si>
    <t>Termo Compr.</t>
  </si>
  <si>
    <t>Lavratura</t>
  </si>
  <si>
    <t>Nº Alunos</t>
  </si>
  <si>
    <t>Per capita</t>
  </si>
  <si>
    <t>Valor Var.</t>
  </si>
  <si>
    <t>Valor Fixo</t>
  </si>
  <si>
    <t>Valor Total</t>
  </si>
  <si>
    <t>% Custeio</t>
  </si>
  <si>
    <t>R$ Custeio</t>
  </si>
  <si>
    <t>Confirma ?</t>
  </si>
  <si>
    <t>R$ Final Custeio</t>
  </si>
  <si>
    <t>% Capital</t>
  </si>
  <si>
    <t>R$ Capital</t>
  </si>
  <si>
    <t>R$ Final Capital</t>
  </si>
  <si>
    <t>Rep. Custeio</t>
  </si>
  <si>
    <t>Rep. Capital</t>
  </si>
  <si>
    <t>Agência</t>
  </si>
  <si>
    <t>Nome da Agência</t>
  </si>
  <si>
    <t>Nº da Conta</t>
  </si>
  <si>
    <t>Presidente da D.E.</t>
  </si>
  <si>
    <t>Email do Presidente da D.E.</t>
  </si>
  <si>
    <t>Presidente do Conselho</t>
  </si>
  <si>
    <t>ESCOLA</t>
  </si>
  <si>
    <t>SÓ PARA CONFERÊNCIA</t>
  </si>
  <si>
    <t>LIBERAÇÃO</t>
  </si>
  <si>
    <t>AJUSTE</t>
  </si>
  <si>
    <t>U.E. ATEND</t>
  </si>
  <si>
    <t>REPASSE</t>
  </si>
  <si>
    <t>ANO</t>
  </si>
  <si>
    <t>DE</t>
  </si>
  <si>
    <t>ATE</t>
  </si>
  <si>
    <t>CONFIRMOU</t>
  </si>
  <si>
    <t xml:space="preserve">1º Repasse de </t>
  </si>
  <si>
    <t xml:space="preserve">2º Repasse de </t>
  </si>
  <si>
    <t xml:space="preserve">3º Repasse de </t>
  </si>
  <si>
    <t>ERRO</t>
  </si>
  <si>
    <t>00</t>
  </si>
  <si>
    <t>, requer pagamento</t>
  </si>
  <si>
    <t xml:space="preserve"> correspondente ao </t>
  </si>
  <si>
    <t>Páginas</t>
  </si>
  <si>
    <t>Invasão Custeio</t>
  </si>
  <si>
    <t>Invasão Capital</t>
  </si>
  <si>
    <t>C ou K ?</t>
  </si>
  <si>
    <t>Você está ciente da "Invasão de Dotação" em Custeio ?</t>
  </si>
  <si>
    <t>Você está ciente da "Invasão de Dotação" em Capital ?</t>
  </si>
  <si>
    <t>Você está ciente das "Invasões de Dotação" em Custeio ?</t>
  </si>
  <si>
    <t>Você está ciente das "Invasões de Dotação" em Capital ?</t>
  </si>
  <si>
    <t>Você está ciente das "Invasões de Dotação" em Custeio e Capital ?</t>
  </si>
  <si>
    <t>quantas aplicações de recursos</t>
  </si>
  <si>
    <t>quantos materiais especificados</t>
  </si>
  <si>
    <t>quantos itens</t>
  </si>
  <si>
    <t>Vazios</t>
  </si>
  <si>
    <t>Total</t>
  </si>
  <si>
    <t>itens</t>
  </si>
  <si>
    <t>Estorno - Custeio</t>
  </si>
  <si>
    <t>Estorno - Capital</t>
  </si>
  <si>
    <t xml:space="preserve">Houve devolução ao Tesouro de </t>
  </si>
  <si>
    <t>Cheque Cancelado</t>
  </si>
  <si>
    <t>essa f´rmula era na celula BN18</t>
  </si>
  <si>
    <t>SE($BN$16=12;BO17;SE($BN$16=13;BO18;SE($BN$16=14;BO19;"")))</t>
  </si>
  <si>
    <t>Fatura de Serviço</t>
  </si>
  <si>
    <t xml:space="preserve">Invasão dentro do Período em: </t>
  </si>
  <si>
    <t>Custeio e Capital</t>
  </si>
  <si>
    <t>Cópia da Ata de reunião da APMSUAC contendo o plano de aplicação dos recursos transferidos;</t>
  </si>
  <si>
    <t>APM</t>
  </si>
  <si>
    <t>APMSUAC</t>
  </si>
  <si>
    <t>Ata da reunião</t>
  </si>
  <si>
    <t xml:space="preserve">REUNIÃO DE PRESTAÇÃO DE CONTAS DA </t>
  </si>
  <si>
    <t xml:space="preserve">PARECER DO CONSELHO FISCAL DA </t>
  </si>
  <si>
    <t xml:space="preserve">ATA DE PRESTAÇÃO DE CONTAS DA </t>
  </si>
  <si>
    <t xml:space="preserve">ASSOCIAÇÃO DE PAIS E MESTRES </t>
  </si>
  <si>
    <t>BLOCO 1 - DADOS DA ASSOCIAÇÃO DE PAIS, MESTRES, SERVIDORES, USUÁRIOS E AMIGOS DO CEU - APMSUAC</t>
  </si>
  <si>
    <t>BLOCO 3 - DADOS DO (A) DIRIGENTE (PRESIDENTE DA DIRETORIA EXECUTIVA DA APMSUAC)</t>
  </si>
  <si>
    <t>A Associação de Pais, Mestres, Servidores, Usuários e Amigos do Centro Educacional Unificado (APMSUAC)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</si>
  <si>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39-NOME E ASSINATURA DO PRESIDENTE DA DIRETORIA EXECUTIVA DA APMSUAC</t>
  </si>
  <si>
    <t>Cadastro da APMSUAC e do Dirigente</t>
  </si>
  <si>
    <t xml:space="preserve">Nome do Presidente da Diretoria Executiva da </t>
  </si>
  <si>
    <t xml:space="preserve">Nome do Presidente do Conselho Fiscal da </t>
  </si>
  <si>
    <t xml:space="preserve">Assinatura do Presidente da Diretoria Executiva da </t>
  </si>
  <si>
    <t xml:space="preserve">Assinatura do Presidente do Conselho Fiscal da </t>
  </si>
  <si>
    <t xml:space="preserve">Presidente da Diretoria Executiva da </t>
  </si>
  <si>
    <t xml:space="preserve">Pelo presente instrumento, a </t>
  </si>
  <si>
    <t xml:space="preserve">Associação de Pais e Mestres da(o) </t>
  </si>
  <si>
    <t xml:space="preserve">Associação de Pais , Mestres, Servidores, Usuários e Amigos do Centro Educacional Unificado da(o) </t>
  </si>
  <si>
    <t xml:space="preserve">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t>
  </si>
  <si>
    <t xml:space="preserve">Presidente do Conselho Fiscal da </t>
  </si>
  <si>
    <t>Cópia da Ata de reunião da APM contendo o plano de aplicação dos recursos transferidos;</t>
  </si>
  <si>
    <t xml:space="preserve">ASSOCIAÇÃO DE PAIS, MESTRES, SERVIDORES, USUÁRIOS E AMIGOS DO CENTRO EDUCACIONAL UNIFICADO </t>
  </si>
  <si>
    <t>APMSUAC:</t>
  </si>
  <si>
    <t xml:space="preserve">Informo que os recursos liberados para a Associação de Pais, Mestres, Servidores, Usuários e Amigos do CEU </t>
  </si>
  <si>
    <t xml:space="preserve">, da Unidade Educacional </t>
  </si>
  <si>
    <t>CPF Inválido</t>
  </si>
  <si>
    <t>CPF Válido</t>
  </si>
  <si>
    <t>CNPJ Inválido</t>
  </si>
  <si>
    <t>CNPJ Válido</t>
  </si>
  <si>
    <t xml:space="preserve"> informados de Capital a serem utilizados com Custeio, </t>
  </si>
  <si>
    <t xml:space="preserve">De acordo com a Portaria SME 7850, dos </t>
  </si>
  <si>
    <t xml:space="preserve">você utilizou </t>
  </si>
  <si>
    <t xml:space="preserve">, portanto ultrapassou </t>
  </si>
  <si>
    <t xml:space="preserve">Informamos que os </t>
  </si>
  <si>
    <t xml:space="preserve"> retornaram ao saldo de Capital.</t>
  </si>
  <si>
    <t>devolver</t>
  </si>
  <si>
    <t xml:space="preserve">, portanto restam </t>
  </si>
  <si>
    <t>, portanto atingiu seu objetivo.</t>
  </si>
  <si>
    <t>**  As despesas de Custeio com verba de Capital ultrapassou o solicitado. Favor corrigir.</t>
  </si>
  <si>
    <t xml:space="preserve">Portaria SME 7850 de </t>
  </si>
  <si>
    <t>OK</t>
  </si>
  <si>
    <t>Devolução</t>
  </si>
  <si>
    <t>Portaria SME 7805</t>
  </si>
  <si>
    <t>Excedeu portaria SME 7805</t>
  </si>
  <si>
    <t xml:space="preserve"> para você utilizar.</t>
  </si>
  <si>
    <t>Corrija ou mantenha como Invasão</t>
  </si>
  <si>
    <t xml:space="preserve">LEGENDA </t>
  </si>
  <si>
    <t>Não Utilizou</t>
  </si>
  <si>
    <t>Corrigir</t>
  </si>
  <si>
    <t>Saldo</t>
  </si>
  <si>
    <t>Senhor (a)</t>
  </si>
  <si>
    <t>Invasão de Dotação em Custeio</t>
  </si>
  <si>
    <t>Invasão de Dotação em Capital</t>
  </si>
  <si>
    <t>N.º CHEQUE</t>
  </si>
  <si>
    <t>REPASSES</t>
  </si>
  <si>
    <t xml:space="preserve">4º Repasse de </t>
  </si>
  <si>
    <t>Apague o conteúdo da direita &gt;&gt;&gt;&gt;&gt;&gt;</t>
  </si>
  <si>
    <t>TESOUREIRO</t>
  </si>
  <si>
    <t>Sr(a)</t>
  </si>
  <si>
    <t>SÃO MATEUS</t>
  </si>
  <si>
    <t>NÃO</t>
  </si>
  <si>
    <t>U.E.</t>
  </si>
  <si>
    <t>SIM</t>
  </si>
  <si>
    <t>EMEF</t>
  </si>
  <si>
    <t>ITAQUERA</t>
  </si>
  <si>
    <t>BUTANTÃ</t>
  </si>
  <si>
    <t>CAMPO LIMPO</t>
  </si>
  <si>
    <t>CAPELA DO SOCORRO</t>
  </si>
  <si>
    <t>FREGUESIA / BRASILÂNDIA</t>
  </si>
  <si>
    <t>GUAIANASES</t>
  </si>
  <si>
    <t>IPIRANGA</t>
  </si>
  <si>
    <t>JAÇANÃ / TREMEMBÉ</t>
  </si>
  <si>
    <t>SÃO MIGUEL</t>
  </si>
  <si>
    <t>PENHA</t>
  </si>
  <si>
    <t>PIRITUBA</t>
  </si>
  <si>
    <t>SANTO AMARO</t>
  </si>
  <si>
    <t>/DRE-BT/</t>
  </si>
  <si>
    <t>/DRE-CL/</t>
  </si>
  <si>
    <t>/DRE-CS/</t>
  </si>
  <si>
    <t>/DRE-FO/</t>
  </si>
  <si>
    <t>/DRE-G/</t>
  </si>
  <si>
    <t>/DRE-IP/</t>
  </si>
  <si>
    <t>/DRE-IQ/</t>
  </si>
  <si>
    <t>/DRE-JT/</t>
  </si>
  <si>
    <t>/DRE-MP/</t>
  </si>
  <si>
    <t>/DRE-PE/</t>
  </si>
  <si>
    <t>/DRE-PJ/</t>
  </si>
  <si>
    <t>/DRE-SA/</t>
  </si>
  <si>
    <t>/DRE-SM/</t>
  </si>
  <si>
    <t>Planilha Opção de %</t>
  </si>
  <si>
    <t>CPF</t>
  </si>
  <si>
    <t>CNPJ</t>
  </si>
  <si>
    <t>Assessoria Contábil</t>
  </si>
  <si>
    <t>Saldo Bancário Incorreto</t>
  </si>
  <si>
    <t>Saldo Bancário Correto</t>
  </si>
  <si>
    <t>CUSTEIO NEM CAPITAL PODEM FICAR NEGATIVO</t>
  </si>
  <si>
    <t>Saldo de Custeio NÃO PODE FICAR NEGATIVO</t>
  </si>
  <si>
    <t>Saldo de Capital NÃO PODE FICAR NEGATIVO</t>
  </si>
  <si>
    <t>Planilha Dados</t>
  </si>
  <si>
    <t>Planilha Despesas</t>
  </si>
  <si>
    <t>Nome do Favorecido</t>
  </si>
  <si>
    <t>Aplicação Recursos</t>
  </si>
  <si>
    <t>Discriminação</t>
  </si>
  <si>
    <t>Tipo de Documento</t>
  </si>
  <si>
    <t>Cheques Cancelados</t>
  </si>
  <si>
    <t>Valor em ' C ' ou ' K '</t>
  </si>
  <si>
    <t>CPF - Inválido</t>
  </si>
  <si>
    <t>CNPJ - Inválido</t>
  </si>
  <si>
    <t>CPF - Válido</t>
  </si>
  <si>
    <t>CNPJ - Válido</t>
  </si>
  <si>
    <t>Invasão Dotação Custeio</t>
  </si>
  <si>
    <t>Invasão Dotação Capital</t>
  </si>
  <si>
    <t>A Quem ? - CPF Inválido</t>
  </si>
  <si>
    <t>C ou K ? - CPF Inválido</t>
  </si>
  <si>
    <t>O Que ? - CPF Inválido</t>
  </si>
  <si>
    <t>Tipo ? - CPF Inválido</t>
  </si>
  <si>
    <t>Cheq. Canc. - CPF Inválido</t>
  </si>
  <si>
    <t>Valor ? - CPF Inválido</t>
  </si>
  <si>
    <t>A Quem ? - CNPJ Inválido</t>
  </si>
  <si>
    <t>C ou K ? - CNPJ Inválido</t>
  </si>
  <si>
    <t>O Que ? - CNPJ Inválido</t>
  </si>
  <si>
    <t>Tipo ? - CNPJ Inválido</t>
  </si>
  <si>
    <t>Cheq. Canc. - CNPJ Inválido</t>
  </si>
  <si>
    <t>Valor ? - CNPJ Inválido</t>
  </si>
  <si>
    <t>Invasão de Dotação</t>
  </si>
  <si>
    <t>Nome do Favorecido ?</t>
  </si>
  <si>
    <t>Tipo de Documento?</t>
  </si>
  <si>
    <t>CNPJ ou CPF ?</t>
  </si>
  <si>
    <t>Cheque Compensado ?</t>
  </si>
  <si>
    <t>Cust. E Cap.</t>
  </si>
  <si>
    <t>C  e  K</t>
  </si>
  <si>
    <t>Digite o motivo da devolução &gt;&gt;&gt;&gt;&gt;&gt;</t>
  </si>
  <si>
    <t>AMBOS</t>
  </si>
  <si>
    <t>EMEF - ALIPIO CORREA NETO, PROF.</t>
  </si>
  <si>
    <t>EMEF PROF. ALÍPIO CORREA NETO</t>
  </si>
  <si>
    <t>emefacneto@prefeitura.sp.gov.br</t>
  </si>
  <si>
    <t>AV. JOÃO CAIAFFA</t>
  </si>
  <si>
    <t>JARDIM TABOÃO</t>
  </si>
  <si>
    <t>3039-2</t>
  </si>
  <si>
    <t>PORTAL DO MORUMBI</t>
  </si>
  <si>
    <t>11.276-3</t>
  </si>
  <si>
    <t>ALIPIO CORREA NETO, PROF.</t>
  </si>
  <si>
    <t>quantos repasses:</t>
  </si>
  <si>
    <t>Falta Saldo Bancário</t>
  </si>
  <si>
    <t>Recebeu</t>
  </si>
  <si>
    <t>Volta às Aulas</t>
  </si>
  <si>
    <t>Volta às Aulas -</t>
  </si>
  <si>
    <t>Prestação de Contas - Volta às Aulas</t>
  </si>
  <si>
    <t>STATUS</t>
  </si>
  <si>
    <r>
      <rPr>
        <b/>
        <sz val="11"/>
        <color rgb="FF0000FF"/>
        <rFont val="Arial"/>
        <family val="2"/>
      </rPr>
      <t>CPF</t>
    </r>
    <r>
      <rPr>
        <b/>
        <sz val="11"/>
        <rFont val="Arial"/>
        <family val="2"/>
      </rPr>
      <t xml:space="preserve"> </t>
    </r>
    <r>
      <rPr>
        <b/>
        <sz val="11"/>
        <color rgb="FFFF0000"/>
        <rFont val="Arial"/>
        <family val="2"/>
      </rPr>
      <t>CNPJ</t>
    </r>
  </si>
  <si>
    <t>A Quem ?</t>
  </si>
  <si>
    <t>Tipo ?</t>
  </si>
  <si>
    <t>para custeio.</t>
  </si>
  <si>
    <t>É BEM ?</t>
  </si>
  <si>
    <t xml:space="preserve">1 - </t>
  </si>
  <si>
    <t>A.</t>
  </si>
  <si>
    <t>B.</t>
  </si>
  <si>
    <t>C.</t>
  </si>
  <si>
    <t xml:space="preserve">2 - </t>
  </si>
  <si>
    <r>
      <t xml:space="preserve">CPF  </t>
    </r>
    <r>
      <rPr>
        <u/>
        <sz val="11"/>
        <rFont val="Calibri"/>
        <family val="2"/>
      </rPr>
      <t xml:space="preserve">ou </t>
    </r>
    <r>
      <rPr>
        <b/>
        <i/>
        <u/>
        <sz val="11"/>
        <rFont val="Calibri"/>
        <family val="2"/>
      </rPr>
      <t xml:space="preserve"> CNPJ</t>
    </r>
  </si>
  <si>
    <r>
      <t>NÚMERO (</t>
    </r>
    <r>
      <rPr>
        <i/>
        <u/>
        <sz val="11"/>
        <rFont val="Calibri"/>
        <family val="2"/>
      </rPr>
      <t>do</t>
    </r>
    <r>
      <rPr>
        <b/>
        <i/>
        <u/>
        <sz val="11"/>
        <rFont val="Calibri"/>
        <family val="2"/>
      </rPr>
      <t xml:space="preserve"> CPF </t>
    </r>
    <r>
      <rPr>
        <i/>
        <u/>
        <sz val="11"/>
        <rFont val="Calibri"/>
        <family val="2"/>
      </rPr>
      <t>ou</t>
    </r>
    <r>
      <rPr>
        <b/>
        <i/>
        <u/>
        <sz val="11"/>
        <rFont val="Calibri"/>
        <family val="2"/>
      </rPr>
      <t xml:space="preserve"> CNPJ)</t>
    </r>
  </si>
  <si>
    <t>BOTÃO MENU</t>
  </si>
  <si>
    <t>Utilizado para voltar ao Menu principal</t>
  </si>
  <si>
    <t>As dotações (Custeio ou Capital) serão exibidas automaticamente.</t>
  </si>
  <si>
    <t>Selecione o tipo de aquisição.</t>
  </si>
  <si>
    <t>Discriminar os materiais ou serviços adquiridos.</t>
  </si>
  <si>
    <t>DOCUMENTO E PAGAMENTO</t>
  </si>
  <si>
    <t>Nº CHEQUE</t>
  </si>
  <si>
    <t>CUSTEIO/CAPITAL</t>
  </si>
  <si>
    <t>Digitar o valor da despesa na coluna “custeio” ou “capital”, de acordo com a dotação utilizada.</t>
  </si>
  <si>
    <t>CHEQUE COMPENSADO</t>
  </si>
  <si>
    <t>Essa opção só estará habilitada quando houver um número de cheque digitado na coluna “Pagamento/Nº do Cheque”.</t>
  </si>
  <si>
    <t>D.</t>
  </si>
  <si>
    <t>Digitar a quantidade, conforme a nota fiscal.</t>
  </si>
  <si>
    <t>Digitar o valor unitário do bem, conforme a nota fiscal.</t>
  </si>
  <si>
    <t>Indica um campo obrigatório que não esteja corretamente preenchido, ( o quê?, a quem?, etc.).</t>
  </si>
  <si>
    <t>Caso contrário haverá um erro, deve ser corrigido.</t>
  </si>
  <si>
    <t xml:space="preserve">3 - </t>
  </si>
  <si>
    <t xml:space="preserve">4 - </t>
  </si>
  <si>
    <t xml:space="preserve">5 - </t>
  </si>
  <si>
    <t xml:space="preserve">6 - </t>
  </si>
  <si>
    <t>Os Bens adquiridos serão importados da planilha Despesas.</t>
  </si>
  <si>
    <t xml:space="preserve">7 - </t>
  </si>
  <si>
    <t xml:space="preserve">8 - </t>
  </si>
  <si>
    <t xml:space="preserve">9 - </t>
  </si>
  <si>
    <t xml:space="preserve">10 - </t>
  </si>
  <si>
    <t>Exemplo, aumentar altura da linha 34</t>
  </si>
  <si>
    <t>Preencher a data do ofício</t>
  </si>
  <si>
    <t>Preencher o número do ofício</t>
  </si>
  <si>
    <t xml:space="preserve">13 - </t>
  </si>
  <si>
    <t>Célula J2 e M2 – Intervalo de páginas a serem impressas</t>
  </si>
  <si>
    <t>Célula Q2 – Página atual a ser impressa</t>
  </si>
  <si>
    <t>Preencher na célula H39, se houver observação</t>
  </si>
  <si>
    <t>VOGAL</t>
  </si>
  <si>
    <t>CONSELHEIRO</t>
  </si>
  <si>
    <t>NFS-e</t>
  </si>
  <si>
    <t>Danfe</t>
  </si>
  <si>
    <t>Extrato</t>
  </si>
  <si>
    <t>UNID</t>
  </si>
  <si>
    <t>Bem Produzido</t>
  </si>
  <si>
    <t>Reprog. Volta às Aulas -</t>
  </si>
  <si>
    <t>Portaria nº 8.487, de 14 de dezembro de 2018.</t>
  </si>
  <si>
    <t>Informo os recursos liberados para a Associação de Pais e Mestres</t>
  </si>
  <si>
    <t>:</t>
  </si>
  <si>
    <t xml:space="preserve"> e dos recursos extraordinários - Voltas às Aulas, Portaria nº 8.487 de 14 de dezembro de 2018.</t>
  </si>
  <si>
    <t>para capital, para o período de</t>
  </si>
  <si>
    <t>realização de despesas compreendido entre</t>
  </si>
  <si>
    <t>, acrescidos  dos  valores  reprogramados  do</t>
  </si>
  <si>
    <t>(poupança)</t>
  </si>
  <si>
    <t>Recursos Extraordinários - Volta às Aulas</t>
  </si>
  <si>
    <t>Dica Importante</t>
  </si>
  <si>
    <t>Você poderá aumentar a altura da linha usando esse recurso:</t>
  </si>
  <si>
    <t>Manual Atualização da Planilha de Prestação de Contas - Modelo 2</t>
  </si>
  <si>
    <t>PTRF referente ao</t>
  </si>
  <si>
    <t>Modelo 3</t>
  </si>
  <si>
    <t>Damsp</t>
  </si>
  <si>
    <t>Modelo 4</t>
  </si>
  <si>
    <t>PRESIDENTE DO CONSELHO FISCAL</t>
  </si>
  <si>
    <t>PRESIDENTE DO CONSELHO</t>
  </si>
  <si>
    <t>E.</t>
  </si>
  <si>
    <t>Preenchimento automático.</t>
  </si>
  <si>
    <t>Preencher o nome do favorecido, conforme apresentado na Nota Fiscal.</t>
  </si>
  <si>
    <t>Ao selecionar ou digitar as primeiras letras o conteúdo é exibido.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</si>
  <si>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>).</t>
    </r>
  </si>
  <si>
    <t>RECURSOS E AQUISIÇÕES</t>
  </si>
  <si>
    <r>
      <rPr>
        <b/>
        <sz val="11"/>
        <rFont val="Calibri"/>
        <family val="2"/>
      </rPr>
      <t>Observação:</t>
    </r>
    <r>
      <rPr>
        <sz val="11"/>
        <rFont val="Calibri"/>
        <family val="2"/>
      </rPr>
      <t xml:space="preserve"> Para Bens discriminar individualmente (utilizar 1 linha para cada tipo de bem), pois esse será exportado para o modelo 3, não havendo necessidade de digitar novamente.</t>
    </r>
  </si>
  <si>
    <t>Para itens iguais com valores iguais, digitar na mesma linha.</t>
  </si>
  <si>
    <t>Para itens iguais com valores diferentes, digitar em linhas separadas.</t>
  </si>
  <si>
    <t>Digitar o número do documento.</t>
  </si>
  <si>
    <t>Digitar a data do documento.</t>
  </si>
  <si>
    <t>Digitar o número do cheque utilizado para pagamento da despesa.</t>
  </si>
  <si>
    <r>
      <t>Selecionar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 quando for um Bem Patrimonial.</t>
    </r>
  </si>
  <si>
    <t>Observação:</t>
  </si>
  <si>
    <t>Caso não se apresente nos formatos indicados acima, significa que estão faltando ou sobrando dígitos.</t>
  </si>
  <si>
    <t>Não houve alterações.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</si>
  <si>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 xml:space="preserve"> - Aponte o mouse na divisória entre as linhas 34 e 35, o ponteiro do mouse vai ficar no formato indicado, segure o botão esquerdo do mouse e arraste para cima (diminuirá a altura da linha) ou arraste para baixo (aumentará a altura da linha) .</t>
    </r>
  </si>
  <si>
    <t>Contém o manual para orientações de preenchimento da planilha.</t>
  </si>
  <si>
    <t xml:space="preserve">11 - </t>
  </si>
  <si>
    <t xml:space="preserve">12 - </t>
  </si>
  <si>
    <t>Os documentos que devem integrar a prestação de contas serão exibidos automaticamente.</t>
  </si>
  <si>
    <t>Obs.:</t>
  </si>
  <si>
    <r>
      <rPr>
        <b/>
        <sz val="11"/>
        <rFont val="Calibri"/>
        <family val="2"/>
      </rPr>
      <t>Campo Observação:</t>
    </r>
    <r>
      <rPr>
        <sz val="11"/>
        <rFont val="Calibri"/>
        <family val="2"/>
      </rPr>
      <t xml:space="preserve"> Informar quando houver descontos ou complementação com Recursos Próprios.</t>
    </r>
  </si>
  <si>
    <t>Imprensa Jovem -</t>
  </si>
  <si>
    <t>Grêmio -</t>
  </si>
  <si>
    <t>Rolê Cultural -</t>
  </si>
  <si>
    <t>Reprog. Rolê Cultural -</t>
  </si>
  <si>
    <t>Reprog. Imprensa Jovem -</t>
  </si>
  <si>
    <t>Fazendo Futuro -</t>
  </si>
  <si>
    <t>Reprog. Fazendo Futuro -</t>
  </si>
  <si>
    <t>PTRF Básico -</t>
  </si>
  <si>
    <t>Reprog. PTRF Básico -</t>
  </si>
  <si>
    <t>Reprog. Grêmio -</t>
  </si>
  <si>
    <t>Futuro</t>
  </si>
  <si>
    <t>Grêmio</t>
  </si>
  <si>
    <t>Imprensa</t>
  </si>
  <si>
    <t>Volta Aulas</t>
  </si>
  <si>
    <t>Aquisição</t>
  </si>
  <si>
    <t>coluna 56 - formula</t>
  </si>
  <si>
    <t>coluna 59 - formula</t>
  </si>
  <si>
    <t>Básico</t>
  </si>
  <si>
    <t>coluna 158 - formula</t>
  </si>
  <si>
    <t>coluna 165 - formula</t>
  </si>
  <si>
    <t>coluna 172 - formula</t>
  </si>
  <si>
    <t>coluna 179 - formula</t>
  </si>
  <si>
    <t>coluna 182 - formula</t>
  </si>
  <si>
    <t>coluna 186 - formula</t>
  </si>
  <si>
    <t>coluna 189 - formula</t>
  </si>
  <si>
    <t>coluna 161 - formula</t>
  </si>
  <si>
    <t>coluna 168 - formula</t>
  </si>
  <si>
    <t>coluna 175 - formula</t>
  </si>
  <si>
    <t>Rolê</t>
  </si>
  <si>
    <t>Recursos Extraordinários - Fazendo Futuro</t>
  </si>
  <si>
    <t>PTRF Básico</t>
  </si>
  <si>
    <t>Fazendo Futuro</t>
  </si>
  <si>
    <t>Imprensa Jovem</t>
  </si>
  <si>
    <t xml:space="preserve">RECURSOS - </t>
  </si>
  <si>
    <t>PTRF BÁSICO</t>
  </si>
  <si>
    <t>VOLTA ÀS AULAS</t>
  </si>
  <si>
    <t>FAZENDO FUTURO</t>
  </si>
  <si>
    <t>IMPRENSA JOVEM</t>
  </si>
  <si>
    <t>GRÊMIO</t>
  </si>
  <si>
    <r>
      <t xml:space="preserve">- As aquisições com os recursos de </t>
    </r>
    <r>
      <rPr>
        <b/>
        <sz val="10"/>
        <rFont val="Arial"/>
        <family val="2"/>
      </rPr>
      <t>capital</t>
    </r>
    <r>
      <rPr>
        <sz val="10"/>
        <rFont val="Arial"/>
        <family val="2"/>
      </rPr>
      <t xml:space="preserve"> foram da ordem de</t>
    </r>
  </si>
  <si>
    <r>
      <t xml:space="preserve">- As aquisições com os recursos de </t>
    </r>
    <r>
      <rPr>
        <b/>
        <sz val="10"/>
        <rFont val="Arial"/>
        <family val="2"/>
      </rPr>
      <t>custeio</t>
    </r>
    <r>
      <rPr>
        <sz val="10"/>
        <rFont val="Arial"/>
        <family val="2"/>
      </rPr>
      <t xml:space="preserve"> foram da ordem de</t>
    </r>
  </si>
  <si>
    <t xml:space="preserve">para custeio e reprogramado do </t>
  </si>
  <si>
    <t>invasao Básico</t>
  </si>
  <si>
    <t>invasao Volta às Aulas</t>
  </si>
  <si>
    <t>invasao Grêmio</t>
  </si>
  <si>
    <t>invasao Fazendo Futuro</t>
  </si>
  <si>
    <t>invasao Rolê Cultural</t>
  </si>
  <si>
    <t>invasao Imprensa Jovem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</si>
  <si>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</si>
  <si>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</si>
  <si>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</si>
  <si>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</si>
  <si>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</si>
  <si>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</si>
  <si>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</si>
  <si>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</si>
  <si>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</si>
  <si>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</si>
  <si>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</si>
  <si>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</si>
  <si>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</si>
  <si>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</si>
  <si>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</si>
  <si>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</si>
  <si>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</si>
  <si>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</si>
  <si>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</si>
  <si>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</si>
  <si>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</si>
  <si>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</si>
  <si>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</si>
  <si>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</si>
  <si>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</si>
  <si>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</si>
  <si>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</si>
  <si>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</si>
  <si>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</si>
  <si>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</si>
  <si>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</si>
  <si>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</si>
  <si>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</si>
  <si>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</si>
  <si>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</si>
  <si>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</si>
  <si>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</si>
  <si>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</si>
  <si>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</si>
  <si>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</si>
  <si>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</si>
  <si>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</si>
  <si>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</si>
  <si>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</si>
  <si>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</si>
  <si>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</si>
  <si>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</si>
  <si>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</si>
  <si>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</si>
  <si>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</si>
  <si>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</si>
  <si>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</si>
  <si>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</si>
  <si>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</si>
  <si>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</si>
  <si>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</si>
  <si>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</si>
  <si>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</si>
  <si>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</si>
  <si>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</si>
  <si>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</si>
  <si>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</si>
  <si>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</si>
  <si>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</si>
  <si>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</si>
  <si>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</si>
  <si>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</si>
  <si>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</si>
  <si>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</si>
  <si>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</si>
  <si>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</si>
  <si>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</si>
  <si>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</si>
  <si>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</si>
  <si>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</si>
  <si>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</si>
  <si>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</si>
  <si>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</si>
  <si>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</si>
  <si>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</si>
  <si>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</si>
  <si>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</si>
  <si>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</si>
  <si>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</si>
  <si>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</si>
  <si>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</si>
  <si>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</si>
  <si>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</si>
  <si>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</si>
  <si>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</si>
  <si>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</si>
  <si>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</si>
  <si>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</si>
  <si>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</si>
  <si>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</si>
  <si>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</si>
  <si>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</si>
  <si>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</si>
  <si>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</si>
  <si>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</si>
  <si>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</si>
  <si>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</si>
  <si>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</si>
  <si>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</si>
  <si>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</si>
  <si>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</si>
  <si>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</si>
  <si>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</si>
  <si>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</si>
  <si>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</si>
  <si>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</si>
  <si>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</si>
  <si>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</si>
  <si>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</si>
  <si>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</si>
  <si>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</si>
  <si>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</si>
  <si>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</si>
  <si>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</si>
  <si>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</si>
  <si>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</si>
  <si>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</si>
  <si>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</si>
  <si>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</si>
  <si>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</si>
  <si>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</si>
  <si>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</si>
  <si>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</si>
  <si>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</si>
  <si>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</si>
  <si>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</si>
  <si>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</si>
  <si>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</si>
  <si>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</si>
  <si>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</si>
  <si>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</si>
  <si>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</si>
  <si>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</si>
  <si>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</si>
  <si>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</si>
  <si>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</si>
  <si>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</si>
  <si>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</si>
  <si>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</si>
  <si>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</si>
  <si>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</si>
  <si>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</si>
  <si>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</si>
  <si>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</si>
  <si>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</si>
  <si>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</si>
  <si>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</si>
  <si>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</si>
  <si>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</si>
  <si>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</si>
  <si>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</si>
  <si>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</si>
  <si>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</si>
  <si>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</si>
  <si>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</si>
  <si>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</si>
  <si>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</si>
  <si>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</si>
  <si>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</si>
  <si>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</si>
  <si>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</si>
  <si>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</si>
  <si>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</si>
  <si>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</si>
  <si>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</si>
  <si>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</si>
  <si>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</si>
  <si>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</si>
  <si>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</si>
  <si>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</si>
  <si>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</si>
  <si>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</si>
  <si>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</si>
  <si>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</si>
  <si>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</si>
  <si>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</si>
  <si>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</si>
  <si>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</si>
  <si>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</si>
  <si>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</si>
  <si>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</si>
  <si>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</si>
  <si>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</si>
  <si>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</si>
  <si>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</si>
  <si>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</si>
  <si>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</si>
  <si>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</si>
  <si>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</si>
  <si>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</si>
  <si>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</si>
  <si>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</si>
  <si>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</si>
  <si>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</si>
  <si>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</si>
  <si>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</si>
  <si>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</si>
  <si>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</si>
  <si>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</si>
  <si>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</si>
  <si>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</si>
  <si>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</si>
  <si>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</si>
  <si>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</si>
  <si>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</si>
  <si>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</si>
  <si>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</si>
  <si>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</si>
  <si>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</si>
  <si>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</si>
  <si>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</si>
  <si>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</si>
  <si>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</si>
  <si>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</si>
  <si>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</si>
  <si>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</si>
  <si>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</si>
  <si>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</si>
  <si>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</si>
  <si>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</si>
  <si>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</si>
  <si>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</si>
  <si>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</si>
  <si>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</si>
  <si>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</si>
  <si>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</si>
  <si>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</si>
  <si>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</si>
  <si>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</si>
  <si>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</si>
  <si>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</si>
  <si>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</si>
  <si>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</si>
  <si>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</si>
  <si>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</si>
  <si>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</si>
  <si>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</si>
  <si>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</si>
  <si>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</si>
  <si>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</si>
  <si>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</si>
  <si>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</si>
  <si>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</si>
  <si>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</si>
  <si>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</si>
  <si>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</si>
  <si>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</si>
  <si>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</si>
  <si>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</si>
  <si>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</si>
  <si>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</si>
  <si>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</si>
  <si>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</si>
  <si>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</si>
  <si>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</si>
  <si>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</si>
  <si>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</si>
  <si>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</si>
  <si>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</si>
  <si>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</si>
  <si>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</si>
  <si>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</si>
  <si>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</si>
  <si>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</si>
  <si>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</si>
  <si>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</si>
  <si>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</si>
  <si>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</si>
  <si>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</si>
  <si>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</si>
  <si>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</si>
  <si>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</si>
  <si>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</si>
  <si>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</si>
  <si>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</si>
  <si>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</si>
  <si>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</si>
  <si>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</si>
  <si>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</si>
  <si>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</si>
  <si>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</si>
  <si>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</si>
  <si>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</si>
  <si>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</si>
  <si>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</si>
  <si>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</si>
  <si>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</si>
  <si>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</si>
  <si>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</si>
  <si>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</si>
  <si>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</si>
  <si>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</si>
  <si>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</si>
  <si>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</si>
  <si>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</si>
  <si>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</si>
  <si>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</si>
  <si>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</si>
  <si>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</si>
  <si>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</si>
  <si>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</si>
  <si>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</si>
  <si>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</si>
  <si>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</si>
  <si>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</si>
  <si>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</si>
  <si>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</si>
  <si>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</si>
  <si>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</si>
  <si>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</si>
  <si>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</si>
  <si>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</si>
  <si>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</si>
  <si>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</si>
  <si>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</si>
  <si>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itens de Despesas</t>
  </si>
  <si>
    <t>total pag. Mod. 2</t>
  </si>
  <si>
    <t>Rolê Cultural</t>
  </si>
  <si>
    <t>GERAL</t>
  </si>
  <si>
    <t>REP - BA - C</t>
  </si>
  <si>
    <t>REC - BA - C</t>
  </si>
  <si>
    <t>REP - BA - K</t>
  </si>
  <si>
    <t>REC - BA - K</t>
  </si>
  <si>
    <t>REP - VA - C</t>
  </si>
  <si>
    <t>REC - VA - C</t>
  </si>
  <si>
    <t>REP - VA - K</t>
  </si>
  <si>
    <t>REC - VA - K</t>
  </si>
  <si>
    <t>Invasão</t>
  </si>
  <si>
    <t>Invadiu REP-BA-C</t>
  </si>
  <si>
    <t>Invadiu REC-BA-C</t>
  </si>
  <si>
    <t>Invadiu REC-BA-K</t>
  </si>
  <si>
    <t>Invadiu REP-BA-K</t>
  </si>
  <si>
    <t>Modelo II</t>
  </si>
  <si>
    <t>UTILIZADOS</t>
  </si>
  <si>
    <t>Data - Custeio</t>
  </si>
  <si>
    <t>R$ - Custeio</t>
  </si>
  <si>
    <t>Data - Capital</t>
  </si>
  <si>
    <t>R$ - Capital</t>
  </si>
  <si>
    <t>BÁSICO</t>
  </si>
  <si>
    <t>Invadiu REP-VA-C</t>
  </si>
  <si>
    <t>Invadiu REC-VA-C</t>
  </si>
  <si>
    <t>Invadiu REP-VA-K</t>
  </si>
  <si>
    <t>Invadiu REC-VA-K</t>
  </si>
  <si>
    <t>REP - FF - C</t>
  </si>
  <si>
    <t>REC - FF - C</t>
  </si>
  <si>
    <t>REP - FF - K</t>
  </si>
  <si>
    <t>REC - FF - K</t>
  </si>
  <si>
    <t>Invadiu REC-FF-K</t>
  </si>
  <si>
    <t>Invadiu REP-FF-K</t>
  </si>
  <si>
    <t>Invadiu REC-FF-C</t>
  </si>
  <si>
    <t>Invadiu REP-FF-C</t>
  </si>
  <si>
    <t>ROLÊ CULTURAL</t>
  </si>
  <si>
    <t>Invadiu REP-RC-C</t>
  </si>
  <si>
    <t>Invadiu REC-RC-C</t>
  </si>
  <si>
    <t>Invadiu REP-RC-K</t>
  </si>
  <si>
    <t>Invadiu REC-RC-K</t>
  </si>
  <si>
    <t>Invadiu REC-IJ-K</t>
  </si>
  <si>
    <t>Invadiu REP-IJ-K</t>
  </si>
  <si>
    <t>Invadiu REC-IJ-C</t>
  </si>
  <si>
    <t>Invadiu REP-IJ-C</t>
  </si>
  <si>
    <t>REP - RC - C</t>
  </si>
  <si>
    <t>REC - RC - C</t>
  </si>
  <si>
    <t>REP - RC - K</t>
  </si>
  <si>
    <t>REC - RC - K</t>
  </si>
  <si>
    <t>REP - IJ - C</t>
  </si>
  <si>
    <t>REC - IJ - C</t>
  </si>
  <si>
    <t>REP - IJ - K</t>
  </si>
  <si>
    <t>REC - IJ - K</t>
  </si>
  <si>
    <t>Invadiu REC-GR-K</t>
  </si>
  <si>
    <t>Invadiu REP-GR-C</t>
  </si>
  <si>
    <t>Invadiu REC-GR-C</t>
  </si>
  <si>
    <t>Invadiu REP-GR-K</t>
  </si>
  <si>
    <t>REP - GR - C</t>
  </si>
  <si>
    <t>REC - GR - C</t>
  </si>
  <si>
    <t>REP - GR - K</t>
  </si>
  <si>
    <t>REC - GR - K</t>
  </si>
  <si>
    <t>Prestação de Contas - Fazendo Futuro</t>
  </si>
  <si>
    <t>Modelo 2 - Volta as Aulas</t>
  </si>
  <si>
    <t>Modelo 2 - Básico</t>
  </si>
  <si>
    <t>Modelo 2 - Fazendo Futuro</t>
  </si>
  <si>
    <t>Modelo 2 - Rolê Cultural</t>
  </si>
  <si>
    <t>Modelo 2 - Imprensa Jovem</t>
  </si>
  <si>
    <t>Modelo 2 - Grêmios</t>
  </si>
  <si>
    <t>Prestação de Contas - Rolê Cultural</t>
  </si>
  <si>
    <t>Prestação de Contas - Imprensa Jovem</t>
  </si>
  <si>
    <t>Prestação de Contas - Grêmio</t>
  </si>
  <si>
    <t>Invasão Custeio - Básico</t>
  </si>
  <si>
    <t>Invasão Custeio - Volta Aulas</t>
  </si>
  <si>
    <t>Invasão Custeio - Fazendo Futuro</t>
  </si>
  <si>
    <t>Invasão Custeio - Transporte</t>
  </si>
  <si>
    <t>Invasão Custeio - Imprensa Jovem</t>
  </si>
  <si>
    <t>Invasão Custeio - Grêmio</t>
  </si>
  <si>
    <t>Pgto</t>
  </si>
  <si>
    <t>Reprogr</t>
  </si>
  <si>
    <t>Pagto</t>
  </si>
  <si>
    <t>Imprensa - Pagto</t>
  </si>
  <si>
    <t>Imprensa - Reprogr</t>
  </si>
  <si>
    <t>Grêmio - Pagto</t>
  </si>
  <si>
    <t>Grêmio - Reprogr</t>
  </si>
  <si>
    <t>Número CNPJ</t>
  </si>
  <si>
    <t>Liq. Custeio</t>
  </si>
  <si>
    <t>Liq. Capital</t>
  </si>
  <si>
    <t>SALDO EM</t>
  </si>
  <si>
    <t>Adesão</t>
  </si>
  <si>
    <t>Turmas</t>
  </si>
  <si>
    <t>SP Integral</t>
  </si>
  <si>
    <t>Informática</t>
  </si>
  <si>
    <t>Transporte</t>
  </si>
  <si>
    <t>AÇÃO</t>
  </si>
  <si>
    <t>Inconsistência</t>
  </si>
  <si>
    <t>Inconsistências</t>
  </si>
  <si>
    <t>Rendimento</t>
  </si>
  <si>
    <t>DADOS DO EXTRATO</t>
  </si>
  <si>
    <t>Compensou</t>
  </si>
  <si>
    <t>PTRF - Básico</t>
  </si>
  <si>
    <t>, dos Recursos Extraordinários - "Volta às Aulas", da Portaria</t>
  </si>
  <si>
    <t>nº 8.487, de 14 de dezembro de 2018</t>
  </si>
  <si>
    <t xml:space="preserve"> e dos Recursos - "Fazendo Futuro", da Portaria</t>
  </si>
  <si>
    <t>É com satisfação que encaminho a Vossa Senhoria os documentos relativos à prestação de contas  do</t>
  </si>
  <si>
    <t>e demais recursos abaixo discriminados:</t>
  </si>
  <si>
    <t>período:</t>
  </si>
  <si>
    <t>Os recursos foram utilizados de acordo com art. 3º, da Lei nº 13.991/2005.</t>
  </si>
  <si>
    <t>Demonstrativo da Execução da Receita, Despesas e Pagamentos Efetuados:</t>
  </si>
  <si>
    <t>Modelo 2 - PTRF Básico</t>
  </si>
  <si>
    <t>Modelo 2 - Volta às Aulas</t>
  </si>
  <si>
    <t>Modelo 2 - Grêmio</t>
  </si>
  <si>
    <t>Recursos</t>
  </si>
  <si>
    <t>Modelo 5</t>
  </si>
  <si>
    <t>De acordo com o subitem 14.1, do Anexo I da Portaria SME nº 4.554/08, integram esta prestação de contas os seguintes documentos:</t>
  </si>
  <si>
    <t>dois mil e dezenove</t>
  </si>
  <si>
    <t>dois mil e vite</t>
  </si>
  <si>
    <t>dois mil e vinte e um</t>
  </si>
  <si>
    <t>dois mil e vinte e dois</t>
  </si>
  <si>
    <t>dois mil e vinte e três</t>
  </si>
  <si>
    <t>dois mil e vinte e quatro</t>
  </si>
  <si>
    <t>dois mil e vinte e cinco</t>
  </si>
  <si>
    <t>dois</t>
  </si>
  <si>
    <t>três</t>
  </si>
  <si>
    <t>quatro</t>
  </si>
  <si>
    <t>cinco</t>
  </si>
  <si>
    <t>seis</t>
  </si>
  <si>
    <t>sete</t>
  </si>
  <si>
    <t>oito</t>
  </si>
  <si>
    <t>nove</t>
  </si>
  <si>
    <t>dez</t>
  </si>
  <si>
    <t>onze</t>
  </si>
  <si>
    <t>doze</t>
  </si>
  <si>
    <t>treze</t>
  </si>
  <si>
    <t>quatorze</t>
  </si>
  <si>
    <t>quinze</t>
  </si>
  <si>
    <t>dezesseis</t>
  </si>
  <si>
    <t>dezessete</t>
  </si>
  <si>
    <t>dezoito</t>
  </si>
  <si>
    <t>dezenove</t>
  </si>
  <si>
    <t>vinte e um</t>
  </si>
  <si>
    <t>vinte e dois</t>
  </si>
  <si>
    <t>vinte e três</t>
  </si>
  <si>
    <t>vinte e quatro</t>
  </si>
  <si>
    <t>vinte e cinco</t>
  </si>
  <si>
    <t>vinte e seis</t>
  </si>
  <si>
    <t>vinte e sete</t>
  </si>
  <si>
    <t>vinte e oito</t>
  </si>
  <si>
    <t>vinte e nove</t>
  </si>
  <si>
    <t>trinta</t>
  </si>
  <si>
    <t>trinta e um</t>
  </si>
  <si>
    <t>primeiro</t>
  </si>
  <si>
    <t xml:space="preserve">na(o) </t>
  </si>
  <si>
    <t>uma hora</t>
  </si>
  <si>
    <t>duas horas</t>
  </si>
  <si>
    <t>cinco horas</t>
  </si>
  <si>
    <t>seis horas</t>
  </si>
  <si>
    <t>três horas</t>
  </si>
  <si>
    <t>quatro horas</t>
  </si>
  <si>
    <t>sete horas</t>
  </si>
  <si>
    <t>oito horas</t>
  </si>
  <si>
    <t>nove horas</t>
  </si>
  <si>
    <t>dez horas</t>
  </si>
  <si>
    <t>onze horas</t>
  </si>
  <si>
    <t>doze horas</t>
  </si>
  <si>
    <t>treze horas</t>
  </si>
  <si>
    <t>quatorze horas</t>
  </si>
  <si>
    <t>quinze horas</t>
  </si>
  <si>
    <t>dezesseis horas</t>
  </si>
  <si>
    <t>dezessete horas</t>
  </si>
  <si>
    <t>dezoito horas</t>
  </si>
  <si>
    <t>dezenove horas</t>
  </si>
  <si>
    <t>vinte horas</t>
  </si>
  <si>
    <t>vinte</t>
  </si>
  <si>
    <t>vinte e uma</t>
  </si>
  <si>
    <t>vinte e duas horas</t>
  </si>
  <si>
    <t>vinte e três horas</t>
  </si>
  <si>
    <t>vinte e quatro horas</t>
  </si>
  <si>
    <t>um minuto</t>
  </si>
  <si>
    <t>dois  minutos</t>
  </si>
  <si>
    <t>três minutos</t>
  </si>
  <si>
    <t>quatro minutos</t>
  </si>
  <si>
    <t>cinco minutos</t>
  </si>
  <si>
    <t>seis minutos</t>
  </si>
  <si>
    <t>sete minutos</t>
  </si>
  <si>
    <t>oito minutos</t>
  </si>
  <si>
    <t>nove minutos</t>
  </si>
  <si>
    <t>dez minutos</t>
  </si>
  <si>
    <t>onze minutos</t>
  </si>
  <si>
    <t>doze minutos</t>
  </si>
  <si>
    <t>treze minutos</t>
  </si>
  <si>
    <t>quatorze minutos</t>
  </si>
  <si>
    <t>quinze minutos</t>
  </si>
  <si>
    <t>dezesseis minutos</t>
  </si>
  <si>
    <t>dezessete minutos</t>
  </si>
  <si>
    <t>dezoito minutos</t>
  </si>
  <si>
    <t>dezenove minutos</t>
  </si>
  <si>
    <t>vinte minutos</t>
  </si>
  <si>
    <t>vinte e um minutos</t>
  </si>
  <si>
    <t>vinte e dois minutos</t>
  </si>
  <si>
    <t>vinte e três minutos</t>
  </si>
  <si>
    <t>vinte e quatro minutos</t>
  </si>
  <si>
    <t>vinte e cinco minutos</t>
  </si>
  <si>
    <t>vinte e seis minutos</t>
  </si>
  <si>
    <t>vinte e sete minutos</t>
  </si>
  <si>
    <t>vinte e nove minutos</t>
  </si>
  <si>
    <t>vinte e oito minutos</t>
  </si>
  <si>
    <t>trinta minutos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</si>
  <si>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</si>
  <si>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</si>
  <si>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</si>
  <si>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</si>
  <si>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</si>
  <si>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</si>
  <si>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</si>
  <si>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</si>
  <si>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</si>
  <si>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</si>
  <si>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</si>
  <si>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</si>
  <si>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</si>
  <si>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</si>
  <si>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</si>
  <si>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</si>
  <si>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</si>
  <si>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</si>
  <si>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</si>
  <si>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</si>
  <si>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</si>
  <si>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</si>
  <si>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</si>
  <si>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</si>
  <si>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</si>
  <si>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</si>
  <si>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</si>
  <si>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</si>
  <si>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</si>
  <si>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na dotação de Custeio.</t>
  </si>
  <si>
    <t xml:space="preserve">na dotação de Custeio e </t>
  </si>
  <si>
    <t>na dotação de Capital.</t>
  </si>
  <si>
    <t>xxxxx</t>
  </si>
  <si>
    <t>Os membros do Conselho Fiscal, à vista dos registros contábeis e verificando nos documentos apresentados a exatidão das despesas realizadas, julgaram exata a presente prestação de contas considerando-a em condições de ser aprovada, emitindo</t>
  </si>
  <si>
    <t>Cancelado</t>
  </si>
  <si>
    <t>para capital.</t>
  </si>
  <si>
    <t>ambos</t>
  </si>
  <si>
    <t>NÃO HOUVE</t>
  </si>
  <si>
    <t xml:space="preserve"> / </t>
  </si>
  <si>
    <t>SEM Informatica</t>
  </si>
  <si>
    <t>Cartão</t>
  </si>
  <si>
    <t>zero minutos</t>
  </si>
  <si>
    <t>ordinária</t>
  </si>
  <si>
    <t>e dos demais recursos abaixo discriminados</t>
  </si>
  <si>
    <r>
      <t xml:space="preserve">e verificada a existência de número legal de membros presentes, passou-se à leitura da Ordem do Dia: A) </t>
    </r>
    <r>
      <rPr>
        <b/>
        <sz val="10"/>
        <color indexed="63"/>
        <rFont val="Arial"/>
        <family val="2"/>
      </rPr>
      <t>Apresentação ao Conselho Fiscal da prestação</t>
    </r>
    <r>
      <rPr>
        <sz val="10"/>
        <color indexed="63"/>
        <rFont val="Arial"/>
        <family val="2"/>
      </rPr>
      <t xml:space="preserve"> </t>
    </r>
    <r>
      <rPr>
        <b/>
        <sz val="10"/>
        <color indexed="63"/>
        <rFont val="Arial"/>
        <family val="2"/>
      </rPr>
      <t>de contas da verba do PTRF</t>
    </r>
  </si>
  <si>
    <t xml:space="preserve"> e demais recursos, abaixo discriminados, para o período de realização de despesas compreendido entre </t>
  </si>
  <si>
    <t xml:space="preserve"> do </t>
  </si>
  <si>
    <t xml:space="preserve">Os valores reprogramados foram de </t>
  </si>
  <si>
    <t>Os valores recebidos foram de.........</t>
  </si>
  <si>
    <t>Rendimentos de aplicação financeira</t>
  </si>
  <si>
    <t>Totalizando nessa Ação.................</t>
  </si>
  <si>
    <t>Aqui digitar observação se for o caso.</t>
  </si>
  <si>
    <t>Saldo Repasse Anterior</t>
  </si>
  <si>
    <t>Saldo Próximo Repasse</t>
  </si>
  <si>
    <t>Despesas Realizadas</t>
  </si>
  <si>
    <t>Recebimentos no Período</t>
  </si>
  <si>
    <t>Aplicação Financeira</t>
  </si>
  <si>
    <t>- Não foram realizadas despesas de Capital no período.</t>
  </si>
  <si>
    <t>- Não foram realizadas despesas de Custeio no período.</t>
  </si>
  <si>
    <t>REPROGRAMADOS</t>
  </si>
  <si>
    <t>RECEBIDOS</t>
  </si>
  <si>
    <t>DEVOLUÇÕES AO TESOURO</t>
  </si>
  <si>
    <t>USO INDEVIDO DAS VERBAS</t>
  </si>
  <si>
    <t>Tipo de Despesas</t>
  </si>
  <si>
    <t xml:space="preserve"> e </t>
  </si>
  <si>
    <t>Apresenta os saldos de Custeio e/ou Capital dos Recursos do PTRF.</t>
  </si>
  <si>
    <t>Digitar as datas de recebimento de cada uma das verbas habilitadas (fundo amarelo).
Exibe os valores recebidos das verbas habilitadas.</t>
  </si>
  <si>
    <t>Exibe os gastos de Custeio e/ou Capital de cada verba habilitada.</t>
  </si>
  <si>
    <t>DEVOLUÇÃO AO TESOURO</t>
  </si>
  <si>
    <t>Apresenta as devoluções de Custeio e/ou Capital das Verbas disponibilizadas.
Os valores aqui apresentados irão automaticamente para a ATA.</t>
  </si>
  <si>
    <t>REPROGRAMADOS PARA O REPASSE SEGUINTE</t>
  </si>
  <si>
    <t>Apresenta o Saldo de Custeio e/ou Capital para o próximo Repasse.</t>
  </si>
  <si>
    <t>F.</t>
  </si>
  <si>
    <t>Informa as invasões antes do recebimento da Verba.
Os valores aqui apresentados irão automaticamente para a ATA.</t>
  </si>
  <si>
    <t>G.</t>
  </si>
  <si>
    <t>Digitar o valor de Rendimento.
Digitar o valor do Saldo Bancário exibido no extrato.</t>
  </si>
  <si>
    <t>Valores Recebidos e Reprogramados por Tipo de Verba.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</si>
  <si>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 xml:space="preserve">).
</t>
    </r>
    <r>
      <rPr>
        <b/>
        <sz val="11"/>
        <color rgb="FFFF0000"/>
        <rFont val="Calibri"/>
        <family val="2"/>
      </rPr>
      <t>Banco do Brasil, não é necessário digitar o CNPJ.</t>
    </r>
  </si>
  <si>
    <t>Ação</t>
  </si>
  <si>
    <r>
      <t xml:space="preserve">Selecione em qual </t>
    </r>
    <r>
      <rPr>
        <b/>
        <sz val="11"/>
        <rFont val="Calibri"/>
        <family val="2"/>
      </rPr>
      <t>Ação</t>
    </r>
    <r>
      <rPr>
        <sz val="11"/>
        <rFont val="Calibri"/>
        <family val="2"/>
      </rPr>
      <t xml:space="preserve"> foi utilizada a verba.</t>
    </r>
  </si>
  <si>
    <t>Exemplo:</t>
  </si>
  <si>
    <t>Selecionar o tipo de documento fiscal, (Nota Fiscal, Cupom Fiscal, Danfe, N. F. Serv., Recibo, etc.).</t>
  </si>
  <si>
    <t>Não é necessário digitar novamente, pois é a mesma data do documento.
* Caso a data do pagamento seja diferente do documento ai é só trocá-la (célula debloqueada).</t>
  </si>
  <si>
    <r>
      <t>Selecionar ou digitar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”, se o cheque já foi compensado e consta no extrato.
Selecionar ou digitar “</t>
    </r>
    <r>
      <rPr>
        <b/>
        <sz val="11"/>
        <rFont val="Calibri"/>
        <family val="2"/>
      </rPr>
      <t>NÃO</t>
    </r>
    <r>
      <rPr>
        <sz val="11"/>
        <rFont val="Calibri"/>
        <family val="2"/>
      </rPr>
      <t>”, se ainda não ocorreu a compensação do cheque.</t>
    </r>
  </si>
  <si>
    <r>
      <t xml:space="preserve">Não precisa digita </t>
    </r>
    <r>
      <rPr>
        <b/>
        <sz val="11"/>
        <color rgb="FFFF0000"/>
        <rFont val="Calibri"/>
        <family val="2"/>
      </rPr>
      <t>6016.20</t>
    </r>
    <r>
      <rPr>
        <sz val="11"/>
        <rFont val="Calibri"/>
        <family val="2"/>
      </rPr>
      <t xml:space="preserve"> - Digitar somente os 10 últimos dígitos.</t>
    </r>
  </si>
  <si>
    <t>FUNDO ROSA</t>
  </si>
  <si>
    <t>Indica que existe algum erro.</t>
  </si>
  <si>
    <r>
      <rPr>
        <b/>
        <sz val="11"/>
        <rFont val="Calibri"/>
        <family val="2"/>
      </rPr>
      <t>b</t>
    </r>
    <r>
      <rPr>
        <sz val="11"/>
        <rFont val="Calibri"/>
        <family val="2"/>
      </rPr>
      <t>. Valores diferentes do digitado na coluna de capital.</t>
    </r>
  </si>
  <si>
    <r>
      <rPr>
        <b/>
        <sz val="11"/>
        <rFont val="Calibri"/>
        <family val="2"/>
      </rPr>
      <t>c</t>
    </r>
    <r>
      <rPr>
        <sz val="11"/>
        <rFont val="Calibri"/>
        <family val="2"/>
      </rPr>
      <t>. A multiplicação da quantidade com o valor unitário não é igual ao da coluna de capital.]</t>
    </r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</si>
  <si>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Falta preencher algum erro.</t>
    </r>
  </si>
  <si>
    <t>LEGENDA / STATUS</t>
  </si>
  <si>
    <r>
      <t>Se todos os campos da linha estiverem corretos, a coluna STATUS indicará “</t>
    </r>
    <r>
      <rPr>
        <b/>
        <sz val="11"/>
        <rFont val="Calibri"/>
        <family val="2"/>
      </rPr>
      <t>OK</t>
    </r>
    <r>
      <rPr>
        <sz val="11"/>
        <rFont val="Calibri"/>
        <family val="2"/>
      </rPr>
      <t>”.</t>
    </r>
  </si>
  <si>
    <t>Campos para observações nas linhas 56, 57 e 58.</t>
  </si>
  <si>
    <t>Dados para compor o texto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</si>
  <si>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Tabela resumo</t>
    </r>
  </si>
  <si>
    <r>
      <rPr>
        <b/>
        <sz val="10"/>
        <rFont val="Arial"/>
        <family val="2"/>
      </rPr>
      <t>b</t>
    </r>
    <r>
      <rPr>
        <sz val="10"/>
        <rFont val="Arial"/>
        <family val="2"/>
      </rPr>
      <t>. Total de gastos com a verba de custeio</t>
    </r>
  </si>
  <si>
    <r>
      <rPr>
        <b/>
        <sz val="10"/>
        <rFont val="Arial"/>
        <family val="2"/>
      </rPr>
      <t>c</t>
    </r>
    <r>
      <rPr>
        <sz val="10"/>
        <rFont val="Arial"/>
        <family val="2"/>
      </rPr>
      <t>. Itens adquiridos e/ou serviços com a verba de custeio</t>
    </r>
  </si>
  <si>
    <r>
      <rPr>
        <b/>
        <sz val="10"/>
        <rFont val="Arial"/>
        <family val="2"/>
      </rPr>
      <t>d</t>
    </r>
    <r>
      <rPr>
        <sz val="10"/>
        <rFont val="Arial"/>
        <family val="2"/>
      </rPr>
      <t>. Total de gastos com a verba de capital</t>
    </r>
  </si>
  <si>
    <r>
      <rPr>
        <b/>
        <sz val="10"/>
        <rFont val="Arial"/>
        <family val="2"/>
      </rPr>
      <t>e</t>
    </r>
    <r>
      <rPr>
        <sz val="10"/>
        <rFont val="Arial"/>
        <family val="2"/>
      </rPr>
      <t>. Bens adquiridos com a verba de capital</t>
    </r>
  </si>
  <si>
    <r>
      <rPr>
        <b/>
        <sz val="10"/>
        <rFont val="Arial"/>
        <family val="2"/>
      </rPr>
      <t>f</t>
    </r>
    <r>
      <rPr>
        <sz val="10"/>
        <rFont val="Arial"/>
        <family val="2"/>
      </rPr>
      <t>. Campo observação se houver</t>
    </r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</si>
  <si>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>. Valor de Custeio devolvido ao Tesouro (invasão de dotação ou aquisição indevida)</t>
    </r>
  </si>
  <si>
    <r>
      <rPr>
        <b/>
        <sz val="10"/>
        <rFont val="Arial"/>
        <family val="2"/>
      </rPr>
      <t>h</t>
    </r>
    <r>
      <rPr>
        <sz val="10"/>
        <rFont val="Arial"/>
        <family val="2"/>
      </rPr>
      <t>. Valor de Capital devolvido ao Tesouro</t>
    </r>
  </si>
  <si>
    <r>
      <rPr>
        <b/>
        <sz val="11"/>
        <rFont val="Calibri"/>
        <family val="2"/>
      </rPr>
      <t>i</t>
    </r>
    <r>
      <rPr>
        <sz val="11"/>
        <rFont val="Calibri"/>
        <family val="2"/>
      </rPr>
      <t>. Campo de observação para as devoluções, se houver</t>
    </r>
  </si>
  <si>
    <r>
      <rPr>
        <b/>
        <sz val="10"/>
        <rFont val="Arial"/>
        <family val="2"/>
      </rPr>
      <t>j</t>
    </r>
    <r>
      <rPr>
        <sz val="10"/>
        <rFont val="Arial"/>
        <family val="2"/>
      </rPr>
      <t>. Valores de Custeio (gastos indevidos antes do recebimento dos recursos)</t>
    </r>
  </si>
  <si>
    <r>
      <rPr>
        <b/>
        <sz val="10"/>
        <rFont val="Arial"/>
        <family val="2"/>
      </rPr>
      <t>k</t>
    </r>
    <r>
      <rPr>
        <sz val="10"/>
        <rFont val="Arial"/>
        <family val="2"/>
      </rPr>
      <t>. Valores de Capital (gastos indevidos antes do recebimento dos recursos)</t>
    </r>
  </si>
  <si>
    <t>Planilha para a Prestação de Contas (modelo 2 de cada Ação)</t>
  </si>
  <si>
    <t>Salva e Fecha o arquivo.</t>
  </si>
  <si>
    <t>PTRF_SME</t>
  </si>
  <si>
    <t>_</t>
  </si>
  <si>
    <t>Termo em que Pede Deferimento</t>
  </si>
  <si>
    <t>Ressarcimento</t>
  </si>
  <si>
    <t>Ressarcimento -</t>
  </si>
  <si>
    <t>Custeio ( C ):</t>
  </si>
  <si>
    <t>Corte de mato ou desinsetização ou desratização</t>
  </si>
  <si>
    <t/>
  </si>
  <si>
    <t>Aquisição Indevida</t>
  </si>
  <si>
    <t>uso indevido</t>
  </si>
  <si>
    <t>invasão antes de receber</t>
  </si>
  <si>
    <t>EMEI - PAULO CAMILHIER FLORENCANO</t>
  </si>
  <si>
    <t>EMEI</t>
  </si>
  <si>
    <t>EMEI PAULO CAMILHIER FLORENÇANO</t>
  </si>
  <si>
    <t>emeipcflorencano@prefeitura.sp.gov.br</t>
  </si>
  <si>
    <t>RUA FELICIANO MENDONÇA</t>
  </si>
  <si>
    <t>JARDIM SÃO PAULO</t>
  </si>
  <si>
    <t>3011-2</t>
  </si>
  <si>
    <t>20.179-0</t>
  </si>
  <si>
    <t>MARCIA REGINA CARVALHO</t>
  </si>
  <si>
    <t>PAULO CAMILHIER FLORENCANO</t>
  </si>
  <si>
    <t>EMEI - VICENTE PAULO DA SILVA</t>
  </si>
  <si>
    <t>EMEI VICENTE PAULO DA SILVA</t>
  </si>
  <si>
    <t>RUA FLEURY SILVEIRA</t>
  </si>
  <si>
    <t>VILA SANTA MARIA</t>
  </si>
  <si>
    <t>1521-0</t>
  </si>
  <si>
    <t>14080-5</t>
  </si>
  <si>
    <t>VICENTE PAULO DA SILVA</t>
  </si>
  <si>
    <t>EMEF - JOSE ERMIRIO DE MORAIS, SEN.</t>
  </si>
  <si>
    <t>EMEF SEN JOSÉ ERMINIO DE MORAIS</t>
  </si>
  <si>
    <t>RUA SÃO BRAS DO SUAÇUI</t>
  </si>
  <si>
    <t>JARDIM LUCE/ SÃO MIGUEL PTA</t>
  </si>
  <si>
    <t>1819-8</t>
  </si>
  <si>
    <t>ITAIM PAULISTA</t>
  </si>
  <si>
    <t>28386-X</t>
  </si>
  <si>
    <t>LEANDRO PEDRO DE OLIVEIRA</t>
  </si>
  <si>
    <t>JOÃO CORSINO DA COSTA</t>
  </si>
  <si>
    <t>JOSE ERMIRIO DE MORAIS, SEN.</t>
  </si>
  <si>
    <t>EMEBS - VERA LUCIA APARECIDA RIBEIRO, PROFA.</t>
  </si>
  <si>
    <t>EMEBS</t>
  </si>
  <si>
    <t>EMEBS PROFª VERA LUCIA AP RIBEIRO</t>
  </si>
  <si>
    <t>emefvlaribeiro@prefeitura.sp.gov.br</t>
  </si>
  <si>
    <t>RUA BENEDITO PEREIRA</t>
  </si>
  <si>
    <t>JARDIM LÍBANO</t>
  </si>
  <si>
    <t>2996-3</t>
  </si>
  <si>
    <t>MUTINGA</t>
  </si>
  <si>
    <t>15636-1</t>
  </si>
  <si>
    <t xml:space="preserve">VALTER PINHEIRO RODRIGUES </t>
  </si>
  <si>
    <t>VERA LUCIA APARECIDA RIBEIRO, PROFA.</t>
  </si>
  <si>
    <t>EMEI - ANTONIO CARLOS PACHECO E SILVA, PROF.</t>
  </si>
  <si>
    <t>EMEI PROF. ANTONIO CARLOS PACHECO E SILVA</t>
  </si>
  <si>
    <t>emeiacpsilva@prefeitura.sp.gov.br</t>
  </si>
  <si>
    <t>11.272-0</t>
  </si>
  <si>
    <t>CLEUNICE SILVA NASCIMENTO</t>
  </si>
  <si>
    <t>MARLEY VICENTE DOS SANTOS ANZAI</t>
  </si>
  <si>
    <t>ANTONIO CARLOS PACHECO E SILVA, PROF.</t>
  </si>
  <si>
    <t>EMEI - NAIR CORREA BUARQUE</t>
  </si>
  <si>
    <t>EMEI NAIR CORREA BUARQUE</t>
  </si>
  <si>
    <t>RUA SANTA ANGELA</t>
  </si>
  <si>
    <t>FREGUESIA DO Ó</t>
  </si>
  <si>
    <t>0687-4</t>
  </si>
  <si>
    <t>37684-1</t>
  </si>
  <si>
    <t>CARLA SIMONE VICENTE TAVARES DE OLIVEIRA</t>
  </si>
  <si>
    <t>RITA DE CASSIA FERNANDES CREMASCO</t>
  </si>
  <si>
    <t>NAIR CORREA BUARQUE</t>
  </si>
  <si>
    <t>EMEI - MARIA YOLANDA DE SOUZA PINTO HAHNE, DA.</t>
  </si>
  <si>
    <t>EMEI DNA MARIA YOLANDA DE SOUZA PINTO HAHNE</t>
  </si>
  <si>
    <t>RUA GASTÃO MADEIRA</t>
  </si>
  <si>
    <t>S/N</t>
  </si>
  <si>
    <t>VILA MARIA ALTA</t>
  </si>
  <si>
    <t>1220-3</t>
  </si>
  <si>
    <t>TUCURUVI</t>
  </si>
  <si>
    <t>31.796-9</t>
  </si>
  <si>
    <t>GRACIANY APARECIDA FONTES</t>
  </si>
  <si>
    <t>cris9415@hotmail.com</t>
  </si>
  <si>
    <t>SULYE RIBEIRO DE MORAIS SILVA</t>
  </si>
  <si>
    <t>MARIA YOLANDA DE SOUZA PINTO HAHNE, DA.</t>
  </si>
  <si>
    <t>EMEI - WALFRIDO DE CARVALHO, CEL.</t>
  </si>
  <si>
    <t>EMEI CORONEL WALFRIDO DE CARVALHO</t>
  </si>
  <si>
    <t>emeiwcarvalho@prefeitura.sp.gov.br</t>
  </si>
  <si>
    <t xml:space="preserve">RUA VICENTE QUEIROL </t>
  </si>
  <si>
    <t>J. M. SILVA</t>
  </si>
  <si>
    <t>1541-5</t>
  </si>
  <si>
    <t>TREMEMBÉ</t>
  </si>
  <si>
    <t>30.904-4</t>
  </si>
  <si>
    <t>PATRICIA AMARAL SILVA</t>
  </si>
  <si>
    <t>FERNANDA APARECIDA ESTEVAM</t>
  </si>
  <si>
    <t>WALFRIDO DE CARVALHO, CEL.</t>
  </si>
  <si>
    <t>EMEI - WILMA ALVARENGA DE OLIVEIRA, PROFA.</t>
  </si>
  <si>
    <t>EMEI - WILMA ALVARENGA DE OLIVEIRA, PROFª</t>
  </si>
  <si>
    <t>RUA INTEGRADA</t>
  </si>
  <si>
    <t>COHAB ADVENTISTA</t>
  </si>
  <si>
    <t>1740-X</t>
  </si>
  <si>
    <t xml:space="preserve">GIOVANNI GRONCHI </t>
  </si>
  <si>
    <t>21351-9</t>
  </si>
  <si>
    <t>JOSÉ AUGUSTO MACRI JÚNIOR</t>
  </si>
  <si>
    <t>m.aparecida.cruz@uol.com.br</t>
  </si>
  <si>
    <t>SELMA DE MACEDO CESÁRIO</t>
  </si>
  <si>
    <t>WILMA ALVARENGA DE OLIVEIRA, PROFA.</t>
  </si>
  <si>
    <t>EMEF - SYLVIO HECK, ALM.</t>
  </si>
  <si>
    <t>EMEF SYLVIO HECK, ALM.</t>
  </si>
  <si>
    <t>PEDRO NOGUEIRA DE PAZES</t>
  </si>
  <si>
    <t>PEDREIRA</t>
  </si>
  <si>
    <t>1818-X</t>
  </si>
  <si>
    <t>CHACARA FLORA</t>
  </si>
  <si>
    <t>23.485-0</t>
  </si>
  <si>
    <t>SYLVIO HECK, ALM.</t>
  </si>
  <si>
    <t>EMEF - VERA LUCIA FUSCO BORBA, PROFA.</t>
  </si>
  <si>
    <t>EMEF - VERA LUCIA FUSCO BORBA, PROFª</t>
  </si>
  <si>
    <t>RUA MARTINHO LUTERO</t>
  </si>
  <si>
    <t>JARDIM CAMPO LIMPO</t>
  </si>
  <si>
    <t>4302-8</t>
  </si>
  <si>
    <t>12693-4</t>
  </si>
  <si>
    <t>jp.valerio@uol.com.br</t>
  </si>
  <si>
    <t>MARIA DE JESUS SOTERO</t>
  </si>
  <si>
    <t>VERA LUCIA FUSCO BORBA, PROFA.</t>
  </si>
  <si>
    <t>EMEF - ROBERTO PATRICIO, PROF.</t>
  </si>
  <si>
    <t>EMEF ROBERTO PATRICIO</t>
  </si>
  <si>
    <t>RUA ANTONIO DOMINGUES DE FREITAS</t>
  </si>
  <si>
    <t>VILA AMALIA</t>
  </si>
  <si>
    <t>1193-2</t>
  </si>
  <si>
    <t>CASA VERDE</t>
  </si>
  <si>
    <t>25790-7</t>
  </si>
  <si>
    <t>MARINA BERGAMI FERNANDES SANTIAGO</t>
  </si>
  <si>
    <t>ROBERTO PATRICIO, PROF.</t>
  </si>
  <si>
    <t>EMEF - HELIO FRANCO CHAVES, CEL.</t>
  </si>
  <si>
    <t>EMEF CEL HELIO FRANCO CHAVES</t>
  </si>
  <si>
    <t>emefhfchaves@prefeitura.sp.gov.br</t>
  </si>
  <si>
    <t>RUA KOTINDA</t>
  </si>
  <si>
    <t>JARDIM CORISCO</t>
  </si>
  <si>
    <t>31.824-8</t>
  </si>
  <si>
    <t>CLEONILDE DE CARVALHO ALONSO</t>
  </si>
  <si>
    <t>DENIZE DIAS DA SILVA ANDRADE</t>
  </si>
  <si>
    <t>HELIO FRANCO CHAVES, CEL.</t>
  </si>
  <si>
    <t>EMEF - ANTONIO ALVES DA SILVA, SG.</t>
  </si>
  <si>
    <t>RUA GARCIA DE ORTA</t>
  </si>
  <si>
    <t>PARQUE INDEPENDÊNCIA</t>
  </si>
  <si>
    <t>4752-X</t>
  </si>
  <si>
    <t xml:space="preserve">SHOPPING CAMPO LIMPO </t>
  </si>
  <si>
    <t>7.683-X</t>
  </si>
  <si>
    <t>HIGINO JOSÉ DE ANDRADE JÚNIOR</t>
  </si>
  <si>
    <t>oliveiranorma@ig.com.br</t>
  </si>
  <si>
    <t>SARA DOMINGUES DE ALMEIDA</t>
  </si>
  <si>
    <t>ANTONIO ALVES DA SILVA, SG.</t>
  </si>
  <si>
    <t>EMEBS - NEUSA BASSETTO, PROFA.</t>
  </si>
  <si>
    <t>EMEBS PROFª NEUSA BASSETTO</t>
  </si>
  <si>
    <t>RUA TAQUARI</t>
  </si>
  <si>
    <t>MOÓCA</t>
  </si>
  <si>
    <t>0384-0</t>
  </si>
  <si>
    <t>MOOCA</t>
  </si>
  <si>
    <t>22.693-9</t>
  </si>
  <si>
    <t>CAMILA DE OLIVEIRA MORI</t>
  </si>
  <si>
    <t>NEUSA BASSETTO, PROFA.</t>
  </si>
  <si>
    <t>EMEBS - LUCIE BRAY, ME.</t>
  </si>
  <si>
    <t>EMEBS MADRE LUCIE BRAY</t>
  </si>
  <si>
    <t>RUA SÃO GERALDINO</t>
  </si>
  <si>
    <t>VILA CONSTANÇA</t>
  </si>
  <si>
    <t>3571-8</t>
  </si>
  <si>
    <t>JAÇANÃ</t>
  </si>
  <si>
    <t>22197-X</t>
  </si>
  <si>
    <t>emeelbray@prefeitura.sp.gov.br</t>
  </si>
  <si>
    <t>MARIA NASCIMENTO DE ARAUJO PRUDENTE</t>
  </si>
  <si>
    <t>LUCIE BRAY, ME.</t>
  </si>
  <si>
    <t>EMEI - RAUL JOVIANO DO AMARAL</t>
  </si>
  <si>
    <t>EMEI RAUL JOVIANO DO AMARAL</t>
  </si>
  <si>
    <t>VALENTINO FIORAVANTI</t>
  </si>
  <si>
    <t>1553-9</t>
  </si>
  <si>
    <t>CAMPO GRANDE</t>
  </si>
  <si>
    <t>21.399-3</t>
  </si>
  <si>
    <t>WALDYR LORENZETTI FILHO</t>
  </si>
  <si>
    <t>RAUL JOVIANO DO AMARAL</t>
  </si>
  <si>
    <t>EMEF - JOAO DE SOUZA FERRAZ, PROF.</t>
  </si>
  <si>
    <t>EMEF JOÃO DE SOUZA FERRAZ, PROF.</t>
  </si>
  <si>
    <t>RAFAEL CORREIA SAMPAIO</t>
  </si>
  <si>
    <t>23.437-0</t>
  </si>
  <si>
    <t>JOÃO MODESTO JUNIOR</t>
  </si>
  <si>
    <t>LUIZ CARLOS MARQUES</t>
  </si>
  <si>
    <t>JOAO DE SOUZA FERRAZ, PROF.</t>
  </si>
  <si>
    <t>EMEI - CELIA CAMARGO PENTEADO ELIAS, PROFA.</t>
  </si>
  <si>
    <t xml:space="preserve">EMEI PROFA CELIA CAMARGO PENTEADO ELIAS </t>
  </si>
  <si>
    <t>RUA JOSE VIEIRA DO RIO</t>
  </si>
  <si>
    <t xml:space="preserve">PARQUE SÃO RAFAEL               </t>
  </si>
  <si>
    <t>1495-8</t>
  </si>
  <si>
    <t>AUTO SHOP ARICANDUVA</t>
  </si>
  <si>
    <t>13442-2</t>
  </si>
  <si>
    <t>KAREN APARECIDA DE OLIVEIRA</t>
  </si>
  <si>
    <t>elieteborges8yhaoo.com.br</t>
  </si>
  <si>
    <t>DANIELE CRISTINA MARQUES</t>
  </si>
  <si>
    <t>CELIA CAMARGO PENTEADO ELIAS, PROFA.</t>
  </si>
  <si>
    <t>EMEI - CLEMENTE SEGUNDO PINHO, PROF.</t>
  </si>
  <si>
    <t>EMEI CLEMENTE SEGUNDO PINHO</t>
  </si>
  <si>
    <t>RUA VIRGINIA GALILEI</t>
  </si>
  <si>
    <t>JARDIM IPANEMA</t>
  </si>
  <si>
    <t>2815-0</t>
  </si>
  <si>
    <t>30844-7</t>
  </si>
  <si>
    <t xml:space="preserve">HELENA SILVIA TOFANETTO RIOS </t>
  </si>
  <si>
    <t>CLEMENTE SEGUNDO PINHO, PROF.</t>
  </si>
  <si>
    <t>EMEI - ANTONIO RUBBO MULLER, PROF.</t>
  </si>
  <si>
    <t>EMEI PROFESSOR ANTONIO RUBBO MULLER</t>
  </si>
  <si>
    <t>emeiarmuller@prefeitura.sp.gov.br</t>
  </si>
  <si>
    <t>RUA CARMINHA</t>
  </si>
  <si>
    <t>PARQUE SÃO LUCAS</t>
  </si>
  <si>
    <t>1540-7</t>
  </si>
  <si>
    <t>Vila Industrial</t>
  </si>
  <si>
    <t>20701-2</t>
  </si>
  <si>
    <t>ANTONIO RUBBO MULLER, PROF.</t>
  </si>
  <si>
    <t>EMEI - MARIA DO CARMO GODOY RAMOS, PROFA.</t>
  </si>
  <si>
    <t>EMEI Mª DO CARMO GODOY RAMOS ,PROFª</t>
  </si>
  <si>
    <t>RUA MIGUEL PEREIRA LANDIM</t>
  </si>
  <si>
    <t>JARDIM JARAGUÁ</t>
  </si>
  <si>
    <t>0297-6</t>
  </si>
  <si>
    <t>LAPA</t>
  </si>
  <si>
    <t>61730-X</t>
  </si>
  <si>
    <t>NILCEIA PENHA FRANÇA REBOUÇAS</t>
  </si>
  <si>
    <t>emeimcgramos@pref.sp.gov.br</t>
  </si>
  <si>
    <t>MARIA DO CARMO GODOY RAMOS, PROFA.</t>
  </si>
  <si>
    <t>EMEI - RODOLFO TREVISAN</t>
  </si>
  <si>
    <t>EMEI RODOLFO TREVISAN</t>
  </si>
  <si>
    <t>RUA SILVA AIROSA, DR.</t>
  </si>
  <si>
    <t>V. RIBEIRO BARROS</t>
  </si>
  <si>
    <t>61587-0</t>
  </si>
  <si>
    <t>emeirtrevisan@pref.sp.gov.br</t>
  </si>
  <si>
    <t>RODOLFO TREVISAN</t>
  </si>
  <si>
    <t>EMEF - EDA TEREZINHA CHICA MEDEIROS, PROFA.</t>
  </si>
  <si>
    <t>EMEF PROFª EDA TEREZINHA CHICA MEDEIROS</t>
  </si>
  <si>
    <t>emefeda@prefeitura.sp.gov.br</t>
  </si>
  <si>
    <t>RUA ENG. HUGO TAKAHASHI</t>
  </si>
  <si>
    <t>JARDIM RAPOSO TAVARES</t>
  </si>
  <si>
    <t>2801-0</t>
  </si>
  <si>
    <t>71.676-6</t>
  </si>
  <si>
    <t>ANA CLAUDIA FOSSATI MOTA</t>
  </si>
  <si>
    <t>ELAINE BURI SOUSA</t>
  </si>
  <si>
    <t>EDA TEREZINHA CHICA MEDEIROS, PROFA.</t>
  </si>
  <si>
    <t>EMEF - ASSAD ABDALA</t>
  </si>
  <si>
    <t>EMEF ASSAD ABDALA</t>
  </si>
  <si>
    <t>AVENIDA MENDONÇA DRUMOND</t>
  </si>
  <si>
    <t>JARDIM MARINGA</t>
  </si>
  <si>
    <t>ARICANDUVA</t>
  </si>
  <si>
    <t>13.466-X</t>
  </si>
  <si>
    <t>GERSON ALVES DE MATOS</t>
  </si>
  <si>
    <t>MONICA MUNHOES MOREIRA</t>
  </si>
  <si>
    <t>ASSAD ABDALA</t>
  </si>
  <si>
    <t>EMEI - AURELIO BUARQUE DE HOLANDA FERREIRA</t>
  </si>
  <si>
    <t>EMEI AURELIO BUARQUE DE HOLANDA FERREIRA</t>
  </si>
  <si>
    <t>RUA DR. ARMANDO FAJARDO</t>
  </si>
  <si>
    <t>J. SÃO BERNARDO</t>
  </si>
  <si>
    <t>3561-0</t>
  </si>
  <si>
    <t>INTERLAGOS</t>
  </si>
  <si>
    <t>41727-0</t>
  </si>
  <si>
    <t>AURELIO BUARQUE DE HOLANDA FERREIRA</t>
  </si>
  <si>
    <t>EMEI - MARIA EUGENIA FAKHOURY</t>
  </si>
  <si>
    <t>EMEI MARIA EUGÊNIA FAKHOURY</t>
  </si>
  <si>
    <t>RUA CONSTELAÇÃO DO ERIDANO</t>
  </si>
  <si>
    <t>JARDIM CAMPINAS</t>
  </si>
  <si>
    <t>CHÁCARA FLORA</t>
  </si>
  <si>
    <t>23546-6</t>
  </si>
  <si>
    <t>LUCIANA DINIZ ARAUJO</t>
  </si>
  <si>
    <t>MARIA EUGENIA FAKHOURY</t>
  </si>
  <si>
    <t>EMEF - RAUL POMPEIA</t>
  </si>
  <si>
    <t>EMEF RAUL POMPÉIA</t>
  </si>
  <si>
    <t>RUA ELIAS ANTONIO LOPES</t>
  </si>
  <si>
    <t>PARQUE DE TAIPAS</t>
  </si>
  <si>
    <t>31098-0</t>
  </si>
  <si>
    <t>FERNANDA COSTA</t>
  </si>
  <si>
    <t>aficz@uol.com.br</t>
  </si>
  <si>
    <t>RAUL POMPEIA</t>
  </si>
  <si>
    <t>EMEI - SENA MADUREIRA</t>
  </si>
  <si>
    <t>EMEI SENA MADUREIRA</t>
  </si>
  <si>
    <t>RUA LOEFGREEN</t>
  </si>
  <si>
    <t>VILA CLEMENTINO</t>
  </si>
  <si>
    <t>1898-8</t>
  </si>
  <si>
    <t>Escola Paulista de Medicina</t>
  </si>
  <si>
    <t>19.040-3</t>
  </si>
  <si>
    <t>Vera Lúcia Tardeu</t>
  </si>
  <si>
    <t>SENA MADUREIRA</t>
  </si>
  <si>
    <t>EMEF - TERESA MARGARIDA DA SILVA E ORTA</t>
  </si>
  <si>
    <t>emeftmsorta@prefeitura.sp.gov.br</t>
  </si>
  <si>
    <t>RUA ENG. MILTON DE ALVARENGA PEIXOTO</t>
  </si>
  <si>
    <t>VILA GILDA</t>
  </si>
  <si>
    <t>1266-1</t>
  </si>
  <si>
    <t>46485-6</t>
  </si>
  <si>
    <t>CLEONICE FERREIRA DA SILVA</t>
  </si>
  <si>
    <t>MARIA DAS DORES SOARES</t>
  </si>
  <si>
    <t>TERESA MARGARIDA DA SILVA E ORTA</t>
  </si>
  <si>
    <t>EMEI - ORLANDO DE ALVARENGA GAUDIO, PROF.</t>
  </si>
  <si>
    <t>emeioagaudio@prefeitura.sp.gov.br</t>
  </si>
  <si>
    <t>RUA ANTONIO ELIAS SCHOUERI</t>
  </si>
  <si>
    <t>PARQUE DO LAGO</t>
  </si>
  <si>
    <t>21334-9</t>
  </si>
  <si>
    <t>VANDERLEI BATISTA DA SILVA</t>
  </si>
  <si>
    <t>ELZI FERREIRA DE LIMA</t>
  </si>
  <si>
    <t>ORLANDO DE ALVARENGA GAUDIO, PROF.</t>
  </si>
  <si>
    <t>EMEF - HENRIQUE SOUZA FILHO - HENFIL</t>
  </si>
  <si>
    <t xml:space="preserve">EMEF HENRIQUE SOUZA FILHO - HENFIL </t>
  </si>
  <si>
    <t>RUA ERICO SEMER</t>
  </si>
  <si>
    <t>JARDIM MARILU</t>
  </si>
  <si>
    <t>1530-X</t>
  </si>
  <si>
    <t>52338-0</t>
  </si>
  <si>
    <t>MARCOS VINICIUS DO CARMO BORGES</t>
  </si>
  <si>
    <t>imonteiro@sme.prefeitura.sp.gov.br</t>
  </si>
  <si>
    <t>VENERANDA DE SOUZA</t>
  </si>
  <si>
    <t>HENRIQUE SOUZA FILHO - HENFIL</t>
  </si>
  <si>
    <t>EMEF - IDEMIA DE GODOY, PROFA.</t>
  </si>
  <si>
    <t>IDEMIA DE GODOY, PROFª</t>
  </si>
  <si>
    <t>emefidemia@prefeitura.sp.gov.br</t>
  </si>
  <si>
    <t>RUA ANDES</t>
  </si>
  <si>
    <t>52.201-5</t>
  </si>
  <si>
    <t>ELISABETE DE LIMA IKEDA</t>
  </si>
  <si>
    <t>FARRAH FAWCCETH DE JESUS</t>
  </si>
  <si>
    <t>IDEMIA DE GODOY, PROFA.</t>
  </si>
  <si>
    <t>EMEF - SEBASTIAO FRANCISCO, O NEGRO</t>
  </si>
  <si>
    <t>EMEF SEBASTIÃO FCO O NEGRO</t>
  </si>
  <si>
    <t>emefsfrancisco@prefeitura.sp.gov.br</t>
  </si>
  <si>
    <t>RUA ONOFRE JORGE VELHO</t>
  </si>
  <si>
    <t>CIDADE LÍDER</t>
  </si>
  <si>
    <t>52508-1</t>
  </si>
  <si>
    <t>SEBASTIAO FRANCISCO, O NEGRO</t>
  </si>
  <si>
    <t>EMEI - OLGA BENARIO PRESTES</t>
  </si>
  <si>
    <t>EMEI OLGA BENÁRIO PRESTES</t>
  </si>
  <si>
    <t>emeiobprestes@prefeitura.sp.gov.br</t>
  </si>
  <si>
    <t>RUA IGARAPÉ FARTURA</t>
  </si>
  <si>
    <t>INÁCIO MONTEIRO</t>
  </si>
  <si>
    <t>20.051-4</t>
  </si>
  <si>
    <t>MARCIA DE LEMOS VITORIO</t>
  </si>
  <si>
    <t>OLGA BENARIO PRESTES</t>
  </si>
  <si>
    <t>EMEF - ALEXANDRE VANNUCHI LEME</t>
  </si>
  <si>
    <t>EMEF ALEXANDRE VANNUCCHI LEME</t>
  </si>
  <si>
    <t>RUA IGARAPÉ DA DIANA</t>
  </si>
  <si>
    <t>ISAAC DA SILVA SANTANA</t>
  </si>
  <si>
    <t>ALEXANDRE VANNUCHI LEME</t>
  </si>
  <si>
    <t>EMEF - LUIS CARLOS PRESTES, SEN.</t>
  </si>
  <si>
    <t>EMEF LUIS CARLOS PRESTES, SENADOR</t>
  </si>
  <si>
    <t>RUA IGARAPÉ GUARÁ</t>
  </si>
  <si>
    <t>52.157-4</t>
  </si>
  <si>
    <t>MARIA DE LOURDES ALVES DE LIMA</t>
  </si>
  <si>
    <t>REGINA CELIA CHIARELLA PEREIRA</t>
  </si>
  <si>
    <t>LUIS CARLOS PRESTES, SEN.</t>
  </si>
  <si>
    <t>EMEI - DINA KUTNER DE SOUZA - DINA SFAT</t>
  </si>
  <si>
    <t>EMEI DINA KUTNER DE SOUZA - DINA SFAT</t>
  </si>
  <si>
    <t>emeidksouza@prefeitura.sp.gov.br</t>
  </si>
  <si>
    <t>RUA MANUEL ARAUJO ARAGÃO</t>
  </si>
  <si>
    <t>JARDIM NOVO SANTO ALBERTO</t>
  </si>
  <si>
    <t>31.749-7</t>
  </si>
  <si>
    <t>VANIA APARECIDA DE SOUZA</t>
  </si>
  <si>
    <t>CLAUDIA SERRANO LEAL DE OLIVEIRA</t>
  </si>
  <si>
    <t>DINA KUTNER DE SOUZA - DINA SFAT</t>
  </si>
  <si>
    <t>EMEF - IRENE GARCIA COSTA DE SOUZA, PROFA. DRA.</t>
  </si>
  <si>
    <t>EMEF PROFESSORA DOUTORA IRENE GARCIA COSTA DE SOUZA</t>
  </si>
  <si>
    <t>emefirenegcsouza@sme.prefeitura.sp.gov.br</t>
  </si>
  <si>
    <t>RUA GONÇALO ALDANA</t>
  </si>
  <si>
    <t>JARAGUÁ</t>
  </si>
  <si>
    <t>1832-5</t>
  </si>
  <si>
    <t>VILA JAGUARÁ-USP</t>
  </si>
  <si>
    <t>22014-0</t>
  </si>
  <si>
    <t>FRANCISCO INACIO DA LUZ JUNIOR</t>
  </si>
  <si>
    <t>emefvc@pref.sp.gov.br</t>
  </si>
  <si>
    <t>MARIA DE FATIMA SOUZA MATIOLI</t>
  </si>
  <si>
    <t>IRENE GARCIA COSTA DE SOUZA, PROFA. DRA.</t>
  </si>
  <si>
    <t>EMEI - SAVA POPOVIC</t>
  </si>
  <si>
    <t>EMEI SAVA POPOVIC</t>
  </si>
  <si>
    <t>emeispopovic@prefeitura.sp.gov.br</t>
  </si>
  <si>
    <t>RUA FRIBURGO</t>
  </si>
  <si>
    <t>LAUZANE PAULISTA</t>
  </si>
  <si>
    <t>31.781-0</t>
  </si>
  <si>
    <t>DENISE LORENZETTO DE ALMEIDA</t>
  </si>
  <si>
    <t>CRISTIANA ISAGUIRRE RODRIGUEZ TURRI</t>
  </si>
  <si>
    <t>SAVA POPOVIC</t>
  </si>
  <si>
    <t>EMEF - LUIZ GONZAGA DO NASCIMENTO JR. - GONZAGUINHA</t>
  </si>
  <si>
    <t>EMEF LUIZ GONZAGA DO NASCIMENTO JR.</t>
  </si>
  <si>
    <t>emefgonzaguinha@prefeitura.sp.gov.br</t>
  </si>
  <si>
    <t>ESTRADA DAS LÁGRIMAS</t>
  </si>
  <si>
    <t>SACOMÃ</t>
  </si>
  <si>
    <t>1203-3</t>
  </si>
  <si>
    <t>Sacomã</t>
  </si>
  <si>
    <t>22.391-3</t>
  </si>
  <si>
    <t>LUIZ GONZAGA DO NASCIMENTO JR. - GONZAGUINHA</t>
  </si>
  <si>
    <t>EMEI - OTAVIO JOSE DA SILVA JUNIOR</t>
  </si>
  <si>
    <t>EMEI OTAVIO JOSE DA SILVA JUNIOR</t>
  </si>
  <si>
    <t>emeiojsilva@prefeitura.sp.gov.br</t>
  </si>
  <si>
    <t>RUA DA FANTASIA</t>
  </si>
  <si>
    <t>HELIÓPOLIS</t>
  </si>
  <si>
    <t>3045-7</t>
  </si>
  <si>
    <t xml:space="preserve">Via Anchieta </t>
  </si>
  <si>
    <t>15.731-7</t>
  </si>
  <si>
    <t>OTAVIO JOSE DA SILVA JUNIOR</t>
  </si>
  <si>
    <t>EMEF - CHICO FALCONI, PE.</t>
  </si>
  <si>
    <t>EMEF PE. CHICO FALCONI</t>
  </si>
  <si>
    <t>RUA BRILHO DO SOL</t>
  </si>
  <si>
    <t>JARDIM BARTIRA</t>
  </si>
  <si>
    <t>28352-5</t>
  </si>
  <si>
    <t>MARLI APARECIDA DE BARROS ALVES</t>
  </si>
  <si>
    <t>WALDIRENE SANTOS RAMOS</t>
  </si>
  <si>
    <t>CHICO FALCONI, PE.</t>
  </si>
  <si>
    <t>EMEF - FRANCISCO ALVES MENDES FILHO - CHICO MENDES</t>
  </si>
  <si>
    <t xml:space="preserve">EMEF FRANCISCO A. M. FILHO </t>
  </si>
  <si>
    <t>emefchicomendes@prefeitura.sp.gov.br</t>
  </si>
  <si>
    <t>RUA FIGUEIRA DA BARBÁRIA</t>
  </si>
  <si>
    <t>JARDIM BRASÍLIA</t>
  </si>
  <si>
    <t>INTERLAR ARICANDUVA</t>
  </si>
  <si>
    <t>13495-3</t>
  </si>
  <si>
    <t>ROSANA CALZA</t>
  </si>
  <si>
    <t>FRANCISCO ALVES MENDES FILHO - CHICO MENDES</t>
  </si>
  <si>
    <t>EMEF - MARIO SCHONBERG, PROF.</t>
  </si>
  <si>
    <t>EMEF MARIO SCHONBERG, PROF.</t>
  </si>
  <si>
    <t>PAPA GREGORIO MAGNO</t>
  </si>
  <si>
    <t>23.486-9</t>
  </si>
  <si>
    <t>FABIO GOMES PEIXOTO</t>
  </si>
  <si>
    <t>MARIO SCHONBERG, PROF.</t>
  </si>
  <si>
    <t>EMEF - CARLOS AUGUSTO DE QUEIROZ ROCHA</t>
  </si>
  <si>
    <t>EMEF CARLOS AUGUSTO DE QUEIROZ ROCHA</t>
  </si>
  <si>
    <t>SANTO AFONSO</t>
  </si>
  <si>
    <t>CIDADE ADEMAR</t>
  </si>
  <si>
    <t>2804-5</t>
  </si>
  <si>
    <t>JARDIM JABAQUARA</t>
  </si>
  <si>
    <t>26.958-1</t>
  </si>
  <si>
    <t>GERALDO GUEDES FAGUNDES</t>
  </si>
  <si>
    <t>NEUSA RODRIGUES DE MIRANDA</t>
  </si>
  <si>
    <t>CARLOS AUGUSTO DE QUEIROZ ROCHA</t>
  </si>
  <si>
    <t>EMEF - ELZA MAIA COSTA FREIRE, PROFA.</t>
  </si>
  <si>
    <t>EMEF ELZA MAIA COSTA FREIRE, PROFA.</t>
  </si>
  <si>
    <t>DO ESPIGÃO</t>
  </si>
  <si>
    <t>26.983-2</t>
  </si>
  <si>
    <t>JEANE NASCIMENTO GOMES</t>
  </si>
  <si>
    <t>SILVIA BARBOSA DOS SANTOS</t>
  </si>
  <si>
    <t>ELZA MAIA COSTA FREIRE, PROFA.</t>
  </si>
  <si>
    <t>EMEF - MARIA RITA LOPES PONTES - IRMA DULCE</t>
  </si>
  <si>
    <t>RUA VITORIANO PALHARES</t>
  </si>
  <si>
    <t>JARDIM AMALIA</t>
  </si>
  <si>
    <t>21345-4</t>
  </si>
  <si>
    <t>aguinaldoalves@prefeitura.sp.gov.br</t>
  </si>
  <si>
    <t>TÂMARA MARIA GALVÃO DA SILVA</t>
  </si>
  <si>
    <t>MARIA RITA LOPES PONTES - IRMA DULCE</t>
  </si>
  <si>
    <t>EMEF - MAURO FACCIO GONCALVES - ZACARIA</t>
  </si>
  <si>
    <t>AVENIDA RAQUEL ALVES MOREIRA</t>
  </si>
  <si>
    <t>PARQUE SANTO ANTONIO</t>
  </si>
  <si>
    <t>3063-5</t>
  </si>
  <si>
    <t>CENTRO EMPRESARIAL</t>
  </si>
  <si>
    <t>32585-6</t>
  </si>
  <si>
    <t>ROBERTO WAGNER CARBONARI</t>
  </si>
  <si>
    <t>wcarbonari@globo.com</t>
  </si>
  <si>
    <t>MARLENE BATISTA DIAS ALMANZA</t>
  </si>
  <si>
    <t>MAURO FACCIO GONCALVES - ZACARIA</t>
  </si>
  <si>
    <t>EMEF - LORENCO MANOEL SPARAPAN, PROF.</t>
  </si>
  <si>
    <t>RUA HOLDA BOTTO MALANCONI</t>
  </si>
  <si>
    <t>JARDIM DUPRAT</t>
  </si>
  <si>
    <t>21339-X</t>
  </si>
  <si>
    <t>JOSÉ LUCIVALDO BATISTA DE OLIVEIRA</t>
  </si>
  <si>
    <t>sreginadasilva@prefeitura.sp.gov.br</t>
  </si>
  <si>
    <t>DANIEL DE CARVALHO SILVA'</t>
  </si>
  <si>
    <t>LORENCO MANOEL SPARAPAN, PROF.</t>
  </si>
  <si>
    <t>EMEF - ALDO RIBEIRO LUZ, PROF.</t>
  </si>
  <si>
    <t>EMEF PROF. ALDO RIBEIRO LUZ</t>
  </si>
  <si>
    <t>emefarluz@prefeitura.sp.gov.br</t>
  </si>
  <si>
    <t>RUA JEAN CORALLI</t>
  </si>
  <si>
    <t>31074-3</t>
  </si>
  <si>
    <t xml:space="preserve">LIDIA GONÇALVES </t>
  </si>
  <si>
    <t>ALDO RIBEIRO LUZ, PROF.</t>
  </si>
  <si>
    <t>EMEF - NILDO DO AMARAL JUNIOR, PE.</t>
  </si>
  <si>
    <t>EMEF PE. NILDO DO AMARAL JUNIOR</t>
  </si>
  <si>
    <t>RUA ANTONIO JOÃO DE MEDEIROS</t>
  </si>
  <si>
    <t xml:space="preserve">ITAIM PAULISTA </t>
  </si>
  <si>
    <t>1267-X</t>
  </si>
  <si>
    <t>52131-0</t>
  </si>
  <si>
    <t>MARA SUED SOBRAL DE OLIVEIRA</t>
  </si>
  <si>
    <t>NILDO DO AMARAL JUNIOR, PE.</t>
  </si>
  <si>
    <t>EMEF - QUIRINO CARNEIRO RENNO, PROF.</t>
  </si>
  <si>
    <t>EMEF QUIRINO CARNEIRO RENNÓ</t>
  </si>
  <si>
    <t>RUA CAMARGO E LEME</t>
  </si>
  <si>
    <t>2062-1</t>
  </si>
  <si>
    <t>FERRAZ DE VASCONCELOS</t>
  </si>
  <si>
    <t>25.260-3</t>
  </si>
  <si>
    <t xml:space="preserve">EDNO CANDIDO DA CUNHA </t>
  </si>
  <si>
    <t>emefquirino@prefeitura.sp.gov.br</t>
  </si>
  <si>
    <t>LUCIMARA DE OLIVEIRA MORAIS</t>
  </si>
  <si>
    <t>QUIRINO CARNEIRO RENNO, PROF.</t>
  </si>
  <si>
    <t>EMEF - CYRO ALBUQUERQUE, DEP.</t>
  </si>
  <si>
    <t>emefcalbuquerque@prefeitura.sp.gov.br</t>
  </si>
  <si>
    <t>RUA ROGERIO DE PAULA BRITO</t>
  </si>
  <si>
    <t>JARDIM SÃO JANUÁRIO</t>
  </si>
  <si>
    <t>21386-1</t>
  </si>
  <si>
    <t>ANA PAULA MACHADO MERLI</t>
  </si>
  <si>
    <t>CIBELE PARO</t>
  </si>
  <si>
    <t>CYRO ALBUQUERQUE, DEP.</t>
  </si>
  <si>
    <t>EMEI - VILA REMO</t>
  </si>
  <si>
    <t>RUA ITAPAROQUERA</t>
  </si>
  <si>
    <t>VILA REMO</t>
  </si>
  <si>
    <t>7707-0</t>
  </si>
  <si>
    <t>MICHELLY FERREIRA DOS SANTOS SILVA</t>
  </si>
  <si>
    <t>ednamaria72@yahoo.com.br</t>
  </si>
  <si>
    <t>MARLY S. S. DE BARROS</t>
  </si>
  <si>
    <t>EMEI - RUBENS NASCIMENTO DA SILVA - MEXICANO</t>
  </si>
  <si>
    <t>TRAVENIDA SETEMBRO DE 1983</t>
  </si>
  <si>
    <t>PARQUE FERNANDA</t>
  </si>
  <si>
    <t>7670-8</t>
  </si>
  <si>
    <t>elaine_garcia@ig.com.br</t>
  </si>
  <si>
    <t>ROSANGELA S. DA S. C. GARCIA</t>
  </si>
  <si>
    <t>RUBENS NASCIMENTO DA SILVA - MEXICANO</t>
  </si>
  <si>
    <t>EMEI - EDER SADER</t>
  </si>
  <si>
    <t xml:space="preserve">EMEI EDER SADER </t>
  </si>
  <si>
    <t>RUA SARGENTO HERMINIO AURELIO SAMPAIO</t>
  </si>
  <si>
    <t>CONJUNTO MASC DE MORAES03977-220</t>
  </si>
  <si>
    <t>VILA INDUSTRIAL</t>
  </si>
  <si>
    <t>20716-0</t>
  </si>
  <si>
    <t>SELMA ZEFERINO MACEDO DOS SANTOS</t>
  </si>
  <si>
    <t>selmazmsantos@gmail.co</t>
  </si>
  <si>
    <t>JESSICA CAVALCANTE TORRES</t>
  </si>
  <si>
    <t>EDER SADER</t>
  </si>
  <si>
    <t>EMEI - ANTONIO ROBERTO ALVES BRAGA, DR.</t>
  </si>
  <si>
    <t>EMEI DR. ANTONIO ROBERTO ALVES BRAGA</t>
  </si>
  <si>
    <t>RUA DOS ESCOTEIROS</t>
  </si>
  <si>
    <t>SÃO MIGUEL PAULISTA</t>
  </si>
  <si>
    <t>3107-0</t>
  </si>
  <si>
    <t>ERMELINO MATARAZZO</t>
  </si>
  <si>
    <t>20741-1</t>
  </si>
  <si>
    <t>FABRICIA MARTINS DE OLIVEIRA</t>
  </si>
  <si>
    <t>ANTONIO ROBERTO ALVES BRAGA, DR.</t>
  </si>
  <si>
    <t>EMEF - FRANCISCO DA SILVEIRA BUENO, PROF.</t>
  </si>
  <si>
    <t>EMEF PROFESSOR FRANCISCO DA SILVEIRA BUENO</t>
  </si>
  <si>
    <t>RUA IGARAPÉ FLORES</t>
  </si>
  <si>
    <t>20.723-3</t>
  </si>
  <si>
    <t>rosaneeduc@bol.com.br</t>
  </si>
  <si>
    <t>FRANCISCO DA SILVEIRA BUENO, PROF.</t>
  </si>
  <si>
    <t>EMEI - YOLANDA BASSI, PROFA.</t>
  </si>
  <si>
    <t>EMEI PROFESSORA YOLANDA BASSI</t>
  </si>
  <si>
    <t>RUA DO CARDEIRO</t>
  </si>
  <si>
    <t>VILA SANTA INÊS</t>
  </si>
  <si>
    <t>51901-4</t>
  </si>
  <si>
    <t>GISLAYNE DE CARLA FERRO</t>
  </si>
  <si>
    <t>YOLANDA BASSI, PROFA.</t>
  </si>
  <si>
    <t>EMEI - PAULO ZINGG</t>
  </si>
  <si>
    <t>emeipzingg@prefeitura.sp.gov.br</t>
  </si>
  <si>
    <t>AVENIDA SAFRA</t>
  </si>
  <si>
    <t>21350-0</t>
  </si>
  <si>
    <t>RAIMUNDA FREIRE D. DE LIMA</t>
  </si>
  <si>
    <t>PAULO ZINGG</t>
  </si>
  <si>
    <t>EMEI - JOSE ROSCHEL CHRISTI - JUCA ROCHA</t>
  </si>
  <si>
    <t>EMEI JOSÉ ROSCHEL CHRISTI - JUCA ROCHA</t>
  </si>
  <si>
    <t>RUA GENTIL SCHUNCK ROSCHEL</t>
  </si>
  <si>
    <t>JARDIM N PARELHEIROS</t>
  </si>
  <si>
    <t>41771-8</t>
  </si>
  <si>
    <t>JOSE ROSCHEL CHRISTI - JUCA ROCHA</t>
  </si>
  <si>
    <t>EMEF - ANALIA FRANCO BASTOS</t>
  </si>
  <si>
    <t>EMEF ANÁLIA FRANCO BASTOS</t>
  </si>
  <si>
    <t>AVENIDA ARISTON DE AZEVEDO</t>
  </si>
  <si>
    <t>BELENZINHO</t>
  </si>
  <si>
    <t>0719-6</t>
  </si>
  <si>
    <t>18.478-0</t>
  </si>
  <si>
    <t>JOSE MARIO DE OLIVEIRA BRITTO</t>
  </si>
  <si>
    <t>ANALIA FRANCO BASTOS</t>
  </si>
  <si>
    <t>EMEI - MARIO BENI, DEP.</t>
  </si>
  <si>
    <t>EMEI MARIO BENI, DEP.</t>
  </si>
  <si>
    <t>emeimbeni@prefeitura.sp.gov.br</t>
  </si>
  <si>
    <t xml:space="preserve">RUA SARA KUBITSCHEK </t>
  </si>
  <si>
    <t>51.830-1</t>
  </si>
  <si>
    <t>CÉLIA REGINA GARCIA BORGES</t>
  </si>
  <si>
    <t>MARCIA ROSA LIMA DOS SANTOS LEITE</t>
  </si>
  <si>
    <t>MARIO BENI, DEP.</t>
  </si>
  <si>
    <t>EMEF - MARIA ALICE BORGES GHION, PROFA.</t>
  </si>
  <si>
    <t>EMEF PROFª Mª ALICE BORGES GHION</t>
  </si>
  <si>
    <t>emefmabghion@prefeitura.sp.gov.br</t>
  </si>
  <si>
    <t>RUA CACHOEIRA DO PORAQUÊ</t>
  </si>
  <si>
    <t>COHAB RAPOSO TAVARES</t>
  </si>
  <si>
    <t>1546-6</t>
  </si>
  <si>
    <t>JARDIM BONFIGLIOLI</t>
  </si>
  <si>
    <t>13.627-1</t>
  </si>
  <si>
    <t>DIEGO BENJAMIM NEVES</t>
  </si>
  <si>
    <t>VALERIA TEIXEIRA DOS SANTOS</t>
  </si>
  <si>
    <t>MARIA ALICE BORGES GHION, PROFA.</t>
  </si>
  <si>
    <t>EMEF - ELIAS SHAMMASS</t>
  </si>
  <si>
    <t>EMEF ELIAS SHAMMASS</t>
  </si>
  <si>
    <t>emefeshammass@prefeitura.sp.gov.br</t>
  </si>
  <si>
    <t>RUA DO PAI NOSSO</t>
  </si>
  <si>
    <t>CIDADE TIRADENTES</t>
  </si>
  <si>
    <t>52.365-8</t>
  </si>
  <si>
    <t>JANE ALVES FEITOSA DE AZEVEDO</t>
  </si>
  <si>
    <t>LUCINEIDE ALCANTARA PEREIRA DA SILVA</t>
  </si>
  <si>
    <t>ELIAS SHAMMASS</t>
  </si>
  <si>
    <t>EMEI - FAUSTO RIBEIRO DA SILVA FILHO, DR.</t>
  </si>
  <si>
    <t>EMEI DR. FAUSTO RIBEIRO DA SILVA FILHO</t>
  </si>
  <si>
    <t>RUA ALEXANDRE DIAS NOGUEIRA</t>
  </si>
  <si>
    <t>VILA NOVA CURUÇA</t>
  </si>
  <si>
    <t>51888-3</t>
  </si>
  <si>
    <t>ELAINE MONREAL COSTA</t>
  </si>
  <si>
    <t>FAUSTO RIBEIRO DA SILVA FILHO, DR.</t>
  </si>
  <si>
    <t>EMEF - ULYSSES DA SYLVEIRA GUIMARAES</t>
  </si>
  <si>
    <t>EMEF ULYSSES DA SYLVEIRA GUIMARÃES</t>
  </si>
  <si>
    <t>RUA CONDE DE LANCASTRE</t>
  </si>
  <si>
    <t>JARDIM STA FÉ</t>
  </si>
  <si>
    <t>41741-6</t>
  </si>
  <si>
    <t>ULYSSES DA SYLVEIRA GUIMARAES</t>
  </si>
  <si>
    <t>EMEF - BENEDITO DE JESUS BATISTA LAURINDO - PE BATISTA</t>
  </si>
  <si>
    <t>EMEF PADRE  BENEDITO DE JESUS BATISTA LAURINDO</t>
  </si>
  <si>
    <t>RUA ALFONSO FERRABOSCO</t>
  </si>
  <si>
    <t>PARQUE DOS BANCÁRIOS</t>
  </si>
  <si>
    <t>1549-0</t>
  </si>
  <si>
    <t>SAPOPEMBA</t>
  </si>
  <si>
    <t>20218-5</t>
  </si>
  <si>
    <t>AGNALDO MENEZES BASTOS</t>
  </si>
  <si>
    <t>simone_perelli@yahoo.com.br</t>
  </si>
  <si>
    <t>BRUNO DANIEL DA SILVA</t>
  </si>
  <si>
    <t>BENEDITO DE JESUS BATISTA LAURINDO - PE BATISTA</t>
  </si>
  <si>
    <t>EMEF - JOSE OLYMPIO PEREIRA FILHO</t>
  </si>
  <si>
    <t>emefjopfilho@prefeitura.sp.gov.br</t>
  </si>
  <si>
    <t>TRAVESSA PASSAREIRA</t>
  </si>
  <si>
    <t>7761-5</t>
  </si>
  <si>
    <t>ELIANE VANZIN MENDES</t>
  </si>
  <si>
    <t>ELIEL FERREIRA ALVES</t>
  </si>
  <si>
    <t>JOSE OLYMPIO PEREIRA FILHO</t>
  </si>
  <si>
    <t>EMEI - CAIO GRACO DA SILVA PRADO</t>
  </si>
  <si>
    <t>CAIO GRACCO DA SILVA PRADO</t>
  </si>
  <si>
    <t>RUA PEDRO POMAR</t>
  </si>
  <si>
    <t>JARDIM TEREZA</t>
  </si>
  <si>
    <t>FREGUESIA DO O</t>
  </si>
  <si>
    <t>37667-1</t>
  </si>
  <si>
    <t>CAIO GRACO DA SILVA PRADO</t>
  </si>
  <si>
    <t>EMEI - SEVERINO DO RAMO</t>
  </si>
  <si>
    <t>EMEI SEVERINO DO RAMO</t>
  </si>
  <si>
    <t>RUA FRANSCISCO MONTEIRO TAVARES</t>
  </si>
  <si>
    <t>28255-3</t>
  </si>
  <si>
    <t>VANESSA CRISTINA ARAÚJO</t>
  </si>
  <si>
    <t>SEVERINO DO RAMO</t>
  </si>
  <si>
    <t>EMEI CEU - CARLOS OLIVALDO DE SOUZA LOPES MUNIZ, DR.</t>
  </si>
  <si>
    <t>EMEI CEU</t>
  </si>
  <si>
    <t>EMEI DR CARLOS OLIVALDO S LOPES MUNIZ</t>
  </si>
  <si>
    <t>RUA CLAREAR</t>
  </si>
  <si>
    <t>JARDIM SÃO CARLOS</t>
  </si>
  <si>
    <t>3027-9</t>
  </si>
  <si>
    <t>PONTE RASA</t>
  </si>
  <si>
    <t>17095-X</t>
  </si>
  <si>
    <t>CAMILA MARTINS MORENO BARJA</t>
  </si>
  <si>
    <t>GRAZIELA MURAD</t>
  </si>
  <si>
    <t>CARLOS OLIVALDO DE SOUZA LOPES MUNIZ, DR.</t>
  </si>
  <si>
    <t>EMEI - MARIA LUCIA PETIT DA SILVA, PROFA.</t>
  </si>
  <si>
    <t>EMEI MARIA LUCIA PETIT DA SILVA</t>
  </si>
  <si>
    <t>RUA SOLAR</t>
  </si>
  <si>
    <t>JARDIM ANTARTICA</t>
  </si>
  <si>
    <t>30901-X</t>
  </si>
  <si>
    <t>ADRIANA CRISTINA GERMANO</t>
  </si>
  <si>
    <t>MARIA LUCIA PETIT DA SILVA, PROFA.</t>
  </si>
  <si>
    <t>EMEI - JANIO QUADROS, PRES.</t>
  </si>
  <si>
    <t>EMEI PRESIDENTE JANIO QUADROS</t>
  </si>
  <si>
    <t>emeijquadros@prefeitura.sp.gov.br</t>
  </si>
  <si>
    <t>RUA CANTO DO ENGENHO</t>
  </si>
  <si>
    <t>JARDIM JOAMAR</t>
  </si>
  <si>
    <t>31.788-8</t>
  </si>
  <si>
    <t>LENILSON CINGANO</t>
  </si>
  <si>
    <t>ODETE MARIA BUENO BEDOLO</t>
  </si>
  <si>
    <t>JANIO QUADROS, PRES.</t>
  </si>
  <si>
    <t>EMEI - HENRIQUE RICCHETTI, PROF.</t>
  </si>
  <si>
    <t>EMEI PROF. HENRIQUE RICCHETTI</t>
  </si>
  <si>
    <t>RUA NEBULOSAS</t>
  </si>
  <si>
    <t>CIDADE SATELITE-SANTA BARBARA</t>
  </si>
  <si>
    <t>1830-9</t>
  </si>
  <si>
    <t>30790-4</t>
  </si>
  <si>
    <t>NAIR FIORATO BARBARESCO</t>
  </si>
  <si>
    <t>nfbarbarbesco@uol.com.br</t>
  </si>
  <si>
    <t>DÉBORA BERENGUEL</t>
  </si>
  <si>
    <t>HENRIQUE RICCHETTI, PROF.</t>
  </si>
  <si>
    <t>EMEI - MARINA NOGUEIRA DE SOUZA MARTINS</t>
  </si>
  <si>
    <t>EMEI MARINA NOGUEIRA DE SOUZA MARTINS</t>
  </si>
  <si>
    <t>AVENIDA DIREITOS HUMANOS</t>
  </si>
  <si>
    <t>ALTO MANDAQUI</t>
  </si>
  <si>
    <t>31.779-9</t>
  </si>
  <si>
    <t>GISELA AUNHÃO DO NASCIMENTO</t>
  </si>
  <si>
    <t>scardenuto@uol.com.br</t>
  </si>
  <si>
    <t>ANGELA APARECIDA DOS SANTOS CAMPANHÃ</t>
  </si>
  <si>
    <t>MARINA NOGUEIRA DE SOUZA MARTINS</t>
  </si>
  <si>
    <t>EMEI - JOSE ROBERTO DE CASTRO RIBEIRO, PROF.</t>
  </si>
  <si>
    <t>EMEI JOSE ROBERTO DE CASTRO RIBEIRO, PROF</t>
  </si>
  <si>
    <t>emeijrcribeiro@prefeitura.sp.gov.br</t>
  </si>
  <si>
    <t>RUA ENGENHEIRO CARLOS GRAZIA</t>
  </si>
  <si>
    <t>SANTA ETELVINA</t>
  </si>
  <si>
    <t>4319-2</t>
  </si>
  <si>
    <t>NEGREIROS</t>
  </si>
  <si>
    <t>8.303-8</t>
  </si>
  <si>
    <t>PAULO JOSE PEDROSO</t>
  </si>
  <si>
    <t>JOSE ROBERTO DE CASTRO RIBEIRO, PROF.</t>
  </si>
  <si>
    <t>EMEI - DULCE SALLES FERRAZ, PROFA.</t>
  </si>
  <si>
    <t>EMEI PROFª DULCE SALLES FERRAZ</t>
  </si>
  <si>
    <t>RUA OLIVEIRA ROMA</t>
  </si>
  <si>
    <t>8.331-3</t>
  </si>
  <si>
    <t>VALDETE VIANA DE OLIVEIRA MOISES</t>
  </si>
  <si>
    <t>DULCE SALLES FERRAZ, PROFA.</t>
  </si>
  <si>
    <t>EMEF - OLINDA MENEZES SERRA VIDAL, PROFA.</t>
  </si>
  <si>
    <t>EMEF OLINDA DE MENEZES SERRA VIDAL, PROFª</t>
  </si>
  <si>
    <t>emefolinda@prefeitura.sp.gov.br</t>
  </si>
  <si>
    <t>RUA VÁRZEA NOVA</t>
  </si>
  <si>
    <t>SANTA ETELVINA VII A</t>
  </si>
  <si>
    <t>52.340-2</t>
  </si>
  <si>
    <t>JOÃO BOSCO DE OLIVEIRA MACHADO</t>
  </si>
  <si>
    <t>EDGARD RIBEIRO</t>
  </si>
  <si>
    <t>OLINDA MENEZES SERRA VIDAL, PROFA.</t>
  </si>
  <si>
    <t>EMEF - ANNA LAMBERGA ZEGLIO, VER.</t>
  </si>
  <si>
    <t>EMEF ANNA LAMBERGA ZEGLIO, VER</t>
  </si>
  <si>
    <t>emefalzeglio@prefeitura.sp.gov.br</t>
  </si>
  <si>
    <t>RUA OLÍMPIA MANTANI</t>
  </si>
  <si>
    <t>52.308-9</t>
  </si>
  <si>
    <t>ISIS CAMARGO SANTANA</t>
  </si>
  <si>
    <t>ANNA LAMBERGA ZEGLIO, VER.</t>
  </si>
  <si>
    <t>EMEI - DORACIL DINA BENICIO, PROFA.</t>
  </si>
  <si>
    <t>EMEI PROFª DORACIL DINÁ BENÍCIO</t>
  </si>
  <si>
    <t>RUA BIG BOYS</t>
  </si>
  <si>
    <t>JARDIM NAZARÉ</t>
  </si>
  <si>
    <t>52011-X</t>
  </si>
  <si>
    <t>ALEXANDRA OLIVEIRA PERRIN CABRAL</t>
  </si>
  <si>
    <t>MARLI FERREIRA DA SILVA LACERDA</t>
  </si>
  <si>
    <t>DORACIL DINA BENICIO, PROFA.</t>
  </si>
  <si>
    <t>EMEF - JULIO DE GRAMMONT</t>
  </si>
  <si>
    <t xml:space="preserve">EMEF JULIO DE GRAMMONT </t>
  </si>
  <si>
    <t>TRAVESSA DO MEIRI</t>
  </si>
  <si>
    <t>RODOLFO PIRANI</t>
  </si>
  <si>
    <t>13414-7</t>
  </si>
  <si>
    <t>CARLOS ROBERTO MARÇAL</t>
  </si>
  <si>
    <t>SONIA MARIA DA MOTTA FILHA</t>
  </si>
  <si>
    <t>JULIO DE GRAMMONT</t>
  </si>
  <si>
    <t>EMEI - AYRTON SENNA DA SILVA</t>
  </si>
  <si>
    <t>EMEI AYRTON SENNA DA SILVA</t>
  </si>
  <si>
    <t>SEBASTIÃO AFONSO</t>
  </si>
  <si>
    <t>27.182-9</t>
  </si>
  <si>
    <t>IRAIDES TAVARES DE ALMEIDA</t>
  </si>
  <si>
    <t>JAQUELINE ALVES DE OLIVEIRA</t>
  </si>
  <si>
    <t>AYRTON SENNA DA SILVA</t>
  </si>
  <si>
    <t>EMEI - VIRGILIO TAVORA</t>
  </si>
  <si>
    <t>EMEI VIRGILIO TAVORA</t>
  </si>
  <si>
    <t>JOSÉ MAURO MENDONÇA</t>
  </si>
  <si>
    <t>1545-8</t>
  </si>
  <si>
    <t>VILA MASCOTE</t>
  </si>
  <si>
    <t>17.538-2</t>
  </si>
  <si>
    <t>ELIANE FATIMA VOLTARELLI IGNEZ TAVARES</t>
  </si>
  <si>
    <t>VIRGILIO TAVORA</t>
  </si>
  <si>
    <t>EMEI - SALOMAO JORGE, DEP.</t>
  </si>
  <si>
    <t>emeisjorge@prefeitura.sp.gov.br</t>
  </si>
  <si>
    <t>RUA BACABINHA</t>
  </si>
  <si>
    <t>JARDIM SÃO JOAQUIM</t>
  </si>
  <si>
    <t>7664-3</t>
  </si>
  <si>
    <t>MARGARETH MOREIRA FLORIA BAUMGARTNER</t>
  </si>
  <si>
    <t>LUCIENE SACRAMENTO PAIXÃO PEREIRA</t>
  </si>
  <si>
    <t>SALOMAO JORGE, DEP.</t>
  </si>
  <si>
    <t>EMEF - ERNESTO DE MORAES LEME, PROF.</t>
  </si>
  <si>
    <t>EMEF ERNESTO DE MORAES LEME</t>
  </si>
  <si>
    <t>emefemleme@prefeitura.sp.gov.br</t>
  </si>
  <si>
    <t>RUA VALE DAS FLORES</t>
  </si>
  <si>
    <t>JARDIM SANTA LUCRECIA</t>
  </si>
  <si>
    <t>31099-9</t>
  </si>
  <si>
    <t>JULIANA FAVARETTO</t>
  </si>
  <si>
    <t>ERNESTO DE MORAES LEME, PROF.</t>
  </si>
  <si>
    <t>EMEI - TITO LIVIO FERREIRA, PROF.</t>
  </si>
  <si>
    <t>EMEI TITO LIVIO FERREIRA, PROF.</t>
  </si>
  <si>
    <t>RUA JERONIMO SOUTO MAIOR</t>
  </si>
  <si>
    <t>BRASILANDIA</t>
  </si>
  <si>
    <t>37860-7</t>
  </si>
  <si>
    <t>FERNANDA GONÇALVES DE SOUZA</t>
  </si>
  <si>
    <t>TERESA CRISTINA FONTES</t>
  </si>
  <si>
    <t>TITO LIVIO FERREIRA, PROF.</t>
  </si>
  <si>
    <t>EMEI - CIDADE DO SOL</t>
  </si>
  <si>
    <t>EMEI CIDADE DO SOL</t>
  </si>
  <si>
    <t>RUA ARTISTAS DE HELIÓPOLIS</t>
  </si>
  <si>
    <t>CIDADE NOVA HELIÓPOLIS</t>
  </si>
  <si>
    <t>0647-5</t>
  </si>
  <si>
    <t>Vila  Prudente</t>
  </si>
  <si>
    <t>27.711-8</t>
  </si>
  <si>
    <t>CIDADE DO SOL</t>
  </si>
  <si>
    <t>EMEF - FLAVIO AUGUSTO ROSA, PROF.</t>
  </si>
  <si>
    <t>EMEF PROF. FLÁVIO AUGUSTO ROSA</t>
  </si>
  <si>
    <t>RUA GRUTA DAS PRINCESAS</t>
  </si>
  <si>
    <t>165 - A</t>
  </si>
  <si>
    <t>28483-1</t>
  </si>
  <si>
    <t xml:space="preserve">ILDETE NUNES SOARES </t>
  </si>
  <si>
    <t>ADRIANA BRAGA</t>
  </si>
  <si>
    <t>FLAVIO AUGUSTO ROSA, PROF.</t>
  </si>
  <si>
    <t>EMEI - BENEDICTO CASTRUCCI, PROF.</t>
  </si>
  <si>
    <t>EMEI PROF. BENEDICTO CASTRUCCI</t>
  </si>
  <si>
    <t>RUA CACHOEIRA PORAQUE</t>
  </si>
  <si>
    <t>13.634-4</t>
  </si>
  <si>
    <t>LUCILENE CLEMENTINO DO CARMO LEÃO</t>
  </si>
  <si>
    <t xml:space="preserve">emeibcastrucci@prefeitura.sp.gov.br </t>
  </si>
  <si>
    <t>SILVIA HELENA DE OLIVEIRA</t>
  </si>
  <si>
    <t>BENEDICTO CASTRUCCI, PROF.</t>
  </si>
  <si>
    <t>EMEI - EDUARDO KNEESE DE MELLO, PROF.</t>
  </si>
  <si>
    <t>EMEI EDUARDO KNESSE DE MELLO, PROF</t>
  </si>
  <si>
    <t>emeiekmello@prefeitura.sp.gov.br</t>
  </si>
  <si>
    <t>RUA NASCER DO SOL</t>
  </si>
  <si>
    <t>RODRIGO DE LIMA</t>
  </si>
  <si>
    <t>EDUARDO KNEESE DE MELLO, PROF.</t>
  </si>
  <si>
    <t>EMEI - ELISIARIO RODRIGUES DE SOUSA, PROF.</t>
  </si>
  <si>
    <t>EMEI ELISIARIO RODRIGUES DE SOUSA, PROF</t>
  </si>
  <si>
    <t>emeiersouza@prefeitura.sp.gov.br</t>
  </si>
  <si>
    <t>RUA EDSON DANILO DOTTO</t>
  </si>
  <si>
    <t>19.718-1</t>
  </si>
  <si>
    <t>VALMIR QUEIROZ PEREIRA</t>
  </si>
  <si>
    <t>VALDECIR GOMES COELHO</t>
  </si>
  <si>
    <t>ELISIARIO RODRIGUES DE SOUSA, PROF.</t>
  </si>
  <si>
    <t>EMEF - ANTONIO D'AVILA, PROF.</t>
  </si>
  <si>
    <t>EMEF ANTONIO D'ÁVILA, PROF.</t>
  </si>
  <si>
    <t>RUA IGARAPÉ AGUA AZUL</t>
  </si>
  <si>
    <t>52.127-2</t>
  </si>
  <si>
    <t>EDSON LUIS AMARIO</t>
  </si>
  <si>
    <t>FATIMA REZENDE SHINOHARA DE MENDONÇA</t>
  </si>
  <si>
    <t>ANTONIO D'AVILA, PROF.</t>
  </si>
  <si>
    <t>EMEI - MARIA DAILCE MONTEIRO DA SILVA GOMES, PROFA.</t>
  </si>
  <si>
    <t>EMEI Mª DAILCE M.DA S. GOMES, PROFª</t>
  </si>
  <si>
    <t>RUA MARTINO ARÓSIO</t>
  </si>
  <si>
    <t>VILA AURORA</t>
  </si>
  <si>
    <t>31153-7</t>
  </si>
  <si>
    <t xml:space="preserve">JOSE RICARDO SANT ANNA </t>
  </si>
  <si>
    <t>sbrandolini@prefeitura.sp.gov.br</t>
  </si>
  <si>
    <t xml:space="preserve">LETICIA CELESTE MIGUEL PEREIRA </t>
  </si>
  <si>
    <t>MARIA DAILCE MONTEIRO DA SILVA GOMES, PROFA.</t>
  </si>
  <si>
    <t>EMEF - CAIO SERGIO POMPEU DE TOLEDO, DEP.</t>
  </si>
  <si>
    <t>EMEF CAIO SÉRGIO POMPEU DE TOLEDO, DEP.</t>
  </si>
  <si>
    <t>52.951-6</t>
  </si>
  <si>
    <t>CARLOS ROBERTO MEDEIROS CARDOSO</t>
  </si>
  <si>
    <t>VANESSA LICI</t>
  </si>
  <si>
    <t>CAIO SERGIO POMPEU DE TOLEDO, DEP.</t>
  </si>
  <si>
    <t>EMEF - JOSE CARLOS DE FIGUEIREDO FERRAZ, PREF.</t>
  </si>
  <si>
    <t>EMEF PREFEITO JOSE CARLOS DE FIGUEIREDO FERRAZ</t>
  </si>
  <si>
    <t>RUA ALEXANDER BAIN</t>
  </si>
  <si>
    <t>JARDIM NORDESTE</t>
  </si>
  <si>
    <t>3424-X</t>
  </si>
  <si>
    <t>ARTUR ALVIM</t>
  </si>
  <si>
    <t>26.076-2</t>
  </si>
  <si>
    <t>CARLA BERTOLINI</t>
  </si>
  <si>
    <t>JOSE CARLOS DE FIGUEIREDO FERRAZ, PREF.</t>
  </si>
  <si>
    <t>EMEF - JULIO CESAR DE MELO E SOUSA-MALBA TAHAN, PROF.</t>
  </si>
  <si>
    <t>EMEF PROF JULIO CMS - MALBA T.</t>
  </si>
  <si>
    <t>emefjcmsousa@prefeitura.sp.gov.br</t>
  </si>
  <si>
    <t>ESTRADA DE ITAQUERA GUIANASES</t>
  </si>
  <si>
    <t>51575-2</t>
  </si>
  <si>
    <t>VITOR YOSHI YASHINAGA</t>
  </si>
  <si>
    <t>JULIO CESAR DE MELO E SOUSA-MALBA TAHAN, PROF.</t>
  </si>
  <si>
    <t>EMEF - JOAO FRANZOLIN NETO, PROF.</t>
  </si>
  <si>
    <t>EMEF PROF. JOÃO FRANZOLIN NETO</t>
  </si>
  <si>
    <t>RUA PEDRA LAVRADA</t>
  </si>
  <si>
    <t>VILA CISPER</t>
  </si>
  <si>
    <t>20.684-9</t>
  </si>
  <si>
    <t>ADRIANA OLIVEIRA DE ALMEIDA</t>
  </si>
  <si>
    <t>JOAO FRANZOLIN NETO, PROF.</t>
  </si>
  <si>
    <t>EMEF - PRESTES MAIA</t>
  </si>
  <si>
    <t>EMEF PRESTES MAIA</t>
  </si>
  <si>
    <t>ENG. JOÃO LANG</t>
  </si>
  <si>
    <t>23.479-6</t>
  </si>
  <si>
    <t>JOYCE ANNE GONÇALVES MOL</t>
  </si>
  <si>
    <t>DANIELLY APARECIDA CAMPOS DA MATA</t>
  </si>
  <si>
    <t>PRESTES MAIA</t>
  </si>
  <si>
    <t>EMEF - ERNANI SILVA BRUNO</t>
  </si>
  <si>
    <t>EMEF ERNANI SILVA BRUNO</t>
  </si>
  <si>
    <t>AV INTERATIVA</t>
  </si>
  <si>
    <t>PARADA DE TAIPAS</t>
  </si>
  <si>
    <t>31048-4</t>
  </si>
  <si>
    <t>ANTONIO FRANCISCO DE PAULA FILHO</t>
  </si>
  <si>
    <t>emefesbruno@pref.sp.gov.br</t>
  </si>
  <si>
    <t>ERNANI SILVA BRUNO</t>
  </si>
  <si>
    <t>EMEF - EUZEBIO ROCHA FILHO</t>
  </si>
  <si>
    <t>EMEF EUZEBIO ROCHA FILHO</t>
  </si>
  <si>
    <t>RUA AMPARO DA SERRA, QUADRA E</t>
  </si>
  <si>
    <t>0298-4</t>
  </si>
  <si>
    <t>44792-7</t>
  </si>
  <si>
    <t>CELINA ALMEIDA DE ARAUJO</t>
  </si>
  <si>
    <t>JOSE DOMINGOS CONDE DUARTE</t>
  </si>
  <si>
    <t>EUZEBIO ROCHA FILHO</t>
  </si>
  <si>
    <t>EMEF - FERNANDO GRACIOSO</t>
  </si>
  <si>
    <t>EMEF FERNANDO GRACIOSO</t>
  </si>
  <si>
    <t>RUA SILVERANIA</t>
  </si>
  <si>
    <t>PERUS</t>
  </si>
  <si>
    <t>6871-3</t>
  </si>
  <si>
    <t>113.102-8</t>
  </si>
  <si>
    <t>emeffgracioso@pref.sp.gov.br</t>
  </si>
  <si>
    <t>FERNANDO GRACIOSO</t>
  </si>
  <si>
    <t>EMEF - FLORESTAN FERNANDES, PROF.</t>
  </si>
  <si>
    <t>EMEF FLORESTAN FERNANDES</t>
  </si>
  <si>
    <t>AVENIDA MARGUERITE LONG</t>
  </si>
  <si>
    <t>JARDIM GUANABARA</t>
  </si>
  <si>
    <t>41780-7</t>
  </si>
  <si>
    <t>FLORESTAN FERNANDES, PROF.</t>
  </si>
  <si>
    <t>EMEFM - RUBENS PAIVA</t>
  </si>
  <si>
    <t>EMEFM</t>
  </si>
  <si>
    <t xml:space="preserve">EMEFM RUBENS PAIVA </t>
  </si>
  <si>
    <t>AVENIDA JOSE VELHO BARRETO</t>
  </si>
  <si>
    <t>PARQUE COLONIAL</t>
  </si>
  <si>
    <t>20316-5</t>
  </si>
  <si>
    <t>EUNICE DE SOUZA WOLLENA</t>
  </si>
  <si>
    <t>RUBENS PAIVA</t>
  </si>
  <si>
    <t>EMEF - CLAUDIA BARTOLOMAZI, PROFA.</t>
  </si>
  <si>
    <t>EMEF CLAUDIA BARTOLOMAZI</t>
  </si>
  <si>
    <t>RUA ARROIO ARAPONGAS</t>
  </si>
  <si>
    <t>52.044-6</t>
  </si>
  <si>
    <t>CLAUDIA MARIA DA SILVA LOURENÇO</t>
  </si>
  <si>
    <t>CLAUDIA BARTOLOMAZI, PROFA.</t>
  </si>
  <si>
    <t>EMEF - ANNA SILVEIRA PEDREIRA</t>
  </si>
  <si>
    <t>RUA JOSÉ MANOEL CAMISA NOVA</t>
  </si>
  <si>
    <t>COHAB JARDIM SÃO LUIS</t>
  </si>
  <si>
    <t>32500-7</t>
  </si>
  <si>
    <t>DAYANE REGINA ADORNO BEZERRA</t>
  </si>
  <si>
    <t>janetegsa@yahoo.com.br</t>
  </si>
  <si>
    <t>SONIA CRISTINA LACERDA CHAGAS DA SILVA</t>
  </si>
  <si>
    <t>ANNA SILVEIRA PEDREIRA</t>
  </si>
  <si>
    <t>EMEI - CELSO DE SOUSA OLIVEIRA, PROF.</t>
  </si>
  <si>
    <t>EMEI CELSO DE SOUZA OLIVEIRA,PROFESSOR</t>
  </si>
  <si>
    <t>emeicsoliveira@prefeitura.sp.gov.br</t>
  </si>
  <si>
    <t>RUA ROBERTO LANARI</t>
  </si>
  <si>
    <t>JOVA RURAL</t>
  </si>
  <si>
    <t>32.124-9</t>
  </si>
  <si>
    <t>CELSO DE SOUSA OLIVEIRA, PROF.</t>
  </si>
  <si>
    <t>EMEF - VICENTE AMATO SOBRINHO, COM.</t>
  </si>
  <si>
    <t>EMEF COM. VICENTE AMATO SOBRINHO</t>
  </si>
  <si>
    <t>RUA VALDOMIRO GANZAGA SILVA</t>
  </si>
  <si>
    <t>JARDIM MILIUNAS</t>
  </si>
  <si>
    <t>28083-6</t>
  </si>
  <si>
    <t>GUILHERME CORDEIRO DA SILVA</t>
  </si>
  <si>
    <t>VICENTE AMATO SOBRINHO, COM.</t>
  </si>
  <si>
    <t>EMEFM - GUIOMAR CABRAL</t>
  </si>
  <si>
    <t>EMEFM GUIOMAR CABRAL</t>
  </si>
  <si>
    <t>AVENIDA MEMOTTI LAUDÍSIO</t>
  </si>
  <si>
    <t>JARDIM CIDADE PIRITUBA</t>
  </si>
  <si>
    <t>31056-5</t>
  </si>
  <si>
    <t xml:space="preserve">IOLANDA DE SOUZA LUZ </t>
  </si>
  <si>
    <t xml:space="preserve">NEUSA MARIA DE SOUZA </t>
  </si>
  <si>
    <t>GUIOMAR CABRAL</t>
  </si>
  <si>
    <t>EMEI - CONJ. HABITACIONAL VALO VELHO</t>
  </si>
  <si>
    <t>emeicvvelho@prefeitura.sp.gov.br</t>
  </si>
  <si>
    <t>RUA GINGADINHO</t>
  </si>
  <si>
    <t>COHAB JARDIMSÃO BENTO</t>
  </si>
  <si>
    <t>7691-0</t>
  </si>
  <si>
    <t>KEILA CINTIA DE MELLO</t>
  </si>
  <si>
    <t>CONJ. HABITACIONAL VALO VELHO</t>
  </si>
  <si>
    <t>EMEI - VICENTE MATHEUS</t>
  </si>
  <si>
    <t>EMEI VICENTE MATHEUS</t>
  </si>
  <si>
    <t>emeivmatheus@prefeitura.sp.gov.br</t>
  </si>
  <si>
    <t>RUA ALEXANDRE CHEID</t>
  </si>
  <si>
    <t>PARQUE SAVOY CITY</t>
  </si>
  <si>
    <t>13508-9</t>
  </si>
  <si>
    <t>CLAUDIA AP. R. G. COSTANZO</t>
  </si>
  <si>
    <t>VICENTE MATHEUS</t>
  </si>
  <si>
    <t>EMEI - DO LAR SIRIO</t>
  </si>
  <si>
    <t>EMEI DO LAR SÍRIO</t>
  </si>
  <si>
    <t>RUA SERRA DE BRAGANÇA</t>
  </si>
  <si>
    <t>TATUAPÉ</t>
  </si>
  <si>
    <t>1204-1</t>
  </si>
  <si>
    <t>SILVIO ROMERO</t>
  </si>
  <si>
    <t>29.378-4</t>
  </si>
  <si>
    <t>KATIA REGINA DE OLIVEIRA</t>
  </si>
  <si>
    <t>DO LAR SIRIO</t>
  </si>
  <si>
    <t>EMEFM - ANTONIO SAMPAIO, VER.</t>
  </si>
  <si>
    <t>EMEFM VEREADOR ANTONIO SAMPAIO</t>
  </si>
  <si>
    <t>RUA VOLUNTÁRIOS DA PATRIA</t>
  </si>
  <si>
    <t>SANTANA</t>
  </si>
  <si>
    <t>75007-7</t>
  </si>
  <si>
    <t>JORGE LUIS FELIZARDO DOS SANTOS</t>
  </si>
  <si>
    <t>asuengo@hotmail.com</t>
  </si>
  <si>
    <t>JOSÉ CARLOS ADÃO DOS SANTOS</t>
  </si>
  <si>
    <t>ANTONIO SAMPAIO, VER.</t>
  </si>
  <si>
    <t>EMEI - RUTH GONCALVES CHAVES DE SIQUEIRA, PROFA.</t>
  </si>
  <si>
    <t>EMEI PROFª RUTH GONÇALVES CHAVES DE SIQUEIRA</t>
  </si>
  <si>
    <t>RUA FIGUEIRA DA POLINÉSIA</t>
  </si>
  <si>
    <t>PARQUE BOTURUSSU</t>
  </si>
  <si>
    <t>FRANCELEZE ANTONIA DA SILVA BRITO</t>
  </si>
  <si>
    <t>RUTH GONCALVES CHAVES DE SIQUEIRA, PROFA.</t>
  </si>
  <si>
    <t>EMEI - MARIA LUIZA MORETTI GENTILE, PROFA.</t>
  </si>
  <si>
    <t>EMEI PROFESSORA MARIA LUIZA MORETTI GENTILE</t>
  </si>
  <si>
    <t>emeimlmgentile@prefeitura.sp.gov.br</t>
  </si>
  <si>
    <t>RUA JACARAIPE</t>
  </si>
  <si>
    <t>VILA PRUDENTE</t>
  </si>
  <si>
    <t>Vila Prudente</t>
  </si>
  <si>
    <t>27.762-2</t>
  </si>
  <si>
    <t>MARIA LUIZA MORETTI GENTILE, PROFA.</t>
  </si>
  <si>
    <t>EMEF - CLOTILDE ROSA HENRIQUES ELIAS, PROFA.</t>
  </si>
  <si>
    <t>EMEF PROF CLOTILDE R. H. ELIAS</t>
  </si>
  <si>
    <t>emefclotilde@prefeitura.sp.gov.br</t>
  </si>
  <si>
    <t xml:space="preserve">RUA ARROIO CAMPO BOM </t>
  </si>
  <si>
    <t>52280-5</t>
  </si>
  <si>
    <t>CLOTILDE ROSA HENRIQUES ELIAS, PROFA.</t>
  </si>
  <si>
    <t>EMEI - VALENTINA ANTONINI DA SILVA, PROFA.</t>
  </si>
  <si>
    <t>EMEI PROF VALENTINA ANTONINI DA SILVA</t>
  </si>
  <si>
    <t>RUA CONCEIÇÃO DO ALMEIDA</t>
  </si>
  <si>
    <t>VILA MARA</t>
  </si>
  <si>
    <t>51757-7</t>
  </si>
  <si>
    <t>DORALUCE MARTINS DOS REIS SILVA</t>
  </si>
  <si>
    <t>VALENTINA ANTONINI DA SILVA, PROFA.</t>
  </si>
  <si>
    <t>EMEI - SEBASTIANA DE ARRUDA CRUZ OLIVEIRA, PROFA.</t>
  </si>
  <si>
    <t>EMEI PROF SEBASTIANA DE ARRUDA CRUZ OLIVEIRA</t>
  </si>
  <si>
    <t>RUA PAULO TAPAJÓS</t>
  </si>
  <si>
    <t>ENCOSTA NORTE</t>
  </si>
  <si>
    <t>28092-5</t>
  </si>
  <si>
    <t>DANYLO AURÉLIO SANTOS</t>
  </si>
  <si>
    <t>SEBASTIANA DE ARRUDA CRUZ OLIVEIRA, PROFA.</t>
  </si>
  <si>
    <t>EMEI - HELENA LOPES SANTANA DA SILVA, PROFA.</t>
  </si>
  <si>
    <t>EMEI HELENA LOPES SANTANA DA SILVA, PROFª</t>
  </si>
  <si>
    <t>emeihlssilva@prefeitura.sp.gov.br</t>
  </si>
  <si>
    <t>VILA CHABILÂNDIA</t>
  </si>
  <si>
    <t>20.172-3</t>
  </si>
  <si>
    <t>ELIS REGINA CORREAS GARCIA</t>
  </si>
  <si>
    <t>ZILMA FERNANDA SANTOS DA SILVA</t>
  </si>
  <si>
    <t>HELENA LOPES SANTANA DA SILVA, PROFA.</t>
  </si>
  <si>
    <t>EMEI - JOSE JOAQUIM DA SILVA</t>
  </si>
  <si>
    <t>EMEI JOSE JOAQUIM DA SILVA</t>
  </si>
  <si>
    <t>emeijjsilva@prefeitura.sp.gov.br</t>
  </si>
  <si>
    <t>RUA SD ANESIO ANTÃO FERREIRA</t>
  </si>
  <si>
    <t>JARDIM JAPÃO</t>
  </si>
  <si>
    <t>31.811-6</t>
  </si>
  <si>
    <t>ALESSANDRA FABIANA COIMBRA CARVALHO LATORRACA</t>
  </si>
  <si>
    <t>MARCOS ANTONIO FLORIANO</t>
  </si>
  <si>
    <t>JOSE JOAQUIM DA SILVA</t>
  </si>
  <si>
    <t>EMEI - ANTONIO FIGUEIREDO AMARAL</t>
  </si>
  <si>
    <t>EMEI ANTONIO FIGUEIREDO AMARAL</t>
  </si>
  <si>
    <t xml:space="preserve">RUA LEONARDO JONES JÚNIOR         </t>
  </si>
  <si>
    <t>BARRA FUNDA</t>
  </si>
  <si>
    <t>3324-3</t>
  </si>
  <si>
    <t>R.Anhaia</t>
  </si>
  <si>
    <t>110.642-2</t>
  </si>
  <si>
    <t>emei.afa@itelefonica.com.br</t>
  </si>
  <si>
    <t>ANTONIO FIGUEIREDO AMARAL</t>
  </si>
  <si>
    <t>EMEF - MAILSON DELANE, PROF.</t>
  </si>
  <si>
    <t>EMEF MAILSON DELANE, PROF.</t>
  </si>
  <si>
    <t>emefmdelane@prefeitura.sp.gov.br</t>
  </si>
  <si>
    <t>RUA SALVADOR VIGANO</t>
  </si>
  <si>
    <t>BARRO BRANCO II</t>
  </si>
  <si>
    <t>52.352-6</t>
  </si>
  <si>
    <t>SOLANGE MARIA MANOEL</t>
  </si>
  <si>
    <t>MONICA RODRIGUES DE MORAES</t>
  </si>
  <si>
    <t>MAILSON DELANE, PROF.</t>
  </si>
  <si>
    <t>EMEF - PERICLES EUGENIO DA SILVA RAMOS</t>
  </si>
  <si>
    <t>EMEF PERICLES EUGENIO DA SILVA RAMOS</t>
  </si>
  <si>
    <t>RUA PROF. JOSÉ OZI</t>
  </si>
  <si>
    <t>COHAB H IP</t>
  </si>
  <si>
    <t>0301-8</t>
  </si>
  <si>
    <t>Ipiranga</t>
  </si>
  <si>
    <t>35.236-5</t>
  </si>
  <si>
    <t>dmbarile@yahoo.com.br</t>
  </si>
  <si>
    <t>PERICLES EUGENIO DA SILVA RAMOS</t>
  </si>
  <si>
    <t>EMEI - LUCILIA DE ANDRADE FERREIRA, PROFA.</t>
  </si>
  <si>
    <t>EMEI LUCILIA DE ANDRADE FERREIRA</t>
  </si>
  <si>
    <t>RUA CACHOEIRA TRINFO</t>
  </si>
  <si>
    <t>19.675-4</t>
  </si>
  <si>
    <t>MARIA MAGALI DOS SANTOS PEREIRA</t>
  </si>
  <si>
    <t>emeilucilia@ig.com.br</t>
  </si>
  <si>
    <t>MARIA JOSE DE OLIVEIRA</t>
  </si>
  <si>
    <t>LUCILIA DE ANDRADE FERREIRA, PROFA.</t>
  </si>
  <si>
    <t>EMEFM - DARCY RIBEIRO</t>
  </si>
  <si>
    <t>EMEFM DARCY RIBEIRO</t>
  </si>
  <si>
    <t>RUA DANIEL BERNADO</t>
  </si>
  <si>
    <t>51726-7</t>
  </si>
  <si>
    <t>JULIO CESAR RUIZ DE SOUSA</t>
  </si>
  <si>
    <t>ROBERTO SANT ANA DA SILVA</t>
  </si>
  <si>
    <t>DARCY RIBEIRO</t>
  </si>
  <si>
    <t>EMEI - MARIA DE LOURDES COUTINHO TORRES, DA.</t>
  </si>
  <si>
    <t xml:space="preserve">EMEI DONA MARIA DE LOURDES COUTINHO TORRES </t>
  </si>
  <si>
    <t>RUA BARTOLOMEU GONCALVES</t>
  </si>
  <si>
    <t>JARDIM ESTER</t>
  </si>
  <si>
    <t>30764-5</t>
  </si>
  <si>
    <t>SONIA ROCHA DE LIMA ZACARIOTI</t>
  </si>
  <si>
    <t>zacarioti@uol.com.br</t>
  </si>
  <si>
    <t>LUCIANA MARINHO PONTES</t>
  </si>
  <si>
    <t>MARIA DE LOURDES COUTINHO TORRES, DA.</t>
  </si>
  <si>
    <t>EMEI - MARIA APARECIDA VITA PIANTE, PROFA.</t>
  </si>
  <si>
    <t>EMEI PROFª MARIA APARECIDA VITA PIANTE</t>
  </si>
  <si>
    <t>emeimavpiante@prefeitura.sp.gov.br</t>
  </si>
  <si>
    <t>RUA JOÃO FRANCISCO DE MELLO</t>
  </si>
  <si>
    <t>VILA NOVA ALBA</t>
  </si>
  <si>
    <t>13.625-5</t>
  </si>
  <si>
    <t>MARIA APARECIDA VITA PIANTE, PROFA.</t>
  </si>
  <si>
    <t>EMEI - CAMILLO ASHCAR, PROF.</t>
  </si>
  <si>
    <t>EMEI PROF. CAMILLO ASHCÁR</t>
  </si>
  <si>
    <t>emeicashcar@prefeitura.sp.gov.br</t>
  </si>
  <si>
    <t>RUA JOSÉ PORFIRIO DE SOUZA</t>
  </si>
  <si>
    <t>COHAB JARDIM EDUCANDÁRIO</t>
  </si>
  <si>
    <t>1544-X</t>
  </si>
  <si>
    <t>AV. PROF. FRANCISCO MORATO</t>
  </si>
  <si>
    <t>16.006-7</t>
  </si>
  <si>
    <t>JACINTA MATILDE HERMINIO MARTINS</t>
  </si>
  <si>
    <t>INÊS GONÇALVES REIS</t>
  </si>
  <si>
    <t>CAMILLO ASHCAR, PROF.</t>
  </si>
  <si>
    <t>EMEI - ALICE FEITOSA, DA.</t>
  </si>
  <si>
    <t>EMEI DONA ALICE FEITOSA</t>
  </si>
  <si>
    <t>RUA TARCON</t>
  </si>
  <si>
    <t>JARDIM ADELFIORE</t>
  </si>
  <si>
    <t>113-118-4</t>
  </si>
  <si>
    <t>renata.llago@terra.com.br</t>
  </si>
  <si>
    <t>ALICE FEITOSA, DA.</t>
  </si>
  <si>
    <t>EMEI - CEZAR ROGERIO OLIVEIRA PERAMEZZA, PROF.</t>
  </si>
  <si>
    <t>EMEI PROFº CÉZAR ROGÉRIO OLIVEIRA PERAMEZZA</t>
  </si>
  <si>
    <t>RUA PROFESSOR THIRE</t>
  </si>
  <si>
    <t>VILA NHOCUNÉ</t>
  </si>
  <si>
    <t>19.885-4</t>
  </si>
  <si>
    <t>JAMIL ALVES</t>
  </si>
  <si>
    <t>LAUSIMAR ONILIA MANOEL</t>
  </si>
  <si>
    <t>CEZAR ROGERIO OLIVEIRA PERAMEZZA, PROF.</t>
  </si>
  <si>
    <t>EMEI - ANTONIO MUNHOZ BONILHA</t>
  </si>
  <si>
    <t>EMEI ANTONIO MUNHOZ BONILHA</t>
  </si>
  <si>
    <t>RUA VICENTE ANTONIO DE OLIVEIRA</t>
  </si>
  <si>
    <t>31044-1</t>
  </si>
  <si>
    <t xml:space="preserve">SERGIO ANTONIO DA SILVA </t>
  </si>
  <si>
    <t>emeiambonilha@sme.prefeitura.sp.gov.br</t>
  </si>
  <si>
    <t>ANTONIO MUNHOZ BONILHA</t>
  </si>
  <si>
    <t>EMEI - ALEX FREUA NETTO, VER.</t>
  </si>
  <si>
    <t>EMEI ALEX FREUA NETTO, VER.</t>
  </si>
  <si>
    <t>RUA SANTANA DO ARAÇUAI</t>
  </si>
  <si>
    <t>JARDIM GUARANI</t>
  </si>
  <si>
    <t>37681-7</t>
  </si>
  <si>
    <t>JOANA APARECIDA GOMES NOGUEIRA</t>
  </si>
  <si>
    <t>SILVANA DE CASSIA COEN SIMEONI</t>
  </si>
  <si>
    <t>ALEX FREUA NETTO, VER.</t>
  </si>
  <si>
    <t>EMEI - VERA ARNONI SCALQUETTI, PROFA.</t>
  </si>
  <si>
    <t>EMEI PROFESSORA VERA ARNONI SCALQUETTE</t>
  </si>
  <si>
    <t>emeivascalquetti@prefeitura.sp.gov.br</t>
  </si>
  <si>
    <t>RUA TANQUE VELHO</t>
  </si>
  <si>
    <t>31.787-X</t>
  </si>
  <si>
    <t>VIVIAN FERNANDA VILLARES MANHA</t>
  </si>
  <si>
    <t>JANETE SILVA DE OLIVEIRA</t>
  </si>
  <si>
    <t>VERA ARNONI SCALQUETTI, PROFA.</t>
  </si>
  <si>
    <t>EMEI - ANTONIO CARLOS BRASILEIRO DE ALMEIDA JOBIM - TOM JOBIM</t>
  </si>
  <si>
    <t>EMEI ANTONIO CARLOS BRASILEIRO  DE ALMEIDA JOBIM - TOM JOBIM</t>
  </si>
  <si>
    <t>RUA GEOVANNI ALBERONI</t>
  </si>
  <si>
    <t>VILA CARDOSO FRANCO</t>
  </si>
  <si>
    <t>1852-X</t>
  </si>
  <si>
    <t>PARQUE DAS NAÇÕES</t>
  </si>
  <si>
    <t>21335-7</t>
  </si>
  <si>
    <t>DJANEIDE ALVES DE FREITAS</t>
  </si>
  <si>
    <t>VANESSA CACERES SCUDILIO</t>
  </si>
  <si>
    <t>ANTONIO CARLOS BRASILEIRO DE ALMEIDA JOBIM - TOM JOBIM</t>
  </si>
  <si>
    <t>EMEI - MORENO, CTE.</t>
  </si>
  <si>
    <t>EMEI COMANDANTE MORENO</t>
  </si>
  <si>
    <t>emeimoreno@prefeitura.sp.gov.br</t>
  </si>
  <si>
    <t>RUA MARCOLINO VAZ FIGUEIRA</t>
  </si>
  <si>
    <t>JARDIM GUARAÚ</t>
  </si>
  <si>
    <t>21.252-0</t>
  </si>
  <si>
    <t>LUCIANA DA SILVA</t>
  </si>
  <si>
    <t>ALESSANDRA ESTRIBITA DE ALMEIDA CHAGAS</t>
  </si>
  <si>
    <t>MORENO, CTE.</t>
  </si>
  <si>
    <t>EMEI - JOSEMARIA ESCRIVA, BEM-AVENTURADO</t>
  </si>
  <si>
    <t>EMEI BEM AVENTURA JOSEMARIA ESCRIVÁ</t>
  </si>
  <si>
    <t>emeijmescriva@prefeitura.sp.gov.br</t>
  </si>
  <si>
    <t>RUA PROF. ARNALDO JOÃO SEMERARO</t>
  </si>
  <si>
    <t>JARDIM STA EMILIA</t>
  </si>
  <si>
    <t>1205-X</t>
  </si>
  <si>
    <t>Av. do Cursino</t>
  </si>
  <si>
    <t>21.731-X</t>
  </si>
  <si>
    <t>Paula Vanessa Alves Carvalho Ribeiro</t>
  </si>
  <si>
    <t>JOSEMARIA ESCRIVA, BEM-AVENTURADO</t>
  </si>
  <si>
    <t>EMEF - CARLOS CORREA MASCARO, PROF.</t>
  </si>
  <si>
    <t xml:space="preserve">EMEF PROFESSOR CARLOS CORREA MASCARO </t>
  </si>
  <si>
    <t>TRAVESSA SALVE A MOCIDADE</t>
  </si>
  <si>
    <t>JARDIM DA CONQUISTA</t>
  </si>
  <si>
    <t>4299-4</t>
  </si>
  <si>
    <t>AV. RAGUEB CHOHFI</t>
  </si>
  <si>
    <t>10999-1</t>
  </si>
  <si>
    <t>CÉLIA MARIA NUNES</t>
  </si>
  <si>
    <t>EUDIRA DA COSTA OLIVEIRA</t>
  </si>
  <si>
    <t>CARLOS CORREA MASCARO, PROF.</t>
  </si>
  <si>
    <t>EMEI - JOAO MENDONCA FALCAO</t>
  </si>
  <si>
    <t>EMEI JOÃO MENDONÇA FALCÃO</t>
  </si>
  <si>
    <t>RUA CEL. MURSA</t>
  </si>
  <si>
    <t>BRÁS</t>
  </si>
  <si>
    <t>0442-1</t>
  </si>
  <si>
    <t>LUZ</t>
  </si>
  <si>
    <t>39.323-1</t>
  </si>
  <si>
    <t>PATRICIA GUTSCHOV CAMPOS</t>
  </si>
  <si>
    <t>JOAO MENDONCA FALCAO</t>
  </si>
  <si>
    <t>EMEI - GESSY GEBARA, PROFA.</t>
  </si>
  <si>
    <t>EMEI GESSY GEBARA</t>
  </si>
  <si>
    <t>RUA CACHOEIRA DAS GARÇAS</t>
  </si>
  <si>
    <t>SÍTIO CONCEIÇÃO</t>
  </si>
  <si>
    <t>20.026-3</t>
  </si>
  <si>
    <t>CLAUDIA FRANCO DANI</t>
  </si>
  <si>
    <t>GESSY GEBARA, PROFA.</t>
  </si>
  <si>
    <t>EMEF - DAMIAO, FREI</t>
  </si>
  <si>
    <t>EMEF DAMIÃO, FREI</t>
  </si>
  <si>
    <t>RUA DANIEL ALOMIA</t>
  </si>
  <si>
    <t>JARDIM CIPRAMAR</t>
  </si>
  <si>
    <t>4309-5</t>
  </si>
  <si>
    <t>14327-8</t>
  </si>
  <si>
    <t>WANDERLEY GOMES MUNIZ</t>
  </si>
  <si>
    <t>LUCINÉIA SENA LESSA</t>
  </si>
  <si>
    <t>DAMIAO, FREI</t>
  </si>
  <si>
    <t>EMEI - ANTONIO CALLADO</t>
  </si>
  <si>
    <t>EMEI ANTONIO CALLADO</t>
  </si>
  <si>
    <t>RUA ARAGUACEMA</t>
  </si>
  <si>
    <t>BAIRRO DO LIMÃO</t>
  </si>
  <si>
    <t>4298-6</t>
  </si>
  <si>
    <t>DEPUTADO EMILIO CARLOS</t>
  </si>
  <si>
    <t>10122-2</t>
  </si>
  <si>
    <t>ANTONIO CALLADO</t>
  </si>
  <si>
    <t>EMEF - PAULO FREIRE, PROF.</t>
  </si>
  <si>
    <t>emefpfreire@prefeitura.sp.gov.br</t>
  </si>
  <si>
    <t>RUA MELCHIOR GIOLA</t>
  </si>
  <si>
    <t>PARAISÓPOLIS</t>
  </si>
  <si>
    <t>PORTAL MORUMBI</t>
  </si>
  <si>
    <t>11274-7</t>
  </si>
  <si>
    <t>LUCIENE MELO MUÑOZ</t>
  </si>
  <si>
    <t>CATARINA DE GOES VILELA</t>
  </si>
  <si>
    <t>PAULO FREIRE, PROF.</t>
  </si>
  <si>
    <t>EMEF - LINO DE MATTOS, SEN.</t>
  </si>
  <si>
    <t>EMEF SEN LINO DE MATTOS</t>
  </si>
  <si>
    <t>RUA SAPUPIRA</t>
  </si>
  <si>
    <t>JARDIM PEDRO JOSÉ NUNES</t>
  </si>
  <si>
    <t>17186-7</t>
  </si>
  <si>
    <t>JANAINA SEVERINA DE SOUZA DUARTE</t>
  </si>
  <si>
    <t>LINO DE MATTOS, SEN.</t>
  </si>
  <si>
    <t>EMEF - JAIRO DE ALMEIDA, PROF.</t>
  </si>
  <si>
    <t>EMEF JAIRO DE ALMEIDA, PROFº</t>
  </si>
  <si>
    <t>RUA RECANTO DOS HUMILDES</t>
  </si>
  <si>
    <t>113.006-4</t>
  </si>
  <si>
    <t>emefjalmeida@pref.sp.gov.br</t>
  </si>
  <si>
    <t>JAIRO DE ALMEIDA, PROF.</t>
  </si>
  <si>
    <t>EMEI - CHACARA SONHO AZUL</t>
  </si>
  <si>
    <t>emeicsazul@prefeitura.sp.gov.br</t>
  </si>
  <si>
    <t>TRAVESSA ALCATO</t>
  </si>
  <si>
    <t>CHAC. SONHO AZUL</t>
  </si>
  <si>
    <t>1547-4</t>
  </si>
  <si>
    <t>AV. JOÃO DIAS</t>
  </si>
  <si>
    <t>26650-7</t>
  </si>
  <si>
    <t>ANTONIO NORBERTO MARTINS</t>
  </si>
  <si>
    <t>MARIAZINHA FRANCISCA S. DA SILVA</t>
  </si>
  <si>
    <t>CHACARA SONHO AZUL</t>
  </si>
  <si>
    <t>EMEF - CELIA REGINA LEKEVICIUS CONSOLIN, PROFA.</t>
  </si>
  <si>
    <t>EMEF CELIA REGINA LEKEVICIUS CONSOLIN</t>
  </si>
  <si>
    <t>RUA GIUSEPPE MARINO</t>
  </si>
  <si>
    <t>PARQUE NOVO MUNDO</t>
  </si>
  <si>
    <t>1220-X</t>
  </si>
  <si>
    <t>31.772-1</t>
  </si>
  <si>
    <t>KLEBER WILLIAM ALVES DA SILVA</t>
  </si>
  <si>
    <t>emefcriconsolin@prefeitura.sp.gov.br</t>
  </si>
  <si>
    <t>ZENILDA CARVALHO MOTA</t>
  </si>
  <si>
    <t>CELIA REGINA LEKEVICIUS CONSOLIN, PROFA.</t>
  </si>
  <si>
    <t>EMEI - ADALBERTO PANZAN, DR.</t>
  </si>
  <si>
    <t xml:space="preserve">EMEI DR. ADALBERTO PANZAN </t>
  </si>
  <si>
    <t>RUA LUISA SARAZIM</t>
  </si>
  <si>
    <t>JARDIM DAS LARANJEIRAS</t>
  </si>
  <si>
    <t>30743-2</t>
  </si>
  <si>
    <t>mipaiola@gmail.com</t>
  </si>
  <si>
    <t>RAQUEL AMARO DE OLIVEIRA</t>
  </si>
  <si>
    <t>ADALBERTO PANZAN, DR.</t>
  </si>
  <si>
    <t>EMEI - THEREZA THE DE CARVALHO, PROFA.</t>
  </si>
  <si>
    <t>EMEI PROF THEREZATHE DE C.</t>
  </si>
  <si>
    <t>emeittcarvalho@prefeitura.sp.gov.br</t>
  </si>
  <si>
    <t>RUA BARRA DO CAMARAGIBE</t>
  </si>
  <si>
    <t>VILA GUARANI</t>
  </si>
  <si>
    <t>2882-7</t>
  </si>
  <si>
    <t>VILA FORMOSA</t>
  </si>
  <si>
    <t>21709-3</t>
  </si>
  <si>
    <t>ANAMARIA RIBEIRO LEITE</t>
  </si>
  <si>
    <t>THEREZA THE DE CARVALHO, PROFA.</t>
  </si>
  <si>
    <t>EMEI - MARIA CECILIA DEZAN ROCHA, PROFA.</t>
  </si>
  <si>
    <t xml:space="preserve">EMEI PROF MARIA CECILIA DEZAN ROCHA </t>
  </si>
  <si>
    <t>RUA ADAUTO FERNANDES DE ANDRADE</t>
  </si>
  <si>
    <t>20147-2</t>
  </si>
  <si>
    <t>MARIANA FERREIRA DA CRUZ</t>
  </si>
  <si>
    <t>MARIA CECILIA DEZAN ROCHA, PROFA.</t>
  </si>
  <si>
    <t>EMEI - JOAO RUBENS MARCELO</t>
  </si>
  <si>
    <t>EMEI JOÃO RUBENS MARCELO</t>
  </si>
  <si>
    <t>emeirmarcelo@prefeitura.sp.gov.br</t>
  </si>
  <si>
    <t>RUA AZEVEDO E BRITO</t>
  </si>
  <si>
    <t>VILA CARRÃO  URB</t>
  </si>
  <si>
    <t>128739-7</t>
  </si>
  <si>
    <t>ADRIANA VILANI MONTILHA</t>
  </si>
  <si>
    <t>JOAO RUBENS MARCELO</t>
  </si>
  <si>
    <t>EMEI - ARTHUR BAPTISTA DA LUZ</t>
  </si>
  <si>
    <t>EMEI ARTHUR BAPTISTA DA LUZ</t>
  </si>
  <si>
    <t>CUNHA MENDES</t>
  </si>
  <si>
    <t>23.429-X</t>
  </si>
  <si>
    <t>DEBORA RUIZ VEIGA</t>
  </si>
  <si>
    <t>EDVALDO MARTINS PEREIRA DE SOUZA</t>
  </si>
  <si>
    <t>ARTHUR BAPTISTA DA LUZ</t>
  </si>
  <si>
    <t>EMEI - DINAH FERNANDES COSTA , PROFA.</t>
  </si>
  <si>
    <t>EMEI PROFª DINAH FERNANDES COSTA</t>
  </si>
  <si>
    <t>RUA JOSÉ GIORDANO</t>
  </si>
  <si>
    <t>PARQUE PAINEIRAS</t>
  </si>
  <si>
    <t>4311-7</t>
  </si>
  <si>
    <t>CAMPANELLA</t>
  </si>
  <si>
    <t>9.286-X</t>
  </si>
  <si>
    <t>LUIZ TARCISIO BOTELHO DE SOUZA</t>
  </si>
  <si>
    <t>DINAH FERNANDES COSTA , PROFA.</t>
  </si>
  <si>
    <t>EMEI - NEUSA CONCEICAO STINCHI, PROFA.</t>
  </si>
  <si>
    <t>EMEI PROFª NEUSA CONCEIÇÃO STINCHI</t>
  </si>
  <si>
    <t>PRAÇA CEL EZEQUIEL</t>
  </si>
  <si>
    <t>JARDIM DANFER</t>
  </si>
  <si>
    <t>PENHA DE FRANÇA</t>
  </si>
  <si>
    <t>44.669-6</t>
  </si>
  <si>
    <t>CRISTIANE SOARES MASCARENHAS OLIVEIRA</t>
  </si>
  <si>
    <t>MARIA ISABEL MILANI DE ALMEIDA</t>
  </si>
  <si>
    <t>NEUSA CONCEICAO STINCHI, PROFA.</t>
  </si>
  <si>
    <t>EMEI - CLEIDE MOREIRA DOS SANTOS, PROFA.</t>
  </si>
  <si>
    <t>EMEI PROFA CLEIDE MOREIRA DOS SANTOS</t>
  </si>
  <si>
    <t>emeicmsantos@prefeitura.sp.gov.br</t>
  </si>
  <si>
    <t>RUA DELMAR SAOARES</t>
  </si>
  <si>
    <t>VILA PEDRA BRANCA</t>
  </si>
  <si>
    <t>31.766-7</t>
  </si>
  <si>
    <t>ANA CLAUDIA BUSSANELI</t>
  </si>
  <si>
    <t>ANA LUCIA DE OLIVEIRA CONCEIÇÃO</t>
  </si>
  <si>
    <t>CLEIDE MOREIRA DOS SANTOS, PROFA.</t>
  </si>
  <si>
    <t>EMEI - DALMO AMARAL MACHADO, PROF.</t>
  </si>
  <si>
    <t>EMEI PROF DALMO AMARAL MACHADO</t>
  </si>
  <si>
    <t>RUA JOÃO CARLOS AMAT</t>
  </si>
  <si>
    <t>28182-4</t>
  </si>
  <si>
    <t>DALMO AMARAL MACHADO, PROF.</t>
  </si>
  <si>
    <t>EMEF - JOSE QUERINO RIBEIRO</t>
  </si>
  <si>
    <t>EMEF PROF JOSE Q. RIBEIRO</t>
  </si>
  <si>
    <t>emefjqribeiro@prefeitura.sp.gov.br</t>
  </si>
  <si>
    <t>RUA CEL ALBERT DE ROCHA D'AIGLUM</t>
  </si>
  <si>
    <t>JARDIM Nª Sª DO CARMO</t>
  </si>
  <si>
    <t>13386-8</t>
  </si>
  <si>
    <t>CARLOS ROBERTO BORTOLOTTO</t>
  </si>
  <si>
    <t>JOSE QUERINO RIBEIRO</t>
  </si>
  <si>
    <t>EMEI - JOAO CANDIDO</t>
  </si>
  <si>
    <t>EMEI JOÃO CANDIDO</t>
  </si>
  <si>
    <t>41832-3</t>
  </si>
  <si>
    <t>CLEIDE DE JESUS SILVA MOURÃO</t>
  </si>
  <si>
    <t>JOAO CANDIDO</t>
  </si>
  <si>
    <t>EMEF - ILEUSA CAETANO DA SILVA, PROFA.</t>
  </si>
  <si>
    <t>EMEF PROFª ILEUSA CAETANO DA SILVA</t>
  </si>
  <si>
    <t>emefileusa@prefeitura.sp.gov.br</t>
  </si>
  <si>
    <t>RUA D</t>
  </si>
  <si>
    <t>JARDIM EDUCANDÁRIO</t>
  </si>
  <si>
    <t>1810-4</t>
  </si>
  <si>
    <t>RIO PEQUENO</t>
  </si>
  <si>
    <t>23.462-1</t>
  </si>
  <si>
    <t>EDUARDO DA SILVA PRADO</t>
  </si>
  <si>
    <t>EDSON DA SILVA PIO</t>
  </si>
  <si>
    <t>ILEUSA CAETANO DA SILVA, PROFA.</t>
  </si>
  <si>
    <t>EMEI - MARGARETH DE FATIMA MARQUES DE AZEVEDO</t>
  </si>
  <si>
    <t>EMEI MARGARETH DE FATIMA MARQUES DE AZEVEDO</t>
  </si>
  <si>
    <t>emeimfmazevedo@prefeitura.sp.gov.br</t>
  </si>
  <si>
    <t>RUA AUGUSTO RODRIGUES</t>
  </si>
  <si>
    <t>JARDIM FONTÁLIS</t>
  </si>
  <si>
    <t>31740-3</t>
  </si>
  <si>
    <t>PAULO BOANERGES DE CARVALHO OLIVEIRA</t>
  </si>
  <si>
    <t>CÁSSIA APARECIDA GOMES</t>
  </si>
  <si>
    <t>MARGARETH DE FATIMA MARQUES DE AZEVEDO</t>
  </si>
  <si>
    <t>EMEI - SILVIO CALDAS, COMPOSITOR</t>
  </si>
  <si>
    <t>EMEI COMPOSITOR SILVIO CALDAS</t>
  </si>
  <si>
    <t>emeisilviocaldas@prefeitura.sp.gov.br</t>
  </si>
  <si>
    <t>RUA ANDRE PUJOS</t>
  </si>
  <si>
    <t>JARDIM CELESTE</t>
  </si>
  <si>
    <t>21.504-X</t>
  </si>
  <si>
    <t>SILVIO CALDAS, COMPOSITOR</t>
  </si>
  <si>
    <t>EMEF - PEDRO GERALDO SCHUNCK</t>
  </si>
  <si>
    <t>EMEF PEDRO GERALDO SCHUNCK</t>
  </si>
  <si>
    <t>RUA ANTONIO BERNAL</t>
  </si>
  <si>
    <t>JARDIM SILVEIRA</t>
  </si>
  <si>
    <t>41747-5</t>
  </si>
  <si>
    <t>PEDRO GERALDO SCHUNCK</t>
  </si>
  <si>
    <t>EMEF - JOSE KAUFFMANN, DR.</t>
  </si>
  <si>
    <t>EMEF JOSÉ KAUFFMANN, DR.</t>
  </si>
  <si>
    <t>emefjkauffmann@prefeitura.sp.gov.br</t>
  </si>
  <si>
    <t>RUA SAMUEL BOVI</t>
  </si>
  <si>
    <t>JARDIM RINCÃO</t>
  </si>
  <si>
    <t>113221-0</t>
  </si>
  <si>
    <t>KLINGER FERRETI</t>
  </si>
  <si>
    <t>JOSE KAUFFMANN, DR.</t>
  </si>
  <si>
    <t>EMEF - LILIANE VERZINI SILVA, PROFA.</t>
  </si>
  <si>
    <t>EMEF LILIANE VERZINI SILVA, PROFA.</t>
  </si>
  <si>
    <t>FRANCESCO MARIA MELANI</t>
  </si>
  <si>
    <t>26.973-5</t>
  </si>
  <si>
    <t>LILIANE VERZINI SILVA, PROFA.</t>
  </si>
  <si>
    <t>EMEI - ANGELO KRETA</t>
  </si>
  <si>
    <t>EMEI ANGELO KRETÃ</t>
  </si>
  <si>
    <t>RUA NOVA DELHI</t>
  </si>
  <si>
    <t>JARDIM EDITH</t>
  </si>
  <si>
    <t>41743-2</t>
  </si>
  <si>
    <t>ALINE RODRIGUES ELEUTÉRIO RICARDO</t>
  </si>
  <si>
    <t>LETICIA SOUSA SANTOS</t>
  </si>
  <si>
    <t>ANGELO KRETA</t>
  </si>
  <si>
    <t>EMEI CEU - MILTON SANTOS, PROF.</t>
  </si>
  <si>
    <t>EMEI MILTON SANTOS, PROF. - CEU CIDADE DUTRA</t>
  </si>
  <si>
    <t>AVENIDA INTERLAGOS</t>
  </si>
  <si>
    <t>41733-5</t>
  </si>
  <si>
    <t>MILTON SANTOS, PROF.</t>
  </si>
  <si>
    <t>EMEI - CLEMENCIA FERREIRA DA SILVA</t>
  </si>
  <si>
    <t>EMEI CLEMENCIA FERREIRA DA SILVA</t>
  </si>
  <si>
    <t>RUA BARÃO DE CALERA</t>
  </si>
  <si>
    <t>51929-4</t>
  </si>
  <si>
    <t>SUELI CARVALHO DE OLIVEIRA</t>
  </si>
  <si>
    <t>MIRIAM DA SILVA</t>
  </si>
  <si>
    <t>CLEMENCIA FERREIRA DA SILVA</t>
  </si>
  <si>
    <t>EMEI - JOANA MITSUE ISHII, PROFA.</t>
  </si>
  <si>
    <t>EMEI - JOANA MITSUE ISHII, PROFA</t>
  </si>
  <si>
    <t>RUA RENE CASTERA</t>
  </si>
  <si>
    <t>CHAC. ENSEADA</t>
  </si>
  <si>
    <t>4215-3</t>
  </si>
  <si>
    <t>M BOI MIRIM</t>
  </si>
  <si>
    <t>12604-7</t>
  </si>
  <si>
    <t>diolhao@yahoo.com.br</t>
  </si>
  <si>
    <t>MARIA DO SOCORRO BORBA DE LIMA</t>
  </si>
  <si>
    <t>JOANA MITSUE ISHII, PROFA.</t>
  </si>
  <si>
    <t>EMEI - MARIA DA LUZ SILVA DE OLIVEIRA, PROFA.</t>
  </si>
  <si>
    <t>EMEI PROF. MARIA DA LUZ SILVA DE OLIVEIRA</t>
  </si>
  <si>
    <t>RUA ERVA DO SERENO</t>
  </si>
  <si>
    <t>4065-7</t>
  </si>
  <si>
    <t>AV. MARECHAL TITO</t>
  </si>
  <si>
    <t>12680-2</t>
  </si>
  <si>
    <t>PATRICIA MARIA DO NASCIMENTO FREITAS</t>
  </si>
  <si>
    <t>MARIA DA LUZ SILVA DE OLIVEIRA, PROFA.</t>
  </si>
  <si>
    <t>EMEI - JULIO ALVES PEREIRA</t>
  </si>
  <si>
    <t>EMEI JULIO ALVES PEREIRA</t>
  </si>
  <si>
    <t>RUA CAROLINA CARVALHO</t>
  </si>
  <si>
    <t>30837-4</t>
  </si>
  <si>
    <t xml:space="preserve"> TERESA CRISTINA FLEURY CAMARGO</t>
  </si>
  <si>
    <t>emeijapereira@pref.sp.gov.br</t>
  </si>
  <si>
    <t>JULIO ALVES PEREIRA</t>
  </si>
  <si>
    <t>EMEI - JARDIM FELICIDADE</t>
  </si>
  <si>
    <t>EMEI JARDIM FELICIDADE</t>
  </si>
  <si>
    <t>emeijfelicidade@prefeitura.sp.gov.br</t>
  </si>
  <si>
    <t>RUA JULIO NICOLAU</t>
  </si>
  <si>
    <t>JARDIM FELICIDADE</t>
  </si>
  <si>
    <t>30845-5</t>
  </si>
  <si>
    <t>ADRIANA INACIO GUIMARÃES</t>
  </si>
  <si>
    <t>EMEI - MARIA CLARA MACHADO</t>
  </si>
  <si>
    <t>13063-X</t>
  </si>
  <si>
    <t>emeimariamachado@prefeitura.sp.gov.br</t>
  </si>
  <si>
    <t>MARIA DA CONCEIÇÃO FERREIRA DE SOUZA</t>
  </si>
  <si>
    <t>MARIA CLARA MACHADO</t>
  </si>
  <si>
    <t>EMEI - JARDIM MONTE BELO</t>
  </si>
  <si>
    <t>EMEI JARDIM MONTE BELO</t>
  </si>
  <si>
    <t>RUA PALMEIROPOLIS</t>
  </si>
  <si>
    <t>JARDIM MONTE BELO</t>
  </si>
  <si>
    <t>3050-3</t>
  </si>
  <si>
    <t>LEOPOLDINA</t>
  </si>
  <si>
    <t>15602-7</t>
  </si>
  <si>
    <t>emeijmbelo@pref.sp.gov.br</t>
  </si>
  <si>
    <t>EMEI - FRANCISCO ADAUTO RODRIGUES</t>
  </si>
  <si>
    <t xml:space="preserve">EMEI FRANCISCO ADAUTO RODRIGUES </t>
  </si>
  <si>
    <t>RUA AGUARICO</t>
  </si>
  <si>
    <t>JARDIM HELENA</t>
  </si>
  <si>
    <t>13400-7</t>
  </si>
  <si>
    <t>LUCAS MOCO LEUTWILER DI GIACOMO OLIVEIRA</t>
  </si>
  <si>
    <t>CELIA VRISTIANE PRADO</t>
  </si>
  <si>
    <t>FRANCISCO ADAUTO RODRIGUES</t>
  </si>
  <si>
    <t>EMEI - APARECIDA DE LOURDES CARRILHO JARDIM, PROFA.</t>
  </si>
  <si>
    <t>EMEI PROF APARECIDA DE LOURDES CARRILHO JD</t>
  </si>
  <si>
    <t>RUA CORVETA JEQUITINHONHA</t>
  </si>
  <si>
    <t>VILA PROGRESSO</t>
  </si>
  <si>
    <t>51863-8</t>
  </si>
  <si>
    <t>LINDINALVA MARTINS DE OLIVEIRA</t>
  </si>
  <si>
    <t>APARECIDA DE LOURDES CARRILHO JARDIM, PROFA.</t>
  </si>
  <si>
    <t>EMEF - LUIZ ROBERTO MEGA, PROF.</t>
  </si>
  <si>
    <t>EMEF LUIZ ROBERTO MEGA, PROF</t>
  </si>
  <si>
    <t>RUA HENRIQUE ADAMUS</t>
  </si>
  <si>
    <t>52.130-2</t>
  </si>
  <si>
    <t>emefrlmega@prefeitura.sp.gov.br</t>
  </si>
  <si>
    <t>CLAUDINO DAMASCENO CAVALCANTE</t>
  </si>
  <si>
    <t>LUIZ ROBERTO MEGA, PROF.</t>
  </si>
  <si>
    <t>EMEI - LUIS BIRAGHI, MONSENHOR</t>
  </si>
  <si>
    <t>EMEI MONSENHOR LUIS BIRAGHI</t>
  </si>
  <si>
    <t>emeilbiraghi@prefeitura.sp.gov.br</t>
  </si>
  <si>
    <t>RUA DAITAS</t>
  </si>
  <si>
    <t>13375-2</t>
  </si>
  <si>
    <t>ALEXANDRE PEREIRA DA SILVA</t>
  </si>
  <si>
    <t>LUIS BIRAGHI, MONSENHOR</t>
  </si>
  <si>
    <t>EMEI - ORLANDO VILLAS BOAS</t>
  </si>
  <si>
    <t>EMEI ORLANDO VILLAS BOAS</t>
  </si>
  <si>
    <t>AVENIDA PAULO COSTA BASTOS</t>
  </si>
  <si>
    <t>JARDIM GUANHEMBU</t>
  </si>
  <si>
    <t>23534-2</t>
  </si>
  <si>
    <t>ORLANDO VILLAS BOAS</t>
  </si>
  <si>
    <t>EMEI - MITSUTANI</t>
  </si>
  <si>
    <t>ESTRADA PIRAJUSSARA - VALO VELHO</t>
  </si>
  <si>
    <t>PIRAJUSSARA</t>
  </si>
  <si>
    <t>26697-3</t>
  </si>
  <si>
    <t>CIDIMAR ADALBERTO POLACHINI</t>
  </si>
  <si>
    <t>spmello@sme.prefeitura.sp.gov.br</t>
  </si>
  <si>
    <t>JULIANA MACEDO DE SOUZA</t>
  </si>
  <si>
    <t>MITSUTANI</t>
  </si>
  <si>
    <t>EMEI - ANTONIETA DE BARROS, PROFA.</t>
  </si>
  <si>
    <t>EMEI ANTONIETA DE BARROS</t>
  </si>
  <si>
    <t>ESTRADA DE TAIPAS</t>
  </si>
  <si>
    <t>JDIM RINCÃO</t>
  </si>
  <si>
    <t>30843-9</t>
  </si>
  <si>
    <t>emeiantonietadebarros@sme.prefeitura.sp.gov.br</t>
  </si>
  <si>
    <t xml:space="preserve">ANDREA VARELLA MENDES </t>
  </si>
  <si>
    <t>ANTONIETA DE BARROS, PROFA.</t>
  </si>
  <si>
    <t>EMEI - RECANTO CAMPO BELO - DIRCE ZILLESG BORGES DOS SANTOS, PROFA.</t>
  </si>
  <si>
    <t>EMEI RECANTO CAMPO BELO - DIRCE ZILLEG BORGES DOS SANTOS, PROFA</t>
  </si>
  <si>
    <t>RUA MARCELO BERNARDINI</t>
  </si>
  <si>
    <t>R. CAMPO BELO</t>
  </si>
  <si>
    <t>46621-2</t>
  </si>
  <si>
    <t>DANIELLE LEONARDO FELÍCISSIMO FONTES</t>
  </si>
  <si>
    <t>RECANTO CAMPO BELO - DIRCE ZILLESG BORGES DOS SANTOS, PROFA.</t>
  </si>
  <si>
    <t>EMEI CEU - JARDIM VILA NOVA</t>
  </si>
  <si>
    <t>EMEI JARDIM VILA NOVA</t>
  </si>
  <si>
    <t>emeijvnova@prefeitura.sp.gov.br</t>
  </si>
  <si>
    <t>RUA ERNESTO SOUZA CRUZ</t>
  </si>
  <si>
    <t>CIDADE A. E. CARVALHO</t>
  </si>
  <si>
    <t>CIDADE AE CARVALHO</t>
  </si>
  <si>
    <t>9185-5</t>
  </si>
  <si>
    <t>MARIA FIRMINO DE PAULO</t>
  </si>
  <si>
    <t>RENATA DE OLIVEIRA PEREIRA LUCIO</t>
  </si>
  <si>
    <t>JARDIM VILA NOVA</t>
  </si>
  <si>
    <t>EMEF - REMO RINALDI NADDEO, PROF.</t>
  </si>
  <si>
    <t>EMEF REMO RINALDI NADDEO</t>
  </si>
  <si>
    <t>RUA DIONISIO BELLANTE</t>
  </si>
  <si>
    <t>JARDIM SANTA FE</t>
  </si>
  <si>
    <t xml:space="preserve">VILA JAGUARA </t>
  </si>
  <si>
    <t>22008-6</t>
  </si>
  <si>
    <t>DURVAL BARROS CAVALCANTI</t>
  </si>
  <si>
    <t>emefrrnaddeo@pref.sp.gov.br</t>
  </si>
  <si>
    <t>EMILCE RODRIGUES GOMES GIRO</t>
  </si>
  <si>
    <t>REMO RINALDI NADDEO, PROF.</t>
  </si>
  <si>
    <t>EMEF - THEREZA MACIEL DE PAULA, PROFA.</t>
  </si>
  <si>
    <t xml:space="preserve">EMEF PROFESSORA THEREZA MACIEL DE PAULA </t>
  </si>
  <si>
    <t>RUA MIGUEL FERREIRA DE MELO</t>
  </si>
  <si>
    <t>JARDIM SANTO ANDRE</t>
  </si>
  <si>
    <t>30850-1</t>
  </si>
  <si>
    <t>THIAGO CARVALHO NUNES</t>
  </si>
  <si>
    <t>CÍCERA ADRIANA RODRIGUES DA COSTA</t>
  </si>
  <si>
    <t>THEREZA MACIEL DE PAULA, PROFA.</t>
  </si>
  <si>
    <t>EMEF - RECANTO DOS HUMILDES</t>
  </si>
  <si>
    <t>EMEF RECANTO DOS HUMILDES</t>
  </si>
  <si>
    <t>113260-1</t>
  </si>
  <si>
    <t>emefrechumildes@pref.sp.gov.br</t>
  </si>
  <si>
    <t>RECANTO DOS HUMILDES</t>
  </si>
  <si>
    <t>EMEF - JARDIM MONTE BELO</t>
  </si>
  <si>
    <t>EMEF JARDIM MONTE BELO</t>
  </si>
  <si>
    <t>61731-8</t>
  </si>
  <si>
    <t xml:space="preserve">ROBERTA CARVALHO BORGES </t>
  </si>
  <si>
    <t>emefjdmbelo@prefeitura.gov.br</t>
  </si>
  <si>
    <t xml:space="preserve">JANAINA LOPES DOS SANTOS </t>
  </si>
  <si>
    <t>EMEF - ENZO ANTONIO SILVESTRIN, PROF.</t>
  </si>
  <si>
    <t>EMEF ENZO ANTONIO SILVESTRIN</t>
  </si>
  <si>
    <t>RUA ESTRADA DO CONGO</t>
  </si>
  <si>
    <t>JARDIM PIRITUBA</t>
  </si>
  <si>
    <t>30847-1</t>
  </si>
  <si>
    <t>emefenzoasilvestrin@pref.sp.gov.br</t>
  </si>
  <si>
    <t>ENZO ANTONIO SILVESTRIN, PROF.</t>
  </si>
  <si>
    <t>EMEF - MARIO LAGO</t>
  </si>
  <si>
    <t>EMEF MARIO LAGO</t>
  </si>
  <si>
    <t>RUA DOURADA</t>
  </si>
  <si>
    <t>COHAB PAULISTANO</t>
  </si>
  <si>
    <t xml:space="preserve">PIRITUBA </t>
  </si>
  <si>
    <t>30927-3</t>
  </si>
  <si>
    <t>emefmariolago@pref.sp.gov.br</t>
  </si>
  <si>
    <t>MARIO LAGO</t>
  </si>
  <si>
    <t>EMEF - JARDIM DAS LARANJEIRAS</t>
  </si>
  <si>
    <t xml:space="preserve">EMEF JARDIM DAS LARANJEIRAS </t>
  </si>
  <si>
    <t>MATEO BEI</t>
  </si>
  <si>
    <t>116849-5</t>
  </si>
  <si>
    <t>WATSON DOS SANTOS MESSIAS</t>
  </si>
  <si>
    <t>ANDREIA  FERREIRA</t>
  </si>
  <si>
    <t>EMEF - VEREMUNDO TOTH, DOM</t>
  </si>
  <si>
    <t>RUA DR. JOSÉ PEDRO DE CARVALHO LIMA</t>
  </si>
  <si>
    <t>JARDIM MORUMBI</t>
  </si>
  <si>
    <t>13162-8</t>
  </si>
  <si>
    <t>DANIELA SOARES CLETO</t>
  </si>
  <si>
    <t>flaviarique@yahoo.com.br</t>
  </si>
  <si>
    <t>EDNA FERREIRA DE ARAÚJO</t>
  </si>
  <si>
    <t>VEREMUNDO TOTH, DOM</t>
  </si>
  <si>
    <t>EMEF - MARIA APARECIDA VILASBOAS, PROFA.</t>
  </si>
  <si>
    <t>EMEF PROFº MARIA APARECIDA VILASBOAS</t>
  </si>
  <si>
    <t>RUA DOS LÍRIOS</t>
  </si>
  <si>
    <t>PARQUE DAS FLORES</t>
  </si>
  <si>
    <t>3171-2</t>
  </si>
  <si>
    <t>JARDIM ARICANDUVA</t>
  </si>
  <si>
    <t>16899-8</t>
  </si>
  <si>
    <t>sgddbr@yahoo.com.br</t>
  </si>
  <si>
    <t>JOSÉ FRANCISO DE SOUSA PEREIRA</t>
  </si>
  <si>
    <t>MARIA APARECIDA VILASBOAS, PROFA.</t>
  </si>
  <si>
    <t>EMEF - MILENA BENEDICTO, PROFA.</t>
  </si>
  <si>
    <t>EMEF PROFESSORA MILENA BENEDICTO</t>
  </si>
  <si>
    <t>AV. FELIPPO STURBA</t>
  </si>
  <si>
    <t>MORRO DOCE</t>
  </si>
  <si>
    <t>VILA JAGUARA</t>
  </si>
  <si>
    <t>21979-7</t>
  </si>
  <si>
    <t xml:space="preserve">REINALDO FELIPE </t>
  </si>
  <si>
    <t>emefjdbritania@pref.sp.gov.br</t>
  </si>
  <si>
    <t xml:space="preserve">ROSANGELA XAVIER DE LIMA </t>
  </si>
  <si>
    <t>MILENA BENEDICTO, PROFA.</t>
  </si>
  <si>
    <t>EMEF - WANDA OVIDIO GONCALVES, PROFA.</t>
  </si>
  <si>
    <t>EMEF PROF. WANDA OVIDIO GONÇALVES</t>
  </si>
  <si>
    <t>RUA ARISTIDES DE BASILE</t>
  </si>
  <si>
    <t>28025-9</t>
  </si>
  <si>
    <t>RAQUEL DE SOUZA NASCIMENTO</t>
  </si>
  <si>
    <t>WINDERSON BRAGA CAVALCANTI</t>
  </si>
  <si>
    <t>WANDA OVIDIO GONCALVES, PROFA.</t>
  </si>
  <si>
    <t>EMEF CEU - MARIA CLARA MACHADO</t>
  </si>
  <si>
    <t>EMEF CEU</t>
  </si>
  <si>
    <t>CEU EMEF MARIA CLARA MACHADO</t>
  </si>
  <si>
    <t>RUA DANIEL MULLER</t>
  </si>
  <si>
    <t>28232-4</t>
  </si>
  <si>
    <t>JOÃO ALVES PEREIRA JUNIOR</t>
  </si>
  <si>
    <t>EMEF CEU - CONCEICAO APARECIDA DE JESUS, PROFA.</t>
  </si>
  <si>
    <t>CEU EMEF PROFª CONCEIÇÃO APARECIDA DE JESUS</t>
  </si>
  <si>
    <t>emefjdvnova@prefeitura.sp.gov.br</t>
  </si>
  <si>
    <t>AVENIDA ERNESTO SOUZA CRUZ</t>
  </si>
  <si>
    <t>19962-1</t>
  </si>
  <si>
    <t>EDSON RIBEIRO</t>
  </si>
  <si>
    <t>CONCEICAO APARECIDA DE JESUS, PROFA.</t>
  </si>
  <si>
    <t>EMEF - JOSE PEGORARO, PE.</t>
  </si>
  <si>
    <t>EMEF JOSÉ PEGORARO, PADRE</t>
  </si>
  <si>
    <t>RUA PORTUNHOS</t>
  </si>
  <si>
    <t>PARQUE COCAIA</t>
  </si>
  <si>
    <t>BELMIRA MARIN</t>
  </si>
  <si>
    <t>14260-3</t>
  </si>
  <si>
    <t>JOSE PEGORARO, PE.</t>
  </si>
  <si>
    <t>EMEF - JOSUE DE CASTRO, PROF.</t>
  </si>
  <si>
    <t>EMEF JOSUÉ DE CASTRO</t>
  </si>
  <si>
    <t>RUA JOSE SOEIRO DE VAZ</t>
  </si>
  <si>
    <t>JDIM MARISA</t>
  </si>
  <si>
    <t>VILA JAGUARÁ</t>
  </si>
  <si>
    <t>21927-4</t>
  </si>
  <si>
    <t>emejcastro@pref.sp.gov.br</t>
  </si>
  <si>
    <t xml:space="preserve">LUCIA ELENA DA SILVA </t>
  </si>
  <si>
    <t>JOSUE DE CASTRO, PROF.</t>
  </si>
  <si>
    <t>EMEI - NENE DO AMANHA</t>
  </si>
  <si>
    <t>EMEI NENÊ DO AMANHÃ</t>
  </si>
  <si>
    <t>AVENIDA ALVINÓPOLIS</t>
  </si>
  <si>
    <t>VILA CENTENÁRIO</t>
  </si>
  <si>
    <t>0583-5</t>
  </si>
  <si>
    <t>TATUAPE</t>
  </si>
  <si>
    <t>32.351-9</t>
  </si>
  <si>
    <t>LUCIANA PRESUTTI FERREIRA DE MORAIS</t>
  </si>
  <si>
    <t>PATRICIA ROLEMBERG DE A. CARNEVALE</t>
  </si>
  <si>
    <t>NENE DO AMANHA</t>
  </si>
  <si>
    <t>EMEI - GLEBA DO PESSEGO</t>
  </si>
  <si>
    <t>EMEI GLEBA DO PESSEGO</t>
  </si>
  <si>
    <t>emeigpessego@prefeitura.sp.gov.br</t>
  </si>
  <si>
    <t>RUA DEMETER</t>
  </si>
  <si>
    <t>GLEBA DO PÊSSEGO</t>
  </si>
  <si>
    <t>13507-0</t>
  </si>
  <si>
    <t>ANE JOICE MIRANDA CORDEIRO ARRAIS</t>
  </si>
  <si>
    <t>GLEBA DO PESSEGO</t>
  </si>
  <si>
    <t>EMEF - FAZENDA DA JUTA</t>
  </si>
  <si>
    <t xml:space="preserve">EMEF FAZENDA DA JUTA </t>
  </si>
  <si>
    <t>RUA LUCAS LOSSIUS</t>
  </si>
  <si>
    <t xml:space="preserve">JARDIM SANTA ADELIA     </t>
  </si>
  <si>
    <t>21466-3</t>
  </si>
  <si>
    <t>ANDRE MATTOS DE OLIVEIRA SACONI</t>
  </si>
  <si>
    <t>MARIA NAZARÉ DE ANDRADE FERNANDES</t>
  </si>
  <si>
    <t>FAZENDA DA JUTA</t>
  </si>
  <si>
    <t>EMEF - EDGARD CARONE</t>
  </si>
  <si>
    <t>EMEF EDGARD CARONE</t>
  </si>
  <si>
    <t>RUA ELISA DINA</t>
  </si>
  <si>
    <t>293A</t>
  </si>
  <si>
    <t>JARDIM BRITANIA</t>
  </si>
  <si>
    <t>63349-6</t>
  </si>
  <si>
    <t>ELAINE CRISTINA DUARTE</t>
  </si>
  <si>
    <t>elaine.duarte@terra.com.br</t>
  </si>
  <si>
    <t>EDGARD CARONE</t>
  </si>
  <si>
    <t>EMEI CEU - PAULO FREIRE, PROF.</t>
  </si>
  <si>
    <t>CEU EMEI PROFESSOR PAULO FREIRE</t>
  </si>
  <si>
    <t>RUA KAMPALA</t>
  </si>
  <si>
    <t>JARDIM AMÉRICA DA PENHA</t>
  </si>
  <si>
    <t>44.878-8</t>
  </si>
  <si>
    <t>MARIA CRISTINA CASTRO GAMELEIRA</t>
  </si>
  <si>
    <t>EMEI - CONJ. HABITACIONAL SAO FRANCISCO</t>
  </si>
  <si>
    <t xml:space="preserve">EMEI CONJUNTO HABITACIONAL SAO FRANCISCO </t>
  </si>
  <si>
    <t>TRAVESSA CORUJA DO CAMPO</t>
  </si>
  <si>
    <t>13429-5</t>
  </si>
  <si>
    <t>LETÍCIA DE SOUZA MELO</t>
  </si>
  <si>
    <t>LILIAN DA SILVA BRITO GALENDE</t>
  </si>
  <si>
    <t>CONJ. HABITACIONAL SAO FRANCISCO</t>
  </si>
  <si>
    <t>EMEI - CONJ. HABITACIONAL GOITI</t>
  </si>
  <si>
    <t>EMEI CONJ. HABITACIONAL GOITI</t>
  </si>
  <si>
    <t>emeicgoiti@prefeitura.sp.gov.br</t>
  </si>
  <si>
    <t>RUA DOS LIRIOS</t>
  </si>
  <si>
    <t>VILA CAMPANELA</t>
  </si>
  <si>
    <t>9172-3</t>
  </si>
  <si>
    <t>SILMARA MOREIRA DA SILVA</t>
  </si>
  <si>
    <t>CONJ. HABITACIONAL GOITI</t>
  </si>
  <si>
    <t>EMEI - SANTO DIAS DA SILVA</t>
  </si>
  <si>
    <t>EMEI SANTO DIAS DA SILVA</t>
  </si>
  <si>
    <t>RUA MICHAEL MATTAR</t>
  </si>
  <si>
    <t>JARDIM PATENTE</t>
  </si>
  <si>
    <t>15.714-7</t>
  </si>
  <si>
    <t>maurypereira@ig.com.br</t>
  </si>
  <si>
    <t>Simone Virna da Silva Reis</t>
  </si>
  <si>
    <t>SANTO DIAS DA SILVA</t>
  </si>
  <si>
    <t>EMEI - GLOBO DO SOL</t>
  </si>
  <si>
    <t>EMEI GLOBO DO SOL</t>
  </si>
  <si>
    <t>RUA GLOBO DO SOL</t>
  </si>
  <si>
    <t>52053-5</t>
  </si>
  <si>
    <t>IEDA FRANCISCA DA SILVA AMORIM</t>
  </si>
  <si>
    <t>GLOBO DO SOL</t>
  </si>
  <si>
    <t>EMEI - MAURO BAPTISTA, PE.</t>
  </si>
  <si>
    <t>EMEI - MAURO BAPTISTA, PADRE</t>
  </si>
  <si>
    <t>emeimbaptista@prefeitura.sp.gov.br</t>
  </si>
  <si>
    <t>RUA DOS CATARINENSES</t>
  </si>
  <si>
    <t xml:space="preserve">VILA ANDRADE </t>
  </si>
  <si>
    <t>21349-7</t>
  </si>
  <si>
    <t>MARIA CECÍLIA ROLIM O.DE OLIVEIRA</t>
  </si>
  <si>
    <t>MAURO BAPTISTA, PE.</t>
  </si>
  <si>
    <t>EMEI - ALFREDO VOLPI</t>
  </si>
  <si>
    <t xml:space="preserve">EMEI ALFREDO VOLPI </t>
  </si>
  <si>
    <t>RUA GEORGE BEKESY</t>
  </si>
  <si>
    <t>20211-8</t>
  </si>
  <si>
    <t>judineyvolpi@ig.com.br</t>
  </si>
  <si>
    <t>VANESSA DO VALE CONCEIÇÃO</t>
  </si>
  <si>
    <t>ALFREDO VOLPI</t>
  </si>
  <si>
    <t>EMEF - HELLIO TAVARES, DR.</t>
  </si>
  <si>
    <t>EMEF DR. HELLIO TAVARES</t>
  </si>
  <si>
    <t>28010-0</t>
  </si>
  <si>
    <t>ANDERSON PEREIRA MORAIS</t>
  </si>
  <si>
    <t>HELLIO TAVARES, DR.</t>
  </si>
  <si>
    <t>EMEI - MARIAZINHA REZENDE FUSARI, PROFA.</t>
  </si>
  <si>
    <t>EMEI PROFª MARIAZINHA REZENDE FUSARI</t>
  </si>
  <si>
    <t>emeimrfusari@prefeitura.sp.gov.br</t>
  </si>
  <si>
    <t>RUA EUDORO LINCOLN BERLINCK</t>
  </si>
  <si>
    <t>JARDIM ARPOADOR</t>
  </si>
  <si>
    <t>23.457-5</t>
  </si>
  <si>
    <t>LUIZ ANTONIO FARIAS</t>
  </si>
  <si>
    <t>CLEIA TEIXEIRA SILVA</t>
  </si>
  <si>
    <t>MARIAZINHA REZENDE FUSARI, PROFA.</t>
  </si>
  <si>
    <t>EMEF - MARINA MELANDER COUTINHO, PROFA.</t>
  </si>
  <si>
    <t>EMEF MARINA MELANDER COUTINHO, PROFA.</t>
  </si>
  <si>
    <t>RUA RUBENS MONTANARO BORBA</t>
  </si>
  <si>
    <t>JARDIM REGIS</t>
  </si>
  <si>
    <t>41856-0</t>
  </si>
  <si>
    <t>MARIANA BRANCO DA SILVA SANTOS</t>
  </si>
  <si>
    <t>MARINA MELANDER COUTINHO, PROFA.</t>
  </si>
  <si>
    <t>EMEF - GIUSEPPE TAVOLARO, PROF.</t>
  </si>
  <si>
    <t xml:space="preserve">EMEF PROFESSOR GIUSEPPE TAVOLARO </t>
  </si>
  <si>
    <t>RUA ALEXANDRE GROPPALI</t>
  </si>
  <si>
    <t>20722-5</t>
  </si>
  <si>
    <t>PAULO SILVIO FERREIRA</t>
  </si>
  <si>
    <t>paulosilviofer@yahoo.com.br</t>
  </si>
  <si>
    <t>ADENI DA CRUZ URRA</t>
  </si>
  <si>
    <t>GIUSEPPE TAVOLARO, PROF.</t>
  </si>
  <si>
    <t>EMEI - APARECIDA CANDIDA DOS SANTOS DE JESUS - DONA CIDICA</t>
  </si>
  <si>
    <t xml:space="preserve">EMEI APARECIDA CANDIDA DOS SANTOS DE JESUS </t>
  </si>
  <si>
    <t>20212-6</t>
  </si>
  <si>
    <t>crisalves234@gmail.co</t>
  </si>
  <si>
    <t>ELUARQUE SILVA GUIMARÃES</t>
  </si>
  <si>
    <t>APARECIDA CANDIDA DOS SANTOS DE JESUS - DONA CIDICA</t>
  </si>
  <si>
    <t>EMEI - RAUL NEMENZ, PROF.</t>
  </si>
  <si>
    <t>EMEI RAUL NEMENZ</t>
  </si>
  <si>
    <t>emeiraulnemenz@prefeitura.sp.gov.br</t>
  </si>
  <si>
    <t>RUA ALFONSO ASTURARO</t>
  </si>
  <si>
    <t>60.154-3</t>
  </si>
  <si>
    <t>THAIS GUIMARAES RODRIGUES</t>
  </si>
  <si>
    <t>RAUL NEMENZ, PROF.</t>
  </si>
  <si>
    <t>EMEF - TEREZINHA MOTA DE FIGUEIREDO</t>
  </si>
  <si>
    <t>RUA CANTORIAS PAULISTAS</t>
  </si>
  <si>
    <t xml:space="preserve">CONJ HAB S BENTO </t>
  </si>
  <si>
    <t>21371-3</t>
  </si>
  <si>
    <t>ENIDERCE PIRES CARDOSO DE JESUS</t>
  </si>
  <si>
    <t>enicardoso@ig.com.br</t>
  </si>
  <si>
    <t>MARCIA JOANES FERNANDES</t>
  </si>
  <si>
    <t>TEREZINHA MOTA DE FIGUEIREDO</t>
  </si>
  <si>
    <t>EMEI - WILSON REIS SANTOS</t>
  </si>
  <si>
    <t>EMEI WILSON REIS SANTOS, PROF.</t>
  </si>
  <si>
    <t>emeiwrsantos@prefeitura.sp.gov.br</t>
  </si>
  <si>
    <t>RUA FRANCISCO DE SOUTO MAIOR</t>
  </si>
  <si>
    <t>14 A</t>
  </si>
  <si>
    <t>JARDIM LOURDES</t>
  </si>
  <si>
    <t>20.085-9</t>
  </si>
  <si>
    <t>GERALDA CRISTINA PEREIRA DA SILVA</t>
  </si>
  <si>
    <t>TEREZINHA CAMILO DA SILVA</t>
  </si>
  <si>
    <t>WILSON REIS SANTOS</t>
  </si>
  <si>
    <t>EMEF - DAISY AMADIO FUJIWARA, PROFA.</t>
  </si>
  <si>
    <t>EMEF PROFª DAISY AMADIO FUJIWARA</t>
  </si>
  <si>
    <t>emefdaisyfujiwara@prefeitura.sp.gov.br</t>
  </si>
  <si>
    <t>RUA AMARALINA</t>
  </si>
  <si>
    <t>COHAB SÃO JORGE ARPOADOR</t>
  </si>
  <si>
    <t>23.482-6</t>
  </si>
  <si>
    <t>VIVIANI RODRIGUES SANTOS</t>
  </si>
  <si>
    <t>ÉRIKA RIBEIRO DIAS VITAL</t>
  </si>
  <si>
    <t>DAISY AMADIO FUJIWARA, PROFA.</t>
  </si>
  <si>
    <t>EMEI - LAURA DA CONCEICAO PEREIRA QUINTAES, PROFA.</t>
  </si>
  <si>
    <t>EMEI PROFª LAURA DA CONCEIÇÃO P. QUINTAES</t>
  </si>
  <si>
    <t>RUA LOURENÇO FRANCO DO PRADO</t>
  </si>
  <si>
    <t>51869-7</t>
  </si>
  <si>
    <t>LUCIANA LEMES BARBOSA</t>
  </si>
  <si>
    <t>ROSELI SANTOS MARIANO</t>
  </si>
  <si>
    <t>LAURA DA CONCEICAO PEREIRA QUINTAES, PROFA.</t>
  </si>
  <si>
    <t>PARAISOPOLIS</t>
  </si>
  <si>
    <t>EMEI - JOSE ROBSON COSTA DE ARAUJO, BOMBEIRO</t>
  </si>
  <si>
    <t>EMEI JOSE ROBSON COSTA DE ARAUJO, BOMB.</t>
  </si>
  <si>
    <t>RUA MONS PAULO FERNANDES DE BARROS</t>
  </si>
  <si>
    <t>JARDIM CACHOEIRA</t>
  </si>
  <si>
    <t>37649-3</t>
  </si>
  <si>
    <t>FRANCISCO DE CAMPOS PACHECO NETO</t>
  </si>
  <si>
    <t>JOSE ROBSON COSTA DE ARAUJO, BOMBEIRO</t>
  </si>
  <si>
    <t>EMEI - JOAO PAULO II, PAPA</t>
  </si>
  <si>
    <t>EMEI PAPA JOÃO PAULO II</t>
  </si>
  <si>
    <t>emeijpaulo2@prefeitura.sp.gov.br</t>
  </si>
  <si>
    <t>RUA PAULO ARENTINO</t>
  </si>
  <si>
    <t>CITY JARAGUÁ</t>
  </si>
  <si>
    <t>62841-7</t>
  </si>
  <si>
    <t xml:space="preserve">ANDREIA ESTEVES GONÇALVES </t>
  </si>
  <si>
    <t>JOAO PAULO II, PAPA</t>
  </si>
  <si>
    <t>EMEF - AYRTON OLIVEIRA SAMPAIO, PROF.</t>
  </si>
  <si>
    <t>EMEF AYRTON OLIVEIRA SAMPAIO, PROF.</t>
  </si>
  <si>
    <t>RUA JULIA MAMEIA</t>
  </si>
  <si>
    <t>JARDIM SANTA FÉ</t>
  </si>
  <si>
    <t>41728-9</t>
  </si>
  <si>
    <t>VALQUIRIA SIMONE SAVISTZKI</t>
  </si>
  <si>
    <t>ANA MOURÃO DE OLIVEIRA</t>
  </si>
  <si>
    <t>AYRTON OLIVEIRA SAMPAIO, PROF.</t>
  </si>
  <si>
    <t>EMEI - ZELIA GATTAI</t>
  </si>
  <si>
    <t>EMEI ZELIA GATTAI</t>
  </si>
  <si>
    <t>RUA HENRIQUE SALVATORI</t>
  </si>
  <si>
    <t>31151-0</t>
  </si>
  <si>
    <t>emeicityiv@ig.com.br</t>
  </si>
  <si>
    <t>ZELIA GATTAI</t>
  </si>
  <si>
    <t>EMEI - GEORGE SAVALLA GOMES - CAREQUINHA</t>
  </si>
  <si>
    <t>RUA ANTONIO PEREIRA DE SÁ</t>
  </si>
  <si>
    <t>JARDIM AURELIO</t>
  </si>
  <si>
    <t>7667-8</t>
  </si>
  <si>
    <t>PAULA PATRÍCIA LEITE NOVAES</t>
  </si>
  <si>
    <t>costabitencourt@uol.com.br</t>
  </si>
  <si>
    <t>MARINICE ALVES DOS SANTOS</t>
  </si>
  <si>
    <t>GEORGE SAVALLA GOMES - CAREQUINHA</t>
  </si>
  <si>
    <t>EMEF - ALDO DA TOFORI, PE.</t>
  </si>
  <si>
    <t>EMEF ALDO DA TOFORI, PE.</t>
  </si>
  <si>
    <t>MIGUEL FLETA</t>
  </si>
  <si>
    <t>18.444-6</t>
  </si>
  <si>
    <t>PAULO PACIFICO</t>
  </si>
  <si>
    <t>ALDO DA TOFORI, PE.</t>
  </si>
  <si>
    <t>EMEI - GRAJAU</t>
  </si>
  <si>
    <t>EMEI GRAJAU</t>
  </si>
  <si>
    <t>RUA ALBA VALDEZ</t>
  </si>
  <si>
    <t>JARDIM REIMBERG</t>
  </si>
  <si>
    <t>41686-X</t>
  </si>
  <si>
    <t>GRAJAU</t>
  </si>
  <si>
    <t>EMEI - CARLOS EDUARDO DE CAMARGO ARANHA, DR.</t>
  </si>
  <si>
    <t>EMEI DR CARLOS EDUARDO DE CAMARGO ARANHA</t>
  </si>
  <si>
    <t>RUA DO BOQUEIRÃO</t>
  </si>
  <si>
    <t>JARDIM DA SAUDE</t>
  </si>
  <si>
    <t>Av do Cursino</t>
  </si>
  <si>
    <t>21.489-2</t>
  </si>
  <si>
    <t>emeicearanha@prefeitura.sp.gov.br</t>
  </si>
  <si>
    <t>Silvia Kassama Franco do Amaral</t>
  </si>
  <si>
    <t>CARLOS EDUARDO DE CAMARGO ARANHA, DR.</t>
  </si>
  <si>
    <t>EMEF CEU - PAULO GONCALO DOS SANTOS, PROF.</t>
  </si>
  <si>
    <t>EMEF CEU PAULO GONÇALO DOS SANTOS, PROF.</t>
  </si>
  <si>
    <t>DO ALVARENGA</t>
  </si>
  <si>
    <t>27.183-7</t>
  </si>
  <si>
    <t>ROBSON ANTONIO DA SILVA</t>
  </si>
  <si>
    <t>CLEIDE BALEEIRO ROCHA</t>
  </si>
  <si>
    <t>PAULO GONCALO DOS SANTOS, PROF.</t>
  </si>
  <si>
    <t>EMEF CEU - PAULO GOMES CARDIM, PROF. DR.</t>
  </si>
  <si>
    <t>EMEF PROF PAULO G. CARDIM</t>
  </si>
  <si>
    <t>emefceuaricanduva@prefeitura.sp.gov.br</t>
  </si>
  <si>
    <t xml:space="preserve">RUA OLGA FADEL ABARCA </t>
  </si>
  <si>
    <t>JARDIM SANTA TEREZINHA</t>
  </si>
  <si>
    <t>13549-6</t>
  </si>
  <si>
    <t>LUCIA HELENA ALVES BARBOSA</t>
  </si>
  <si>
    <t>PAULO GOMES CARDIM, PROF. DR.</t>
  </si>
  <si>
    <t>EMEF CEU - BUTANTA</t>
  </si>
  <si>
    <t>EMEF CEU BUTANTÃ</t>
  </si>
  <si>
    <t>emefceubutanta@prefeitura.sp.gov.br</t>
  </si>
  <si>
    <t>AV. ENG. HEITOR ANTONIO EIRAS GARCIA</t>
  </si>
  <si>
    <t>JARDIM ESMERALDA</t>
  </si>
  <si>
    <t>13.602-6</t>
  </si>
  <si>
    <t>SORAYA REYES DA SILVA</t>
  </si>
  <si>
    <t>BRUNA DE OLIVEIRA CALARESI NATTI</t>
  </si>
  <si>
    <t>BUTANTA</t>
  </si>
  <si>
    <t>EMEF CEU - CIDADE DUTRA</t>
  </si>
  <si>
    <t>CEU EMEF CIDADE DUTRA</t>
  </si>
  <si>
    <t>41884-6</t>
  </si>
  <si>
    <t>DANIELLE CRISTINA GONÇALVES TOKUDA</t>
  </si>
  <si>
    <t>CIDADE DUTRA</t>
  </si>
  <si>
    <t>EMEF CEU - INACIO MONTEIRO</t>
  </si>
  <si>
    <t>EMEF CEU INÁCIO MONTEIRO</t>
  </si>
  <si>
    <t>RUA BARÃO BARROSO DO AMAZONAS</t>
  </si>
  <si>
    <t>52.957-5</t>
  </si>
  <si>
    <t>ELIANE MATHEUS PLAZA</t>
  </si>
  <si>
    <t>NANCI GONÇALVES</t>
  </si>
  <si>
    <t>INACIO MONTEIRO</t>
  </si>
  <si>
    <t>EMEF CEU - JAMBEIRO</t>
  </si>
  <si>
    <t>CEU EMEF JAMBEIRO</t>
  </si>
  <si>
    <t>AVENIDA JOSÉ PINHEIRO BORGES</t>
  </si>
  <si>
    <t>JARDIM MORENO</t>
  </si>
  <si>
    <t>19.889-7</t>
  </si>
  <si>
    <t>JOSE IVANILDO FERREIRA DOS SANTOS</t>
  </si>
  <si>
    <t>JAMBEIRO</t>
  </si>
  <si>
    <t>EMEF CEU - MENINOS</t>
  </si>
  <si>
    <t>EMEF DO CEU MENINOS</t>
  </si>
  <si>
    <t>emefceumeninos@prefeitura.sp.gov.br</t>
  </si>
  <si>
    <t>RUA BARBINOS</t>
  </si>
  <si>
    <t>SÃO JOÃO CLIMACO</t>
  </si>
  <si>
    <t>15.709-0</t>
  </si>
  <si>
    <t>MENINOS</t>
  </si>
  <si>
    <t>EMEF - MARIA RITA DE CASSIA PINHEIRO SIMOES BRAGA, PROFA.</t>
  </si>
  <si>
    <t>EMEF - MARIA RITA DE CASSIA PINHEIRO S. BRAGA, PROFª</t>
  </si>
  <si>
    <t>emefmrcpsbraga@prefeitura.sp.gov.br</t>
  </si>
  <si>
    <t>RUA MARIA CALLAS</t>
  </si>
  <si>
    <t>PARQUE LIGIA</t>
  </si>
  <si>
    <t>21451-5</t>
  </si>
  <si>
    <t>LUCIANE DE OLIVEIRA DIAS</t>
  </si>
  <si>
    <t>SUELI DA SILVA</t>
  </si>
  <si>
    <t>MARIA RITA DE CASSIA PINHEIRO SIMOES BRAGA, PROFA.</t>
  </si>
  <si>
    <t>EMEF CEU - PARQUE SAO CARLOS</t>
  </si>
  <si>
    <t>CEU EMEF PARQUE SÃO CARLOS</t>
  </si>
  <si>
    <t>17430-0</t>
  </si>
  <si>
    <t>PARQUE SAO CARLOS</t>
  </si>
  <si>
    <t>EMEF CEU - PERA MARMELO</t>
  </si>
  <si>
    <t>EMEF CEU PERA MARMELO</t>
  </si>
  <si>
    <t>RUA PÊRA MARMELO</t>
  </si>
  <si>
    <t>31216-9</t>
  </si>
  <si>
    <t>ISABEL CRISTINA ROSSI MARTINS CARLOS</t>
  </si>
  <si>
    <t>emefperamarmelo@yahoo.com.br</t>
  </si>
  <si>
    <t>PERA MARMELO</t>
  </si>
  <si>
    <t>EMEF CEU - PERUS</t>
  </si>
  <si>
    <t>EMEF CEU PERUS</t>
  </si>
  <si>
    <t>RUA BERNARDO JOSÉ DE LORENA</t>
  </si>
  <si>
    <t>VILA MALVINA/PERUS</t>
  </si>
  <si>
    <t>30860-9</t>
  </si>
  <si>
    <t xml:space="preserve">IVAN APARECIDO DA SILVA </t>
  </si>
  <si>
    <t>EMEF CEU - CANDIDA DORA PINO PRETINI, PROFA.</t>
  </si>
  <si>
    <t xml:space="preserve">CEU EMEF PROFESSORA CANDIDA DORA PINO PRETINI </t>
  </si>
  <si>
    <t>RUA CINIRA POLONIO</t>
  </si>
  <si>
    <t>CONJUNTO PRÓ-MORAR RIO CLARO</t>
  </si>
  <si>
    <t>19602-9</t>
  </si>
  <si>
    <t>LILIANE RODRIGUES LUCARINI</t>
  </si>
  <si>
    <t>lucarini.liliane.lucarini@uol.com.br</t>
  </si>
  <si>
    <t>NÁDIA TERESA MARCOLINO</t>
  </si>
  <si>
    <t>CANDIDA DORA PINO PRETINI, PROFA.</t>
  </si>
  <si>
    <t>EMEF - FRANCISCO REBOLO</t>
  </si>
  <si>
    <t>RUA CATARINENSES</t>
  </si>
  <si>
    <t>V ANDRADE</t>
  </si>
  <si>
    <t>21458-2</t>
  </si>
  <si>
    <t>SUZANA SANCHES</t>
  </si>
  <si>
    <t>patijcardoso@hotmail.com</t>
  </si>
  <si>
    <t>ANA CAROLINA NOCE VOLKMER</t>
  </si>
  <si>
    <t>FRANCISCO REBOLO</t>
  </si>
  <si>
    <t>EMEF CEU - TRES LAGOS</t>
  </si>
  <si>
    <t>CEU EMEF TRÊS LAGOS</t>
  </si>
  <si>
    <t>ESTRADA DO BARRO BRANCO</t>
  </si>
  <si>
    <t>JARDIM NORONHA</t>
  </si>
  <si>
    <t>41673-8</t>
  </si>
  <si>
    <t>TRES LAGOS</t>
  </si>
  <si>
    <t>EMEF CEU - VILA ATLANTICA</t>
  </si>
  <si>
    <t>EMEF CEU VILA ATLÂNTICA</t>
  </si>
  <si>
    <t>RUA CORONEL JOSÉ VENÂNCIO DIAS</t>
  </si>
  <si>
    <t>JARDIM NARDINI</t>
  </si>
  <si>
    <t>31066-2</t>
  </si>
  <si>
    <t>SUELI MAGALHÃES FREITAS</t>
  </si>
  <si>
    <t>emefceuvatlantica@pref.sp.gov.br</t>
  </si>
  <si>
    <t>VILA ATLANTICA</t>
  </si>
  <si>
    <t>EMEF CEU - VILA CURUCA</t>
  </si>
  <si>
    <t>CEU EMEF VILA CURUÇA</t>
  </si>
  <si>
    <t>28486-6</t>
  </si>
  <si>
    <t>JAQUELINE PAIVA DO VALE</t>
  </si>
  <si>
    <t>SILVANA BACAYCOA RIBEIRO</t>
  </si>
  <si>
    <t>VILA CURUCA</t>
  </si>
  <si>
    <t>EMEI CEU - ALVARENGA</t>
  </si>
  <si>
    <t>EMEI CEU ALVARENGA</t>
  </si>
  <si>
    <t>ESTRADA DO ALVARENGA</t>
  </si>
  <si>
    <t>BALNEÁRIO SÃO FRANCISCO</t>
  </si>
  <si>
    <t>18.449-7</t>
  </si>
  <si>
    <t>JANE PERSINOTTI TRUJILLO</t>
  </si>
  <si>
    <t>ALVARENGA</t>
  </si>
  <si>
    <t>EMEI CEU - ARICANDUVA</t>
  </si>
  <si>
    <t>CEU EMEI ARICANDUVA</t>
  </si>
  <si>
    <t>emeiceuaricanduva@prefeitura.sp.gov.br</t>
  </si>
  <si>
    <t>RUA OLGA FADEL ABARCA</t>
  </si>
  <si>
    <t>13680-8</t>
  </si>
  <si>
    <t>SONIA GORETE DE OLIVEIRA</t>
  </si>
  <si>
    <t>EMEI CEU - BUTANTA</t>
  </si>
  <si>
    <t>EMEI CEU BUTANTÃ</t>
  </si>
  <si>
    <t>emeiceubutanta@prefeitura.sp.gov.br</t>
  </si>
  <si>
    <t>13.645-X</t>
  </si>
  <si>
    <t>ROSELI BERENICE SOARES PISARUK</t>
  </si>
  <si>
    <t>JANE LAURA Mª CARVALHO C. DE ARAÚJO MELO</t>
  </si>
  <si>
    <t>EMEF - JOSE BLOTA JUNIOR, DEP.</t>
  </si>
  <si>
    <t>CHAC. DA ENSEADA</t>
  </si>
  <si>
    <t>46423-6</t>
  </si>
  <si>
    <t>JOSÉ ALVES PEREIRA FILHO</t>
  </si>
  <si>
    <t>blotajr@yahoo.com.br</t>
  </si>
  <si>
    <t>MARIA LOLI RIBEIRO COSTA</t>
  </si>
  <si>
    <t>JOSE BLOTA JUNIOR, DEP.</t>
  </si>
  <si>
    <t>EMEI CEU - INACIO MONTEIRO</t>
  </si>
  <si>
    <t>EMEI CEU INACIO MONTEIRO</t>
  </si>
  <si>
    <t>emeiceuinaciomonteiro@prefeitura.sp.gov.br</t>
  </si>
  <si>
    <t>RUA BARAO JOAQUIM AMPARO</t>
  </si>
  <si>
    <t>20.129-4</t>
  </si>
  <si>
    <t>ROBERTA DA CUNHA MOURA</t>
  </si>
  <si>
    <t>EMEI CEU - THERESINHA SQUINCA DA SILVA, PROFA.</t>
  </si>
  <si>
    <t>EMEI PROFª THERESINHA SQUINCA DA SILVA</t>
  </si>
  <si>
    <t>emeiceutheresinhassilva@prefeitura.sp.gov.br</t>
  </si>
  <si>
    <t>RUA SILVIO BARBINI</t>
  </si>
  <si>
    <t>20.210-X</t>
  </si>
  <si>
    <t>LIZELE ANGELINA FONTANA</t>
  </si>
  <si>
    <t>THERESINHA SQUINCA DA SILVA, PROFA.</t>
  </si>
  <si>
    <t>EMEI CEU - NAVEGANTES</t>
  </si>
  <si>
    <t>EMEI CEU NAVEGANTES</t>
  </si>
  <si>
    <t>RUA MARIA MOASSAB BARBOUR</t>
  </si>
  <si>
    <t>CANTINHO DO CÉU</t>
  </si>
  <si>
    <t>41701-7</t>
  </si>
  <si>
    <t>NAVEGANTES</t>
  </si>
  <si>
    <t>EMEI CEU - ANTON MAKARENKO</t>
  </si>
  <si>
    <t>EMEI CEU ANTON MAKARENKO</t>
  </si>
  <si>
    <t>28314-2</t>
  </si>
  <si>
    <t>ANTON MAKARENKO</t>
  </si>
  <si>
    <t>EMEI CEU - PERA MARMELO</t>
  </si>
  <si>
    <t>EMEI CEU PERA MARMELO</t>
  </si>
  <si>
    <t>15730-9</t>
  </si>
  <si>
    <t>ROBSON ALEX DE JESUS PINTO</t>
  </si>
  <si>
    <t>emeiceuperamarmelo@pref.sp.gov.br</t>
  </si>
  <si>
    <t>EMEF - VARGEM GRANDE</t>
  </si>
  <si>
    <t>EMEF VARGEM GRANDE</t>
  </si>
  <si>
    <t>RUA BEIJA FLOR</t>
  </si>
  <si>
    <t>VARGEM GRANDE</t>
  </si>
  <si>
    <t>46637-9</t>
  </si>
  <si>
    <t>EMEI CEU - SAO MATEUS</t>
  </si>
  <si>
    <t xml:space="preserve">EMEI CEU SAO MATEUS </t>
  </si>
  <si>
    <t>RUA CURUMATIM</t>
  </si>
  <si>
    <t xml:space="preserve">PARQUE BOA ESPERANÇA </t>
  </si>
  <si>
    <t>10968-1</t>
  </si>
  <si>
    <t>hfmagalhaes@prefeitura.sp.gov.br</t>
  </si>
  <si>
    <t>ISABEL DE ARAÚJO BRITO</t>
  </si>
  <si>
    <t>SAO MATEUS</t>
  </si>
  <si>
    <t>EMEI CEU - TRES LAGOS</t>
  </si>
  <si>
    <t>EMEI CEU TRÊS LAGOS</t>
  </si>
  <si>
    <t>41742-4</t>
  </si>
  <si>
    <t>LUCIANE MEIRE DOS SANTOS</t>
  </si>
  <si>
    <t>EMEI CEU - VILA ATLANTICA</t>
  </si>
  <si>
    <t>EMEI CEU VILA ATLANTICA</t>
  </si>
  <si>
    <t>emeiceuvatlantica@prefeitura.sp.gov.br</t>
  </si>
  <si>
    <t>RUA CORONEL JOSÉ VENANCIO DIAS</t>
  </si>
  <si>
    <t>15535-7</t>
  </si>
  <si>
    <t xml:space="preserve">ANA PAULA FRANCA REBOUÇAS </t>
  </si>
  <si>
    <t>EMEI CEU - APPARECIDO DOMINGUES, PROF.</t>
  </si>
  <si>
    <t>EMEI CEU VILA CURUÇA</t>
  </si>
  <si>
    <t>AVENIDA MARECHAL TITO</t>
  </si>
  <si>
    <t>JARDIM MIRAGAIA/ITAIM PTA</t>
  </si>
  <si>
    <t>1667-X</t>
  </si>
  <si>
    <t>51744-5</t>
  </si>
  <si>
    <t>DANIELLA ISABEL CASTILHO</t>
  </si>
  <si>
    <t>ENAR ANZOLIN</t>
  </si>
  <si>
    <t>APPARECIDO DOMINGUES, PROF.</t>
  </si>
  <si>
    <t>EMEI CEU - ROSA DA CHINA</t>
  </si>
  <si>
    <t xml:space="preserve">CEU EMEI ROSA DA CHINA </t>
  </si>
  <si>
    <t>RUA CLARA PETRELA</t>
  </si>
  <si>
    <t>JARDIM SÃO ROBERTO</t>
  </si>
  <si>
    <t>21408-6</t>
  </si>
  <si>
    <t>agnalzita@hotmail.com</t>
  </si>
  <si>
    <t>TAMIRIS AUGUSTO VAZ</t>
  </si>
  <si>
    <t>ROSA DA CHINA</t>
  </si>
  <si>
    <t>EMEI - JOSE LA TORRE, PROF.</t>
  </si>
  <si>
    <t>EMEI JOSÉ LA TORRE, PROF.</t>
  </si>
  <si>
    <t>RUA ANTONIO MARCONDES BOETA</t>
  </si>
  <si>
    <t>JARDIM ALADIM</t>
  </si>
  <si>
    <t>23512-1</t>
  </si>
  <si>
    <t>KEILA CRISTINA ROCHA CARVALHO</t>
  </si>
  <si>
    <t>JOSE LA TORRE, PROF.</t>
  </si>
  <si>
    <t>EMEI - MARIA APARECIDA LARA COIADO, PROFA.</t>
  </si>
  <si>
    <t>EMEI MARIA APARECIDA LARA COIADO, PROFª</t>
  </si>
  <si>
    <t>RUA GENERAL ROCHA CALADO</t>
  </si>
  <si>
    <t>20.222-3</t>
  </si>
  <si>
    <t>emeimaplciado@prefeitura.sp.gov.br</t>
  </si>
  <si>
    <t>MARIA APARECIDA LARA COIADO, PROFA.</t>
  </si>
  <si>
    <t>EMEI CEU - CASA BLANCA</t>
  </si>
  <si>
    <t>EMEI - CASA BLANCA - CEU EMEI</t>
  </si>
  <si>
    <t>RUA JOÃO DAMASCENO</t>
  </si>
  <si>
    <t>VILA DAS BELEZAS</t>
  </si>
  <si>
    <t>21354-3</t>
  </si>
  <si>
    <t>WALERIA CORREIA GOMES AMOROSO</t>
  </si>
  <si>
    <t>cidinha.lourenco@bol.com.br</t>
  </si>
  <si>
    <t>FERNANDA SILVA PEREIRA</t>
  </si>
  <si>
    <t>CASA BLANCA</t>
  </si>
  <si>
    <t>EMEF CEU - CASA BLANCA</t>
  </si>
  <si>
    <t>EMEF - CASA BLANCA - CEU EMEF</t>
  </si>
  <si>
    <t>21.461-2</t>
  </si>
  <si>
    <t>mtieppo@prefeitura.sp.gov.br</t>
  </si>
  <si>
    <t>JOSÉ RAIMUNDO PEREIRA DOS SANTOS</t>
  </si>
  <si>
    <t>EMEI CEU - PAZ</t>
  </si>
  <si>
    <t>EMEI CEU PAZ</t>
  </si>
  <si>
    <t>RUA DA PAZ</t>
  </si>
  <si>
    <t>JARDIM PARANÁ</t>
  </si>
  <si>
    <t>VILA NOVA CACHOEIRINHA</t>
  </si>
  <si>
    <t>CRISTIANE CARVALHO DA SILVA</t>
  </si>
  <si>
    <t>PAZ</t>
  </si>
  <si>
    <t>EMEF - JOAO DA SILVA</t>
  </si>
  <si>
    <t>EMEF JOÃO DA SILVA</t>
  </si>
  <si>
    <t>RUA CONQUISTA POPULAR</t>
  </si>
  <si>
    <t>V. NASCENTE</t>
  </si>
  <si>
    <t>41809-9</t>
  </si>
  <si>
    <t>GERALDO NUNES AGUILAR</t>
  </si>
  <si>
    <t>JOAO DA SILVA</t>
  </si>
  <si>
    <t>EMEI CEU - LUIZA HELENA FERREIRA, PROFA.</t>
  </si>
  <si>
    <t>EMEI - CEU LUIZA HELENA FERREIRA, PROFA</t>
  </si>
  <si>
    <t>emeiceucampolimpo@prefeitura.sp.gov.br</t>
  </si>
  <si>
    <t>AVENIDA CARLOS LACERDA</t>
  </si>
  <si>
    <t>JARDIM PIRAJUSSARA</t>
  </si>
  <si>
    <t>7857-3</t>
  </si>
  <si>
    <t>JOEL SANTANA DE OLIVEIRA</t>
  </si>
  <si>
    <t>FERNANDA PEREIRA DA CRUZ</t>
  </si>
  <si>
    <t>LUIZA HELENA FERREIRA, PROFA.</t>
  </si>
  <si>
    <t>EMEF CEU - HERMES FERREIRA DE SOUZA</t>
  </si>
  <si>
    <t>EMEF - HERMES FERREIRA DE SOUZA - CEU EMEF</t>
  </si>
  <si>
    <t>emefhfsouza@prefeitura.sp.gov.br</t>
  </si>
  <si>
    <t>21771-9</t>
  </si>
  <si>
    <t>MARIA DO SOCORRO FREDERICCI</t>
  </si>
  <si>
    <t>FABIANA DOS SANTOS LUZ</t>
  </si>
  <si>
    <t>HERMES FERREIRA DE SOUZA</t>
  </si>
  <si>
    <t>EMEI - FERNANDO SABINO</t>
  </si>
  <si>
    <t>EMEI FERNANDO SABINO</t>
  </si>
  <si>
    <t>RUA OLHO D'ÁGUA DOS BORGES</t>
  </si>
  <si>
    <t>CANGAÍBA</t>
  </si>
  <si>
    <t>17.076-3</t>
  </si>
  <si>
    <t>FERNANDO SABINO</t>
  </si>
  <si>
    <t>CEI CEU - SILVANA APARECIDA TOBIAS, PROFA.</t>
  </si>
  <si>
    <t>CEI CEU</t>
  </si>
  <si>
    <t>CEU CEI JARDIM SOARES II</t>
  </si>
  <si>
    <t>RUA MANUEL DA MOTA COUTINHO</t>
  </si>
  <si>
    <t>JARDIM SOARES</t>
  </si>
  <si>
    <t>19.912-5</t>
  </si>
  <si>
    <t>MARCOS JOSÉ DA SILVA</t>
  </si>
  <si>
    <t>ANGELA MARIA CORRIA SANA</t>
  </si>
  <si>
    <t>SILVANA APARECIDA TOBIAS, PROFA.</t>
  </si>
  <si>
    <t>EMEI - JARDIM IMPERADOR</t>
  </si>
  <si>
    <t xml:space="preserve">EMEI JARDIM IMPERADOR </t>
  </si>
  <si>
    <t>RUA EUGENÓPOLIS</t>
  </si>
  <si>
    <t>JARDIM IMPERADOR</t>
  </si>
  <si>
    <t>30808-0</t>
  </si>
  <si>
    <t>ROSÂNGELA ALBUQUERQUE MARQUES</t>
  </si>
  <si>
    <t>hericasa@hotmail.com</t>
  </si>
  <si>
    <t>AMANDA VELLO DO PARAISO</t>
  </si>
  <si>
    <t>EMEI - JARDIM DA CONQUISTA</t>
  </si>
  <si>
    <t>EMEI JARDIM DA CONQUISTA</t>
  </si>
  <si>
    <t>emeijconquista@prefeitura.sp.gov.br</t>
  </si>
  <si>
    <t>113-215-6</t>
  </si>
  <si>
    <t xml:space="preserve">PAULA GABRIELY DE OLIVEIRA </t>
  </si>
  <si>
    <t>MARCIA BRAGANÇA AUGUSTO</t>
  </si>
  <si>
    <t>EMEF CEU - MANOEL VIEIRA DE QUEIROZ FILHO</t>
  </si>
  <si>
    <t>EMEF MANOEL VIEIRA DE QUEIROZ FILHO - CEU PARELHEIROS</t>
  </si>
  <si>
    <t>RUA JOSÉ PEDRO DE BORBA</t>
  </si>
  <si>
    <t>JARDIM NOVO PARELHEIROS</t>
  </si>
  <si>
    <t>LARGO DO SOCORRO</t>
  </si>
  <si>
    <t>46623-9</t>
  </si>
  <si>
    <t>ANDREA D.DEL RIO ORTIZ</t>
  </si>
  <si>
    <t>MANOEL VIEIRA DE QUEIROZ FILHO</t>
  </si>
  <si>
    <t>EMEF - PHILO GONCALVES DOS SANTOS, PROFA.</t>
  </si>
  <si>
    <t xml:space="preserve">EMEF PHILO GONÇALVES DOS SANTOS </t>
  </si>
  <si>
    <t xml:space="preserve">RUA ALAGOA NOVA </t>
  </si>
  <si>
    <t>4273-0</t>
  </si>
  <si>
    <t>13143-1</t>
  </si>
  <si>
    <t>MARIA AMELIA QUADRADO</t>
  </si>
  <si>
    <t>emefpgsantos@pref.sp.gov.br</t>
  </si>
  <si>
    <t>PHILO GONCALVES DOS SANTOS, PROFA.</t>
  </si>
  <si>
    <t>EMEI CEU - EDNA ALVES DE SOUSA, PROFA.</t>
  </si>
  <si>
    <t>EMEI PROFª  EDNA ALVES DE SOUSA</t>
  </si>
  <si>
    <t>emeiceuednaalves@prefeitura.sp.gov.br</t>
  </si>
  <si>
    <t>LAJEADO</t>
  </si>
  <si>
    <t>20.048-4</t>
  </si>
  <si>
    <t>ROSIMEIRE AP.DE ARAUJO ESPIRITO SANTO</t>
  </si>
  <si>
    <t>LINEA DIAS DA CRUZ BLAIA</t>
  </si>
  <si>
    <t>EDNA ALVES DE SOUSA, PROFA.</t>
  </si>
  <si>
    <t>EMEI - CELIA RIBEIRO LANDIM, PROFA.</t>
  </si>
  <si>
    <t>EMEI PROFESSORA CÉLIA RIBEIRO LANDIM</t>
  </si>
  <si>
    <t>RUA CRAVEIRO DO CAMPO</t>
  </si>
  <si>
    <t>12635-7</t>
  </si>
  <si>
    <t>VERÔNICA NUNES DE ANDRADE PEREIRA</t>
  </si>
  <si>
    <t>JANECLEA BARROS SCHIVALOCCHI</t>
  </si>
  <si>
    <t>CELIA RIBEIRO LANDIM, PROFA.</t>
  </si>
  <si>
    <t>EMEI - EDI GREENFIELD, PROFA.</t>
  </si>
  <si>
    <t>EMEI CIDADE KEMEL</t>
  </si>
  <si>
    <t>RUA DESEMB. FERNANDO DE ALBUQUERQUE PRADO</t>
  </si>
  <si>
    <t>ELIZABETH MARIA DE JESUS MINELLI</t>
  </si>
  <si>
    <t>EDI GREENFIELD, PROFA.</t>
  </si>
  <si>
    <t>EMEI - FATIMA REGINA DA CRUZ SABINO CALACA, PROFA.</t>
  </si>
  <si>
    <t>EMEI FATIMA REGINA DA CRUZ SABINO CALAÇA</t>
  </si>
  <si>
    <t>RUA MARIO QUINTANA</t>
  </si>
  <si>
    <t>JARDIM SÃO SAVÉRIO</t>
  </si>
  <si>
    <t>21.535-X</t>
  </si>
  <si>
    <t>emeifatimareginacsc@prefeitura.sp.gov.br</t>
  </si>
  <si>
    <t>FATIMA REGINA DA CRUZ SABINO CALACA, PROFA.</t>
  </si>
  <si>
    <t>EMEI - JARDIM DA CONQUISTA II</t>
  </si>
  <si>
    <t xml:space="preserve">EMEI JARDIM DA CONQUISTA II </t>
  </si>
  <si>
    <t>TRAVESSA JAMBALAYA</t>
  </si>
  <si>
    <t>10984-3</t>
  </si>
  <si>
    <t>TAIS GONCALVES ZAVAO</t>
  </si>
  <si>
    <t>vperpetua@prefeitura.sp.gov.br</t>
  </si>
  <si>
    <t>DEBORA GUERRERO MIGUEL</t>
  </si>
  <si>
    <t>JARDIM DA CONQUISTA II</t>
  </si>
  <si>
    <t>EMEF - LOURIVAL BRANDAO DOS SANTOS</t>
  </si>
  <si>
    <t>EMEF LOURIVAL BRANDÃO DOS SANTOS</t>
  </si>
  <si>
    <t>41756-4</t>
  </si>
  <si>
    <t>JOSÉ MANUEL CANOSA LEMA</t>
  </si>
  <si>
    <t>DAYANE MORAES OLIVEIRA</t>
  </si>
  <si>
    <t>LOURIVAL BRANDAO DOS SANTOS</t>
  </si>
  <si>
    <t>EMEF - CITY JARAGUA IV</t>
  </si>
  <si>
    <t>EMEF CITY JARAGUA IV</t>
  </si>
  <si>
    <t>HENRIQUE SALVATORI</t>
  </si>
  <si>
    <t>COHAB CITY JARAGUA</t>
  </si>
  <si>
    <t>15688-4</t>
  </si>
  <si>
    <t xml:space="preserve">MARILEIDE ROSA SOARES CONCEIÇÃO </t>
  </si>
  <si>
    <t>CITY JARAGUA IV</t>
  </si>
  <si>
    <t>EMEI - ODILEA BOTTA DE MATTOS, PROFA.</t>
  </si>
  <si>
    <t>EMEI ODILEA BOTTA DE MATTOS, PROFA.</t>
  </si>
  <si>
    <t>RUA VENANCIO POLETTI</t>
  </si>
  <si>
    <t>JARDIM FLORESTA</t>
  </si>
  <si>
    <t>41699-1</t>
  </si>
  <si>
    <t>EVERALDO JOSÉ GOGONI</t>
  </si>
  <si>
    <t>LUCIANA PINHEIRO NORBERTO</t>
  </si>
  <si>
    <t>ODILEA BOTTA DE MATTOS, PROFA.</t>
  </si>
  <si>
    <t>EMEI - JARDIM NOVO SANTO AMARO - ALICE ALVES MARTINS</t>
  </si>
  <si>
    <t>EMEI - JARDIM NOVO SANTO AMARO</t>
  </si>
  <si>
    <t>emeijnsamaro@prefeitura.sp.gov.br</t>
  </si>
  <si>
    <t>RUA MONFORTE DA BEIRA</t>
  </si>
  <si>
    <t>JARDIM SANTA JOSEFINA</t>
  </si>
  <si>
    <t>32531-7</t>
  </si>
  <si>
    <t>JOELMA APARECIDA OLIVEIRA ROCHA DE MORAIS</t>
  </si>
  <si>
    <t>ADRIANA OLIVEIRA DE SOUZA</t>
  </si>
  <si>
    <t>JARDIM NOVO SANTO AMARO - ALICE ALVES MARTINS</t>
  </si>
  <si>
    <t>EMEI - MANOEL DE ALVARENGA FREIRE JUNIOR, PROF.</t>
  </si>
  <si>
    <t xml:space="preserve">EMEI PROF. MANOEL DE ALVARENGA FREIRE JUNIOR </t>
  </si>
  <si>
    <t>RUA ELSA MORANTE</t>
  </si>
  <si>
    <t>JARDIM SÃO FRANCISCO</t>
  </si>
  <si>
    <t>20146-4</t>
  </si>
  <si>
    <t>MARIA APARECIDA DA CRUZ</t>
  </si>
  <si>
    <t>maricicruz@gmail.com</t>
  </si>
  <si>
    <t>CRISTINA GUERRA GALDINO AMORIM</t>
  </si>
  <si>
    <t>MANOEL DE ALVARENGA FREIRE JUNIOR, PROF.</t>
  </si>
  <si>
    <t>EMEI - JAGUARE</t>
  </si>
  <si>
    <t>EMEI JAGUARÉ</t>
  </si>
  <si>
    <t>AV.PRESIDENTE ALTINO</t>
  </si>
  <si>
    <t>JAGUARE</t>
  </si>
  <si>
    <t>1201-7</t>
  </si>
  <si>
    <t>21503-1</t>
  </si>
  <si>
    <t xml:space="preserve">TATIANA PINHEIRO DE ARAUJO </t>
  </si>
  <si>
    <t>emeijaguare@pref.sp.gov.br</t>
  </si>
  <si>
    <t>EMEI - RIO PEQUENO I</t>
  </si>
  <si>
    <t>EMEI RIO PEQUENO I</t>
  </si>
  <si>
    <t>emeiriopequeno@prefeitura.sp.gov.br</t>
  </si>
  <si>
    <t>AV. BENEDITO DE LIMA</t>
  </si>
  <si>
    <t>16.035-0</t>
  </si>
  <si>
    <t>YDELIZ COELHO DE SOUZA SANCHES</t>
  </si>
  <si>
    <t>VANESSA KAWAGOE EMIDIO</t>
  </si>
  <si>
    <t>RIO PEQUENO I</t>
  </si>
  <si>
    <t>EMEI CEU - IRENE MANKE MARQUES, PROFA.</t>
  </si>
  <si>
    <t>EMEI CEU AGUA AZUL</t>
  </si>
  <si>
    <t>AVENIDA DOS METALURGICOS</t>
  </si>
  <si>
    <t>19.699-1</t>
  </si>
  <si>
    <t>emeiceuirenemanke@prefeitura.sp.go.br</t>
  </si>
  <si>
    <t>IRENE MANKE MARQUES, PROFA.</t>
  </si>
  <si>
    <t>EMEI CEU - JORGE AMADO</t>
  </si>
  <si>
    <t>EMEI JORGE AMADO</t>
  </si>
  <si>
    <t>VILA MALVINA</t>
  </si>
  <si>
    <t>113.010-2</t>
  </si>
  <si>
    <t>BRUNO LIMA BECHELI</t>
  </si>
  <si>
    <t>emeijorgeamado@pref.sp.gov.br</t>
  </si>
  <si>
    <t>JORGE AMADO</t>
  </si>
  <si>
    <t>EMEI CEU - VILA RUBI</t>
  </si>
  <si>
    <t>CEU EMEI VILA RUBI</t>
  </si>
  <si>
    <t>RUA DOMINGOS BARROSO</t>
  </si>
  <si>
    <t>VILA RUBI</t>
  </si>
  <si>
    <t>14122-4</t>
  </si>
  <si>
    <t>PATRICIA SANTANA SOUZA PEREIRA</t>
  </si>
  <si>
    <t>ROSEANE DOS SANTOS DE OLIVEIRA</t>
  </si>
  <si>
    <t>EMEI CEU - JACANA</t>
  </si>
  <si>
    <t>CEU EMEI JAÇANÃ</t>
  </si>
  <si>
    <t>AVENIDA ANTONIO CESAR NETO</t>
  </si>
  <si>
    <t>JARDIM GUAPIRA</t>
  </si>
  <si>
    <t>31.792-6</t>
  </si>
  <si>
    <t>PRISCILA RODRIGUES FERREIRA</t>
  </si>
  <si>
    <t>emeiceujacana@prefeitura.sp.gov.br</t>
  </si>
  <si>
    <t>PRISCILA DOS SANTOS CARIOLANO</t>
  </si>
  <si>
    <t>JACANA</t>
  </si>
  <si>
    <t>EMEF CEU - AGUA AZUL</t>
  </si>
  <si>
    <t>EMEF CEU AGUA AZUL</t>
  </si>
  <si>
    <t>emefceuaguaazul@prefeitura.sp.gov.br</t>
  </si>
  <si>
    <t>19.977-X</t>
  </si>
  <si>
    <t>ELIANE SOARES CESÁRIO TORRES</t>
  </si>
  <si>
    <t>WALQUIRIA BITENCOURT RAMOS</t>
  </si>
  <si>
    <t>AGUA AZUL</t>
  </si>
  <si>
    <t>EMEF CEU - FEITICO DA VILA</t>
  </si>
  <si>
    <t>EMEF - FEITICO DA VILA CEU EMEF</t>
  </si>
  <si>
    <t>emefceufeiticodavila@prefeitura.sp.gov.br</t>
  </si>
  <si>
    <t>FEITICO DA VILA</t>
  </si>
  <si>
    <t>CHÁCARA SANTA MARIA</t>
  </si>
  <si>
    <t>7657-0</t>
  </si>
  <si>
    <t>SILVIA MARA TOSTE GARCIA</t>
  </si>
  <si>
    <t>EMEF CEU - VILA RUBI</t>
  </si>
  <si>
    <t>CEU EMEF VILA RUBI</t>
  </si>
  <si>
    <t>RUA DOMINGOS TARROSO</t>
  </si>
  <si>
    <t>41724-6</t>
  </si>
  <si>
    <t>THAIS SOARES DA SILVA SANTOS</t>
  </si>
  <si>
    <t>EMEF CEU - JACANA</t>
  </si>
  <si>
    <t>CEU EMEF JAÇANÃ</t>
  </si>
  <si>
    <t>emefceujacana@prefeitura.sp.gov.br</t>
  </si>
  <si>
    <t>RUA ANTONIO CESAR NETO</t>
  </si>
  <si>
    <t>GUAPIRA</t>
  </si>
  <si>
    <t>30.895-1</t>
  </si>
  <si>
    <t>LUCIMARA SOARES DE SANTANA</t>
  </si>
  <si>
    <t>EMEI CEU - FEITICO DA VILA</t>
  </si>
  <si>
    <t>EMEI - FEITICO DA VILA - CEU EMEI</t>
  </si>
  <si>
    <t>7645-7</t>
  </si>
  <si>
    <t>JUCIELE NOBRE SOUTO</t>
  </si>
  <si>
    <t>mariajrodrigues@ibest.com.br</t>
  </si>
  <si>
    <t>MARIA FRANCISCA DIAS DA SILVA</t>
  </si>
  <si>
    <t>EMEI - CIDADE A E CARVALHO</t>
  </si>
  <si>
    <t>EMEI CIDADE AE CARVALHO</t>
  </si>
  <si>
    <t>emeicidadeaecarvalho@prefeitura.sp.gov.br</t>
  </si>
  <si>
    <t>PRAÇA  JANDAIRA</t>
  </si>
  <si>
    <t>19811-0</t>
  </si>
  <si>
    <t>CIDADE A E CARVALHO</t>
  </si>
  <si>
    <t>EMEI - ROBERTO BURLE MARX</t>
  </si>
  <si>
    <t>emeiparaisopolis@prefeitura.sp.gov.br</t>
  </si>
  <si>
    <t>RUA IRAPARÁ</t>
  </si>
  <si>
    <t>PARAÍSO DO MORUMBI</t>
  </si>
  <si>
    <t>4285-4</t>
  </si>
  <si>
    <t>JARDIM LEONOR</t>
  </si>
  <si>
    <t>2130-X</t>
  </si>
  <si>
    <t>IRACEMA TOMANIK PULEGHINI</t>
  </si>
  <si>
    <t>ROBERTO BURLE MARX</t>
  </si>
  <si>
    <t>EMEF - JARDIM GUARANI - JOSE ALFREDO APOLINARIO, PROF.</t>
  </si>
  <si>
    <t>EMEF JARDIM GUARANI</t>
  </si>
  <si>
    <t>VILA BRASILANDIA</t>
  </si>
  <si>
    <t>37683-3</t>
  </si>
  <si>
    <t>JARDIM GUARANI - JOSE ALFREDO APOLINARIO, PROF.</t>
  </si>
  <si>
    <t>EMEI - LEILA MARIA FONTELES FARIAS, PROFA.</t>
  </si>
  <si>
    <t>EMEI JARDIM KERALUX</t>
  </si>
  <si>
    <t>RUA BATUÍRA DO CAMPO</t>
  </si>
  <si>
    <t>JARDIM KERALUX</t>
  </si>
  <si>
    <t>29.450-0</t>
  </si>
  <si>
    <t>DEISE MARA GONÇALVES MORAES PRADO</t>
  </si>
  <si>
    <t>LEILA MARIA FONTELES FARIAS, PROFA.</t>
  </si>
  <si>
    <t>EMEI - ELIZA MARA TORRES, PROFA.</t>
  </si>
  <si>
    <t>EMEI ELIZA MARA TORRES, PROFª</t>
  </si>
  <si>
    <t>emeielizamtorres@prefeitura.sp.gov.br</t>
  </si>
  <si>
    <t>RUA BAIA DE CAETE</t>
  </si>
  <si>
    <t>13.432-5</t>
  </si>
  <si>
    <t>ALCIONE ANDRADE MARTINS</t>
  </si>
  <si>
    <t>ELIZA MARA TORRES, PROFA.</t>
  </si>
  <si>
    <t>EMEI - ESTRADA TURISTICA DO JARAGUA</t>
  </si>
  <si>
    <t>EMEI ESTRADA TURÍSTICA DO JARAGUÁ</t>
  </si>
  <si>
    <t>RUA CACHOEIRO DO ITAPEMIRIM</t>
  </si>
  <si>
    <t>30849-8</t>
  </si>
  <si>
    <t xml:space="preserve">ALESSANDRA DE MATTOS MOLINA </t>
  </si>
  <si>
    <t>rogaraujo@pref.sp.gov.br</t>
  </si>
  <si>
    <t>ESTRADA TURISTICA DO JARAGUA</t>
  </si>
  <si>
    <t>EMEI - NAJLA CURI IZAR</t>
  </si>
  <si>
    <t>EMEI NAJLA CURI IZAR</t>
  </si>
  <si>
    <t>emeinajlacuriizar@prefeitura.sp.gov.br</t>
  </si>
  <si>
    <t>RUA PAULO GRACINDO</t>
  </si>
  <si>
    <t>GUAIANAZES</t>
  </si>
  <si>
    <t>52862-5</t>
  </si>
  <si>
    <t>NAJLA CURI IZAR</t>
  </si>
  <si>
    <t>EMEF - JARDIM DA CONQUISTA</t>
  </si>
  <si>
    <t>EMEF JARDIM DA CONQUISTA</t>
  </si>
  <si>
    <t xml:space="preserve">RUA RECANTO DOS HUMILDES </t>
  </si>
  <si>
    <t>117583-1</t>
  </si>
  <si>
    <t xml:space="preserve">ROSILEI SILVA DE OLIVEIRA RODRIGUES GOMES </t>
  </si>
  <si>
    <t>emefconquista@pref.sp.gov.br</t>
  </si>
  <si>
    <t xml:space="preserve">MARISA LOPES </t>
  </si>
  <si>
    <t>EMEF - GIANFRANCESCO GUARNIERI</t>
  </si>
  <si>
    <t>emefgianguarnieri@prefeitura.sp.gov.br</t>
  </si>
  <si>
    <t>RUA DOMÊNICO FONTANA</t>
  </si>
  <si>
    <t>PARQUE MARIA HELENA</t>
  </si>
  <si>
    <t>7830-1</t>
  </si>
  <si>
    <t>LUCIANA APARECIDA DE MAGALHÃES</t>
  </si>
  <si>
    <t>DAMIANA DGOMES DE AZEVEDO</t>
  </si>
  <si>
    <t>GIANFRANCESCO GUARNIERI</t>
  </si>
  <si>
    <t>EMEF - JARDIM DAMASCENO I</t>
  </si>
  <si>
    <t>EMEF JARDIM DAMASCENO I</t>
  </si>
  <si>
    <t>AV. DEP. CANTIDIO SAMPAIO</t>
  </si>
  <si>
    <t>JD.DAMASCENO</t>
  </si>
  <si>
    <t>37572-1</t>
  </si>
  <si>
    <t>ROSANA DE SOUZA SILVA</t>
  </si>
  <si>
    <t>JARDIM DAMASCENO I</t>
  </si>
  <si>
    <t>EMEF - JOSE HERMINIO RODRIGUES, CEL. PM</t>
  </si>
  <si>
    <t>EMEF JOSE HERMINIO RODRIGUES, CEL PM</t>
  </si>
  <si>
    <t>JARDIM ELISA MARIA</t>
  </si>
  <si>
    <t>ALESSANDRA MARIA DO CARMO RABELO</t>
  </si>
  <si>
    <t>ELISANGELA CRUZ DE CARVALHO</t>
  </si>
  <si>
    <t>JOSE HERMINIO RODRIGUES, CEL. PM</t>
  </si>
  <si>
    <t>EMEF - MARILI DIAS, PROFA.</t>
  </si>
  <si>
    <t>EMEF PROFESSORA MARILI DIAS</t>
  </si>
  <si>
    <t>emefmarilidias@prefeitura.sp.gov.br</t>
  </si>
  <si>
    <t>RUA ANTONIO CONSELHEIRO</t>
  </si>
  <si>
    <t>VILA PALMARES</t>
  </si>
  <si>
    <t>13117-2</t>
  </si>
  <si>
    <t xml:space="preserve">MARISA BARBOSA </t>
  </si>
  <si>
    <t>ROSELIA MARIA PEREIRA VIOTO</t>
  </si>
  <si>
    <t>MARILI DIAS, PROFA.</t>
  </si>
  <si>
    <t>EMEI CEU - GUARAPIRANGA</t>
  </si>
  <si>
    <t>EMEI - GUARAPIRANGA - CEU EMEI</t>
  </si>
  <si>
    <t>emeiceuguarapiranga@prefeitura.sp.gov.br</t>
  </si>
  <si>
    <t>ESTRADA DA BARONESA</t>
  </si>
  <si>
    <t>PARQUE BOLOGNE</t>
  </si>
  <si>
    <t>M'BOI MIRIM</t>
  </si>
  <si>
    <t>12555-5</t>
  </si>
  <si>
    <t>LUZIA FONSECA BORGES</t>
  </si>
  <si>
    <t>GUARAPIRANGA</t>
  </si>
  <si>
    <t>EMEI CEU - CANTOS DO AMANHECER</t>
  </si>
  <si>
    <t>EMEI - CANTOS DO AMANHECER CEU EMEI</t>
  </si>
  <si>
    <t>emeiceucantosdoamanhecer@prefeitura.sp.gov.br</t>
  </si>
  <si>
    <t xml:space="preserve">CANTOS DO AMANHECER  </t>
  </si>
  <si>
    <t>JARDIM ELEDY</t>
  </si>
  <si>
    <t>7623-6</t>
  </si>
  <si>
    <t>VALERIA C. P. GRACIANO</t>
  </si>
  <si>
    <t>SAMARA A. T. DA COSTA</t>
  </si>
  <si>
    <t>CANTOS DO AMANHECER</t>
  </si>
  <si>
    <t>EMEI CEU - VILA DO SOL</t>
  </si>
  <si>
    <t>CEU EMEI VILA DO SOL</t>
  </si>
  <si>
    <t>emeiceuviladosol@prefeitura.sp.gov.br</t>
  </si>
  <si>
    <t>AVENIDA DOS FUNCIONÁRIOS PÚBLICOS</t>
  </si>
  <si>
    <t>VILA DO SOL</t>
  </si>
  <si>
    <t>32611-9</t>
  </si>
  <si>
    <t>MARIA APARECIDA FERREIRA DA SILVA</t>
  </si>
  <si>
    <t>ELISANGELA DA SILVA SANTOS</t>
  </si>
  <si>
    <t>EMEI CEU - JARDIM PAULISTANO</t>
  </si>
  <si>
    <t>EMEI DO CEU JARDIM PAULISTANO</t>
  </si>
  <si>
    <t>AV APARECIDA DO TABOADO</t>
  </si>
  <si>
    <t>JARDIM PAULISTANO</t>
  </si>
  <si>
    <t>31141-3</t>
  </si>
  <si>
    <t>DEBORA BORGES BARRETO DA SILVA</t>
  </si>
  <si>
    <t>EMEI CEU - BRAZ JAIME ROMANO</t>
  </si>
  <si>
    <t>CEU EMEI BRAZ JAIME ROMANO</t>
  </si>
  <si>
    <t>AVENIDA LUIZ IMPARATO</t>
  </si>
  <si>
    <t>17.070-4</t>
  </si>
  <si>
    <t>BRAZ JAIME ROMANO</t>
  </si>
  <si>
    <t>EMEI CEU - ERIKA DE SOUZA BRITO MATOS, PROFA.</t>
  </si>
  <si>
    <t>CEU EMEI PROFª ERIKA DE SOUZA BRITO MATOS</t>
  </si>
  <si>
    <t>RUA MANUEL QUIRINO DE MATOS</t>
  </si>
  <si>
    <t>JARDIM SAPOPEMBA</t>
  </si>
  <si>
    <t>13454-6</t>
  </si>
  <si>
    <t>FÁBIO ALVES DOS SANTOS PEREIRA</t>
  </si>
  <si>
    <t>sandra.c.sampaio@hotmail.com</t>
  </si>
  <si>
    <t>VERÔNICA GIBILISCO DE OLIVEIRA CARDOSO</t>
  </si>
  <si>
    <t>ERIKA DE SOUZA BRITO MATOS, PROFA.</t>
  </si>
  <si>
    <t>EMEI CEU - TRES PONTES</t>
  </si>
  <si>
    <t xml:space="preserve">CEU EMEI TRES PONTES </t>
  </si>
  <si>
    <t>RUA CAPACHOS</t>
  </si>
  <si>
    <t>JARDIM CÉLIA</t>
  </si>
  <si>
    <t>28217-0</t>
  </si>
  <si>
    <t>TRES PONTES</t>
  </si>
  <si>
    <t>EMEF CEU - MARIO FITTIPALDI</t>
  </si>
  <si>
    <t>EMEF - GUARAPIRANGA CEU EMEF</t>
  </si>
  <si>
    <t>emefceuguarapiranga@prefeitura.sp.gov.br</t>
  </si>
  <si>
    <t>12554-7</t>
  </si>
  <si>
    <t>SERGIO MARCITELLI PEREIRA</t>
  </si>
  <si>
    <t>MARIA JOSÉ ALVES GUERRA</t>
  </si>
  <si>
    <t>MARIO FITTIPALDI</t>
  </si>
  <si>
    <t>EMEF CEU - CANTOS DO AMANHECER</t>
  </si>
  <si>
    <t>EMEF - CANTOS DO AMANHECER CEU EMEF</t>
  </si>
  <si>
    <t>emefceucantosdoamanhecer@prefeitura.sp.gov.br</t>
  </si>
  <si>
    <t>12609-8</t>
  </si>
  <si>
    <t>LUIZ GUSTAVO FIRMINO</t>
  </si>
  <si>
    <t>PAULA FRANCINEIDE C.DA SILVA</t>
  </si>
  <si>
    <t>EMEF CEU - VILA DO SOL</t>
  </si>
  <si>
    <t>EMEF - VILA DO SOL CEU EMEF</t>
  </si>
  <si>
    <t>emefceuviladosol@prefeitura.sp.gov.br</t>
  </si>
  <si>
    <t>7649-X</t>
  </si>
  <si>
    <t>HEVELIN LOUIZE MACEDO SILVA</t>
  </si>
  <si>
    <t>ALESSANDRO RUBENS DE MATOS</t>
  </si>
  <si>
    <t>EMEF CEU - JARDIM PAULISTANO</t>
  </si>
  <si>
    <t>APM  DA EMEF JARDIM PAULISTANO</t>
  </si>
  <si>
    <t>RUA APARECIDA DO TABOADO</t>
  </si>
  <si>
    <t>30494-8</t>
  </si>
  <si>
    <t>LUCIA BELISARIO SALES COSTA</t>
  </si>
  <si>
    <t>EMEI CEU - ROQUE SPENCER MACIEL DE BARROS, PROF.</t>
  </si>
  <si>
    <t xml:space="preserve">CEU EMEI PROF. ROQUE SPENCER MACIEL DE BARROS </t>
  </si>
  <si>
    <t>JARDIM RIO CLARO</t>
  </si>
  <si>
    <t>13353-1</t>
  </si>
  <si>
    <t>NATÁLIA SIMONE CONCEIÇÃO RODRIGUES</t>
  </si>
  <si>
    <t>ROQUE SPENCER MACIEL DE BARROS, PROF.</t>
  </si>
  <si>
    <t>EMEF CEU - ROSANGELA RODRIGUES VIEIRA, PROFA.</t>
  </si>
  <si>
    <t>CEU EMEF ROSANGELA RODRIGUES VIEIRA, PROF</t>
  </si>
  <si>
    <t>AVENIDA LUIS IMPARATO</t>
  </si>
  <si>
    <t>PARQUE CISPER</t>
  </si>
  <si>
    <t>3558-0</t>
  </si>
  <si>
    <t>CANGAIBA</t>
  </si>
  <si>
    <t>17.191-3</t>
  </si>
  <si>
    <t>MARIA LUIZA DA PAZ DE ABREU A. SANTIAGO</t>
  </si>
  <si>
    <t>ROSANGELA RODRIGUES VIEIRA, PROFA.</t>
  </si>
  <si>
    <t>EMEF CEU - TATIANA BELINKY</t>
  </si>
  <si>
    <t>EMEF TATIANA BELINKY</t>
  </si>
  <si>
    <t>20276-2</t>
  </si>
  <si>
    <t>FABIANA CRISTINA BALDIM LOPES MORETTI</t>
  </si>
  <si>
    <t>fbaldim@yahoo.com.br</t>
  </si>
  <si>
    <t>FRANCISCO BORGES DINIZ JUNIOR</t>
  </si>
  <si>
    <t>TATIANA BELINKY</t>
  </si>
  <si>
    <t>EMEF CEU - TRES PONTES</t>
  </si>
  <si>
    <t>CEU EMEF TRÊS PONTES</t>
  </si>
  <si>
    <t>28285-5</t>
  </si>
  <si>
    <t>AMÉLIA MARIA MORENO CONCEIÇÃO</t>
  </si>
  <si>
    <t>CRISTIANE LEITE DE JESUS PEREIRA</t>
  </si>
  <si>
    <t>EMEF CEU - LAJEADO</t>
  </si>
  <si>
    <t>EMEF CEU LAJEADO</t>
  </si>
  <si>
    <t>emefceulajeado@prefeitura.sp.gov.br</t>
  </si>
  <si>
    <t>SANDRA LUCIA DA SILVA</t>
  </si>
  <si>
    <t>JOSE GALDINO DE LIMA FILHO</t>
  </si>
  <si>
    <t>EMEF - JARDIM MITSUTANI I - PAULO PATARRA, JORNALISTA</t>
  </si>
  <si>
    <t>EMEF - JARDIM MITSUTANI I</t>
  </si>
  <si>
    <t>jdmitsutani@prefeitura.sp.gov.br</t>
  </si>
  <si>
    <t>RUA 14 DE OUTUBRO</t>
  </si>
  <si>
    <t>COHAB MONET</t>
  </si>
  <si>
    <t>GIOVANI GRONCHI</t>
  </si>
  <si>
    <t>21329-2</t>
  </si>
  <si>
    <t>ED CARLOS LUIS DA SILVA</t>
  </si>
  <si>
    <t>ANDRESSA BERNARDO DA SILVA MIGUEL</t>
  </si>
  <si>
    <t>JARDIM MITSUTANI I - PAULO PATARRA, JORNALISTA</t>
  </si>
  <si>
    <t>EMEI CEU - CAMINHO DO MAR</t>
  </si>
  <si>
    <t>CEU EMEI CAMINHO DO MAR - DULCE SALLES CUNHA BRAGA</t>
  </si>
  <si>
    <t>ENG. ARMANDO ARRUDA PEREIRA</t>
  </si>
  <si>
    <t>JABAQUARA</t>
  </si>
  <si>
    <t>22.375-1</t>
  </si>
  <si>
    <t>OLIVIA SELMA GOMES</t>
  </si>
  <si>
    <t>WILZA MARIA NERY</t>
  </si>
  <si>
    <t>CAMINHO DO MAR</t>
  </si>
  <si>
    <t>EMEF - CHACARA SONHO AZUL</t>
  </si>
  <si>
    <t>AVENIDA JOSE ESTIMA FILHO</t>
  </si>
  <si>
    <t>PARQUE SANTA BARBARA</t>
  </si>
  <si>
    <t>21460-4</t>
  </si>
  <si>
    <t>MARCOS CAETANO DA SILVA</t>
  </si>
  <si>
    <t>emefchacara@yahoo.com.br</t>
  </si>
  <si>
    <t>TANIA SILVIA GOMES</t>
  </si>
  <si>
    <t>EMEF CEU - JOSE REZENDE, PROF.</t>
  </si>
  <si>
    <t>CEU EMEF CAMINHO DO MAR - DULCE SALLES CUNHA BRAGA</t>
  </si>
  <si>
    <t>ARMANDO ARRUDA PEREIRA</t>
  </si>
  <si>
    <t>3567-X</t>
  </si>
  <si>
    <t>73.310-5</t>
  </si>
  <si>
    <t>RAQUEL ARAUJO DIAS</t>
  </si>
  <si>
    <t>JOSE REZENDE, PROF.</t>
  </si>
  <si>
    <t>EMEI CEU - LOREANE LALLO, PROFA.</t>
  </si>
  <si>
    <t>EMEI - CAPAO REDONDO - CEU EMEI</t>
  </si>
  <si>
    <t>emeiceucapaoredondo@prefeitura.sp.gov.br</t>
  </si>
  <si>
    <t>RUA DANIEL GRAN</t>
  </si>
  <si>
    <t>JARDIM MODELO</t>
  </si>
  <si>
    <t>12959-3</t>
  </si>
  <si>
    <t>LILIA PEREIRA DA SILVA</t>
  </si>
  <si>
    <t>LOREANE LALLO, PROFA.</t>
  </si>
  <si>
    <t>EMEI CEU - PARAISOPOLIS</t>
  </si>
  <si>
    <t>EMEI - PARAISOPOLIS - CEU EMEI</t>
  </si>
  <si>
    <t>emeiceuparaisopolis@prefeitura.sp.gov.br</t>
  </si>
  <si>
    <t>RUA DOUTOR JOSÉ AUGUSTO DE SOUZA E SILVA</t>
  </si>
  <si>
    <t>JARQDIM PARQUE MORUMBI</t>
  </si>
  <si>
    <t>21392-6</t>
  </si>
  <si>
    <t>FRANCISCA C.DE MELO SOUZA</t>
  </si>
  <si>
    <t>EMEI CEU - LUCIANA AZEVEDO POMPERMAYER, PROFA.</t>
  </si>
  <si>
    <t>EMEI CEU - LUCIANA AZEVEDO POMPERMAYER,PROF</t>
  </si>
  <si>
    <t>RUA PROFESSOR ARTUR PRIMAVESI</t>
  </si>
  <si>
    <t>PARQUE BRISTOL</t>
  </si>
  <si>
    <t>15995-6</t>
  </si>
  <si>
    <t>emeilucianaazevedo@prefeitura.sp.com.br</t>
  </si>
  <si>
    <t>LUCIANA AZEVEDO POMPERMAYER, PROFA.</t>
  </si>
  <si>
    <t>EMEI CEU - FORMOSA</t>
  </si>
  <si>
    <t>CEU EMEI FORMOSA</t>
  </si>
  <si>
    <t>RUA MANUEL FERREIRA PIRES</t>
  </si>
  <si>
    <t>CAPÃO DO EMBIRA</t>
  </si>
  <si>
    <t>4320-6</t>
  </si>
  <si>
    <t>7554-X</t>
  </si>
  <si>
    <t>SIMONE DE PAULA IZIDORO</t>
  </si>
  <si>
    <t>emeeiformosa@prefeitura.sp.gov.br</t>
  </si>
  <si>
    <t>FORMOSA</t>
  </si>
  <si>
    <t>EMEI CEU - UIRAPURU</t>
  </si>
  <si>
    <t>EMEI CEU UIRAPURU</t>
  </si>
  <si>
    <t>emeiceuuirapuru@prefeitura.sp.gov.br</t>
  </si>
  <si>
    <t>RUA NAZIR MIGUEL</t>
  </si>
  <si>
    <t>JARDIM PAULO VI</t>
  </si>
  <si>
    <t>23.471-0</t>
  </si>
  <si>
    <t>TEYLA CRISTINA COSTA CARDOSO</t>
  </si>
  <si>
    <t>UIRAPURU</t>
  </si>
  <si>
    <t>EMEI CEU - PARQUE ANHANGUERA</t>
  </si>
  <si>
    <t>EMEI CEU PARQUE ANHANGUERA</t>
  </si>
  <si>
    <t>RUA PEDRO JOSE DE LIMA</t>
  </si>
  <si>
    <t>JARDIM ANHANGUERA</t>
  </si>
  <si>
    <t>31188-X</t>
  </si>
  <si>
    <t xml:space="preserve">DEBORAH SANTOS DA SILVA SOARES </t>
  </si>
  <si>
    <t>emeiceupqanhanguera@sme.prefeitura.sp.gov.br</t>
  </si>
  <si>
    <t xml:space="preserve">ELETA GUIMARÃES PIMENTA </t>
  </si>
  <si>
    <t>PARQUE ANHANGUERA</t>
  </si>
  <si>
    <t>EMEI - EDALZIR SAMPAIO LIPORONI, PROFA.</t>
  </si>
  <si>
    <t>EMEI PROFESSORA EDALZIR SAMPAIO LIPORONI</t>
  </si>
  <si>
    <t>emeiesliporoni@prefeitura.sp.gov.br</t>
  </si>
  <si>
    <t>RUA N. Sª. APARECIDA</t>
  </si>
  <si>
    <t>0584-3</t>
  </si>
  <si>
    <t>VILA MARIA</t>
  </si>
  <si>
    <t>129.155-6</t>
  </si>
  <si>
    <t>KAMILA GOMES FONSECA</t>
  </si>
  <si>
    <t>VLADIMIR SOUZA DALMO</t>
  </si>
  <si>
    <t>EDALZIR SAMPAIO LIPORONI, PROFA.</t>
  </si>
  <si>
    <t>EMEI CEU - ALTO ALEGRE</t>
  </si>
  <si>
    <t xml:space="preserve">EMEI CEU ALTO ALEGRE </t>
  </si>
  <si>
    <t>AVENIDA BENTO GUELFI</t>
  </si>
  <si>
    <t>30864-1</t>
  </si>
  <si>
    <t>ANDRÉIA RANGEL GOMES MAZIERI</t>
  </si>
  <si>
    <t>ANDREA RAMOS DE SENA OLIVEIRA</t>
  </si>
  <si>
    <t>ALTO ALEGRE</t>
  </si>
  <si>
    <t>EMEF CEU - JOSE SARAMAGO</t>
  </si>
  <si>
    <t>EMEF - CAPAO REDONDO - CEU EMEF</t>
  </si>
  <si>
    <t>7736-4</t>
  </si>
  <si>
    <t>emefceucapaoredondo@prefeitura.sp.gov.br</t>
  </si>
  <si>
    <t>ANDERSON SEVERIANO GOMES</t>
  </si>
  <si>
    <t>JOSE SARAMAGO</t>
  </si>
  <si>
    <t>EMEF CEU - PARAISOPOLIS</t>
  </si>
  <si>
    <t>EMEF - PARAISOPOLIS - CEU EMEF</t>
  </si>
  <si>
    <t>emefceuparaisopolis@prefeitura.sp.gov.br</t>
  </si>
  <si>
    <t>8653-3</t>
  </si>
  <si>
    <t>FRANCISCA DAS CHAGAS DE M. SOUZA</t>
  </si>
  <si>
    <t>EMEF CEU - MARA CRISTINA TARTAGLIA SENA, PROFA.</t>
  </si>
  <si>
    <t>CEU EMEF MARA CRISTINA TARTAGLIA SENA,  PROFª</t>
  </si>
  <si>
    <t>PROFESSOR ARTUR PRIMAVESI</t>
  </si>
  <si>
    <t>21.624-0</t>
  </si>
  <si>
    <t>nataly_costa@hotmail.com</t>
  </si>
  <si>
    <t>Ruth Simões Marcondes</t>
  </si>
  <si>
    <t>MARA CRISTINA TARTAGLIA SENA, PROFA.</t>
  </si>
  <si>
    <t>EMEF CEU - MARIA APARECIDA DE SOUZA CAMPOS, PROFA.</t>
  </si>
  <si>
    <t>CEU EMEF MARIA APARECIDA DE SOUZA CAMPOS</t>
  </si>
  <si>
    <t>emefceuformosa@prefeitura.sp.gov.br</t>
  </si>
  <si>
    <t>1207-6</t>
  </si>
  <si>
    <t>25336-7</t>
  </si>
  <si>
    <t>MARCIO MEDEIROS FILHO</t>
  </si>
  <si>
    <t>MARIA APARECIDA DE SOUZA CAMPOS, PROFA.</t>
  </si>
  <si>
    <t>EMEF CEU - ANTONIO CARLOS ROCHA, PROF.</t>
  </si>
  <si>
    <t>CEU EMEF ANTONIO CARLOS ROCHA,PROFº</t>
  </si>
  <si>
    <t xml:space="preserve">AVENIDA CONDESSA ELISABETH DE ROBIANO </t>
  </si>
  <si>
    <t>44.747-1</t>
  </si>
  <si>
    <t>LÍLIAN DA SILVA CORREA</t>
  </si>
  <si>
    <t>ANTONIO CARLOS ROCHA, PROF.</t>
  </si>
  <si>
    <t>EMEF CEU - PARQUE ANHANGUERA</t>
  </si>
  <si>
    <t>CEU EMEF PARQUE ANHANGUERA</t>
  </si>
  <si>
    <t>113.039-0</t>
  </si>
  <si>
    <t xml:space="preserve">MAIZA DA SILVA LEITE OLIVEIRA </t>
  </si>
  <si>
    <t>emefceupqanhanguera@pref</t>
  </si>
  <si>
    <t xml:space="preserve">MARCOS MANOEL DOS SANTOS </t>
  </si>
  <si>
    <t>EMEF CEU - JAGUARE</t>
  </si>
  <si>
    <t>CEU EMEF JAGUARÉ</t>
  </si>
  <si>
    <t>AV.KENKITI SIMOMOTO</t>
  </si>
  <si>
    <t>JAGUARÉ</t>
  </si>
  <si>
    <t>1551-2</t>
  </si>
  <si>
    <t>ALTO DA LAPA</t>
  </si>
  <si>
    <t>17.422-X</t>
  </si>
  <si>
    <t>MARIANGELA CESTARI BARRILE</t>
  </si>
  <si>
    <t>emefceujaguare@pref.sp.gov.br</t>
  </si>
  <si>
    <t xml:space="preserve">ELBIO ANILBAL R.MENDES </t>
  </si>
  <si>
    <t>EMEF CEU - ALTO ALEGRE</t>
  </si>
  <si>
    <t xml:space="preserve">CEU EMEF ALTO ALEGRE </t>
  </si>
  <si>
    <t>11041-8</t>
  </si>
  <si>
    <t>LUIS FÁBIO DIMOV</t>
  </si>
  <si>
    <t>EMEI CEU - JAGUARE</t>
  </si>
  <si>
    <t>CEU EMEI JAGUARÉ</t>
  </si>
  <si>
    <t>AV KENKITI SIMOMOTO</t>
  </si>
  <si>
    <t>22.334-4</t>
  </si>
  <si>
    <t>GISELE RIRSCH RENO</t>
  </si>
  <si>
    <t>emeiceujaguare@pref.sp.gov.br</t>
  </si>
  <si>
    <t>EMEI - BERNARDINO PIMENTEL MENDES, DR.</t>
  </si>
  <si>
    <t>EMEI BERNARDINO PIMENTEL MENDES, DR.</t>
  </si>
  <si>
    <t>AV INAJAR DE SOUZA</t>
  </si>
  <si>
    <t>JARDIM DOS FRANCOS</t>
  </si>
  <si>
    <t>37977-8</t>
  </si>
  <si>
    <t>FELICIANA ALIPIO DE FIGUEIREDO</t>
  </si>
  <si>
    <t>BERNARDINO PIMENTEL MENDES, DR.</t>
  </si>
  <si>
    <t>EMEF - CAIRA ALAYDE ALVARENGA MEDEA, PROFA.</t>
  </si>
  <si>
    <t>EMEF PROFESSORA CAIRA ALAYDE ALVARENGA MEDEA</t>
  </si>
  <si>
    <t>RUA XAVIER DA SILVA FERRÃO</t>
  </si>
  <si>
    <t>MORRO GRANDE</t>
  </si>
  <si>
    <t>37627-2</t>
  </si>
  <si>
    <t>LUCIMARA BANDEIRA FERREIRA</t>
  </si>
  <si>
    <t>ANDREZA VARGA GOMES DE LIMA</t>
  </si>
  <si>
    <t>CAIRA ALAYDE ALVARENGA MEDEA, PROFA.</t>
  </si>
  <si>
    <t>EMEF - NEIR AUGUSTO LOPES, PROF.</t>
  </si>
  <si>
    <t>EMEF PROFESSOR NEIR AUGUSTO LOPES</t>
  </si>
  <si>
    <t>RUA JORNALISTA OTAVIO RIBEIRO PENA BRANCA</t>
  </si>
  <si>
    <t>BELA VISTA</t>
  </si>
  <si>
    <t>3008-2</t>
  </si>
  <si>
    <t>10576-7</t>
  </si>
  <si>
    <t>KEITH FLORIANO GINU DA SILVA</t>
  </si>
  <si>
    <t>MARIA NILZA REMIGIO</t>
  </si>
  <si>
    <t>NEIR AUGUSTO LOPES, PROF.</t>
  </si>
  <si>
    <t>EMEF - SERAFIN MARTINEZ GUTIERREZ, PE.</t>
  </si>
  <si>
    <t>EMEF SERAFIN MARTINEZ GUITIERREZ, PADRE</t>
  </si>
  <si>
    <t>AVENIDA WALDEMAR TIETZ</t>
  </si>
  <si>
    <t>CJ.HAB.PADRE JOSE DE ANCHIETA</t>
  </si>
  <si>
    <t>52.679-7</t>
  </si>
  <si>
    <t>SERAFIN MARTINEZ GUTIERREZ, PE.</t>
  </si>
  <si>
    <t>EMEF - GILMAR TACCOLA, PROF.</t>
  </si>
  <si>
    <t>EMEF GILMAR TACCOLA, PROF.</t>
  </si>
  <si>
    <t>RUA LUTÉCIA</t>
  </si>
  <si>
    <t>VILA CARRÃO</t>
  </si>
  <si>
    <t>EDUARDO COTCHING</t>
  </si>
  <si>
    <t>21485-X</t>
  </si>
  <si>
    <t>JULIANA DIAS DE CARVALHO</t>
  </si>
  <si>
    <t>emefluteca@ig.com.br</t>
  </si>
  <si>
    <t>GILMAR TACCOLA, PROF.</t>
  </si>
  <si>
    <t>EMEF - AGUAS DE MARCO</t>
  </si>
  <si>
    <t>EMEF ÁGUAS DE MARÇO</t>
  </si>
  <si>
    <t>RUA AGUAS DE MARÇO</t>
  </si>
  <si>
    <t>CONJ. RESID. JOSÉ BONIFÁCIO</t>
  </si>
  <si>
    <t>52505-7</t>
  </si>
  <si>
    <t>HELIO VALDECI RODRIGUES</t>
  </si>
  <si>
    <t>emefaguasde marco@prefeitura.sp.gov.br</t>
  </si>
  <si>
    <t>AGUAS DE MARCO</t>
  </si>
  <si>
    <t>EMEF - JANUARIO MANTELLI NETO, DEP.</t>
  </si>
  <si>
    <t>EMEF DEP. JANUÁRIO MANTELLI NETO</t>
  </si>
  <si>
    <t>RUA CAIÇARA DO RIO DO VENTO</t>
  </si>
  <si>
    <t>1542-3</t>
  </si>
  <si>
    <t xml:space="preserve">VILA ESPERANÇA </t>
  </si>
  <si>
    <t>16.420-8</t>
  </si>
  <si>
    <t>GEANE CARNEIRO SANTOS VIEIRA</t>
  </si>
  <si>
    <t>JANUARIO MANTELLI NETO, DEP.</t>
  </si>
  <si>
    <t>EMEF - DAMA ENTRE RIOS VERDES</t>
  </si>
  <si>
    <t>EMEF DAMA ENTRE RIOS VERDES</t>
  </si>
  <si>
    <t>AV. FERNANDO FIGUEIREDO LINS</t>
  </si>
  <si>
    <t>PARQUE SANTA RITA</t>
  </si>
  <si>
    <t>52019-5</t>
  </si>
  <si>
    <t>MARCO ANTONIO MATTOS DE ABREU</t>
  </si>
  <si>
    <t>DENISE DIAS E SILVA</t>
  </si>
  <si>
    <t>DAMA ENTRE RIOS VERDES</t>
  </si>
  <si>
    <t>EMEF - JARDIM FONTALIS</t>
  </si>
  <si>
    <t>EMEF JARDIM FONTALIS</t>
  </si>
  <si>
    <t>emefjardimfontalis@prefeitura.sp.gov.br</t>
  </si>
  <si>
    <t>RUA CRISANTEMO</t>
  </si>
  <si>
    <t>JARDIM FLOR DE MAIO</t>
  </si>
  <si>
    <t>30.905-2</t>
  </si>
  <si>
    <t>JARDIM FONTALIS</t>
  </si>
  <si>
    <t>EMEF - ZILKA SALABERRY DE CARVALHO</t>
  </si>
  <si>
    <t>EMEF ZILKA SALABERRY DE CARVALHO</t>
  </si>
  <si>
    <t>RUA ANTONIA DE FRANÇA E HORTA</t>
  </si>
  <si>
    <t>JARDIM ANTÁRTICA</t>
  </si>
  <si>
    <t>NOVA CANTAREIRA</t>
  </si>
  <si>
    <t>15233-1</t>
  </si>
  <si>
    <t>ZILKA SALABERRY DE CARVALHO</t>
  </si>
  <si>
    <t>EMEI - VILA VERDE</t>
  </si>
  <si>
    <t>EMEI VILA VERDE</t>
  </si>
  <si>
    <t>RUA ORLANDO FRATUCELLI</t>
  </si>
  <si>
    <t>VILA VERDE</t>
  </si>
  <si>
    <t>4239-0</t>
  </si>
  <si>
    <t>ENTRUDO</t>
  </si>
  <si>
    <t>11900-8</t>
  </si>
  <si>
    <t>EMEF - NEUZA AVELINO DA SILVA MELO</t>
  </si>
  <si>
    <t>EMEF CAUCÁSICA</t>
  </si>
  <si>
    <t>RUA CAUCÁSICA</t>
  </si>
  <si>
    <t>JARDIM MATARAZZO</t>
  </si>
  <si>
    <t>52120-5</t>
  </si>
  <si>
    <t>MARLI MARIA DE ALMEIDA COSTA</t>
  </si>
  <si>
    <t>MONICA APARECIDA DE OLIVEIRA</t>
  </si>
  <si>
    <t>NEUZA AVELINO DA SILVA MELO</t>
  </si>
  <si>
    <t>EMEF - GILBERTO DUPAS, PROF.</t>
  </si>
  <si>
    <t>EMEF PROFESSOR GILBERTO DUPAS</t>
  </si>
  <si>
    <t>AV DEPUTADO EMILIO CARLOS</t>
  </si>
  <si>
    <t>VL NOVA CACHOEIRINHA</t>
  </si>
  <si>
    <t>1173-8</t>
  </si>
  <si>
    <t>19603-7</t>
  </si>
  <si>
    <t>JOELMA SILVEIRA SANTOS</t>
  </si>
  <si>
    <t>GILBERTO DUPAS, PROF.</t>
  </si>
  <si>
    <t>EMEF - CONSTELACAO DO INDIO</t>
  </si>
  <si>
    <t>EMEF CONSTELAÇÃO DO ÍNDIO</t>
  </si>
  <si>
    <t>RUA CONSTELAÇÃO DO INDIO</t>
  </si>
  <si>
    <t>41959-1</t>
  </si>
  <si>
    <t>PATRICIA BORBA FONSECA</t>
  </si>
  <si>
    <t>CONSTELACAO DO INDIO</t>
  </si>
  <si>
    <t>EMEF - VIRGINIA LORISA ZEITOUNIAN CAMARGO, PROFA</t>
  </si>
  <si>
    <t>EMEF PROFª  VIRGINIA LORISA ZEITOUNIAN CAMARGO</t>
  </si>
  <si>
    <t>RUA CASTOR</t>
  </si>
  <si>
    <t>13535-6</t>
  </si>
  <si>
    <t>WILSON ROBERTO CATTOZATTO</t>
  </si>
  <si>
    <t>PAMELA FATIMA DE FREITAS MARIA</t>
  </si>
  <si>
    <t>VIRGINIA LORISA ZEITOUNIAN CAMARGO, PROFA</t>
  </si>
  <si>
    <t>EMEF - PARQUE BOA ESPERANCA II</t>
  </si>
  <si>
    <t xml:space="preserve">EMEF PARQUE BOA ESPERANCA II </t>
  </si>
  <si>
    <t>RUA FRANCISCO DE MELO PALHETA</t>
  </si>
  <si>
    <t>11045-0</t>
  </si>
  <si>
    <t>JHONATAN COSTA DA SILVA BRAGA</t>
  </si>
  <si>
    <t>leticia.lim@hotmail.com</t>
  </si>
  <si>
    <t>PATRICIA TEIXEIRA GARCES DOS SANTOS</t>
  </si>
  <si>
    <t>PARQUE BOA ESPERANCA II</t>
  </si>
  <si>
    <t>EMEF - IZABEL APARECIDA CRISTOVAO DA LUZ, PROFA.</t>
  </si>
  <si>
    <t>EMEF IZABEL APARECIDA CRISTOVÃO DA LUZ</t>
  </si>
  <si>
    <t>RUA ANTÔNIO DE SOUZA AMORIM</t>
  </si>
  <si>
    <t>28134-4</t>
  </si>
  <si>
    <t>ELTON FERNANDES DE OLIVEIRA</t>
  </si>
  <si>
    <t>IZABEL APARECIDA CRISTOVAO DA LUZ, PROFA.</t>
  </si>
  <si>
    <t>EMEF - MURURES</t>
  </si>
  <si>
    <t>EMEF MURURES</t>
  </si>
  <si>
    <t>RUA DOS MURURES</t>
  </si>
  <si>
    <t>52147-7</t>
  </si>
  <si>
    <t>JORGE LUIZ AMORIM</t>
  </si>
  <si>
    <t>SONIA REGINA BORGES SILVA</t>
  </si>
  <si>
    <t>MURURES</t>
  </si>
  <si>
    <t>EMEF - BADRA</t>
  </si>
  <si>
    <t>EMEF BADRA</t>
  </si>
  <si>
    <t>emefbadra@prefeitura.sp.gov.br</t>
  </si>
  <si>
    <t>RUA PRINCIPAL</t>
  </si>
  <si>
    <t>13527-5</t>
  </si>
  <si>
    <t>RICARDO ANTONIO MARCUSSO</t>
  </si>
  <si>
    <t>BADRA</t>
  </si>
  <si>
    <t>EMEF - ELIANE BENUTE LESSA AYRES GONCALVES, PROFESSORA – NANY BENUTE</t>
  </si>
  <si>
    <t>EMEF ELIANE BENUTE LESSA AYRES GONÇALVES, PROFª.</t>
  </si>
  <si>
    <t>AVENIDA RAIMUNDO PEREIRA DE MAGALHÃES</t>
  </si>
  <si>
    <t>31.571-0</t>
  </si>
  <si>
    <t>cfreires@prefeitura.sp.gov.br</t>
  </si>
  <si>
    <t>ELIANE BENUTE LESSA AYRES GONCALVES, PROFESSORA – NANY BENUTE</t>
  </si>
  <si>
    <t>EMEF - MOISES ELIAS DE SOUZA, TTE.</t>
  </si>
  <si>
    <t>EMEF MOISES ELIAS DE SOUZA, TEM</t>
  </si>
  <si>
    <t>AVENIDA DEPUTADO CANTIDIO SAMPAIO</t>
  </si>
  <si>
    <t>TAIPAS</t>
  </si>
  <si>
    <t>31.594-X</t>
  </si>
  <si>
    <t xml:space="preserve">MARCO ANTONIO BRANCO EDREIRA </t>
  </si>
  <si>
    <t>lismell@terra.com.br</t>
  </si>
  <si>
    <t>ANDREA CAMARGO MARCOCCI</t>
  </si>
  <si>
    <t>MOISES ELIAS DE SOUZA, TTE.</t>
  </si>
  <si>
    <t>EMEF - ALICE MEIRELLES REIS, PROFA.</t>
  </si>
  <si>
    <t>EMEF ALICE MEIRELLES REIS ,PROFª</t>
  </si>
  <si>
    <t>AV ELISIO TEIXEIRA LEITE</t>
  </si>
  <si>
    <t>SITIO MORRO GRANDE</t>
  </si>
  <si>
    <t>32.035-8</t>
  </si>
  <si>
    <t>ELIANA DE CAMARGO MAURÍCIO DE MELLO</t>
  </si>
  <si>
    <t>emefpirituba3@pref.sp.gov.br</t>
  </si>
  <si>
    <t>ALICE MEIRELLES REIS, PROFA.</t>
  </si>
  <si>
    <t>EMEF - VILA MUNCK</t>
  </si>
  <si>
    <t>EMEF VILA MUNCK</t>
  </si>
  <si>
    <t>RUA JOAQUIM GUIMARÃES</t>
  </si>
  <si>
    <t>16.205-1</t>
  </si>
  <si>
    <t>EVELINA VACISKI BARBOSA GALLASSI</t>
  </si>
  <si>
    <t>jl_daselva@yahoo.com.br</t>
  </si>
  <si>
    <t>PRISCILA RODRIGUES DE RESENDE</t>
  </si>
  <si>
    <t>VILA MUNCK</t>
  </si>
  <si>
    <t>EMEF - JARDIM PAULO VI</t>
  </si>
  <si>
    <t>EMEF JARDIM PAULO VI</t>
  </si>
  <si>
    <t>emefpaulovi@prefeitura.sp.gov.br</t>
  </si>
  <si>
    <t>JARDIM JOÃO XXIII</t>
  </si>
  <si>
    <t>16.197-7</t>
  </si>
  <si>
    <t>SUZAMAR SILVESTRE ARANHA</t>
  </si>
  <si>
    <t>EMEF - ALEX MARTINS COSTA, PROF., MAESTRO</t>
  </si>
  <si>
    <t>EMEF PROFº MAESTRO ALEX MARTINS COSTA</t>
  </si>
  <si>
    <t>RUA MORRO DO DESCANSO</t>
  </si>
  <si>
    <t>JARDIM SÃO NICOLAU</t>
  </si>
  <si>
    <t>9.294-0</t>
  </si>
  <si>
    <t>LARISSA AMADEU DE OLIVEIRA</t>
  </si>
  <si>
    <t>ALEX MARTINS COSTA, PROF., MAESTRO</t>
  </si>
  <si>
    <t>EMEF - ANA MARIA ALVES BENETTI, PROFA.</t>
  </si>
  <si>
    <t>EMEF ANA MARIA ALVES BENETTI</t>
  </si>
  <si>
    <t>CRUZ DAS ALMAS</t>
  </si>
  <si>
    <t>7005-X</t>
  </si>
  <si>
    <t>VILA SANTA CATARINA</t>
  </si>
  <si>
    <t>5.070-9</t>
  </si>
  <si>
    <t>ISNALDO BARRETO DO CARMO SILVA</t>
  </si>
  <si>
    <t>PATRICIA DE VASCONCELOS PEGRUCCI</t>
  </si>
  <si>
    <t>ANA MARIA ALVES BENETTI, PROFA.</t>
  </si>
  <si>
    <t>EMEF - MARIA LUCIA DOS SANTOS, PROFA.</t>
  </si>
  <si>
    <t>EMEF MARIA LUCIA DOS SANTOS</t>
  </si>
  <si>
    <t>ESTAMPA ESPORTIVA</t>
  </si>
  <si>
    <t>27.502-6</t>
  </si>
  <si>
    <t>ANDERSON ALMEIDA COSTA SCHULTER</t>
  </si>
  <si>
    <t>ROSEMARY SANTOS DE MENEZES</t>
  </si>
  <si>
    <t>MARIA LUCIA DOS SANTOS, PROFA.</t>
  </si>
  <si>
    <t>EMEF - JOSE FRANCISCO CAVALCANTE, PROF.</t>
  </si>
  <si>
    <t>EMEF JOSÉ FRANCISCO CAVALCANTE, PROF</t>
  </si>
  <si>
    <t>emeftajal@prefeitura.sp.gov.br</t>
  </si>
  <si>
    <t>R TAJAL</t>
  </si>
  <si>
    <t>13440-6</t>
  </si>
  <si>
    <t>EDMILSON NAZARENO BRITO</t>
  </si>
  <si>
    <t>JOSE ROBERTO SILVERIO</t>
  </si>
  <si>
    <t>JOSE FRANCISCO CAVALCANTE, PROF.</t>
  </si>
  <si>
    <t>EMEF - M'BOI MIRIM I</t>
  </si>
  <si>
    <t>emefmboimirim1@prefeitura.sp.gov.br</t>
  </si>
  <si>
    <t>RUA NOVA DO TUPAROQUERA</t>
  </si>
  <si>
    <t>JARDIM SÃO LUIS</t>
  </si>
  <si>
    <t>7752-6</t>
  </si>
  <si>
    <t>NORMA C. D. FARIA</t>
  </si>
  <si>
    <t>M'BOI MIRIM I</t>
  </si>
  <si>
    <t>EMEF - M'BOI MIRIM II</t>
  </si>
  <si>
    <t>8082-9</t>
  </si>
  <si>
    <t>zeca.zinho@uol.com.br</t>
  </si>
  <si>
    <t>MARIA HELENA MARTUCCI ALMEIDA</t>
  </si>
  <si>
    <t>M'BOI MIRIM II</t>
  </si>
  <si>
    <t>EMEF - MARLI FERRAZ TORRES BONFIM</t>
  </si>
  <si>
    <t>RUA JACQUES LE MERCIER</t>
  </si>
  <si>
    <t>JD MARIANE</t>
  </si>
  <si>
    <t>12898-8</t>
  </si>
  <si>
    <t>RAIMUNDO AMARILHO DE ALMEIDA</t>
  </si>
  <si>
    <t>wtpf@ig.com.br</t>
  </si>
  <si>
    <t>MARLI FERRAZ TORRES BONFIM</t>
  </si>
  <si>
    <t>EMEF - MARTIN LUTHER KING JR</t>
  </si>
  <si>
    <t>EMEF MARTIN LUTHER KING JR</t>
  </si>
  <si>
    <t xml:space="preserve">AVENIDA DO PROGRESSO </t>
  </si>
  <si>
    <t>30921-4</t>
  </si>
  <si>
    <t>DANIELE IEVENES</t>
  </si>
  <si>
    <t>MARTIN LUTHER KING JR</t>
  </si>
  <si>
    <t>EMEF - MARISA MORETTI CAMARA, PROFA.</t>
  </si>
  <si>
    <t>EMEF MARISA MORETTI CAMARA, PROFA.</t>
  </si>
  <si>
    <t>RUA AMPARO DA SERRA</t>
  </si>
  <si>
    <t>52080-2</t>
  </si>
  <si>
    <t>SILVIA FIORAVANTI</t>
  </si>
  <si>
    <t>DEBORA KAISER DA SILVA</t>
  </si>
  <si>
    <t>MARISA MORETTI CAMARA, PROFA.</t>
  </si>
  <si>
    <t>EMEF - HERCILIA DE CAMPOS COSTA</t>
  </si>
  <si>
    <t>EMEF HERCILIA DE CAMPOS COSTA</t>
  </si>
  <si>
    <t>emefipiranga1@prefeitura.sp.gov.br</t>
  </si>
  <si>
    <t>RUA JOSÉ PEREIRA CRUZ</t>
  </si>
  <si>
    <t>Av.do Cursino</t>
  </si>
  <si>
    <t>21.609-7</t>
  </si>
  <si>
    <t>HERCILIA DE CAMPOS COSTA</t>
  </si>
  <si>
    <t>EMEF - SOCRATES BRASILEIRO SAMPAIO DE SOUSA VIEIRA DE OLIVEIRA</t>
  </si>
  <si>
    <t>EMEF - CAMPO LIMPO I</t>
  </si>
  <si>
    <t>emefcampolimpo1@prefeitura.sp.gov.br</t>
  </si>
  <si>
    <t>RUA PROFESSORA NINA STOCCO</t>
  </si>
  <si>
    <t>JARDIM CATANDUVA</t>
  </si>
  <si>
    <t>7.708-9</t>
  </si>
  <si>
    <t>CLAUDINÉIA LUCIA BARBOSA</t>
  </si>
  <si>
    <t>SOCRATES BRASILEIRO SAMPAIO DE SOUSA VIEIRA DE OLIVEIRA</t>
  </si>
  <si>
    <t>EMEI - ALDO GIANNINI, ENG.</t>
  </si>
  <si>
    <t>EMEI ENG. ALDO GIANNINI</t>
  </si>
  <si>
    <t>RUA ARRAIAL DE SANTA BARBARA</t>
  </si>
  <si>
    <t>51992-8</t>
  </si>
  <si>
    <t>EUNICE CORREIA DA SILVA</t>
  </si>
  <si>
    <t>ROBERTA DE FREITAS LEAL STANZANI</t>
  </si>
  <si>
    <t>ALDO GIANNINI, ENG.</t>
  </si>
  <si>
    <t>EMEF - CAMPO LIMPO III - LUISA ROSARIA DE OLIVEIRA DIAS</t>
  </si>
  <si>
    <t>EMEF CAMPO LIMPO III</t>
  </si>
  <si>
    <t>emefcampolimpo3@prefeitura.sp.gov.br</t>
  </si>
  <si>
    <t>RUA ANDORINHAS DOS BEIRAIS</t>
  </si>
  <si>
    <t>JD DOM JOSE</t>
  </si>
  <si>
    <t>13.832-0</t>
  </si>
  <si>
    <t>ALZIRA CARDOSO SILVA</t>
  </si>
  <si>
    <t>ANDREA FELIX DA SILVA</t>
  </si>
  <si>
    <t>CAMPO LIMPO III - LUISA ROSARIA DE OLIVEIRA DIAS</t>
  </si>
  <si>
    <t>EMEF - MILLOR FERNANDES, JORNALISTA</t>
  </si>
  <si>
    <t>emefparqueregina@prefeitura.sp.gov.br</t>
  </si>
  <si>
    <t>RUA FRANCISCO SOARES</t>
  </si>
  <si>
    <t>PARQUE REGINA</t>
  </si>
  <si>
    <t>12826-0</t>
  </si>
  <si>
    <t>CLELIA GOMES TRINDADE FERNANDES</t>
  </si>
  <si>
    <t>MARIA ORLENY V. VIANA</t>
  </si>
  <si>
    <t>MILLOR FERNANDES, JORNALISTA</t>
  </si>
  <si>
    <t>CEMEI - PARQUE DO LAGO</t>
  </si>
  <si>
    <t>CEMEI</t>
  </si>
  <si>
    <t>cemei@prefeitura.sp.gov.br</t>
  </si>
  <si>
    <t>RUA XAMBORE</t>
  </si>
  <si>
    <t>MARCIA FERRREIRA NALDY</t>
  </si>
  <si>
    <t>CLEUSA MONTEIRO DE ALMEIDA</t>
  </si>
  <si>
    <t>EMEF - JOSEFA NICACIO ARAUJO, PROFA.</t>
  </si>
  <si>
    <t>EMEF JOSEFA NICACIO ARAUJO, PROFA.</t>
  </si>
  <si>
    <t>RUA MANOEL RODRIGUES SANTIAGO</t>
  </si>
  <si>
    <t>JARDIM LAURA</t>
  </si>
  <si>
    <t>28524-2</t>
  </si>
  <si>
    <t xml:space="preserve">MARILUCIA FERREIRA DA SILVA </t>
  </si>
  <si>
    <t>WAGNER FELIX DE OLIVEIRA</t>
  </si>
  <si>
    <t>JOSEFA NICACIO ARAUJO, PROFA.</t>
  </si>
  <si>
    <t>EMEF - CAMPO LIMPO II</t>
  </si>
  <si>
    <t>emefcampolimpo2@prefeitura.sp.gov.br</t>
  </si>
  <si>
    <t>RUA ALGARD</t>
  </si>
  <si>
    <t>CONJ. HABIT. JARDIM SÃO BENTO</t>
  </si>
  <si>
    <t>7689-9</t>
  </si>
  <si>
    <t>LENDRO DI BUONO SOUZA DAS NEVES</t>
  </si>
  <si>
    <t>ADRIANA TEODORA DOS REIS</t>
  </si>
  <si>
    <t>CAMPO LIMPO II</t>
  </si>
  <si>
    <t>EMEF - CARLOS FRANCISCO GASPAR</t>
  </si>
  <si>
    <t>EMEF CARLOS FRANCISCO GASPAR</t>
  </si>
  <si>
    <t>RUA HANS CHRISTIAN ANDERSEN</t>
  </si>
  <si>
    <t>GRANJA N. S. APARECIDA</t>
  </si>
  <si>
    <t>41834-X</t>
  </si>
  <si>
    <t>KÁTIA CARVALHO FERREIRA</t>
  </si>
  <si>
    <t>CARLOS FRANCISCO GASPAR</t>
  </si>
  <si>
    <t>EMEF - DIAS GOMES</t>
  </si>
  <si>
    <t>EMEF DIAS GOMES</t>
  </si>
  <si>
    <t>RUA ALÉSSIO PRATI</t>
  </si>
  <si>
    <t>JARDIM BANDEIRANTES</t>
  </si>
  <si>
    <t>52.337-2</t>
  </si>
  <si>
    <t>SERGIO FERNANDES DA SILVA</t>
  </si>
  <si>
    <t>LEANDRO ALVES TORRES</t>
  </si>
  <si>
    <t>DIAS GOMES</t>
  </si>
  <si>
    <t>EMEF - ALDINA ANALIA AGOSTINHA TADDEO CONDE, PROFA.</t>
  </si>
  <si>
    <t>EMEF ALDINA A.A.TADDEO CONDE, PROFª</t>
  </si>
  <si>
    <t>RUA FRANCESCO BARTOLOZZI</t>
  </si>
  <si>
    <t>JARDIM ÍCARAI</t>
  </si>
  <si>
    <t>42.453-6</t>
  </si>
  <si>
    <t>ALDINA ANALIA AGOSTINHA TADDEO CONDE, PROFA.</t>
  </si>
  <si>
    <t>EMEF - GENY MARIA MUNIZ ALMEIDA KLEIN PUSSINELLI, PROFA.</t>
  </si>
  <si>
    <t>EMEF GENY MARIA MUNIZ ALMEIDA KLEIN PUSSINELLI,PROFA.</t>
  </si>
  <si>
    <t>MADALENA ROSCHEL GOTTSFRITZ</t>
  </si>
  <si>
    <t>39988-4</t>
  </si>
  <si>
    <t>SILVANA AP.RAMOS VIEIRA</t>
  </si>
  <si>
    <t>GENY MARIA MUNIZ ALMEIDA KLEIN PUSSINELLI, PROFA.</t>
  </si>
  <si>
    <t>EMEI CEU - PARELHEIROS</t>
  </si>
  <si>
    <t>CEU EMEI PARELHEIROS</t>
  </si>
  <si>
    <t>RUA JOSE PEDRO DE BORBA</t>
  </si>
  <si>
    <t>41822-6</t>
  </si>
  <si>
    <t>SANDRA REGINA DE LIMA</t>
  </si>
  <si>
    <t>PARELHEIROS</t>
  </si>
  <si>
    <t>EMEF - MEIRE DE JESUS RIBEIRO, PROFA.</t>
  </si>
  <si>
    <t>EMEF CONJUNTO HABITACIONAL BARRO BRANCO II - C</t>
  </si>
  <si>
    <t>CONJUNTO HABITACIONAL BARRO BRANCO II</t>
  </si>
  <si>
    <t>20.034-4</t>
  </si>
  <si>
    <t>ROBERTO WAGNER DA SILVA JUNIOR</t>
  </si>
  <si>
    <t>LUCIANA DA SILVA UENO</t>
  </si>
  <si>
    <t>MEIRE DE JESUS RIBEIRO, PROFA.</t>
  </si>
  <si>
    <t>EMEI - VILA EMA</t>
  </si>
  <si>
    <t>EMEI VILA EMA</t>
  </si>
  <si>
    <t>emeivilaema@prefeitura.sp.gov.br</t>
  </si>
  <si>
    <t>RUA ANTÔNIO PIRES DE CAMPOS</t>
  </si>
  <si>
    <t>VILA EMA</t>
  </si>
  <si>
    <t>35.422-8</t>
  </si>
  <si>
    <t>EMEF - ROGE FERREIRA, DEP.</t>
  </si>
  <si>
    <t>EMEF ROGÊ FERREIRA,DEP.</t>
  </si>
  <si>
    <t>RUA PHILONILIA GONÇALVES DOS SANTOS</t>
  </si>
  <si>
    <t>JARDIM PANAMERICANO</t>
  </si>
  <si>
    <t>30842-0</t>
  </si>
  <si>
    <t>FERNANDO JOSE MENDONÇA DE ARAUJO</t>
  </si>
  <si>
    <t>emefrferreira@pref.sp.gov.br</t>
  </si>
  <si>
    <t>ROGE FERREIRA, DEP.</t>
  </si>
  <si>
    <t>EMEI - RECANTO DOS HUMILDES I</t>
  </si>
  <si>
    <t>EMEI RECANTO DOS HUMILDES I</t>
  </si>
  <si>
    <t>CONJ.HAB.REC.DOS HUMILDES</t>
  </si>
  <si>
    <t>113241-5</t>
  </si>
  <si>
    <t>emeirecantohumildes@pref.sp.gov.br</t>
  </si>
  <si>
    <t xml:space="preserve">CRISTIANE DE ALMEIDA SOUZA </t>
  </si>
  <si>
    <t>RECANTO DOS HUMILDES I</t>
  </si>
  <si>
    <t>EMEF - JOEL FERNANDES DE SOUZA</t>
  </si>
  <si>
    <t>EMEF JOEL FERNANDES DE SOUZA</t>
  </si>
  <si>
    <t>ALAMEDA CUNHA BUENO</t>
  </si>
  <si>
    <t>JARDIM DOS IPÊS</t>
  </si>
  <si>
    <t>20.173-1</t>
  </si>
  <si>
    <t>ELAINE APARECIDA COSTA DOS SANTOS</t>
  </si>
  <si>
    <t>JOEL FERNANDES DE SOUZA</t>
  </si>
  <si>
    <t>EMEI - JARDIM NOVO PARELHEIROS I</t>
  </si>
  <si>
    <t>EMEI JARDIM NOVO PARELHEIROS I</t>
  </si>
  <si>
    <t>14221-2</t>
  </si>
  <si>
    <t>NEIDE APARECIDA DE JESUS MAIA</t>
  </si>
  <si>
    <t>JARDIM NOVO PARELHEIROS I</t>
  </si>
  <si>
    <t>EMEF - JURANDI GOMES DE ARAUJO, PROF.</t>
  </si>
  <si>
    <t>EMEF JURANDI GOMES DE ARAUJO, PROF.</t>
  </si>
  <si>
    <t>RUA BARÃO DE ALMEIDA GALEÃO</t>
  </si>
  <si>
    <t>52086-1</t>
  </si>
  <si>
    <t>MARCIA SILVA DA COSTA ISIDORO</t>
  </si>
  <si>
    <t>JURANDI GOMES DE ARAUJO, PROF.</t>
  </si>
  <si>
    <t>EMEI - JARDIM PREMIANO</t>
  </si>
  <si>
    <t>EMEI JARDIM PREMIANO</t>
  </si>
  <si>
    <t>JARDIM PREMIANO</t>
  </si>
  <si>
    <t>8485-9</t>
  </si>
  <si>
    <t>CINTUIA DA SILVA MARCHI MARIANO</t>
  </si>
  <si>
    <t>EMEI - PARQUE COCAIA II</t>
  </si>
  <si>
    <t>EMEI PARQUE COCAIA II</t>
  </si>
  <si>
    <t>RUA JOSÉ JULIO MENDES</t>
  </si>
  <si>
    <t>46453-8</t>
  </si>
  <si>
    <t>PARQUE COCAIA II</t>
  </si>
  <si>
    <t>EMEI - MARIA THEREZA FUMAGALLI, PROFA.</t>
  </si>
  <si>
    <t>EMEI MARIA THEREZA FUMAGALLI,PROFª</t>
  </si>
  <si>
    <t>RUA VALE DO LUAR</t>
  </si>
  <si>
    <t xml:space="preserve">VILA NOVA BRASILANDIA </t>
  </si>
  <si>
    <t xml:space="preserve">NOSSA SENHORA DA LAPA </t>
  </si>
  <si>
    <t>65.790-5</t>
  </si>
  <si>
    <t>smacambyra@prefeitura.sp.gov.br</t>
  </si>
  <si>
    <t>MARIA THEREZA FUMAGALLI, PROFA.</t>
  </si>
  <si>
    <t>EMEBS - MARIO PEREIRA BICUDO, PROF.</t>
  </si>
  <si>
    <t>EMEBS PROF MARIO PEREIRA BICUDO</t>
  </si>
  <si>
    <t>AV. FELIX ALVES PEREIRA</t>
  </si>
  <si>
    <t>JARDIM CENTENARIO</t>
  </si>
  <si>
    <t>10567-8</t>
  </si>
  <si>
    <t>HIME GOMES DA SILVA CANDIDO</t>
  </si>
  <si>
    <t>MARIO PEREIRA BICUDO, PROF.</t>
  </si>
  <si>
    <t>EMEF - BARTOLOMEU CAMPOS DE QUEIROS</t>
  </si>
  <si>
    <t>EMEF BARTOLOMEU CAMPOS DE QUEIROS</t>
  </si>
  <si>
    <t>AVENIDA ARQUITETO VILANOVA ARTIGAS</t>
  </si>
  <si>
    <t>CONJ. HAB.TEOTONIO VILELA</t>
  </si>
  <si>
    <t>31166-9</t>
  </si>
  <si>
    <t>juremacarla@yahoo.com.br</t>
  </si>
  <si>
    <t>PRISCILA ALEXANDRE DO NASCIMENTO PEREIRA</t>
  </si>
  <si>
    <t>BARTOLOMEU CAMPOS DE QUEIROS</t>
  </si>
  <si>
    <t>EMEF - CELIA REGINA ANDERY BRAGA, PROFA.</t>
  </si>
  <si>
    <t>EMEF PROFª CELIA REGINA ANDERY BRAGA</t>
  </si>
  <si>
    <t>20.520-6</t>
  </si>
  <si>
    <t>YONE HELENA DE FREITAS ALVES</t>
  </si>
  <si>
    <t>CELIA REGINA ANDERY BRAGA, PROFA.</t>
  </si>
  <si>
    <t>EMEF - HELINA COUTINHO LOURENCO ALVES, PROFA.</t>
  </si>
  <si>
    <t>EMEF PROF. HELINA COUTINHO LOURENÇO ALVEZ</t>
  </si>
  <si>
    <t>RUA ARROIO SARANDI</t>
  </si>
  <si>
    <t>JARDIM SANTA ETELVINA</t>
  </si>
  <si>
    <t>20.242-8</t>
  </si>
  <si>
    <t>FELIPE BEZERRA DA SILVA</t>
  </si>
  <si>
    <t>HELINA COUTINHO LOURENCO ALVES, PROFA.</t>
  </si>
  <si>
    <t>EMEF - MARIA APARECIDA MAGNANELLI FERNANDES, PROFA.</t>
  </si>
  <si>
    <t>EMEF PROFª MARIA APARECIDA MAGNANELLI FERNANDES</t>
  </si>
  <si>
    <t>emefmamfernandes@prefeitura.sp.gov.br</t>
  </si>
  <si>
    <t>TVSILVIO CALDAS</t>
  </si>
  <si>
    <t>20.235-5</t>
  </si>
  <si>
    <t>SANDRO RAMOS DOS SANTOS</t>
  </si>
  <si>
    <t>LETICIA LIMA DE CAMARGO</t>
  </si>
  <si>
    <t>MARIA APARECIDA MAGNANELLI FERNANDES, PROFA.</t>
  </si>
  <si>
    <t>EMEF - MARIA APARECIDA RODRIGUES CINTRA, PROFA.</t>
  </si>
  <si>
    <t>EMEF PROFESSORA MARIA APARECIDA RODRIGUES CINTRA</t>
  </si>
  <si>
    <t>RUA ARAUAZINHO</t>
  </si>
  <si>
    <t>VILA MARINA</t>
  </si>
  <si>
    <t>ITABERABA</t>
  </si>
  <si>
    <t>LUIZ FERNANDO COSTA DE LOURDES</t>
  </si>
  <si>
    <t>MARIA APARECIDA RODRIGUES CINTRA, PROFA.</t>
  </si>
  <si>
    <t>EMEI - UNIAO DE VILA NOVA I</t>
  </si>
  <si>
    <t>EMEI UNIÃO DE VILA NOVA I</t>
  </si>
  <si>
    <t>RUA NÚBIA</t>
  </si>
  <si>
    <t>VILA NOVA UNIÃO</t>
  </si>
  <si>
    <t>69029-9</t>
  </si>
  <si>
    <t>LUCIMAR DE CASSIA ARAUJO</t>
  </si>
  <si>
    <t>UNIAO DE VILA NOVA I</t>
  </si>
  <si>
    <t>EMEF - JOSE CARLOS NICOLETO - ZITO, PROFESSOR</t>
  </si>
  <si>
    <t>EMEF PROFESSOR JOSE CARLOS NICOLETO - ZITO</t>
  </si>
  <si>
    <t>RUA BANDEIRA DE ARACAMBI</t>
  </si>
  <si>
    <t>JARDIM RODOLFO PIRANI</t>
  </si>
  <si>
    <t>20.636-9</t>
  </si>
  <si>
    <t>mceci17777@hotmail.com</t>
  </si>
  <si>
    <t>SHEILA CRISTINA LOPES DE ASSIS PARRA</t>
  </si>
  <si>
    <t>JOSE CARLOS NICOLETO - ZITO, PROFESSOR</t>
  </si>
  <si>
    <t>EMEI - MORRO DOCE</t>
  </si>
  <si>
    <t>EMEI MORRO DOCE</t>
  </si>
  <si>
    <t>JARDIM BRITÂNIA</t>
  </si>
  <si>
    <t>22018-3</t>
  </si>
  <si>
    <t>SANDRA PALADIA SOARES DA SILVA</t>
  </si>
  <si>
    <t>marlenmoura@hotmail.com</t>
  </si>
  <si>
    <t>EMEF - LILIAN MASO, PROFA.</t>
  </si>
  <si>
    <t>EMEF PROFESSORA LILIAN MASO</t>
  </si>
  <si>
    <t>RUA ENCRUZILHADA DO SUL</t>
  </si>
  <si>
    <t>40.705-4</t>
  </si>
  <si>
    <t>LILIAN MASO, PROFA.</t>
  </si>
  <si>
    <t>EMEF - ESTACAO JARAGUA</t>
  </si>
  <si>
    <t>EMEF - ESTAÇÃO JARAGUÁ</t>
  </si>
  <si>
    <t>RUA JOÃO AIRES</t>
  </si>
  <si>
    <t>S/Nº</t>
  </si>
  <si>
    <t>6807-1</t>
  </si>
  <si>
    <t>6517-X</t>
  </si>
  <si>
    <t xml:space="preserve">ROBSON NOVAES DA SILVA </t>
  </si>
  <si>
    <t>emefestacaojaragua@pref.sp.gov.br</t>
  </si>
  <si>
    <t>ESTACAO JARAGUA</t>
  </si>
  <si>
    <t>EMEF - AMELIA RODRIGUES DE OLIVEIRA, PROFA.</t>
  </si>
  <si>
    <t>EMEF AMELIA RODRIGUES DE OLIVEIRA</t>
  </si>
  <si>
    <t>DOS BOROS</t>
  </si>
  <si>
    <t>SN</t>
  </si>
  <si>
    <t>28.608-7</t>
  </si>
  <si>
    <t>CLAUDIA CRISTINA DA SILVA NASCIMENTO</t>
  </si>
  <si>
    <t>LUCIENE DE OLIVEIRA JORGE</t>
  </si>
  <si>
    <t>AMELIA RODRIGUES DE OLIVEIRA, PROFA.</t>
  </si>
  <si>
    <t>EMEF - PERIMETRAL</t>
  </si>
  <si>
    <t>EMEF PERIMETRAL</t>
  </si>
  <si>
    <t>JARDIM PARQUE MORUMBI</t>
  </si>
  <si>
    <t>9394-7</t>
  </si>
  <si>
    <t>PATRICIA DE CAMPOS F. COELHO</t>
  </si>
  <si>
    <t>lucianeolidi@yahoo.com.br</t>
  </si>
  <si>
    <t>CRISTINANE MATARUCO DUARTE RITTES</t>
  </si>
  <si>
    <t>PERIMETRAL</t>
  </si>
  <si>
    <t>EMEI - THAIS MOTTA DE OLIVEIRA E SILVA RODRIGUES, PROFA.</t>
  </si>
  <si>
    <t>EMEI PROFA THAIS MOTTA DE OLIVEIRA E SILVA RODRIGUES</t>
  </si>
  <si>
    <t>emeitrodrigues@sme.prefeitura.sp.gov.br</t>
  </si>
  <si>
    <t>RUA DIÓGENES DOURADO</t>
  </si>
  <si>
    <t>CONJUNTO RESIDENCIAL ELISIO TEIXEIRA LEI</t>
  </si>
  <si>
    <t xml:space="preserve">VILA PERUS </t>
  </si>
  <si>
    <t>116021-0</t>
  </si>
  <si>
    <t xml:space="preserve">EUNICE DOS SANTOS DA SILVA </t>
  </si>
  <si>
    <t>THAIS MOTTA DE OLIVEIRA E SILVA RODRIGUES, PROFA.</t>
  </si>
  <si>
    <t>EMEI - LOURO ROSA</t>
  </si>
  <si>
    <t>EMEI LOURO ROSA</t>
  </si>
  <si>
    <t xml:space="preserve">RUA LOURO ROSA </t>
  </si>
  <si>
    <t>18B</t>
  </si>
  <si>
    <t>JARDIMCAMARGO VELHO</t>
  </si>
  <si>
    <t>30.913-3</t>
  </si>
  <si>
    <t>PATRICIA GOMES DE QUEIROZ PIRES</t>
  </si>
  <si>
    <t>EDILENE DA SILVA SANTANA</t>
  </si>
  <si>
    <t>LOURO ROSA</t>
  </si>
  <si>
    <t>EMEI - JARDIM MONJOLO I</t>
  </si>
  <si>
    <t>EMEI JARDIM MONJOLO I</t>
  </si>
  <si>
    <t>RUA CALIXTO DE ALMEIDA</t>
  </si>
  <si>
    <t>442 A</t>
  </si>
  <si>
    <t>JARDIM MONJOLO</t>
  </si>
  <si>
    <t>6844-6</t>
  </si>
  <si>
    <t>JARDIM MONJOLO I</t>
  </si>
  <si>
    <t>EMEI - PEDRO ALVARES CABRAL MORAES, PROF.</t>
  </si>
  <si>
    <t>EMEI PROFESSOR PEDRO ALVARES CABRAL MORAES</t>
  </si>
  <si>
    <t>RUA LEONOR F. COSTA ZACHARIAS</t>
  </si>
  <si>
    <t>VILA GUILHERME</t>
  </si>
  <si>
    <t>1198-3</t>
  </si>
  <si>
    <t>PARI</t>
  </si>
  <si>
    <t>30.384-4</t>
  </si>
  <si>
    <t>ANDREA STEINVASCHER</t>
  </si>
  <si>
    <t>dricarlotti@hotmail.com</t>
  </si>
  <si>
    <t>ROSIMEIRE APARECIDA DA SILVA MIELKE</t>
  </si>
  <si>
    <t>PEDRO ALVARES CABRAL MORAES, PROF.</t>
  </si>
  <si>
    <t>EMEI - DORINA NOWILL, PROFESSORA</t>
  </si>
  <si>
    <t>EMEI DORINA NOWILL, PROFª</t>
  </si>
  <si>
    <t>RUA PUBLIO PIMENTEL</t>
  </si>
  <si>
    <t>AMERICANOPOLIS</t>
  </si>
  <si>
    <t>29.299-0</t>
  </si>
  <si>
    <t>CELINA FONSECA HENRIQUE LACERDA</t>
  </si>
  <si>
    <t>JAYANE NUNES FERREIRA</t>
  </si>
  <si>
    <t>DORINA NOWILL, PROFESSORA</t>
  </si>
  <si>
    <t>EMEI - CIDADE ADEMAR II</t>
  </si>
  <si>
    <t>EMEI CIDADE ADEMAR II</t>
  </si>
  <si>
    <t>RUA JOÃO LANG</t>
  </si>
  <si>
    <t>JARDIM MARTINI</t>
  </si>
  <si>
    <t>4213-7</t>
  </si>
  <si>
    <t>11.548-7</t>
  </si>
  <si>
    <t>MARCELO CESAR BETCHER</t>
  </si>
  <si>
    <t>CLEONICE ALVES DOS SANTOS</t>
  </si>
  <si>
    <t>CIDADE ADEMAR II</t>
  </si>
  <si>
    <t>EMEI - VARGEM GRANDE I</t>
  </si>
  <si>
    <t>EMEI VARGEM GRANDE I</t>
  </si>
  <si>
    <t>RUA JAQUEIRA</t>
  </si>
  <si>
    <t>COLONIA</t>
  </si>
  <si>
    <t>45006-5</t>
  </si>
  <si>
    <t>VANILZA GOMES</t>
  </si>
  <si>
    <t>VARGEM GRANDE I</t>
  </si>
  <si>
    <t>EMEF - VARGEM GRANDE II</t>
  </si>
  <si>
    <t>EMEF VARGEM GRANDE II</t>
  </si>
  <si>
    <t>RUA IPÊ-ROXO</t>
  </si>
  <si>
    <t>45115-0</t>
  </si>
  <si>
    <t>VARGEM GRANDE II</t>
  </si>
  <si>
    <t>EMEI - CIDADE ADEMAR III</t>
  </si>
  <si>
    <t>EMEI CIDADE ADEMAR III</t>
  </si>
  <si>
    <t>AVENIDA YERVANT KISSAJIKIAN</t>
  </si>
  <si>
    <t>11.540-1</t>
  </si>
  <si>
    <t>CIDADE ADEMAR III</t>
  </si>
  <si>
    <t>EMEF - MARIA APARECIDA DO NASCIMENTO, PROFA.</t>
  </si>
  <si>
    <t>EMEF PROFESSORA MARIA APARECIDA DO NASCIMENTO</t>
  </si>
  <si>
    <t>RUA EDSON DANILLO DOTTO</t>
  </si>
  <si>
    <t>CONJUNTO HABITACIONAL SANTA ETELVINA II</t>
  </si>
  <si>
    <t>26.615-9</t>
  </si>
  <si>
    <t>MARIA APARECIDA DO NASCIMENTO, PROFA.</t>
  </si>
  <si>
    <t>EMEI - ISOLINA LEONEL FERREIRA, PROFA.</t>
  </si>
  <si>
    <t>EMEI PROFª  ISOLINA LEONEL FERREIRA</t>
  </si>
  <si>
    <t>RUA DAS LAGRIMAS</t>
  </si>
  <si>
    <t>18.673-2</t>
  </si>
  <si>
    <t>alcir.ferreira@uol.com.br</t>
  </si>
  <si>
    <t>ISOLINA LEONEL FERREIRA, PROFA.</t>
  </si>
  <si>
    <t>EMEI - MARISA RICCA XIMENES, PROFA.</t>
  </si>
  <si>
    <t>EMEI PROFª MARISA RICCA XIMENES</t>
  </si>
  <si>
    <t>RUA VERATRO</t>
  </si>
  <si>
    <t>JARDIM PANORAMA</t>
  </si>
  <si>
    <t>21.052-8</t>
  </si>
  <si>
    <t>MARISA RICCA XIMENES, PROFA.</t>
  </si>
  <si>
    <t>EMEI - VILA NATAL</t>
  </si>
  <si>
    <t>EMEI VILA NATAL</t>
  </si>
  <si>
    <t>RUA LIMA NATAL</t>
  </si>
  <si>
    <t>VILA NATAL</t>
  </si>
  <si>
    <t>48.818-6</t>
  </si>
  <si>
    <t>LUCIANA GOMES PAIVA DE LIMA</t>
  </si>
  <si>
    <t>EMEF - ABRAO HUCK, DR.</t>
  </si>
  <si>
    <t>EMEF DR. ABRAO HUCK</t>
  </si>
  <si>
    <t>RUA ALENCAR ARARIPE</t>
  </si>
  <si>
    <t>70628-0</t>
  </si>
  <si>
    <t>ABRAO HUCK, DR.</t>
  </si>
  <si>
    <t>EMEI - MARCIANO VASQUES PEREIRA, PROF.</t>
  </si>
  <si>
    <t>EMEI ALFAZEMAS</t>
  </si>
  <si>
    <t>RUA ITAPIPINAS</t>
  </si>
  <si>
    <t>JARDIM ARTUR ALVIM</t>
  </si>
  <si>
    <t>2330-2</t>
  </si>
  <si>
    <t>VILA RE</t>
  </si>
  <si>
    <t>18.064-5</t>
  </si>
  <si>
    <t xml:space="preserve">LUCIANA SILVA ALVETI </t>
  </si>
  <si>
    <t>MARCIANO VASQUES PEREIRA, PROF.</t>
  </si>
  <si>
    <t>EMEI - PORTO NACIONAL</t>
  </si>
  <si>
    <t>EMEI PORTO NACIONAL</t>
  </si>
  <si>
    <t>RUA PORTO NACIONAL</t>
  </si>
  <si>
    <t>VILA SIQUEIRA</t>
  </si>
  <si>
    <t>45253-X</t>
  </si>
  <si>
    <t>RODRIGO TAVANTE</t>
  </si>
  <si>
    <t>PORTO NACIONAL</t>
  </si>
  <si>
    <t>CEI - JARDIM SANTA TEREZA</t>
  </si>
  <si>
    <t>CEI</t>
  </si>
  <si>
    <t>CEI JARDIM SANTA TEREZA</t>
  </si>
  <si>
    <t>RUA AUGUSTO CESAR SANDINO</t>
  </si>
  <si>
    <t>49489-5</t>
  </si>
  <si>
    <t>SOLANGE APARECIDA GEDRA BERNA</t>
  </si>
  <si>
    <t>MARIANA SILVA LIMA</t>
  </si>
  <si>
    <t>JARDIM SANTA TEREZA</t>
  </si>
  <si>
    <t>EMEI - ESTRADA DO CORREDOR</t>
  </si>
  <si>
    <t xml:space="preserve">EMEI ESTRADA DO CORREDOR </t>
  </si>
  <si>
    <t>emeiestradacorredor@prefeitura.sp.gov.br</t>
  </si>
  <si>
    <t>ESTRADA DO CORREDOR</t>
  </si>
  <si>
    <t>PARQUE PANAMERICANO</t>
  </si>
  <si>
    <t>78.863-5</t>
  </si>
  <si>
    <t>EMEI - FULVIA ROSEMBERG, PROFA.</t>
  </si>
  <si>
    <t>EMEI CIDADE TIRADENTES I</t>
  </si>
  <si>
    <t>RUA MOACIR GOMES DE ALMEIDA</t>
  </si>
  <si>
    <t xml:space="preserve"> VILA PAULISTA I</t>
  </si>
  <si>
    <t>29.298-2</t>
  </si>
  <si>
    <t>ROBERTA FELIX DA SILVA GUEDES</t>
  </si>
  <si>
    <t>emeicidadetiradentes1@prefeitura.sp.gov.br</t>
  </si>
  <si>
    <t>FULVIA ROSEMBERG, PROFA.</t>
  </si>
  <si>
    <t>EMEI - PARQUE DAS NACOES I</t>
  </si>
  <si>
    <t>EMEI PARQUE DAS NACOES I</t>
  </si>
  <si>
    <t>emeipqnacoes@prefeitura.sp.gov.br</t>
  </si>
  <si>
    <t>RUA FERNANDO SABINO</t>
  </si>
  <si>
    <t>PARQUE DAS NAÇÕES UNIDAS</t>
  </si>
  <si>
    <t xml:space="preserve">2996-3 </t>
  </si>
  <si>
    <t>100.932-X</t>
  </si>
  <si>
    <t xml:space="preserve">LUCIENE NASCIMENTO LACERDA </t>
  </si>
  <si>
    <t>PARQUE DAS NACOES I</t>
  </si>
  <si>
    <t>EMEF - CHACARA TURISTICA</t>
  </si>
  <si>
    <t>EMEF CHACARA TURISTICA</t>
  </si>
  <si>
    <t>RUA AGNES FONTOURA</t>
  </si>
  <si>
    <t>CONJUNTO HABITACIONAL TURISTICA</t>
  </si>
  <si>
    <t>22.812-5</t>
  </si>
  <si>
    <t xml:space="preserve">CASSIA REGINA FERREIRA </t>
  </si>
  <si>
    <t>CHACARA TURISTICA</t>
  </si>
  <si>
    <t>EMEF - PAULO CARNEIRO THOMAZ ALVES, GAL.</t>
  </si>
  <si>
    <t>EMEF GENERAL PAULO CARNEIRO THOMAZ ALVES</t>
  </si>
  <si>
    <t>RUA NOSSA SENHORA APARECIDA</t>
  </si>
  <si>
    <t>31.861-2</t>
  </si>
  <si>
    <t>rosemeire_andrade@yahoo.com.br</t>
  </si>
  <si>
    <t>EDNA LINS SOARES DA SILVA</t>
  </si>
  <si>
    <t>PAULO CARNEIRO THOMAZ ALVES, GAL.</t>
  </si>
  <si>
    <t>EMEI - PARQUE SANTA RITA I</t>
  </si>
  <si>
    <t>EMEI PARQUE SANTA RITA I</t>
  </si>
  <si>
    <t>AVENIDA FERNANDO FIGUEIREDO LINS</t>
  </si>
  <si>
    <t>60856-4</t>
  </si>
  <si>
    <t>KERLLY SOARES SANT ANNA</t>
  </si>
  <si>
    <t>PARQUE SANTA RITA I</t>
  </si>
  <si>
    <t>EMEI - CAMPO LIMPO VI</t>
  </si>
  <si>
    <t>EMEI CAMPO LIMPO VI</t>
  </si>
  <si>
    <t>emeicampolimpo6@prefeitura.sp.gov.br</t>
  </si>
  <si>
    <t>RUA DOMINGO DE GOES</t>
  </si>
  <si>
    <t>13.818-5</t>
  </si>
  <si>
    <t>REGIANE PEREIRA DA SILVA</t>
  </si>
  <si>
    <t>TATHIANA GUARNIERI BALON SILVA</t>
  </si>
  <si>
    <t>CAMPO LIMPO VI</t>
  </si>
  <si>
    <t>EMEF - EDIVALDO DOS SANTOS DANTAS, PROF.</t>
  </si>
  <si>
    <t>EMEF PERATUBA II</t>
  </si>
  <si>
    <t>AVENIDA PERATUBA</t>
  </si>
  <si>
    <t>CIDADE IPAVA</t>
  </si>
  <si>
    <t>12.575-X</t>
  </si>
  <si>
    <t>SHIRLEY MADEIRA DOS SANTOS</t>
  </si>
  <si>
    <t>digemara@ig.com.br</t>
  </si>
  <si>
    <t>JOSAINE EUGENIO</t>
  </si>
  <si>
    <t>EDIVALDO DOS SANTOS DANTAS, PROF.</t>
  </si>
  <si>
    <t>CEMEI - CAPAO REDONDO</t>
  </si>
  <si>
    <t>CEMEI CAPÃO REDONDO</t>
  </si>
  <si>
    <t>AVENIDA COMENDADOR SANTANA</t>
  </si>
  <si>
    <t>CAPÃO REDONDO</t>
  </si>
  <si>
    <t>13813-4</t>
  </si>
  <si>
    <t>vi.the.teacher@gmail.com</t>
  </si>
  <si>
    <t>FABIANA CRISTINA CYRILLO MENINI MADEIRA</t>
  </si>
  <si>
    <t>CAPAO REDONDO</t>
  </si>
  <si>
    <t>EMEI - VILA CALU I</t>
  </si>
  <si>
    <t>EMEI VILA CALU I</t>
  </si>
  <si>
    <t>RUA HUMBERTO MARCAL</t>
  </si>
  <si>
    <t>VILA CALU</t>
  </si>
  <si>
    <t>19013-6</t>
  </si>
  <si>
    <t>leni.valadares@gmail.com</t>
  </si>
  <si>
    <t>ISAURA MESSIAS AMOROSO</t>
  </si>
  <si>
    <t>VILA CALU I</t>
  </si>
  <si>
    <t>EMEI - PARQUE SANTO ANTONIO I</t>
  </si>
  <si>
    <t>EMEI PARQUE SANTO ANTONIO I</t>
  </si>
  <si>
    <t>emeipqstoantonio1@prefeitura.sp.gov.br</t>
  </si>
  <si>
    <t>RUA RINALDO HANDEL</t>
  </si>
  <si>
    <t>CHACARA SANTANA</t>
  </si>
  <si>
    <t>45174-6</t>
  </si>
  <si>
    <t>FLORICE DOS SANTOS BISPO</t>
  </si>
  <si>
    <t>APARECIDA VIVIANE MARCOS FRANCISCO</t>
  </si>
  <si>
    <t>PARQUE SANTO ANTONIO I</t>
  </si>
  <si>
    <t>EMEF - PLINIO MARCOS</t>
  </si>
  <si>
    <t>EMEF PLINIO MARCOS</t>
  </si>
  <si>
    <t>RUA BELÉM</t>
  </si>
  <si>
    <t>JARDIM PAPAI NOEL</t>
  </si>
  <si>
    <t>3561-2</t>
  </si>
  <si>
    <t>41757-2</t>
  </si>
  <si>
    <t>PLINIO MARCOS</t>
  </si>
  <si>
    <t>CEMEI - LAZARA VEIGA CATELLANI</t>
  </si>
  <si>
    <t>CEMEI PERATUBA</t>
  </si>
  <si>
    <t>AVENIDA CAPORANGA</t>
  </si>
  <si>
    <t>116510-0</t>
  </si>
  <si>
    <t> cemeiperatuba@prefeitura.sp.gov.br</t>
  </si>
  <si>
    <t>ZULEIKA BATISTA DE ANDRADE TOMICH</t>
  </si>
  <si>
    <t>LAZARA VEIGA CATELLANI</t>
  </si>
  <si>
    <t>EMEI - JARDIM KAGOHARA I</t>
  </si>
  <si>
    <t>EMEI JARDIM KAGOHARA I</t>
  </si>
  <si>
    <t>emeijdkagohara1@prefeitura.sp.gov.br</t>
  </si>
  <si>
    <t>RUA DAS FERMATAS</t>
  </si>
  <si>
    <t>120 A</t>
  </si>
  <si>
    <t>JARDIM KAGOHARA</t>
  </si>
  <si>
    <t>29877-8</t>
  </si>
  <si>
    <t>LUCIANA LOPES DE MOURA</t>
  </si>
  <si>
    <t>JULIAMA BARBOSA SANTANA DIAS</t>
  </si>
  <si>
    <t>JARDIM KAGOHARA I</t>
  </si>
  <si>
    <t>EMEI - ROSILDA SILVIO SOUZA, PROFA.</t>
  </si>
  <si>
    <t>EMEI ROSILDA SILVIO SOUZA, PROFA</t>
  </si>
  <si>
    <t>AVENIDA DO JARARAU</t>
  </si>
  <si>
    <t>CHÁCARA NANI</t>
  </si>
  <si>
    <t>17990-6</t>
  </si>
  <si>
    <t>ZILA PEREIRA DE CARVALHO</t>
  </si>
  <si>
    <t>zilacarvalho@hotmail.com</t>
  </si>
  <si>
    <t>EVERALDO DOS SANTOS</t>
  </si>
  <si>
    <t>ROSILDA SILVIO SOUZA, PROFA.</t>
  </si>
  <si>
    <t>EMEF - HERBERT DE SOUZA - BETINHO</t>
  </si>
  <si>
    <t>emefbetinho@prefeitura.sp.gov.br</t>
  </si>
  <si>
    <t>RUA COTEGACA</t>
  </si>
  <si>
    <t>CHAC. STA MARIA</t>
  </si>
  <si>
    <t>12781-7</t>
  </si>
  <si>
    <t>ADELMA LOPES DE SIQUEIRA</t>
  </si>
  <si>
    <t>HERBERT DE SOUZA - BETINHO</t>
  </si>
  <si>
    <t>EMEI - PARQUE FIGUEIRA GRANDE I</t>
  </si>
  <si>
    <t>EMEI PARQUE FIGUEIRA GRANDE I</t>
  </si>
  <si>
    <t>emeipqfgrande@prefeitura.sp.gov.br</t>
  </si>
  <si>
    <t>RUA ANGELO FRANCISCO</t>
  </si>
  <si>
    <t>JARDIM FIGUEIRA GRANDE</t>
  </si>
  <si>
    <t>43.696-8</t>
  </si>
  <si>
    <t>HELENA MARIA C. DE ALMEIDA</t>
  </si>
  <si>
    <t>ELAINE SALES DE SOUZA</t>
  </si>
  <si>
    <t>PARQUE FIGUEIRA GRANDE I</t>
  </si>
  <si>
    <t>EMEI - MARISA LOPES PINHEIRO, PROFA.</t>
  </si>
  <si>
    <t>EMEI CDHU ITAIM A 1</t>
  </si>
  <si>
    <t>RUA ROBERTO SAID</t>
  </si>
  <si>
    <t>JARDIM NÉLIA</t>
  </si>
  <si>
    <t>40.353-9</t>
  </si>
  <si>
    <t>KATIA SANT'ANNA DOS SANTOS</t>
  </si>
  <si>
    <t>MARISA LOPES PINHEIRO, PROFA.</t>
  </si>
  <si>
    <t>EMEF - JARDIM BARTIRA</t>
  </si>
  <si>
    <t>EMEF JARDIM BARTIRA</t>
  </si>
  <si>
    <t>ESTRADA DOM JOÃO NERY</t>
  </si>
  <si>
    <t>VILA LOURDES</t>
  </si>
  <si>
    <t>42.647-4</t>
  </si>
  <si>
    <t>MAURICIO FLÁVIO DE OLIVEIRA</t>
  </si>
  <si>
    <t>CLAUDEMIR NUNES GUALBERTO</t>
  </si>
  <si>
    <t>EMEI - BEGONIA REAL</t>
  </si>
  <si>
    <t>EMEI BEGONIA REAL</t>
  </si>
  <si>
    <t>emeibegoniareal@prefeitura.sp.gov.br</t>
  </si>
  <si>
    <t>RUA HERA DO CANADA</t>
  </si>
  <si>
    <t>JARDIM PEDRA BRANCA</t>
  </si>
  <si>
    <t>RAGUEB CHOFFI</t>
  </si>
  <si>
    <t>18465-9</t>
  </si>
  <si>
    <t>ELIZABETE RODRIGUES DOS SANTOS SILVA</t>
  </si>
  <si>
    <t>BEGONIA REAL</t>
  </si>
  <si>
    <t>EMEF - JOSE MARIO PIRES AZANHA, PROF.</t>
  </si>
  <si>
    <t>EMEF CRIUVA</t>
  </si>
  <si>
    <t>RUA CHÁ DOS JESUÍTAS</t>
  </si>
  <si>
    <t>64.659-8</t>
  </si>
  <si>
    <t>JOSE MARIO PIRES AZANHA, PROF.</t>
  </si>
  <si>
    <t>EMEF - MILTON PEREIRA COSTA</t>
  </si>
  <si>
    <t>EMEF VILA JACUI</t>
  </si>
  <si>
    <t>RUA HENRIQUE XAVIER BRITO</t>
  </si>
  <si>
    <t>JARDIM PEDRO JOSE NUNES</t>
  </si>
  <si>
    <t>65.491-4</t>
  </si>
  <si>
    <t>ALINE GUIRÃO DE MOURA</t>
  </si>
  <si>
    <t>MILTON PEREIRA COSTA</t>
  </si>
  <si>
    <t>EMEF - PEDRO FUKUYEI YAMAGUCHI FERREIRA</t>
  </si>
  <si>
    <t>EMEF FAVEIRA DO MATO</t>
  </si>
  <si>
    <t>RUA FAVEIRA DO MATO</t>
  </si>
  <si>
    <t>JARDIM PLANALTO/ V. JACUI</t>
  </si>
  <si>
    <t>PIRES RIOS</t>
  </si>
  <si>
    <t>15752-X</t>
  </si>
  <si>
    <t>JOSAFA REHEM NASCIMENTO VIEIRA</t>
  </si>
  <si>
    <t>GISLAINE CRISTINA DE PAULA</t>
  </si>
  <si>
    <t>PEDRO FUKUYEI YAMAGUCHI FERREIRA</t>
  </si>
  <si>
    <t>EMEI - PAULA CRISTINA RODRIGUES, PROFA.</t>
  </si>
  <si>
    <t>EMEI PROF PAULA CRISTINA RODRIGUES</t>
  </si>
  <si>
    <t xml:space="preserve">  </t>
  </si>
  <si>
    <t>RUA JORGE CARLOS DE ALMEIDA</t>
  </si>
  <si>
    <t>040436-5</t>
  </si>
  <si>
    <t>CRISLENY MARIA CARVALHO DE OLIVEIRA</t>
  </si>
  <si>
    <t>PAULA CRISTINA RODRIGUES, PROFA.</t>
  </si>
  <si>
    <t>EMEF - ACLAMADO</t>
  </si>
  <si>
    <t>EMEF ACLAMADO</t>
  </si>
  <si>
    <t>PARQUE BOA ESPERANÇA</t>
  </si>
  <si>
    <t>20.423-4</t>
  </si>
  <si>
    <t>LUIS CESAR SANTANA</t>
  </si>
  <si>
    <t>MONIQUE REIS LOPES</t>
  </si>
  <si>
    <t>ACLAMADO</t>
  </si>
  <si>
    <t>EMEI - ROSA MARIA DOGO DE RESENDE, PROFA.</t>
  </si>
  <si>
    <t>EMEI ROSA MARIA DOGO DE RESENDE, PROFª</t>
  </si>
  <si>
    <t>RUA ZIKE TUMA</t>
  </si>
  <si>
    <t>JARDIM UBIRAJARA</t>
  </si>
  <si>
    <t>31739-X</t>
  </si>
  <si>
    <t>IRENE SANTOS DACCA</t>
  </si>
  <si>
    <t>RITA DE CASSIA TEODORO DA SILVA</t>
  </si>
  <si>
    <t>ROSA MARIA DOGO DE RESENDE, PROFA.</t>
  </si>
  <si>
    <t>EMEI - DORACI DOS SANTOS RAMOS, PROFA.</t>
  </si>
  <si>
    <t>EMEI CIDADE TIRADENTES II</t>
  </si>
  <si>
    <t>RUA SÃO VALFREDO</t>
  </si>
  <si>
    <t>CHACARA SANTA ETELVINA</t>
  </si>
  <si>
    <t>10.793-X</t>
  </si>
  <si>
    <t>emeicidadetiradentes2@prefeitura.sp.gov.br</t>
  </si>
  <si>
    <t>DORACI DOS SANTOS RAMOS, PROFA.</t>
  </si>
  <si>
    <t>CEMEI - JARDIM ANGELA</t>
  </si>
  <si>
    <t>CEMEI JARDIM ANGELA</t>
  </si>
  <si>
    <t>cemeijdangela@prefeitura.sp.gov.br</t>
  </si>
  <si>
    <t>RUA JOÃO LOPES</t>
  </si>
  <si>
    <t>JARDIM DOS EUCALÍPITOS</t>
  </si>
  <si>
    <t>23.019-7</t>
  </si>
  <si>
    <t>EVELYN CAMILA DE FREITAS BALBINO DOS SANTOS</t>
  </si>
  <si>
    <t>JARDIM ANGELA</t>
  </si>
  <si>
    <t>EMEI - PARQUE BOLOGNE</t>
  </si>
  <si>
    <t>EMEI PARQUE BOLOGNE</t>
  </si>
  <si>
    <t>RUA TIJUCO DA SERRA</t>
  </si>
  <si>
    <t>23.647-0</t>
  </si>
  <si>
    <t>SONIA DIAS DE SOUZA</t>
  </si>
  <si>
    <t>diassonia_s@hotmail.com</t>
  </si>
  <si>
    <t>SUELI MARIA DE ARAUJO VALENTIM</t>
  </si>
  <si>
    <t>EMEI - PIRAJUSSARA</t>
  </si>
  <si>
    <t>EMEI PIRAJUSSARA</t>
  </si>
  <si>
    <t>RUA PIRAJUSSARA - VALO VELHO</t>
  </si>
  <si>
    <t>JARDIM MITSUTANI</t>
  </si>
  <si>
    <t>22.251-8</t>
  </si>
  <si>
    <t>ANDREIA DE JESUS DA SILVA</t>
  </si>
  <si>
    <t>andreia_4616@yahoo.com.br</t>
  </si>
  <si>
    <t xml:space="preserve">ELIANE REGINA DE LIMA </t>
  </si>
  <si>
    <t>EMEI - PERIMETRAL I</t>
  </si>
  <si>
    <t>EMEI PERIMETRAL I</t>
  </si>
  <si>
    <t>RUA DA INDEPENDENCIA</t>
  </si>
  <si>
    <t>44681-5</t>
  </si>
  <si>
    <t>RENATA PELLAES CORREA</t>
  </si>
  <si>
    <t>emeiperimetral@prefeitura.sp.gov.br</t>
  </si>
  <si>
    <t>TERESA CRISTINA DE PINHO BORBA</t>
  </si>
  <si>
    <t>PERIMETRAL I</t>
  </si>
  <si>
    <t>EMEI - ANDORINHA DOS BEIRAIS</t>
  </si>
  <si>
    <t>EMEI ANDORINHA DOS BEIRAIS</t>
  </si>
  <si>
    <t>RUA ANDORINHA DOS BEIRAIS</t>
  </si>
  <si>
    <t>JARDIM DOM JOSE</t>
  </si>
  <si>
    <t>45.394-3</t>
  </si>
  <si>
    <t>DIEGO SAMPAIO DE LIMA</t>
  </si>
  <si>
    <t>emeiandorinhasdosbeirais@prefeitura.sp.gov.br</t>
  </si>
  <si>
    <t>FLAVIA DOS SANTOS</t>
  </si>
  <si>
    <t>ANDORINHA DOS BEIRAIS</t>
  </si>
  <si>
    <t>EMEI - CHACARA SANTA MARIA</t>
  </si>
  <si>
    <t>EMEI CHACARA SANTA MARIA</t>
  </si>
  <si>
    <t>emeicsmaria@prefeitura.sp.gov.br</t>
  </si>
  <si>
    <t>RUA FEITICO DA VILA</t>
  </si>
  <si>
    <t>CHACARA SANTA MARIA</t>
  </si>
  <si>
    <t>80.000-7</t>
  </si>
  <si>
    <t>DANIELE LINO OLIVEIRA VILLAR</t>
  </si>
  <si>
    <t>ERICA BARBOSA PEREIRA</t>
  </si>
  <si>
    <t>EMEI - CECILIA SANT ANNA DE SOUZA, PROFA.</t>
  </si>
  <si>
    <t>EMEI PROF CECILIA S. DE SOUZA</t>
  </si>
  <si>
    <t>emeicssouza@prefeitura.sp.gov.br</t>
  </si>
  <si>
    <t>RUA FONTOURA XAVIER</t>
  </si>
  <si>
    <t>52696-7</t>
  </si>
  <si>
    <t>PAULO RIBEIRO LANDIM</t>
  </si>
  <si>
    <t>CECILIA SANT ANNA DE SOUZA, PROFA.</t>
  </si>
  <si>
    <t>EMEI - JORGE ADILSON CANDIDO, PROF.</t>
  </si>
  <si>
    <t>EMEI PROFESSOR JORGE ADILSON CANDIDO</t>
  </si>
  <si>
    <t>emeijacandido@prefeitura.sp.gov.br</t>
  </si>
  <si>
    <t>RUA SANTA EUFRAZIA</t>
  </si>
  <si>
    <t>FERREIRA</t>
  </si>
  <si>
    <t>21.386-1</t>
  </si>
  <si>
    <t>SARAY GONZÁLEZ ALÉSSIO BALDONI</t>
  </si>
  <si>
    <t>TATIANA MONTEIRO RAQUEL</t>
  </si>
  <si>
    <t>JORGE ADILSON CANDIDO, PROF.</t>
  </si>
  <si>
    <t>CEMEI - LEILA GALLACCI METZKER, PROFA.</t>
  </si>
  <si>
    <t>CEMEI PROFª LEILA GALLACCI METZKER</t>
  </si>
  <si>
    <t>cemeileila@prefeitura.sp.gov.br</t>
  </si>
  <si>
    <t>RUA EDVARD CARMILO</t>
  </si>
  <si>
    <t>5962-5</t>
  </si>
  <si>
    <t>AV. COMENDADOR BONFIGLIOLI</t>
  </si>
  <si>
    <t>7.416-0</t>
  </si>
  <si>
    <t>AMANDA ROBERTA MARIN CALDEIRA</t>
  </si>
  <si>
    <t>CLAUDIA MARIA CASTELLAR PETRI</t>
  </si>
  <si>
    <t>LEILA GALLACCI METZKER, PROFA.</t>
  </si>
  <si>
    <t>EMEI - JARDIM GAIVOTAS</t>
  </si>
  <si>
    <t>EMEI JARDIM GAIVOTAS</t>
  </si>
  <si>
    <t>RUA CANAL DO COCAIA</t>
  </si>
  <si>
    <t>PARQUE RESID. COCAIA</t>
  </si>
  <si>
    <t>62.237-0</t>
  </si>
  <si>
    <t>JARDIM GAIVOTAS</t>
  </si>
  <si>
    <t>EMEI - JARDIM MYRNA</t>
  </si>
  <si>
    <t>EMEI JARDIM MYRNA</t>
  </si>
  <si>
    <t>RUA CARLOS ALBERTO MACHADO BASTOS</t>
  </si>
  <si>
    <t>JARDIM MYRNA</t>
  </si>
  <si>
    <t>62155-2</t>
  </si>
  <si>
    <t>RODRIGO CESAR AUGUSTO</t>
  </si>
  <si>
    <t>EMEI - PEDREIRA I</t>
  </si>
  <si>
    <t>EMEI PEDREIRA I</t>
  </si>
  <si>
    <t>RUA CORONEL ANTONIO INOJOSA</t>
  </si>
  <si>
    <t>JARDIM DA PEDREIRA</t>
  </si>
  <si>
    <t>24.671-9</t>
  </si>
  <si>
    <t>PEDREIRA I</t>
  </si>
  <si>
    <t>EMEI - ANA PAULA APARECIDA DINIZ PRIMO, PROFA.</t>
  </si>
  <si>
    <t>EMEI LAJEADO I</t>
  </si>
  <si>
    <t>emeilajeado1@prefeitura.sp.gov.br</t>
  </si>
  <si>
    <t>RUA PADRE NILDO DO AMARAL JUNIOR</t>
  </si>
  <si>
    <t>VILA NOVA CURUÇÁ</t>
  </si>
  <si>
    <t>6939-6</t>
  </si>
  <si>
    <t>VILA CARMOSINA</t>
  </si>
  <si>
    <t>51.916-2</t>
  </si>
  <si>
    <t>LUCIANA CRISTINA DE FARIA MESSIAS</t>
  </si>
  <si>
    <t>ANA PAULA APARECIDA DINIZ PRIMO, PROFA.</t>
  </si>
  <si>
    <t>EMEI - JARDIM MARIA LUIZA</t>
  </si>
  <si>
    <t>EMEI JARDIM MARIA LUIZA</t>
  </si>
  <si>
    <t>RUA LUIGI ARDITI</t>
  </si>
  <si>
    <t>JARDIM MARIA LUIZA</t>
  </si>
  <si>
    <t>32.147-8</t>
  </si>
  <si>
    <t>EMEF - DONATO SUSUMU KIMURA</t>
  </si>
  <si>
    <t>emefdskimura@prefeitura.sp.gov.br</t>
  </si>
  <si>
    <t>RUA RICHARD BOYLE</t>
  </si>
  <si>
    <t>JARDIM SONIA INGA</t>
  </si>
  <si>
    <t>21.356-X</t>
  </si>
  <si>
    <t>MARIANNE BORBA BRANDÃO</t>
  </si>
  <si>
    <t>MARIA LELES ROCHA JONISHI</t>
  </si>
  <si>
    <t>DONATO SUSUMU KIMURA</t>
  </si>
  <si>
    <t>EMEI - JARDIM AMERICANOPOLIS</t>
  </si>
  <si>
    <t>EMEI JARDIM AMERICANOPOLIS</t>
  </si>
  <si>
    <t>31.807-8</t>
  </si>
  <si>
    <t>ANA MARIA ADRIANO MAIA</t>
  </si>
  <si>
    <t>JARDIM AMERICANOPOLIS</t>
  </si>
  <si>
    <t>CEMEI - VILA DO SOL I</t>
  </si>
  <si>
    <t>CEMEI VILA DO SOL I</t>
  </si>
  <si>
    <t>cemeiviladosol1@prefeitura.sp.gov.br</t>
  </si>
  <si>
    <t>RUA CARLO CAPROLI</t>
  </si>
  <si>
    <t>JARDIM VERA CRUZ</t>
  </si>
  <si>
    <t>23.292-0</t>
  </si>
  <si>
    <t>VANESSA GUIMARÃES DA SILVA</t>
  </si>
  <si>
    <t>GILBERTO MORAES RODRIGUES TRINDADE</t>
  </si>
  <si>
    <t>VILA DO SOL I</t>
  </si>
  <si>
    <t>EMEF - JARDIM SILVA TELES</t>
  </si>
  <si>
    <t>EMEF JARDIM SILVA TELLES</t>
  </si>
  <si>
    <t>FRED ASTAIRE</t>
  </si>
  <si>
    <t>JARDIM SILVA TELES</t>
  </si>
  <si>
    <t>69.269-7</t>
  </si>
  <si>
    <t>TANIA CORREA DA SILVA</t>
  </si>
  <si>
    <t>EMEI - VILA SANTA CATARINA</t>
  </si>
  <si>
    <t>EMEI VILA SANTA CATARINA</t>
  </si>
  <si>
    <t>emeivsantacatarina@sme.prefeitura.sp.gov.br</t>
  </si>
  <si>
    <t>RUA ALBERTO SAMPAIO</t>
  </si>
  <si>
    <t>CUPECE</t>
  </si>
  <si>
    <t>36.228-X</t>
  </si>
  <si>
    <t>CEMEI - CASA BLANCA I</t>
  </si>
  <si>
    <t>CEMEI CASA BLANCA I</t>
  </si>
  <si>
    <t>RUA JOSE GENIOLLI</t>
  </si>
  <si>
    <t>JARDIM CASABLANCA</t>
  </si>
  <si>
    <t>47.952-7</t>
  </si>
  <si>
    <t>IRLAINE DA CUNHA BORGES</t>
  </si>
  <si>
    <t>irlaineborges@gmail.com</t>
  </si>
  <si>
    <t>DEBORA CAPELLI DOS SANTOS</t>
  </si>
  <si>
    <t>CASA BLANCA I</t>
  </si>
  <si>
    <t>CEMEI - IRAPARA</t>
  </si>
  <si>
    <t>CEMEI IRAPARA</t>
  </si>
  <si>
    <t>PARAISO DO MORUMBI</t>
  </si>
  <si>
    <t>5988-9</t>
  </si>
  <si>
    <t>5.388-0</t>
  </si>
  <si>
    <t>fortesjaldo@gmail.com</t>
  </si>
  <si>
    <t>FERNANDA FERREIRA FURTADO</t>
  </si>
  <si>
    <t>IRAPARA</t>
  </si>
  <si>
    <t>EMEI - CAMINHO DOS MARTINS</t>
  </si>
  <si>
    <t>EMEI CAMINHO DOS MARTINS</t>
  </si>
  <si>
    <t>ESTRADA DOS MARTINS</t>
  </si>
  <si>
    <t>CHÁCARA UBERTUS</t>
  </si>
  <si>
    <t>59.219-6</t>
  </si>
  <si>
    <t>CRISTINA MARIA DE JESUS LIMA</t>
  </si>
  <si>
    <t>CAMINHO DOS MARTINS</t>
  </si>
  <si>
    <t>EMEI - JOAQUIM ANTONIO DA ROCHA</t>
  </si>
  <si>
    <t>EMEI JOAQUIM ANTONIO DA ROCHA</t>
  </si>
  <si>
    <t>emeijarocha@prefeitura.sp.gov.br</t>
  </si>
  <si>
    <t>70.175-0</t>
  </si>
  <si>
    <t>JOAQUIM ANTONIO DA ROCHA</t>
  </si>
  <si>
    <t>EMEI - JARDIM SAO BERNARDO</t>
  </si>
  <si>
    <t>EMEI JARDIM SÃO BERNARDO</t>
  </si>
  <si>
    <t>RUA LENDA DO CABLOCO</t>
  </si>
  <si>
    <t>JARDIM SÃO BERNARDO</t>
  </si>
  <si>
    <t>64.217-7</t>
  </si>
  <si>
    <t>THAIS DE OLIVEIRA GUERRA BARBOSA</t>
  </si>
  <si>
    <t>JARDIM SAO BERNARDO</t>
  </si>
  <si>
    <t>EMEI - CANAL DO COCAIA</t>
  </si>
  <si>
    <t>EMEI CANAL DO COCAIA</t>
  </si>
  <si>
    <t>ESTRADA CANAL DO COCAIA</t>
  </si>
  <si>
    <t>57.869-X</t>
  </si>
  <si>
    <t>CANAL DO COCAIA</t>
  </si>
  <si>
    <t>EMEI - ANA MARCHIONE SALLES, PROFA.</t>
  </si>
  <si>
    <t xml:space="preserve">EMEI PROFª ANA   MARCHIONE SALLES   </t>
  </si>
  <si>
    <t>RUA DAS FOLHAGENS</t>
  </si>
  <si>
    <t>JARDIM POPULAR</t>
  </si>
  <si>
    <t>14.588-2</t>
  </si>
  <si>
    <t>ANA MARCHIONE SALLES, PROFA.</t>
  </si>
  <si>
    <t>EMEF CEU - CESAR ARRUDA CASTANHO, DEP.</t>
  </si>
  <si>
    <t>EMEF DEP. CÉSAR ARRUDA CASTANHO</t>
  </si>
  <si>
    <t>emefcacastanho@prefeitura.sp.gov.br</t>
  </si>
  <si>
    <t>16.102-0</t>
  </si>
  <si>
    <t>CESAR ARRUDA CASTANHO, DEP.</t>
  </si>
  <si>
    <t>EMEF - ROBERTO PLINIO COLACIOPPO, PROF.</t>
  </si>
  <si>
    <t>EMEF PROFESSOR ROBERTO PLINIO COLACIOPPO</t>
  </si>
  <si>
    <t>RUA ATILIO SELVA</t>
  </si>
  <si>
    <t>21.512-0</t>
  </si>
  <si>
    <t>ROBERTO PLINIO COLACIOPPO, PROF.</t>
  </si>
  <si>
    <t>EMEI - PARADA DE TAIPAS</t>
  </si>
  <si>
    <t>EMEI PARADA DE TAIPAS</t>
  </si>
  <si>
    <t>RUA DONA JANUÁRIA MARIA</t>
  </si>
  <si>
    <t>31110-3</t>
  </si>
  <si>
    <t>gmoliveiras@prefeitura.sp.gov.br</t>
  </si>
  <si>
    <t>EMEF - WLADIMIR DE TOLEDO PIZA, PREF.</t>
  </si>
  <si>
    <t xml:space="preserve">EMEF PREFEITO WLADIMIR TOLEDO PIZA </t>
  </si>
  <si>
    <t>RUA GIOVANNI MOSEL</t>
  </si>
  <si>
    <t>RECANTO VERDE SOL</t>
  </si>
  <si>
    <t>30735-1</t>
  </si>
  <si>
    <t>RICARDO PESSOA DA FONSECA</t>
  </si>
  <si>
    <t>docarri@yahoo.com.br</t>
  </si>
  <si>
    <t xml:space="preserve">ROSIMEIRE SANTANA </t>
  </si>
  <si>
    <t>WLADIMIR DE TOLEDO PIZA, PREF.</t>
  </si>
  <si>
    <t>EMEI - IGUATEMI</t>
  </si>
  <si>
    <t xml:space="preserve">EMEI IGUATEMI </t>
  </si>
  <si>
    <t>RUA TAURO</t>
  </si>
  <si>
    <t xml:space="preserve">IGUATEMI                 </t>
  </si>
  <si>
    <t>10990-8</t>
  </si>
  <si>
    <t>TAÍS DE OLIVEIRA DE AMORIM BEZERRA</t>
  </si>
  <si>
    <t>JOAQUIM MOURA VALENÇA</t>
  </si>
  <si>
    <t>IGUATEMI</t>
  </si>
  <si>
    <t>EMEF - ANTONIO RODRIGUES DE CAMPOS, PROF.</t>
  </si>
  <si>
    <t>EMEF PROF ANTONIO RODRIGUES DE CAMPOS</t>
  </si>
  <si>
    <t>RUA PRÍNCIPE</t>
  </si>
  <si>
    <t>30493-X</t>
  </si>
  <si>
    <t>ANA CAROLINA MANDRI</t>
  </si>
  <si>
    <t>ANTONIO RODRIGUES DE CAMPOS, PROF.</t>
  </si>
  <si>
    <t>EMEF - DIRCE GENESIO DOS SANTOS, PROFA.</t>
  </si>
  <si>
    <t xml:space="preserve">EMEF PROFESSORA DIRCE GENESIO DOS SANTOS </t>
  </si>
  <si>
    <t>RUA OSCAR MULLER</t>
  </si>
  <si>
    <t>JARDIM IGUATEMI</t>
  </si>
  <si>
    <t>30719-X</t>
  </si>
  <si>
    <t>ROSELI DOS REIS OLIVEIRA VITA</t>
  </si>
  <si>
    <t>DIRCE GENESIO DOS SANTOS, PROFA.</t>
  </si>
  <si>
    <t>EMEI - RUMI OIKAWA, PROFA.</t>
  </si>
  <si>
    <t>EMEI PROFESSORA RUMI OIKAWA</t>
  </si>
  <si>
    <t>30697-5</t>
  </si>
  <si>
    <t>JANAINA KELLY VITORINO DA SILVA</t>
  </si>
  <si>
    <t>DÉBORA GABRIEL DOS SANTOS</t>
  </si>
  <si>
    <t>RUMI OIKAWA, PROFA.</t>
  </si>
  <si>
    <t>EMEF - NILCE CRUZ FIGUEIREDO, PROFA.</t>
  </si>
  <si>
    <t>EMEF PROFESSORA NILCE CRUZ FIGUEIREDO</t>
  </si>
  <si>
    <t>AVENIDA CEL MANUEL PY</t>
  </si>
  <si>
    <t>31.868-X</t>
  </si>
  <si>
    <t>VIVIAN DE LIMA MACHADO</t>
  </si>
  <si>
    <t>anapp5@yahoo.com.br</t>
  </si>
  <si>
    <t>PATRÍCIA SANTOS</t>
  </si>
  <si>
    <t>NILCE CRUZ FIGUEIREDO, PROFA.</t>
  </si>
  <si>
    <t>EMEF CEU - MARIA LISBOA DA SILVA, PROFA.</t>
  </si>
  <si>
    <t>CEU EMEF PROFESSORA MARIA LISBOA DA SILVA</t>
  </si>
  <si>
    <t>11023-X</t>
  </si>
  <si>
    <t>michelleozias@gmail.com</t>
  </si>
  <si>
    <t>BARBARA DIAS MOREIRA</t>
  </si>
  <si>
    <t>MARIA LISBOA DA SILVA, PROFA.</t>
  </si>
  <si>
    <t>CEMEI - JARDIM KIOTO</t>
  </si>
  <si>
    <t>CEMEI JARDIM KIOTO</t>
  </si>
  <si>
    <t>cemeijardimkioto@sme.prefeitura.sp.gov.br</t>
  </si>
  <si>
    <t>RUA DANIEL ATTERBOM</t>
  </si>
  <si>
    <t>JARDIM KIOTO</t>
  </si>
  <si>
    <t>59192-0</t>
  </si>
  <si>
    <t>EMEI - PARQUE SAVOY CITY</t>
  </si>
  <si>
    <t>EMEI  PARQUE SAVOY CITY</t>
  </si>
  <si>
    <t>emeipscity@sme.prefeitura.sp.gov.br</t>
  </si>
  <si>
    <t>RUA JACINTO FERREIRA</t>
  </si>
  <si>
    <t>23.910-0</t>
  </si>
  <si>
    <t>MARIA DAS GRAÇAS BARBOSA DE OLIVEIRA</t>
  </si>
  <si>
    <t>ILMAR ANTONIO PRUDENCIO</t>
  </si>
  <si>
    <t>CEMEI - ANDAGUACU</t>
  </si>
  <si>
    <t>CEMEI ANDAGUAÇU</t>
  </si>
  <si>
    <t>andaguaçu@sme.prefeitura.sp.gov.br</t>
  </si>
  <si>
    <t>RUA EUSÉBIO DE MATOS</t>
  </si>
  <si>
    <t>VILA RICA</t>
  </si>
  <si>
    <t>24.452-X</t>
  </si>
  <si>
    <t>miriam.xavier@sme.prefeitura.sp.gov.br</t>
  </si>
  <si>
    <t>ANDAGUACU</t>
  </si>
  <si>
    <t>CEMEI - MARCIA KUMBREVICIUS DE MOURA</t>
  </si>
  <si>
    <t>CEMEI JARDIM NORONHA</t>
  </si>
  <si>
    <t>cemeijardimnoronha@sme.prefeitura.sp.gov.br</t>
  </si>
  <si>
    <t>RUA TRÊS CORAÇÕES</t>
  </si>
  <si>
    <t>59598-5</t>
  </si>
  <si>
    <t>MARCIA KUMBREVICIUS DE MOURA</t>
  </si>
  <si>
    <t>CEMEI - JARDIM DOM JOSE I</t>
  </si>
  <si>
    <t>JARDIM DOM JOSÉ I</t>
  </si>
  <si>
    <t>cemeijardimdomjosé@sme.prefeitura.sp.gov.br</t>
  </si>
  <si>
    <t>RUA DA MOENDA</t>
  </si>
  <si>
    <t>JARDIM DOM JOSÉ</t>
  </si>
  <si>
    <t>32.000-5</t>
  </si>
  <si>
    <t>vanessa_guimaraes@sme.prefeitura.sp.gov.br</t>
  </si>
  <si>
    <t>JARDIM DOM JOSE I</t>
  </si>
  <si>
    <t>EMEI - JARDIM LUCELIA</t>
  </si>
  <si>
    <t>EMEI JARDIM LUCELIA</t>
  </si>
  <si>
    <t>emeijardimlucelia@sme.prefeitura.sp.gov.br</t>
  </si>
  <si>
    <t>RUA NÉLIA ANDRÉ</t>
  </si>
  <si>
    <t>JARDIM LUCÉLIA</t>
  </si>
  <si>
    <t>59516-0</t>
  </si>
  <si>
    <t>CARLA DE CASTRO SOUZA</t>
  </si>
  <si>
    <t>JARDIM LUCELIA</t>
  </si>
  <si>
    <t>EMEI - JARDIM CASA GRANDE</t>
  </si>
  <si>
    <t>EMEI JARDIM CASA GRANDE</t>
  </si>
  <si>
    <t>emeijdcasagrande@sme.prefeitura.sp.gov.br</t>
  </si>
  <si>
    <t>RUA JOSÉ NICOLAU DE LIMA</t>
  </si>
  <si>
    <t>JARDIM CASA GRANDE</t>
  </si>
  <si>
    <t>65865-0</t>
  </si>
  <si>
    <t>CEMEI - CARMELO CALI</t>
  </si>
  <si>
    <t>CEMEI CARMELO CALI</t>
  </si>
  <si>
    <t>cemeicarmelocali@sme.prefeitura.sp.gov.br</t>
  </si>
  <si>
    <t>RUA CARMELO CALI</t>
  </si>
  <si>
    <t>VILA SANTA LUCIA</t>
  </si>
  <si>
    <t>28.144-1</t>
  </si>
  <si>
    <t>MARIA APARECIDA DA SILVA SANTOS</t>
  </si>
  <si>
    <t xml:space="preserve">MARIA DE FATIMA DE LIMA </t>
  </si>
  <si>
    <t>CARMELO CALI</t>
  </si>
  <si>
    <t>CEMEI - JARDIM DAS PALMAS</t>
  </si>
  <si>
    <t>CEMEI JARDIM DAS PALMAS</t>
  </si>
  <si>
    <t>cemeijddaspalmas@sme.prefeitura.sp.gov.br</t>
  </si>
  <si>
    <t>ESTRADA DOS MIRANDAS</t>
  </si>
  <si>
    <t>JARDIM MARIA DUARTE</t>
  </si>
  <si>
    <t>2700-6</t>
  </si>
  <si>
    <t>TABOÃO SERRA</t>
  </si>
  <si>
    <t>49.376-7</t>
  </si>
  <si>
    <t>ROSANGELA TEIXEIRA RODRIGUES</t>
  </si>
  <si>
    <t>rosangela.divita@hotmail.com</t>
  </si>
  <si>
    <t>MARLENE LUZIA MAMEDIO ANDRADE</t>
  </si>
  <si>
    <t>JARDIM DAS PALMAS</t>
  </si>
  <si>
    <t>EMEI - MARECHAL TITO</t>
  </si>
  <si>
    <t>EMEI MARECHAL TITO</t>
  </si>
  <si>
    <t>RUA MARECHAL TITO</t>
  </si>
  <si>
    <t>72.668-0</t>
  </si>
  <si>
    <t>MARECHAL TITO</t>
  </si>
  <si>
    <t>EMEI - PARQUE BRASIL</t>
  </si>
  <si>
    <t>EMEI PARQUE BRASIL</t>
  </si>
  <si>
    <t>emeiparquebrasil@sme.prefeitura.sp.gov.br</t>
  </si>
  <si>
    <t>AVENIDA DONA BELMIRA MARIN</t>
  </si>
  <si>
    <t>PARQUE BRASIL</t>
  </si>
  <si>
    <t>EMEI - FERNANDO CAMARGO SOARES, PROF.</t>
  </si>
  <si>
    <t>EMEI PROF. FERNANDO CAMARGO SOARES</t>
  </si>
  <si>
    <t>emeifcsoares@prefeitura.sp.gov.br</t>
  </si>
  <si>
    <t>29.589-2</t>
  </si>
  <si>
    <t>SILVIA LAIZ RIBEIRO</t>
  </si>
  <si>
    <t>ROSEMEIRE DE LOURDES MARTINS SILVA</t>
  </si>
  <si>
    <t>FERNANDO CAMARGO SOARES, PROF.</t>
  </si>
  <si>
    <t>EMEI - DINAH GALVAO, PROFA.</t>
  </si>
  <si>
    <t>EMEI PROFESSORA DINAH GALVÃO</t>
  </si>
  <si>
    <t>RUA JAN LAND</t>
  </si>
  <si>
    <t>JARDIM VERÔNIA</t>
  </si>
  <si>
    <t>17.055-0</t>
  </si>
  <si>
    <t>VANDA LUIZA DOS SANTOS MONTENEGRO</t>
  </si>
  <si>
    <t>DINAH GALVAO, PROFA.</t>
  </si>
  <si>
    <t>EMEF CEU - JARDIM ELIANA</t>
  </si>
  <si>
    <t>EMEF JARDIM ELIANA - CEU NAVEGANTES</t>
  </si>
  <si>
    <t>41722-X</t>
  </si>
  <si>
    <t>MARIA RENALDA PEREIRA BEZERRA</t>
  </si>
  <si>
    <t>JARDIM ELIANA</t>
  </si>
  <si>
    <t>EMEI - LUIZ GONZAGA DO NASCIMENTO - GONZAGAO</t>
  </si>
  <si>
    <t>EMEI LUIZ GONZAGA DO NASCIMENTO - GONZAGÃO</t>
  </si>
  <si>
    <t>RUA JOÃO ROSCHEL CHRISTE</t>
  </si>
  <si>
    <t>41803-X</t>
  </si>
  <si>
    <t>LUIZ GONZAGA DO NASCIMENTO - GONZAGAO</t>
  </si>
  <si>
    <t>EMEF - MARIO COVAS, GOV.</t>
  </si>
  <si>
    <t>EMEF GOV MARIO COVAS</t>
  </si>
  <si>
    <t>emefmariocovas@prefeitura.sp.gov.br</t>
  </si>
  <si>
    <t>RUA VINTE E QUATRO</t>
  </si>
  <si>
    <t>52248-1</t>
  </si>
  <si>
    <t>ANA PAULA DOS SANTOS</t>
  </si>
  <si>
    <t>MARIO COVAS, GOV.</t>
  </si>
  <si>
    <t>EMEF - PRIMO PASCOLI MELARE, PROF.</t>
  </si>
  <si>
    <t>EMEF PRIMO PASCOLI MELARE</t>
  </si>
  <si>
    <t>37678-7</t>
  </si>
  <si>
    <t>PRIMO PASCOLI MELARE, PROF.</t>
  </si>
  <si>
    <t>EMEF - MARIA BERENICE DOS SANTOS, PROFA.</t>
  </si>
  <si>
    <t>EMEF - MARIA BERENICE DOS SANTOS, PROFª</t>
  </si>
  <si>
    <t>emefmbsantos@prefeitura.sp.gov.br</t>
  </si>
  <si>
    <t>RUA BARBOSA VILAS BOAS</t>
  </si>
  <si>
    <t>JARDIM DAS FLORES</t>
  </si>
  <si>
    <t>21332-2</t>
  </si>
  <si>
    <t>MARIA CRISTINA AMARAL</t>
  </si>
  <si>
    <t>MARIA BERENICE DOS SANTOS, PROFA.</t>
  </si>
  <si>
    <t>EMEF - THEODOMIRO MONTEIRO DO AMARAL, PROF.</t>
  </si>
  <si>
    <t>RUA ACARIRANA</t>
  </si>
  <si>
    <t>21347-0</t>
  </si>
  <si>
    <t>TALVANES GALVÃO DA SILVA</t>
  </si>
  <si>
    <t>talvanesg@gmail.com</t>
  </si>
  <si>
    <t>ELIZABETH MARIE PHILIPP DE RIZZO</t>
  </si>
  <si>
    <t>THEODOMIRO MONTEIRO DO AMARAL, PROF.</t>
  </si>
  <si>
    <t>EMEI - MONTE CASTELO</t>
  </si>
  <si>
    <t>EMEI MONTE CASTELO</t>
  </si>
  <si>
    <t>emeimcastelo@prefeitura.sp.gov.br</t>
  </si>
  <si>
    <t>PRACA MONTE CASTELO</t>
  </si>
  <si>
    <t>71.517-4</t>
  </si>
  <si>
    <t>SILVANA DOS SANTOS ROCHA</t>
  </si>
  <si>
    <t>SANDRA DA SILVA COELHO</t>
  </si>
  <si>
    <t>MONTE CASTELO</t>
  </si>
  <si>
    <t>EMEI - EMIR MACEDO NOGUEIRA</t>
  </si>
  <si>
    <t>EMEI EMIR MACEDO NOGUEIRA</t>
  </si>
  <si>
    <t>emeiemnogueira@prefeitura.sp.gov.br</t>
  </si>
  <si>
    <t>PRAÇA GENERAL  ARARIPE DE FARIA</t>
  </si>
  <si>
    <t>VILA GOMES</t>
  </si>
  <si>
    <t>71.582-4</t>
  </si>
  <si>
    <t>ANA ELIDIA DE BARROS ARAUJO</t>
  </si>
  <si>
    <t>EMIR MACEDO NOGUEIRA</t>
  </si>
  <si>
    <t>EMEI - ANTONIO BENTO</t>
  </si>
  <si>
    <t>EMEI ANTONIO BENTO</t>
  </si>
  <si>
    <t>emeiabento@prefeitura.sp.gov.br</t>
  </si>
  <si>
    <t>RUA JOÃO BATISTA DE SOUSA FILHO</t>
  </si>
  <si>
    <t>JARDIM PREVIDÊNCIA</t>
  </si>
  <si>
    <t>16.042-3</t>
  </si>
  <si>
    <t>JULIANA NITRINI MARTINS</t>
  </si>
  <si>
    <t>SANDRA REGINA SOUZA MARTINS DOS SANTOS</t>
  </si>
  <si>
    <t>ANTONIO BENTO</t>
  </si>
  <si>
    <t>EMEI - DALMO DO VALLE NOGUEIRA, DES.</t>
  </si>
  <si>
    <t>EMEI DES. DALMO DO VALLE NOGUEIRA</t>
  </si>
  <si>
    <t>emeidvnogueira@prefeitura.sp.gov.br</t>
  </si>
  <si>
    <t>RUA ABRÃO CALIL REZEK</t>
  </si>
  <si>
    <t>VILA SÔNIA</t>
  </si>
  <si>
    <t>16.005-9</t>
  </si>
  <si>
    <t>PRISCILA DE CARVALHO KOVACS CONDE</t>
  </si>
  <si>
    <t>FÁBIA ROBERTA DA SILVA SANTOS</t>
  </si>
  <si>
    <t>DALMO DO VALLE NOGUEIRA, DES.</t>
  </si>
  <si>
    <t>EMEI - JOAO NEGRAO, CEL.</t>
  </si>
  <si>
    <t>EMEI CEL. JOÃO NEGRÃO</t>
  </si>
  <si>
    <t>emeijnegrao@prefeitura.sp.gov.br</t>
  </si>
  <si>
    <t>RUA FRANCISCO LEITE ESQUERDO</t>
  </si>
  <si>
    <t>16.017-2</t>
  </si>
  <si>
    <t>MERCEDES S. BUENO DE CAMARGO DOS SANTOS</t>
  </si>
  <si>
    <t>JOAO NEGRAO, CEL.</t>
  </si>
  <si>
    <t>EMEI - ALUISIO DE ALMEIDA</t>
  </si>
  <si>
    <t>EMEI ALUÍSIO DE ALMEIDA</t>
  </si>
  <si>
    <t>RUA JOSÉ XAVIER GUIMARAES</t>
  </si>
  <si>
    <t>71.578-6</t>
  </si>
  <si>
    <t>MARIA IZILDA ERMIDA SINCORÁ</t>
  </si>
  <si>
    <t>emeialusioalmeida@prefeitura.sp.gov.br</t>
  </si>
  <si>
    <t>ELISE CAROLINE C. DE OLIVEIRA AMATO</t>
  </si>
  <si>
    <t>ALUISIO DE ALMEIDA</t>
  </si>
  <si>
    <t>EMEI - CAROLINA RIBEIRO, PROFA.</t>
  </si>
  <si>
    <t>EMEI PROFª CAROLINA RIBEIRO</t>
  </si>
  <si>
    <t>emeicribeiro@prefeitura.sp.gov.br</t>
  </si>
  <si>
    <t>RUA MAJ.  WALTER CARLSON</t>
  </si>
  <si>
    <t>1559-8</t>
  </si>
  <si>
    <t>VILA YARA</t>
  </si>
  <si>
    <t>20.885-X</t>
  </si>
  <si>
    <t>ESTELA APª MARTINS GARCIA CASSAGUERRA</t>
  </si>
  <si>
    <t>MONICA FALCO SAMESHIMA DE FREITAS</t>
  </si>
  <si>
    <t>CAROLINA RIBEIRO, PROFA.</t>
  </si>
  <si>
    <t>EMEI - NIDA MALDI CORAZZA, EDUCADORA</t>
  </si>
  <si>
    <t>EMEI EDUCADORA NIDA MALDI CORAZZA</t>
  </si>
  <si>
    <t>emeinmcorazza@prefeitura.sp.gov.br</t>
  </si>
  <si>
    <t>RUA PROFª. ABIGAIL ALVES PIRES</t>
  </si>
  <si>
    <t>71.515-8</t>
  </si>
  <si>
    <t>FUJIKO SATOMI TAKAHASHI</t>
  </si>
  <si>
    <t>ROSANA DE OLIVEIRA NEVES</t>
  </si>
  <si>
    <t>NIDA MALDI CORAZZA, EDUCADORA</t>
  </si>
  <si>
    <t>EMEI - RONALDO PORTO MACEDO, PROF.</t>
  </si>
  <si>
    <t>EMEI PROF. RONALDO PORTO MACEDO</t>
  </si>
  <si>
    <t>emeirpmacedo@prefeitura.sp.gov.br</t>
  </si>
  <si>
    <t>RUA DOUTOR FRANCISCO PATI</t>
  </si>
  <si>
    <t>VILA SÃO FRANCISCO</t>
  </si>
  <si>
    <t>3559-9</t>
  </si>
  <si>
    <t>UNIVERSIDADE SÃO PAULO</t>
  </si>
  <si>
    <t>41.494-8</t>
  </si>
  <si>
    <t>SEBASTIÃO CELSO FORTUNATO AMARAL</t>
  </si>
  <si>
    <t>AGDA COSTA MACEDO DE JESUS</t>
  </si>
  <si>
    <t>RONALDO PORTO MACEDO, PROF.</t>
  </si>
  <si>
    <t>EMEI - GILBERTO CHAVES, DEP.</t>
  </si>
  <si>
    <t>EMEI DEP. GILBERTO CHAVES</t>
  </si>
  <si>
    <t>emeigchaves@prefeitura.sp.gov.br</t>
  </si>
  <si>
    <t>RUA SARA NEWTON</t>
  </si>
  <si>
    <t>JARDIM BOA VISTA</t>
  </si>
  <si>
    <t>23.481-8</t>
  </si>
  <si>
    <t>MARIA INÊS CANDIDO DOS SANTOS</t>
  </si>
  <si>
    <t>ADRIANA DE JESUS SOUTO PIOVANI</t>
  </si>
  <si>
    <t>GILBERTO CHAVES, DEP.</t>
  </si>
  <si>
    <t>EMEI - CAROLINA MARIA DE JESUS</t>
  </si>
  <si>
    <t>EMEI CAROLINA MARIA DE JESUS</t>
  </si>
  <si>
    <t>emeicmaria@prefeitura.sp.gov.br</t>
  </si>
  <si>
    <t>RUA DOMINGOS DE ABREU</t>
  </si>
  <si>
    <t>VILA DALVA</t>
  </si>
  <si>
    <t>23.454-0</t>
  </si>
  <si>
    <t>MARINEIDE FERREIRA DE SOUSA</t>
  </si>
  <si>
    <t>LUCIMARA DA SILVA CAMARGO</t>
  </si>
  <si>
    <t>CAROLINA MARIA DE JESUS</t>
  </si>
  <si>
    <t>EMEI - FERNANDO PESSOA</t>
  </si>
  <si>
    <t>EMEI FERNANDO PESSOA</t>
  </si>
  <si>
    <t>emeifpessoa@prefeitura.sp.gov.br</t>
  </si>
  <si>
    <t>RUA BARTOLOMEO BOM</t>
  </si>
  <si>
    <t>JARDIM ALVORADA</t>
  </si>
  <si>
    <t>11.263-1</t>
  </si>
  <si>
    <t>ANGELA DA SILVA XAVIER GREGÓRIO</t>
  </si>
  <si>
    <t>FERNANDO PESSOA</t>
  </si>
  <si>
    <t>EMEI - FRANCISCA JULIA DA SILVA</t>
  </si>
  <si>
    <t>emeifjsilva@prefeitura.sp.gov.br</t>
  </si>
  <si>
    <t>RUA MARIA CORTADA CODORNIZ</t>
  </si>
  <si>
    <t>32512-0</t>
  </si>
  <si>
    <t>RUBENS DE MELO</t>
  </si>
  <si>
    <t>CLAUDINEIA PARECIDA T. LUCAS</t>
  </si>
  <si>
    <t>FRANCISCA JULIA DA SILVA</t>
  </si>
  <si>
    <t>EMEI - ASTROGILDA DE ABREU SEVILHA, PROFA.</t>
  </si>
  <si>
    <t>EMEI - ASTROGILDA DE ABREU SEVILHA, PROFª</t>
  </si>
  <si>
    <t>RUA INACIO PARREIRAS NEVES</t>
  </si>
  <si>
    <t>JARDIM NAKAMURA</t>
  </si>
  <si>
    <t>7633-5</t>
  </si>
  <si>
    <t>mello140@ibest.com.br</t>
  </si>
  <si>
    <t>ALEXANDRA DOS SANTOS OLIVEIRA</t>
  </si>
  <si>
    <t>ASTROGILDA DE ABREU SEVILHA, PROFA.</t>
  </si>
  <si>
    <t>EMEI - ANISIO TEIXEIRA</t>
  </si>
  <si>
    <t>emeiateixeira@prefeitura.sp.gov.br</t>
  </si>
  <si>
    <t>RUA COMENDADOR SANTANA</t>
  </si>
  <si>
    <t>7695-3</t>
  </si>
  <si>
    <t>ANA MARIA ALVES BERMEJO SOUSA</t>
  </si>
  <si>
    <t>ANISIO TEIXEIRA</t>
  </si>
  <si>
    <t>EMEI - LUIZ DA CAMARA CASCUDO</t>
  </si>
  <si>
    <t>emeilccascudo@prefeitura.sp.gov.br</t>
  </si>
  <si>
    <t>RUA LANZAROTE</t>
  </si>
  <si>
    <t>JARDIM V VIRTUDES</t>
  </si>
  <si>
    <t>12723-X</t>
  </si>
  <si>
    <t>VIRGINIA DE MORAIS TRALDI</t>
  </si>
  <si>
    <t>KATIA APARECIDA B.V. LIMA</t>
  </si>
  <si>
    <t>LUIZ DA CAMARA CASCUDO</t>
  </si>
  <si>
    <t>EMEI - MARIO ARY PIRES, MAL.</t>
  </si>
  <si>
    <t>emeimapires@prefeitura.sp.gov.br</t>
  </si>
  <si>
    <t>RUA FRANCISCO DE ALMEIDA</t>
  </si>
  <si>
    <t>JARDIM LIDIA</t>
  </si>
  <si>
    <t>CENTRO EMPESARIAL</t>
  </si>
  <si>
    <t>32491-4</t>
  </si>
  <si>
    <t>VALERIA AZAMBUJA PEREIRA</t>
  </si>
  <si>
    <t>MARIA VANIA R. B. BRAGA</t>
  </si>
  <si>
    <t>MARIO ARY PIRES, MAL.</t>
  </si>
  <si>
    <t>EMEI - MARIO SETTE</t>
  </si>
  <si>
    <t>RUA ANTONIO BAUSCHERT</t>
  </si>
  <si>
    <t>JARDIM CAPELINHA</t>
  </si>
  <si>
    <t>23706-9</t>
  </si>
  <si>
    <t>RAFAEL NERI OLIVEIRA</t>
  </si>
  <si>
    <t>ana.ikuta@ig.com.br</t>
  </si>
  <si>
    <t>WILMA DE JESUS COSTA</t>
  </si>
  <si>
    <t>MARIO SETTE</t>
  </si>
  <si>
    <t>EMEI - JOAQUIM MANUEL DE MACEDO</t>
  </si>
  <si>
    <t>emeijmmacedo@prefeitura.sp.gov.br</t>
  </si>
  <si>
    <t>RUA ANDRE PEIXOTO</t>
  </si>
  <si>
    <t>JARDIM BRASILIA</t>
  </si>
  <si>
    <t>7869-7</t>
  </si>
  <si>
    <t>MARIA SONIA DA SILVA</t>
  </si>
  <si>
    <t>DAIANE FERNANDES GOMES</t>
  </si>
  <si>
    <t>JOAQUIM MANUEL DE MACEDO</t>
  </si>
  <si>
    <t>EMEI - CATULO DA PAIXAO CEARENSE</t>
  </si>
  <si>
    <t>RUA PROF JOAO DA CUNHA VASCONCELOS</t>
  </si>
  <si>
    <t>PARQUE IPE</t>
  </si>
  <si>
    <t>12720-5</t>
  </si>
  <si>
    <t>ANDREA DA SILVA NIZA</t>
  </si>
  <si>
    <t>emeicatulo@yahoo.com.br</t>
  </si>
  <si>
    <t>EUNICE APARECIDA ALFREDO DA SILVA</t>
  </si>
  <si>
    <t>CATULO DA PAIXAO CEARENSE</t>
  </si>
  <si>
    <t>EMEI - ASSIS CHATEAUBRIAND</t>
  </si>
  <si>
    <t>RUA CARANANDINA</t>
  </si>
  <si>
    <t>JARDIM UMARIZAL</t>
  </si>
  <si>
    <t>7719-4</t>
  </si>
  <si>
    <t>SHIRLEY APARECIDA ANDRADE</t>
  </si>
  <si>
    <t>franciscapcastro@yahoo.com.br</t>
  </si>
  <si>
    <t xml:space="preserve">MARIA DA CONCEIÇÃO C. MUNIZ </t>
  </si>
  <si>
    <t>ASSIS CHATEAUBRIAND</t>
  </si>
  <si>
    <t>EMEI - ALAIDE BUENO RODRIGUES, PROFA.</t>
  </si>
  <si>
    <t>EMEI - ALAIDE BUENO RODRIGUES, PROFª</t>
  </si>
  <si>
    <t>RUA ROQUE DE MINGO</t>
  </si>
  <si>
    <t>JARDIM SAMARA</t>
  </si>
  <si>
    <t>12715-9</t>
  </si>
  <si>
    <t>CYNTHIA YUMI HORI</t>
  </si>
  <si>
    <t>rosefrasao@uol.com.br</t>
  </si>
  <si>
    <t>ALMIRA APARECIDA P SANCHES</t>
  </si>
  <si>
    <t>ALAIDE BUENO RODRIGUES, PROFA.</t>
  </si>
  <si>
    <t>EMEI - BARBARA HELIODORA GUILHERMINA DA SILVEIRA</t>
  </si>
  <si>
    <t>emeibhgsilveira@prefeitura.sp.gov.br</t>
  </si>
  <si>
    <t>RUA MARCELINO COELHO</t>
  </si>
  <si>
    <t>297-A</t>
  </si>
  <si>
    <t>7659-7</t>
  </si>
  <si>
    <t>FABIANE DA S. MARIMBO</t>
  </si>
  <si>
    <t>BARBARA HELIODORA GUILHERMINA DA SILVEIRA</t>
  </si>
  <si>
    <t>EMEI - JULITTA PRADO ALVES DE LIMA, DA.</t>
  </si>
  <si>
    <t>RUA POCO DA PEDRA</t>
  </si>
  <si>
    <t>PARQUE SANTA MARIA</t>
  </si>
  <si>
    <t>7774-7</t>
  </si>
  <si>
    <t>lilianhro@hotmail.com</t>
  </si>
  <si>
    <t>MARTA MARIA RIBEIRO DA SILVA</t>
  </si>
  <si>
    <t>JULITTA PRADO ALVES DE LIMA, DA.</t>
  </si>
  <si>
    <t>EMEI - ROSEMARY SILVA, PROFA.</t>
  </si>
  <si>
    <t>EMEI - JARDIM IBIRAPUERA</t>
  </si>
  <si>
    <t>emeijibirapuera@prefeitura.sp.gov.br</t>
  </si>
  <si>
    <t>RUA ACEDIO JOSE FONTANETE</t>
  </si>
  <si>
    <t>JARDIM IBIRAPUERA</t>
  </si>
  <si>
    <t>7681-3</t>
  </si>
  <si>
    <t>VALDETE MARIA DOS SANTOS</t>
  </si>
  <si>
    <t>ROSEMARY SILVA, PROFA.</t>
  </si>
  <si>
    <t>EMEI - CAMPO LIMPO</t>
  </si>
  <si>
    <t>RUA JOSE VIRIATO DE CASTRO</t>
  </si>
  <si>
    <t>JARDIM BOM REFÚGIO</t>
  </si>
  <si>
    <t>12707-8</t>
  </si>
  <si>
    <t>emeiclimpo@prefeitura.sp.gov.br</t>
  </si>
  <si>
    <t>ISABEL AP. LEAL DE SOUZA SCHNEIDER</t>
  </si>
  <si>
    <t>EMEI - CLARICE LISPECTOR</t>
  </si>
  <si>
    <t>RUA COMENDADOR MIGUEL MALUHY</t>
  </si>
  <si>
    <t>JARDIM GUARUJA</t>
  </si>
  <si>
    <t>7671-6</t>
  </si>
  <si>
    <t>LILIAN HAFFNER DA ROCHA OLIVEIRA</t>
  </si>
  <si>
    <t>marisa.firmino@igcom.br</t>
  </si>
  <si>
    <t>ELIANE MENDES F.  DE  L.  MELO</t>
  </si>
  <si>
    <t>CLARICE LISPECTOR</t>
  </si>
  <si>
    <t>EMEI - JANETE CLAIR</t>
  </si>
  <si>
    <t>emeijclair@prefeitura.sp.gov.br</t>
  </si>
  <si>
    <t>RUA DOUTOR AZEVEDO SODRE</t>
  </si>
  <si>
    <t>VILA BOM JARDIM</t>
  </si>
  <si>
    <t>7728-3</t>
  </si>
  <si>
    <t>MARIA INES FERREIRA</t>
  </si>
  <si>
    <t>JANETE CLAIR</t>
  </si>
  <si>
    <t>EMEI - DOLORES DURAN</t>
  </si>
  <si>
    <t>AVENIDA DOM RODRIGO SANCHES</t>
  </si>
  <si>
    <t>JARDIM AMÁLIA</t>
  </si>
  <si>
    <t>2168-7</t>
  </si>
  <si>
    <t>ITAPECERICA SERRA</t>
  </si>
  <si>
    <t>35627-1</t>
  </si>
  <si>
    <t>SILVIA DE ALMEIDA MORAES GONÇALVES</t>
  </si>
  <si>
    <t>valmachado@zipmail.com.br</t>
  </si>
  <si>
    <t>MARIA SOLEDADE BEZERRA DE OLIVEIRA</t>
  </si>
  <si>
    <t>DOLORES DURAN</t>
  </si>
  <si>
    <t>EMEI - DANTE MOREIRA LEITE, PROF.</t>
  </si>
  <si>
    <t>EMEI - DANTE MOREIRA LEITE</t>
  </si>
  <si>
    <t>emeidmleite@prefeitura.sp.gov.br</t>
  </si>
  <si>
    <t>RUA DR. SALVADOR ROCCO</t>
  </si>
  <si>
    <t>21416-7</t>
  </si>
  <si>
    <t>GENICELIA L. FERREIRA</t>
  </si>
  <si>
    <t>DANTE MOREIRA LEITE, PROF.</t>
  </si>
  <si>
    <t>EMEI - ANGENOR DE OLIVEIRA - CARTOLA</t>
  </si>
  <si>
    <t>RUA MARIO TOTTA</t>
  </si>
  <si>
    <t>PARQUE INDEPENDENCIA</t>
  </si>
  <si>
    <t>7684-8</t>
  </si>
  <si>
    <t>ANTONIO AUGUSTO RIBEIRO MARCATTI</t>
  </si>
  <si>
    <t>maristellamartins@itelefonica.com.br</t>
  </si>
  <si>
    <t>NEUSA DE O. D. MIRANDA</t>
  </si>
  <si>
    <t>ANGENOR DE OLIVEIRA - CARTOLA</t>
  </si>
  <si>
    <t>EMEI - GUIOMAR PICCINALI, PROFA.</t>
  </si>
  <si>
    <t>EMEI - GUIOMAR PICCINALI, PROFª</t>
  </si>
  <si>
    <t>RUA CHESTER</t>
  </si>
  <si>
    <t>JARDIM UMUARAMA</t>
  </si>
  <si>
    <t>21247-2</t>
  </si>
  <si>
    <t>VANDERLI J. DOS SANTOS MACIEL</t>
  </si>
  <si>
    <t>vicksuzel@yahoo.com.br</t>
  </si>
  <si>
    <t>ODETE M.DA SILVA BERNARDO</t>
  </si>
  <si>
    <t>GUIOMAR PICCINALI, PROFA.</t>
  </si>
  <si>
    <t>EMEI - CARLOS DE LAET</t>
  </si>
  <si>
    <t>RUA PROF LEITAO DA CUNHA</t>
  </si>
  <si>
    <t>7646-5</t>
  </si>
  <si>
    <t>SANDRA CRISTINA LIMA DA SILVA</t>
  </si>
  <si>
    <t>celsoezelia@uol.com.br</t>
  </si>
  <si>
    <t>AUREA CRISTINA R. DOS SANTOS</t>
  </si>
  <si>
    <t>CARLOS DE LAET</t>
  </si>
  <si>
    <t>EMEI - JEAN PIAGET</t>
  </si>
  <si>
    <t>EMEI JEAN PIAGET</t>
  </si>
  <si>
    <t>RUA SALDANHA DA GAMA</t>
  </si>
  <si>
    <t>NANCI FEO FREGOTTE</t>
  </si>
  <si>
    <t>emeijpiaget@pref.sp.gov.br</t>
  </si>
  <si>
    <t>JEAN PIAGET</t>
  </si>
  <si>
    <t>EMEI - LEOPOLDINA, DA.</t>
  </si>
  <si>
    <t>EMEI DONA LEOPOLDINA</t>
  </si>
  <si>
    <t>RUA PERIBEBUE</t>
  </si>
  <si>
    <t>61717-2</t>
  </si>
  <si>
    <t>emeileopoldina@pref.sp.gov.br</t>
  </si>
  <si>
    <t>LEOPOLDINA, DA.</t>
  </si>
  <si>
    <t>EMEI - SARITA CAMARGO, PROFA.</t>
  </si>
  <si>
    <t>EMEI SARITA CAMARGO,PROFª</t>
  </si>
  <si>
    <t>RUA CAIAPÓS</t>
  </si>
  <si>
    <t>VILA ANASTACIO</t>
  </si>
  <si>
    <t>62566-3</t>
  </si>
  <si>
    <t>emeiscamargo@pref.sp.gov.br</t>
  </si>
  <si>
    <t>SARITA CAMARGO, PROFA.</t>
  </si>
  <si>
    <t>EMEI - NEYDE GUZZI DE CHIACCHIO, PROFA.</t>
  </si>
  <si>
    <t>EMEI NEYDE GUZZI DE CHACCHIO,PROFª</t>
  </si>
  <si>
    <t>LARGO DA LAPA</t>
  </si>
  <si>
    <t>LAPA DE BAIXO</t>
  </si>
  <si>
    <t>61531-5</t>
  </si>
  <si>
    <t>FRANCISCO CARLOS MATHIAS</t>
  </si>
  <si>
    <t>emeingchiacchio@pref.sp.gov</t>
  </si>
  <si>
    <t>NEYDE GUZZI DE CHIACCHIO, PROFA.</t>
  </si>
  <si>
    <t>EMEI - RICARDO GONCALVES</t>
  </si>
  <si>
    <t>EMEI RICARDO GONÇALVES</t>
  </si>
  <si>
    <t>PRAÇA TCHECO</t>
  </si>
  <si>
    <t>VILA IPOJUCA</t>
  </si>
  <si>
    <t>62251-6</t>
  </si>
  <si>
    <t xml:space="preserve">MONIQUE NAIARA MARTINS LUZ </t>
  </si>
  <si>
    <t>RICARDO GONCALVES</t>
  </si>
  <si>
    <t>EMEI - ANA MARIA POPPOVIC, PROFA.</t>
  </si>
  <si>
    <t>EMEI ANA MARIA POPPOVIC, PROFª</t>
  </si>
  <si>
    <t>RUA JARICUNAS</t>
  </si>
  <si>
    <t>VILA ROMANA</t>
  </si>
  <si>
    <t>62466-7</t>
  </si>
  <si>
    <t xml:space="preserve">ROPER PIRES DE CARVALHO FILHO </t>
  </si>
  <si>
    <t>emeiapoppovic@pref.sp.gov.br</t>
  </si>
  <si>
    <t>ANA MARIA POPPOVIC, PROFA.</t>
  </si>
  <si>
    <t>EMEI - NOEMIA IPPOLITO</t>
  </si>
  <si>
    <t>EMEI NOEMIA IPPOLITO</t>
  </si>
  <si>
    <t>PRAÇA ALFREDO WEISZFLOG</t>
  </si>
  <si>
    <t>62900-6</t>
  </si>
  <si>
    <t>SANDRA SILVA BITTENCOURT</t>
  </si>
  <si>
    <t>lianecachioni@ajato.com.br</t>
  </si>
  <si>
    <t>NOEMIA IPPOLITO</t>
  </si>
  <si>
    <t>EMEI - SANTOS DUMONT</t>
  </si>
  <si>
    <t>EMEI SANTOS DUMONT</t>
  </si>
  <si>
    <t>RUA DIANA</t>
  </si>
  <si>
    <t>VL POMPÉIA</t>
  </si>
  <si>
    <t>3026-0</t>
  </si>
  <si>
    <t>ALFONSO BOVERO</t>
  </si>
  <si>
    <t>112717-9</t>
  </si>
  <si>
    <t xml:space="preserve">DEBORA BERITELI LISBOA </t>
  </si>
  <si>
    <t>emeisdumont@pref.sp.gov.br</t>
  </si>
  <si>
    <t>SANTOS DUMONT</t>
  </si>
  <si>
    <t>EMEI - MONTEIRO LOBATO</t>
  </si>
  <si>
    <t>EMEI MONTEIRO LOBATO</t>
  </si>
  <si>
    <t>emeimlobato@prefeitura.sp.gov.br</t>
  </si>
  <si>
    <t>RUA BAHIA</t>
  </si>
  <si>
    <t>HIGIENOPOLIS</t>
  </si>
  <si>
    <t>1191-6</t>
  </si>
  <si>
    <t>Av. Angelica</t>
  </si>
  <si>
    <t>31.045-X</t>
  </si>
  <si>
    <t>MONTEIRO LOBATO</t>
  </si>
  <si>
    <t>EMEI - TIDE SETUBAL</t>
  </si>
  <si>
    <t>EMEI TIDE SETÚBAL</t>
  </si>
  <si>
    <t>emeitsetubal@prefeitura.sp.gov.br</t>
  </si>
  <si>
    <t>RUA COJUBA</t>
  </si>
  <si>
    <t>ITAIM BIBI</t>
  </si>
  <si>
    <t>1526-1</t>
  </si>
  <si>
    <t>VILA OLÍMPIA</t>
  </si>
  <si>
    <t>20.674-1</t>
  </si>
  <si>
    <t>PATRÍCIA CRISTINA FIRMINO</t>
  </si>
  <si>
    <t>TIDE SETUBAL</t>
  </si>
  <si>
    <t>EMEI - PEDROSO DE MORAES</t>
  </si>
  <si>
    <t>EMEI PEDROSO DE MORAES</t>
  </si>
  <si>
    <t>emeipmoraes@prefeitura.sp.gov.br</t>
  </si>
  <si>
    <t>AV. PEDROSO DE MORAES</t>
  </si>
  <si>
    <t>PINHEIROS</t>
  </si>
  <si>
    <t>0385-9</t>
  </si>
  <si>
    <t>48.009-6</t>
  </si>
  <si>
    <t>IVERLY TERRA</t>
  </si>
  <si>
    <t>MARCIA HIPÓLITO DOS SANTOS</t>
  </si>
  <si>
    <t>PEDROSO DE MORAES</t>
  </si>
  <si>
    <t>EMEI - ANTONIO BRANCO LEFEVRE, PROF.</t>
  </si>
  <si>
    <t>EMEI PROF. ANTÔNIO BRANCO LEFÈVRE</t>
  </si>
  <si>
    <t>emeiablefevre@prefeitura.sp.gov.br</t>
  </si>
  <si>
    <t>RUA DR. OVIDIO PIRES DE CAMPOS</t>
  </si>
  <si>
    <t>CERQUEIRA CESAR</t>
  </si>
  <si>
    <t>3043-0</t>
  </si>
  <si>
    <t>RUA TEODORO SAMPAIO</t>
  </si>
  <si>
    <t>16.849-1</t>
  </si>
  <si>
    <t>ÂNGELA CANDIDA TAMMARO SILVA</t>
  </si>
  <si>
    <t>DANIELA FERREIRA MARQUES</t>
  </si>
  <si>
    <t>ANTONIO BRANCO LEFEVRE, PROF.</t>
  </si>
  <si>
    <t>EMEI - ZILDA DE FRANCESCHI, PROFA.</t>
  </si>
  <si>
    <t>EMEI PROFª ZILDA DE FRANCESCHI</t>
  </si>
  <si>
    <t>emeizfranceschi@prefeitura.sp.gov.br</t>
  </si>
  <si>
    <t>RUA PURPURINA</t>
  </si>
  <si>
    <t>VILA MADALENA</t>
  </si>
  <si>
    <t>6806-3</t>
  </si>
  <si>
    <t>PINHEIROS TEODORO</t>
  </si>
  <si>
    <t>18.589-2</t>
  </si>
  <si>
    <t>LILIAN FELDMAN</t>
  </si>
  <si>
    <t>STEFANIA FARO BARBOSA LIMA</t>
  </si>
  <si>
    <t>ZILDA DE FRANCESCHI, PROFA.</t>
  </si>
  <si>
    <t>EMEI - GELOIRA DE CAMPOS</t>
  </si>
  <si>
    <t>EMEI GELOIRA DE CAMPOS</t>
  </si>
  <si>
    <t>LAPLACE</t>
  </si>
  <si>
    <t>CAMPO BELO</t>
  </si>
  <si>
    <t>0813-3</t>
  </si>
  <si>
    <t>BROOKLIN</t>
  </si>
  <si>
    <t>34.215-7</t>
  </si>
  <si>
    <t>MARINA DEL GUERRA ALVES SOTTOMAYOR</t>
  </si>
  <si>
    <t>SHEILA DE PAULA SOARES</t>
  </si>
  <si>
    <t>GELOIRA DE CAMPOS</t>
  </si>
  <si>
    <t>EMEI - ISABEL COLOMBO, PROFA.</t>
  </si>
  <si>
    <t>EMEI PROFª ISABEL COLOMBO</t>
  </si>
  <si>
    <t>emeiicolombo@prefeitura.sp.gov.br</t>
  </si>
  <si>
    <t>AV. PADRE ANTONIO JOSE DOS SANTOS</t>
  </si>
  <si>
    <t>CIDADE MONÇÕES</t>
  </si>
  <si>
    <t>1896-1</t>
  </si>
  <si>
    <t>PADRE ANTONIO JOSÉ SANTOS</t>
  </si>
  <si>
    <t>108.019-9</t>
  </si>
  <si>
    <t>WILTON CHARLES DA SILVA</t>
  </si>
  <si>
    <t>KLEBERSON VAZ FERNANDES</t>
  </si>
  <si>
    <t>ISABEL COLOMBO, PROFA.</t>
  </si>
  <si>
    <t>EMEI - BORBA GATO</t>
  </si>
  <si>
    <t>EMEI BORBA GATO</t>
  </si>
  <si>
    <t>PAULO EIRO</t>
  </si>
  <si>
    <t>0387-5</t>
  </si>
  <si>
    <t>58.389-8</t>
  </si>
  <si>
    <t>SILVANA MIRIAN PEREIRA DE OLIVEIRA BARINI</t>
  </si>
  <si>
    <t>PATRICIA FERREIRA LOPES DE SOUZA</t>
  </si>
  <si>
    <t>BORBA GATO</t>
  </si>
  <si>
    <t>EMEI - ANHANGUERA</t>
  </si>
  <si>
    <t>EMEI ANHANGUERA</t>
  </si>
  <si>
    <t>SARGENTO JOSÉ MARTINS DIAS</t>
  </si>
  <si>
    <t>23.449-4</t>
  </si>
  <si>
    <t>JANINE COSTA FELIPE</t>
  </si>
  <si>
    <t>PATRICIA DOS SANTOS MOURA</t>
  </si>
  <si>
    <t>ANHANGUERA</t>
  </si>
  <si>
    <t>EMEI - FRANCISCO MANUEL DA SILVA</t>
  </si>
  <si>
    <t>EMEI FRANCISCO MANUEL DA SILVA</t>
  </si>
  <si>
    <t>PROF HELIO GOMES</t>
  </si>
  <si>
    <t>18.570-1</t>
  </si>
  <si>
    <t>CARLOS ALBERTO DA SILVA</t>
  </si>
  <si>
    <t>MARIA ROSA BERTOLINI</t>
  </si>
  <si>
    <t>FRANCISCO MANUEL DA SILVA</t>
  </si>
  <si>
    <t>EMEI - CELSO FERREIRA DA SILVA, PROF.</t>
  </si>
  <si>
    <t>EMEI CELSO FERREIRA DA SILVA, PROF.</t>
  </si>
  <si>
    <t>PIETRO MONGINI</t>
  </si>
  <si>
    <t>6997-3</t>
  </si>
  <si>
    <t>109.074-7</t>
  </si>
  <si>
    <t>CELSO FERREIRA DA SILVA, PROF.</t>
  </si>
  <si>
    <t>EMEI - JOAO DE DEUS BUENO DOS REIS, DR.</t>
  </si>
  <si>
    <t>EMEI JOÃO DE DEUS BUENO DOS REIS, DR.</t>
  </si>
  <si>
    <t>FRANCISCO RAMOS</t>
  </si>
  <si>
    <t>23.483-4</t>
  </si>
  <si>
    <t>JOAO DE DEUS BUENO DOS REIS, DR.</t>
  </si>
  <si>
    <t>EMEI - VIRIATO CORREIA</t>
  </si>
  <si>
    <t>EMEI VIRIATO CORREIA</t>
  </si>
  <si>
    <t>RUA BENTO RODRIGUES BASTOS</t>
  </si>
  <si>
    <t>V. FRIBURGO</t>
  </si>
  <si>
    <t>46697-2</t>
  </si>
  <si>
    <t>VIRIATO CORREIA</t>
  </si>
  <si>
    <t>EMEI - CARLOS DRUMMOND DE ANDRADE</t>
  </si>
  <si>
    <t>EMEI CARLOS DRUMMOND DE ANDRADE</t>
  </si>
  <si>
    <t>RUA JAIME SCHUNCK BRANCO</t>
  </si>
  <si>
    <t>SOCORRO</t>
  </si>
  <si>
    <t>46626-3</t>
  </si>
  <si>
    <t>LUCILENE SCHUNCK COSTA PISANESCHI</t>
  </si>
  <si>
    <t>CARLOS DRUMMOND DE ANDRADE</t>
  </si>
  <si>
    <t>EMEI - CASTRO ALVES</t>
  </si>
  <si>
    <t>EMEI CASTRO ALVES</t>
  </si>
  <si>
    <t>RUA MANOEL VITORINO PEREIRA</t>
  </si>
  <si>
    <t>JORDANÓPOLIS</t>
  </si>
  <si>
    <t>41874-9</t>
  </si>
  <si>
    <t>LUANA MIRANDA DA SILVA CALABREZ</t>
  </si>
  <si>
    <t>CASTRO ALVES</t>
  </si>
  <si>
    <t>EMEI - RIO BRANCO, BR. DO</t>
  </si>
  <si>
    <t>EMEI RIO BRANCO, BR. DO</t>
  </si>
  <si>
    <t>RUA RAFARD</t>
  </si>
  <si>
    <t>41744-0</t>
  </si>
  <si>
    <t>NILZA TRINDADE</t>
  </si>
  <si>
    <t>RIO BRANCO, BR. DO</t>
  </si>
  <si>
    <t>EMEI - LUIS TRAVASSOS</t>
  </si>
  <si>
    <t>EMEI LUIS TRAVASSOS</t>
  </si>
  <si>
    <t>RUA SANTO ANTONIO DO CANTARO</t>
  </si>
  <si>
    <t>JARDIM BONITO</t>
  </si>
  <si>
    <t>46611-5</t>
  </si>
  <si>
    <t>ROSANGELA APARECIDA DOS REIS MACHADO</t>
  </si>
  <si>
    <t>LUIS TRAVASSOS</t>
  </si>
  <si>
    <t>EMEI - ARISTIDES NOGUEIRA, DR.</t>
  </si>
  <si>
    <t>EMEI ARISTIDES NOGUEIRA, DR.</t>
  </si>
  <si>
    <t>RUA CAMPOS DO ARAVIL</t>
  </si>
  <si>
    <t>41752-1</t>
  </si>
  <si>
    <t>ARISTIDES NOGUEIRA, DR.</t>
  </si>
  <si>
    <t>EMEI - ZUMBI DOS PALMARES</t>
  </si>
  <si>
    <t>EMEI ZUMBI DOS PALMARES</t>
  </si>
  <si>
    <t>RUA ARMANDO SPÓSITO</t>
  </si>
  <si>
    <t>PARQUE AMÉRICA</t>
  </si>
  <si>
    <t>12103-7</t>
  </si>
  <si>
    <t>KARIN BIROLI</t>
  </si>
  <si>
    <t>ZUMBI DOS PALMARES</t>
  </si>
  <si>
    <t>EMEI - CORA CORALINA</t>
  </si>
  <si>
    <t>EMEI CORA CORALINA</t>
  </si>
  <si>
    <t>DJALMA CORREIA</t>
  </si>
  <si>
    <t>23.415-X</t>
  </si>
  <si>
    <t>APOLONIA CRISPINA BARROS</t>
  </si>
  <si>
    <t>CORA CORALINA</t>
  </si>
  <si>
    <t>EMEI - MARIALICE MENCARINI FORACCHI</t>
  </si>
  <si>
    <t>EMEI MARIALICE MENCARINI FORACCHI</t>
  </si>
  <si>
    <t>RUA FRANCISCO M. OLIVEIRA JR.</t>
  </si>
  <si>
    <t>JARDIM 3 CORAÇÕES</t>
  </si>
  <si>
    <t>14288-3</t>
  </si>
  <si>
    <t>MARIALICE MENCARINI FORACCHI</t>
  </si>
  <si>
    <t>EMEI - SERGIO CARDOSO</t>
  </si>
  <si>
    <t>EMEI SERGIO CARDOSO</t>
  </si>
  <si>
    <t>RUA DJALMA PESSOLATO</t>
  </si>
  <si>
    <t>41729-7</t>
  </si>
  <si>
    <t>ANDRÉIA LEAL SOUZA SILVA</t>
  </si>
  <si>
    <t>VIVIANE APARECIDA PACHECO DA SILVA</t>
  </si>
  <si>
    <t>SERGIO CARDOSO</t>
  </si>
  <si>
    <t>EMEI - CLARA NUNES</t>
  </si>
  <si>
    <t>EMEI CLARA NUNES</t>
  </si>
  <si>
    <t>RUA ADIB CHAMMAS</t>
  </si>
  <si>
    <t>VELEIROS</t>
  </si>
  <si>
    <t>41732-7</t>
  </si>
  <si>
    <t>CHARLENE SALES S. DO NASCIMENTO</t>
  </si>
  <si>
    <t>CLARA NUNES</t>
  </si>
  <si>
    <t>EMEI - PIRATININGA</t>
  </si>
  <si>
    <t>EMEI PIRATININGA</t>
  </si>
  <si>
    <t>emeipiratininga@prefeitura.sp.gov.br</t>
  </si>
  <si>
    <t>RUA GALEANDRA</t>
  </si>
  <si>
    <t>JARDIM ELIANE</t>
  </si>
  <si>
    <t>1548-2</t>
  </si>
  <si>
    <t>VILA MATILDE</t>
  </si>
  <si>
    <t>17481-5</t>
  </si>
  <si>
    <t>PIRATININGA</t>
  </si>
  <si>
    <t>EMEI - MARIA MONTESSORI</t>
  </si>
  <si>
    <t>EMEI MARIA MONTESSORI</t>
  </si>
  <si>
    <t>emeimmontessori@prefeitura.sp.gov.br</t>
  </si>
  <si>
    <t>AVENIDA OSVALDO VALLE CORDEIRO</t>
  </si>
  <si>
    <t>13529-1</t>
  </si>
  <si>
    <t>MARIA MONTESSORI</t>
  </si>
  <si>
    <t>EMEI - LEONARDO ARROYO</t>
  </si>
  <si>
    <t>EMEI LEONARDO ARROYO</t>
  </si>
  <si>
    <t>RUA PADRE JOSÉ VIEIRA DE MATOS</t>
  </si>
  <si>
    <t>COHAB I - ARTUR ALVIM</t>
  </si>
  <si>
    <t>ARTHUR ALVIM</t>
  </si>
  <si>
    <t>19.820-X</t>
  </si>
  <si>
    <t>LEONARDO ARROYO</t>
  </si>
  <si>
    <t>EMEI - MARIA VITORIA DA CUNHA, PROFA.</t>
  </si>
  <si>
    <t>EMEI PROFª MARIA VITÓRIA DA CUNHA</t>
  </si>
  <si>
    <t>RUA PADRE TOMAS DE VILA NOVA</t>
  </si>
  <si>
    <t>19.799-8</t>
  </si>
  <si>
    <t>LUCIANA VIEIRA COSTA</t>
  </si>
  <si>
    <t>MARIA VITORIA DA CUNHA, PROFA.</t>
  </si>
  <si>
    <t>EMEI - PEDRO BRASIL BANDECCHI</t>
  </si>
  <si>
    <t>EMEI PEDRO BRASIL BANDECCHI</t>
  </si>
  <si>
    <t>19.886-2</t>
  </si>
  <si>
    <t>DOUGLAS EDUARDO ROSA</t>
  </si>
  <si>
    <t>PEDRO BRASIL BANDECCHI</t>
  </si>
  <si>
    <t>EMEI - IBIAPABA MARTINS</t>
  </si>
  <si>
    <t>EMEI IBIAPABA MARTINS</t>
  </si>
  <si>
    <t>RUA MARIA EUGÊNIA CELSO</t>
  </si>
  <si>
    <t>PARQUE ARTUR ALVIM</t>
  </si>
  <si>
    <t>19.857-9</t>
  </si>
  <si>
    <t>IBIAPABA MARTINS</t>
  </si>
  <si>
    <t>EMEI - LUCIANO ROBERTO, PROF.</t>
  </si>
  <si>
    <t>EMEI PROº LUCIANO ROBERTO</t>
  </si>
  <si>
    <t>RUA PADRE CLÁUDIO GOMES</t>
  </si>
  <si>
    <t>19.882-X</t>
  </si>
  <si>
    <t>CLÁUDIA MENDES DA SILVA RUESCAS</t>
  </si>
  <si>
    <t>LUCIANO ROBERTO, PROF.</t>
  </si>
  <si>
    <t>EMEI - ROBERTO VICTOR CORDEIRO</t>
  </si>
  <si>
    <t>EMEI ROBERTO VICTOR CORDEIRO</t>
  </si>
  <si>
    <t>AVENIDA SYLVIO TORRES</t>
  </si>
  <si>
    <t>COHAB I ANCHIETA</t>
  </si>
  <si>
    <t>19.808-0</t>
  </si>
  <si>
    <t>ROBERTO VICTOR CORDEIRO</t>
  </si>
  <si>
    <t>EMEI - JOSE DUARTE</t>
  </si>
  <si>
    <t>EMEI JOSE DUARTE</t>
  </si>
  <si>
    <t>RUA DIAS COELHO</t>
  </si>
  <si>
    <t>6832-2</t>
  </si>
  <si>
    <t>185075-X</t>
  </si>
  <si>
    <t>emeijduarte@prefeitura.sp.gov.br</t>
  </si>
  <si>
    <t>JOSE DUARTE</t>
  </si>
  <si>
    <t>EMEI - DENISE MERCIER RODRIGUES AGUIAR, PROFA.</t>
  </si>
  <si>
    <t>EMEI PROF DENISE M. R. AGUIAR</t>
  </si>
  <si>
    <t>emeidmraguiar@prefeitura.sp.gov.br</t>
  </si>
  <si>
    <t>RUA GIOVANI QUADRI</t>
  </si>
  <si>
    <t>52546-4</t>
  </si>
  <si>
    <t>ANDREA RENATA SARAIVA FRANCO</t>
  </si>
  <si>
    <t>DENISE MERCIER RODRIGUES AGUIAR, PROFA.</t>
  </si>
  <si>
    <t>EMEI - BUENO DE AZEVEDO, DR.</t>
  </si>
  <si>
    <t>EMEI DR. BUENO DE AZEVEDO</t>
  </si>
  <si>
    <t>emeibazevedo@prefeitura.sp.gov.br</t>
  </si>
  <si>
    <t>RUA AUGUSTO CAVALCANTI</t>
  </si>
  <si>
    <t>52496-4</t>
  </si>
  <si>
    <t>BUENO DE AZEVEDO, DR.</t>
  </si>
  <si>
    <t>EMEI - SYLVIA VARONI DE CASTRO, PROFA.</t>
  </si>
  <si>
    <t>EMEI PROF SYLVIA V. DE CASTRO</t>
  </si>
  <si>
    <t>emeisvcastro@prefeitura.sp.gov.br</t>
  </si>
  <si>
    <t xml:space="preserve">RUA ANTONIO GANDINI </t>
  </si>
  <si>
    <t>13484-8</t>
  </si>
  <si>
    <t>DEISE MARIA XAVIER TARGINO</t>
  </si>
  <si>
    <t>SYLVIA VARONI DE CASTRO, PROFA.</t>
  </si>
  <si>
    <t>EMEI - LEONARDO VAN ACKER, PROF.</t>
  </si>
  <si>
    <t>EMEI PROF LEONARDO V. ACKER</t>
  </si>
  <si>
    <t>emeilvacker@prefeitura.sp.gov.br</t>
  </si>
  <si>
    <t>RUA CONSTANTINO FERNANDES</t>
  </si>
  <si>
    <t>52052-7</t>
  </si>
  <si>
    <t>HELEN RODRIGUES CARVALHO</t>
  </si>
  <si>
    <t>LEONARDO VAN ACKER, Prof.</t>
  </si>
  <si>
    <t>EMEI - LEONARDO VAN ACKER, Prof.</t>
  </si>
  <si>
    <t>EMEI - FLORIANO PEIXOTO, MAL.</t>
  </si>
  <si>
    <t>EMEI MAR. FLORIANO PEIXOTO</t>
  </si>
  <si>
    <t>emeifpeixoto@prefeitura.sp.gov.br</t>
  </si>
  <si>
    <t>RUA VICTÓRIO SANTIM</t>
  </si>
  <si>
    <t>52314-3</t>
  </si>
  <si>
    <t>ANTONIO AFONSO CAMPOS PAIS</t>
  </si>
  <si>
    <t>FLORIANO PEIXOTO, MAL.</t>
  </si>
  <si>
    <t>EMEI - ANTONIO GONCALVES DIAS</t>
  </si>
  <si>
    <t>EMEI ANTONIO GONÇALVES DIAS</t>
  </si>
  <si>
    <t>emeiagdias@prefeitura.sp.gov.br</t>
  </si>
  <si>
    <t>RUA ANTÔNIO MOURA ANDRADE</t>
  </si>
  <si>
    <t>JARDIM REDIL</t>
  </si>
  <si>
    <t>52697-5</t>
  </si>
  <si>
    <t>PEDRO PAULO DE O ALCANTARA</t>
  </si>
  <si>
    <t>ANTONIO GONCALVES DIAS</t>
  </si>
  <si>
    <t>EMEI - MANOEL DA NOBREGA, PE.</t>
  </si>
  <si>
    <t>EMEI PE MANOEL DA NÓBREGA</t>
  </si>
  <si>
    <t>emeimnobrega@prefeitura.sp.gov.br</t>
  </si>
  <si>
    <t>RUA ADELINO</t>
  </si>
  <si>
    <t>19833-1</t>
  </si>
  <si>
    <t>MANOEL DA NOBREGA, PE.</t>
  </si>
  <si>
    <t>EMEI - MARIA HELENA BARBOSA MARTINS, PROFA.</t>
  </si>
  <si>
    <t>EMEI PROF MARIA H. B. MARTINS</t>
  </si>
  <si>
    <t>emeimhbmartins@prefeitura.sp.gov.br</t>
  </si>
  <si>
    <t>RUA IBIAJARA</t>
  </si>
  <si>
    <t>PARADA XV DE NOVEMBRO</t>
  </si>
  <si>
    <t>52643-6</t>
  </si>
  <si>
    <t>ANA LUCIA DE SOUZA</t>
  </si>
  <si>
    <t>MARIA HELENA BARBOSA MARTINS, PROFA.</t>
  </si>
  <si>
    <t>EMEI - RONALD DE CARVALHO</t>
  </si>
  <si>
    <t>EMEI RONALD DE CARVALHO</t>
  </si>
  <si>
    <t>emeircarvalho@prefeitura.sp.gov.br</t>
  </si>
  <si>
    <t>RUA LINCOLN JUNQUEIRA</t>
  </si>
  <si>
    <t>JARDIM SÃO PEDRO</t>
  </si>
  <si>
    <t>52494-8</t>
  </si>
  <si>
    <t>SIRLEI PEREIRA DA SILVA</t>
  </si>
  <si>
    <t>RONALD DE CARVALHO</t>
  </si>
  <si>
    <t>EMEI - RODRIGUES DE ABREU</t>
  </si>
  <si>
    <t>EMEI RODRIGUES DE ABREU</t>
  </si>
  <si>
    <t>emeirabreu@prefeitura.sp.gov.br</t>
  </si>
  <si>
    <t>RUA JOÃO DOS REIS</t>
  </si>
  <si>
    <t>19.738-6</t>
  </si>
  <si>
    <t>SUSANA CRISTINA DE ARAUJO</t>
  </si>
  <si>
    <t>RODRIGUES DE ABREU</t>
  </si>
  <si>
    <t>EMEI - GIANFEDERICO PORTA, PROF.</t>
  </si>
  <si>
    <t>EMEI GIANFEDERICO PORTA</t>
  </si>
  <si>
    <t>emeigporta@prefeitura.sp.gov.br</t>
  </si>
  <si>
    <t>RUA TORRE DE SANTIAGO</t>
  </si>
  <si>
    <t>19.695-9</t>
  </si>
  <si>
    <t>CLÉLIA DE OLIVEIRA ROCHA</t>
  </si>
  <si>
    <t>ROSELI MARIA DA SILVA LIMA</t>
  </si>
  <si>
    <t>GIANFEDERICO PORTA, PROF.</t>
  </si>
  <si>
    <t>EMEI - TOMAS GALHARDO</t>
  </si>
  <si>
    <t>EMEI TOMÁS GALHARDO</t>
  </si>
  <si>
    <t>RUA INÁCIO PINTO LIMA</t>
  </si>
  <si>
    <t>20.160-X</t>
  </si>
  <si>
    <t>ELAINE PEREIRA CHIDA</t>
  </si>
  <si>
    <t>TOMAS GALHARDO</t>
  </si>
  <si>
    <t>EMEI - PESTALOZZI</t>
  </si>
  <si>
    <t xml:space="preserve">EMEI PESTALOZZI </t>
  </si>
  <si>
    <t>RUA ABNER RIBEIRO BORGES</t>
  </si>
  <si>
    <t>JARDIM ROSELY</t>
  </si>
  <si>
    <t>10956-8</t>
  </si>
  <si>
    <t>CINTIA APARECIDA DA DALTO DE SOUZA</t>
  </si>
  <si>
    <t>MARIA DA CONCEIÇÃO SANTOS</t>
  </si>
  <si>
    <t>PESTALOZZI</t>
  </si>
  <si>
    <t>EMEI - FELIPE D'OLIVEIRA</t>
  </si>
  <si>
    <t xml:space="preserve">EMEI FELIPE D'OLIVEIRA </t>
  </si>
  <si>
    <t>RUA ANTONIO PAVAO</t>
  </si>
  <si>
    <t>10976-2</t>
  </si>
  <si>
    <t>SILMARA AQUINO DOS SANTOS</t>
  </si>
  <si>
    <t>VIVIANE CABRAL MARTINS</t>
  </si>
  <si>
    <t>FELIPE D'OLIVEIRA</t>
  </si>
  <si>
    <t>EMEI - JESUINA NUNES BARBOSA</t>
  </si>
  <si>
    <t xml:space="preserve">EMEI JESUINA NUNES BARBOSA </t>
  </si>
  <si>
    <t>RUA EMBAIXADOR  ILDEFONSO FALCAO</t>
  </si>
  <si>
    <t>30553-7</t>
  </si>
  <si>
    <t>IARA MENESES CELES ABREU DA SILVA</t>
  </si>
  <si>
    <t>laideanselmo@prefeitura.sp.gov.br</t>
  </si>
  <si>
    <t>RITA DE CASSIA TRIZZINO SOARES DE FARIAS</t>
  </si>
  <si>
    <t>JESUINA NUNES BARBOSA</t>
  </si>
  <si>
    <t>EMEI - CECILIA MEIRELLES</t>
  </si>
  <si>
    <t xml:space="preserve">EMEI CECILIA MEIRELES </t>
  </si>
  <si>
    <t>RUA DR PAULO QUEIROZ</t>
  </si>
  <si>
    <t>JARDIM NOVE DE JULHO</t>
  </si>
  <si>
    <t>30749-1</t>
  </si>
  <si>
    <t>SILVANA SOUZA DOS SANTOS</t>
  </si>
  <si>
    <t>CLAUDENICE DE OLIVEIRA GUTIERRES</t>
  </si>
  <si>
    <t>CECILIA MEIRELLES</t>
  </si>
  <si>
    <t>EMEI CEU - JOSE GASPAR, D.</t>
  </si>
  <si>
    <t>EMEI DOM JOSÉ GASPAR</t>
  </si>
  <si>
    <t>emeijosegaspar@prefeitura.sp.gov.br</t>
  </si>
  <si>
    <t>13376-0</t>
  </si>
  <si>
    <t>TALIA DE OLIVEIRA FONSECA</t>
  </si>
  <si>
    <t>JOSE GASPAR, D.</t>
  </si>
  <si>
    <t>EMEI - FLORINDA ROBERTO QUEIROZ DE CASTRO</t>
  </si>
  <si>
    <t>EMEI FLORINDA R. Q. DE CASTRO</t>
  </si>
  <si>
    <t>emeifrqcastro@prefeitura.sp.gov.br</t>
  </si>
  <si>
    <t>20196-0</t>
  </si>
  <si>
    <t>RUTE SOUZA RAMOS DA SILVA</t>
  </si>
  <si>
    <t>FLORINDA ROBERTO QUEIROZ DE CASTRO</t>
  </si>
  <si>
    <t>EMEI - PEDRO CHAVES, MIN.</t>
  </si>
  <si>
    <t>EMEI MINISTRO PEDRO CHAVES</t>
  </si>
  <si>
    <t>emeipchaves@prefeitura.sp.gov.br</t>
  </si>
  <si>
    <t>RUA ISABEL URBINA</t>
  </si>
  <si>
    <t>RANGEL PESTANA</t>
  </si>
  <si>
    <t>35628-X</t>
  </si>
  <si>
    <t xml:space="preserve">CRISTINA MURADAS ALMEIDA </t>
  </si>
  <si>
    <t>PEDRO CHAVES, MIN.</t>
  </si>
  <si>
    <t>EMEI - ERNANI SILVA BRUNO</t>
  </si>
  <si>
    <t>EMEI ERNANI SILVA BRUNO</t>
  </si>
  <si>
    <t>emeiesbruno@prefeitura.sp.gov.br</t>
  </si>
  <si>
    <t>RUA DANIEL MONGOLO</t>
  </si>
  <si>
    <t>52366-6</t>
  </si>
  <si>
    <t>FABIANA MARIA FERREIRA</t>
  </si>
  <si>
    <t>EMEI - MIROEL SILVEIRA</t>
  </si>
  <si>
    <t>EMEI MIROEL SILVEIRA</t>
  </si>
  <si>
    <t>emeimsilveira@prefeitura.sp.gov.br</t>
  </si>
  <si>
    <t>RUA CORRUIRA DO BREJO</t>
  </si>
  <si>
    <t>52416-6</t>
  </si>
  <si>
    <t>ANDREA DA SILVA COUTINHO</t>
  </si>
  <si>
    <t>MIROEL SILVEIRA</t>
  </si>
  <si>
    <t>EMEI - CARLOS JEREISSATI, SEN.</t>
  </si>
  <si>
    <t>EMEI SEM. CARLOS JEREISSATI</t>
  </si>
  <si>
    <t>emeicjereissati@prefeitura.sp.gov.br</t>
  </si>
  <si>
    <t>RUA GUILHERME VALÊNCIA</t>
  </si>
  <si>
    <t>52453-0</t>
  </si>
  <si>
    <t>MICHELE ORTEGA GOMES</t>
  </si>
  <si>
    <t>CARLOS JEREISSATI, SEN.</t>
  </si>
  <si>
    <t>EMEI - APARECIDA MARIA DE MENDONCA, PROFA.</t>
  </si>
  <si>
    <t>EMEI PROF AP. Mª DE MENDONÇA</t>
  </si>
  <si>
    <t>emeiapmmendonca@prefeitura.sp.gov.br</t>
  </si>
  <si>
    <t>RUA ISIDORO DE LARA</t>
  </si>
  <si>
    <t>52350-X</t>
  </si>
  <si>
    <t>APARECIDA MARIA DE MENDONCA, PROFA.</t>
  </si>
  <si>
    <t>RUA SANTO RIZZO</t>
  </si>
  <si>
    <t>EMEI - CARLOTA PEREIRA DE QUEIROZ</t>
  </si>
  <si>
    <t>EMEI CARLOTA PEREIRA DE QUEIROZ</t>
  </si>
  <si>
    <t>emeicpqueiroz@prefeitura.sp.gov.br</t>
  </si>
  <si>
    <t>RUA FERNANDO GANGA</t>
  </si>
  <si>
    <t>1190-8</t>
  </si>
  <si>
    <t>ÁGUA RASA</t>
  </si>
  <si>
    <t>27.971-4</t>
  </si>
  <si>
    <t>ELAINE CRISTINA DE CASTRO</t>
  </si>
  <si>
    <t>CARLOTA PEREIRA DE QUEIROZ</t>
  </si>
  <si>
    <t>EMEI - ADONIRAN BARBOSA</t>
  </si>
  <si>
    <t>EMEI ADONIRAM BARBOSA</t>
  </si>
  <si>
    <t>RUA DOS PEDREIROS</t>
  </si>
  <si>
    <t>20.216-9</t>
  </si>
  <si>
    <t>SILVIA CORREIA DA COSTA SANTOS</t>
  </si>
  <si>
    <t>ADRIANA MIRIAN DA SILVA</t>
  </si>
  <si>
    <t>ADONIRAN BARBOSA</t>
  </si>
  <si>
    <t>EMEI - NILDO DO AMARAL JUNIOR, PE.</t>
  </si>
  <si>
    <t>EMEI PE NILDO DO A. JUNIOR</t>
  </si>
  <si>
    <t>emeinamaral@prefeitura.sp.gov.br</t>
  </si>
  <si>
    <t>RUA LOPES DE MEDEIROS</t>
  </si>
  <si>
    <t>5-A</t>
  </si>
  <si>
    <t>JARDIM NOSSA SRA. DO CARMO</t>
  </si>
  <si>
    <t>16907-2</t>
  </si>
  <si>
    <t>HELIO DAUTO SANTOS BRASILEIRO</t>
  </si>
  <si>
    <t>EMEI - AMACIO MAZZAROPI</t>
  </si>
  <si>
    <t>EMEI AMACIO MAZZAROPI</t>
  </si>
  <si>
    <t>emeiamazzaropi@prefeitura.sp.gov.br</t>
  </si>
  <si>
    <t>RUA DR.FRANCISCO TENENTE TORRES</t>
  </si>
  <si>
    <t>COHAB JUSCELINO</t>
  </si>
  <si>
    <t>19.724-6</t>
  </si>
  <si>
    <t>ANTONIO WILSON DIAS JUNIOR</t>
  </si>
  <si>
    <t>AMACIO MAZZAROPI</t>
  </si>
  <si>
    <t>EMEI - ODUVALDO VIANA FILHO</t>
  </si>
  <si>
    <t>EMEI ODUVALDO VIANA FILHO</t>
  </si>
  <si>
    <t>AVENIDA UTARO KANAI</t>
  </si>
  <si>
    <t>ODUVALDO VIANA FILHO</t>
  </si>
  <si>
    <t>EMEI - SAMUEL WAINER</t>
  </si>
  <si>
    <t xml:space="preserve">EMEI SAMUEL WAINER </t>
  </si>
  <si>
    <t>emeiswainer@prefeitura.sp.gov.br</t>
  </si>
  <si>
    <t>RUA CONTO DE AREIA</t>
  </si>
  <si>
    <t>20.327-0</t>
  </si>
  <si>
    <t>LUZIA GIL DE MELO</t>
  </si>
  <si>
    <t>CLEUDIANE ALVES DE LIMA</t>
  </si>
  <si>
    <t>SAMUEL WAINER</t>
  </si>
  <si>
    <t>EMEI - LUIZ PEREIRA, PROF.</t>
  </si>
  <si>
    <t>EMEI PROF LUIZ PEREIRA</t>
  </si>
  <si>
    <t>emeilaperreira@prefeitura.sp.gov.br</t>
  </si>
  <si>
    <t>RUA JOSÉ OITICICA</t>
  </si>
  <si>
    <t>2935-1</t>
  </si>
  <si>
    <t>19809-9</t>
  </si>
  <si>
    <t>LUIZ PEREIRA, PROF.</t>
  </si>
  <si>
    <t>EMEI - ELIS REGINA</t>
  </si>
  <si>
    <t xml:space="preserve">EMEI ELIS REGINA </t>
  </si>
  <si>
    <t>RUA ERNESTO MANOGRASSO</t>
  </si>
  <si>
    <t>30717-3</t>
  </si>
  <si>
    <t>HOMERO FERREIRA MAGALHÃES</t>
  </si>
  <si>
    <t>DANIELA DE SOUZA GOES</t>
  </si>
  <si>
    <t>ELIS REGINA</t>
  </si>
  <si>
    <t>EMEI - AUGUSTO FROEBEL</t>
  </si>
  <si>
    <t>EMEI AUGUSTO FROEBEL</t>
  </si>
  <si>
    <t>RUA FÁBIO JOSÉ BEZERRA</t>
  </si>
  <si>
    <t>16.992-7</t>
  </si>
  <si>
    <t>KELLY NOGUEIRA PIMENTA</t>
  </si>
  <si>
    <t>elainetazevedo@hotmail.com</t>
  </si>
  <si>
    <t>AUGUSTO FROEBEL</t>
  </si>
  <si>
    <t>EMEI - MAX WOLF FILHO, SGT.</t>
  </si>
  <si>
    <t>EMEI MAX WOLF FILHO, SGT</t>
  </si>
  <si>
    <t>RUA Mª JOVITA DA CONCEIÇÃO</t>
  </si>
  <si>
    <t>17.139-5</t>
  </si>
  <si>
    <t>BIANCA AMORIM ANTUNES DE OLIVEIRA</t>
  </si>
  <si>
    <t>MAX WOLF FILHO, SGT.</t>
  </si>
  <si>
    <t>EMEI - MIGUEL COSTA, GEN.</t>
  </si>
  <si>
    <t>EMEI GAL MIGUEL COSTA</t>
  </si>
  <si>
    <t>RUA ARROJADO LISBOA</t>
  </si>
  <si>
    <t>JARDIM COTINHA</t>
  </si>
  <si>
    <t>17.077-1</t>
  </si>
  <si>
    <t>MIGUEL COSTA, GEN.</t>
  </si>
  <si>
    <t>EMEI - JARDIM PEDRO JOSE NUNES</t>
  </si>
  <si>
    <t>EMEI JD. PEDRO JOSÉ NUNES</t>
  </si>
  <si>
    <t>RUA FLOR DE SÃO MIGUEL</t>
  </si>
  <si>
    <t>52068-3</t>
  </si>
  <si>
    <t>SILVANA DA SILVA E SILVA</t>
  </si>
  <si>
    <t>SUELI CRUZ DA SILVA SANTOS</t>
  </si>
  <si>
    <t>EMEI - EPITACIO PESSOA</t>
  </si>
  <si>
    <t>EMEI EPITÁCIO PESSOA</t>
  </si>
  <si>
    <t>RUA DANIEL ARCIONI</t>
  </si>
  <si>
    <t>LIMOEIRO</t>
  </si>
  <si>
    <t>20739-X</t>
  </si>
  <si>
    <t>VANESSA CARNEIRO CABRINI</t>
  </si>
  <si>
    <t>MARCIA NUNES MASCARENHAS</t>
  </si>
  <si>
    <t>EPITACIO PESSOA</t>
  </si>
  <si>
    <t>EMEI - AFRANIO PEIXOTO</t>
  </si>
  <si>
    <t>EMEI AFRÂNIO PEIXOTO</t>
  </si>
  <si>
    <t>AVENIDA MARIA SANTANA</t>
  </si>
  <si>
    <t>51941-3</t>
  </si>
  <si>
    <t>JUCILEIDE MICHELETTO</t>
  </si>
  <si>
    <t>ANDREIA MARIA DA CONCEIÇÃO</t>
  </si>
  <si>
    <t>AFRANIO PEIXOTO</t>
  </si>
  <si>
    <t>EMEI - ANTONIO LAPENNA</t>
  </si>
  <si>
    <t>EMEI ANTONIO LAPENNA</t>
  </si>
  <si>
    <t>RUA DIEGO CALADO</t>
  </si>
  <si>
    <t>51801-8</t>
  </si>
  <si>
    <t>ROSANA GUILHERME RAMOS</t>
  </si>
  <si>
    <t>ROSANGELA GOMES</t>
  </si>
  <si>
    <t>ANTONIO LAPENNA</t>
  </si>
  <si>
    <t>EMEI - GRACILIANO RAMOS</t>
  </si>
  <si>
    <t>EMEI GRACILIANO RAMOS</t>
  </si>
  <si>
    <t>RUA GUIRAPÃ</t>
  </si>
  <si>
    <t>VILA CURUÇÁ</t>
  </si>
  <si>
    <t>52099-3</t>
  </si>
  <si>
    <t>GRACILIANO RAMOS</t>
  </si>
  <si>
    <t>EMEI - ANTONIO PEREIRA LIMA</t>
  </si>
  <si>
    <t>EMEI ANTONIO PEREIRA LIMA</t>
  </si>
  <si>
    <t>RUA ANANAI</t>
  </si>
  <si>
    <t>12.746-9</t>
  </si>
  <si>
    <t>JOSELITA JOAQUINA DOS SANTOS</t>
  </si>
  <si>
    <t>ANTONIO PEREIRA LIMA</t>
  </si>
  <si>
    <t>EMEI - MAGDALENA TAGLIAFERRO</t>
  </si>
  <si>
    <t>EMEI MAGDALENA TAGLIAFERRO</t>
  </si>
  <si>
    <t>emeimtagliaferro@prefeitura.sp.gov.br</t>
  </si>
  <si>
    <t>RUA PORTO DO BEZERRA.</t>
  </si>
  <si>
    <t>20.084-0</t>
  </si>
  <si>
    <t>MAGDALENA TAGLIAFERRO</t>
  </si>
  <si>
    <t>EMEI - LUIZA HELENA DE BARROS</t>
  </si>
  <si>
    <t>EMEI LUIZA HELENA DE BARROS</t>
  </si>
  <si>
    <t>RUA PATAJUBA</t>
  </si>
  <si>
    <t>28028-3</t>
  </si>
  <si>
    <t>CARMELITA REIS DE MELO</t>
  </si>
  <si>
    <t>LUIZA HELENA DE BARROS</t>
  </si>
  <si>
    <t>EMEI - JOSE DE ALENCAR</t>
  </si>
  <si>
    <t>EMEI JOSÉ DE ALENCAR</t>
  </si>
  <si>
    <t>RUA ALICIO CLARA SIMÃO</t>
  </si>
  <si>
    <t>28118-2</t>
  </si>
  <si>
    <t>ELAINE SANTIAGO DOS SANTOS</t>
  </si>
  <si>
    <t>JOSE DE ALENCAR</t>
  </si>
  <si>
    <t>EMEI - PEDRO II, D.</t>
  </si>
  <si>
    <t>EMEI DOM PEDRO II</t>
  </si>
  <si>
    <t>RUA DR. JOSE DE PORCIÚNCULA</t>
  </si>
  <si>
    <t>PARQUE PAULISTANO</t>
  </si>
  <si>
    <t>52.196-5</t>
  </si>
  <si>
    <t>GEISA VIEIRA DOS SANTOS</t>
  </si>
  <si>
    <t>PEDRO II, D.</t>
  </si>
  <si>
    <t>EMEI - MARIA QUITERIA</t>
  </si>
  <si>
    <t>EMEI MARIA QUITÉRIA</t>
  </si>
  <si>
    <t>RUA MARFIM VEGETAL</t>
  </si>
  <si>
    <t>28121-2</t>
  </si>
  <si>
    <t>MARIA DE FÁTIMA SILVA BICALHO</t>
  </si>
  <si>
    <t>MARIA JOSE GUEDES DOS SANTOS</t>
  </si>
  <si>
    <t>MARIA QUITERIA</t>
  </si>
  <si>
    <t>EMEI - ALBERTO MENDES JUNIOR, CAP.</t>
  </si>
  <si>
    <t>EMEI CAPITÃO ALBERTO MENDE JR</t>
  </si>
  <si>
    <t>RUA NOGUEIRA VIOTTI</t>
  </si>
  <si>
    <t>JARDIM CAMARGO VELHO</t>
  </si>
  <si>
    <t>28298-7</t>
  </si>
  <si>
    <t>MARCIA RUIZ ZAMBONATTO SALES</t>
  </si>
  <si>
    <t>ALBERTO MENDES JUNIOR, CAP.</t>
  </si>
  <si>
    <t>EMEI - OVIDIO DECROLY</t>
  </si>
  <si>
    <t>EMEI OVÍDIO DECROLY</t>
  </si>
  <si>
    <t>RUA PIRAMIUNA</t>
  </si>
  <si>
    <t>51949-9</t>
  </si>
  <si>
    <t>ADRIANA LIMA GOMES RODRIGUES</t>
  </si>
  <si>
    <t>CREUSA DE FATIMA SANTOS TAVARES</t>
  </si>
  <si>
    <t>OVIDIO DECROLY</t>
  </si>
  <si>
    <t>EMEI - HELENA DE PAULA MARIN, PROFA.</t>
  </si>
  <si>
    <t>EMEI PROF HELENA DE PAULA MARIN</t>
  </si>
  <si>
    <t>RUA JOSÉ FERREIRA CRESPO</t>
  </si>
  <si>
    <t>51747-X</t>
  </si>
  <si>
    <t>DEBORA MARTINS DA SILVA</t>
  </si>
  <si>
    <t>RITA DE CASSIA MURADE AGUIAR</t>
  </si>
  <si>
    <t>HELENA DE PAULA MARIN, PROFA.</t>
  </si>
  <si>
    <t>EMEI - LEILA DINIZ</t>
  </si>
  <si>
    <t>EMEI LEILA DINIZ</t>
  </si>
  <si>
    <t>RUA PEROBA ROSA</t>
  </si>
  <si>
    <t>JARDIM MIRAGAIA</t>
  </si>
  <si>
    <t>1818-8</t>
  </si>
  <si>
    <t>29030-0</t>
  </si>
  <si>
    <t>CAMILA TANUMA DA SILVA FRANCISQUINI</t>
  </si>
  <si>
    <t>JEANE NASCIMENTO OLIVEIRA</t>
  </si>
  <si>
    <t>LEILA DINIZ</t>
  </si>
  <si>
    <t>EMEI - GLAUBER ROCHA</t>
  </si>
  <si>
    <t>EMEI GLAUBER ROCHA</t>
  </si>
  <si>
    <t>emeigrocha@prefeitura.sp.gov.br</t>
  </si>
  <si>
    <t>RUA PINHEIRO DO PARANÁ</t>
  </si>
  <si>
    <t>PARQUE GUARANI</t>
  </si>
  <si>
    <t>52645-2</t>
  </si>
  <si>
    <t>SILVIO APARECIDO DA SILVA</t>
  </si>
  <si>
    <t>GLAUBER ROCHA</t>
  </si>
  <si>
    <t>EMEI - IRENE FAVRET LOPES, PROFA.</t>
  </si>
  <si>
    <t>EMEI PROFESSORA IRENE FAVRET LOPES</t>
  </si>
  <si>
    <t>RUA JARINU</t>
  </si>
  <si>
    <t>29.364-4</t>
  </si>
  <si>
    <t>NILCE RUIZ ROMERO</t>
  </si>
  <si>
    <t>IRENE FAVRET LOPES, PROFA.</t>
  </si>
  <si>
    <t>EMEI - GOMES CARDIM, INTENDENTE</t>
  </si>
  <si>
    <t>EMEI INTENDENTE GOMES CARDIM</t>
  </si>
  <si>
    <t>LGO. NOSSA SEBHORA DO BOM PARTO</t>
  </si>
  <si>
    <t>VILA GOMES CARDIM</t>
  </si>
  <si>
    <t>29.459-4</t>
  </si>
  <si>
    <t>LUCIMAR DA SILVA RAMOS</t>
  </si>
  <si>
    <t>GOMES CARDIM, INTENDENTE</t>
  </si>
  <si>
    <t>EMEI - MARIA LAURA DE SOUZA CAMPOS, PROFA.</t>
  </si>
  <si>
    <t>EMEI PROF MARIA L. S. CAMPOS</t>
  </si>
  <si>
    <t>emeimlscampos@prefeitura.sp.gov.br</t>
  </si>
  <si>
    <t>RUA MORORO</t>
  </si>
  <si>
    <t>VILA ANTONINA</t>
  </si>
  <si>
    <t>1895-3</t>
  </si>
  <si>
    <t>SHOP JD ANALIA FRANCO</t>
  </si>
  <si>
    <t>15210-2</t>
  </si>
  <si>
    <t>CLAUDIA FERNANDES LEITE</t>
  </si>
  <si>
    <t>MARIA LAURA DE SOUZA CAMPOS, PROFA.</t>
  </si>
  <si>
    <t>EMEI - QUINTINO BOCAIUVA</t>
  </si>
  <si>
    <t>EMEI QUINTINO BOCAIÚVA</t>
  </si>
  <si>
    <t>ANTONIO DE BARROS</t>
  </si>
  <si>
    <t>19.712-2</t>
  </si>
  <si>
    <t>QUINTINO BOCAIUVA</t>
  </si>
  <si>
    <t>EMEI - RAFAEL TOBIAS DE AGUIAR, BRIG.</t>
  </si>
  <si>
    <t>EMEI BRIG. RAFAEL TOBIAS DE AGUIAR</t>
  </si>
  <si>
    <t>PRAÇA GOMES CARNEIRO</t>
  </si>
  <si>
    <t>VILA GUILHERMINA</t>
  </si>
  <si>
    <t>17.416-5</t>
  </si>
  <si>
    <t>ANDRÉIA ROSÁRIO DOS SANTOS</t>
  </si>
  <si>
    <t>RAFAEL TOBIAS DE AGUIAR, BRIG.</t>
  </si>
  <si>
    <t>EMEI - LUIZ GOMES CARDIM SANGIRARDI, ENG.</t>
  </si>
  <si>
    <t>EMEI ENG. LUIZ GOMES CARDIM SANGIRARDI</t>
  </si>
  <si>
    <t>RUA LEONOR DOMINGUES</t>
  </si>
  <si>
    <t>JARDIM HERCÍLIA</t>
  </si>
  <si>
    <t>19.824-2</t>
  </si>
  <si>
    <t>CRISTIANE ANTUNES ROSA VICENTE</t>
  </si>
  <si>
    <t>LUIZ GOMES CARDIM SANGIRARDI, ENG.</t>
  </si>
  <si>
    <t>EMEI - EVARISTO DA VEIGA</t>
  </si>
  <si>
    <t>EMEI EVARISTO DA VEIGA</t>
  </si>
  <si>
    <t>RUA PIERRE JANSSEN</t>
  </si>
  <si>
    <t>9.182-0</t>
  </si>
  <si>
    <t>GIANE MARI DA SILVA OLIVEIRA</t>
  </si>
  <si>
    <t>EVARISTO DA VEIGA</t>
  </si>
  <si>
    <t>EMEI - TOMAS ANTONIO GONZAGA</t>
  </si>
  <si>
    <t>EMEI TOMAS ANTONIO GONZAGA</t>
  </si>
  <si>
    <t>RUA SÍLVIO RIBEIRO DOS SANTOS</t>
  </si>
  <si>
    <t>VILA UNIÃO</t>
  </si>
  <si>
    <t>44.736-6</t>
  </si>
  <si>
    <t>JOSILMA DE SOUZA RODRIGUES DA SILVA</t>
  </si>
  <si>
    <t>TOMAS ANTONIO GONZAGA</t>
  </si>
  <si>
    <t>EMEI - JOSE RUBENS PERES FERNANDES, PROF.</t>
  </si>
  <si>
    <t>EMEI PROF JOSE RUBENS PERES FERNANDES</t>
  </si>
  <si>
    <t>RUA FAUSTINO PAGANINI</t>
  </si>
  <si>
    <t>CHÁCARA CRUZEIRO DO SUL</t>
  </si>
  <si>
    <t>17.250-2</t>
  </si>
  <si>
    <t>CIBELE CAMARGO DE SOUZA</t>
  </si>
  <si>
    <t>JOSE RUBENS PERES FERNANDES, PROF.</t>
  </si>
  <si>
    <t>EMEI - MARIO GRACIOTTI</t>
  </si>
  <si>
    <t>EMEI MÁRIO GRACIOTTI</t>
  </si>
  <si>
    <t>RUA ENTRE RIOS</t>
  </si>
  <si>
    <t>VILA BUENO AIRES</t>
  </si>
  <si>
    <t>V. ESPERANÇA</t>
  </si>
  <si>
    <t>16.453-4</t>
  </si>
  <si>
    <t>MONIKA CRISTINA FERREIRA ARAGON</t>
  </si>
  <si>
    <t>MARIO GRACIOTTI</t>
  </si>
  <si>
    <t>EMEI - GOULART, ENG.</t>
  </si>
  <si>
    <t>EMEI ENGENHEIRO GOULART</t>
  </si>
  <si>
    <t>PRAÇA GAJÉ</t>
  </si>
  <si>
    <t>ENG. GOULART</t>
  </si>
  <si>
    <t>20.738-1</t>
  </si>
  <si>
    <t>LUCIANA SALLES MONTEIRO</t>
  </si>
  <si>
    <t>GOULART, ENG.</t>
  </si>
  <si>
    <t>EMEI - SILVIO ROMERO</t>
  </si>
  <si>
    <t>EMEI SILVIO ROMERO</t>
  </si>
  <si>
    <t>LARGO SÃO JOSÉ DO MARANHÃO</t>
  </si>
  <si>
    <t>19.772-6</t>
  </si>
  <si>
    <t>MARIA CRISTINA FRATUCCI PEDROSO</t>
  </si>
  <si>
    <t>EMEI - DUTRA, PRES.</t>
  </si>
  <si>
    <t>EMEI PRESIDENTE DUTRA</t>
  </si>
  <si>
    <t>RUA SANTO ELIAS</t>
  </si>
  <si>
    <t>32.465-5</t>
  </si>
  <si>
    <t>EDUARDO VILLALPANDO</t>
  </si>
  <si>
    <t>DUTRA, PRES.</t>
  </si>
  <si>
    <t>EMEI - MARY BUARQUE</t>
  </si>
  <si>
    <t>EMEI MARY BUARQUE</t>
  </si>
  <si>
    <t>RUA RESTINGA</t>
  </si>
  <si>
    <t>32.603-8</t>
  </si>
  <si>
    <t>VILMA CLÉLIA DE OLIVEIRA RAMOS</t>
  </si>
  <si>
    <t>MARY BUARQUE</t>
  </si>
  <si>
    <t>EMEI - MARIA LACERDA DE MOURA</t>
  </si>
  <si>
    <t>EMEI MARIA LACERDA DE MOURA</t>
  </si>
  <si>
    <t>RUA FELIPE SALOMÃO</t>
  </si>
  <si>
    <t>VILA DALILA</t>
  </si>
  <si>
    <t xml:space="preserve">VILA MATILDE </t>
  </si>
  <si>
    <t>17.482-3</t>
  </si>
  <si>
    <t>MARIA LACERDA DE MOURA</t>
  </si>
  <si>
    <t>EMEI - RODRIGO SOARES JUNIOR</t>
  </si>
  <si>
    <t>EMEI RODRIGO SOARES JUNIOR</t>
  </si>
  <si>
    <t>17.092-5</t>
  </si>
  <si>
    <t>RODRIGO SOARES JUNIOR</t>
  </si>
  <si>
    <t>EMEI - ALFREDO DA ROCHA VIANA FILHO - PIXINGUINHA</t>
  </si>
  <si>
    <t>EMEI ALFREDO DA ROCHA VIANA FILHO-PIXINGUINHA</t>
  </si>
  <si>
    <t>RUA LUCIANO NOGUEIRA</t>
  </si>
  <si>
    <t>17.141-7</t>
  </si>
  <si>
    <t>SANDRA REGINA PEREIRA FREITAS</t>
  </si>
  <si>
    <t>ALFREDO DA ROCHA VIANA FILHO - PIXINGUINHA</t>
  </si>
  <si>
    <t>EMEI - MANOEL PRETO</t>
  </si>
  <si>
    <t>EMEI MANOEL PRETO</t>
  </si>
  <si>
    <t>RUA BONIFACIO CUBAS</t>
  </si>
  <si>
    <t>37680-9</t>
  </si>
  <si>
    <t>KATIA PEREIRA DA COSTA</t>
  </si>
  <si>
    <t>IVONE FALCOCHIO CABRAL</t>
  </si>
  <si>
    <t>MANOEL PRETO</t>
  </si>
  <si>
    <t>EMEI - OLAVO BILAC</t>
  </si>
  <si>
    <t>EMEI OLAVO BILAC</t>
  </si>
  <si>
    <t>RUA SILVINO LOPES</t>
  </si>
  <si>
    <t>ELIANE BEZERRA LEAL</t>
  </si>
  <si>
    <t>LUCIANA FERNANDES DE PINO</t>
  </si>
  <si>
    <t>OLAVO BILAC</t>
  </si>
  <si>
    <t>EMEI - FELIPE MESTRE JOU</t>
  </si>
  <si>
    <t>EMEI FELIPE MESTRE JOU</t>
  </si>
  <si>
    <t>AVENIDA JOAO PAULO I</t>
  </si>
  <si>
    <t>37622-1</t>
  </si>
  <si>
    <t>MARA REGINA BERTAGLIA FERREIRA</t>
  </si>
  <si>
    <t>FERNANDA SILVA DOS SANTOS</t>
  </si>
  <si>
    <t>FELIPE MESTRE JOU</t>
  </si>
  <si>
    <t>EMEI - 25 DE JANEIRO</t>
  </si>
  <si>
    <t>EMEI 25 DE JANEIRO</t>
  </si>
  <si>
    <t>RUA PADRE FELICIANO DOMINGUES</t>
  </si>
  <si>
    <t>37666-3</t>
  </si>
  <si>
    <t>RAQUEL RODRIGUES COIMBRA BORGES</t>
  </si>
  <si>
    <t>25 DE JANEIRO</t>
  </si>
  <si>
    <t>EMEI - JOSE CANAVO FILHO, CEL.</t>
  </si>
  <si>
    <t>EMEI JOSE CANAVO FILHO, CEL.</t>
  </si>
  <si>
    <t>RUA EUVALDO AUGUSTO FREIRE</t>
  </si>
  <si>
    <t>JARDIM CAROMBE</t>
  </si>
  <si>
    <t>37712-0</t>
  </si>
  <si>
    <t>FLAVIA CAROLINA MOYA GIROTTO</t>
  </si>
  <si>
    <t>RIZOLENE COUTINHO VALENÇA</t>
  </si>
  <si>
    <t>JOSE CANAVO FILHO, CEL.</t>
  </si>
  <si>
    <t>EMEI - ALEXANDRE GAMA, CEL.</t>
  </si>
  <si>
    <t xml:space="preserve">EMEI ALEXANDRE GAMA </t>
  </si>
  <si>
    <t>RUA GREGORIO POMAR</t>
  </si>
  <si>
    <t>JARDIM DAMASCENO</t>
  </si>
  <si>
    <t>MARCIO FERREIRA DE SOUZA</t>
  </si>
  <si>
    <t>ALEXANDRE GAMA, CEL.</t>
  </si>
  <si>
    <t>EMEI - ANITA GARIBALDI</t>
  </si>
  <si>
    <t>EMEI ANITA GARIBALDI</t>
  </si>
  <si>
    <t>RUA OTELO ZELONI</t>
  </si>
  <si>
    <t>PARQUE PEDROSO</t>
  </si>
  <si>
    <t>37635-3</t>
  </si>
  <si>
    <t>GLAUCIA ARAUJO MIRANDA DE CAMARGO</t>
  </si>
  <si>
    <t>SIRLEY ALVES DOS SANTOS</t>
  </si>
  <si>
    <t>ANITA GARIBALDI</t>
  </si>
  <si>
    <t>EMEI - MARTINS FONTES</t>
  </si>
  <si>
    <t>EMEI MARTINS FONTES</t>
  </si>
  <si>
    <t>RUA BARTOLOMEU LAURENTI</t>
  </si>
  <si>
    <t>PARQUE TIEITE</t>
  </si>
  <si>
    <t>177088-8</t>
  </si>
  <si>
    <t>KATIA ELISABETE RUIZ</t>
  </si>
  <si>
    <t>MARTINS FONTES</t>
  </si>
  <si>
    <t>EMEI - LUCAS NOGUEIRA GARCEZ, GOV.</t>
  </si>
  <si>
    <t>EMEI LUCAS NOGUEIRA GARCEZ, GOV.</t>
  </si>
  <si>
    <t>RUA JOSE DA COSTA GAVIÃO</t>
  </si>
  <si>
    <t>JARDIM LADEIRA ROSA</t>
  </si>
  <si>
    <t>LUCAS NOGUEIRA GARCEZ, GOV.</t>
  </si>
  <si>
    <t>EMEI - BILAC PINTO, MIN.</t>
  </si>
  <si>
    <t>EMEI BILAC PIN TO, MIN.</t>
  </si>
  <si>
    <t>RUA IBIRAIARAS</t>
  </si>
  <si>
    <t>JARDIM VISTA ALEGRE</t>
  </si>
  <si>
    <t>37654-X</t>
  </si>
  <si>
    <t>ISIS VERONICA COSTA DOS SANTOS</t>
  </si>
  <si>
    <t>BILAC PINTO, MIN.</t>
  </si>
  <si>
    <t>EMEI - ROSA E CAROLINA AGAZZI</t>
  </si>
  <si>
    <t>EMEI ROSA E CAROLINA AGAZZI</t>
  </si>
  <si>
    <t>RUA DR ARAUJO CASTRO</t>
  </si>
  <si>
    <t>JARDIM PERI</t>
  </si>
  <si>
    <t>JARDIM MARACANÃ</t>
  </si>
  <si>
    <t>10575-9</t>
  </si>
  <si>
    <t>ROSA E CAROLINA AGAZZI</t>
  </si>
  <si>
    <t>EMEI - JULIO DE MESQUITA FILHO</t>
  </si>
  <si>
    <t>EMEI JULIO DE MESQUITA FILHO</t>
  </si>
  <si>
    <t>RUA PRF JOSE SOARES DE MELLO</t>
  </si>
  <si>
    <t>10580-5</t>
  </si>
  <si>
    <t>MARIA ANTONIA DOMINE LEONEL</t>
  </si>
  <si>
    <t>JULIO DE MESQUITA FILHO</t>
  </si>
  <si>
    <t>EMEI - NELSON MANDELA</t>
  </si>
  <si>
    <t>EMEI NELSON MANDELA</t>
  </si>
  <si>
    <t>AV CELESTINO BURROUL</t>
  </si>
  <si>
    <t>19306-2</t>
  </si>
  <si>
    <t>ANA CRISTINA SILVA GODOY</t>
  </si>
  <si>
    <t>NELSON MANDELA</t>
  </si>
  <si>
    <t>EMEI - ABELARDO GALDINO PINTO - PIOLIN</t>
  </si>
  <si>
    <t>EMEI ABELARDO GALDINO PINTO</t>
  </si>
  <si>
    <t>PRAÇA DO CENTENÁRIO</t>
  </si>
  <si>
    <t>19226-0</t>
  </si>
  <si>
    <t>ANA MARIA DE CARVALHO</t>
  </si>
  <si>
    <t>ABELARDO GALDINO PINTO - PIOLIN</t>
  </si>
  <si>
    <t>EMEI - EDUARDO GOMES, BRIG.</t>
  </si>
  <si>
    <t>EMEI EDUARDO GOMES, BRIG.</t>
  </si>
  <si>
    <t>RUA SANTA EUDOXIA</t>
  </si>
  <si>
    <t>PARQUE PERUCHE</t>
  </si>
  <si>
    <t>19214-7</t>
  </si>
  <si>
    <t>ADRIANO DE OLIVEIRA CARVALHO</t>
  </si>
  <si>
    <t>ALESSANDRA BORGES NORINHO</t>
  </si>
  <si>
    <t>EDUARDO GOMES, BRIG.</t>
  </si>
  <si>
    <t>EMEI - BERTHA LUTZ</t>
  </si>
  <si>
    <t>EMEI BERTHA LUTZ</t>
  </si>
  <si>
    <t>RUA ROMULO NALDI</t>
  </si>
  <si>
    <t>ALESSANDRA SANTOS EIGENR</t>
  </si>
  <si>
    <t>ADRIANA MACHADO DA SILVA</t>
  </si>
  <si>
    <t>BERTHA LUTZ</t>
  </si>
  <si>
    <t>EMEI - ENZO SILVEIRA, DR.</t>
  </si>
  <si>
    <t>EMEI ENZO SILVEIRA, DR.</t>
  </si>
  <si>
    <t>RUA ARMANDO COELHO E SILVA</t>
  </si>
  <si>
    <t>IMIRIM</t>
  </si>
  <si>
    <t>13983-1</t>
  </si>
  <si>
    <t>SILENE RAMOS LEITE NASCIMENTO</t>
  </si>
  <si>
    <t>ENZO SILVEIRA, DR.</t>
  </si>
  <si>
    <t>EMEI - OLGA CALIL MENAH, PROFA.</t>
  </si>
  <si>
    <t>EMEI OLGA CALIL MENAH</t>
  </si>
  <si>
    <t>emeiocmenah@prefeitura.sp.gov.br</t>
  </si>
  <si>
    <t>RUA URATINGA</t>
  </si>
  <si>
    <t>VILA CATUPIÁ</t>
  </si>
  <si>
    <t>31018-2</t>
  </si>
  <si>
    <t xml:space="preserve">VALDIR REZENDE </t>
  </si>
  <si>
    <t>OLGA CALIL MENAH, PROFA.</t>
  </si>
  <si>
    <t>EMEI - OLGA MARIA GERMANO MARTINS DOMINGOS, PROFA.</t>
  </si>
  <si>
    <t>EMEI OLGA Mª G.M. DOMINGOS,PROFª</t>
  </si>
  <si>
    <t>PRAÇA BALTAZAR DE GODOY</t>
  </si>
  <si>
    <t>RENATA ALVES CARRIEL</t>
  </si>
  <si>
    <t>emeiolgadomingos@pref.sp.gov.br</t>
  </si>
  <si>
    <t>OLGA MARIA GERMANO MARTINS DOMINGOS, PROFA.</t>
  </si>
  <si>
    <t>EMEI - EUNICE DOS SANTOS, PROFA.</t>
  </si>
  <si>
    <t>EMEI PROFª EUNICE DOS SANTOS</t>
  </si>
  <si>
    <t>emeiesantos@prefeitura.sp.gov.br</t>
  </si>
  <si>
    <t>RUA SILVINO DE GODOI</t>
  </si>
  <si>
    <t>30848-X</t>
  </si>
  <si>
    <t>SIRLEI DOS SANTOS SOUZA RUFATTO</t>
  </si>
  <si>
    <t>EUNICE DOS SANTOS, PROFA.</t>
  </si>
  <si>
    <t>EMEI - CONJ. RESIDENCIAL ELISIO TEIXEIRA LEITE</t>
  </si>
  <si>
    <t>EMEI ELISIO TEIXEIRA LEITE, CONJ. RESID.</t>
  </si>
  <si>
    <t>RUA EGÍDIO FELINI</t>
  </si>
  <si>
    <t>30702-5</t>
  </si>
  <si>
    <t>YUKIKO AKAMA</t>
  </si>
  <si>
    <t>emeicratleite@pref.sp.gov.br</t>
  </si>
  <si>
    <t>CONJ. RESIDENCIAL ELISIO TEIXEIRA LEITE</t>
  </si>
  <si>
    <t>EMEI - FERNANDO DE AZEVEDO</t>
  </si>
  <si>
    <t>EMEI FERNANDO DE AZEVEDO</t>
  </si>
  <si>
    <t>RUA BARRA DA FORQUILHA</t>
  </si>
  <si>
    <t>JARDIMPANAMERICANO</t>
  </si>
  <si>
    <t>31117-0</t>
  </si>
  <si>
    <t>ANA PAULA MORENO</t>
  </si>
  <si>
    <t>ana.paula.moreno@itelefonica</t>
  </si>
  <si>
    <t xml:space="preserve">CLEBISON FARIAS DE FIGUEIREDO </t>
  </si>
  <si>
    <t>FERNANDO DE AZEVEDO</t>
  </si>
  <si>
    <t>EMEI - OLIVEIRA LIMA</t>
  </si>
  <si>
    <t>EMEI OLIVEIRA LIMA</t>
  </si>
  <si>
    <t>RUA ANTONIO MAIA</t>
  </si>
  <si>
    <t>113054-4</t>
  </si>
  <si>
    <t xml:space="preserve">LUCIANA APARECIDA RAIMUNDO PEREIRA </t>
  </si>
  <si>
    <t>sam.meconi@uol.com.br</t>
  </si>
  <si>
    <t>OLIVEIRA LIMA</t>
  </si>
  <si>
    <t>EMEI - PEROLA ELLIS BYINGTON</t>
  </si>
  <si>
    <t>EMEI PEROLA ELLIS BYINGTON</t>
  </si>
  <si>
    <t>RUA MAJOR ALFREDO ROMÃO</t>
  </si>
  <si>
    <t>VILA CLARICE</t>
  </si>
  <si>
    <t>AV MUTINGA</t>
  </si>
  <si>
    <t>15644-2</t>
  </si>
  <si>
    <t>mfmantunes@hotmail.com</t>
  </si>
  <si>
    <t xml:space="preserve">SILVANA DOS SANTOS </t>
  </si>
  <si>
    <t>PEROLA ELLIS BYINGTON</t>
  </si>
  <si>
    <t>EMEI - AFONSO SARDINHA</t>
  </si>
  <si>
    <t>EMEI AFONSO SARDINHA</t>
  </si>
  <si>
    <t>AVENIDA MUTINGA</t>
  </si>
  <si>
    <t>AV.MUTINGA</t>
  </si>
  <si>
    <t>15677-9</t>
  </si>
  <si>
    <t>emeiasardinha@pref.sp.gov.br</t>
  </si>
  <si>
    <t>AFONSO SARDINHA</t>
  </si>
  <si>
    <t>EMEI - PAULO VI</t>
  </si>
  <si>
    <t>EMEI PAULO VI</t>
  </si>
  <si>
    <t>RUA CARLO PERINELLO</t>
  </si>
  <si>
    <t>VILA MANGALOT</t>
  </si>
  <si>
    <t>63381-X</t>
  </si>
  <si>
    <t>JANE GARCIA</t>
  </si>
  <si>
    <t>janegaguiar@yahoo.com</t>
  </si>
  <si>
    <t>PAULO VI</t>
  </si>
  <si>
    <t>EMEI - ANTONIO RAPOSO TAVARES</t>
  </si>
  <si>
    <t>EMEI ANTONIO RAPOSO TAVARES</t>
  </si>
  <si>
    <t>VILA PIAUÍ</t>
  </si>
  <si>
    <t>21921-5</t>
  </si>
  <si>
    <t xml:space="preserve">CAROLINA BUGALLO CAVALCANTE </t>
  </si>
  <si>
    <t>emeiartavares@pref.sp.gov.</t>
  </si>
  <si>
    <t>ANTONIO RAPOSO TAVARES</t>
  </si>
  <si>
    <t>EMEI - PEDRO DE TOLEDO</t>
  </si>
  <si>
    <t>EMEI PEDRO DE TOLEDO</t>
  </si>
  <si>
    <t>RUA PAUVA</t>
  </si>
  <si>
    <t>22041-8</t>
  </si>
  <si>
    <t xml:space="preserve">ANDRE LUIZ BAFUME </t>
  </si>
  <si>
    <t>emeiptoledo@pref.sp.gov.br</t>
  </si>
  <si>
    <t>PEDRO DE TOLEDO</t>
  </si>
  <si>
    <t>EMEI - CARMEN DA SILVA</t>
  </si>
  <si>
    <t>EMEI CARMEN DA SILVA</t>
  </si>
  <si>
    <t>RUA JULIO DE OLIVEIRA</t>
  </si>
  <si>
    <t>113150-8</t>
  </si>
  <si>
    <t xml:space="preserve">MILENA DE ANDRADE MATIAS SANTOS </t>
  </si>
  <si>
    <t>emeicsilva@prefeitura.com.br</t>
  </si>
  <si>
    <t>CARMEN DA SILVA</t>
  </si>
  <si>
    <t>EMEI - MANUEL BANDEIRA</t>
  </si>
  <si>
    <t>EMEI MANUEL BANDEIRA</t>
  </si>
  <si>
    <t xml:space="preserve">RUA ANTONIO GENELLÍ </t>
  </si>
  <si>
    <t>JARDIM MONTE ALEGRE</t>
  </si>
  <si>
    <t>37586-1</t>
  </si>
  <si>
    <t>MANUEL BANDEIRA</t>
  </si>
  <si>
    <t>EMEI - 7 DE SETEMBRO</t>
  </si>
  <si>
    <t>EMEI 7 DE SETEMBRO</t>
  </si>
  <si>
    <t>RUA BALTAZAR ABADAL</t>
  </si>
  <si>
    <t>VILA SANTISTA</t>
  </si>
  <si>
    <t>37808-9</t>
  </si>
  <si>
    <t>7 DE SETEMBRO</t>
  </si>
  <si>
    <t>EMEI - JOSE BONIFACIO DE ANDRADA E SILVA</t>
  </si>
  <si>
    <t>EMEI JOSE BONIFACIO DE ANDRADA E SILVA</t>
  </si>
  <si>
    <t>emeijbsilva@prefeitura.sp.gov.br</t>
  </si>
  <si>
    <t>RUA DR. CESAR</t>
  </si>
  <si>
    <t>31.816-7</t>
  </si>
  <si>
    <t>ANDREA ALVES FRANÇA MORAIS</t>
  </si>
  <si>
    <t>JOSE BONIFACIO DE ANDRADA E SILVA</t>
  </si>
  <si>
    <t>EMEI - JOSE AUGUSTO CESAR, DR.</t>
  </si>
  <si>
    <t>EMEI DR JOSE AUGUSTO CESAR</t>
  </si>
  <si>
    <t>emeiacesar@prefeitura.sp.gov.br</t>
  </si>
  <si>
    <t>P. JOSÉ A. CESAR</t>
  </si>
  <si>
    <t>3076-7</t>
  </si>
  <si>
    <t>CONS.MOREIRA BARROS</t>
  </si>
  <si>
    <t>18.902-2</t>
  </si>
  <si>
    <t>KARINA RODRIGUES DE MATTOS</t>
  </si>
  <si>
    <t>KATIA ELISIA BAPTISTA DIAS</t>
  </si>
  <si>
    <t>JOSE AUGUSTO CESAR, DR.</t>
  </si>
  <si>
    <t>EMEI - GINA DE MARTINO, DRA.</t>
  </si>
  <si>
    <t>EMEI DRA GINA DE MARTINO</t>
  </si>
  <si>
    <t>emeigmartino@prefeitura.sp.gov.br</t>
  </si>
  <si>
    <t>PRAÇA DA JOANA</t>
  </si>
  <si>
    <t>31.790-X</t>
  </si>
  <si>
    <t>ALZIRA DE SOUZA BAPTISTA AGUIAR</t>
  </si>
  <si>
    <t>IZILDA GALERA DO NASCIMENTO</t>
  </si>
  <si>
    <t>GINA DE MARTINO, DRA.</t>
  </si>
  <si>
    <t>EMEI - ENIO CORREA, PROF.</t>
  </si>
  <si>
    <t>EMEI PROF ENIO CORREA</t>
  </si>
  <si>
    <t>AVENIDA BASILÉIA</t>
  </si>
  <si>
    <t>4353-2</t>
  </si>
  <si>
    <t>VOL.DA PÁTRIA</t>
  </si>
  <si>
    <t>50.234-0</t>
  </si>
  <si>
    <t>ANA CRISTINA AMARAL DOS SANTOS</t>
  </si>
  <si>
    <t>cestevesalves@uol.com.br</t>
  </si>
  <si>
    <t>ENIO CORREA, PROF.</t>
  </si>
  <si>
    <t>EMEI - EUDOXIA DE BARROS, PROFA.</t>
  </si>
  <si>
    <t>EMEI PROF EUDOXIA DE BARROS</t>
  </si>
  <si>
    <t>emeiebarros@prefeitura.sp.gov.br</t>
  </si>
  <si>
    <t>RUA SONIA MARGY</t>
  </si>
  <si>
    <t>JARDIM TREMEMBÉ</t>
  </si>
  <si>
    <t>31.755-1</t>
  </si>
  <si>
    <t>HONORIA DA SILVA COSTA</t>
  </si>
  <si>
    <t>CARMEM FUTNEMA DA SILVA</t>
  </si>
  <si>
    <t>EUDOXIA DE BARROS, PROFA.</t>
  </si>
  <si>
    <t>EMEI - ARTHUR ETZEL</t>
  </si>
  <si>
    <t>EMEI ARTHUR ETZEL</t>
  </si>
  <si>
    <t>emeiaetzel@prefeitura.sp.gov.br</t>
  </si>
  <si>
    <t>PQ DOMINGOS LUIZ</t>
  </si>
  <si>
    <t>1550-4</t>
  </si>
  <si>
    <t>18.010-6</t>
  </si>
  <si>
    <t>CRISTIANE KELLY KAWAGUCHI</t>
  </si>
  <si>
    <t>ARTHUR ETZEL</t>
  </si>
  <si>
    <t>EMEF - PAULO NOGUEIRA FILHO</t>
  </si>
  <si>
    <t>EMEF PAULO NOGUEIRA FILHO</t>
  </si>
  <si>
    <t>RUA BRASELISA ALVES DE CARVALHO</t>
  </si>
  <si>
    <t>VILA BARUEL</t>
  </si>
  <si>
    <t>19263-5</t>
  </si>
  <si>
    <t>PAULO NOGUEIRA FILHO</t>
  </si>
  <si>
    <t>EMEBS - HELEN KELLER</t>
  </si>
  <si>
    <t>EMEBS HELEN KELLER</t>
  </si>
  <si>
    <t>RUA PEDRA AZUL</t>
  </si>
  <si>
    <t>ACLIMAÇÃO</t>
  </si>
  <si>
    <t>3023-6</t>
  </si>
  <si>
    <t>Lins Vasconcelos</t>
  </si>
  <si>
    <t>16.666-9</t>
  </si>
  <si>
    <t>mrcsmdrs@gmail.com</t>
  </si>
  <si>
    <t>Neivaldo Augusto Zovico</t>
  </si>
  <si>
    <t>HELEN KELLER</t>
  </si>
  <si>
    <t>EMEI - FEIJO, REG.</t>
  </si>
  <si>
    <t>EMEI REGENTE FEIJÓ</t>
  </si>
  <si>
    <t>emeifeijo@prefeitura.sp.gov.br</t>
  </si>
  <si>
    <t>RUA LACERDA FRANCO, DEP</t>
  </si>
  <si>
    <t>CAMBUCI</t>
  </si>
  <si>
    <t>0300-X</t>
  </si>
  <si>
    <t>Praça da Arvore</t>
  </si>
  <si>
    <t>67136-3</t>
  </si>
  <si>
    <t>FEIJO, REG.</t>
  </si>
  <si>
    <t>EMEI - ALBERTO DE OLIVEIRA</t>
  </si>
  <si>
    <t>EMEI ALBERTO DE OLIVEIRA</t>
  </si>
  <si>
    <t>emeialbertooliveira@prefeitura.sp.gov.br</t>
  </si>
  <si>
    <t>PRAÇA  DONATELLO</t>
  </si>
  <si>
    <t>0635-1</t>
  </si>
  <si>
    <t>Cambuci</t>
  </si>
  <si>
    <t>18.710-0</t>
  </si>
  <si>
    <t>ALBERTO DE OLIVEIRA</t>
  </si>
  <si>
    <t>EMEI - ANGELO MARTINO</t>
  </si>
  <si>
    <t>EMEI ANGELO MARTINO</t>
  </si>
  <si>
    <t>RUA HUMAITÁ</t>
  </si>
  <si>
    <t>2809-6</t>
  </si>
  <si>
    <t>Av.Brig.Luis Antonio</t>
  </si>
  <si>
    <t>23.654-3</t>
  </si>
  <si>
    <t>jailton@gmail.com</t>
  </si>
  <si>
    <t>Norberto de Macedo Cangirana</t>
  </si>
  <si>
    <t>ANGELO MARTINO</t>
  </si>
  <si>
    <t>EMEI - PATRICIA GALVAO</t>
  </si>
  <si>
    <t>EMEI PATRICIA GALVÃO</t>
  </si>
  <si>
    <t>emeipgalvao@prefeitura.sp.gov.br</t>
  </si>
  <si>
    <t>RUA JOÃO GUIMARÃES ROSA</t>
  </si>
  <si>
    <t>CONSOLAÇÃO</t>
  </si>
  <si>
    <t>1202-5</t>
  </si>
  <si>
    <t>07 de abril</t>
  </si>
  <si>
    <t>54.907-X</t>
  </si>
  <si>
    <t>Marco Antonio Ferreira</t>
  </si>
  <si>
    <t>PATRICIA GALVAO</t>
  </si>
  <si>
    <t>EMEI - GABRIEL PRESTES</t>
  </si>
  <si>
    <t>EMEI GABRIEL PRESTES</t>
  </si>
  <si>
    <t>emeigprestes@prefeitura.sp.gov.br</t>
  </si>
  <si>
    <t>RUA DA CONSOLAÇÃO</t>
  </si>
  <si>
    <t>Av.Angelica</t>
  </si>
  <si>
    <t>31.476-5</t>
  </si>
  <si>
    <t>GABRIEL PRESTES</t>
  </si>
  <si>
    <t>EMEI - ARMANDO DE ARRUDA PEREIRA</t>
  </si>
  <si>
    <t>EMEI ARMANDO DE ARRUDA PEREIRA</t>
  </si>
  <si>
    <t>PRAÇA DA REPÚBLICA</t>
  </si>
  <si>
    <t>VILA BUARQUE</t>
  </si>
  <si>
    <t>Santa Efigênia</t>
  </si>
  <si>
    <t>388.001-X</t>
  </si>
  <si>
    <t>emeiaapereira@prefeitura,sp.gov.br</t>
  </si>
  <si>
    <t>ARMANDO DE ARRUDA PEREIRA</t>
  </si>
  <si>
    <t>EMEI - JOAO THEODORO</t>
  </si>
  <si>
    <t>EMEI JOÃO THEODORO</t>
  </si>
  <si>
    <t>emeijtheodoro@prefeitura.sp.gov.br</t>
  </si>
  <si>
    <t>RUA RIBEIRO DE LIMA</t>
  </si>
  <si>
    <t>BOM RETIRO</t>
  </si>
  <si>
    <t>0018-3</t>
  </si>
  <si>
    <t>São Paulo</t>
  </si>
  <si>
    <t>84.635-X</t>
  </si>
  <si>
    <t>Eli Camargo Silva</t>
  </si>
  <si>
    <t>JOAO THEODORO</t>
  </si>
  <si>
    <t>EMEI - ALCEU MAYNARD DE ARAUJO, PROF.</t>
  </si>
  <si>
    <t>EMEI PROFESSOR ALCEU MAYNARD DE ARAUJO</t>
  </si>
  <si>
    <t>emeiamaraujo@prefeitura.sp.gov.br</t>
  </si>
  <si>
    <t>RUA NEVES CARVALHO</t>
  </si>
  <si>
    <t>780-A</t>
  </si>
  <si>
    <t>Rua Anhaia</t>
  </si>
  <si>
    <t>351.157-1</t>
  </si>
  <si>
    <t>ALCEU MAYNARD DE ARAUJO, PROF.</t>
  </si>
  <si>
    <t>EMEI - CASPER LIBERO</t>
  </si>
  <si>
    <t>EMEI CASPER LIBERO</t>
  </si>
  <si>
    <t>RUA COM. NESTOR PEREIRA</t>
  </si>
  <si>
    <t>CANINDÉ</t>
  </si>
  <si>
    <t>25.409-6</t>
  </si>
  <si>
    <t>STEFANIE FARO KAPERAVICZUS TAMASSIA SANTOS</t>
  </si>
  <si>
    <t>CASPER LIBERO</t>
  </si>
  <si>
    <t>EMEI - DELFINO AZEVEDO</t>
  </si>
  <si>
    <t>EMEI DELFINO AZEVEDO</t>
  </si>
  <si>
    <t>emeidazevedo@prefeitura.sp.gov.br</t>
  </si>
  <si>
    <t>PRAÇA  PRIMEIRO DE OUTUBRO</t>
  </si>
  <si>
    <t>3548-3</t>
  </si>
  <si>
    <t>Aclimação</t>
  </si>
  <si>
    <t>19.398-4</t>
  </si>
  <si>
    <t>DELFINO AZEVEDO</t>
  </si>
  <si>
    <t>EMEI - MILTON IMPROTA, PROF.</t>
  </si>
  <si>
    <t>EMEI PROFESSOR MILTON IMPROTA</t>
  </si>
  <si>
    <t>PRAÇA PINHEIRO DA CUNHA</t>
  </si>
  <si>
    <t>4081-9</t>
  </si>
  <si>
    <t>Av. Nazare</t>
  </si>
  <si>
    <t>MILTON IMPROTA, PROF.</t>
  </si>
  <si>
    <t>EMEI - MANUEL SOARES NEIVA, CEL.</t>
  </si>
  <si>
    <t>EMEI CEL. MANUEL SOARES NEIVA</t>
  </si>
  <si>
    <t>PRAÇA COSMOPOLITA</t>
  </si>
  <si>
    <t>16.548-4</t>
  </si>
  <si>
    <t>emeimsneiva.@hotmail.com</t>
  </si>
  <si>
    <t>Maria Madalena Silva Mesquita</t>
  </si>
  <si>
    <t>MANUEL SOARES NEIVA, CEL.</t>
  </si>
  <si>
    <t>EMEI - THEREZINHA BATISTA PETTAN, PROFA.</t>
  </si>
  <si>
    <t>EMEI PROFESSORA THEREZINHA BATISTA PETAN</t>
  </si>
  <si>
    <t>emeitbpettan@prefeitura.sp.gov.br</t>
  </si>
  <si>
    <t>RUA VIGARIO ALBERNAZ</t>
  </si>
  <si>
    <t>VILA GUMERCINDO</t>
  </si>
  <si>
    <t>21.593-7</t>
  </si>
  <si>
    <t>THEREZINHA BATISTA PETTAN, PROFA.</t>
  </si>
  <si>
    <t>EMEI - MONTESE</t>
  </si>
  <si>
    <t>EMEI MONTESE</t>
  </si>
  <si>
    <t>emeimontese@prefeitura.sp.gov.br</t>
  </si>
  <si>
    <t>RUA DOMINGOS DE ROGATIS</t>
  </si>
  <si>
    <t>21.502-3</t>
  </si>
  <si>
    <t>MONTESE</t>
  </si>
  <si>
    <t>EMEI - MARIO MARQUES E SERRA, PE.</t>
  </si>
  <si>
    <t>EMEI PADRE MARIO MARQUES E SERRA</t>
  </si>
  <si>
    <t>emeimmserra@prefeitura.sp.gov.br</t>
  </si>
  <si>
    <t>RUA FRANCISCO PESTANA</t>
  </si>
  <si>
    <t>JARDIM CLIMAX</t>
  </si>
  <si>
    <t>21.551-1</t>
  </si>
  <si>
    <t>MARIO MARQUES E SERRA, PE.</t>
  </si>
  <si>
    <t>EMEI CEU - ANTONIO FRANCISCO LISBOA</t>
  </si>
  <si>
    <t>EMEI CEU ANTONIO FRANCISCO LISBOA</t>
  </si>
  <si>
    <t>emeiaflisboa@prefeitura.sp.gov.br</t>
  </si>
  <si>
    <t>LARGO SÃO JOÃO CLIMACO</t>
  </si>
  <si>
    <t>19.323-2</t>
  </si>
  <si>
    <t>ANTONIO FRANCISCO LISBOA</t>
  </si>
  <si>
    <t>EMEI CEU - BENNO HUBERT STOLLENWERK, PE.</t>
  </si>
  <si>
    <t>EMEI PE BENNO HUBERT STOLLENWERK</t>
  </si>
  <si>
    <t>emeipadrebenno@prefeitura.sp.gov.br</t>
  </si>
  <si>
    <t>16.045-8</t>
  </si>
  <si>
    <t>BENNO HUBERT STOLLENWERK, PE.</t>
  </si>
  <si>
    <t>EMEI - BATISTA CEPELOS</t>
  </si>
  <si>
    <t>EMEI BATISTA CEPELOS</t>
  </si>
  <si>
    <t>emeibcepelos@prefeitura.sp.gov.br</t>
  </si>
  <si>
    <t>RUA BARÃO DO RIO DA PRATA</t>
  </si>
  <si>
    <t>CID. N. HELIÓPO</t>
  </si>
  <si>
    <t>22.374-3</t>
  </si>
  <si>
    <t>Ana Maria Esquiezaro Pires</t>
  </si>
  <si>
    <t>BATISTA CEPELOS</t>
  </si>
  <si>
    <t>EMEI - ISABEL, PRINC.</t>
  </si>
  <si>
    <t>EMEI PRINCESA ISABEL</t>
  </si>
  <si>
    <t>emeiprincisabel@prefeitura.sp.gov.br</t>
  </si>
  <si>
    <t>RUA AMADIS</t>
  </si>
  <si>
    <t>VILA INDEPENDÊNCIA</t>
  </si>
  <si>
    <t>70.177-7</t>
  </si>
  <si>
    <t>ISABEL, PRINC.</t>
  </si>
  <si>
    <t>EMEI - PEDRO I, D.</t>
  </si>
  <si>
    <t>EMEI DOM PEDRO I</t>
  </si>
  <si>
    <t>PRAÇA NAMI JAFET</t>
  </si>
  <si>
    <t>35.212-8</t>
  </si>
  <si>
    <t>rkduarte@prefeitura..sp.gov.br</t>
  </si>
  <si>
    <t>PEDRO I, D.</t>
  </si>
  <si>
    <t>EMEI - TAMANDARE, ALM.</t>
  </si>
  <si>
    <t>EMEI ALMIRANTE TAMANDARÉ</t>
  </si>
  <si>
    <t>LARGO SÃO RAFAEL</t>
  </si>
  <si>
    <t>3327-8</t>
  </si>
  <si>
    <t>JUVENTUS</t>
  </si>
  <si>
    <t>22.764-1</t>
  </si>
  <si>
    <t>LENI TERUMI YAMADA SARACENI</t>
  </si>
  <si>
    <t>TAMANDARE, ALM.</t>
  </si>
  <si>
    <t>EMEI - MARCILIO DIAS</t>
  </si>
  <si>
    <t xml:space="preserve">EMEI MARCILIO DIAS </t>
  </si>
  <si>
    <t>RUA JAIBARAS</t>
  </si>
  <si>
    <t>22.701-3</t>
  </si>
  <si>
    <t>MARCILIO DIAS</t>
  </si>
  <si>
    <t>EMEI - GUILHERME RUDGE</t>
  </si>
  <si>
    <t>EMEI GUILHERME RUDGE</t>
  </si>
  <si>
    <t>PRAÇA MAJOR GUILHERME RUDGE</t>
  </si>
  <si>
    <t>18.222-2</t>
  </si>
  <si>
    <t>GUILHERME RUDGE</t>
  </si>
  <si>
    <t>EMEI - ALUISIO DE AZEVEDO</t>
  </si>
  <si>
    <t>EMEI ALUISIO DE AZEVEDO</t>
  </si>
  <si>
    <t>RUA FAROL PAULISTANO</t>
  </si>
  <si>
    <t>JARDIM ITÁLIA</t>
  </si>
  <si>
    <t>27.712-6</t>
  </si>
  <si>
    <t>ARIADNE VIEIRA GONÇALVES</t>
  </si>
  <si>
    <t>ALUISIO DE AZEVEDO</t>
  </si>
  <si>
    <t>EMEI - CORNELIO PIRES</t>
  </si>
  <si>
    <t>EMEI CORNÉLIO PIRES</t>
  </si>
  <si>
    <t>PÇA MANOEL DE MESQUITA</t>
  </si>
  <si>
    <t>VILA INVERNADA</t>
  </si>
  <si>
    <t>AGUA RASA</t>
  </si>
  <si>
    <t>27.952-8</t>
  </si>
  <si>
    <t>SANDRA APARECIDA SARAIVA</t>
  </si>
  <si>
    <t>CORNELIO PIRES</t>
  </si>
  <si>
    <t>EMEI - MARIO ALVES DE CARVALHO, DR.</t>
  </si>
  <si>
    <t>EMEI DR. MÁRIO ALVES DE CARVALHO</t>
  </si>
  <si>
    <t>PARQUE DOM PEDRO I</t>
  </si>
  <si>
    <t>VILA DIVA</t>
  </si>
  <si>
    <t>25.418-5</t>
  </si>
  <si>
    <t>WANDERLEY ANDRE SANTAELA</t>
  </si>
  <si>
    <t>MARIO ALVES DE CARVALHO, DR.</t>
  </si>
  <si>
    <t>EMEI - FRANCISCO ROQUETTI</t>
  </si>
  <si>
    <t>EMEI FRANCISCO ROQUETTI</t>
  </si>
  <si>
    <t>emeifroquetti@prefeitura.sp.gov.br</t>
  </si>
  <si>
    <t>PRAÇA  LEÃO X</t>
  </si>
  <si>
    <t>21509-0</t>
  </si>
  <si>
    <t>PRISCILA MADUREIRA MANCINELLI</t>
  </si>
  <si>
    <t>FRANCISCO ROQUETTI</t>
  </si>
  <si>
    <t>EMEI - JOAO ORTALE, PROF.</t>
  </si>
  <si>
    <t>EMEI PROF JOÃO ORTALE</t>
  </si>
  <si>
    <t>emeiortale@prefeitura.sp.gov.br</t>
  </si>
  <si>
    <t>PRAÇA  DIOGO DE AGUIRRE</t>
  </si>
  <si>
    <t>21568-6</t>
  </si>
  <si>
    <t>ROSEMARY MEDINA CALVI</t>
  </si>
  <si>
    <t>JOAO ORTALE, PROF.</t>
  </si>
  <si>
    <t>EMEI - ALBERTO MESQUITA DE CAMARGO, PROF.</t>
  </si>
  <si>
    <t>EMEI PROF ALBERTO M. DE C.</t>
  </si>
  <si>
    <t>emeiamcamargo@prefeitura.sp.gov.br</t>
  </si>
  <si>
    <t>PRAÇA BARÃO HOMEM DE MELO</t>
  </si>
  <si>
    <t>VILA STA ISABEL</t>
  </si>
  <si>
    <t>1192-4</t>
  </si>
  <si>
    <t xml:space="preserve">ÁGUA RASA URB </t>
  </si>
  <si>
    <t>35663-8</t>
  </si>
  <si>
    <t>DEISE CUTOLO DE ALMEIDA NICOLETTI</t>
  </si>
  <si>
    <t>ALBERTO MESQUITA DE CAMARGO, PROF.</t>
  </si>
  <si>
    <t>EMEI - NEYL GOMEZ MARTIN, PROFA.</t>
  </si>
  <si>
    <t>EMEI PROF NEYL G. MARTIN</t>
  </si>
  <si>
    <t>RUA MIGUEL BASTOS SOARES</t>
  </si>
  <si>
    <t>JARDIM IVA</t>
  </si>
  <si>
    <t>7630-9</t>
  </si>
  <si>
    <t>EDUARDO PAIVA OLIVEIRA</t>
  </si>
  <si>
    <t>danizinha_dani@hotmail.com</t>
  </si>
  <si>
    <t>NEYL GOMEZ MARTIN, PROFA.</t>
  </si>
  <si>
    <t>EMEI - JOSE VICENTE DA CUNHA, PROF.</t>
  </si>
  <si>
    <t xml:space="preserve">EMEI PROF JOSE VICENTE DA CUNHA </t>
  </si>
  <si>
    <t>RUA SÃO JOÃO DO PARAISO</t>
  </si>
  <si>
    <t>AV. INCONFIDÊNCIA</t>
  </si>
  <si>
    <t>7561-2</t>
  </si>
  <si>
    <t>ROSANA NUNES BATISTA RUIZ</t>
  </si>
  <si>
    <t>ro.ruiz22@uol.com.br</t>
  </si>
  <si>
    <t>DANIELA DE SANTANA LOBATO MORAIS</t>
  </si>
  <si>
    <t>JOSE VICENTE DA CUNHA, PROF.</t>
  </si>
  <si>
    <t>EMEI - OLANDYA PERES RIBEIRO, PROFA.</t>
  </si>
  <si>
    <t>EMEI OLANDYA PERES RIBEIRO</t>
  </si>
  <si>
    <t>emeiopribeiro@prefeitura.sp.gov.br</t>
  </si>
  <si>
    <t>RUA DR. MARIANO C. DE MOURA</t>
  </si>
  <si>
    <t>FÁTIMA AP DE JESUS TEIXEIRA RIZZO</t>
  </si>
  <si>
    <t>OLANDYA PERES RIBEIRO, PROFA.</t>
  </si>
  <si>
    <t>EMEI - SUZANA EVANGELINA FELIPPE, PROFA.</t>
  </si>
  <si>
    <t>EMEI PROF SUZANA E. FELIPPE</t>
  </si>
  <si>
    <t>emeisefelippe@prefeitura.sp.gov.br</t>
  </si>
  <si>
    <t>PRAÇA  HAROLDO DALTRO</t>
  </si>
  <si>
    <t>VILA NOVA MANCHESTER</t>
  </si>
  <si>
    <t>128647-1</t>
  </si>
  <si>
    <t>ROSANA LO DUCA</t>
  </si>
  <si>
    <t>SUZANA EVANGELINA FELIPPE, PROFA.</t>
  </si>
  <si>
    <t>EMEI - ELDY POLI BIFONE, PROFA.</t>
  </si>
  <si>
    <t>EMEI PROFESSORA ELDY POLI BIFONE</t>
  </si>
  <si>
    <t>18.295-8</t>
  </si>
  <si>
    <t>VIVIANE ARRUDA DO CARMO</t>
  </si>
  <si>
    <t>ELDY POLI BIFONE, PROFA.</t>
  </si>
  <si>
    <t>EMEI - ANCHIETA, PE.</t>
  </si>
  <si>
    <t>EMEI PADRE ANCHIETA</t>
  </si>
  <si>
    <t>RUA MARIA CANDIDA</t>
  </si>
  <si>
    <t>31.805-1</t>
  </si>
  <si>
    <t>MORGANA DOS SANTOS</t>
  </si>
  <si>
    <t>rmelisce@hotmail.com</t>
  </si>
  <si>
    <t>FÁTIMA APARECIDA BOTTA</t>
  </si>
  <si>
    <t>ANCHIETA, PE.</t>
  </si>
  <si>
    <t>EMEI - LOURENCO FILHO, PROF.</t>
  </si>
  <si>
    <t>EMEI PROFESSOR LOURENÇO FILHO</t>
  </si>
  <si>
    <t>RUA LUIS FELIPE DE ORLEANS</t>
  </si>
  <si>
    <t>VILA MARIA BAIXA</t>
  </si>
  <si>
    <t>31.721-7</t>
  </si>
  <si>
    <t>MARCIA VALQUÍRIA FREIRE DE MORAES</t>
  </si>
  <si>
    <t>pauladiasmoreira@uol.com.br</t>
  </si>
  <si>
    <t>LOURENCO FILHO, PROF.</t>
  </si>
  <si>
    <t>EMEI - ANA NERI</t>
  </si>
  <si>
    <t>EMEI ANA NERI</t>
  </si>
  <si>
    <t>emeiananeri@prefeitura.sp.gov.br</t>
  </si>
  <si>
    <t>RUA SD ALBINO CESAR</t>
  </si>
  <si>
    <t>3276-X</t>
  </si>
  <si>
    <t>PQ.NOVO MUNDO</t>
  </si>
  <si>
    <t>20.203-7</t>
  </si>
  <si>
    <t>MARIANA MENDONÇA CICARELLI</t>
  </si>
  <si>
    <t>WANDA MARIANO SIMÕES</t>
  </si>
  <si>
    <t>ANA NERI</t>
  </si>
  <si>
    <t>EMEI - YUKIO OZAKI, PROF.</t>
  </si>
  <si>
    <t>EMEI PROFESSOR YUKIO OZAKI</t>
  </si>
  <si>
    <t>emeiyozaki@prefeitura.sp.gov.br</t>
  </si>
  <si>
    <t>PRAÇA YEDO</t>
  </si>
  <si>
    <t>31.783-7</t>
  </si>
  <si>
    <t>ALANA TOSTA MARTONI</t>
  </si>
  <si>
    <t>MIRYAN MIYAKO NAKAMURA TAKESHITA</t>
  </si>
  <si>
    <t>YUKIO OZAKI, PROF.</t>
  </si>
  <si>
    <t>EMEI - CARLOS GOMES</t>
  </si>
  <si>
    <t>EMEI CARLOS GOMES</t>
  </si>
  <si>
    <t>P. PRES JANIO QUADROS</t>
  </si>
  <si>
    <t>31.724-1</t>
  </si>
  <si>
    <t>NAIR JUSTINA DE OLIVEIRA</t>
  </si>
  <si>
    <t>essimoes@prefeitura.sp.gov.br</t>
  </si>
  <si>
    <t>VANESSA DE OLIVEIRA MASSAVELLI</t>
  </si>
  <si>
    <t>CARLOS GOMES</t>
  </si>
  <si>
    <t>EMEI - EDUARDO CARLOS PEREIRA</t>
  </si>
  <si>
    <t>EMEI EDUARDO CARLOS PEREIRA</t>
  </si>
  <si>
    <t>RUA GAL MENDES</t>
  </si>
  <si>
    <t>31.817-5</t>
  </si>
  <si>
    <t>tiuska@zipmail.com.br</t>
  </si>
  <si>
    <t>EDUARDO CARLOS PEREIRA</t>
  </si>
  <si>
    <t>EMEI - MARIA ISABEL PACHECO DE ALMEIDA RIBEIRO</t>
  </si>
  <si>
    <t>EMEI PROFA MARIA ISABEL PACHECO DE A RIBEIRO</t>
  </si>
  <si>
    <t>emeimipribeiro@prefeitura.sp.gov.br</t>
  </si>
  <si>
    <t>RUA FRANCISCO FRANCO MACHADO</t>
  </si>
  <si>
    <t>VILA SABRINA</t>
  </si>
  <si>
    <t>3052-X</t>
  </si>
  <si>
    <t>16279-5</t>
  </si>
  <si>
    <t>ANA CAROLINA MORAIS MIGUEL</t>
  </si>
  <si>
    <t>LEILA DAS GRAÇAS RIBEIRO IMAMURA</t>
  </si>
  <si>
    <t>MARIA ISABEL PACHECO DE ALMEIDA RIBEIRO</t>
  </si>
  <si>
    <t>EMEI - CIDADE FERNAO DIAS</t>
  </si>
  <si>
    <t>EMEI CIDADE FERNÃO DIAS</t>
  </si>
  <si>
    <t>emeicfdias@prefeitura.sp.gov.br</t>
  </si>
  <si>
    <t>RUA DO BANDOLIM</t>
  </si>
  <si>
    <t>31.739-X</t>
  </si>
  <si>
    <t>THAIS SODRÉ MANZANO</t>
  </si>
  <si>
    <t>MARIA DAS GRAÇAS DIAS DA ROCHA</t>
  </si>
  <si>
    <t>CIDADE FERNAO DIAS</t>
  </si>
  <si>
    <t>EMEI - EDU CHAVES, AVIADOR</t>
  </si>
  <si>
    <t>EMEI AVIADOR EDU CHAVES</t>
  </si>
  <si>
    <t>emeiechaves@prefeitura.sp.gov.br</t>
  </si>
  <si>
    <t>AVENIDA EDU CHAVES</t>
  </si>
  <si>
    <t>PARQUE EDU CHAVES</t>
  </si>
  <si>
    <t>22.269-0</t>
  </si>
  <si>
    <t xml:space="preserve">VÂNIA AUGUSTO DE OLIVEIRA </t>
  </si>
  <si>
    <t>PRISCILLA CARLA ALBANO</t>
  </si>
  <si>
    <t>EDU CHAVES, AVIADOR</t>
  </si>
  <si>
    <t>EMEI - OTTILIA DE JESUS PIRES, PROFA.</t>
  </si>
  <si>
    <t>EMEI PROF OTTILIA DE JESUS PIRES</t>
  </si>
  <si>
    <t>RUA SÃO LUIZ GONZAGA</t>
  </si>
  <si>
    <t>120.850-0</t>
  </si>
  <si>
    <t>LUCIANE SARTORI MOYSÉS</t>
  </si>
  <si>
    <t>ivaneiencius@yahoo.com.br</t>
  </si>
  <si>
    <t>ARMANDO CERDEIRA GARRIDO</t>
  </si>
  <si>
    <t>OTTILIA DE JESUS PIRES, PROFA.</t>
  </si>
  <si>
    <t>EMEI - TAUFIK DAUD KURBAN</t>
  </si>
  <si>
    <t>EMEI PROF TAUFIK DAUD KURBAN</t>
  </si>
  <si>
    <t>RUA MANOEL GAYA</t>
  </si>
  <si>
    <t>VILA MAZZEI</t>
  </si>
  <si>
    <t>31.794-2</t>
  </si>
  <si>
    <t>NEIDE GOMES DA SILVA SOLA</t>
  </si>
  <si>
    <t>luizcamposoliveira@hotmail.com</t>
  </si>
  <si>
    <t>LUANA ARAKAKI RAMOS</t>
  </si>
  <si>
    <t>TAUFIK DAUD KURBAN</t>
  </si>
  <si>
    <t>EMEI - ITALO BETTARELLO, PROF.</t>
  </si>
  <si>
    <t>EMEI PROFESSOR ITALO BETTARELLO</t>
  </si>
  <si>
    <t>emeiibettarello@prefeitura.sp.gov.br</t>
  </si>
  <si>
    <t>AVENIDA JULIO BUONO</t>
  </si>
  <si>
    <t>JARDIM BRASIL</t>
  </si>
  <si>
    <t>31.802-7</t>
  </si>
  <si>
    <t>MARIA FERNANDA GONÇALVES DO VALE</t>
  </si>
  <si>
    <t>PRISCILA SOUZA MARTORELLO AZEVEDO</t>
  </si>
  <si>
    <t>ITALO BETTARELLO, PROF.</t>
  </si>
  <si>
    <t>EMEI - LAURA FUNFAS LE SUEUR, PROFA.</t>
  </si>
  <si>
    <t>EMEI PROF LAURA FUNFAS LE SUEUR</t>
  </si>
  <si>
    <t>emeilfsueur@prefeitura.sp.gov.br</t>
  </si>
  <si>
    <t>VILA EDE</t>
  </si>
  <si>
    <t>31.823-X</t>
  </si>
  <si>
    <t>ALESSANDRA DA MOTTA TOLEDO</t>
  </si>
  <si>
    <t>MARILIA CAROLINA DE SOUZA SANTOS PIRES</t>
  </si>
  <si>
    <t>LAURA FUNFAS LE SUEUR, PROFA.</t>
  </si>
  <si>
    <t>EMEI - FLAVIO IMPERIO</t>
  </si>
  <si>
    <t>EMEI FLAVIO IMPERIO</t>
  </si>
  <si>
    <t>RUA JOSE FIGLIOLINI</t>
  </si>
  <si>
    <t>VILA NILO</t>
  </si>
  <si>
    <t>31.784-5</t>
  </si>
  <si>
    <t>ritapierini@pop.com.br</t>
  </si>
  <si>
    <t>ELAINE PEREIRA DA SILVA</t>
  </si>
  <si>
    <t>FLAVIO IMPERIO</t>
  </si>
  <si>
    <t>EMEI - MACHADO DE ASSIS</t>
  </si>
  <si>
    <t>EMEI MACHADO DE ASSIS</t>
  </si>
  <si>
    <t>TENENTE AMÉRICO MORETTI</t>
  </si>
  <si>
    <t>30643-6</t>
  </si>
  <si>
    <t>ELENICE DAS NEVES</t>
  </si>
  <si>
    <t>MACHADO DE ASSIS</t>
  </si>
  <si>
    <t>EMEI - CASIMIRO DE ABREU</t>
  </si>
  <si>
    <t>EMEI CASIMIRO DE ABREU</t>
  </si>
  <si>
    <t>DAS ROLINHAS</t>
  </si>
  <si>
    <t>71.647-2</t>
  </si>
  <si>
    <t>IARA MARQUES BERNARDES</t>
  </si>
  <si>
    <t>CASIMIRO DE ABREU</t>
  </si>
  <si>
    <t>EMEI - LEONOR MENDES DE BARROS, DA.</t>
  </si>
  <si>
    <t>EMEI LEONOR MENDES  DE BARROS, DA</t>
  </si>
  <si>
    <t>JOSÉ LUZ</t>
  </si>
  <si>
    <t>73.305-9</t>
  </si>
  <si>
    <t>LEONOR MENDES DE BARROS, DA.</t>
  </si>
  <si>
    <t>EMEI - NEUSA MARIA ROSSI</t>
  </si>
  <si>
    <t>EMEI NEUSA MARIA ROSSI</t>
  </si>
  <si>
    <t>LUCRECIA MACIEL</t>
  </si>
  <si>
    <t>3572-6</t>
  </si>
  <si>
    <t>MIRANDOPOLIS</t>
  </si>
  <si>
    <t>4.469-5</t>
  </si>
  <si>
    <t>DANIELLA REGINA DOS SANTOS OTOSHI</t>
  </si>
  <si>
    <t>DIANA GOMES DE SOUSA</t>
  </si>
  <si>
    <t>NEUSA MARIA ROSSI</t>
  </si>
  <si>
    <t>EMEI - LAUDO FERREIRA DE CAMARGO</t>
  </si>
  <si>
    <t>EMEI LAUDO FERREIRA DE CAMARGO</t>
  </si>
  <si>
    <t>SARGENTO TOMAS DE MEDEIROS</t>
  </si>
  <si>
    <t>4224-2</t>
  </si>
  <si>
    <t>9.125-1</t>
  </si>
  <si>
    <t>MARCIA APARECIDA GARCIA NETTO DI RENZO</t>
  </si>
  <si>
    <t>FLAVIA SAUL DA COSTA TEIXEIRA RIOS</t>
  </si>
  <si>
    <t>LAUDO FERREIRA DE CAMARGO</t>
  </si>
  <si>
    <t>EMEI - LOURDES HEREDIA MELLO, PROFA.</t>
  </si>
  <si>
    <t>EMEI LOURDES HEREDIA MELLO, PROFA</t>
  </si>
  <si>
    <t>WHITAKER PENTEADO</t>
  </si>
  <si>
    <t>9.113-8</t>
  </si>
  <si>
    <t>LUZENÁRIO CRUZ</t>
  </si>
  <si>
    <t>MICHELLE COSTA DUARTE</t>
  </si>
  <si>
    <t>LOURDES HEREDIA MELLO, PROFA.</t>
  </si>
  <si>
    <t>EMEI - LUCY GARCIA SALGADO, PROFA.</t>
  </si>
  <si>
    <t>EMEI PROFESSORA LUCY GARCIA SALGADO</t>
  </si>
  <si>
    <t>emeilgsalgado@prefeitura.sp.gov.br</t>
  </si>
  <si>
    <t>ALAMEDA DOS GUARAMOMIS</t>
  </si>
  <si>
    <t>AEROPORTO</t>
  </si>
  <si>
    <t>0722-6</t>
  </si>
  <si>
    <t>Moema</t>
  </si>
  <si>
    <t>32.292-X</t>
  </si>
  <si>
    <t>Mirna Suemi Ida Nakamae</t>
  </si>
  <si>
    <t>LUCY GARCIA SALGADO, PROFA.</t>
  </si>
  <si>
    <t>EMEI - IGNACIO HENRIQUE ROMEIRO, PROF.</t>
  </si>
  <si>
    <t>EMEI PROFESSOR IGNACIO HENRIQUE ROMEIRO</t>
  </si>
  <si>
    <t>ALAMEDA JAUAPERI</t>
  </si>
  <si>
    <t>MOEMA</t>
  </si>
  <si>
    <t>32.293-8</t>
  </si>
  <si>
    <t>IGNACIO HENRIQUE ROMEIRO, PROF.</t>
  </si>
  <si>
    <t>EMEI - ANITA COSTA, DA.</t>
  </si>
  <si>
    <t>EMEI DONA ANITA COSTA</t>
  </si>
  <si>
    <t>ALAMEDA DOS JURUPIS</t>
  </si>
  <si>
    <t>1744-2</t>
  </si>
  <si>
    <t>Av.Ibirapuera</t>
  </si>
  <si>
    <t>17.825-X</t>
  </si>
  <si>
    <t>ANITA COSTA, DA.</t>
  </si>
  <si>
    <t>EMEI - SAO PAULO</t>
  </si>
  <si>
    <t>EMEI SÃO PAULO</t>
  </si>
  <si>
    <t>RUA PEDRO DE TOLEDO</t>
  </si>
  <si>
    <t>32.304-7</t>
  </si>
  <si>
    <t>SAO PAULO</t>
  </si>
  <si>
    <t>EMEI - HEITOR VILLA LOBOS</t>
  </si>
  <si>
    <t>EMEI HEITOR VILLA LOBOS</t>
  </si>
  <si>
    <t>emeihvlobos@prefeitura.sp.gov.br</t>
  </si>
  <si>
    <t>RUA CURITIBA</t>
  </si>
  <si>
    <t>VILA MARIANA</t>
  </si>
  <si>
    <t>0646-7</t>
  </si>
  <si>
    <t>Ana Rosa</t>
  </si>
  <si>
    <t>30.011-X</t>
  </si>
  <si>
    <t>HEITOR VILLA LOBOS</t>
  </si>
  <si>
    <t>EMEI - ANA ROSA DE ARAUJO, DA.</t>
  </si>
  <si>
    <t>EMEI DONA  ANA ROSA DE ARAUJO</t>
  </si>
  <si>
    <t>RUA ALCEU WAMOSY</t>
  </si>
  <si>
    <t>29.964-2</t>
  </si>
  <si>
    <t>emeiarrujo@prefeitura.sp.gov.br</t>
  </si>
  <si>
    <t>ANA ROSA DE ARAUJO, DA.</t>
  </si>
  <si>
    <t>EMEI - OSWALDO CRUZ</t>
  </si>
  <si>
    <t>EMEI OSWALDO CRUZ</t>
  </si>
  <si>
    <t>RUA CARLOS GEROLOMO MONACO</t>
  </si>
  <si>
    <t>21.575-9</t>
  </si>
  <si>
    <t>shgomes@prefeitura.sp.gov.br</t>
  </si>
  <si>
    <t>OSWALDO CRUZ</t>
  </si>
  <si>
    <t>EMEI - PAULO ALVES, TTE.</t>
  </si>
  <si>
    <t>EMEI TENENTE PAULO ALVES</t>
  </si>
  <si>
    <t>RUA JOSE DE CAMARGO</t>
  </si>
  <si>
    <t>66.614-9</t>
  </si>
  <si>
    <t>Juliana Machado de Souza</t>
  </si>
  <si>
    <t>PAULO ALVES, TTE.</t>
  </si>
  <si>
    <t>EMEI - ALEXANDRE CORREIA, PROF.</t>
  </si>
  <si>
    <t>EMEI ALEXANDRE CORREIA, PROF.</t>
  </si>
  <si>
    <t>TITO PACHECO</t>
  </si>
  <si>
    <t>26.990-5</t>
  </si>
  <si>
    <t>FELLIPE AUGUSTO SIMPLICIO DOS SANTOS</t>
  </si>
  <si>
    <t>JULIANA MENDES DOMINGUES</t>
  </si>
  <si>
    <t>ALEXANDRE CORREIA, PROF.</t>
  </si>
  <si>
    <t>EMEI - QUINTA DAS PAINEIRAS</t>
  </si>
  <si>
    <t>EMEI QUINTA DAS PAINEIRAS</t>
  </si>
  <si>
    <t>PRAÇA MARIO ORTIZ</t>
  </si>
  <si>
    <t>4214-5</t>
  </si>
  <si>
    <t>Central Plaza Shopping</t>
  </si>
  <si>
    <t>10.366-7</t>
  </si>
  <si>
    <t>audrey.ponce@hotmail.com</t>
  </si>
  <si>
    <t>QUINTA DAS PAINEIRAS</t>
  </si>
  <si>
    <t>EMEI - AFONSO CELSO</t>
  </si>
  <si>
    <t>EMEI AFONSO CELSO</t>
  </si>
  <si>
    <t>emeiafcelso@prefeitura.sp.gov.br</t>
  </si>
  <si>
    <t>PRAÇA  BELCHIOR DE BORBA</t>
  </si>
  <si>
    <t>VILA ALPINA</t>
  </si>
  <si>
    <t>1206-8</t>
  </si>
  <si>
    <t>Vila alpina</t>
  </si>
  <si>
    <t>20.694-6</t>
  </si>
  <si>
    <t>AFONSO CELSO</t>
  </si>
  <si>
    <t>EMEI - ZENAIDE GRANDINI, PROFA.</t>
  </si>
  <si>
    <t>EMEI PROFESSORA ZENAIDE GRANDINI</t>
  </si>
  <si>
    <t>emeizgrandini@prefeitura.sp.gov.br</t>
  </si>
  <si>
    <t>RUA GRÃO MONGOL</t>
  </si>
  <si>
    <t>VILA CALIFORNIA</t>
  </si>
  <si>
    <t>10.363-2</t>
  </si>
  <si>
    <t>ZENAIDE GRANDINI, PROFA.</t>
  </si>
  <si>
    <t>EMEI - SEBASTIAO SANCHES MARTINES, PROF.</t>
  </si>
  <si>
    <t>EMEI PROFESSOR  SEBASTIÃO SANCHES MARTINES</t>
  </si>
  <si>
    <t>AVENIDA SÃO LUCAS</t>
  </si>
  <si>
    <t>Vila Alpina</t>
  </si>
  <si>
    <t>20.761-6</t>
  </si>
  <si>
    <t>rena_ta_dini@hotmail.com</t>
  </si>
  <si>
    <t>SEBASTIAO SANCHES MARTINES, PROF.</t>
  </si>
  <si>
    <t>EMEI - JOSE VERISSIMO</t>
  </si>
  <si>
    <t>EMEI JOSE VERISSIMO</t>
  </si>
  <si>
    <t>emeijverissimo@prefeitura.sp.gov.br</t>
  </si>
  <si>
    <t>RUA ANTONIO DE PAIVA AZEVEDO</t>
  </si>
  <si>
    <t>PQ. THOMAZ SARAIVA</t>
  </si>
  <si>
    <t>Vila Diva</t>
  </si>
  <si>
    <t>25.234-4</t>
  </si>
  <si>
    <t>JOSE VERISSIMO</t>
  </si>
  <si>
    <t>EMEI - BRENNO FERRAZ DO AMARAL</t>
  </si>
  <si>
    <t>EMEI BRENNO FERRAZ DO AMARAL</t>
  </si>
  <si>
    <t>RUA JACITARA TUPITI</t>
  </si>
  <si>
    <t>20.656-3</t>
  </si>
  <si>
    <t>maraujol@prefeitura.sp.gov.br</t>
  </si>
  <si>
    <t>BRENNO FERRAZ DO AMARAL</t>
  </si>
  <si>
    <t>EMEI - ORIGENES LESSA</t>
  </si>
  <si>
    <t xml:space="preserve">EMEI ORIGENES LESSA </t>
  </si>
  <si>
    <t>AVENIDA EGIDIO MARTINS</t>
  </si>
  <si>
    <t>JARDIM PRIMAVERA</t>
  </si>
  <si>
    <t>20115-4</t>
  </si>
  <si>
    <t>LIDIANE PEREIRA</t>
  </si>
  <si>
    <t>ORIGENES LESSA</t>
  </si>
  <si>
    <t>EMEI - BENJAMIN CONSTANT</t>
  </si>
  <si>
    <t xml:space="preserve">EMEI BENJAMIN CONSTANT </t>
  </si>
  <si>
    <t>ESTRADA DA CASA GRANDE</t>
  </si>
  <si>
    <t>20712-8</t>
  </si>
  <si>
    <t>RITA DE CÁSSIA CUSI RODRIGUES</t>
  </si>
  <si>
    <t>LUCIANA APARECIDA KETCHKECH YOKOYAMA</t>
  </si>
  <si>
    <t>BENJAMIN CONSTANT</t>
  </si>
  <si>
    <t>EMEI - JOSE CLEMENTE PEREIRA</t>
  </si>
  <si>
    <t xml:space="preserve">EMEI JOSE CLEMENTE PEREIRA </t>
  </si>
  <si>
    <t>AVENIDA DR.PAULO COLOMBO P.DE QUEIROZ</t>
  </si>
  <si>
    <t>PARQUE SANTA MADALENA</t>
  </si>
  <si>
    <t>20076-X</t>
  </si>
  <si>
    <t>LILIANE DE SANTANA DECICO</t>
  </si>
  <si>
    <t>SANDRA REGINA ALBUQUERQUE</t>
  </si>
  <si>
    <t>JOSE CLEMENTE PEREIRA</t>
  </si>
  <si>
    <t>EMEI - VICENTE DE CARVALHO</t>
  </si>
  <si>
    <t xml:space="preserve">EMEI VICENTE DE CARVALHO </t>
  </si>
  <si>
    <t>RUA VITORIA MARCONATO ZONTA</t>
  </si>
  <si>
    <t xml:space="preserve">JARDIM SAPOPEMBA                </t>
  </si>
  <si>
    <t>20201-0</t>
  </si>
  <si>
    <t>ROSANGELA MOREIRA YAMANAKA</t>
  </si>
  <si>
    <t>PERLA SIQUEIRA DOS SANTOS FIRMINO</t>
  </si>
  <si>
    <t>VICENTE DE CARVALHO</t>
  </si>
  <si>
    <t>EMEI - ATAULFO ALVES</t>
  </si>
  <si>
    <t xml:space="preserve">EMEI ATAULFO ALVES </t>
  </si>
  <si>
    <t>RUA CACHOEIRA DE MINAS</t>
  </si>
  <si>
    <t>13357-4</t>
  </si>
  <si>
    <t>CECILIA CAUZZO</t>
  </si>
  <si>
    <t>ATAULFO ALVES</t>
  </si>
  <si>
    <t>EMEI - MARIO DE ANDRADE</t>
  </si>
  <si>
    <t>EMEI MARIO DE ANDRADE</t>
  </si>
  <si>
    <t>RUA SARGENTO IRACITAN COIMBRA</t>
  </si>
  <si>
    <t>30834-X</t>
  </si>
  <si>
    <t>TATIANA APARECIDA KLEIN LUIZ</t>
  </si>
  <si>
    <t>fernandobeda@terra.com.br</t>
  </si>
  <si>
    <t>MICHELE APARECIDA DE OLIVEIRA</t>
  </si>
  <si>
    <t>MARIO DE ANDRADE</t>
  </si>
  <si>
    <t>EMEI - VITAL BRAZIL, DR.</t>
  </si>
  <si>
    <t xml:space="preserve">EMEI DR VITAL BRAZIL </t>
  </si>
  <si>
    <t>AVENIDA RODOLFO PIRANI</t>
  </si>
  <si>
    <t>10966-5</t>
  </si>
  <si>
    <t>RICARDO TADEU F. DA SILVA</t>
  </si>
  <si>
    <t>lituono@ig.com.br</t>
  </si>
  <si>
    <t>LUCILENE LIMA DE ALMEIDA JACHSTET</t>
  </si>
  <si>
    <t>VITAL BRAZIL, DR.</t>
  </si>
  <si>
    <t>EMEI - ANTONIA DE OLIVEIRA MOTA DE ARAUJO, PROFA.</t>
  </si>
  <si>
    <t xml:space="preserve">EMEI PROF. ANTONIA DE OLIVEIRA M. DE ARAUJO </t>
  </si>
  <si>
    <t>30720-3</t>
  </si>
  <si>
    <t>CLAUDIA RIBEIRO PEREIRA DE FARIA</t>
  </si>
  <si>
    <t>CÉLIA MADALENA LOURENÇO</t>
  </si>
  <si>
    <t>ANTONIA DE OLIVEIRA MOTA DE ARAUJO, PROFA.</t>
  </si>
  <si>
    <t>EMEI - MANOEL FIEL FILHO</t>
  </si>
  <si>
    <t xml:space="preserve">EMEI MANOEL FIEL FILHO </t>
  </si>
  <si>
    <t>RUA DR. ARISTIDES RICARDO</t>
  </si>
  <si>
    <t>21428-0</t>
  </si>
  <si>
    <t>RICARDO PAULINO DE AGUIAR</t>
  </si>
  <si>
    <t>ritaluziavilela@gmail.com</t>
  </si>
  <si>
    <t>SANDRA REGINA MONTEIRO DA SILVA</t>
  </si>
  <si>
    <t>MANOEL FIEL FILHO</t>
  </si>
  <si>
    <t>EMEI - ADEVALDO DE MORAES</t>
  </si>
  <si>
    <t xml:space="preserve">EMEI ADEVALDO DE MORAES </t>
  </si>
  <si>
    <t>RUA ORESTE DAMOLIN</t>
  </si>
  <si>
    <t>12864-9</t>
  </si>
  <si>
    <t>VANESSA BARBATO RODRIGUES</t>
  </si>
  <si>
    <t>KLÉZIA SANTOS COELHO AVILÉS</t>
  </si>
  <si>
    <t>ADEVALDO DE MORAES</t>
  </si>
  <si>
    <t>EMEI - CARLOS HUMBERTO VOLPON, PROF.</t>
  </si>
  <si>
    <t xml:space="preserve">EMEI PROF CARLOS HUMBERTO VOLPON </t>
  </si>
  <si>
    <t>RUA SARGENTO LUIS RODRIGUES FILHO</t>
  </si>
  <si>
    <t>COHAB MAKL MASC.  DE MORAES</t>
  </si>
  <si>
    <t>MARCELO VECCIO AMADO</t>
  </si>
  <si>
    <t>MÔNICA LOPES MACIEL RAIMUNDO</t>
  </si>
  <si>
    <t>CARLOS HUMBERTO VOLPON, PROF.</t>
  </si>
  <si>
    <t>EMEF - ARLINDO CAETANO FILHO, PROF.</t>
  </si>
  <si>
    <t xml:space="preserve">EMEF PROFESSOR ARLINDO CAETANO FILHO </t>
  </si>
  <si>
    <t>RUA PALMEIRA BACABA</t>
  </si>
  <si>
    <t>JARDIM ELBA</t>
  </si>
  <si>
    <t>20747-0</t>
  </si>
  <si>
    <t>sandramonteiro_sp@hotmail.com</t>
  </si>
  <si>
    <t>CRISTIANE APARECIDA CAVALINI</t>
  </si>
  <si>
    <t>ARLINDO CAETANO FILHO, PROF.</t>
  </si>
  <si>
    <t>EMEI - CLOVIS BEVILACQUA</t>
  </si>
  <si>
    <t xml:space="preserve">EMEI CLOVIS BEVILACQUA </t>
  </si>
  <si>
    <t>RUA JOSÉ DE QUEIROZ MATOS</t>
  </si>
  <si>
    <t>20214-2</t>
  </si>
  <si>
    <t>ELIZABETE ARDILHA MARTINEZ</t>
  </si>
  <si>
    <t>MARLEIDE LOPES LEANDRO</t>
  </si>
  <si>
    <t>CLOVIS BEVILACQUA</t>
  </si>
  <si>
    <t>EMEI - CHIQUINHA GONZAGA</t>
  </si>
  <si>
    <t xml:space="preserve">EMEI CHIQUINHA GONZAGA </t>
  </si>
  <si>
    <t>RUA CARLO CLAUSETTI</t>
  </si>
  <si>
    <t>27708-8</t>
  </si>
  <si>
    <t>LUZIA TEODORA CARDOSO DE SOUSA</t>
  </si>
  <si>
    <t>CHIQUINHA GONZAGA</t>
  </si>
  <si>
    <t>EMEI - NINI DUARTE</t>
  </si>
  <si>
    <t xml:space="preserve">EMEI NINI DUARTE </t>
  </si>
  <si>
    <t>RUA ESQUIVEL NAVARRO</t>
  </si>
  <si>
    <t>25186-0</t>
  </si>
  <si>
    <t>SANDRA CRISTINA BATISTA</t>
  </si>
  <si>
    <t>sandracristinabatista@gmail.com</t>
  </si>
  <si>
    <t>ELIANA BROEDEL</t>
  </si>
  <si>
    <t>NINI DUARTE</t>
  </si>
  <si>
    <t>EMEI - CARMEM MIRANDA</t>
  </si>
  <si>
    <t xml:space="preserve">EMEI CARMEN MIRANDA </t>
  </si>
  <si>
    <t>13428-7</t>
  </si>
  <si>
    <t>THUANE DO NASCIMENTO AMORIM NOGUEIRA</t>
  </si>
  <si>
    <t>SUELY INOCÊNCIO MONTEIRO</t>
  </si>
  <si>
    <t>CARMEM MIRANDA</t>
  </si>
  <si>
    <t>EMEI - JOSE MAURO DE VASCONCELOS</t>
  </si>
  <si>
    <t xml:space="preserve">EMEI JOSE MAURO DE VASCONCELOS </t>
  </si>
  <si>
    <t>RUA JOSINO MENDES ALVARENGA FREIRE</t>
  </si>
  <si>
    <t>JARDIM TIETÊ</t>
  </si>
  <si>
    <t>30726-2</t>
  </si>
  <si>
    <t>ODINIR DA SILVA</t>
  </si>
  <si>
    <t>vanessacristais@yahoo.com.br</t>
  </si>
  <si>
    <t>MICHELI RANGEL ALBUQUERQUE</t>
  </si>
  <si>
    <t>JOSE MAURO DE VASCONCELOS</t>
  </si>
  <si>
    <t>EMEF - JOSE DE ALCANTARA MACHADO FILHO</t>
  </si>
  <si>
    <t>EMEF JOSÉ DE ALCÂNTARA MACHADO FILHO</t>
  </si>
  <si>
    <t>emefjamachado@prefeitura.sp.gov.br</t>
  </si>
  <si>
    <t>RUA MATTIA FILIZZOLA</t>
  </si>
  <si>
    <t>REAL PARQUE</t>
  </si>
  <si>
    <t>16.070-9</t>
  </si>
  <si>
    <t>KÁTIA APARECIDA DE CASTRO</t>
  </si>
  <si>
    <t>JOSE DE ALCANTARA MACHADO FILHO</t>
  </si>
  <si>
    <t>EMEF - AMORIM LIMA, DES.</t>
  </si>
  <si>
    <t>EMEF DES. AMORIM LIMA</t>
  </si>
  <si>
    <t>emefalima@prefeitura.sp.gov.br</t>
  </si>
  <si>
    <t>RUA PROF. VICENTE PEIXOTO</t>
  </si>
  <si>
    <t>VILA INDIANA</t>
  </si>
  <si>
    <t>71.613-8</t>
  </si>
  <si>
    <t>ERIC DEBLIRE</t>
  </si>
  <si>
    <t>AMORIM LIMA, DES.</t>
  </si>
  <si>
    <t>EMEF - THEODOMIRO DIAS, DES.</t>
  </si>
  <si>
    <t>EMEF DES. THEODOMIRO DIAS</t>
  </si>
  <si>
    <t>emeftdias@prefeitura.sp.gov.br</t>
  </si>
  <si>
    <t>PRAÇA DR. JOSÉ ÓRIA</t>
  </si>
  <si>
    <t>16.018-0</t>
  </si>
  <si>
    <t>CLAUDIA Mª CHABLOZ F. DA SILVA</t>
  </si>
  <si>
    <t>IDELZUITE SOUZA PAIVA</t>
  </si>
  <si>
    <t>THEODOMIRO DIAS, DES.</t>
  </si>
  <si>
    <t>EMEF - DEODORO DA FONSECA, MAL.</t>
  </si>
  <si>
    <t>EMEF MAL. DEODORO DA FONSECA</t>
  </si>
  <si>
    <t>emefdeodoro@prefeitura.sp.gov.br</t>
  </si>
  <si>
    <t>PRAÇA IMPRENSA PAULISTA</t>
  </si>
  <si>
    <t>CAXINGUI</t>
  </si>
  <si>
    <t>16.036-9</t>
  </si>
  <si>
    <t>ALESSANDRA APARECIDA PEREIRA TOMAZ</t>
  </si>
  <si>
    <t>DEODORO DA FONSECA, MAL.</t>
  </si>
  <si>
    <t>EMEF - ARTHUR WHITAKER, DES.</t>
  </si>
  <si>
    <t>EMEF DES. ARTHUR WHITAKER</t>
  </si>
  <si>
    <t>emefwhitaker@prefeitura.sp.gov.br</t>
  </si>
  <si>
    <t>RUA ANDRÉ SARAIVA</t>
  </si>
  <si>
    <t>16.040-7</t>
  </si>
  <si>
    <t>MARIANA MITTI SAKATA SALES</t>
  </si>
  <si>
    <t>TELMA ROCHA DE SOUSA MARTINELLI</t>
  </si>
  <si>
    <t>ARTHUR WHITAKER, DES.</t>
  </si>
  <si>
    <t>EMEF - TARSILA DO AMARAL</t>
  </si>
  <si>
    <t>EMEF TARSILA DO AMARAL</t>
  </si>
  <si>
    <t>emeftarsila@prefeitura.sp.gov.br</t>
  </si>
  <si>
    <t>RUA NATAL PIGASSI</t>
  </si>
  <si>
    <t>16.025-3</t>
  </si>
  <si>
    <t>SILVANA BATISTA DE FREITAS</t>
  </si>
  <si>
    <t>MAIRA REIS PORTELLA</t>
  </si>
  <si>
    <t>TARSILA DO AMARAL</t>
  </si>
  <si>
    <t>EMEF - ALIPIO ANDRADA SERPA, TTE.</t>
  </si>
  <si>
    <t>EMEF TTE. ALÍPIO ANDRADA SERPA</t>
  </si>
  <si>
    <t>emefaaserpa@prefeitura.sp.gov.br</t>
  </si>
  <si>
    <t>RUA NICOLAU COPÉRNICO</t>
  </si>
  <si>
    <t>JARDIM BATAGLIA</t>
  </si>
  <si>
    <t>16.004-0</t>
  </si>
  <si>
    <t>ANA CRISTINA MORAES AZEVEDO</t>
  </si>
  <si>
    <t>PAULA APARECIDA RIBEIRO MACHADO</t>
  </si>
  <si>
    <t>ALIPIO ANDRADA SERPA, TTE.</t>
  </si>
  <si>
    <t>EMEF - ALCIDES GONCALVES ETCHEGOYEN, GEN.</t>
  </si>
  <si>
    <t>EMEF GAL. ALCIDES GONÇALVES ETCHEGOYEN</t>
  </si>
  <si>
    <t>emefagetchegoyen@prefeitura.sp.gov.br</t>
  </si>
  <si>
    <t>RUA ADHERBAL STRESSER</t>
  </si>
  <si>
    <t>71.593-X</t>
  </si>
  <si>
    <t>KETLIN ELISA THOMÉ WENCESLAU FIOCCO</t>
  </si>
  <si>
    <t>CARLA DALFOVO DO AMARAL SAMPAIO PINTO</t>
  </si>
  <si>
    <t>ALCIDES GONCALVES ETCHEGOYEN, GEN.</t>
  </si>
  <si>
    <t>EMEF - JOAO XXIII</t>
  </si>
  <si>
    <t>EMEF JOÃO XXIII</t>
  </si>
  <si>
    <t>emefjoaoxxiii@prefeitura.sp.gov.br</t>
  </si>
  <si>
    <t>RUA CÔNEGO LUIS VIEIRA DA SILVA</t>
  </si>
  <si>
    <t>23.525-3</t>
  </si>
  <si>
    <t>MIEKO KURASHIMA TAMURA</t>
  </si>
  <si>
    <t>JOAO XXIII</t>
  </si>
  <si>
    <t>EMEF - SOLANO TRINDADE</t>
  </si>
  <si>
    <t>EMEF SOLANO TRINDADE</t>
  </si>
  <si>
    <t>emefstrindade@prefeitura.sp.gov.br</t>
  </si>
  <si>
    <t>RUA GABRIEL DE CARVALHO</t>
  </si>
  <si>
    <t>23.444-3</t>
  </si>
  <si>
    <t>FERNANDO ANTÔNIO FERRAZ PAGANO</t>
  </si>
  <si>
    <t>AGNES MALIENI FONTES</t>
  </si>
  <si>
    <t>SOLANO TRINDADE</t>
  </si>
  <si>
    <t>EMEF - LUIZ EDUARDO MATARAZZO, CDE.</t>
  </si>
  <si>
    <t>EMEF CDE. LUIZ EDUARDO MATARAZZO</t>
  </si>
  <si>
    <t>emeflematarazzo@prefeitura.sp.gov.br</t>
  </si>
  <si>
    <t>AV. PADRE TIAGO ALBERIONE</t>
  </si>
  <si>
    <t>PARQUE DOS PRÍNCIPES</t>
  </si>
  <si>
    <t>21.519-8</t>
  </si>
  <si>
    <t>DAIANE CRISTINI MORAES</t>
  </si>
  <si>
    <t>ÂNGELA JOSEANNE ALBIERO AVANCINI</t>
  </si>
  <si>
    <t>LUIZ EDUARDO MATARAZZO, CDE.</t>
  </si>
  <si>
    <t>EMEF - JULIO MESQUITA</t>
  </si>
  <si>
    <t>EMEF JULIO MESQUITA</t>
  </si>
  <si>
    <t>emefjmesquita@prefeitura.sp.gov.br</t>
  </si>
  <si>
    <t>RUA DR. JOSÉ AIRES NETO</t>
  </si>
  <si>
    <t>13.664-6</t>
  </si>
  <si>
    <t>FERNANDO BOGHAZDELIKIAN</t>
  </si>
  <si>
    <t>ENOQUE FERREIRA CAMPOS</t>
  </si>
  <si>
    <t>JULIO MESQUITA</t>
  </si>
  <si>
    <t>EMEF - IBRAHIM NOBRE</t>
  </si>
  <si>
    <t>EMEF IBRAHIM NOBRE</t>
  </si>
  <si>
    <t>emefinobre@prefeitura.sp.gov.br</t>
  </si>
  <si>
    <t>RUA CEL. SALVADOR DE MOYA</t>
  </si>
  <si>
    <t>VILA ALBA</t>
  </si>
  <si>
    <t>13.689-1</t>
  </si>
  <si>
    <t>FERNANDA DA SILVA OLIVEIRA</t>
  </si>
  <si>
    <t>APARECIDA MARIA DA SILVA</t>
  </si>
  <si>
    <t>IBRAHIM NOBRE</t>
  </si>
  <si>
    <t>EMEF - BRASIL-JAPAO</t>
  </si>
  <si>
    <t>EMEF BRASIL - JAPÃO</t>
  </si>
  <si>
    <t>emefbrasiljapao@prefeitura.sp.gov.br</t>
  </si>
  <si>
    <t>RUA DR. PAULO CARVALHO FERREIRA</t>
  </si>
  <si>
    <t>23.458-3</t>
  </si>
  <si>
    <t>RAFAEL FERREIRA SILVA</t>
  </si>
  <si>
    <t>JACQUELINE CONCEIÇÃO PINHEIRO</t>
  </si>
  <si>
    <t>BRASIL-JAPAO</t>
  </si>
  <si>
    <t>EMEF - ALVARO SILVA BRAGA, GEN.</t>
  </si>
  <si>
    <t>EMEF GAL. ÁLVARO  SILVA BRAGA</t>
  </si>
  <si>
    <t>emefasbraga@prefeitura.sp.gov.br</t>
  </si>
  <si>
    <t>RUA PADRE PAULO CANELLES</t>
  </si>
  <si>
    <t>23.464-8</t>
  </si>
  <si>
    <t>CELIA SANDRA E. GOROSTIAGA CAMACHO</t>
  </si>
  <si>
    <t>HUMBERTO CAZZARI</t>
  </si>
  <si>
    <t>ALVARO SILVA BRAGA, GEN.</t>
  </si>
  <si>
    <t>EMEF - ESPIRIDIAO ROSAS, MAL.</t>
  </si>
  <si>
    <t>EMEF ESPIRIDIÃO ROSAS</t>
  </si>
  <si>
    <t xml:space="preserve">RUA GUIMARÃES ROSA </t>
  </si>
  <si>
    <t>21644-5</t>
  </si>
  <si>
    <t>TATIANNE RODRIGUES CARDOSO NASCIMENTO</t>
  </si>
  <si>
    <t>sanbiten@yahoo.com.br</t>
  </si>
  <si>
    <t>ESPIRIDIAO ROSAS, MAL.</t>
  </si>
  <si>
    <t>EMEF - ROBERTO MANGE, PROF.</t>
  </si>
  <si>
    <t>EMEF PROF. ROBERTO MANGE</t>
  </si>
  <si>
    <t>emefrmange@prefeitura.sp.gov.br</t>
  </si>
  <si>
    <t>RUA JOSÉ CERQUEIRA BASTOS</t>
  </si>
  <si>
    <t>JARDIM ESTHER</t>
  </si>
  <si>
    <t>23.541-5</t>
  </si>
  <si>
    <t>JOÃO FELIPE REBELO GOTO</t>
  </si>
  <si>
    <t>VITOR LUIZ VIEIRA</t>
  </si>
  <si>
    <t>ROBERTO MANGE, PROF.</t>
  </si>
  <si>
    <t>EMEF - EUCLYDES DE OLIVEIRA FIGUEIREDO, GEN.</t>
  </si>
  <si>
    <t>EMEF GAL. EUCLYDES DE OLIVEIRA FIGUEIREDO</t>
  </si>
  <si>
    <t>emefeofigueiredo@prefeitura.sp.gov.br</t>
  </si>
  <si>
    <t>RUA MAL. OLÍMPIO MOURÃO FILHO</t>
  </si>
  <si>
    <t>20.840-X</t>
  </si>
  <si>
    <t>FLAVIO FORMAGIO</t>
  </si>
  <si>
    <t>EUCLYDES DE OLIVEIRA FIGUEIREDO, GEN.</t>
  </si>
  <si>
    <t>EMEF - MARIO MOURA E ALBUQUERQUE, BEL.</t>
  </si>
  <si>
    <t>emefmmealbuquerque@prefeitura.sp.gov.br</t>
  </si>
  <si>
    <t>RUA HUMBERTO DE ALMEIDA</t>
  </si>
  <si>
    <t>CHAC. SANTANA</t>
  </si>
  <si>
    <t>NOSSA SRA. SABARÁ</t>
  </si>
  <si>
    <t>18538-8</t>
  </si>
  <si>
    <t>ELISA KEIKO UMETA</t>
  </si>
  <si>
    <t>MARIO MOURA E ALBUQUERQUE, BEL.</t>
  </si>
  <si>
    <t>EMEF - CAROLINA RENNO RIBEIRO DE OLIVEIRA, PROFA.</t>
  </si>
  <si>
    <t>EMEF - CAROLINA RENNO RIBEIRO DE OLIVEIRA, PROFª</t>
  </si>
  <si>
    <t>emefcrroliveira@prefeitura.sp.gov.br</t>
  </si>
  <si>
    <t>RUA JOAO FERREIRA DA SILVA</t>
  </si>
  <si>
    <t>JARDIM STA MARGARIDA</t>
  </si>
  <si>
    <t>21.308-X</t>
  </si>
  <si>
    <t>FAGNER SILVA BARBOSA DE ABREU</t>
  </si>
  <si>
    <t>ANDREIA CRISTINA OLIVEIRA DINIZ</t>
  </si>
  <si>
    <t>CAROLINA RENNO RIBEIRO DE OLIVEIRA, PROFA.</t>
  </si>
  <si>
    <t>EMEF - OLIVEIRA VIANA</t>
  </si>
  <si>
    <t>RUA PROF. BARROSO DO AMARAL</t>
  </si>
  <si>
    <t>JARDIM PLANALTO</t>
  </si>
  <si>
    <t>7851-4</t>
  </si>
  <si>
    <t>jucileidemauger@yahoo.com.br</t>
  </si>
  <si>
    <t>KELLY REGINA LINO DE MELO</t>
  </si>
  <si>
    <t>OLIVEIRA VIANA</t>
  </si>
  <si>
    <t>EMEF - MARIO MARQUES DE OLIVEIRA, PROF.</t>
  </si>
  <si>
    <t>emefmmoliveira@prefeitura.sp.gov.br</t>
  </si>
  <si>
    <t>46500-3</t>
  </si>
  <si>
    <t>MARIA EUNICE NOVAIS DE LIMA</t>
  </si>
  <si>
    <t>MARIO MARQUES DE OLIVEIRA, PROF.</t>
  </si>
  <si>
    <t>EMEF - CLEMENTE PASTORE, PROF.</t>
  </si>
  <si>
    <t>7687-2</t>
  </si>
  <si>
    <t>DANIELA PEREIRA GOMES</t>
  </si>
  <si>
    <t>emefcpastora@prefeitura.sp.gov.br</t>
  </si>
  <si>
    <t>ANTONIO AUGUSTO FONSECA CORREIA</t>
  </si>
  <si>
    <t>CLEMENTE PASTORE, PROF.</t>
  </si>
  <si>
    <t>EMEF - ANTONIO ESTANISLAU DO AMARAL</t>
  </si>
  <si>
    <t>RUA CERDEIRA</t>
  </si>
  <si>
    <t>PARQUE NOVO SANTO AMARO</t>
  </si>
  <si>
    <t>12673-X</t>
  </si>
  <si>
    <t>TANIA MARAJÁ DANTAS ARANHA</t>
  </si>
  <si>
    <t>emefaeamaral@prefeitura.sp.gov.br</t>
  </si>
  <si>
    <t>ELIANE DOS SANTOS LUZ</t>
  </si>
  <si>
    <t>ANTONIO ESTANISLAU DO AMARAL</t>
  </si>
  <si>
    <t>EMEF - MARIO RANGEL, CEL.</t>
  </si>
  <si>
    <t>7721-6</t>
  </si>
  <si>
    <t>ÉRIKA COSTA SANTOS</t>
  </si>
  <si>
    <t>correiosonya@hotmail.com</t>
  </si>
  <si>
    <t>FRED JACKSON VAZ DE LIMA</t>
  </si>
  <si>
    <t>MARIO RANGEL, CEL.</t>
  </si>
  <si>
    <t>EMEF - JORGE AMERICANO, PROF.</t>
  </si>
  <si>
    <t>emefjamericano@prefeitura.sp.gov.br</t>
  </si>
  <si>
    <t>32506-6</t>
  </si>
  <si>
    <t>DEBORA FATIMA BERNINI FERRO</t>
  </si>
  <si>
    <t>PRISCILA RODRIGUES AMÂNCIO MOREIRA</t>
  </si>
  <si>
    <t>JORGE AMERICANO, PROF.</t>
  </si>
  <si>
    <t>EMEF - EUCLIDES DA CUNHA</t>
  </si>
  <si>
    <t>emefecunha@prefeitura.sp.gov.br</t>
  </si>
  <si>
    <t>RUA COSTA NOVA DO PRADO</t>
  </si>
  <si>
    <t>JARDIM COMERCIAL</t>
  </si>
  <si>
    <t>7644-9</t>
  </si>
  <si>
    <t>EDIVALDO LUCIO BACETI</t>
  </si>
  <si>
    <t>EDISON RODRIGUES DE OLIVEIRA</t>
  </si>
  <si>
    <t>EUCLIDES DA CUNHA</t>
  </si>
  <si>
    <t>EMEF - IRACEMA MARQUES DA SILVEIRA, PROFA.</t>
  </si>
  <si>
    <t>EMEF - IRACEMA MARQUES DA SILVEIRA, PROFª</t>
  </si>
  <si>
    <t>emefimsilveira@prefeitura.sp.gov.br</t>
  </si>
  <si>
    <t>PARQUE DO ENGENHO</t>
  </si>
  <si>
    <t>21385-3</t>
  </si>
  <si>
    <t>FERNANDO SANTOS DE ALMEIDA FURTADO</t>
  </si>
  <si>
    <t>ANTONIA MARIA CARDOSO LIMA DE MATOS</t>
  </si>
  <si>
    <t>IRACEMA MARQUES DA SILVEIRA, PROFA.</t>
  </si>
  <si>
    <t>EMEF - LEVY DE AZEVEDO SODRE, PROF.</t>
  </si>
  <si>
    <t>RUA GOLPAZARI</t>
  </si>
  <si>
    <t>21322-5</t>
  </si>
  <si>
    <t>FLAVIA TARTARELI  MENDES</t>
  </si>
  <si>
    <t>emeflasodre@pefeitura.so.gov.br</t>
  </si>
  <si>
    <t>ESTER RAMOS GONÇALVES DOS SANTOS</t>
  </si>
  <si>
    <t>LEVY DE AZEVEDO SODRE, PROF.</t>
  </si>
  <si>
    <t>EMEF - OTONIEL MOTA</t>
  </si>
  <si>
    <t>emefomota@prefeitura.sp.gov.br</t>
  </si>
  <si>
    <t>RUA RAIMUNDA FRANKLIN MELO</t>
  </si>
  <si>
    <t>32569-4</t>
  </si>
  <si>
    <t>AURI MARIA DA CONCEIÇÃO LOPES</t>
  </si>
  <si>
    <t>ELIANA CORREA DOS SANTOS</t>
  </si>
  <si>
    <t>OTONIEL MOTA</t>
  </si>
  <si>
    <t>EMEF - PROCOPIO FERREIRA</t>
  </si>
  <si>
    <t>emefpferreira@prefeitura.sp.gov.br</t>
  </si>
  <si>
    <t>AVENIDA FIM DE SEMANA</t>
  </si>
  <si>
    <t>21311-X</t>
  </si>
  <si>
    <t>JOÃO ALBERTO SANTANA</t>
  </si>
  <si>
    <t>LIDIANE LEITE DE JESUS</t>
  </si>
  <si>
    <t>PROCOPIO FERREIRA</t>
  </si>
  <si>
    <t>EMEF - AIRTON ARANTES RIBEIRO, PROF.</t>
  </si>
  <si>
    <t>RUA FREI LUIZ BELTRÃO</t>
  </si>
  <si>
    <t>CONJUNTO PROMORAR</t>
  </si>
  <si>
    <t xml:space="preserve">21374-8 </t>
  </si>
  <si>
    <t>emefaaribeiro@pefeitura.sp.gov.br</t>
  </si>
  <si>
    <t xml:space="preserve">EDUARDO SANTOS FAGUNDES </t>
  </si>
  <si>
    <t>AIRTON ARANTES RIBEIRO, PROF.</t>
  </si>
  <si>
    <t>EMEF - LUIZ TENORIO DE BRITO, CEL.</t>
  </si>
  <si>
    <t>emefltbrito@prefeitura.sp.gov.br</t>
  </si>
  <si>
    <t>RUA BALDOMERO CARQUEJA</t>
  </si>
  <si>
    <t>VILA PREL</t>
  </si>
  <si>
    <t>21462-0</t>
  </si>
  <si>
    <t>FLORDELICE MAGNA FERREIRA</t>
  </si>
  <si>
    <t>LUIS CARLOS DIAS</t>
  </si>
  <si>
    <t>LUIZ TENORIO DE BRITO, CEL.</t>
  </si>
  <si>
    <t>EMEF - ADHEMAR DE BARROS, PREF.</t>
  </si>
  <si>
    <t>emefabarros@prefeitura.sp.gov.br</t>
  </si>
  <si>
    <t>RUA GIOVANNE AMADEO</t>
  </si>
  <si>
    <t>32437-X</t>
  </si>
  <si>
    <t>JANAINA RODRIGUES LOUREIRO</t>
  </si>
  <si>
    <t>ROSANGELA ALVES DE SOUZA</t>
  </si>
  <si>
    <t>ADHEMAR DE BARROS, PREF.</t>
  </si>
  <si>
    <t>EMEF - PALIMERCIO DE REZENDE, CEL.</t>
  </si>
  <si>
    <t>RUA MANUEL RIBEIRO DE AZEVEDO</t>
  </si>
  <si>
    <t>13035-4</t>
  </si>
  <si>
    <t>cora.podavin@ig.com.br</t>
  </si>
  <si>
    <t>ROSEMEIRE LUIZA TALTAI</t>
  </si>
  <si>
    <t>PALIMERCIO DE REZENDE, CEL.</t>
  </si>
  <si>
    <t>EMEF - MAURICIO SIMAO</t>
  </si>
  <si>
    <t>RUA KUNITO MIYASAKA</t>
  </si>
  <si>
    <t>JARDIM MARTINICA</t>
  </si>
  <si>
    <t>12764-7</t>
  </si>
  <si>
    <t>GIRLENE MORAIS DOS SANTOS</t>
  </si>
  <si>
    <t>gyrlen@bol.com.br</t>
  </si>
  <si>
    <t>MARIA FAGANHOLI ESTEVES</t>
  </si>
  <si>
    <t>MAURICIO SIMAO</t>
  </si>
  <si>
    <t>EMEF - LEONARDO VILLAS BOAS</t>
  </si>
  <si>
    <t>emeflvboas@prefeitura.sp.gov.br</t>
  </si>
  <si>
    <t>111160-4</t>
  </si>
  <si>
    <t xml:space="preserve">ELIA MARA DE OLIVEIRA LIMA </t>
  </si>
  <si>
    <t>MARINÊS OLIVEIRA DOS SANTOS</t>
  </si>
  <si>
    <t>LEONARDO VILLAS BOAS</t>
  </si>
  <si>
    <t>EMEF - SYNESIO ROCHA, MIN.</t>
  </si>
  <si>
    <t>RUA JARACATIA</t>
  </si>
  <si>
    <t>21393-4</t>
  </si>
  <si>
    <t>marcia.ap.oliveira@hotmail.com</t>
  </si>
  <si>
    <t>MARCIA MARIA GARCIA</t>
  </si>
  <si>
    <t>SYNESIO ROCHA, MIN.</t>
  </si>
  <si>
    <t>EMEF - ZULMIRA CAVALHEIRO FAUSTINO</t>
  </si>
  <si>
    <t>emefzcfaustino@prefeitura.sp.gov.br</t>
  </si>
  <si>
    <t>RUA MELO COUTINHO</t>
  </si>
  <si>
    <t>21309-8</t>
  </si>
  <si>
    <t>MARIDALVA DOS SANTOS</t>
  </si>
  <si>
    <t>ADRIANA APARECIDA CARDOSO SANTOS</t>
  </si>
  <si>
    <t>ZULMIRA CAVALHEIRO FAUSTINO</t>
  </si>
  <si>
    <t>EMEF - PAULO COLOMBO PEREIRA DE QUEIROZ, DES.</t>
  </si>
  <si>
    <t>RUA ABELARDO DA CUNHA LOBO</t>
  </si>
  <si>
    <t>PARQUE ARARIBA</t>
  </si>
  <si>
    <t>32528-7</t>
  </si>
  <si>
    <t>elianemmpimenta@hotmail.com</t>
  </si>
  <si>
    <t xml:space="preserve">ANTAO VIEIRA DE SANTANA </t>
  </si>
  <si>
    <t>PAULO COLOMBO PEREIRA DE QUEIROZ, DES.</t>
  </si>
  <si>
    <t>EMEF - DE GAULLE, GEN.</t>
  </si>
  <si>
    <t>RUA MOURISCA</t>
  </si>
  <si>
    <t>21394-2</t>
  </si>
  <si>
    <t>ELIUDE ROZALINO DOS SANTOS</t>
  </si>
  <si>
    <t>dione.lemos@ig.com.br</t>
  </si>
  <si>
    <t>GISLENE DOS SANTOS NASCIMENTO</t>
  </si>
  <si>
    <t>DE GAULLE, GEN.</t>
  </si>
  <si>
    <t>EMEF - FAGUNDES VARELLA</t>
  </si>
  <si>
    <t>AVENIDA AUGUSTO BARBOSA TAVARES</t>
  </si>
  <si>
    <t>JARDIM IRACEMA</t>
  </si>
  <si>
    <t>22.040-X</t>
  </si>
  <si>
    <t xml:space="preserve">RICARDO DO CARMO VIANA </t>
  </si>
  <si>
    <t>emeffagundes@prefeitura.sp.gov.br</t>
  </si>
  <si>
    <t>ROSANGELA PEREIRA</t>
  </si>
  <si>
    <t>FAGUNDES VARELLA</t>
  </si>
  <si>
    <t>EMEF - DILERMANDO DIAS DOS SANTOS</t>
  </si>
  <si>
    <t>EMEF DILERMANDO DIAS DOS SANTOS</t>
  </si>
  <si>
    <t>PAULO FRANCO</t>
  </si>
  <si>
    <t>VILA HAMBURGUESA</t>
  </si>
  <si>
    <t>15421-0</t>
  </si>
  <si>
    <t>MARCIA PAES LANDIN</t>
  </si>
  <si>
    <t>emefddsantos@pref.sp.gov.br</t>
  </si>
  <si>
    <t>DILERMANDO DIAS DOS SANTOS</t>
  </si>
  <si>
    <t>EMEF - ANIBAL FREIRE, MIN.</t>
  </si>
  <si>
    <t>EMEF ANIBAL FREIRE, MIN.</t>
  </si>
  <si>
    <t>emefafreire@prefeitura.sp.gov.br</t>
  </si>
  <si>
    <t>RUA SILVA AIROSA</t>
  </si>
  <si>
    <t>V. RIBEIRO DE BARROS</t>
  </si>
  <si>
    <t>0663-7</t>
  </si>
  <si>
    <t>28137-9</t>
  </si>
  <si>
    <t xml:space="preserve">ELDER DE LIMA MAGALHAES </t>
  </si>
  <si>
    <t xml:space="preserve">GRACIANA DE SOUZA BRUNE </t>
  </si>
  <si>
    <t>ANIBAL FREIRE, MIN.</t>
  </si>
  <si>
    <t>EMEF - JOSE MARIA PINTO DUARTE, TTE.</t>
  </si>
  <si>
    <t>EMEF  JOSÉ MARIA PINTO DUARTE</t>
  </si>
  <si>
    <t>RUA ATALAIA</t>
  </si>
  <si>
    <t>SUMARÉ</t>
  </si>
  <si>
    <t>1199-1</t>
  </si>
  <si>
    <t>AGUA BRANCA</t>
  </si>
  <si>
    <t>123458-7</t>
  </si>
  <si>
    <t>epece@hotmail.com</t>
  </si>
  <si>
    <t>JOSE MARIA PINTO DUARTE, TTE.</t>
  </si>
  <si>
    <t>EMEF - MARIA ANTONIETA D'ALKIMIN BASTO, PROFA.</t>
  </si>
  <si>
    <t>EMEF PROFª Mª ANTONIETA D'ALKIMIN BASTO</t>
  </si>
  <si>
    <t>emefmadbasto@prefeitura.sp.gov.br</t>
  </si>
  <si>
    <t>RUA CASA DO ATOR</t>
  </si>
  <si>
    <t>121.090-4</t>
  </si>
  <si>
    <t>FABIO JANES SUARES</t>
  </si>
  <si>
    <t>DIANA BAPTISTA LUZ DE SOUZA</t>
  </si>
  <si>
    <t>MARIA ANTONIETA D'ALKIMIN BASTO, PROFA.</t>
  </si>
  <si>
    <t>EMEF - OLAVO PEZZOTTI, PROF.</t>
  </si>
  <si>
    <t>EMEF PROF. OLAVO PEZZOTTI</t>
  </si>
  <si>
    <t>emefopezzotti@prefeitura.sp.gov.br</t>
  </si>
  <si>
    <t>RUA FRADIQUE COUTINHO</t>
  </si>
  <si>
    <t>18.601-5</t>
  </si>
  <si>
    <t>GISELI NOVELLI</t>
  </si>
  <si>
    <t>RENATA ANFORA VALENTIM</t>
  </si>
  <si>
    <t>OLAVO PEZZOTTI, PROF.</t>
  </si>
  <si>
    <t>EMEF - CHIQUINHA RODRIGUES</t>
  </si>
  <si>
    <t>EMEF CHIQUINHA RODRIGUES</t>
  </si>
  <si>
    <t>PASCAL</t>
  </si>
  <si>
    <t>1817-1</t>
  </si>
  <si>
    <t>18.716-X</t>
  </si>
  <si>
    <t>MARIA SOLANGE MARQUES CAMARGO</t>
  </si>
  <si>
    <t>CLAUDIA ANTONELLI ZANCAN ANGERAME</t>
  </si>
  <si>
    <t>CHIQUINHA RODRIGUES</t>
  </si>
  <si>
    <t>EMEF - JOSE DIAS DA SILVEIRA, DR.</t>
  </si>
  <si>
    <t>EMEF DR. JOSÉ DIAS DA SILVEIRA</t>
  </si>
  <si>
    <t>emefjdsilveira@prefeitura.sp.gov.br</t>
  </si>
  <si>
    <t>RUA ROQUE PETRELLA</t>
  </si>
  <si>
    <t>VILA CORDEIRO</t>
  </si>
  <si>
    <t>4135-1</t>
  </si>
  <si>
    <t>AV. MORUMBI</t>
  </si>
  <si>
    <t>7.877-8</t>
  </si>
  <si>
    <t>MARIA CECÍLIA CARLINI MACEDO VAZ</t>
  </si>
  <si>
    <t>MARLI TARCITANI VARANDAS</t>
  </si>
  <si>
    <t>JOSE DIAS DA SILVEIRA, DR.</t>
  </si>
  <si>
    <t>EMEF - JOAQUIM CANDIDO DE AZEVEDO MARQUES, DES.</t>
  </si>
  <si>
    <t>EMEF JOAQUIM CANDIDO DE AZEVEDO MARQUES, DES.</t>
  </si>
  <si>
    <t>DA PAZ</t>
  </si>
  <si>
    <t>3065-1</t>
  </si>
  <si>
    <t>CHACARA SANTO ANTONIO</t>
  </si>
  <si>
    <t>70.615-9</t>
  </si>
  <si>
    <t>MARILUCI THONI DE ALMEIDA</t>
  </si>
  <si>
    <t>ANDREIA DE MELO FERREIRA FREIRE</t>
  </si>
  <si>
    <t>JOAQUIM CANDIDO DE AZEVEDO MARQUES, DES.</t>
  </si>
  <si>
    <t>EMEFM - LINNEU PRESTES, PROF.</t>
  </si>
  <si>
    <t>EMEFM LINNEU PRESTES, PROF.</t>
  </si>
  <si>
    <t>ADOLFO PINHEIRO</t>
  </si>
  <si>
    <t>26.942-5</t>
  </si>
  <si>
    <t>LINNEU PRESTES, PROF.</t>
  </si>
  <si>
    <t>EMEF - CARLOS DE ANDRADE RIZZINI</t>
  </si>
  <si>
    <t>EMEF CARLOS DE ANDRADE RIZZINI</t>
  </si>
  <si>
    <t>OMAR CARDOSO</t>
  </si>
  <si>
    <t>23.484-2</t>
  </si>
  <si>
    <t>ANDREA DE CARVALHO CAMPOS GUIMARÃES</t>
  </si>
  <si>
    <t>CARLOS DE ANDRADE RIZZINI</t>
  </si>
  <si>
    <t>EMEF - LAERTE RAMOS DE CARVALHO, PROF.</t>
  </si>
  <si>
    <t>EMEF LAERTE RAMOS DE CARVALHO, PROF.</t>
  </si>
  <si>
    <t>BEIJUI</t>
  </si>
  <si>
    <t>18.443-8</t>
  </si>
  <si>
    <t>ELIZETE GREGORIO SLIVINSKI</t>
  </si>
  <si>
    <t>LAERTE RAMOS DE CARVALHO, PROF.</t>
  </si>
  <si>
    <t>EMEF - JOAO GUALBERTO DO AMARAL CARVALHO</t>
  </si>
  <si>
    <t>EMEF JOÃO GUALBERTO DO AMARAL CARVALHO</t>
  </si>
  <si>
    <t>JOÃO FRANCO OLIVEIRA</t>
  </si>
  <si>
    <t>23.491-5</t>
  </si>
  <si>
    <t>JOAO GUALBERTO DO AMARAL CARVALHO</t>
  </si>
  <si>
    <t>EMEF - ANTONIO CARLOS DE ABREU SODRE, DR.</t>
  </si>
  <si>
    <t>EMEF ANTONIO CARLOS DE ABREU SODRE, DR.</t>
  </si>
  <si>
    <t>JUARI</t>
  </si>
  <si>
    <t>23.575-X</t>
  </si>
  <si>
    <t>ROGERIO GOMES MUNIZ</t>
  </si>
  <si>
    <t>ROSANGELA LUISA SILVA DOS SANTOS</t>
  </si>
  <si>
    <t>ANTONIO CARLOS DE ABREU SODRE, DR.</t>
  </si>
  <si>
    <t>EMEF - ANTENOR NASCENTES</t>
  </si>
  <si>
    <t>EMEF ANTENOR NASCENTES</t>
  </si>
  <si>
    <t>ANTONIO FERNANDES OLIVEIRA</t>
  </si>
  <si>
    <t>23.488-5</t>
  </si>
  <si>
    <t>DENISE RIBEIRO DE CARVALHO</t>
  </si>
  <si>
    <t>LUCICLEIA DOS PASSOS SANTOS</t>
  </si>
  <si>
    <t>ANTENOR NASCENTES</t>
  </si>
  <si>
    <t>EMEF - MANOEL CARLOS DE FIGUEIREDO FERRAZ, DES.</t>
  </si>
  <si>
    <t>EMEF MANOEL CARLOS DE FIGUEIREDO FERRAZ, DES.</t>
  </si>
  <si>
    <t>CORREA BRITO</t>
  </si>
  <si>
    <t>23.508-3</t>
  </si>
  <si>
    <t>JACQUELINE TAVEIRA SZABO</t>
  </si>
  <si>
    <t>AILTON JACINTO PIRES</t>
  </si>
  <si>
    <t>MANOEL CARLOS DE FIGUEIREDO FERRAZ, DES.</t>
  </si>
  <si>
    <t>EMEF - JOAO SUSSUMU HIRATA, DEP.</t>
  </si>
  <si>
    <t>EMEF JOÃO SUSSUMU HIRATA, DEP.</t>
  </si>
  <si>
    <t>23.587-3</t>
  </si>
  <si>
    <t>JOAO SUSSUMU HIRATA, DEP.</t>
  </si>
  <si>
    <t>EMEF - ISABEL VIEIRA FERREIRA, PROFA.</t>
  </si>
  <si>
    <t>EMEF ISABEL VIEIRA FERREIRA, PROFA</t>
  </si>
  <si>
    <t>DAS ORQUIDEAS</t>
  </si>
  <si>
    <t>26.977-8</t>
  </si>
  <si>
    <t>ROSIMAR DIOGO</t>
  </si>
  <si>
    <t>ISABEL VIEIRA FERREIRA, PROFA.</t>
  </si>
  <si>
    <t>EMEF - TIRADENTES, ALF.</t>
  </si>
  <si>
    <t>EMEF TIRADENTES, ALF.</t>
  </si>
  <si>
    <t>SALVADOR. RODRIGUES NEGRÃO</t>
  </si>
  <si>
    <t>26.981-6</t>
  </si>
  <si>
    <t>LUANA MAJOR FLORESTA</t>
  </si>
  <si>
    <t>TIRADENTES, ALF.</t>
  </si>
  <si>
    <t>EMEF - PEREIRA CARNEIRO, CDE.</t>
  </si>
  <si>
    <t>EMEF PEREIRA CARNEIRO, CDE</t>
  </si>
  <si>
    <t>JOÃO PEIXOTO VIEGAS</t>
  </si>
  <si>
    <t>26.966-2</t>
  </si>
  <si>
    <t>ELISA MARIA VELOSO CAMERA</t>
  </si>
  <si>
    <t>JUSSARA RODRIGUES DE SOUZA</t>
  </si>
  <si>
    <t>PEREIRA CARNEIRO, CDE.</t>
  </si>
  <si>
    <t>EMEF - PLACIDO DE CASTRO</t>
  </si>
  <si>
    <t>EMEF PLÁCIDO DE CASTRO</t>
  </si>
  <si>
    <t>RUA ANTONIO M. PEREIRA</t>
  </si>
  <si>
    <t>46609-3</t>
  </si>
  <si>
    <t>MARISA VIRGINIA SCHIUMARINI</t>
  </si>
  <si>
    <t>PLACIDO DE CASTRO</t>
  </si>
  <si>
    <t>EMEF - HEITOR DE ANDRADE</t>
  </si>
  <si>
    <t>EMEF HEITOR DE ANDRADE</t>
  </si>
  <si>
    <t>13476-7</t>
  </si>
  <si>
    <t>LÚCIA HELENA LEAL SORIA DOS REIS</t>
  </si>
  <si>
    <t>HEITOR DE ANDRADE</t>
  </si>
  <si>
    <t>EMEF - ALMEIDA JUNIOR, PROF.</t>
  </si>
  <si>
    <t>EMEF ALMEIDA JUNIOR, PROF.</t>
  </si>
  <si>
    <t>RUA FRANCISCO MENDES</t>
  </si>
  <si>
    <t>46622-0</t>
  </si>
  <si>
    <t>LUCIMARA CARDOSO RODRIGUES</t>
  </si>
  <si>
    <t>GISELE FRANCISCA DA SILVA</t>
  </si>
  <si>
    <t>ALMEIDA JUNIOR, PROF.</t>
  </si>
  <si>
    <t>EMEF - AFRANIO DE MELLO FRANCO, DR.</t>
  </si>
  <si>
    <t>EMEF AFRANIO DE MELLO FRANCO, DR.</t>
  </si>
  <si>
    <t>RUA ACAMBARO</t>
  </si>
  <si>
    <t>JARDIM CLIPPER</t>
  </si>
  <si>
    <t>41793-9</t>
  </si>
  <si>
    <t>ELIAS JOSÉ DE ALMEIDA</t>
  </si>
  <si>
    <t>AFRANIO DE MELLO FRANCO, DR.</t>
  </si>
  <si>
    <t>EMEF - JOAO DE DEUS CARDOSO DE MELLO</t>
  </si>
  <si>
    <t>EMEF JOÃO DE DEUS CARDOSO DE MELLO</t>
  </si>
  <si>
    <t>JARDIM PRESIDENTE</t>
  </si>
  <si>
    <t>41859-5</t>
  </si>
  <si>
    <t>JOAO DE DEUS CARDOSO DE MELLO</t>
  </si>
  <si>
    <t>EMEF - OLEGARIO MARIANO</t>
  </si>
  <si>
    <t>EMEF OLEGÁRIO MARIANO</t>
  </si>
  <si>
    <t>RUA ANTONIO BORGES FONSECA</t>
  </si>
  <si>
    <t>VILA SÃO JOSÉ</t>
  </si>
  <si>
    <t>23553-9</t>
  </si>
  <si>
    <t>LUCIANA DANTAS AGOSTINHO</t>
  </si>
  <si>
    <t>OLEGARIO MARIANO</t>
  </si>
  <si>
    <t>EMEF - MILTON FERREIRA DE ALBUQUERQUE, PROF.</t>
  </si>
  <si>
    <t>EMEF MILTON FERREIRA DE ALBUQUERQUE, PROF.</t>
  </si>
  <si>
    <t>RUA GEORGINA BOCCHIGLIERI</t>
  </si>
  <si>
    <t>JARDIM BEATRIZ</t>
  </si>
  <si>
    <t>42044-1</t>
  </si>
  <si>
    <t>LETÍCIA GRISÓLIO DIAS</t>
  </si>
  <si>
    <t>MILTON FERREIRA DE ALBUQUERQUE, PROF.</t>
  </si>
  <si>
    <t>EMEF - ELIZA RACHEL MACEDO DE SOUZA, PROFA.</t>
  </si>
  <si>
    <t>EMEF ELIZA RACHEL MACEDO DE SOUZA, PROFA.</t>
  </si>
  <si>
    <t>46631-X</t>
  </si>
  <si>
    <t>ELIZA RACHEL MACEDO DE SOUZA, PROFA.</t>
  </si>
  <si>
    <t>EMEF - MANOEL DE ABREU, DR.</t>
  </si>
  <si>
    <t>EMEF MANOEL DE ABREU, DR.</t>
  </si>
  <si>
    <t>RUA RENATO VARANDAS AZEVEDO</t>
  </si>
  <si>
    <t>41903-6</t>
  </si>
  <si>
    <t>MANOEL DE ABREU, DR.</t>
  </si>
  <si>
    <t>EMEF - JOAQUIM BENTO ALVES DE LIMA NETO</t>
  </si>
  <si>
    <t>EMEF JOAQUIM BENTO ALVES DE LIMA NETO</t>
  </si>
  <si>
    <t>RUA SÃO JOSE DO RIO PRETO</t>
  </si>
  <si>
    <t>CH. FARIA LIMA</t>
  </si>
  <si>
    <t>46607-7</t>
  </si>
  <si>
    <t>REGINA VIEIRA DA FONSECA</t>
  </si>
  <si>
    <t>JOAQUIM BENTO ALVES DE LIMA NETO</t>
  </si>
  <si>
    <t>EMEF - TEODOMIRO TOLEDO PIZA, DES.</t>
  </si>
  <si>
    <t>EMEF TEODOMIRO TOLEDO PIZA</t>
  </si>
  <si>
    <t>RUA PELAGIA STARBULOV</t>
  </si>
  <si>
    <t>PARQUE GRAJAU</t>
  </si>
  <si>
    <t>41820-X</t>
  </si>
  <si>
    <t>EMI TANIMOTO</t>
  </si>
  <si>
    <t>JOSMAIETE CAVALCANTE</t>
  </si>
  <si>
    <t>TEODOMIRO TOLEDO PIZA, DES.</t>
  </si>
  <si>
    <t>EMEF - PAULO SETUBAL</t>
  </si>
  <si>
    <t>EMEF PAULO SETUBAL</t>
  </si>
  <si>
    <t>RUA FRANCISCO DE CALDAS</t>
  </si>
  <si>
    <t>JARDIM ANA LUCIA</t>
  </si>
  <si>
    <t>41759-9</t>
  </si>
  <si>
    <t>PAULO SETUBAL</t>
  </si>
  <si>
    <t>EMEF - JOSE AMADEI, ENG.</t>
  </si>
  <si>
    <t>EMEF JOSÉ AMADEI, ENG.</t>
  </si>
  <si>
    <t>RUA RAIMUNDO LOPES</t>
  </si>
  <si>
    <t>JARDIM IV CENTENÁRIO</t>
  </si>
  <si>
    <t>41652-5</t>
  </si>
  <si>
    <t>DENILSON GONÇALVES PEREIRA</t>
  </si>
  <si>
    <t>JOSE AMADEI, ENG.</t>
  </si>
  <si>
    <t>EMEF - MIGUEL VIEIRA FERREIRA, DR.</t>
  </si>
  <si>
    <t>EMEF MIGUEL VIEIRA FERREIRA, DR.</t>
  </si>
  <si>
    <t>PRAÇA ESCOLAR</t>
  </si>
  <si>
    <t>41802-1</t>
  </si>
  <si>
    <t>MIGUEL VIEIRA FERREIRA, DR.</t>
  </si>
  <si>
    <t>EMEF - CORREIA DE MELLO, BRIG.</t>
  </si>
  <si>
    <t>EMEF BRIG. CORREIA DE MELLO</t>
  </si>
  <si>
    <t>emefcmello@prefeitura.sp.gov.br</t>
  </si>
  <si>
    <t>13378-7</t>
  </si>
  <si>
    <t>MARIA APARECIDA BERNARDO PIVOTTO</t>
  </si>
  <si>
    <t>CORREIA DE MELLO, BRIG.</t>
  </si>
  <si>
    <t>EMEF - CARLOS CHAGAS</t>
  </si>
  <si>
    <t>EMEF CARLOS CHAGAS</t>
  </si>
  <si>
    <t>emefchagas@prefeitura.sp.gov.br</t>
  </si>
  <si>
    <t>19732-7</t>
  </si>
  <si>
    <t>CARLOS CHAGAS</t>
  </si>
  <si>
    <t>EMEF - EDUARDO PRADO</t>
  </si>
  <si>
    <t>EMEF EDUARDO PRADO</t>
  </si>
  <si>
    <t>emefeprado@prefeitura.sp.gov.br</t>
  </si>
  <si>
    <t>RUA BENTO TEIXEIRA</t>
  </si>
  <si>
    <t>19848X</t>
  </si>
  <si>
    <t>SIDNEY APARECIDO DA SILVA</t>
  </si>
  <si>
    <t>EDUARDO PRADO</t>
  </si>
  <si>
    <t>EMEF - DANYLO JOSE FERNANDES</t>
  </si>
  <si>
    <t>EMEF DANYLO JOSÉ FERNANDES</t>
  </si>
  <si>
    <t>emefdjfernandes@prefeitura.sp.gov.br</t>
  </si>
  <si>
    <t>AVENIDA DR. FRANCISCO MUNHOZ FILHO</t>
  </si>
  <si>
    <t>15269-2</t>
  </si>
  <si>
    <t>ANGELA CRISTINA SCHIESS</t>
  </si>
  <si>
    <t>DANYLO JOSE FERNANDES</t>
  </si>
  <si>
    <t>EMEF - AYRES MARTINS TORRES</t>
  </si>
  <si>
    <t>EMEF AYRES MARTINS TORRES</t>
  </si>
  <si>
    <t>emefayresmtorres@prefeitura.sp.gov.br</t>
  </si>
  <si>
    <t>RUA CATARINA LOPES</t>
  </si>
  <si>
    <t>52448-4</t>
  </si>
  <si>
    <t>ROBSON DA SILVA PEREIRA</t>
  </si>
  <si>
    <t>AYRES MARTINS TORRES</t>
  </si>
  <si>
    <t>EMEF - HAROLDO VELOSO, BRIG.</t>
  </si>
  <si>
    <t>EMEF BRIG. HAROLDO VELOSO</t>
  </si>
  <si>
    <t>emefhveloso@prefeitura.sp.gov.br</t>
  </si>
  <si>
    <t>RUA MARCELINO DA SILVA</t>
  </si>
  <si>
    <t>3224-X</t>
  </si>
  <si>
    <t>19992-3</t>
  </si>
  <si>
    <t>EDSON LUIZ PLATEIRO</t>
  </si>
  <si>
    <t>HAROLDO VELOSO, BRIG.</t>
  </si>
  <si>
    <t>EMEF - ARTUR NEIVA</t>
  </si>
  <si>
    <t>EMEF ARTUR NEIVA</t>
  </si>
  <si>
    <t>emefaneiva@prefeitura.sp.gov.br</t>
  </si>
  <si>
    <t>AVENIDA NOSSA SENHORA DE GUADALUPE</t>
  </si>
  <si>
    <t>GUAINASES</t>
  </si>
  <si>
    <t>52128-0</t>
  </si>
  <si>
    <t>CRISTIANE TARABORELLI</t>
  </si>
  <si>
    <t>ARTUR NEIVA</t>
  </si>
  <si>
    <t>EMEF - BENEDITO CALIXTO</t>
  </si>
  <si>
    <t>EMEF BENEDITO CALIXTO</t>
  </si>
  <si>
    <t>RUA LUIS MEDEIROS DA SILVA</t>
  </si>
  <si>
    <t>52415-8</t>
  </si>
  <si>
    <t>FRANCISCA SILVANA DE ALMEIDA TEIXEIRA</t>
  </si>
  <si>
    <t>silphephe@bol.com.br</t>
  </si>
  <si>
    <t>BENEDITO CALIXTO</t>
  </si>
  <si>
    <t>EMEF - JOAO DE LIMA PAIVA, PROF.</t>
  </si>
  <si>
    <t>EMEF JOÃO DE LIMA PAIVA, PROF</t>
  </si>
  <si>
    <t>emefjlpaiva@prefeitura.sp.gov.br</t>
  </si>
  <si>
    <t>RUA GETULINA</t>
  </si>
  <si>
    <t>52.311-9</t>
  </si>
  <si>
    <t>PRISCILA ARAUJO SOARES</t>
  </si>
  <si>
    <t>JOAO DE LIMA PAIVA, PROF.</t>
  </si>
  <si>
    <t>EMEF - VINTE E CINCO DE JANEIRO</t>
  </si>
  <si>
    <t>EMEF VINTE E CINCO DE JANEIRO</t>
  </si>
  <si>
    <t>RUA CARANAIBA</t>
  </si>
  <si>
    <t>52.149-3</t>
  </si>
  <si>
    <t>SIMONE CRISTINA DA SILVA MARTINS</t>
  </si>
  <si>
    <t>VINTE E CINCO DE JANEIRO</t>
  </si>
  <si>
    <t>EMEF - JOANA ANGELICA DE JESUS, MADRE</t>
  </si>
  <si>
    <t>EMEF JOANA ANGELICA DE JESUS, MADRE</t>
  </si>
  <si>
    <t>emefmadrejoana@prefeitura.sp.gov.br</t>
  </si>
  <si>
    <t>52.339-9</t>
  </si>
  <si>
    <t>ROSANA MARIA DEL POSTO SANTANA</t>
  </si>
  <si>
    <t>MAIRA VIEIRA DOS SANTOS</t>
  </si>
  <si>
    <t>JOANA ANGELICA DE JESUS, MADRE</t>
  </si>
  <si>
    <t>EMEF - SATURNINO PEREIRA</t>
  </si>
  <si>
    <t>EMEF SATURNINO PEREIRA</t>
  </si>
  <si>
    <t>ESTRADA DO IGUATEMI.</t>
  </si>
  <si>
    <t>52.295-3</t>
  </si>
  <si>
    <t>SATURNINO PEREIRA</t>
  </si>
  <si>
    <t>EMEF - FELICIO PAGLIUSO, PROF.</t>
  </si>
  <si>
    <t xml:space="preserve">EMEF PROF.FELICIO PAGLIUSO </t>
  </si>
  <si>
    <t>30920-6</t>
  </si>
  <si>
    <t>JANE SOARES DA SILVA SOUZA</t>
  </si>
  <si>
    <t>reginacastelhano10@yahoo.com.br</t>
  </si>
  <si>
    <t>KARINA CRISLAINE CAVALCANTE</t>
  </si>
  <si>
    <t>FELICIO PAGLIUSO, PROF.</t>
  </si>
  <si>
    <t>EMEF - JOAQUIM OSORIO DUQUE ESTRADA</t>
  </si>
  <si>
    <t xml:space="preserve">EMEF JOAQUIM OSORIO DUQUE ESTRADA </t>
  </si>
  <si>
    <t>RUA PRIMO BAUDINI</t>
  </si>
  <si>
    <t>13462-7</t>
  </si>
  <si>
    <t>ANA LUCIA DE OLIVEIRA</t>
  </si>
  <si>
    <t>brunnoslopes@hotmail.com</t>
  </si>
  <si>
    <t>IVETE LUCIA PAIVA DA SILVA</t>
  </si>
  <si>
    <t>JOAQUIM OSORIO DUQUE ESTRADA</t>
  </si>
  <si>
    <t>EMEF - COELHO NETO</t>
  </si>
  <si>
    <t xml:space="preserve">EMEF COELHO NETO </t>
  </si>
  <si>
    <t>RUA DIOGO GARCIA</t>
  </si>
  <si>
    <t>10995-9</t>
  </si>
  <si>
    <t>SEBASTIÃO MAURILO ARSANI</t>
  </si>
  <si>
    <t>CRISTINA APARECIDA VIEIRA DO NASCIMENTO</t>
  </si>
  <si>
    <t>COELHO NETO</t>
  </si>
  <si>
    <t>EMEF - PLINIO DE QUEIROZ</t>
  </si>
  <si>
    <t xml:space="preserve">EMEF PLINIO DE QUEIROZ </t>
  </si>
  <si>
    <t>RUA MANOEL HENRIQUE DE PAIVA</t>
  </si>
  <si>
    <t>30805-6</t>
  </si>
  <si>
    <t>VIVIAN FERREIRA DAMACENO</t>
  </si>
  <si>
    <t>PLINIO DE QUEIROZ</t>
  </si>
  <si>
    <t>EMEF - JOSE MARIA WHITAKER</t>
  </si>
  <si>
    <t xml:space="preserve">EMEF JOSE MARIA WHITAKER </t>
  </si>
  <si>
    <t>AVENIDA SATELITE</t>
  </si>
  <si>
    <t>52432-8</t>
  </si>
  <si>
    <t>ROSANA SOARES DA SILVA ESCUDERO</t>
  </si>
  <si>
    <t>MARIA CILENE DA SILVA</t>
  </si>
  <si>
    <t>JOSE MARIA WHITAKER</t>
  </si>
  <si>
    <t>EMEF - RODRIGO MELLO FRANCO DE ANDRADE</t>
  </si>
  <si>
    <t xml:space="preserve">EMEF RODRIGO MELLO FRANCO DE ANDRADE </t>
  </si>
  <si>
    <t>JARDIM COLONIAL</t>
  </si>
  <si>
    <t>30922-2</t>
  </si>
  <si>
    <t>ROSINETE MARIA DA SILVA NADAL</t>
  </si>
  <si>
    <t>RODRIGO MELLO FRANCO DE ANDRADE</t>
  </si>
  <si>
    <t>EMEF - RIVADAVIA MARQUES JUNIOR, PROF.</t>
  </si>
  <si>
    <t xml:space="preserve">EMEF PROF. RIVADAVIA MARQUES JUNIOR </t>
  </si>
  <si>
    <t>RUA DR. PAULO DE QUEIROZ</t>
  </si>
  <si>
    <t>30955-9</t>
  </si>
  <si>
    <t>DOUGLAS DOS SANTOS ROSÁRIO MATOS</t>
  </si>
  <si>
    <t>jsss1403@gmail.com</t>
  </si>
  <si>
    <t>LUIZ AUGUSTO TAVARES</t>
  </si>
  <si>
    <t>RIVADAVIA MARQUES JUNIOR, PROF.</t>
  </si>
  <si>
    <t>EMEF - AURELIO ARROBAS MARTINS, PROF.</t>
  </si>
  <si>
    <t>EMEF PROF AURÉLIO A. MARTINS</t>
  </si>
  <si>
    <t>emefaamartins@prefeitura.sp.gov.br</t>
  </si>
  <si>
    <t>AVENIDA AFONSO SAMPAIO E SOUSA</t>
  </si>
  <si>
    <t>JARDIM NOSSA SRA DO CARMO</t>
  </si>
  <si>
    <t>AURELIO ARROBAS MARTINS, PROF.</t>
  </si>
  <si>
    <t>EMEFM - OSWALDO ARANHA BANDEIRA DE MELLO</t>
  </si>
  <si>
    <t>EMEFM OSWALDO ARANHA BANDEIRA DE MELLO</t>
  </si>
  <si>
    <t>52.425-5</t>
  </si>
  <si>
    <t>OSWALDO ARANHA BANDEIRA DE MELLO</t>
  </si>
  <si>
    <t>EMEF - MAURICIO GOULART</t>
  </si>
  <si>
    <t>EMEF MAURICIO GOULART</t>
  </si>
  <si>
    <t>RUA RENE DE TOLEDO</t>
  </si>
  <si>
    <t>25.081-3</t>
  </si>
  <si>
    <t>MARIA ANDERLINA ANTONIO</t>
  </si>
  <si>
    <t>CLAUDIA AP. ALVES PEREIRA</t>
  </si>
  <si>
    <t>MAURICIO GOULART</t>
  </si>
  <si>
    <t>EMEF - VLADIMIR HERZOG</t>
  </si>
  <si>
    <t>EMEF VLADIMIR HERZOG</t>
  </si>
  <si>
    <t>RUA FRANCISCO JOSÉ VIANA</t>
  </si>
  <si>
    <t>52.991-5</t>
  </si>
  <si>
    <t>KEILA BARRETO GIROTTO ALMEIDA</t>
  </si>
  <si>
    <t>VLADIMIR HERZOG</t>
  </si>
  <si>
    <t>EMEF - OCTAVIO MANGABEIRA</t>
  </si>
  <si>
    <t>EMEF OCTÁVIO MANGABEIRA</t>
  </si>
  <si>
    <t>RUA PAULO BIFANO ALVES</t>
  </si>
  <si>
    <t>51.763-1</t>
  </si>
  <si>
    <t>BÁRBARA MOLINA MAZIN</t>
  </si>
  <si>
    <t>WELLINGTON RODRIGUES DE LIMA</t>
  </si>
  <si>
    <t>OCTAVIO MANGABEIRA</t>
  </si>
  <si>
    <t>EMEF - AMADEU AMARAL</t>
  </si>
  <si>
    <t xml:space="preserve">EMEF AMADEU AMARAL </t>
  </si>
  <si>
    <t>PRAÇA DR. TOLOSA DE OLIVEIRA</t>
  </si>
  <si>
    <t>JARDIM TRÊS MARIAS</t>
  </si>
  <si>
    <t>17.205-7</t>
  </si>
  <si>
    <t>TALITA ANTUNES RODRIGUES</t>
  </si>
  <si>
    <t>AMADEU AMARAL</t>
  </si>
  <si>
    <t>EMEF - PEDRO ALEIXO, DR.</t>
  </si>
  <si>
    <t>EMEF DR. PEDRO ALEIXO</t>
  </si>
  <si>
    <t>RUA PAU D' ARCO ROXO</t>
  </si>
  <si>
    <t>CID. PEDRO JOSE NUNES</t>
  </si>
  <si>
    <t>52051-9</t>
  </si>
  <si>
    <t>ELIANA BERNASCONI SILVA</t>
  </si>
  <si>
    <t>PEDRO ALEIXO, DR.</t>
  </si>
  <si>
    <t>EMEF - EPITACIO PESSOA, PRES.</t>
  </si>
  <si>
    <t>EMEF PRES. EPITÁCIO PESSOA</t>
  </si>
  <si>
    <t>RUA LIBERO ANCONA LOPES</t>
  </si>
  <si>
    <t>45429-X</t>
  </si>
  <si>
    <t>DOUGLAS SOARES DE MIRANDA</t>
  </si>
  <si>
    <t>EPITACIO PESSOA, PRES.</t>
  </si>
  <si>
    <t>EMEF - RAUL PILLA</t>
  </si>
  <si>
    <t>EMEF RAUL PILLA</t>
  </si>
  <si>
    <t>RUA PADRE ORLANDO NOGUEIRA</t>
  </si>
  <si>
    <t>51811-5</t>
  </si>
  <si>
    <t>LEONICE LOPES DA SILVA</t>
  </si>
  <si>
    <t>JANAINA LIMA DA SILVA</t>
  </si>
  <si>
    <t>RAUL PILLA</t>
  </si>
  <si>
    <t>EMEF - ANTONIO DUARTE DE ALMEIDA, PROF.</t>
  </si>
  <si>
    <t>EMEF PROF ANT. D. DE ALMEIDA</t>
  </si>
  <si>
    <t>emefadalmeida@prefeitura.sp.gov.br</t>
  </si>
  <si>
    <t>AVENIDA TREVO DE SANTA MARIA</t>
  </si>
  <si>
    <t>52553-7</t>
  </si>
  <si>
    <t>JOSE DOS SANTOS SILVEIRA</t>
  </si>
  <si>
    <t>ANTONIO DUARTE DE ALMEIDA, PROF.</t>
  </si>
  <si>
    <t>EMEF - PEDRO TEIXEIRA</t>
  </si>
  <si>
    <t>EMEF PEDRO TEXEIRA</t>
  </si>
  <si>
    <t>RUA DOM FRANCISCO DE CAMPOS BARRETO</t>
  </si>
  <si>
    <t>JARDIM SANTANA</t>
  </si>
  <si>
    <t>51683-X</t>
  </si>
  <si>
    <t>LAILA ALI FARES</t>
  </si>
  <si>
    <t>SIMEI DE MELO BRITO</t>
  </si>
  <si>
    <t>PEDRO TEIXEIRA</t>
  </si>
  <si>
    <t>EMEF - ANTONIO CARLOS DE ANDRADA E SILVA</t>
  </si>
  <si>
    <t>EMEFANTONIO CARLOS DE A. E SILVA</t>
  </si>
  <si>
    <t>RUA BALTAZAR SANTANA</t>
  </si>
  <si>
    <t>51665-1</t>
  </si>
  <si>
    <t>ANTONIO CARLOS DE ANDRADA E SILVA</t>
  </si>
  <si>
    <t>EMEF - LUIS SAIA, ARQ.</t>
  </si>
  <si>
    <t>EMEF ARQ. LUIS SAIA</t>
  </si>
  <si>
    <t>RUA AMERICO GOMES DA COSTA</t>
  </si>
  <si>
    <t>VILA AMERICANA/SM</t>
  </si>
  <si>
    <t>51803-4</t>
  </si>
  <si>
    <t>TÂNIA MARANESI</t>
  </si>
  <si>
    <t>MILTON PEREIRA COSTA FILHO</t>
  </si>
  <si>
    <t>LUIS SAIA, ARQ.</t>
  </si>
  <si>
    <t>EMEF - PAULO ROLIM LOUREIRO, D.</t>
  </si>
  <si>
    <t>EMEF DOM PAULO ROLIM LOUREIRO</t>
  </si>
  <si>
    <t>RUA JOÃO NICÁRIO ELEUTÉRIO</t>
  </si>
  <si>
    <t>51754-2</t>
  </si>
  <si>
    <t>SILMARA CRISTINA FERRACINI SILVA</t>
  </si>
  <si>
    <t>PAULO ROLIM LOUREIRO, D.</t>
  </si>
  <si>
    <t>EMEF - PEDRO DE FRONTIN, ALM.</t>
  </si>
  <si>
    <t>EMEF ALM. PEDRO DE FRONTIN</t>
  </si>
  <si>
    <t>RUA JOSE FERREIRA CRESPO</t>
  </si>
  <si>
    <t>51773-9</t>
  </si>
  <si>
    <t>LILIANE SALES DOS SANTOS BARROS</t>
  </si>
  <si>
    <t>EUBER MARTINS DE SOUZA</t>
  </si>
  <si>
    <t>PEDRO DE FRONTIN, ALM.</t>
  </si>
  <si>
    <t>EMEF - FERNANDO DE AZEVEDO, PROF.</t>
  </si>
  <si>
    <t>EMEF PROF. FERNANDO DE AZEVEDO</t>
  </si>
  <si>
    <t>RUA TAPERA</t>
  </si>
  <si>
    <t>51785-2</t>
  </si>
  <si>
    <t>FABIO OLIVEIRA SILVA</t>
  </si>
  <si>
    <t>DANIELA FREITAS DOS SANTOS</t>
  </si>
  <si>
    <t>FERNANDO DE AZEVEDO, PROF.</t>
  </si>
  <si>
    <t>EMEF - JOAO RIBEIRO DE BARROS</t>
  </si>
  <si>
    <t>EMEF JOÃO RIBEIRO DE BARROS</t>
  </si>
  <si>
    <t>RUA ANANI</t>
  </si>
  <si>
    <t>52.104-3</t>
  </si>
  <si>
    <t>FÁBIO ANTONIO DA SILVA</t>
  </si>
  <si>
    <t>JOSEILDO DA SILVA ANDRADE</t>
  </si>
  <si>
    <t>JOAO RIBEIRO DE BARROS</t>
  </si>
  <si>
    <t>EMEF - JOSE DE ANCHIETA, PE.</t>
  </si>
  <si>
    <t>EMEF PE. JOSÉ DE ANCHIETA</t>
  </si>
  <si>
    <t>AVENIDA INAJÁ GUAÇU</t>
  </si>
  <si>
    <t>11848-6</t>
  </si>
  <si>
    <t>MARIA APARECIDA DA MOTTA SAKOTANI</t>
  </si>
  <si>
    <t>NICOLE BOVOLON DOS SANTOS</t>
  </si>
  <si>
    <t>JOSE DE ANCHIETA, PE.</t>
  </si>
  <si>
    <t>EMEF - JOAO AUGUSTO BREVES, DR.</t>
  </si>
  <si>
    <t>EMEF DR. JOÃO AUGUSTO BREVES</t>
  </si>
  <si>
    <t>RUA CECILIA ITER</t>
  </si>
  <si>
    <t>53047-6</t>
  </si>
  <si>
    <t>MARIA TERESA GELAIN OLIVEIRA</t>
  </si>
  <si>
    <t>JOAO AUGUSTO BREVES, DR.</t>
  </si>
  <si>
    <t>EMEF - ALEXANDRE DE GUSMAO</t>
  </si>
  <si>
    <t>EMEF ALEXANDRE DE GUSMÃO</t>
  </si>
  <si>
    <t>RUA PORTO DO BEZERRA</t>
  </si>
  <si>
    <t>PARQUE GUAIANASES</t>
  </si>
  <si>
    <t>51.878-6</t>
  </si>
  <si>
    <t xml:space="preserve">FÁBIO MORAES GONÇALVES </t>
  </si>
  <si>
    <t>LINDOMAR FERREIRA CARDOSO</t>
  </si>
  <si>
    <t>ALEXANDRE DE GUSMAO</t>
  </si>
  <si>
    <t>EMEF - HENRIQUE FELIPE DA COSTA - HENRICAO</t>
  </si>
  <si>
    <t>EMEF HENRIQUE FELIPE DA COSTA</t>
  </si>
  <si>
    <t>JARDIM CAMPOS</t>
  </si>
  <si>
    <t>51750-X</t>
  </si>
  <si>
    <t>CAIO TIAGO DE FARIA FERREIRA</t>
  </si>
  <si>
    <t>NADIA GOMES DE SOUSA ANDRADE</t>
  </si>
  <si>
    <t>HENRIQUE FELIPE DA COSTA - HENRICAO</t>
  </si>
  <si>
    <t>EMEF - ANTONIA E ARTUR BEGBIE</t>
  </si>
  <si>
    <t>EMEF ANTONIA E ARTUR BEGBIE</t>
  </si>
  <si>
    <t>RUA ILHA DE MARUI</t>
  </si>
  <si>
    <t>VILA CURUÇA</t>
  </si>
  <si>
    <t>45051-0</t>
  </si>
  <si>
    <t>CLAUDIA LUCIA DE MEDEIROS</t>
  </si>
  <si>
    <t>SILVIA KELLY PEREIRA</t>
  </si>
  <si>
    <t>ANTONIA E ARTUR BEGBIE</t>
  </si>
  <si>
    <t>EMEF - NEWTON REIS, GEN.</t>
  </si>
  <si>
    <t>EMEF GEN NEWTON REIS</t>
  </si>
  <si>
    <t>RUA JOSÉ ALEXANDRE MACHADO</t>
  </si>
  <si>
    <t>28138-7</t>
  </si>
  <si>
    <t>MARIA LUIZA ZANUSSI CAMPOS</t>
  </si>
  <si>
    <t>NEWTON REIS, GEN.</t>
  </si>
  <si>
    <t>EMEF - MARIA IMILDA DO SANTISSIMO SACRAMENTO, ME.</t>
  </si>
  <si>
    <t>EMEF MARIA IMILDA DO S. SACRAMENTO</t>
  </si>
  <si>
    <t>RUA GENRIDOBA</t>
  </si>
  <si>
    <t>52026-8</t>
  </si>
  <si>
    <t>JANE RODRIGUEIRO</t>
  </si>
  <si>
    <t>MARIA IMILDA DO SANTISSIMO SACRAMENTO, ME.</t>
  </si>
  <si>
    <t>EMEF - RAIMUNDO CORREIA</t>
  </si>
  <si>
    <t>EMEF RAIMUNDO CORREIA</t>
  </si>
  <si>
    <t>RUA DR. JOSÉ DE PORCIUNCULA</t>
  </si>
  <si>
    <t>52195-X</t>
  </si>
  <si>
    <t>MARA LUCIA MARTINS</t>
  </si>
  <si>
    <t>IRANI ALVES DOS SANTOS</t>
  </si>
  <si>
    <t>RAIMUNDO CORREIA</t>
  </si>
  <si>
    <t>EMEF - JOSE AMERICO DE ALMEIDA</t>
  </si>
  <si>
    <t>EMEF JOSÉ AMÉRICO DE ALMEIDA</t>
  </si>
  <si>
    <t>RUA ALTOS DO OITI</t>
  </si>
  <si>
    <t>VILA HELENA</t>
  </si>
  <si>
    <t>51760-7</t>
  </si>
  <si>
    <t>WELLINGTON DE OLIVEIRA ALENCAR</t>
  </si>
  <si>
    <t>JOSE AMERICO DE ALMEIDA</t>
  </si>
  <si>
    <t>EMEF - JOSE BENTO DE ASSIS, PROF.</t>
  </si>
  <si>
    <t>EMEF PROF. JOSÉ BENTO DE ASSIS</t>
  </si>
  <si>
    <t>RUA SÃO GONÇALO DO RIO DAS PEDRAS</t>
  </si>
  <si>
    <t>51844-1</t>
  </si>
  <si>
    <t>CLEBER PEIXOTO PEREIRA</t>
  </si>
  <si>
    <t>JOSE BENTO DE ASSIS, PROF.</t>
  </si>
  <si>
    <t>EMEF - ARMANDO CRIDEY RIGHETTI</t>
  </si>
  <si>
    <t>EMEF ARMANDO CRIDEY RIGHETTI</t>
  </si>
  <si>
    <t>RUA CORDÃO DE SÃO FRANCISCO</t>
  </si>
  <si>
    <t>VILA AIMORÉ</t>
  </si>
  <si>
    <t>47879-2</t>
  </si>
  <si>
    <t>ARMANDO CRIDEY RIGHETTI</t>
  </si>
  <si>
    <t>EMEF - CAPISTRANO DE ABREU</t>
  </si>
  <si>
    <t>EMEF CAPISTRANO DE ABREU</t>
  </si>
  <si>
    <t>RUA MANOEL MARTINS DE MELO</t>
  </si>
  <si>
    <t xml:space="preserve">1267-X </t>
  </si>
  <si>
    <t>52161-2</t>
  </si>
  <si>
    <t>MICHAEL PEREIRA DE OLIVEIRA FERNANDES</t>
  </si>
  <si>
    <t>CAPISTRANO DE ABREU</t>
  </si>
  <si>
    <t>EMEF - CARLOS PASQUALE, PROF.</t>
  </si>
  <si>
    <t>EMEF PROF. CARLOS PASQUALE</t>
  </si>
  <si>
    <t>RUA BARÃO DE ALAGOAS</t>
  </si>
  <si>
    <t>28180-8</t>
  </si>
  <si>
    <t>RICARDO DO NASCIMENTO</t>
  </si>
  <si>
    <t>CARLOS PASQUALE, PROF.</t>
  </si>
  <si>
    <t>EMEF - EZEQUIEL RAMOS JUNIOR</t>
  </si>
  <si>
    <t>EMEF EZEQUIEL RAMOS JUNIOR</t>
  </si>
  <si>
    <t>RUA JOSÉ BORGES DO CANTO</t>
  </si>
  <si>
    <t>28221-9</t>
  </si>
  <si>
    <t>MARIZETE DE CAMPOS NETO</t>
  </si>
  <si>
    <t>EZEQUIEL RAMOS JUNIOR</t>
  </si>
  <si>
    <t>EMEF - SUD MENNUCCI</t>
  </si>
  <si>
    <t>EMEF SUD MENNUCCI</t>
  </si>
  <si>
    <t>RUA JOÃO BISCONE</t>
  </si>
  <si>
    <t>52013-6</t>
  </si>
  <si>
    <t>MARIVANIA MAMEDE SOUZA</t>
  </si>
  <si>
    <t>SUD MENNUCCI</t>
  </si>
  <si>
    <t>EMEF - OTHELO FRANCO, GEN.</t>
  </si>
  <si>
    <t>EMEF GENERAL OTHELO FRANCO</t>
  </si>
  <si>
    <t>29.489-6</t>
  </si>
  <si>
    <t>OTHELO FRANCO, GEN.</t>
  </si>
  <si>
    <t>EMEF - JACKSON DE FIGUEIREDO</t>
  </si>
  <si>
    <t>EMEF JACKSON DE FIGUEIREDO</t>
  </si>
  <si>
    <t>RUA ITAPURA</t>
  </si>
  <si>
    <t>VILA LUZITANA</t>
  </si>
  <si>
    <t>29.580-9</t>
  </si>
  <si>
    <t>MARLENE DA SILVA</t>
  </si>
  <si>
    <t>JACKSON DE FIGUEIREDO</t>
  </si>
  <si>
    <t>EMEF - JOAO PINHEIRO, PRES.</t>
  </si>
  <si>
    <t>EMEF PRES. JOÃO PINHEIRO</t>
  </si>
  <si>
    <t>RUA DR. EDGARD GARCIA VIEIRA</t>
  </si>
  <si>
    <t>17.445-9</t>
  </si>
  <si>
    <t>CATIA MORALES</t>
  </si>
  <si>
    <t>JOAO PINHEIRO, PRES.</t>
  </si>
  <si>
    <t>EMEF - 19 DE NOVEMBRO</t>
  </si>
  <si>
    <t>EMEF 19 DE NOVEMBRO</t>
  </si>
  <si>
    <t>PRAÇA BAUXITA</t>
  </si>
  <si>
    <t>17.433-5</t>
  </si>
  <si>
    <t>CLEBER MAURER AMATO</t>
  </si>
  <si>
    <t>19 DE NOVEMBRO</t>
  </si>
  <si>
    <t>EMEF - FIRMINO TIBURCIO DA COSTA</t>
  </si>
  <si>
    <t>EMEF "FIRMINO TIBURCIO DA COSTA"</t>
  </si>
  <si>
    <t>RUA PEDRO MORCILLA FILHO</t>
  </si>
  <si>
    <t>CIDADE PATRIARCA</t>
  </si>
  <si>
    <t>26.082-7</t>
  </si>
  <si>
    <t>SILVIA RIBEIRO DA COSTA</t>
  </si>
  <si>
    <t>FIRMINO TIBURCIO DA COSTA</t>
  </si>
  <si>
    <t>EMEF - ABRAO DE MORAES, PROF.</t>
  </si>
  <si>
    <t>EMEF PROF. ABRÃO DE MORAES</t>
  </si>
  <si>
    <t>RUA ISAURA VERGUEIRO NAUFEL</t>
  </si>
  <si>
    <t>19.807-2</t>
  </si>
  <si>
    <t>LILIANE DE MORAES OLIVEIRA</t>
  </si>
  <si>
    <t>ABRAO DE MORAES, PROF.</t>
  </si>
  <si>
    <t>EMEF - HUMBERTO DE CAMPOS</t>
  </si>
  <si>
    <t>EMEF HUMBERTO DE CAMPOS</t>
  </si>
  <si>
    <t>AVENIDA PROF. XAVIER DE LIMA</t>
  </si>
  <si>
    <t>19.822-6</t>
  </si>
  <si>
    <t>ANA CARLA MARCHINI BERTOLACINI</t>
  </si>
  <si>
    <t>HUMBERTO DE CAMPOS</t>
  </si>
  <si>
    <t>EMEF - JOSE BONIFACIO</t>
  </si>
  <si>
    <t>EMEF JOSÉ BONIFÁCIO</t>
  </si>
  <si>
    <t>RUA DR. FREDERICO BROTERO</t>
  </si>
  <si>
    <t>JARDIM TRIANA</t>
  </si>
  <si>
    <t>26.083-5</t>
  </si>
  <si>
    <t>RODNEY BEZERRA DOS SANTOS</t>
  </si>
  <si>
    <t>prof.rodney@gmail.com</t>
  </si>
  <si>
    <t>JOSE BONIFACIO</t>
  </si>
  <si>
    <t>EMEF - CAIRU, VISC. DE</t>
  </si>
  <si>
    <t>EMEF VISCONDE DE CAIRU</t>
  </si>
  <si>
    <t>PRAÇA ARARUVA</t>
  </si>
  <si>
    <t>19.836-6</t>
  </si>
  <si>
    <t>MARI LUCIA FERREIRA DA SILVA</t>
  </si>
  <si>
    <t>EMERSON SOTO</t>
  </si>
  <si>
    <t>CAIRU, VISC. DE</t>
  </si>
  <si>
    <t>EMEF - ARTHUR ALVIM</t>
  </si>
  <si>
    <t>EMEF DE ARTHUR ALVIM</t>
  </si>
  <si>
    <t>RUA DES. ROCHA PORTELA</t>
  </si>
  <si>
    <t>26.085-1</t>
  </si>
  <si>
    <t>ADRIANA FARIAS ANTICO</t>
  </si>
  <si>
    <t>EMEF - ANTONIO VIEIRA, PE.</t>
  </si>
  <si>
    <t>EMEF PADRE ANTÔNIO VIEIRA</t>
  </si>
  <si>
    <t>RUA ANTONIO BACAERI</t>
  </si>
  <si>
    <t>14.712-5</t>
  </si>
  <si>
    <t>ANTONIO VIEIRA, PE.</t>
  </si>
  <si>
    <t>EMEF - JENNY GOMES, DA.</t>
  </si>
  <si>
    <t>EMEF DONA JENNY GOMES</t>
  </si>
  <si>
    <t>RUA JOHN NEPER</t>
  </si>
  <si>
    <t>JARDIM COIMBRA</t>
  </si>
  <si>
    <t>19.938-9</t>
  </si>
  <si>
    <t>RENATA PEREIRA PARDIM</t>
  </si>
  <si>
    <t>JENNY GOMES, DA.</t>
  </si>
  <si>
    <t>EMEF - 8 DE MAIO</t>
  </si>
  <si>
    <t>EMEF 8 DE MAIO</t>
  </si>
  <si>
    <t>emef8maio@prefeitura.sp.gov.br</t>
  </si>
  <si>
    <t>RUA CAMBAXIRRA</t>
  </si>
  <si>
    <t>52670-3</t>
  </si>
  <si>
    <t>FABIO GUIMARAES SILVA</t>
  </si>
  <si>
    <t>8 DE MAIO</t>
  </si>
  <si>
    <t>EMEF - WANNY SALGADO ROCHA, PROFA.</t>
  </si>
  <si>
    <t>EMEF PROFESSORA WANNY SALGADO ROCHA</t>
  </si>
  <si>
    <t>RUA SILVIO RIBEIRO DOS SANTOS</t>
  </si>
  <si>
    <t>19.875-7</t>
  </si>
  <si>
    <t>MARIA SUELI SANTOS DA SILVA</t>
  </si>
  <si>
    <t>WANNY SALGADO ROCHA, PROFA.</t>
  </si>
  <si>
    <t>EMEF - HENRIQUE PEGADO, PROF.</t>
  </si>
  <si>
    <t>EMEF PROFESSOR HENRIQUE PEGADO</t>
  </si>
  <si>
    <t>RUA ITAPIRUNA</t>
  </si>
  <si>
    <t>JARDIM PENHA</t>
  </si>
  <si>
    <t>17.256-1</t>
  </si>
  <si>
    <t>HENRIQUE PEGADO, PROF.</t>
  </si>
  <si>
    <t>EMEF - JUAREZ TAVORA, MAL.</t>
  </si>
  <si>
    <t>EMEF MARECHAL JUAREZ TÁVORA</t>
  </si>
  <si>
    <t>RUA JAPARAIQUARA</t>
  </si>
  <si>
    <t>VILA RIO BRANCO</t>
  </si>
  <si>
    <t>20.737-3</t>
  </si>
  <si>
    <t>ELAINE CASTILHO</t>
  </si>
  <si>
    <t>juarez_tavora@hotmail.com</t>
  </si>
  <si>
    <t>JUAREZ TAVORA, MAL.</t>
  </si>
  <si>
    <t>EMEF - FRANCISCO DE MONT' ALVERNE, FREI</t>
  </si>
  <si>
    <t>EMEF FREI FRANCISCO DE MONT' ALVERNE</t>
  </si>
  <si>
    <t>RUA SÃO CELSO</t>
  </si>
  <si>
    <t>VILA DOMITILIA</t>
  </si>
  <si>
    <t>44.753-6</t>
  </si>
  <si>
    <t>MARLI VIANA SANTOS</t>
  </si>
  <si>
    <t>FRANCISCO DE MONT' ALVERNE, FREI</t>
  </si>
  <si>
    <t>EMEF - LUIS WASHINGTON VITA</t>
  </si>
  <si>
    <t>EMEF LUIS WASHINGTON VITA</t>
  </si>
  <si>
    <t>RUA CONCEIÇÃO DA BREJAUBA</t>
  </si>
  <si>
    <t>17.302-9</t>
  </si>
  <si>
    <t>SÉRGIO ROSA CARVALHEIRA</t>
  </si>
  <si>
    <t>LUIS WASHINGTON VITA</t>
  </si>
  <si>
    <t>EMEF - GUILHERME DE ALMEIDA</t>
  </si>
  <si>
    <t>EMEF GUILHERME DE ALMEIDA</t>
  </si>
  <si>
    <t>17.152-2</t>
  </si>
  <si>
    <t>LILIAN BEATRIZ DE CARVALHO CONTIERI</t>
  </si>
  <si>
    <t>GUILHERME DE ALMEIDA</t>
  </si>
  <si>
    <t>EMEF - CECILIA MEIRELES</t>
  </si>
  <si>
    <t>EMEF CECILIA MEIRELES</t>
  </si>
  <si>
    <t>RUA FREI RICARDO DO PILAR</t>
  </si>
  <si>
    <t>17.190-5</t>
  </si>
  <si>
    <t>SANDRA APARECIDA MARTINS</t>
  </si>
  <si>
    <t>CECILIA MEIRELES</t>
  </si>
  <si>
    <t>EMEF - EDGARD CAVALHEIRO</t>
  </si>
  <si>
    <t>EMEF EDGARD CAVALHEIRO</t>
  </si>
  <si>
    <t>RUA PORTO DA GLÓRIA</t>
  </si>
  <si>
    <t>VILA MESQUITA</t>
  </si>
  <si>
    <t>19.749-1</t>
  </si>
  <si>
    <t>VANIA DE AZEVEDO LAGE</t>
  </si>
  <si>
    <t>MARISA PRADO SANTOS</t>
  </si>
  <si>
    <t>EDGARD CAVALHEIRO</t>
  </si>
  <si>
    <t>EMEF - ARTHUR AZEVEDO</t>
  </si>
  <si>
    <t>EMEF ARTHUR AZEVEDO</t>
  </si>
  <si>
    <t>RUA PARQUE BUTUÍ</t>
  </si>
  <si>
    <t xml:space="preserve">TATUAPÉ </t>
  </si>
  <si>
    <t>32.499-X</t>
  </si>
  <si>
    <t>CLAUDIA APARECIDA CONCOURD</t>
  </si>
  <si>
    <t>clau.courd@yahoo.com.br</t>
  </si>
  <si>
    <t>ARTHUR AZEVEDO</t>
  </si>
  <si>
    <t>EMEF - NILO PECANHA, PRES.</t>
  </si>
  <si>
    <t>EMEF NILO PEÇANHA</t>
  </si>
  <si>
    <t>RUA ENEIAS LUIS CARLOS BARBANTI</t>
  </si>
  <si>
    <t>VILA ARCADIA</t>
  </si>
  <si>
    <t>37746-5</t>
  </si>
  <si>
    <t>RENATA CECILIA DE AGUIAR</t>
  </si>
  <si>
    <t>NILO PECANHA, PRES.</t>
  </si>
  <si>
    <t>EMEF - PLINIO AYROSA</t>
  </si>
  <si>
    <t>EMEF PLINIO AYROSA</t>
  </si>
  <si>
    <t>RUA THOMAZ RAMOS JORDÃO</t>
  </si>
  <si>
    <t>37673-6</t>
  </si>
  <si>
    <t>JUCILEI ALVES DE SOUZA</t>
  </si>
  <si>
    <t>ZENKITSI KUNIFOSHITA</t>
  </si>
  <si>
    <t>PLINIO AYROSA</t>
  </si>
  <si>
    <t>EMEF - JOANINHA GRASSI FAGUNDES, PROFA.</t>
  </si>
  <si>
    <t>EMEF PROF JOANINHA GRASSI FAGUNDES</t>
  </si>
  <si>
    <t>RUA ALBERTO ANDALO</t>
  </si>
  <si>
    <t>MARLENE MARTINS</t>
  </si>
  <si>
    <t>JOANINHA GRASSI FAGUNDES, PROFA.</t>
  </si>
  <si>
    <t>EMEF - ERICO VERISSIMO</t>
  </si>
  <si>
    <t>EMEF ERICO VERISSIMO</t>
  </si>
  <si>
    <t>RUA RAFAEL ALVES</t>
  </si>
  <si>
    <t>VILA MIRIAM</t>
  </si>
  <si>
    <t>30698-3</t>
  </si>
  <si>
    <t>ELIS REGINA DORTA</t>
  </si>
  <si>
    <t>ERICO VERISSIMO</t>
  </si>
  <si>
    <t>EMEF - MILTOM CAMPOS, SEN.</t>
  </si>
  <si>
    <t>EMEF MILTON CAMPOS</t>
  </si>
  <si>
    <t>RUA PERSIO DE SOUZA QUEIROZ FILHO</t>
  </si>
  <si>
    <t>30838-2</t>
  </si>
  <si>
    <t>MICHAEL SILVESTRE DOS SANTOS</t>
  </si>
  <si>
    <t>PAULO SALVADOR CARAMMA</t>
  </si>
  <si>
    <t>MILTOM CAMPOS, SEN.</t>
  </si>
  <si>
    <t>EMEF - ANDRE RODRIGUES DE ALCKMIN, PROF.</t>
  </si>
  <si>
    <t>EMEF PROFESSOR  ANDRE RODRIGUES DE ALCKM IN</t>
  </si>
  <si>
    <t>RUA MARCELINO JOSE DE FREITAS</t>
  </si>
  <si>
    <t>VILA TEREZINHA</t>
  </si>
  <si>
    <t>BIBIANA VERNEK FERNANDES</t>
  </si>
  <si>
    <t>ALEXANDRE DANTAS DA SILVA</t>
  </si>
  <si>
    <t>ANDRE RODRIGUES DE ALCKMIN, PROF.</t>
  </si>
  <si>
    <t>EMEF - RAUL FERNANDES, EMB.</t>
  </si>
  <si>
    <t>EMEF RAUL FERNANDES</t>
  </si>
  <si>
    <t>RUA NAIR RAMOS SCHURING</t>
  </si>
  <si>
    <t>38017-2</t>
  </si>
  <si>
    <t>CARLOS ALBERTO DE OLIVEIRA</t>
  </si>
  <si>
    <t>RAUL FERNANDES, EMB.</t>
  </si>
  <si>
    <t>EMEF - THEO DUTRA</t>
  </si>
  <si>
    <t>EMEF THEO DUTRA</t>
  </si>
  <si>
    <t>AV GUILHERME DE ALMEIDA</t>
  </si>
  <si>
    <t>37624-8</t>
  </si>
  <si>
    <t>THEO DUTRA</t>
  </si>
  <si>
    <t>EMEF - ANTONIO PRUDENTE, PROF.</t>
  </si>
  <si>
    <t>EMEF PROF ANTONIO PRUDENTE</t>
  </si>
  <si>
    <t>RUA MANOEL INACIO ALVARENGA</t>
  </si>
  <si>
    <t>JARDIM ALMANARA</t>
  </si>
  <si>
    <t>37675-2</t>
  </si>
  <si>
    <t>ANTONIO PRUDENTE, PROF.</t>
  </si>
  <si>
    <t>EMEF - SEBASTIAO NOGUEIRA DE LIMA, DES.</t>
  </si>
  <si>
    <t>EMEF SEBASTIÃO NOGUEIRA DE LIMA, DES.</t>
  </si>
  <si>
    <t>RUA JOAQUIM MARIA DOS SANTOS</t>
  </si>
  <si>
    <t>30926-5</t>
  </si>
  <si>
    <t>MARCIO ROBERTO THOMAZ</t>
  </si>
  <si>
    <t>SEBASTIAO NOGUEIRA DE LIMA, DES.</t>
  </si>
  <si>
    <t>EMEF - CASTRO ALVES</t>
  </si>
  <si>
    <t>EMEF CASTRO ALVES</t>
  </si>
  <si>
    <t>RUA AGENOR ALVES MEIRA</t>
  </si>
  <si>
    <t>37713-9</t>
  </si>
  <si>
    <t>LUCIA HELENA ERUSTES</t>
  </si>
  <si>
    <t>EMEF - JOAO AMOS COMENIUS</t>
  </si>
  <si>
    <t>EMEF JOAO AMOS COMENIUS</t>
  </si>
  <si>
    <t>JD VISTA ALEGRE</t>
  </si>
  <si>
    <t>37748-1</t>
  </si>
  <si>
    <t>ADRIANA DE SOUZA</t>
  </si>
  <si>
    <t>JOAO AMOS COMENIUS</t>
  </si>
  <si>
    <t>EMEF - RAUL DE LEONI</t>
  </si>
  <si>
    <t>EMEF RAUL DE LEONI</t>
  </si>
  <si>
    <t>AVENIDA JOSÉ ROCHA VIANA</t>
  </si>
  <si>
    <t>30.902-8</t>
  </si>
  <si>
    <t>mmadalena@prefeitura.sp.gov.br</t>
  </si>
  <si>
    <t>ANTONIO VICENTE DA SILVA FILHO</t>
  </si>
  <si>
    <t>RAUL DE LEONI</t>
  </si>
  <si>
    <t>EMEF - OSVALDO QUIRINO SIMOES</t>
  </si>
  <si>
    <t>EMEF OSVALDO QUIRINO SIMOES</t>
  </si>
  <si>
    <t xml:space="preserve">RUA CAMILO PEÇANHA </t>
  </si>
  <si>
    <t>VILA DIONISIA</t>
  </si>
  <si>
    <t>10574-0</t>
  </si>
  <si>
    <t>OSVALDO QUIRINO SIMOES</t>
  </si>
  <si>
    <t>EMEF - FREDERICO GUSTAVO DOS SANTOS, TTE. AVIADOR</t>
  </si>
  <si>
    <t>EMEF TENENTE AVIADOR FREDERICO GUSTAVO DOS SANTOS</t>
  </si>
  <si>
    <t>AV. GEN PENHA BRASIL</t>
  </si>
  <si>
    <t>VILA ANGELICA</t>
  </si>
  <si>
    <t>25626-9</t>
  </si>
  <si>
    <t>JAIRO BATISTA DE OLIVEIRA</t>
  </si>
  <si>
    <t>FREDERICO GUSTAVO DOS SANTOS, TTE. AVIADOR</t>
  </si>
  <si>
    <t>EMEF - PEDRO AMERICO</t>
  </si>
  <si>
    <t>EMEF PEDRO AMERICO</t>
  </si>
  <si>
    <t>RUA VICENTE JORGE</t>
  </si>
  <si>
    <t>JD CACHOEIRA</t>
  </si>
  <si>
    <t>37651-5</t>
  </si>
  <si>
    <t>MONICA BECKENKAMP</t>
  </si>
  <si>
    <t>MARCELA GOUVEIA PERES</t>
  </si>
  <si>
    <t>PEDRO AMERICO</t>
  </si>
  <si>
    <t>EMEF - ELIAS DE SIQUEIRA CAVALCANTI, DR.</t>
  </si>
  <si>
    <t>EMEF DR. ELIAS DE SIQUEIRA CAVALCANTI</t>
  </si>
  <si>
    <t>VILA PALMEIRAS</t>
  </si>
  <si>
    <t>NAYADE SANTOS SILVA REIS</t>
  </si>
  <si>
    <t>ELIAS DE SIQUEIRA CAVALCANTI, DR.</t>
  </si>
  <si>
    <t>EMEF - HUMBERTO DANTAS</t>
  </si>
  <si>
    <t>EMEF HUMBERTO DANTAS</t>
  </si>
  <si>
    <t>RUA MANOEL DIAS DO CAMPO</t>
  </si>
  <si>
    <t>CASA VERDE ALTA</t>
  </si>
  <si>
    <t>CAROLINA SOARES</t>
  </si>
  <si>
    <t>HUMBERTO DANTAS</t>
  </si>
  <si>
    <t>EMEF - AROLDO DE AZEVEDO, PROF.</t>
  </si>
  <si>
    <t>EMEF PROFESSOR AROLDO DE AZEVEDO</t>
  </si>
  <si>
    <t>RUA FRANCISCO AUGUSTO LOPES</t>
  </si>
  <si>
    <t>19335-6</t>
  </si>
  <si>
    <t>ORSON WELLES RODRIGUES DA SILVA</t>
  </si>
  <si>
    <t>AROLDO DE AZEVEDO, PROF.</t>
  </si>
  <si>
    <t>EMEF - ANGELINA MAFFEI VITA, DA.</t>
  </si>
  <si>
    <t>EMEF DONA ANGELINA MAFFEI VITA</t>
  </si>
  <si>
    <t>RUA ZILDA</t>
  </si>
  <si>
    <t>19340-2</t>
  </si>
  <si>
    <t>ANGELINA MAFFEI VITA, DA.</t>
  </si>
  <si>
    <t>EMEF - GARCIA D'AVILA, CTE.</t>
  </si>
  <si>
    <t>EMEF COMANDANTE GARCIA D'AVILA</t>
  </si>
  <si>
    <t>RUA ARMANDO COELHO SILVA</t>
  </si>
  <si>
    <t>19305-4</t>
  </si>
  <si>
    <t>DILMA CORREA DE OLIVEIRA</t>
  </si>
  <si>
    <t>GARCIA D'AVILA, CTE.</t>
  </si>
  <si>
    <t>EMEF CEU - TEOTONIO VILELA, SEN.</t>
  </si>
  <si>
    <t>EMEF SENADOR TEOTONIO VILELA</t>
  </si>
  <si>
    <t>RUA DANIEL CERRI</t>
  </si>
  <si>
    <t>10581-3</t>
  </si>
  <si>
    <t>RICARDO MARCELO PACHECO ALMAS</t>
  </si>
  <si>
    <t>PRISCILA CARDOSO COSTA</t>
  </si>
  <si>
    <t>TEOTONIO VILELA, SEN.</t>
  </si>
  <si>
    <t>EMEF - CECILIA MORAES DE VASCONCELOS, PROFA.</t>
  </si>
  <si>
    <t>EMEF CECILIA MORAES VASCONCELOS</t>
  </si>
  <si>
    <t>37573-X</t>
  </si>
  <si>
    <t>CECILIA MORAES DE VASCONCELOS, PROFA.</t>
  </si>
  <si>
    <t>EMEF - MARIO KOSEL FILHO</t>
  </si>
  <si>
    <t>EMEF MARIO KOSEL FILHO</t>
  </si>
  <si>
    <t>RUA URUTINGA</t>
  </si>
  <si>
    <t>31651-2</t>
  </si>
  <si>
    <t>CHRISTIANE SECCOMANDI TEIXEIRA ROCHA</t>
  </si>
  <si>
    <t>emefmariokosel@ig.com.br</t>
  </si>
  <si>
    <t>MARIO KOSEL FILHO</t>
  </si>
  <si>
    <t>EMEF - MONTEIRO LOBATO</t>
  </si>
  <si>
    <t>EMEF MONTEIRO LOBATO</t>
  </si>
  <si>
    <t>AVENIDA PAULA FERREIRA</t>
  </si>
  <si>
    <t>30803-X</t>
  </si>
  <si>
    <t>MARIA CRISTINA POLIDORO</t>
  </si>
  <si>
    <t>ceserra1@yahoo.com.br</t>
  </si>
  <si>
    <t xml:space="preserve">ADELIA DE SOUSA PARTELLA </t>
  </si>
  <si>
    <t>EMEF - GABRIEL PRESTES, PROF.</t>
  </si>
  <si>
    <t>EMEF GABRIEL PRESTES</t>
  </si>
  <si>
    <t>RUA CARLOS DA CUNHA MATOS</t>
  </si>
  <si>
    <t>CHACARA INGLESA</t>
  </si>
  <si>
    <t>30851-X</t>
  </si>
  <si>
    <t>ROGERIO TANDAYA GRAÇA</t>
  </si>
  <si>
    <t>GABRIEL PRESTES, PROF.</t>
  </si>
  <si>
    <t>EMEF - LIBERATO BITTENCOURT, GEN.</t>
  </si>
  <si>
    <t>EMEF LIBERATO BITTENCOURT, GEN.</t>
  </si>
  <si>
    <t>RUA ARNALDO ALVERNAZ NUNES</t>
  </si>
  <si>
    <t>JARDIM SÃO JOSE</t>
  </si>
  <si>
    <t>30787-4</t>
  </si>
  <si>
    <t>MARLENE OLIVEIRA GARCIA BANHOS</t>
  </si>
  <si>
    <t>emeflbittencourt@pref.sp.gov.br</t>
  </si>
  <si>
    <t>LIBERATO BITTENCOURT, GEN.</t>
  </si>
  <si>
    <t>EMEF - LEOPOLDINA, IMP.</t>
  </si>
  <si>
    <t>EMEF DA IMPERATRIZ LEOPOLDINA</t>
  </si>
  <si>
    <t>emefleopoldina@prefeitura.sp.gov.br</t>
  </si>
  <si>
    <t>RUA COMENDADOR FEIZ ZARZUR</t>
  </si>
  <si>
    <t>31094-8</t>
  </si>
  <si>
    <t xml:space="preserve">CONSUELO MENDES SILVA </t>
  </si>
  <si>
    <t>LEOPOLDINA, IMP.</t>
  </si>
  <si>
    <t>EMEF - RENATO ANTONIO CHECCHIA, PROF.</t>
  </si>
  <si>
    <t>EMEF RENATO ANTONIO CHECCHIA,VER.</t>
  </si>
  <si>
    <t>emefrachecchia@prefeitura.sp.gov.br</t>
  </si>
  <si>
    <t>RUA JOSE FERREIRA DE MENEZES</t>
  </si>
  <si>
    <t>JARDIM MAGGI</t>
  </si>
  <si>
    <t>155.575-8</t>
  </si>
  <si>
    <t xml:space="preserve">LUIZ DONIZETTI RUIZ JUNIOR </t>
  </si>
  <si>
    <t xml:space="preserve">GEDILSA LOURENÇO DA SILVA </t>
  </si>
  <si>
    <t>RENATO ANTONIO CHECCHIA, PROF.</t>
  </si>
  <si>
    <t>EMEF - VICENTE DE PAULO DALE COUTINHO, GEN.</t>
  </si>
  <si>
    <t>EMEF VICENTE DE PAULO DALE COUTINHO, GEN</t>
  </si>
  <si>
    <t>AVENIDA DEP. CANTÍDIO SAMPAIO</t>
  </si>
  <si>
    <t>31146-4</t>
  </si>
  <si>
    <t xml:space="preserve">CLOVIS DA SILVA LIMA </t>
  </si>
  <si>
    <t>emefvpdcoutinho@sme.prefeitura.sp.gov.br</t>
  </si>
  <si>
    <t xml:space="preserve">ELIANE APARECIDA DE ALMEIDA </t>
  </si>
  <si>
    <t>VICENTE DE PAULO DALE COUTINHO, GEN.</t>
  </si>
  <si>
    <t>EMEF - LEONEL FRANCA, PE.</t>
  </si>
  <si>
    <t>EMEF LEONEL FRANCA ,PE.</t>
  </si>
  <si>
    <t>RUA XAVIER DOS PASSAROS</t>
  </si>
  <si>
    <t>31145-6</t>
  </si>
  <si>
    <t xml:space="preserve">MAURICIO CANUTO ROCHA </t>
  </si>
  <si>
    <t>LEONEL FRANCA, PE.</t>
  </si>
  <si>
    <t>EMEF - LUIZ DAVID SOBRINHO, PROF.</t>
  </si>
  <si>
    <t>EMEF LUIZ DAVID SOBRINHO</t>
  </si>
  <si>
    <t>31047-6</t>
  </si>
  <si>
    <t>FABIO ROGERIO NEPOMUCENO</t>
  </si>
  <si>
    <t>emefldsobrinho@pref.sp.gov.br</t>
  </si>
  <si>
    <t>LUIZ DAVID SOBRINHO, PROF.</t>
  </si>
  <si>
    <t>EMEF - JULIO DE OLIVEIRA</t>
  </si>
  <si>
    <t>EMEF JULIO DE OLIVEIRA</t>
  </si>
  <si>
    <t>emefjoliveira@prefeitura.sp.gov.br</t>
  </si>
  <si>
    <t>VILA FANTON</t>
  </si>
  <si>
    <t>31129-4</t>
  </si>
  <si>
    <t xml:space="preserve">ALESSANDRA GABRIEL DA SILVA </t>
  </si>
  <si>
    <t>JULIO DE OLIVEIRA</t>
  </si>
  <si>
    <t>EMEF - CANDIDO PORTINARI</t>
  </si>
  <si>
    <t>EMEF CÂNDIDO PORTINARI</t>
  </si>
  <si>
    <t>RUA GUILHERME C. DE MELO</t>
  </si>
  <si>
    <t>113.147-8</t>
  </si>
  <si>
    <t>LIZETI APARECIDA LOURENÇO</t>
  </si>
  <si>
    <t>CANDIDO PORTINARI</t>
  </si>
  <si>
    <t>EMEF - PAULO PRADO</t>
  </si>
  <si>
    <t>EMEF PAULO PRADO</t>
  </si>
  <si>
    <t xml:space="preserve">RUA POMPEU BERTINE </t>
  </si>
  <si>
    <t>12999-2</t>
  </si>
  <si>
    <t>EDVANE RUBIM SOARES SENO</t>
  </si>
  <si>
    <t>PAULO PRADO</t>
  </si>
  <si>
    <t>EMEF - HENRIQUE RAYMUNDO DYOTT FONTENELLE, BRIG.</t>
  </si>
  <si>
    <t>EMEF HENRIQUE R. D. FONTENELLE,BRIG</t>
  </si>
  <si>
    <t>RUA NOSSA SENHORA DA CONCEIÇÃO</t>
  </si>
  <si>
    <t>22068-X</t>
  </si>
  <si>
    <t>mm.vilela@uol.com.br</t>
  </si>
  <si>
    <t>HENRIQUE RAYMUNDO DYOTT FONTENELLE, BRIG.</t>
  </si>
  <si>
    <t>EMEF - HENRIQUE GEISEL, GEN.</t>
  </si>
  <si>
    <t>EMEF HENRIQUE GEISEL,GEN.</t>
  </si>
  <si>
    <t>22009-4</t>
  </si>
  <si>
    <t xml:space="preserve">LEONARDO SOARES E RODRIGUES DE OLIVEIRA </t>
  </si>
  <si>
    <t>emefhgeisel@pref.sp.gov.br</t>
  </si>
  <si>
    <t>HENRIQUE GEISEL, GEN.</t>
  </si>
  <si>
    <t>EMEF - JAIRO RAMOS</t>
  </si>
  <si>
    <t>EMEF JAIRO RAMOS</t>
  </si>
  <si>
    <t>RUA GEN. LAURO C. DE FARIAS</t>
  </si>
  <si>
    <t>155.229-5</t>
  </si>
  <si>
    <t xml:space="preserve">ANA PAULA  NERI DA SILVA </t>
  </si>
  <si>
    <t>emefjramos@pref.sp.gov.br</t>
  </si>
  <si>
    <t xml:space="preserve">FABIANA DA SILVA LIMA </t>
  </si>
  <si>
    <t>JAIRO RAMOS</t>
  </si>
  <si>
    <t>EMEF - RUI BLOEM</t>
  </si>
  <si>
    <t>EMEF RUI BLOEM</t>
  </si>
  <si>
    <t>RUA ARMANDO FLAMERION COELHO</t>
  </si>
  <si>
    <t>JARDIM SANTO ELIAS</t>
  </si>
  <si>
    <t>21928-2</t>
  </si>
  <si>
    <t>ELDES BESSA DE QUEIROS</t>
  </si>
  <si>
    <t>rpauzer@prefeitura.sp.gov.br</t>
  </si>
  <si>
    <t>RUI BLOEM</t>
  </si>
  <si>
    <t>EMEF - AMADEU MENDES, PROF.</t>
  </si>
  <si>
    <t>EMEF PROF. AMADEU MENDES</t>
  </si>
  <si>
    <t>RUA TOMAS LOPES FERREIRA</t>
  </si>
  <si>
    <t>PARQUE SÃO DOMINGOS</t>
  </si>
  <si>
    <t>21984-3</t>
  </si>
  <si>
    <t>emef amendes@prefeitura.sp.gov.br</t>
  </si>
  <si>
    <t>KELI CRISTINA ACOCHA</t>
  </si>
  <si>
    <t>AMADEU MENDES, PROF.</t>
  </si>
  <si>
    <t>EMEF - EUCLIDES CUSTODIO DA SILVEIRA, DES.</t>
  </si>
  <si>
    <t>EMEF EUCLIDES CUSTODIO DA SILVEIRA,DES.</t>
  </si>
  <si>
    <t>emefecsilveira@prefeitura.sp.gov.br</t>
  </si>
  <si>
    <t>RUA JOSÉ DE MORAIS</t>
  </si>
  <si>
    <t>154659-7</t>
  </si>
  <si>
    <t>ANA PAULA GARBIN LECCI</t>
  </si>
  <si>
    <t>EUCLIDES CUSTODIO DA SILVEIRA, DES.</t>
  </si>
  <si>
    <t>EMEF - JOSE FERRAZ DE CAMPOS, PROF.</t>
  </si>
  <si>
    <t>EMEF JOSÉ FERRAZ DE CAMPOS, PROFº</t>
  </si>
  <si>
    <t>21926-6</t>
  </si>
  <si>
    <t>GLORIA CORTEZ</t>
  </si>
  <si>
    <t>margahrsil@yahoo.com.br</t>
  </si>
  <si>
    <t>JOSE FERRAZ DE CAMPOS, PROF.</t>
  </si>
  <si>
    <t>EMEF - GABRIEL SYLVESTRE TEIXEIRA DE CARVALHO, PROF.</t>
  </si>
  <si>
    <t>EMEF GABRIEL S.T. DE CARVALHO, PROFº</t>
  </si>
  <si>
    <t>RUA CORONEL ALBINO REGO</t>
  </si>
  <si>
    <t>PRAÇA MARIA DOMITILA</t>
  </si>
  <si>
    <t>22031-0</t>
  </si>
  <si>
    <t xml:space="preserve">LEDA CORDEIRO DA SILVA </t>
  </si>
  <si>
    <t>emefgstcarvalho@pref.sp.gov.br</t>
  </si>
  <si>
    <t>GABRIEL SYLVESTRE TEIXEIRA DE CARVALHO, PROF.</t>
  </si>
  <si>
    <t>EMEF - SILVIO PORTUGAL, DES.</t>
  </si>
  <si>
    <t>EMEF SILVIO PORTUGAL, DES.</t>
  </si>
  <si>
    <t>RUA FRANCISCO SAVERIO ORLANDI</t>
  </si>
  <si>
    <t>JARDIM LIBANO</t>
  </si>
  <si>
    <t>15641-8</t>
  </si>
  <si>
    <t>SILVIO PORTUGAL, DES.</t>
  </si>
  <si>
    <t>EMEFM - ANTONIO ALVES VERISSIMO</t>
  </si>
  <si>
    <t>EMEFM ANTONIO A. VERÍSSIMO</t>
  </si>
  <si>
    <t>113.012-9</t>
  </si>
  <si>
    <t xml:space="preserve">JEFERSON DONISETE SILVA </t>
  </si>
  <si>
    <t>emefaaverissimo@pref.sp.gov.br</t>
  </si>
  <si>
    <t>ANTONIO ALVES VERISSIMO</t>
  </si>
  <si>
    <t>EMEF - FARIA LIMA, BRIG.</t>
  </si>
  <si>
    <t>EMEF BRIGADEIRO FARIA LIMA</t>
  </si>
  <si>
    <t>emefflima@prefeitura.sp.gov.br</t>
  </si>
  <si>
    <t>RUA AMETISTA</t>
  </si>
  <si>
    <t>18.664-3</t>
  </si>
  <si>
    <t>FARIA LIMA, BRIG.</t>
  </si>
  <si>
    <t>EMEF - CAXIAS, DUQUE DE</t>
  </si>
  <si>
    <t>EMEF DUQUE DE CAXIAS</t>
  </si>
  <si>
    <t>emefdcaxias@prefeitura.sp.gov.br</t>
  </si>
  <si>
    <t>PRAÇA  DR. MÁRIO MARGARIDO</t>
  </si>
  <si>
    <t>LIBERDADE</t>
  </si>
  <si>
    <t>19.592-8</t>
  </si>
  <si>
    <t>CAXIAS, DUQUE DE</t>
  </si>
  <si>
    <t>EMEF - CELSO LEITE RIBEIRO FILHO</t>
  </si>
  <si>
    <t>EMEF CELSO LEITE RIBEIRO FILHO</t>
  </si>
  <si>
    <t>RUA HUMAITA</t>
  </si>
  <si>
    <t>Brigadeiro Luis Antonio</t>
  </si>
  <si>
    <t>23672-1</t>
  </si>
  <si>
    <t>emefcelsplribeiro@prefeitura.sp.gov.br</t>
  </si>
  <si>
    <t>CELSO LEITE RIBEIRO FILHO</t>
  </si>
  <si>
    <t>EMEF - HENRIQUE, INFANTE D.</t>
  </si>
  <si>
    <t>EMEF INFANTE DOM HENRIQUE</t>
  </si>
  <si>
    <t>RUA PE. COM. NESTOR PEREIRA</t>
  </si>
  <si>
    <t>26.449-0</t>
  </si>
  <si>
    <t>ERIKA DONIANI DIAS</t>
  </si>
  <si>
    <t>HENRIQUE, INFANTE D.</t>
  </si>
  <si>
    <t>EMEFM - DERVILLE ALLEGRETTI, PROF.</t>
  </si>
  <si>
    <t>EMEFM PROFESSOR DERVILLE ALLEGRETTI</t>
  </si>
  <si>
    <t>RUA VOLUNTARIOS DA PATRIA</t>
  </si>
  <si>
    <t>75.104-9</t>
  </si>
  <si>
    <t>ANDERSON DA COSTA E SILVA GRECCO</t>
  </si>
  <si>
    <t>regina.zan@uol.com.br</t>
  </si>
  <si>
    <t>LISANDRA PAES</t>
  </si>
  <si>
    <t>DERVILLE ALLEGRETTI, PROF.</t>
  </si>
  <si>
    <t>EMEF - ADOLPHO OTTO DE LAET, PROF.</t>
  </si>
  <si>
    <t>EMEF PROF ADOLPHO OTTO DE LAET</t>
  </si>
  <si>
    <t>emefaolaet@prefeitura.sp.gov.br</t>
  </si>
  <si>
    <t>RUA ISIDORO DE LAET</t>
  </si>
  <si>
    <t>VILA STA LUZIA</t>
  </si>
  <si>
    <t>31.767-5</t>
  </si>
  <si>
    <t>MARIA MARLENE MELO DE OLIVEIRA</t>
  </si>
  <si>
    <t>ROZANA APARECIDA CATANZARO PEREIRA</t>
  </si>
  <si>
    <t>ADOLPHO OTTO DE LAET, PROF.</t>
  </si>
  <si>
    <t>EMEF - MARCOS MELEGA</t>
  </si>
  <si>
    <t>EMEF MARCOS MELEGA</t>
  </si>
  <si>
    <t>emefmmelega@prefeitura.sp.gov.br</t>
  </si>
  <si>
    <t>RUA MONT BLANC</t>
  </si>
  <si>
    <t>31.776-4</t>
  </si>
  <si>
    <t>ETHEL CRISTINA FERNANDES DE SOUZA</t>
  </si>
  <si>
    <t>MARCOS MELEGA</t>
  </si>
  <si>
    <t>EMEF - MARCILIO DIAS</t>
  </si>
  <si>
    <t>EMEF MARCILIO DIAS</t>
  </si>
  <si>
    <t>RUA RIBEIRO JUNQUEIRA</t>
  </si>
  <si>
    <t>19346-1</t>
  </si>
  <si>
    <t>PAULA DENISE REZENDE DE BRITO GAMA</t>
  </si>
  <si>
    <t>EMEF - GASTAO MOUTINHO, CTE.</t>
  </si>
  <si>
    <t>EMEF COMTE. GASTÃO MOUTINHO</t>
  </si>
  <si>
    <t>emefgmoutinho@prefeitura.sp.gov.br</t>
  </si>
  <si>
    <t>RUA CEL JOÃO DA SILVA FEIJO</t>
  </si>
  <si>
    <t>CJ BANCARIOS</t>
  </si>
  <si>
    <t>31.756-X</t>
  </si>
  <si>
    <t>TEREZINHA APARECIDA AVELAR ALVES DE LIMA</t>
  </si>
  <si>
    <t>GASTAO MOUTINHO, CTE.</t>
  </si>
  <si>
    <t>EMEF - NOE AZEVEDO, PROF.</t>
  </si>
  <si>
    <t>EMEF PROF NOÉ AZEVEDO</t>
  </si>
  <si>
    <t>emefnazevedo@prefeitura.sp.gov.br</t>
  </si>
  <si>
    <t>RUA SÃO CLETO</t>
  </si>
  <si>
    <t>JARDIM DENISE</t>
  </si>
  <si>
    <t>31877-9</t>
  </si>
  <si>
    <t>AMANDA PEREIRA DIAS</t>
  </si>
  <si>
    <t>ANDRÉIA CAROLINA CHAGAS MARTOS</t>
  </si>
  <si>
    <t>NOE AZEVEDO, PROF.</t>
  </si>
  <si>
    <t>EMEF - JOAO RAMOS - PERNAMBUCO - ABOLICIONISTA</t>
  </si>
  <si>
    <t>EMEF JOÃO RAMOS -PERNAMBUCO  ABOLICIONISTA</t>
  </si>
  <si>
    <t>RUA JOÃO NICOLAU CHAMMA</t>
  </si>
  <si>
    <t>JARDIM V BIANCA</t>
  </si>
  <si>
    <t>31.765-9</t>
  </si>
  <si>
    <t>MARTA DA MATA RIBEIRO</t>
  </si>
  <si>
    <t>ricafelicio@homail.com</t>
  </si>
  <si>
    <t>ANDREA SPINOLA ESTEVES ROCHA</t>
  </si>
  <si>
    <t>JOAO RAMOS - PERNAMBUCO - ABOLICIONISTA</t>
  </si>
  <si>
    <t>EMEF - ESMERALDA SALLES PEREIRA RAMOS, PROFA.</t>
  </si>
  <si>
    <t>EMEF PROFESSORA ESMERALDA SALLES PEREIRA RAMOS</t>
  </si>
  <si>
    <t>emefespramos@prefeitura.sp.gov.br</t>
  </si>
  <si>
    <t>AV. MARIA AMALIA L AZEVEDO</t>
  </si>
  <si>
    <t>JARDIM YARA</t>
  </si>
  <si>
    <t>31.752-7</t>
  </si>
  <si>
    <t>ANA PAULA PAVAN</t>
  </si>
  <si>
    <t>SERGIO MARTINS MOTTA</t>
  </si>
  <si>
    <t>ESMERALDA SALLES PEREIRA RAMOS, PROFA.</t>
  </si>
  <si>
    <t>EMEF - MARTIN FRANCISCO RIBEIRO DE ANDRADA</t>
  </si>
  <si>
    <t>EMEF MARTIN FRANCISCO RIBEIRO DE ANDRADA</t>
  </si>
  <si>
    <t>RUA PAULO CESAR</t>
  </si>
  <si>
    <t>31.722-5</t>
  </si>
  <si>
    <t>SIMONE APARECIDA MACHADO</t>
  </si>
  <si>
    <t>rochacaldeira@gmail.com</t>
  </si>
  <si>
    <t>GRACIELA MARRA</t>
  </si>
  <si>
    <t>MARTIN FRANCISCO RIBEIRO DE ANDRADA</t>
  </si>
  <si>
    <t>EMEF - RONDON, MAL.</t>
  </si>
  <si>
    <t>EMEF MARECHAL RONDON</t>
  </si>
  <si>
    <t>RUA DO BURUI</t>
  </si>
  <si>
    <t>33258-5</t>
  </si>
  <si>
    <t>ROSEMEIRE ANTUNES COSTA DE ANDRADE</t>
  </si>
  <si>
    <t>anapaula_masson@hotmail.com</t>
  </si>
  <si>
    <t>RONDON, MAL.</t>
  </si>
  <si>
    <t>EMEF - MAXIMO DE MOURA SANTOS, PROF.</t>
  </si>
  <si>
    <t>EMEF PROFESSOR MÁXIMO DE MOURA SANTOS</t>
  </si>
  <si>
    <t>RUA JULIA LOPES DE ALMEIDA</t>
  </si>
  <si>
    <t>VILA PAULICÉIA</t>
  </si>
  <si>
    <t>31.864-7</t>
  </si>
  <si>
    <t>CLEODEONIRA ALONSO DE C. MORAES</t>
  </si>
  <si>
    <t>emefmmantos@prefeitura.sp.gov.br</t>
  </si>
  <si>
    <t>VANESSA ALVES FAIANI DA SILVA</t>
  </si>
  <si>
    <t>MAXIMO DE MOURA SANTOS, PROF.</t>
  </si>
  <si>
    <t>EMEF - OLIVA IRENE BAYERLEIN SILVA</t>
  </si>
  <si>
    <t>EMEF OLIVA IRENE BAYERLEIN SILVA</t>
  </si>
  <si>
    <t>emeforbsilva@prefeitura.sp.gov.br</t>
  </si>
  <si>
    <t>RUA AMAZONAS SILVA</t>
  </si>
  <si>
    <t>1874-0</t>
  </si>
  <si>
    <t>17.344-4</t>
  </si>
  <si>
    <t>BEATRIZ HELENA CAIO EIRA DA CUSTODIA</t>
  </si>
  <si>
    <t>ANA CLAUDIA SAMPAIO BERTO</t>
  </si>
  <si>
    <t>OLIVA IRENE BAYERLEIN SILVA</t>
  </si>
  <si>
    <t>EMEF - RUY BARBOSA</t>
  </si>
  <si>
    <t>EMEF RUY BARBOSA</t>
  </si>
  <si>
    <t>emefrbarbosa@prefeitura.sp.gov.br</t>
  </si>
  <si>
    <t>AVENIDA CONCEIÇÃO</t>
  </si>
  <si>
    <t>31.778-0</t>
  </si>
  <si>
    <t xml:space="preserve">ALEXANDRE LEITE SIQUEIRA </t>
  </si>
  <si>
    <t>JOELMA DE OLIVEIRA SOUZA</t>
  </si>
  <si>
    <t>RUY BARBOSA</t>
  </si>
  <si>
    <t>EMEF - HELENA LOMBARDI BRAGA, PROFA.</t>
  </si>
  <si>
    <t>EMEF PROFESSORA HELENA LOMBARDI BRAGA</t>
  </si>
  <si>
    <t>emefhlbraga@prefeitura.sp.gov.br</t>
  </si>
  <si>
    <t>RUA DIRCE</t>
  </si>
  <si>
    <t>VILA LEONOR</t>
  </si>
  <si>
    <t>31.809-4</t>
  </si>
  <si>
    <t>CLEONICE DE CARVALHO ALONSO</t>
  </si>
  <si>
    <t>ARLI JOSÉ FERNANDES</t>
  </si>
  <si>
    <t>HELENA LOMBARDI BRAGA, PROFA.</t>
  </si>
  <si>
    <t>EMEF - ARY GOMES, CEL.</t>
  </si>
  <si>
    <t>EMEF CORONEL ARY GOMES</t>
  </si>
  <si>
    <t>emefagomes@prefeitura.sp.gov.br</t>
  </si>
  <si>
    <t>RUA BENEDITO ALESSIO</t>
  </si>
  <si>
    <t>JARDIM ANDARAI</t>
  </si>
  <si>
    <t>20.165-0</t>
  </si>
  <si>
    <t>ARY GOMES, CEL.</t>
  </si>
  <si>
    <t>EMEF - JOAO DOMINGUES SAMPAIO</t>
  </si>
  <si>
    <t>EMEF JOÃO DOMINGUES SAMPAIO</t>
  </si>
  <si>
    <t xml:space="preserve">RUA GASTÃO MADEIRA </t>
  </si>
  <si>
    <t>32.318-7</t>
  </si>
  <si>
    <t>ANA PAULA CALONI DE MENEZES SUASSUNA</t>
  </si>
  <si>
    <t>emefjdampaio@prefeitura.sp.gov.br</t>
  </si>
  <si>
    <t>VILMA VALÉRIA BENEVIDES GOIS</t>
  </si>
  <si>
    <t>JOAO DOMINGUES SAMPAIO</t>
  </si>
  <si>
    <t>EMEF - PEDRO I, D.</t>
  </si>
  <si>
    <t>EMEF D. PEDRO I</t>
  </si>
  <si>
    <t>VILA MARIA ALTAQ</t>
  </si>
  <si>
    <t>32.316-0</t>
  </si>
  <si>
    <t>VANDERLEI FRANCISCO DE OLIVEIRA</t>
  </si>
  <si>
    <t>ramiltes@uol.com.br</t>
  </si>
  <si>
    <t>SARAH SICCHIEROLLI</t>
  </si>
  <si>
    <t>EMEF - TAMANDARE, ALM.</t>
  </si>
  <si>
    <t>EMEF ALMIRANTE TAMANDARÉ</t>
  </si>
  <si>
    <t>RUA GENERAL MENDES</t>
  </si>
  <si>
    <t>46.727-8</t>
  </si>
  <si>
    <t>VANESSA MESQUITA MACHADO</t>
  </si>
  <si>
    <t>rdubinskas@prefeitura.sp.gov.br</t>
  </si>
  <si>
    <t>EMEF - ENEAS CARVALHO DE AGUIAR</t>
  </si>
  <si>
    <t>EMEF ENEAS CARVALHO DE AGUIAR</t>
  </si>
  <si>
    <t>emefecaguiar@prefeitura.sp.gov.br</t>
  </si>
  <si>
    <t>RODRIGO BORTOLATO PEREIRA</t>
  </si>
  <si>
    <t>WILZA TEREZINHA BEZERRA PEREIRA</t>
  </si>
  <si>
    <t>ENEAS CARVALHO DE AGUIAR</t>
  </si>
  <si>
    <t>EMEF - ALBERTO SANTOS DUMONT</t>
  </si>
  <si>
    <t>EMEF ALBERTO SANTOS DUMONT</t>
  </si>
  <si>
    <t>emefasdumont@prefeitura.sp.gov.br</t>
  </si>
  <si>
    <t>RUA TENENTE SOTOMANO</t>
  </si>
  <si>
    <t>22.262-3</t>
  </si>
  <si>
    <t>SAMIRA DE SANT ANNA LOPES</t>
  </si>
  <si>
    <t>JOSÉ MACHADO</t>
  </si>
  <si>
    <t>ALBERTO SANTOS DUMONT</t>
  </si>
  <si>
    <t>EMEF - JULIO MARCONDES SALGADO, GEN.</t>
  </si>
  <si>
    <t>EMEF GAL. JULIO MARCONDES SALGADO</t>
  </si>
  <si>
    <t>emefjmsalgado@prefeitura.sp.gov.br</t>
  </si>
  <si>
    <t>115.060-X</t>
  </si>
  <si>
    <t>SARAH MARTINS LOPES</t>
  </si>
  <si>
    <t>JULIO MARCONDES SALGADO, GEN.</t>
  </si>
  <si>
    <t>EMEF - ANTONIO SANT'ANA GALVAO, FREI</t>
  </si>
  <si>
    <t>EMEF FREI ANTONIO DE SANTANA GALVÃO</t>
  </si>
  <si>
    <t>emefasgalvão@prefeitura.sp.gov.br</t>
  </si>
  <si>
    <t>RUA GEN JERONIMO FURTADO</t>
  </si>
  <si>
    <t>JARDIM CABUÇU</t>
  </si>
  <si>
    <t>31.845-0</t>
  </si>
  <si>
    <t>ANA PAULA LUPETTI</t>
  </si>
  <si>
    <t>ANTONIO SANT'ANA GALVAO, FREI</t>
  </si>
  <si>
    <t>EMEF - OCTAVIO PEREIRA LOPES</t>
  </si>
  <si>
    <t>EMEF OCTAVIO PEREIRA LOPES</t>
  </si>
  <si>
    <t>emefoplopes@prefeitura.sp.gov.br</t>
  </si>
  <si>
    <t>RUA ALCY BORGES SANTOS</t>
  </si>
  <si>
    <t>31.720-9</t>
  </si>
  <si>
    <t>DOUGLAS DA CONCEIÇÃO SOLIDADE</t>
  </si>
  <si>
    <t xml:space="preserve">PAULO LEANDRO DO NASCIMENTO </t>
  </si>
  <si>
    <t>OCTAVIO PEREIRA LOPES</t>
  </si>
  <si>
    <t>EMEF - EDSON RODRIGUES</t>
  </si>
  <si>
    <t>EMEF EDSON RODRIGUES</t>
  </si>
  <si>
    <t>emeferodrigues@prefeitura.sp.gov.br</t>
  </si>
  <si>
    <t>RUA PHILADELFO GOUVEIA NETO</t>
  </si>
  <si>
    <t>31.769-1</t>
  </si>
  <si>
    <t>SIMONE BARROS DE JESUS</t>
  </si>
  <si>
    <t>VERÔNICA DA SILVA</t>
  </si>
  <si>
    <t>EDSON RODRIGUES</t>
  </si>
  <si>
    <t>EMEF - LOURENCO FILHO</t>
  </si>
  <si>
    <t>EMEF LOURENÇO FILHO</t>
  </si>
  <si>
    <t>31.810-8</t>
  </si>
  <si>
    <t>DANIELA SOLIDADE RIBEIRO FONSECA</t>
  </si>
  <si>
    <t>maricq@itelefonica.com.br</t>
  </si>
  <si>
    <t>LOURENCO FILHO</t>
  </si>
  <si>
    <t>EMEF - MARIA HELENA FARIA LIMA, PROFA.</t>
  </si>
  <si>
    <t>EMEF PROFESSORA MARIA HELENA FARIA LIMA</t>
  </si>
  <si>
    <t>AVENIDA ROLAND GARROS</t>
  </si>
  <si>
    <t>25.685-4</t>
  </si>
  <si>
    <t>ORMINDA GONÇALVES DOS SANTOS TEODORO</t>
  </si>
  <si>
    <t>emefmhfli,a@prefeitura.sp.gov.br</t>
  </si>
  <si>
    <t>ALMERINDA NEVES DA ROCHA OKUBO</t>
  </si>
  <si>
    <t>MARIA HELENA FARIA LIMA, PROFA.</t>
  </si>
  <si>
    <t>EMEF - FRANKLIN AUGUSTO DE MOURA CAMPOS, PROF.</t>
  </si>
  <si>
    <t>EMEF PROF FRANKLIN AUGUSTO DE MOURA CAMPOS</t>
  </si>
  <si>
    <t>emeffamcampos@prefeitura.sp.gov.br</t>
  </si>
  <si>
    <t>RUA MJ DANTAS CORTEZ</t>
  </si>
  <si>
    <t>VILA GUSTAVO</t>
  </si>
  <si>
    <t>22.181-3</t>
  </si>
  <si>
    <t>HELOISA MARIA BAPTISTA LUIZ</t>
  </si>
  <si>
    <t>FRANKLIN AUGUSTO DE MOURA CAMPOS, PROF.</t>
  </si>
  <si>
    <t>EMEF - RODRIGUES ALVES</t>
  </si>
  <si>
    <t>EMEF RODRIGUES ALVES</t>
  </si>
  <si>
    <t>emefralves@prefeitura.sp.gov.br</t>
  </si>
  <si>
    <t>RUA BORGES</t>
  </si>
  <si>
    <t>P. R. ALVES</t>
  </si>
  <si>
    <t>31803-5</t>
  </si>
  <si>
    <t>MONICA SALETE SEABRA TILTSCHER</t>
  </si>
  <si>
    <t>ADELAIDE CUSTÓDIO CONCEIÇÃO</t>
  </si>
  <si>
    <t>RODRIGUES ALVES</t>
  </si>
  <si>
    <t>EMEF - SHIRLEY GUIO, PROFA.</t>
  </si>
  <si>
    <t>EMEF PROFESSORA SHIRLEY GUIO</t>
  </si>
  <si>
    <t>RUA CRISTOVÃO LINS</t>
  </si>
  <si>
    <t>V MUNHOZ</t>
  </si>
  <si>
    <t>31.831-0</t>
  </si>
  <si>
    <t>SIMONE DE FREITAS REIS</t>
  </si>
  <si>
    <t>spinh@terra.com.br</t>
  </si>
  <si>
    <t>SHIRLEY GUIO, PROFA.</t>
  </si>
  <si>
    <t>EMEF - JOSE MARIA LISBOA</t>
  </si>
  <si>
    <t>EMEF JOSE MARIA LISBOA</t>
  </si>
  <si>
    <t>emefjmlisboa@prefeitura.sp.gov.br</t>
  </si>
  <si>
    <t>PRAÇA JOÃO RODRIGUES</t>
  </si>
  <si>
    <t>JARDIM DA SAÚDE</t>
  </si>
  <si>
    <t>21.550-3</t>
  </si>
  <si>
    <t>JOSE MARIA LISBOA</t>
  </si>
  <si>
    <t>EMEF - EURICO GASPAR DUTRA, MAL.</t>
  </si>
  <si>
    <t>EMEF MARECHAL EURICO GASPAR DUTRA</t>
  </si>
  <si>
    <t>emefegdutra@prefeitura.sp.gov.br</t>
  </si>
  <si>
    <t>RUA JEAN DE LA HUERTA</t>
  </si>
  <si>
    <t>VILA BRASILINA</t>
  </si>
  <si>
    <t xml:space="preserve">1205-X </t>
  </si>
  <si>
    <t>21.487-6</t>
  </si>
  <si>
    <t>EURICO GASPAR DUTRA, MAL.</t>
  </si>
  <si>
    <t>EMEF - SYLVIA MARTIN PIRES, PROFA.</t>
  </si>
  <si>
    <t>EMEF PROFESSORA SYLVIA MARTIN PIRES</t>
  </si>
  <si>
    <t>emefsmpires@prefeitura.sp.gov.br</t>
  </si>
  <si>
    <t>RUA ITALVA</t>
  </si>
  <si>
    <t>VILA VERA</t>
  </si>
  <si>
    <t>15.711-2</t>
  </si>
  <si>
    <t>SYLVIA MARTIN PIRES, PROFA.</t>
  </si>
  <si>
    <t>EMEF - OLAVO FONTOURA</t>
  </si>
  <si>
    <t>EMEF OLAVO FONTOURA</t>
  </si>
  <si>
    <t>emefofontoura@prefeitura.sp.gov.br</t>
  </si>
  <si>
    <t>RUA DR. LAFAYETTE DE S. CAMARGO</t>
  </si>
  <si>
    <t>35.187-3</t>
  </si>
  <si>
    <t>OLAVO FONTOURA</t>
  </si>
  <si>
    <t>EMEF - JOAQUIM NABUCO</t>
  </si>
  <si>
    <t>EMEF JOAQUIM NABUCO</t>
  </si>
  <si>
    <t>emefjnabuco@prefeitura.sp.gov.br</t>
  </si>
  <si>
    <t>PRAÇA  WADIH SAFADY</t>
  </si>
  <si>
    <t>JARDIM M. ESTELA</t>
  </si>
  <si>
    <t>21.597-X</t>
  </si>
  <si>
    <t>Ricardo Ishiyama Martins</t>
  </si>
  <si>
    <t>JOAQUIM NABUCO</t>
  </si>
  <si>
    <t>EMEF - CASSIANO RICARDO</t>
  </si>
  <si>
    <t>EMEF CASSIANO RICARDO</t>
  </si>
  <si>
    <t>emefcricardo@prefeitura.sp.gov.br</t>
  </si>
  <si>
    <t>RUA JOÃO JOSE DA SILVA</t>
  </si>
  <si>
    <t>VILA CARAGUATÁ</t>
  </si>
  <si>
    <t>21.560-0</t>
  </si>
  <si>
    <t>Luciene Borges dos Santos</t>
  </si>
  <si>
    <t>CASSIANO RICARDO</t>
  </si>
  <si>
    <t>EMEF - JOSE DO PATROCINIO</t>
  </si>
  <si>
    <t>EMEF JOSE DO PATROCINIO</t>
  </si>
  <si>
    <t>RUA CANTIGA INGÊNUA</t>
  </si>
  <si>
    <t>JARDIM SANTA EMILIA</t>
  </si>
  <si>
    <t xml:space="preserve">Via anchieta </t>
  </si>
  <si>
    <t>15.752-X</t>
  </si>
  <si>
    <t>emefjpatrocinio@prefeitura.sp.gov.br</t>
  </si>
  <si>
    <t>JOSE DO PATROCINIO</t>
  </si>
  <si>
    <t>EMEF - LEAO MACHADO, PROF.</t>
  </si>
  <si>
    <t>EMEF PROFESSOR LEÃO MACHADO</t>
  </si>
  <si>
    <t>emeflmachado@prefeitura.sp.gov.br</t>
  </si>
  <si>
    <t>AVENIDA CARLOS LIVIERO</t>
  </si>
  <si>
    <t>VILA LIVIERO</t>
  </si>
  <si>
    <t>35.228-4</t>
  </si>
  <si>
    <t>Gerson Ribas</t>
  </si>
  <si>
    <t>LEAO MACHADO, PROF.</t>
  </si>
  <si>
    <t>EMEF CEU - CAMPOS SALLES, PRES.</t>
  </si>
  <si>
    <t>EMEF CEU PRESIDENTE CAMPOS SALLES</t>
  </si>
  <si>
    <t>emefcsalles@prefeitura.sp.gov.br</t>
  </si>
  <si>
    <t>ESTRADAS DAS LÁGRIMAS</t>
  </si>
  <si>
    <t>4284-6</t>
  </si>
  <si>
    <t>São Silvestre</t>
  </si>
  <si>
    <t>8.384-4</t>
  </si>
  <si>
    <t>Rosemeire Gomes</t>
  </si>
  <si>
    <t>CAMPOS SALLES, PRES.</t>
  </si>
  <si>
    <t>EMEF - ANTONIO DE ALCANTARA MACHADO</t>
  </si>
  <si>
    <t>EMEF ANTONIO DE ALCANTARA MACHADO</t>
  </si>
  <si>
    <t>RUA BELGRADO</t>
  </si>
  <si>
    <t>M. VELHO</t>
  </si>
  <si>
    <t>15.727-9</t>
  </si>
  <si>
    <t>Diomar Carlos dos Santos Sousa</t>
  </si>
  <si>
    <t>ANTONIO DE ALCANTARA MACHADO</t>
  </si>
  <si>
    <t>EMEF - FRANCISCO MEIRELLES, DES.</t>
  </si>
  <si>
    <t>EMEF DESEMBARGADOR FRANCISCO MEIRELLES</t>
  </si>
  <si>
    <t>emeffmeireles@prefeitura.sp.gov.br</t>
  </si>
  <si>
    <t>RUA CAMPANTE</t>
  </si>
  <si>
    <t>35.274-8</t>
  </si>
  <si>
    <t>FRANCISCO MEIRELLES, DES.</t>
  </si>
  <si>
    <t>EMEF - FABIO DA SILVA PRADO, DR.</t>
  </si>
  <si>
    <t>EMEF DR FABIO DA SILVA PRADO</t>
  </si>
  <si>
    <t>22.771-4</t>
  </si>
  <si>
    <t>MARIA ROMANA DE ABREU DOS RAMOS</t>
  </si>
  <si>
    <t>FABIO DA SILVA PRADO, DR.</t>
  </si>
  <si>
    <t>EMEF - SILVIO FLEMING, MJ.</t>
  </si>
  <si>
    <t>EMEF MAJOR SÍLVIO FLEMING</t>
  </si>
  <si>
    <t>RUA PAULO DE LIMA CORREIA</t>
  </si>
  <si>
    <t>VILA LIBANESA</t>
  </si>
  <si>
    <t>22.699-8</t>
  </si>
  <si>
    <t>FERNANDO ANTONIO PERES</t>
  </si>
  <si>
    <t>SILVIO FLEMING, MJ.</t>
  </si>
  <si>
    <t>EMEF - EMILIANO DI CAVALCANTI</t>
  </si>
  <si>
    <t>EMEF EMILIANO DI CAVALCANTI</t>
  </si>
  <si>
    <t>RUA ALM. ALEXANDRINO</t>
  </si>
  <si>
    <t>25.422-3</t>
  </si>
  <si>
    <t>PRISCILLA MENDES PILLEGI</t>
  </si>
  <si>
    <t>EMILIANO DI CAVALCANTI</t>
  </si>
  <si>
    <t>EMEF - LEONOR MENDES DE BARROS</t>
  </si>
  <si>
    <t>EMEF LEONOR MENDES DE BARROS</t>
  </si>
  <si>
    <t>RUA RAYMUNDO CORREIA</t>
  </si>
  <si>
    <t>21.484-1</t>
  </si>
  <si>
    <t>LEONOR MENDES DE BARROS</t>
  </si>
  <si>
    <t>EMEF - KENNEDY, PRES.</t>
  </si>
  <si>
    <t>EMEF PRESIDENTE KENNEDY</t>
  </si>
  <si>
    <t>presidentekennedy@prefeitura.sp.gov.br</t>
  </si>
  <si>
    <t>RUA ACURUÍ</t>
  </si>
  <si>
    <t>21607-0</t>
  </si>
  <si>
    <t>CLAUDIA CAPUCCI ALVES</t>
  </si>
  <si>
    <t>KENNEDY, PRES.</t>
  </si>
  <si>
    <t>EMEF - BARTOLOMEU LOURENCO DE GUSMAO</t>
  </si>
  <si>
    <t>EMEF BARTOLOMEU L. GUSMÃO</t>
  </si>
  <si>
    <t>emefbartolomeugusmao@prefeitura.sp.gov.br</t>
  </si>
  <si>
    <t>RUA PICINGUABA</t>
  </si>
  <si>
    <t>VILA SANTA ISABEL</t>
  </si>
  <si>
    <t>128638-2</t>
  </si>
  <si>
    <t>ROSALIA APARECIDA DE OLIVEIRA</t>
  </si>
  <si>
    <t>BARTOLOMEU LOURENCO DE GUSMAO</t>
  </si>
  <si>
    <t>EMEF - JOAO NAOKI SUMITA, DR.</t>
  </si>
  <si>
    <t>EMEF DR JOÃO NAOKI SUMITA</t>
  </si>
  <si>
    <t>ecpinto@prefeitura.sp.gov.br</t>
  </si>
  <si>
    <t>AVENIDA MONSENHOR ANTÔNIO CASTRO</t>
  </si>
  <si>
    <t>JARDIM VILA FORMOSA</t>
  </si>
  <si>
    <t>7059-9</t>
  </si>
  <si>
    <t>16923-4</t>
  </si>
  <si>
    <t>KATIA TARTARO MALTEZ</t>
  </si>
  <si>
    <t>JOAO NAOKI SUMITA, DR.</t>
  </si>
  <si>
    <t>EMEF - VICENTINA RIBEIRO DA LUZ</t>
  </si>
  <si>
    <t>EMEF VICENTINA RIBEIRO DA LUZ</t>
  </si>
  <si>
    <t>emefvicentina@prefeitura.sp.gov.br</t>
  </si>
  <si>
    <t xml:space="preserve">RUA AILTON NEGRÃO FAZZIO </t>
  </si>
  <si>
    <t>PARQUE SANTO EDUARDO</t>
  </si>
  <si>
    <t>128760-5</t>
  </si>
  <si>
    <t>ROSA MARIA LAQUIMIA DE SOUZA</t>
  </si>
  <si>
    <t>VICENTINA RIBEIRO DA LUZ</t>
  </si>
  <si>
    <t>EMEF - ROQUETTE PINTO</t>
  </si>
  <si>
    <t>ESC. MUN. 1º G. ROQUETTE PINTO</t>
  </si>
  <si>
    <t xml:space="preserve">RUA PROF ALZIRA DE OLIVEIRA GILIOLI </t>
  </si>
  <si>
    <t>7622-8</t>
  </si>
  <si>
    <t>JOSIANE APARECIDA VERGINIANINI</t>
  </si>
  <si>
    <t>emeroquettepinto@prefeitura.sp.gov.br</t>
  </si>
  <si>
    <t>ROQUETTE PINTO</t>
  </si>
  <si>
    <t>EMEF - ACHILLES DE OLIVEIRA RIBEIRO, DES.</t>
  </si>
  <si>
    <t>EMEF DESEMBARGADOR ACHILLES DE OLIVEIRA RIBEIRO</t>
  </si>
  <si>
    <t>JARDIM IV CENTENARIO</t>
  </si>
  <si>
    <t>13415-5</t>
  </si>
  <si>
    <t>ANA MARIA DA SILVA</t>
  </si>
  <si>
    <t>a_m_carmo@hotmail.com</t>
  </si>
  <si>
    <t>MARCIA APARECIDA DE FARIA LINS</t>
  </si>
  <si>
    <t>ACHILLES DE OLIVEIRA RIBEIRO, DES.</t>
  </si>
  <si>
    <t>EMEF - JOSE LINS DO REGO</t>
  </si>
  <si>
    <t xml:space="preserve">EMEF JOSE LINS DO REGO </t>
  </si>
  <si>
    <t>RUA AUGUSTO FERREIRA RAMOS</t>
  </si>
  <si>
    <t>JARDIM TIETE</t>
  </si>
  <si>
    <t>30800-5</t>
  </si>
  <si>
    <t>SOSTHENES MACHADO</t>
  </si>
  <si>
    <t>JOSE LINS DO REGO</t>
  </si>
  <si>
    <t>EMEF - SERGIO MILLIET</t>
  </si>
  <si>
    <t>EMEF SERGIO MILLIET</t>
  </si>
  <si>
    <t>emefsergiomilliet@prefeitura.sp.gov.br</t>
  </si>
  <si>
    <t>RUA DR. PAULO DE A. ARANTES</t>
  </si>
  <si>
    <t>PARQUE Mª LUIZA</t>
  </si>
  <si>
    <t>16924-2</t>
  </si>
  <si>
    <t>SERGIO MILLIET</t>
  </si>
  <si>
    <t>EMEF - GUIMARAES ROSA</t>
  </si>
  <si>
    <t>EMEF GUIMARÃES ROSA</t>
  </si>
  <si>
    <t>emefguimaraesrosa@prefeitura.sp.gov.br</t>
  </si>
  <si>
    <t>PRAÇA HAROLDO DALTRO</t>
  </si>
  <si>
    <t>VILA MANCHESTER</t>
  </si>
  <si>
    <t>132004-1</t>
  </si>
  <si>
    <t>GUIMARAES ROSA</t>
  </si>
  <si>
    <t>EMEF - CALOGERAS, MIN.</t>
  </si>
  <si>
    <t>EMEF CALOGERAS, MIN.</t>
  </si>
  <si>
    <t>ALSACIA</t>
  </si>
  <si>
    <t>73.306-7</t>
  </si>
  <si>
    <t>ZITA MARIA DE FREITAS VIEIRA</t>
  </si>
  <si>
    <t>CALOGERAS, MIN.</t>
  </si>
  <si>
    <t>EMEF - BERNARDO O'HIGGINS</t>
  </si>
  <si>
    <t>EMEF BERNARDO O'HIGGINS</t>
  </si>
  <si>
    <t>PALACETE DAS AGUIAS</t>
  </si>
  <si>
    <t>34.211-4</t>
  </si>
  <si>
    <t>BERNARDO O'HIGGINS</t>
  </si>
  <si>
    <t>EMEF - ARY PARREIRAS, ALM.</t>
  </si>
  <si>
    <t>EMEF ARY PARREIRAS, ALM.</t>
  </si>
  <si>
    <t>IPAOBI</t>
  </si>
  <si>
    <t>4.497-0</t>
  </si>
  <si>
    <t>ARY PARREIRAS, ALM.</t>
  </si>
  <si>
    <t>EMEF - MARINA VIEIRA DE CARVALHO MESQUITA</t>
  </si>
  <si>
    <t>EMEF MARINA VIEIRA DE CARVALHO MESQUITA</t>
  </si>
  <si>
    <t>NESTOR DE CASTRO</t>
  </si>
  <si>
    <t>26.982-4</t>
  </si>
  <si>
    <t>ERICSON RIBEIRO</t>
  </si>
  <si>
    <t>MARINA VIEIRA DE CARVALHO MESQUITA</t>
  </si>
  <si>
    <t>EMEF - HABIB CARLOS KYRILLOS, DR.</t>
  </si>
  <si>
    <t>EMEF HABIB CARLOS KYRILLOS, DR.</t>
  </si>
  <si>
    <t>RIO GRANDE DO NORTE</t>
  </si>
  <si>
    <t>26.960-3</t>
  </si>
  <si>
    <t>ANDREA SILVA DE PAULO</t>
  </si>
  <si>
    <t>RODRIGO ABRANTES MENEZES</t>
  </si>
  <si>
    <t>HABIB CARLOS KYRILLOS, DR.</t>
  </si>
  <si>
    <t>EMEF - ANTONIO DE SAMPAIO DORIA, PROF.</t>
  </si>
  <si>
    <t>EMEF ANTONIO SAMPAIO DORIA, PROF.</t>
  </si>
  <si>
    <t>26.970-0</t>
  </si>
  <si>
    <t>TANIA GONÇALVES MAGALHÃES</t>
  </si>
  <si>
    <t>ANTONIO DE SAMPAIO DORIA, PROF.</t>
  </si>
  <si>
    <t>EMEF - ARMANDO ARRUDA PEREIRA</t>
  </si>
  <si>
    <t>EMEF ARMANDO ARRUDA PEREIRA</t>
  </si>
  <si>
    <t>CORONEL LUIS DE FARIA SOUSA</t>
  </si>
  <si>
    <t>71.641-3</t>
  </si>
  <si>
    <t>ARLETE ALVES DOS ANJOS</t>
  </si>
  <si>
    <t>ANDREA TALIONE TORRES LIMA</t>
  </si>
  <si>
    <t>EMEF - CACILDA BECKER</t>
  </si>
  <si>
    <t>EMEF CACILDA BECKER</t>
  </si>
  <si>
    <t>73.304-0</t>
  </si>
  <si>
    <t>CLECIA SOARES DE ALENCAR MOTA</t>
  </si>
  <si>
    <t>ROSANGELA MATHIAS DA SILVA</t>
  </si>
  <si>
    <t>CACILDA BECKER</t>
  </si>
  <si>
    <t>EMEF - NELSON PIMENTEL QUEIROZ, PROF.</t>
  </si>
  <si>
    <t>EMEF NELSON PIMENTEL QUEIROZ, PROF.</t>
  </si>
  <si>
    <t>LEONARDO DA VINCI</t>
  </si>
  <si>
    <t>73.315-6</t>
  </si>
  <si>
    <t>SANDRA DE SOUZA NEIVA</t>
  </si>
  <si>
    <t>ATILA FERREIRA GOMES</t>
  </si>
  <si>
    <t>NELSON PIMENTEL QUEIROZ, PROF.</t>
  </si>
  <si>
    <t>EMEF - JOAO CARLOS DA SILVA BORGES, PROF.</t>
  </si>
  <si>
    <t>EMEF JOÃO CARLOS DA SILVA BORGES</t>
  </si>
  <si>
    <t>ALAMEDA DOS TUPINIQUINS</t>
  </si>
  <si>
    <t>38.925-0</t>
  </si>
  <si>
    <t>drgfelippe@gmail.com</t>
  </si>
  <si>
    <t>JOAO CARLOS DA SILVA BORGES, PROF.</t>
  </si>
  <si>
    <t>EMEF - MANOEL DE PAIVA, PE.</t>
  </si>
  <si>
    <t>EMEF PADRE MANOEL DE PAIVA</t>
  </si>
  <si>
    <t>RUA PROF. SERAFIM ORLANDI</t>
  </si>
  <si>
    <t>JARDIM VILA MARIANA</t>
  </si>
  <si>
    <t>35.261-6</t>
  </si>
  <si>
    <t>MANOEL DE PAIVA, PE.</t>
  </si>
  <si>
    <t>EMEF - JEAN MERMOZ</t>
  </si>
  <si>
    <t>EMEF JEAN MERMOZ</t>
  </si>
  <si>
    <t>emefjmermoz@prefeitura.sp.gov.br</t>
  </si>
  <si>
    <t>RUA CORREA DE LEMOS</t>
  </si>
  <si>
    <t>CH. INGLESA</t>
  </si>
  <si>
    <t>66.412-X</t>
  </si>
  <si>
    <t>JEAN MERMOZ</t>
  </si>
  <si>
    <t>EMEF - IRINEU MARINHO</t>
  </si>
  <si>
    <t>EMEF IRINEU MARINHO</t>
  </si>
  <si>
    <t>emefimarinho@prefeitura.sp.gov.br</t>
  </si>
  <si>
    <t>27.697-9</t>
  </si>
  <si>
    <t xml:space="preserve">Gisele Aparecida Moreira </t>
  </si>
  <si>
    <t>IRINEU MARINHO</t>
  </si>
  <si>
    <t>EMEF - RUTH LOPES ANDRADE, PROFA.</t>
  </si>
  <si>
    <t>EMEF PROFESSORA RUTH LOPES ANDRADE</t>
  </si>
  <si>
    <t>emefrlandrade@prefeitura.sp.gov.br</t>
  </si>
  <si>
    <t>RUA JUNDIAPEBA</t>
  </si>
  <si>
    <t>VILA ZELINA</t>
  </si>
  <si>
    <t>27.575-1</t>
  </si>
  <si>
    <t>RUTH LOPES ANDRADE, PROFA.</t>
  </si>
  <si>
    <t>EMEF - QUEIROZ FILHO, PROF.</t>
  </si>
  <si>
    <t>EMEF PROFESSOR QUEIROZ FILHO</t>
  </si>
  <si>
    <t>RUA FERNANDES SARDINHA</t>
  </si>
  <si>
    <t>20.692-X</t>
  </si>
  <si>
    <t>QUEIROZ FILHO, PROF.</t>
  </si>
  <si>
    <t>EMEF - OSORIO, GEN.</t>
  </si>
  <si>
    <t>EMEF GENERAL OSORIO</t>
  </si>
  <si>
    <t>emefosorio@prefeitura.sp.gov.br</t>
  </si>
  <si>
    <t>RUA ARARIPE</t>
  </si>
  <si>
    <t>VILA CALIFÓRNIA</t>
  </si>
  <si>
    <t>20.672-5</t>
  </si>
  <si>
    <t>OSORIO, GEN.</t>
  </si>
  <si>
    <t>EMEF - MAUA, BR. DE</t>
  </si>
  <si>
    <t>EMEF BARÃO DE MAUÁ</t>
  </si>
  <si>
    <t>RUA MADRID</t>
  </si>
  <si>
    <t>PARQUE SEVILHA</t>
  </si>
  <si>
    <t>25.306-5</t>
  </si>
  <si>
    <t>MARIA AMELIA GOUVEA DE AZEVEDO</t>
  </si>
  <si>
    <t>MAUA, BR. DE</t>
  </si>
  <si>
    <t>EMEF - CLEOMENES CAMPOS</t>
  </si>
  <si>
    <t>EMEF CLEOMENES CAMPOS</t>
  </si>
  <si>
    <t>emefccampos@prefeitura.sp.gov.br</t>
  </si>
  <si>
    <t>RUA BARTOLOMEU CORREA BUENO</t>
  </si>
  <si>
    <t>20.669-5</t>
  </si>
  <si>
    <t>Valéria Garbini Morano Stracci</t>
  </si>
  <si>
    <t>CLEOMENES CAMPOS</t>
  </si>
  <si>
    <t>EMEF - AUREA RIBEIRO XAVIER LOPES, PROFA.</t>
  </si>
  <si>
    <t>EMEF PROFESSORA AUREA RIBEIRO XAVIER LOPES</t>
  </si>
  <si>
    <t>emefarxlopes@prefeitura.sp.gov.br</t>
  </si>
  <si>
    <t>AUREA RIBEIRO XAVIER LOPES, PROFA.</t>
  </si>
  <si>
    <t>EMEF - MARLENE RONDELLI, PROFA.</t>
  </si>
  <si>
    <t>EMEF PROFESSORA MARLENE RONDELLI</t>
  </si>
  <si>
    <t>RUA ACACIO CARISTO</t>
  </si>
  <si>
    <t>VILA CARMEN</t>
  </si>
  <si>
    <t>25.296-4</t>
  </si>
  <si>
    <t>sgoretti@prefeitura.sp.gov.br</t>
  </si>
  <si>
    <t>Sandra Robles Sanchez</t>
  </si>
  <si>
    <t>MARLENE RONDELLI, PROFA.</t>
  </si>
  <si>
    <t>EMEF - PRUDENTE DE MORAIS, PRES.</t>
  </si>
  <si>
    <t>EMEF PRESIDENTE PRUDENTE DE MORAIS</t>
  </si>
  <si>
    <t>emefpmorais@prefeitura.sp.gov.br</t>
  </si>
  <si>
    <t>RUA JUIZ DE FORA</t>
  </si>
  <si>
    <t xml:space="preserve">VILA EMA </t>
  </si>
  <si>
    <t>Água Rasa</t>
  </si>
  <si>
    <t>90.002-8</t>
  </si>
  <si>
    <t>PRUDENTE DE MORAIS, PRES.</t>
  </si>
  <si>
    <t>EMEF - MASCARENHAS DE MORAES, MAL.</t>
  </si>
  <si>
    <t>EMEF MARECHAL MASCARENHAS DE MORAES</t>
  </si>
  <si>
    <t>emefmmoraes@prefeitura.sp.gov.br</t>
  </si>
  <si>
    <t>RUA DR. CAMILO HADDAD</t>
  </si>
  <si>
    <t>20.697-0</t>
  </si>
  <si>
    <t>MASCARENHAS DE MORAES, MAL.</t>
  </si>
  <si>
    <t>EMEF - ALVARES DE AZEVEDO</t>
  </si>
  <si>
    <t>EMEF ALVARES DE AZEVEDO</t>
  </si>
  <si>
    <t>RUA ALCAÇUZ</t>
  </si>
  <si>
    <t>JARDIM GUAIRACA</t>
  </si>
  <si>
    <t>franmenezes@uol.com.br</t>
  </si>
  <si>
    <t>ALVARES DE AZEVEDO</t>
  </si>
  <si>
    <t>EMEF - ALTINO ARANTES</t>
  </si>
  <si>
    <t>EMEF ALTINO ARANTES</t>
  </si>
  <si>
    <t>RUA CORONEL A. CELSO DE MOURA</t>
  </si>
  <si>
    <t>20.755-1</t>
  </si>
  <si>
    <t>ALTINO ARANTES</t>
  </si>
  <si>
    <t>EMEF - HENRIQUE MELEGA, PROF.</t>
  </si>
  <si>
    <t xml:space="preserve">EMEF PROF HENRIQUE MELEGA </t>
  </si>
  <si>
    <t>RUA CHIQUINHA GONZAGA</t>
  </si>
  <si>
    <t>VILA PRIMAVERA</t>
  </si>
  <si>
    <t>21533-3</t>
  </si>
  <si>
    <t>DALVA DE OLIVEIRA LIMITE</t>
  </si>
  <si>
    <t>sasgodoy@outlook.com</t>
  </si>
  <si>
    <t>LUZIETE DOS SANTOS</t>
  </si>
  <si>
    <t>HENRIQUE MELEGA, PROF.</t>
  </si>
  <si>
    <t>LAUD PEREIRA BORGES</t>
  </si>
  <si>
    <t>EMEF - EMILIO RIBAS</t>
  </si>
  <si>
    <t xml:space="preserve">EMEF EMILIO RIBAS </t>
  </si>
  <si>
    <t>RUA JOSÉ JOAQUIM</t>
  </si>
  <si>
    <t>JARDIM GRIMALDI</t>
  </si>
  <si>
    <t>25298-0</t>
  </si>
  <si>
    <t>MARLENE APARECIDA MEDEIROS</t>
  </si>
  <si>
    <t>CARMEM MEDEIROS LIMA</t>
  </si>
  <si>
    <t>EMILIO RIBAS</t>
  </si>
  <si>
    <t>EMEF - FLORES DA CUNHA, DEP.</t>
  </si>
  <si>
    <t xml:space="preserve">EMEF. DEPUTADO FLORES DA CUNHA </t>
  </si>
  <si>
    <t>RUA GAL PORFIRIO DA PAZ</t>
  </si>
  <si>
    <t>20186-3</t>
  </si>
  <si>
    <t>MARIA INÊS FERRENHA CERQUEIRA</t>
  </si>
  <si>
    <t>RENAN DE SYLLOS LIMA</t>
  </si>
  <si>
    <t>FLORES DA CUNHA, DEP.</t>
  </si>
  <si>
    <t>EMEF - ARMANDO DE SALLES OLIVEIRA</t>
  </si>
  <si>
    <t xml:space="preserve">EMEF ARMANDO DE SALLES OLIVEIRA </t>
  </si>
  <si>
    <t>RUA MILTON DA CRUZ</t>
  </si>
  <si>
    <t>20810-8</t>
  </si>
  <si>
    <t>ZILNETE LENIRA MARQUES CABRAL</t>
  </si>
  <si>
    <t>JEYJENNE GALDINO DE ALBUQUERQUE</t>
  </si>
  <si>
    <t>ARMANDO DE SALLES OLIVEIRA</t>
  </si>
  <si>
    <t>EMEF - BRASILIO MACHADO NETO</t>
  </si>
  <si>
    <t xml:space="preserve">EMEF BRASILIO MACHADO NETO </t>
  </si>
  <si>
    <t>RUA ALMIRANTE OTACILIO CUNHA</t>
  </si>
  <si>
    <t>20724-1</t>
  </si>
  <si>
    <t>HELENITA RODRIGUES SANTOS</t>
  </si>
  <si>
    <t>BRASILIO MACHADO NETO</t>
  </si>
  <si>
    <t>EMEF - HERALDO BARBUY</t>
  </si>
  <si>
    <t xml:space="preserve">EMEF HERALDO BARBUY </t>
  </si>
  <si>
    <t>RUA CRISTOVÃO DE VASCONCELOS</t>
  </si>
  <si>
    <t>JARDIM ADUTORA</t>
  </si>
  <si>
    <t>20220-7</t>
  </si>
  <si>
    <t>CÍNTIA CELESTINO BRAGA</t>
  </si>
  <si>
    <t>CLEIDE LUCIA RIBEIRO</t>
  </si>
  <si>
    <t>HERALDO BARBUY</t>
  </si>
  <si>
    <t>EMEF - VINICIUS DE MORAES</t>
  </si>
  <si>
    <t xml:space="preserve">EMEF VINCIUS DE MORAES </t>
  </si>
  <si>
    <t>RUA BRÁS PIRES</t>
  </si>
  <si>
    <t>CENTRAL PLAZA SHOP.</t>
  </si>
  <si>
    <t>10415-9</t>
  </si>
  <si>
    <t>MOISES BASILIO LEAL</t>
  </si>
  <si>
    <t xml:space="preserve">SORAYA MENDONÇA </t>
  </si>
  <si>
    <t>VINICIUS DE MORAES</t>
  </si>
  <si>
    <t>EMEF - RODRIGUES DE CARVALHO</t>
  </si>
  <si>
    <t xml:space="preserve">EMEF RODRIGUES DE CARVALHO </t>
  </si>
  <si>
    <t>RUA SARGENTO EDGARD LOURENCO PINTO</t>
  </si>
  <si>
    <t>20222-3</t>
  </si>
  <si>
    <t>ENEIDA BARRETO MOURA SOLLA</t>
  </si>
  <si>
    <t>eneidabms@gmail.com</t>
  </si>
  <si>
    <t>VALÉRIA ÁVILA FERRO BERNARDI</t>
  </si>
  <si>
    <t>RODRIGUES DE CARVALHO</t>
  </si>
  <si>
    <t>EMEF - OLIVAL COSTA</t>
  </si>
  <si>
    <t xml:space="preserve">EMEF OLIVAL COSTA </t>
  </si>
  <si>
    <t>RUA JOÃO RODRIGUES RUIZ</t>
  </si>
  <si>
    <t>25.382-0</t>
  </si>
  <si>
    <t>ALEXANDRA APARECIDA RIBEIRO DOS SANTOS</t>
  </si>
  <si>
    <t>JOSE LUSTROSA LUCAS</t>
  </si>
  <si>
    <t>OLIVAL COSTA</t>
  </si>
  <si>
    <t>EMEF - CLAUDIO MANOEL DA COSTA</t>
  </si>
  <si>
    <t xml:space="preserve">EMEF CLAUDIO MANOEL DA COSTA </t>
  </si>
  <si>
    <t>30724-6</t>
  </si>
  <si>
    <t>ROSIANE CAUNETO RIBEIRO MARTINS</t>
  </si>
  <si>
    <t>poesy@uol.com.br</t>
  </si>
  <si>
    <t>MAGALI PEREIRA DASILVA</t>
  </si>
  <si>
    <t>CLAUDIO MANOEL DA COSTA</t>
  </si>
  <si>
    <t>EMEF - ALCEU AMOROSO LIMA</t>
  </si>
  <si>
    <t xml:space="preserve">EMEF ALCEU AMOROSO LIMA </t>
  </si>
  <si>
    <t>RUA CARMEM TORTOLA</t>
  </si>
  <si>
    <t>52236-8</t>
  </si>
  <si>
    <t>SIMONE ALVES FERREIRA</t>
  </si>
  <si>
    <t>ccacien@ig.com.br</t>
  </si>
  <si>
    <t>ROBERT BERTO LUTZ</t>
  </si>
  <si>
    <t>ALCEU AMOROSO LIMA</t>
  </si>
  <si>
    <t>EMEF - CIDADE DE OSAKA</t>
  </si>
  <si>
    <t xml:space="preserve">EMEF CIDADE DE OSAKA </t>
  </si>
  <si>
    <t>AVENIDA BARONESA DE MURITIBA</t>
  </si>
  <si>
    <t>30875-7</t>
  </si>
  <si>
    <t>GISELE ALVES RAMOS</t>
  </si>
  <si>
    <t>DENIS DA SILVA ALVES</t>
  </si>
  <si>
    <t>CIDADE DE OSAKA</t>
  </si>
  <si>
    <t>EMEF - GREGORIO WESTRUPP, PE.</t>
  </si>
  <si>
    <t>EMEF PADRE GREGORIO WESTRUPP</t>
  </si>
  <si>
    <t>30840-4</t>
  </si>
  <si>
    <t>lucianamoip@hotmail.com</t>
  </si>
  <si>
    <t>THAIS THOMAZ BOVO</t>
  </si>
  <si>
    <t>GREGORIO WESTRUPP, PE.</t>
  </si>
  <si>
    <t>EMEF - IVETE VARGAS, DEP.</t>
  </si>
  <si>
    <t xml:space="preserve">EMEF DEPUTADA IVETE VARGAS </t>
  </si>
  <si>
    <t>20805-1</t>
  </si>
  <si>
    <t>ELENICE ELENA DE OLIVEIRA</t>
  </si>
  <si>
    <t>ROSIMEIRE FRANCISCA DA SILVA</t>
  </si>
  <si>
    <t>IVETE VARGAS, DEP.</t>
  </si>
  <si>
    <t>EMEF - VILANOVA ARTIGAS, ARQ.</t>
  </si>
  <si>
    <t xml:space="preserve">EMEF ARQUITETO VILANOVA ARTIGAS </t>
  </si>
  <si>
    <t>RUA GUARANTÃ</t>
  </si>
  <si>
    <t>JARDIM DONA SINHA</t>
  </si>
  <si>
    <t>20208-8</t>
  </si>
  <si>
    <t>SIMONE ALVES BEZERRA</t>
  </si>
  <si>
    <t>VILANOVA ARTIGAS, ARQ.</t>
  </si>
  <si>
    <t>EMEF - PAULO DUARTE</t>
  </si>
  <si>
    <t xml:space="preserve">EMEF PAULO DUARTE </t>
  </si>
  <si>
    <t>AVENIDA ARQUITETO VILA NOVA ARTIGAS</t>
  </si>
  <si>
    <t>10458-2</t>
  </si>
  <si>
    <t>SORAIA SARTORI</t>
  </si>
  <si>
    <t>sorayasartori@uol.com.br</t>
  </si>
  <si>
    <t>IZABEL APARECIDA GONÇALVES</t>
  </si>
  <si>
    <t>PAULO DUARTE</t>
  </si>
  <si>
    <t>EMEF - EDUCANDARIO DOM DUARTE, ANEXA AO</t>
  </si>
  <si>
    <t>EMEF ANEXA AO EDUCANDÁRIO DOM DUARTE</t>
  </si>
  <si>
    <t>emefdduarte@prefeitura.sp.gov.br</t>
  </si>
  <si>
    <t>16.915-3</t>
  </si>
  <si>
    <t>LAURA MARIA WALCKIERS CLEMENTINO</t>
  </si>
  <si>
    <t>CAROLINE SANTANA</t>
  </si>
  <si>
    <t>EDUCANDARIO DOM DUARTE, ANEXA AO</t>
  </si>
  <si>
    <t>EMEF - JUSCELINO KUBITSCHEK DE OLIVEIRA, PRES.</t>
  </si>
  <si>
    <t>EMEF JUSCELINO KUBITSCHEK DE OLIVEIRA, PRES.</t>
  </si>
  <si>
    <t>RUA JORGE MARACCINI POMFILIO</t>
  </si>
  <si>
    <t>51.588-4</t>
  </si>
  <si>
    <t>CIBELE BOMFIM DE SOUZA SIMÃO</t>
  </si>
  <si>
    <t>MARLI BARBOZA MEIRA</t>
  </si>
  <si>
    <t>JUSCELINO KUBITSCHEK DE OLIVEIRA, PRES.</t>
  </si>
  <si>
    <t>EMEF - ANTONIO PEREIRA IGNACIO</t>
  </si>
  <si>
    <t>EMEF ANTONIO PEREIRA IGNÁCIO</t>
  </si>
  <si>
    <t>RUA SARA KUBITSCHEK</t>
  </si>
  <si>
    <t>52.048-9</t>
  </si>
  <si>
    <t>VALTER VIEIRA FAGUNDES</t>
  </si>
  <si>
    <t>MAURICIO FIRMINO ROSA</t>
  </si>
  <si>
    <t>ANTONIO PEREIRA IGNACIO</t>
  </si>
  <si>
    <t>EMEI - KLAUS REINACH, ENG.</t>
  </si>
  <si>
    <t>EMEI KLAUS REINACH, ENG</t>
  </si>
  <si>
    <t>emeikreinach@prefeitura.sp.gov.br</t>
  </si>
  <si>
    <t>RUA JOSÉ FRANCISCO BRANDÃO</t>
  </si>
  <si>
    <t>8.309-7</t>
  </si>
  <si>
    <t>ERICA DOS SANTOS MARQUES</t>
  </si>
  <si>
    <t>ELISANGELA MICHELE DE OLIVEIRA</t>
  </si>
  <si>
    <t>KLAUS REINACH, ENG.</t>
  </si>
  <si>
    <t>EMEI - ELISA KAUFFMANN ABRAMOVICH</t>
  </si>
  <si>
    <t>EMEI PROFª ELISA KAUFFMANN ABRAMOVICH</t>
  </si>
  <si>
    <t>emeiekabramovich@prefeitura.sp.gov.br</t>
  </si>
  <si>
    <t>8.445-X</t>
  </si>
  <si>
    <t>ERIKA ROPERO SIQUEIRA DOS SANTOS</t>
  </si>
  <si>
    <t>LUCIA DA SILVA SANTOS</t>
  </si>
  <si>
    <t>ELISA KAUFFMANN ABRAMOVICH</t>
  </si>
  <si>
    <t>EMEI - VALDIR AZEVEDO</t>
  </si>
  <si>
    <t>EMEI VALDIR DE AZEVEDO</t>
  </si>
  <si>
    <t>RUA INÁCIO MONTEIRO</t>
  </si>
  <si>
    <t>52.246-5</t>
  </si>
  <si>
    <t>VALDIR AZEVEDO</t>
  </si>
  <si>
    <t>EMEI - TANCREDO NEVES, PRES.</t>
  </si>
  <si>
    <t>EMEI PRESIDENTE TANCREDO NEVES</t>
  </si>
  <si>
    <t>RUA ANTONIO MARIA ESCUDEIRO RIVAS</t>
  </si>
  <si>
    <t xml:space="preserve"> ITAIM PAULISTA</t>
  </si>
  <si>
    <t>28240-5</t>
  </si>
  <si>
    <t>RONALDO NUNES DA SILVA</t>
  </si>
  <si>
    <t>TANCREDO NEVES, PRES.</t>
  </si>
  <si>
    <t>EMEI - PERO NETO</t>
  </si>
  <si>
    <t>EMEI PERO NETO</t>
  </si>
  <si>
    <t>emeiperoneto@prefeitura.sp.gov.br</t>
  </si>
  <si>
    <t>RUA PAULO BOURROUL</t>
  </si>
  <si>
    <t>7.900-6</t>
  </si>
  <si>
    <t>ALINE ALVES DOS SANTOS</t>
  </si>
  <si>
    <t>SIMONE PEREIRA DE ALMEIDA</t>
  </si>
  <si>
    <t>PERO NETO</t>
  </si>
  <si>
    <t>EMEI - OSCAR PEDROSO HORTA</t>
  </si>
  <si>
    <t>EMEI OSCAR PEDROSO HORTA</t>
  </si>
  <si>
    <t>emeiophorta@prefeitura.sp.gov.br</t>
  </si>
  <si>
    <t>RUA PAULO MARANHAO</t>
  </si>
  <si>
    <t>JARDIM D´ABRIL</t>
  </si>
  <si>
    <t>23.459-1</t>
  </si>
  <si>
    <t>CREUSA AVIGO FERREIRA</t>
  </si>
  <si>
    <t>OSCAR PEDROSO HORTA</t>
  </si>
  <si>
    <t>EMEI - ZULEIKA PEREIRA LEITE, PROFA.</t>
  </si>
  <si>
    <t>EMEI - ZULEIKA PEREIRA LEITE, PROFª</t>
  </si>
  <si>
    <t>RUA ANTONIO BARBOSA CUNHA</t>
  </si>
  <si>
    <t>MARIA SAMPAIO</t>
  </si>
  <si>
    <t>7682-1</t>
  </si>
  <si>
    <t>VALERIA GOTO</t>
  </si>
  <si>
    <t>thathamr@yahoo.com.br</t>
  </si>
  <si>
    <t>REGIANE DA SILVA PRATES</t>
  </si>
  <si>
    <t>ZULEIKA PEREIRA LEITE, PROFA.</t>
  </si>
  <si>
    <t>EMEI - DILSON FUNARO</t>
  </si>
  <si>
    <t>EMEI DILSON FUNARO</t>
  </si>
  <si>
    <t>RUA ALBERTINA MEDEIROS</t>
  </si>
  <si>
    <t>VILA DANUBIO AZUL</t>
  </si>
  <si>
    <t xml:space="preserve">1530-X </t>
  </si>
  <si>
    <t>ITAUQERA</t>
  </si>
  <si>
    <t>13016-6</t>
  </si>
  <si>
    <t>DELIANE MENDES PEREIRA</t>
  </si>
  <si>
    <t>DILSON FUNARO</t>
  </si>
  <si>
    <t>EMEF - AURELIANO LEITE</t>
  </si>
  <si>
    <t>EMEF AURELIANO LEITE</t>
  </si>
  <si>
    <t>ADRIANA BREANZA</t>
  </si>
  <si>
    <t>WAGNER MALAFAIA CARNEIRO</t>
  </si>
  <si>
    <t>AURELIANO LEITE</t>
  </si>
  <si>
    <t>EMEF - JOSE PEDRO LEITE CORDEIRO, DR.</t>
  </si>
  <si>
    <t>EMEF DR. JOSÉ PEDRO LEITE CORDEIRO</t>
  </si>
  <si>
    <t>28047-X</t>
  </si>
  <si>
    <t>PRISCILA LOPES CARRIÇO BOCUTI</t>
  </si>
  <si>
    <t>JOSE PEDRO LEITE CORDEIRO, DR.</t>
  </si>
  <si>
    <t>EMEF - JOSE AUGUSTO CESAR SALGADO, DR.</t>
  </si>
  <si>
    <t>EMEF JOSE AUGUSTO CESAR SALGADO, DR</t>
  </si>
  <si>
    <t>emefjacsalgado@prefeitura.sp.gov.br</t>
  </si>
  <si>
    <t>AVENIDA TÊXTEIS.</t>
  </si>
  <si>
    <t>52.009-8</t>
  </si>
  <si>
    <t>MARCIA CRISTIANE TEIXEIRA PINTO</t>
  </si>
  <si>
    <t>FERNANDO GOMES DE CARVALHO</t>
  </si>
  <si>
    <t>JOSE AUGUSTO CESAR SALGADO, DR.</t>
  </si>
  <si>
    <t>EMEI - ALBERT SABIN, DR.</t>
  </si>
  <si>
    <t>EMEI ALBERT SABIN</t>
  </si>
  <si>
    <t>AVENIDA JOÃO PAULO DA SILVA</t>
  </si>
  <si>
    <t>VILA DA PAZ</t>
  </si>
  <si>
    <t>23532-6</t>
  </si>
  <si>
    <t xml:space="preserve">MARILYN MONTAGNINI </t>
  </si>
  <si>
    <t>ALBERT SABIN, DR.</t>
  </si>
  <si>
    <t>EMEI - CARVALHO PINTO, GOV.</t>
  </si>
  <si>
    <t>EMEI GOVERNADOR CARVALHO PINTO</t>
  </si>
  <si>
    <t>emeicarvalho@prefeitura.sp.gov.br</t>
  </si>
  <si>
    <t>RUA ANTONIO ALVES SANTOS</t>
  </si>
  <si>
    <t>20.696-2</t>
  </si>
  <si>
    <t>CARVALHO PINTO, GOV.</t>
  </si>
  <si>
    <t>EMEI - ALIOMAR BALEEIRO, MIN.</t>
  </si>
  <si>
    <t>EMEI MINISTRO ALIOMAR BALEEIRO</t>
  </si>
  <si>
    <t>RUA JURITI AZUL</t>
  </si>
  <si>
    <t>51946-4</t>
  </si>
  <si>
    <t>ALIOMAR BALEEIRO, MIN.</t>
  </si>
  <si>
    <t>EMEI - OSVALDO CORDEIRO DE FARIAS, MAL.</t>
  </si>
  <si>
    <t>EMEI OSVALDO CORDEIRO DE FARIAS, MAL.</t>
  </si>
  <si>
    <t>RUA HENRY ARTHUR JONES</t>
  </si>
  <si>
    <t>41766-1</t>
  </si>
  <si>
    <t>OSVALDO CORDEIRO DE FARIAS, MAL.</t>
  </si>
  <si>
    <t>EMEI - CRUZ E SOUSA</t>
  </si>
  <si>
    <t>EMEI CRUZ E SOUSA</t>
  </si>
  <si>
    <t>HENRIQUE DA COSTA</t>
  </si>
  <si>
    <t>26.969-7</t>
  </si>
  <si>
    <t>MARIA EMILIA MORAIS CUROPOS MOZ</t>
  </si>
  <si>
    <t>VALQUIRIA ARAUJO DOS REIS</t>
  </si>
  <si>
    <t>CRUZ E SOUSA</t>
  </si>
  <si>
    <t>EMEI - ARLINDO VEIGA DOS SANTOS, PROF.</t>
  </si>
  <si>
    <t>EMEI PROF ARLINDO VEIGA DOS SANTOS</t>
  </si>
  <si>
    <t>AV FELIX ALVES PEREIRA</t>
  </si>
  <si>
    <t>13955-6</t>
  </si>
  <si>
    <t>MARIA INES DA ROSA BRUNO</t>
  </si>
  <si>
    <t>ARLINDO VEIGA DOS SANTOS, PROF.</t>
  </si>
  <si>
    <t>EMEI - ODILIO DENYS, MAL.</t>
  </si>
  <si>
    <t>EMEI ODILIO DENYS, MAL.</t>
  </si>
  <si>
    <t>RUA PORTEIRA DO PINHAL</t>
  </si>
  <si>
    <t>MANDAQUI</t>
  </si>
  <si>
    <t>13953-X</t>
  </si>
  <si>
    <t>ROSIMEIRE PEDROSO DO PRADO MENEZES</t>
  </si>
  <si>
    <t>ODILIO DENYS, MAL.</t>
  </si>
  <si>
    <t>EMEI - 9 DE JULHO</t>
  </si>
  <si>
    <t>EMEI 9 DE JULHO</t>
  </si>
  <si>
    <t>emei9dejulho@prefeitura.sp.gov.br</t>
  </si>
  <si>
    <t>RUA MÁRTIRES ARMENIOS</t>
  </si>
  <si>
    <t>BARRO BRANCO</t>
  </si>
  <si>
    <t>32.160-5</t>
  </si>
  <si>
    <t>MARINA PEREIRA RODRIGUES</t>
  </si>
  <si>
    <t>ELIS DAIANE MOTA ARAUJO</t>
  </si>
  <si>
    <t>9 DE JULHO</t>
  </si>
  <si>
    <t>EMEI - LUIS GAMA</t>
  </si>
  <si>
    <t>EMEI LUIS GAMA</t>
  </si>
  <si>
    <t>emeilgama@prefeitura.sp.gov.br</t>
  </si>
  <si>
    <t>RUA INVASÃO DOS HOLANDESES</t>
  </si>
  <si>
    <t>24979-3</t>
  </si>
  <si>
    <t>KESSYA PAULA DE SOUZA MELO</t>
  </si>
  <si>
    <t>VIRGILIA PERCILIO FIGUEIREDO</t>
  </si>
  <si>
    <t>LUIS GAMA</t>
  </si>
  <si>
    <t>EMEI - JONISE MAXIMO DA FONSECA, PROFA.</t>
  </si>
  <si>
    <t>EMEI PROFESSORA JONISE MAXIMO DA FONSECA</t>
  </si>
  <si>
    <t>emeijmfonseca@prefeitura.sp.gov.br</t>
  </si>
  <si>
    <t>RUA MIGUEL ARROJADO LISBOA</t>
  </si>
  <si>
    <t>22.104-X</t>
  </si>
  <si>
    <t>TÂNIA APARECIDA PARDIM SENA DELFINO</t>
  </si>
  <si>
    <t>JONISE MAXIMO DA FONSECA, PROFA.</t>
  </si>
  <si>
    <t>EMEI - CHARBONNEAU, PE.</t>
  </si>
  <si>
    <t>EMEI PADRE CHARBONNEAU</t>
  </si>
  <si>
    <t>RUA FÁBIO DE ALMEIDA MAGALHÃES</t>
  </si>
  <si>
    <t>JARDIM STO ELIAS</t>
  </si>
  <si>
    <t>00187-2</t>
  </si>
  <si>
    <t xml:space="preserve">ROSANA PEGORARO LIMA </t>
  </si>
  <si>
    <t>emeicharbonneau@pref.sp.gov</t>
  </si>
  <si>
    <t>CHARBONNEAU, PE.</t>
  </si>
  <si>
    <t>EMEI - EURIPEDES SIMOES DE PAULA</t>
  </si>
  <si>
    <t>EMEI EURIPEDES SIMÕES DE PAULA, PROFº</t>
  </si>
  <si>
    <t>RUA BARRA DO JACARE</t>
  </si>
  <si>
    <t>VILA HERMINIA</t>
  </si>
  <si>
    <t>31046-8</t>
  </si>
  <si>
    <t>ANA CRISTINA AVILEZ</t>
  </si>
  <si>
    <t>anaval61@yahho.com.br</t>
  </si>
  <si>
    <t>FRANCISCA DE ASSIS ARRUDA</t>
  </si>
  <si>
    <t>EURIPEDES SIMOES DE PAULA</t>
  </si>
  <si>
    <t>EMEI - CLYCIE MENDES CARNEIRO</t>
  </si>
  <si>
    <t>EMEI PROFª CLYCIE MENDES CARNEIRO</t>
  </si>
  <si>
    <t>emeicmcarneiro@prefeitura.sp.gov.br</t>
  </si>
  <si>
    <t>RUA JOAQUINA DA LAPA</t>
  </si>
  <si>
    <t>JARDIM ESTHER YOLANDA</t>
  </si>
  <si>
    <t>71.591-3</t>
  </si>
  <si>
    <t>RAQUEL MARCOLINA DOS SANTOS SILVA</t>
  </si>
  <si>
    <t>CLYCIE MENDES CARNEIRO</t>
  </si>
  <si>
    <t>EMEI - MARIA JOSE GALVAO DE FRANCA PINTO, PROFA.</t>
  </si>
  <si>
    <t>EMEI PROFª MARIA JOSÉ GALVÃO DE FRANÇA PINTO</t>
  </si>
  <si>
    <t>emeimjgfranca@prefeitura.sp.gov.br</t>
  </si>
  <si>
    <t>RUA INÁCIO CERVANTES</t>
  </si>
  <si>
    <t>PARQUE YPÊ</t>
  </si>
  <si>
    <t>71.589-1</t>
  </si>
  <si>
    <t>MÁRIO JOSÉ PEREIRA</t>
  </si>
  <si>
    <t>MÁRCIO CARAI ELIAS</t>
  </si>
  <si>
    <t>MARIA JOSE GALVAO DE FRANCA PINTO, PROFA.</t>
  </si>
  <si>
    <t>EMEI - VANDA COELHO DE MORAES</t>
  </si>
  <si>
    <t>EMEI VANDA COELHO DE MORAES</t>
  </si>
  <si>
    <t>GUADALQUIVIR</t>
  </si>
  <si>
    <t>23.472-9</t>
  </si>
  <si>
    <t>ELAINE GRABHER DE ARAUJO</t>
  </si>
  <si>
    <t>LUCIMARA BATISTA SIRIGATTI</t>
  </si>
  <si>
    <t>VANDA COELHO DE MORAES</t>
  </si>
  <si>
    <t>EMEI - ARACY DE ALMEIDA</t>
  </si>
  <si>
    <t>RUA WALDEMAR ORTEGA</t>
  </si>
  <si>
    <t>35796-0</t>
  </si>
  <si>
    <t>ALZIRA LOPES DA CUNHA</t>
  </si>
  <si>
    <t>emeiaracy@yahoo.com.br</t>
  </si>
  <si>
    <t>DAMIANA DOURADO SILVA</t>
  </si>
  <si>
    <t>ARACY DE ALMEIDA</t>
  </si>
  <si>
    <t>EMEI - DINAH SILVEIRA DE QUEIROZ</t>
  </si>
  <si>
    <t>emeidsqueiroz@prefeitura.sp.gov.br</t>
  </si>
  <si>
    <t>RUA SEBASTIAO SENRET</t>
  </si>
  <si>
    <t>7734-8</t>
  </si>
  <si>
    <t>CLÁUDIA REGINA FUGIRAHA</t>
  </si>
  <si>
    <t>DINAH SILVEIRA DE QUEIROZ</t>
  </si>
  <si>
    <t>EMEI - DANTON CASTILHO CABRAL</t>
  </si>
  <si>
    <t xml:space="preserve">EMEI DANTON CASTILHO CABRAL </t>
  </si>
  <si>
    <t>RUA SILVESTRO SILVESTRI</t>
  </si>
  <si>
    <t>20053-0</t>
  </si>
  <si>
    <t>EVA LÚCIA DE OLIVEIRA SILVA</t>
  </si>
  <si>
    <t>rsamariamagal@ig.com.br</t>
  </si>
  <si>
    <t>GISELE FIORESE BENTZ</t>
  </si>
  <si>
    <t>DANTON CASTILHO CABRAL</t>
  </si>
  <si>
    <t>EMEI - JOSE ALOYSIO RODRIGUES CORREA, PROF.</t>
  </si>
  <si>
    <t>EMEI PROF. JOSÉ ALOYSIO RODRIGUES CORREA</t>
  </si>
  <si>
    <t>RUA MÁLAGA</t>
  </si>
  <si>
    <t>27.831-9</t>
  </si>
  <si>
    <t>IRACI ALVES DE CASTRO</t>
  </si>
  <si>
    <t>JOSE ALOYSIO RODRIGUES CORREA, PROF.</t>
  </si>
  <si>
    <t>EMEF - HIPOLITO JOSE DA COSTA</t>
  </si>
  <si>
    <t>EMEF HIPOLITO JOSE DA COSTA</t>
  </si>
  <si>
    <t>emefhjcosta@prefeitura.sp.gov.br</t>
  </si>
  <si>
    <t>31.775-6</t>
  </si>
  <si>
    <t>KELLY GONÇALVES DE SOUZA SANTOS</t>
  </si>
  <si>
    <t>CARLA PUZISKI</t>
  </si>
  <si>
    <t>HIPOLITO JOSE DA COSTA</t>
  </si>
  <si>
    <t>EMEF - DEZOITO DO FORTE</t>
  </si>
  <si>
    <t>RUA HAFIZ ABI CHEDID</t>
  </si>
  <si>
    <t>VILA NAGIBE</t>
  </si>
  <si>
    <t>46.613-1</t>
  </si>
  <si>
    <t>ceziravieira@uol.com.br</t>
  </si>
  <si>
    <t>NAIR PEREIRA LEITE PRATES</t>
  </si>
  <si>
    <t>DEZOITO DO FORTE</t>
  </si>
  <si>
    <t>EMEF - PRACINHAS DA FEB</t>
  </si>
  <si>
    <t>emefpracinhas@prefeitura.sp.gov.br</t>
  </si>
  <si>
    <t>RUA ANTONIO RAPOSO BARRETO</t>
  </si>
  <si>
    <t>21494-9</t>
  </si>
  <si>
    <t>MARIA DONIZETE MOTA FERNANDES</t>
  </si>
  <si>
    <t>PRACINHAS DA FEB</t>
  </si>
  <si>
    <t>EMEF CEU - DOMINGOS RUBINO, PROF.</t>
  </si>
  <si>
    <t>CEU EMEF DOMINGOS RUBINO</t>
  </si>
  <si>
    <t>21434-5</t>
  </si>
  <si>
    <t>JOSÉ PAULO ACCIARITO</t>
  </si>
  <si>
    <t>pacciarito@yahoo.com.br</t>
  </si>
  <si>
    <t>ANDRÉ TREVISAN</t>
  </si>
  <si>
    <t>DOMINGOS RUBINO, PROF.</t>
  </si>
  <si>
    <t>EMEF - VIRGILIO DE MELLO FRANCO</t>
  </si>
  <si>
    <t>EMEF VIRGILIO DE MELLO FRANCO</t>
  </si>
  <si>
    <t>51970-7</t>
  </si>
  <si>
    <t>VIVIANE PEREIRA PORTO</t>
  </si>
  <si>
    <t>VIRGILIO DE MELLO FRANCO</t>
  </si>
  <si>
    <t>EMEBS - ANNE SULLIVAN</t>
  </si>
  <si>
    <t>EMEE ANNE SULLIVAN</t>
  </si>
  <si>
    <t>RODRIGUES PAIS</t>
  </si>
  <si>
    <t>70.616-7</t>
  </si>
  <si>
    <t>MARIA IZABEL BARCIA SUEIRAS DE SOUZA ROBERTO</t>
  </si>
  <si>
    <t>ANNE SULLIVAN</t>
  </si>
  <si>
    <t>EMEI - CHARLES CHAPLIN</t>
  </si>
  <si>
    <t xml:space="preserve">EMEI CHARLES CHAPLIN </t>
  </si>
  <si>
    <t>COHAB TEOTÔNIO VILELA</t>
  </si>
  <si>
    <t>20227-4</t>
  </si>
  <si>
    <t>ARLETE MARIA DOS SANTOS EMILIANO</t>
  </si>
  <si>
    <t>SIMONE DO NASCIMENTO BARROS</t>
  </si>
  <si>
    <t>CHARLES CHAPLIN</t>
  </si>
  <si>
    <t>EMEF - JOAO PEDRO DE CARVALHO NETO, DR.</t>
  </si>
  <si>
    <t>RUA ALFREDO OMETECIDIO</t>
  </si>
  <si>
    <t>7722-4</t>
  </si>
  <si>
    <t>FÁBIO RODRIGO BOTTAS</t>
  </si>
  <si>
    <t>fabio130875@gmail.com</t>
  </si>
  <si>
    <t>ADRIANA DE OLIVEIRA BORGES</t>
  </si>
  <si>
    <t>JOAO PEDRO DE CARVALHO NETO, DR.</t>
  </si>
  <si>
    <t>EMEF - MODESTO SCAGLIUSI</t>
  </si>
  <si>
    <t>emefmscagliusi@prefeitura.sp.gov.br</t>
  </si>
  <si>
    <t>RUA JOAO RODRIGUES DE MOURA</t>
  </si>
  <si>
    <t>JARDIM PIRACUAMA</t>
  </si>
  <si>
    <t>21391-8</t>
  </si>
  <si>
    <t>CLEUSON MELO DE MACEDO</t>
  </si>
  <si>
    <t>MODESTO SCAGLIUSI</t>
  </si>
  <si>
    <t>EMEI - SYLVIO DE MAGALHAES FIGUEIREDO, ALM.</t>
  </si>
  <si>
    <t>EMEI SYLVIO DE MAGALHÃES FIGUEIREDO, ALM.</t>
  </si>
  <si>
    <t>26.971-9</t>
  </si>
  <si>
    <t>SYLVIO DE MAGALHAES FIGUEIREDO, ALM.</t>
  </si>
  <si>
    <t>EMEI - NORIMAR TEIXEIRA, PROFA.</t>
  </si>
  <si>
    <t>EMEI - NORIMAR TEIXEIRA, PROFª</t>
  </si>
  <si>
    <t>RUA VERDUM</t>
  </si>
  <si>
    <t>JARDIM S FRANCISCO</t>
  </si>
  <si>
    <t>32628-3</t>
  </si>
  <si>
    <t>MARIA ESTELA DE ALMEIDA</t>
  </si>
  <si>
    <t>anyborges@ig.com.br</t>
  </si>
  <si>
    <t>PAULO CESAR DOS SANTOS FILHO</t>
  </si>
  <si>
    <t>NORIMAR TEIXEIRA, PROFA.</t>
  </si>
  <si>
    <t>EMEF - TEOFILO BENEDITO OTTONI</t>
  </si>
  <si>
    <t>EMEF TEÓFILO BENEDITO OTTONI</t>
  </si>
  <si>
    <t>emeftottoni@prefeitura.sp.gov.br</t>
  </si>
  <si>
    <t>23.456-7</t>
  </si>
  <si>
    <t>HELOISA VIGETA LIMA</t>
  </si>
  <si>
    <t>MARGARIDA ROSA GONÇALVES CÔRTE</t>
  </si>
  <si>
    <t>TEOFILO BENEDITO OTTONI</t>
  </si>
  <si>
    <t>EMEI - ISA SILVEIRA LEAL</t>
  </si>
  <si>
    <t>EMEI ISA SILVEIRA LEAL</t>
  </si>
  <si>
    <t>RUA JOAQUIM ALVES DINIS</t>
  </si>
  <si>
    <t>44.738-2</t>
  </si>
  <si>
    <t>SANDRA GOMES DA SILVA COIMBRA</t>
  </si>
  <si>
    <t>ISA SILVEIRA LEAL</t>
  </si>
  <si>
    <t>EMEF - VIANNA MOOG</t>
  </si>
  <si>
    <t>EMEF VIANNA MOOG</t>
  </si>
  <si>
    <t>emefvmoog@prefeitura.sp.gov.br</t>
  </si>
  <si>
    <t>JARDIM JAQUELINE</t>
  </si>
  <si>
    <t>16.014-8</t>
  </si>
  <si>
    <t>WILMA DA SILVA</t>
  </si>
  <si>
    <t>ROSELIANA DOS SANTOS DAMASCENO</t>
  </si>
  <si>
    <t>VIANNA MOOG</t>
  </si>
  <si>
    <t>EMEF - BENEDITO MONTENEGRO, PROF.</t>
  </si>
  <si>
    <t xml:space="preserve">EMEF PROF. BENEDITO MONTENEGRO </t>
  </si>
  <si>
    <t>AVENIDA RAGUEB CHOHFI</t>
  </si>
  <si>
    <t>52267-8</t>
  </si>
  <si>
    <t>FABIO ALVES XAVIER</t>
  </si>
  <si>
    <t>MARCOS PAIXÃO DO NASCIMENTO</t>
  </si>
  <si>
    <t>BENEDITO MONTENEGRO, PROF.</t>
  </si>
  <si>
    <t>EMEI - JARDIM MARILIA</t>
  </si>
  <si>
    <t>EMEI JARDIM MARILIA</t>
  </si>
  <si>
    <t>RUA QUINTINO DA CUNHA</t>
  </si>
  <si>
    <t>JARDIM MARÍLIA</t>
  </si>
  <si>
    <t>13504-6</t>
  </si>
  <si>
    <t>emeijmarilia@prefeitura.sp.gov.br</t>
  </si>
  <si>
    <t>JARDIM MARILIA</t>
  </si>
  <si>
    <t>EMEI - MARIA DA CONCEICAO VIEIRA PEREIRA, PROFA.</t>
  </si>
  <si>
    <t>EMEI PROF MARIA DA CONCEIÇÃO V.PEREIRA</t>
  </si>
  <si>
    <t>RUA DIOGO DE GOUVEIA OSORIO</t>
  </si>
  <si>
    <t>JARDIM DAS OLIVEIRAS</t>
  </si>
  <si>
    <t>28263-4</t>
  </si>
  <si>
    <t>RODRIGO CECHETO</t>
  </si>
  <si>
    <t>BRUNA RAFAELA ALBUQUERQUE VIEIRA</t>
  </si>
  <si>
    <t>MARIA DA CONCEICAO VIEIRA PEREIRA, PROFA.</t>
  </si>
  <si>
    <t>EMEF - 22 DE MARCO</t>
  </si>
  <si>
    <t>12.718-3</t>
  </si>
  <si>
    <t>MARIA REGINA DA SILVA FERREIRA</t>
  </si>
  <si>
    <t>emef22demarço@prefeitura.sp.gov.br</t>
  </si>
  <si>
    <t>ROSELI SOUZA NASCIMENTO</t>
  </si>
  <si>
    <t>22 DE MARCO</t>
  </si>
  <si>
    <t>EMEI - RACHEL MESQUITA DE SALLES OLIVEIRA</t>
  </si>
  <si>
    <t xml:space="preserve">EMEI RACHEL MESQUITA DE SALLES OLIVEIRA </t>
  </si>
  <si>
    <t>20715-2</t>
  </si>
  <si>
    <t>SIMONE BATISTA DE ALMEIDA</t>
  </si>
  <si>
    <t>balmeidasimone@gmail.com</t>
  </si>
  <si>
    <t>ANDREIA DE ARAUJO RAMOS</t>
  </si>
  <si>
    <t>RACHEL MESQUITA DE SALLES OLIVEIRA</t>
  </si>
  <si>
    <t>EMEF - PEDRO NAVA</t>
  </si>
  <si>
    <t>EMEF PEDRO NAVA</t>
  </si>
  <si>
    <t>emefpnava@prefeitura.sp.gov.br</t>
  </si>
  <si>
    <t>23.475-3</t>
  </si>
  <si>
    <t>JULIANA BASTOS AMARAL TAMBORI</t>
  </si>
  <si>
    <t>PEDRO NAVA</t>
  </si>
  <si>
    <t>EMEI - DULCE HAUCK</t>
  </si>
  <si>
    <t>EMEI DULCE HAUCK</t>
  </si>
  <si>
    <t>RUA ANTONIO JOAQUIM SILVA</t>
  </si>
  <si>
    <t>10579-1</t>
  </si>
  <si>
    <t>ELISANGELA CRISTINA DE OLIVEIRA ANGELOZZI</t>
  </si>
  <si>
    <t>ANA CLAUDIA NEVES DE SOUZA</t>
  </si>
  <si>
    <t>DULCE HAUCK</t>
  </si>
  <si>
    <t>EMEF - JOSE HONORIO RODRIGUES</t>
  </si>
  <si>
    <t>EMEF JOSÉ HONORIO RODRIGUES</t>
  </si>
  <si>
    <t>RUA DO POMBO CORREIO</t>
  </si>
  <si>
    <t>51988-X</t>
  </si>
  <si>
    <t>ADRIANA CRISTINA PEREIRA GLAVINA</t>
  </si>
  <si>
    <t>JOSE HONORIO RODRIGUES</t>
  </si>
  <si>
    <t>EMEF - AMELIA, IMP. DA.</t>
  </si>
  <si>
    <t xml:space="preserve">EMEF IMPERATRIZ DONA AMELIA </t>
  </si>
  <si>
    <t>AVENIDATENENTE LAURO SODRÉ</t>
  </si>
  <si>
    <t>JARDIM WALQUIRIA</t>
  </si>
  <si>
    <t>30763-7</t>
  </si>
  <si>
    <t>MARIA DO SOCORRO DA S. PINTO</t>
  </si>
  <si>
    <t>msocorro2005@terra.com.br</t>
  </si>
  <si>
    <t>RICARDO ALEXANDRE XAVIER DA SILVA</t>
  </si>
  <si>
    <t>AMELIA, IMP. DA.</t>
  </si>
  <si>
    <t>EMEF - MALLET, MAL.</t>
  </si>
  <si>
    <t>EMEF MARECHAL MALLET</t>
  </si>
  <si>
    <t>emefmallet@prefeitura.sp.gov.br</t>
  </si>
  <si>
    <t>RUA GENERAL MOREIRA COUTO</t>
  </si>
  <si>
    <t>52678-9</t>
  </si>
  <si>
    <t>MALLET, MAL.</t>
  </si>
  <si>
    <t>EMEF - RICARDO VITIELLO, PROF.</t>
  </si>
  <si>
    <t>AVENIDA SOLIDARIEDADE</t>
  </si>
  <si>
    <t>32538-4</t>
  </si>
  <si>
    <t>ELIERTE BATISTA DOS SANTOS CRUZ</t>
  </si>
  <si>
    <t>emefvitiello@prefeitura.sp.gov.br</t>
  </si>
  <si>
    <t>RICARDO VITIELLO, PROF.</t>
  </si>
  <si>
    <t>EMEF - GERALDO SESSO JUNIOR</t>
  </si>
  <si>
    <t>EMEF GERALDO GESSO JUNIOR</t>
  </si>
  <si>
    <t>RUA JOSE SIQUEIRA DE BRITO</t>
  </si>
  <si>
    <t>37794-5</t>
  </si>
  <si>
    <t>GERALDO SESSO JUNIOR</t>
  </si>
  <si>
    <t>EMEF - PLINIO SALGADO</t>
  </si>
  <si>
    <t>EMEF PLINIO SALGADO</t>
  </si>
  <si>
    <t>RUA CLARISSA</t>
  </si>
  <si>
    <t>41847-1</t>
  </si>
  <si>
    <t>CRISTIANO DELLA SERRA SALGADO</t>
  </si>
  <si>
    <t>PLINIO SALGADO</t>
  </si>
  <si>
    <t>EMEF - FORTE DOS REIS MAGOS</t>
  </si>
  <si>
    <t>EMEF FORTE DOS REIS MAGOS</t>
  </si>
  <si>
    <t>RUA FORTE DOS REIS MAGOS</t>
  </si>
  <si>
    <t>41.216-3</t>
  </si>
  <si>
    <t>RAFAEL CORREA DE FREITAS</t>
  </si>
  <si>
    <t>cp.mara@yahoo.com.br</t>
  </si>
  <si>
    <t>CLAUDIA DE FÁTIMA RODRIGUES</t>
  </si>
  <si>
    <t>FORTE DOS REIS MAGOS</t>
  </si>
  <si>
    <t>EMEI - J.G. DE ARAUJO JORGE</t>
  </si>
  <si>
    <t>EMEI J. G. DE ARAUJO JORGE</t>
  </si>
  <si>
    <t>RUA VALDOMIRO GONZAGA SILVA</t>
  </si>
  <si>
    <t>28219-7</t>
  </si>
  <si>
    <t>ROSANA CARNEIRO ROCHA</t>
  </si>
  <si>
    <t>J.G. DE ARAUJO JORGE</t>
  </si>
  <si>
    <t>EMEI - MARIA JOSE DUPRE</t>
  </si>
  <si>
    <t>EMEI MARIA JOSE DUPRE</t>
  </si>
  <si>
    <t>RUA PASTOR JOÃO GRECCHI</t>
  </si>
  <si>
    <t>113-202-4</t>
  </si>
  <si>
    <t>MARCIA DE BRITO MACIEL</t>
  </si>
  <si>
    <t>deabianchi@uol.com.br</t>
  </si>
  <si>
    <t>MARIA JOSE DUPRE</t>
  </si>
  <si>
    <t>CIEJA</t>
  </si>
  <si>
    <t>AVENIDA PARANAGUÁ</t>
  </si>
  <si>
    <t>21.368-3</t>
  </si>
  <si>
    <t>CIEJA - IGUATEMI I</t>
  </si>
  <si>
    <t>CIEJA JARDIM IGUATEMI</t>
  </si>
  <si>
    <t>21227-X</t>
  </si>
  <si>
    <t>ELI APARECIDA VANCINI</t>
  </si>
  <si>
    <t>SHIRLEI APARECIDA DA PENHA RIBEIRO</t>
  </si>
  <si>
    <t>IGUATEMI I</t>
  </si>
  <si>
    <t>CIEJA - PERUS I</t>
  </si>
  <si>
    <t>CIEJA PERUS I</t>
  </si>
  <si>
    <t>RUA FRANCISCO JOSE DE BARROS</t>
  </si>
  <si>
    <t>VILA INÁCIO</t>
  </si>
  <si>
    <t>20.159-6</t>
  </si>
  <si>
    <t>PERUS I</t>
  </si>
  <si>
    <t>CIEJA - CENTRO INT ED JOVENS E ADULTOS - VILA PRUDENTE/SAPOPEMBA</t>
  </si>
  <si>
    <t>CIEJA SAPOPEMBA</t>
  </si>
  <si>
    <t>MASCARENHAS DE MORAES</t>
  </si>
  <si>
    <t>20216-9</t>
  </si>
  <si>
    <t>SHIRLEY COLANO URSULINO</t>
  </si>
  <si>
    <t>CENTRO INT ED JOVENS E ADULTOS - VILA PRUDENTE/SAPOPEMBA</t>
  </si>
  <si>
    <t>CIEJA - CENTRO INT ED JOVENS E ADULTOS - VILA MARIA/VILA GUILHERME</t>
  </si>
  <si>
    <t>16.455-0</t>
  </si>
  <si>
    <t>GISLENE CALÓ GUARANHA</t>
  </si>
  <si>
    <t>cieja sabrina@prefeitura.sp.gov.br</t>
  </si>
  <si>
    <t>CENTRO INT ED JOVENS E ADULTOS - VILA MARIA/VILA GUILHERME</t>
  </si>
  <si>
    <t>CIEJA - CENTRO INT ED JOVENS E ADULTOS - ITAQUERA</t>
  </si>
  <si>
    <t>CENTRO INTEGRADO DE EDUCAÇÃO DE JOVENS ADULTOS CIEJA ITAQUERA</t>
  </si>
  <si>
    <t>AVENIDA ITAQUERA</t>
  </si>
  <si>
    <t>20030-1</t>
  </si>
  <si>
    <t>MERCI RODRIGUES MEDEIROS</t>
  </si>
  <si>
    <t>ceijanae9@prefeitura.sp.gov.br</t>
  </si>
  <si>
    <t>CENTRO INT ED JOVENS E ADULTOS - ITAQUERA</t>
  </si>
  <si>
    <t>CIEJA - PAULO EMILIO VANZOLINI</t>
  </si>
  <si>
    <t xml:space="preserve">CIEJA DA DRE DO IPIRANGA- CIEJA CAMBUCI </t>
  </si>
  <si>
    <t>RUA CESARIO RAMALHO</t>
  </si>
  <si>
    <t>0635-2</t>
  </si>
  <si>
    <t>Largo do Cambuci</t>
  </si>
  <si>
    <t>19.371-2</t>
  </si>
  <si>
    <t>adelia.ruotolo@terra.com.br</t>
  </si>
  <si>
    <t>PAULO EMILIO VANZOLINI</t>
  </si>
  <si>
    <t>CIEJA - ROSA KAZUE INAKAKE DE SOUZA, PROFA.</t>
  </si>
  <si>
    <t>CIEJA PROFESSORA ROSA KAZUE INAKAKE DE SOUZA</t>
  </si>
  <si>
    <t>RUA MEIRA PENNA</t>
  </si>
  <si>
    <t>ARICANDUVA-SP</t>
  </si>
  <si>
    <t>13.624-7</t>
  </si>
  <si>
    <t>LUIS CARLOS MAZZAROLO</t>
  </si>
  <si>
    <t>CARLOS DAMASIO DA SILVA</t>
  </si>
  <si>
    <t>ROSA KAZUE INAKAKE DE SOUZA, PROFA.</t>
  </si>
  <si>
    <t>CIEJA - FRANCISCO HERNANI ALVERNE FACUNDO LEITE, PROF.</t>
  </si>
  <si>
    <t>CIEJA DO PROF. FRANCISCO HERNANI ALVERNE FACUNDO LEITE</t>
  </si>
  <si>
    <t>23.879-1</t>
  </si>
  <si>
    <t>ELZA RAMOS DA CRUZ</t>
  </si>
  <si>
    <t>FRANCISCO HERNANI ALVERNE FACUNDO LEITE, PROF.</t>
  </si>
  <si>
    <t>CIEJA - CENTRO INT ED JOVENS E ADULTOS - CAMPO LIMPO</t>
  </si>
  <si>
    <t>CIEJA CAMPO LIMPO</t>
  </si>
  <si>
    <t>ciejanae5@prefeitura.sp.gov.br</t>
  </si>
  <si>
    <t>RUA CABO ESTACIO DA CONCEICAO</t>
  </si>
  <si>
    <t>PARQUEUE MARIA HELENA</t>
  </si>
  <si>
    <t>7765-8</t>
  </si>
  <si>
    <t>DIEGO ELIAS SANTANA DUARTE</t>
  </si>
  <si>
    <t>FLÁVIA FERREIRA DINIZ</t>
  </si>
  <si>
    <t>CENTRO INT ED JOVENS E ADULTOS - CAMPO LIMPO</t>
  </si>
  <si>
    <t>CIEJA - MARLUCIA GONCALVES DE ABREU, PROFESSORA</t>
  </si>
  <si>
    <t xml:space="preserve">CIEJA PROFª MARLUCIA GONÇALVES DE ABREU </t>
  </si>
  <si>
    <t>AVENIDA MATEO BEI</t>
  </si>
  <si>
    <t>30554-5</t>
  </si>
  <si>
    <t>CLÉLIA LEANDRO DA SILVA</t>
  </si>
  <si>
    <t>MARLUCIA GONCALVES DE ABREU, PROFESSORA</t>
  </si>
  <si>
    <t>CIEJA - ALUNA JESSICA NUNES HERCULANO</t>
  </si>
  <si>
    <t>CIEJA ALUNA JESSICA NUNES HERCULANO</t>
  </si>
  <si>
    <t>ciejabutanta@prefeitura.sp.gov.br</t>
  </si>
  <si>
    <t>RUA ANTONIO MARIANI</t>
  </si>
  <si>
    <t>JARDIM ADHEMAR DE BARROS</t>
  </si>
  <si>
    <t>16.216-7</t>
  </si>
  <si>
    <t>DANIELLE BRASILEIRO DO PRADO B. MONELLO</t>
  </si>
  <si>
    <t>ANA CÉLIA ROMANO DE CARVALHO</t>
  </si>
  <si>
    <t>ALUNA JESSICA NUNES HERCULANO</t>
  </si>
  <si>
    <t>CIEJA - CLOVIS CAITANO MIQUELAZZO - IPIRANGA</t>
  </si>
  <si>
    <t>CIEJA CLOVIS CAITANO MIQUELAZZO</t>
  </si>
  <si>
    <t>RUA FRANÇOIS BUNEL</t>
  </si>
  <si>
    <t>Avenida Cursino SP</t>
  </si>
  <si>
    <t>22.254-2</t>
  </si>
  <si>
    <t>orientadoralucia@yahoo.com.br</t>
  </si>
  <si>
    <t>CLOVIS CAITANO MIQUELAZZO - IPIRANGA</t>
  </si>
  <si>
    <t>CIEJA - CENTRO INT ED JOVENS E ADULTOS - SANTANA/TUCURUVI</t>
  </si>
  <si>
    <t>ciejamandaqui@prefeitura.sp.gov.br</t>
  </si>
  <si>
    <t>RUA CORONEL JOÃO DA SILVA FEIJÓ</t>
  </si>
  <si>
    <t>30.918-4</t>
  </si>
  <si>
    <t>PATRICIA CHRISTIANE HYPOLITI</t>
  </si>
  <si>
    <t>ADRIANA ZENEZI</t>
  </si>
  <si>
    <t>CENTRO INT ED JOVENS E ADULTOS - SANTANA/TUCURUVI</t>
  </si>
  <si>
    <t>CIEJA - ROSE MARY FRASSON, PROFA.</t>
  </si>
  <si>
    <t>CIEJA  PROFESSORA ROSE MARY FRASSON</t>
  </si>
  <si>
    <t>RUA JITAUNA</t>
  </si>
  <si>
    <t>JARDIM MARACANA</t>
  </si>
  <si>
    <t>ROSE MARY FRASSON, PROFA.</t>
  </si>
  <si>
    <t>CEU - ALVARENGA</t>
  </si>
  <si>
    <t>CEU</t>
  </si>
  <si>
    <t>ALTEMIRA MARIA BATISTA</t>
  </si>
  <si>
    <t>ALDECINA BARBOSA DOS SANTOS</t>
  </si>
  <si>
    <t>CEU - ARICANDUVA - PROFESSORA IRENE GALVAO DE SOUZA</t>
  </si>
  <si>
    <t>20018-2</t>
  </si>
  <si>
    <t>FABIANA PEREIRA BRITO</t>
  </si>
  <si>
    <t>smeceuaricanduva@prefeitura.sp.gov.br</t>
  </si>
  <si>
    <t>ARICANDUVA - PROFESSORA IRENE GALVAO DE SOUZA</t>
  </si>
  <si>
    <t>CEU - BUTANTA - ELIZABETH GASPAR TUNALA, PROFA.</t>
  </si>
  <si>
    <t>BUTANTÃ PROFª ELIZABETH GASPAR TUNALA</t>
  </si>
  <si>
    <t>smeceubutanta@prefeitura.sp.gov.br</t>
  </si>
  <si>
    <t>20.345-9</t>
  </si>
  <si>
    <t>SONIA MARIA ALVES DE JESUS</t>
  </si>
  <si>
    <t>BUTANTA - ELIZABETH GASPAR TUNALA, PROFA.</t>
  </si>
  <si>
    <t>CEU - CIDADE DUTRA - ADIB SALOMAO, DR.</t>
  </si>
  <si>
    <t>CIDADE DUTRA ADIB SALOMÃO</t>
  </si>
  <si>
    <t>54390-X</t>
  </si>
  <si>
    <t>ADRIANA TAKAHAMA NEPOMUCENO</t>
  </si>
  <si>
    <t>CIDADE DUTRA - ADIB SALOMAO, DR.</t>
  </si>
  <si>
    <t>CEU - INACIO MONTEIRO</t>
  </si>
  <si>
    <t>smeceuinaciomonteiro@prefeitura.sp.gov.br</t>
  </si>
  <si>
    <t>RUA BARAO BARROSO DO AMAZONAS</t>
  </si>
  <si>
    <t>COHAB INACIO MONTEIRO</t>
  </si>
  <si>
    <t>35.247-0</t>
  </si>
  <si>
    <t>MARCIA REGINA CARDOSO DE OLIVEIRA</t>
  </si>
  <si>
    <t>CEU - JAMBEIRO - JOSE GUILHERME GIANETTI</t>
  </si>
  <si>
    <t>smeceujambeiro@prefeitura.sp.gov.br</t>
  </si>
  <si>
    <t>RUA JOSE PINHEIRO BORGES</t>
  </si>
  <si>
    <t>VILA RÉ</t>
  </si>
  <si>
    <t>JAMBEIRO - JOSE GUILHERME GIANETTI</t>
  </si>
  <si>
    <t>CEU - MENINOS - ARTUR ALBERTO DE MOTA GONCALVES, PROF. PR.</t>
  </si>
  <si>
    <t>CEU MENINOS – ARTHUR ALBERTO DE MOTA GONÇALVES, PROFº PR.</t>
  </si>
  <si>
    <t>smeceumeninos@prefeitura.sp.gov.br</t>
  </si>
  <si>
    <t>JARDIM SÃO JOAO CLIMACO</t>
  </si>
  <si>
    <t>3.403.7</t>
  </si>
  <si>
    <t>MENINOS - ARTUR ALBERTO DE MOTA GONCALVES, PROF. PR.</t>
  </si>
  <si>
    <t>CEU - NAVEGANTES - JOSE EVERARDO RODRIGUES COSME, PROF.</t>
  </si>
  <si>
    <t>NAVEGANTES JOSÉ EVERARDO RODRIGUES COSME</t>
  </si>
  <si>
    <t>54370-5</t>
  </si>
  <si>
    <t>YAMARA SOARES DE MELO</t>
  </si>
  <si>
    <t>ROBSON LUIS DE ASSIS GALAN</t>
  </si>
  <si>
    <t>NAVEGANTES - JOSE EVERARDO RODRIGUES COSME, PROF.</t>
  </si>
  <si>
    <t>CEU - PARQUE SAO CARLOS</t>
  </si>
  <si>
    <t>PARQUE SÃO CARLOS</t>
  </si>
  <si>
    <t>23.540-7</t>
  </si>
  <si>
    <t>ANA MARIA DE SOUSA SANCHEZ</t>
  </si>
  <si>
    <t>CEU - PARQUE VEREDAS - JOAO ANTONIO DA SILVA</t>
  </si>
  <si>
    <t>CEU PARQUE VEREDAS</t>
  </si>
  <si>
    <t>66.530-4</t>
  </si>
  <si>
    <t>REGINALDO DOS SANTOS SILVA</t>
  </si>
  <si>
    <t>MARCIO FORTUNATO DE CARVALHO</t>
  </si>
  <si>
    <t>PARQUE VEREDAS - JOAO ANTONIO DA SILVA</t>
  </si>
  <si>
    <t>CEU - PERA MARMELO</t>
  </si>
  <si>
    <t>19.441-7</t>
  </si>
  <si>
    <t xml:space="preserve">SIMONE SCAQUETTI DO NASCIMENTO </t>
  </si>
  <si>
    <t>smeceuperamarmelo@sme.prefeitura.sp.gov.br</t>
  </si>
  <si>
    <t>CEU - PERUS</t>
  </si>
  <si>
    <t>PARQUE ANHANQUERA</t>
  </si>
  <si>
    <t>4387-7</t>
  </si>
  <si>
    <t xml:space="preserve">NILZA APARECIDA DE SOUZA </t>
  </si>
  <si>
    <t>smeceuperus@sme.prefeitura.sp.gov.br</t>
  </si>
  <si>
    <t xml:space="preserve">GISLENE OLIVEIRA DA SILVA </t>
  </si>
  <si>
    <t>CEU - SAO MATEUS</t>
  </si>
  <si>
    <t>19328-3</t>
  </si>
  <si>
    <t>MAURICIO PEREIRA ALVES DE SOUZA</t>
  </si>
  <si>
    <t>MARILZA NEGRINI DA SILVA</t>
  </si>
  <si>
    <t>CEU - SAO RAFAEL</t>
  </si>
  <si>
    <t>SÃO RAFAEL</t>
  </si>
  <si>
    <t xml:space="preserve">1830-9 </t>
  </si>
  <si>
    <t>42.736-5</t>
  </si>
  <si>
    <t>IRENE DA CONCEIÇÃO MARTINS DE SOUZA ROGATI</t>
  </si>
  <si>
    <t>SAO RAFAEL</t>
  </si>
  <si>
    <t>CEU - TRES LAGOS - JOSE ARISTODEMO PINOTTI, PROF.</t>
  </si>
  <si>
    <t>CEU TRÊS LAGOS - JOSÉ ARISTODEMO PINOTTI, PROF.</t>
  </si>
  <si>
    <t>54261-X</t>
  </si>
  <si>
    <t>EROTILDES GONÇALVES FERREIRA RIBEIRO</t>
  </si>
  <si>
    <t>TRES LAGOS - JOSE ARISTODEMO PINOTTI, PROF.</t>
  </si>
  <si>
    <t>CEU - VILA ATLANTICA - JOAO SOARES FILHO, PROF.</t>
  </si>
  <si>
    <t>VILA ATLANTICA PROFESSOR JOÃO SOARES FILHO</t>
  </si>
  <si>
    <t>101.070-0</t>
  </si>
  <si>
    <t xml:space="preserve">SILVANA GONÇALVES DOS SANTOS </t>
  </si>
  <si>
    <t>smeceuvlatlantica@sme.prefeitura.sp.gov.br</t>
  </si>
  <si>
    <t xml:space="preserve">ANA PAULA DA SILVA LUIZ </t>
  </si>
  <si>
    <t>VILA ATLANTICA - JOAO SOARES FILHO, PROF.</t>
  </si>
  <si>
    <t>CEU - VILA CURUCA - IRENE RAMALHO</t>
  </si>
  <si>
    <t>CEU VILA CURUÇA – IRENE RAMALHO</t>
  </si>
  <si>
    <t>66.628-9</t>
  </si>
  <si>
    <t>VILA CURUCA - IRENE RAMALHO</t>
  </si>
  <si>
    <t>CEU - ROSA DA CHINA</t>
  </si>
  <si>
    <t>29350-4</t>
  </si>
  <si>
    <t>PATRÍCIA CALFA</t>
  </si>
  <si>
    <t>HERMÍNIA NEVES SATO</t>
  </si>
  <si>
    <t>CEU - CASA BLANCA - SOLON BORGES DOS REIS, PROF.</t>
  </si>
  <si>
    <t>smecasablanca@prefeitura.sp.gov.br</t>
  </si>
  <si>
    <t>19.774-2</t>
  </si>
  <si>
    <t>BENEDITA ZENI FERREIRA</t>
  </si>
  <si>
    <t>CASA BLANCA - SOLON BORGES DOS REIS, PROF.</t>
  </si>
  <si>
    <t>CEU - PAZ</t>
  </si>
  <si>
    <t>CEU PAZ</t>
  </si>
  <si>
    <t>JARDIM PARANA</t>
  </si>
  <si>
    <t>51209-5</t>
  </si>
  <si>
    <t>LEILA APARECIDA RAVAZIO</t>
  </si>
  <si>
    <t>ANTONIO FRANCISCO BORGES</t>
  </si>
  <si>
    <t>CEU - CAMPO LIMPO - DOM AGNELO ROSSI, CARDEAL</t>
  </si>
  <si>
    <t>013.213-6</t>
  </si>
  <si>
    <t xml:space="preserve">SOLANGE RAMOS FERREIRA </t>
  </si>
  <si>
    <t>solangers79@gmail.com</t>
  </si>
  <si>
    <t>ALEXANDRE JOSÉ ALVES</t>
  </si>
  <si>
    <t>CAMPO LIMPO - DOM AGNELO ROSSI, CARDEAL</t>
  </si>
  <si>
    <t>CECI - JARAGUA</t>
  </si>
  <si>
    <t>CECI</t>
  </si>
  <si>
    <t>CEI  CECI JARAGUÁ</t>
  </si>
  <si>
    <t>AV COMENDADOR JOSE DE MATOS</t>
  </si>
  <si>
    <t>63395-X</t>
  </si>
  <si>
    <t>JAQUELINE VIEIRA CABRAL</t>
  </si>
  <si>
    <t>cecijaragua@prefeitura.sp.gov.br</t>
  </si>
  <si>
    <t xml:space="preserve">ADILSON LAURINDO </t>
  </si>
  <si>
    <t>JARAGUA</t>
  </si>
  <si>
    <t>CECI - KRUKUTU</t>
  </si>
  <si>
    <t>CECI CEI KRUKUTU</t>
  </si>
  <si>
    <t>ESTRADA DO CURUCUTU</t>
  </si>
  <si>
    <t>42049-2</t>
  </si>
  <si>
    <t>KRUKUTU</t>
  </si>
  <si>
    <t>CECI - TENONDE PORA</t>
  </si>
  <si>
    <t xml:space="preserve">CEI CECI  TENONDE PORA </t>
  </si>
  <si>
    <t>ESTRADA JOÃO LANG</t>
  </si>
  <si>
    <t>CIPÓ DO MEIO</t>
  </si>
  <si>
    <t>42037-9</t>
  </si>
  <si>
    <t>ADRIANO VERÍSSIMO PORÃ</t>
  </si>
  <si>
    <t>TENONDE PORA</t>
  </si>
  <si>
    <t>CIEJA - LELIA GONZALEZ</t>
  </si>
  <si>
    <t>CIEJA LÉLIA GONZALES</t>
  </si>
  <si>
    <t>PRAÇA DO TRABALHADR</t>
  </si>
  <si>
    <t>PARQUE MARIA FERNANDES</t>
  </si>
  <si>
    <t>42300-9</t>
  </si>
  <si>
    <t>ELISABETE LEONIDE FEKETE</t>
  </si>
  <si>
    <t>LELIA GONZALEZ</t>
  </si>
  <si>
    <t>CEU - AGUA AZUL - PAULO RENATO COSTA SOUZA, PROF.</t>
  </si>
  <si>
    <t>smeceuaguaazul@prefeitura.sp.gov.br</t>
  </si>
  <si>
    <t>35.651-4</t>
  </si>
  <si>
    <t>AGUA AZUL - PAULO RENATO COSTA SOUZA, PROF.</t>
  </si>
  <si>
    <t>CEU - AZUL DA COR DO MAR - JOSSEI TODA, PROF.</t>
  </si>
  <si>
    <t>PROFESSOR JOSEI TODA</t>
  </si>
  <si>
    <t>74440-9</t>
  </si>
  <si>
    <t>SANDRA DA SILVA MOTA ROCATO</t>
  </si>
  <si>
    <t>smeceuazuldacormar@prefeitura.sp.gov.br</t>
  </si>
  <si>
    <t>AZUL DA COR DO MAR - JOSSEI TODA, PROF.</t>
  </si>
  <si>
    <t>CEU - FEITICO DA VILA - JOSE FREITAS NOBRE, DEP., PROF.</t>
  </si>
  <si>
    <t>FEITIÇO DA VILA</t>
  </si>
  <si>
    <t>19.758-0</t>
  </si>
  <si>
    <t> smeceufeiticovila@prefeitura.sp.gov.br</t>
  </si>
  <si>
    <t>VIRGINIA POZZI POTENZA DA SILVA</t>
  </si>
  <si>
    <t>FEITICO DA VILA - JOSE FREITAS NOBRE, DEP., PROF.</t>
  </si>
  <si>
    <t>CEU - VILA RUBI - ALEXANDRE KADUNC, JORNALISTA</t>
  </si>
  <si>
    <t>VILA RUBI JORNALISTA ALEXANDRE KADUNC</t>
  </si>
  <si>
    <t>21691-7</t>
  </si>
  <si>
    <t>VILA RUBI - ALEXANDRE KADUNC, JORNALISTA</t>
  </si>
  <si>
    <t>CEU - JACANA</t>
  </si>
  <si>
    <t>38263-9</t>
  </si>
  <si>
    <t>MARIA ESTELA CARDOSO MARTINEZ</t>
  </si>
  <si>
    <t>ppuoddzius@prefeitura.sp.gov.br</t>
  </si>
  <si>
    <t>MARIA RACHEL CORDEIRO CARVALHO</t>
  </si>
  <si>
    <t>CEU - GUARAPIRANGA - FLORINDA LOTAIF SCHAHIN</t>
  </si>
  <si>
    <t>GUARAPIRANGA - FLORINDA LOTAIF SCHAHIN</t>
  </si>
  <si>
    <t>6589-7</t>
  </si>
  <si>
    <t>ALTO DA BOA VISTA</t>
  </si>
  <si>
    <t>10928-2</t>
  </si>
  <si>
    <t>ELAINE SANTOS DUARTE</t>
  </si>
  <si>
    <t> smeceuguarapiranga@prefeitura.sp.gov.br</t>
  </si>
  <si>
    <t>VALDOMIRO DOS SANTOS FILHO</t>
  </si>
  <si>
    <t>CEU - CANTOS DO AMANHECER</t>
  </si>
  <si>
    <t>ceucantosdoamanhecer@prefeitura.sp.gov.br</t>
  </si>
  <si>
    <t>RUA CANTOS DO AMANHECER</t>
  </si>
  <si>
    <t>19.838-2</t>
  </si>
  <si>
    <t>EDSON DIAS</t>
  </si>
  <si>
    <t>EDSON MARQUES COSTA</t>
  </si>
  <si>
    <t>CEU - VILA DO SOL</t>
  </si>
  <si>
    <t>21623-2</t>
  </si>
  <si>
    <t>DIONE LEMOS SOUZA OLIVEIRA</t>
  </si>
  <si>
    <t> ceuviladosol@prefeitura.sp.gov.br</t>
  </si>
  <si>
    <t>MARISTELA DE OLIVEIRA</t>
  </si>
  <si>
    <t>CEU - JARDIM PAULISTANO</t>
  </si>
  <si>
    <t>CEU JARDIM PAULISTANO/GESTÃO</t>
  </si>
  <si>
    <t>52422-0</t>
  </si>
  <si>
    <t>CEU - LAJEADO</t>
  </si>
  <si>
    <t>smeceulajeado@prefeitura.sp.gov.br</t>
  </si>
  <si>
    <t>7021-1</t>
  </si>
  <si>
    <t>ESTAÇÃO DA UVA</t>
  </si>
  <si>
    <t>18.363-6</t>
  </si>
  <si>
    <t>ELAINE ROMERO FELIPPE DOS SANTOS</t>
  </si>
  <si>
    <t>CEU - QUINTA DO SOL</t>
  </si>
  <si>
    <t>QUINTA DO SOL</t>
  </si>
  <si>
    <t>10.6278-6</t>
  </si>
  <si>
    <t>CEU - SAPOPEMBA - DORA MANCINI</t>
  </si>
  <si>
    <t>SAPOPEMBA - DORA MANCINI</t>
  </si>
  <si>
    <t>28884-5</t>
  </si>
  <si>
    <t>RITA DE CÁSSIA SANTOS FERREIRA</t>
  </si>
  <si>
    <t>thicalix@terra.com.br</t>
  </si>
  <si>
    <t>JOSE LUIZ CARVALHO JUNIOR</t>
  </si>
  <si>
    <t>CEU - TRES PONTES - NILZETE LETICIA BISPO DOS SANTOS LIMA, PROFA.</t>
  </si>
  <si>
    <t>CEU TRÊS PONTES</t>
  </si>
  <si>
    <t>13.247-0</t>
  </si>
  <si>
    <t>SANDRA CRISTINA GONÇALVES</t>
  </si>
  <si>
    <t>TRES PONTES - NILZETE LETICIA BISPO DOS SANTOS LIMA, PROFA.</t>
  </si>
  <si>
    <t>CEU - CAMINHO DO MAR - DULCE SALLES CUNHA BRAGA, PROFA.</t>
  </si>
  <si>
    <t>31.818-3</t>
  </si>
  <si>
    <t>GLORIA ALVES SCHAEFER</t>
  </si>
  <si>
    <t>CAMINHO DO MAR - DULCE SALLES CUNHA BRAGA, PROFA.</t>
  </si>
  <si>
    <t>CEU - CAPAO REDONDO - CELSO SEIXAS RIBEIRO BASTOS, PROF. E DR.</t>
  </si>
  <si>
    <t>11.826-5</t>
  </si>
  <si>
    <t>DÉBORA HYPPOLITO DE LIMA</t>
  </si>
  <si>
    <t> smeceucapaoredondo@prefeitura.sp.gov.br</t>
  </si>
  <si>
    <t>KARINA AMORIM GOMES</t>
  </si>
  <si>
    <t>CAPAO REDONDO - CELSO SEIXAS RIBEIRO BASTOS, PROF. E DR.</t>
  </si>
  <si>
    <t>CEU - PARAISOPOLIS</t>
  </si>
  <si>
    <t>22097-3</t>
  </si>
  <si>
    <t>LEANDRO CARDENETE</t>
  </si>
  <si>
    <t> smeceuparaisopolis@prefeitura.sp.gov.br</t>
  </si>
  <si>
    <t>MARCELO ROBERTO FURTADO</t>
  </si>
  <si>
    <t>CEU - PARQUE BRISTOL</t>
  </si>
  <si>
    <t>ceupqbristolgestao@prefeitura.sp.gov.br</t>
  </si>
  <si>
    <t>7067-X</t>
  </si>
  <si>
    <t>Vila das Mercês</t>
  </si>
  <si>
    <t>6.685-0</t>
  </si>
  <si>
    <t>Marco Augusto Barburio</t>
  </si>
  <si>
    <t>CEU - FORMOSA - EDEN SILVERIO DE OLIVEIRA, PROF.</t>
  </si>
  <si>
    <t>FORMOSA PROFESSOR EDEN SILVERIO DE OLIVEIRA</t>
  </si>
  <si>
    <t>smeceuformosa@prefeitura.sp.gov.br</t>
  </si>
  <si>
    <t>RUA SARGENTO CLAUDINER EVARISTO DIAS</t>
  </si>
  <si>
    <t>25897-0</t>
  </si>
  <si>
    <t>FORMOSA - EDEN SILVERIO DE OLIVEIRA, PROF.</t>
  </si>
  <si>
    <t>CEU - UIRAPURU</t>
  </si>
  <si>
    <t>ceuirapuru@prefeitura.sp.gov.br</t>
  </si>
  <si>
    <t>6969-8</t>
  </si>
  <si>
    <t>15.304-4</t>
  </si>
  <si>
    <t>BRUNO DAMS AUCIELLO</t>
  </si>
  <si>
    <t>CEU - TIQUATIRA</t>
  </si>
  <si>
    <t>TIQUATIRA</t>
  </si>
  <si>
    <t>VILA MOREIRA</t>
  </si>
  <si>
    <t>6835-7</t>
  </si>
  <si>
    <t>10.320-9</t>
  </si>
  <si>
    <t>IZILDA MARIA DUARTE</t>
  </si>
  <si>
    <t>ALCEU RAMOS DA SILVA</t>
  </si>
  <si>
    <t>CEU - PARQUE ANHANGUERA</t>
  </si>
  <si>
    <t>3000 -7</t>
  </si>
  <si>
    <t>smeceupqanhanguera@sme.prefeitura.sp.gov.br</t>
  </si>
  <si>
    <t xml:space="preserve">ARNALDO CESAR GOMES </t>
  </si>
  <si>
    <t>CEU - JAGUARE - HENRIQUE GAMBA, PROF.</t>
  </si>
  <si>
    <t>41.624-X</t>
  </si>
  <si>
    <t>ceujaguare@sme.prefeitura.sp.gov.br</t>
  </si>
  <si>
    <t>JAGUARE - HENRIQUE GAMBA, PROF.</t>
  </si>
  <si>
    <t>CEU - ALTO ALEGRE - PAULO SUYOSH MINAMI, PROF.</t>
  </si>
  <si>
    <t>19.482-4</t>
  </si>
  <si>
    <t>CLAUDEMIR MANCINI</t>
  </si>
  <si>
    <t>TATIANNA LACERDA ALMEIDA</t>
  </si>
  <si>
    <t>ALTO ALEGRE - PAULO SUYOSH MINAMI, PROF.</t>
  </si>
  <si>
    <t>CEU - PARELHEIROS - ENEIDA PALMA LEITE, PROFA.</t>
  </si>
  <si>
    <t>CEU PARELHEIROS -  ENEIDA PALMA LEITE,PROFA.</t>
  </si>
  <si>
    <t>42326-2</t>
  </si>
  <si>
    <t>PARELHEIROS - ENEIDA PALMA LEITE, PROFA.</t>
  </si>
  <si>
    <t>CEU - HELIOPOLIS - ARLETE PERSOLI, PROFA.</t>
  </si>
  <si>
    <t>CEU HELIÓPOLIS PROFESSORA ARLETE PERSOLI</t>
  </si>
  <si>
    <t>smeceuheliopolis@prefeitura.sp.gov.br</t>
  </si>
  <si>
    <t>ESTRADA DAS LAGRIMAS</t>
  </si>
  <si>
    <t>São João Clímaco</t>
  </si>
  <si>
    <t>12.545-8</t>
  </si>
  <si>
    <t>José Genário Pereira de Araújo</t>
  </si>
  <si>
    <t>HELIOPOLIS - ARLETE PERSOLI, PROFA.</t>
  </si>
  <si>
    <t>CEI - ADELAIDE LOPES RODRIGUES</t>
  </si>
  <si>
    <t>CEI ADELAIDE LOPES RODRIGUES</t>
  </si>
  <si>
    <t>ceialrodrigues@prefeitura.sp.gov.br</t>
  </si>
  <si>
    <t>RUA ALFERES MAGALHÃES</t>
  </si>
  <si>
    <t>32.283-0</t>
  </si>
  <si>
    <t>DENISE RAMOS RODRIGUES</t>
  </si>
  <si>
    <t>RITA DE CÁSSIA DANTAS GAMA DA SILVA</t>
  </si>
  <si>
    <t>ADELAIDE LOPES RODRIGUES</t>
  </si>
  <si>
    <t>CEI - ALASTAIR QUINTAS GONCALVES</t>
  </si>
  <si>
    <t>CEI ALASTAIR QUINTAS GONÇALVES</t>
  </si>
  <si>
    <t>ALAMENDA RODRIGO DE BRUM</t>
  </si>
  <si>
    <t>VILA PARANAGUÁ</t>
  </si>
  <si>
    <t>51.672-4</t>
  </si>
  <si>
    <t>GISELE OLIVEIRA BERNARDO SANTOS</t>
  </si>
  <si>
    <t>ALASTAIR QUINTAS GONCALVES</t>
  </si>
  <si>
    <t>CEI - ALOYSIO DE MENEZES GREENHALGH, VER.</t>
  </si>
  <si>
    <t>CEI VER. ALOYSIO DE MENEZES GREENHALGH</t>
  </si>
  <si>
    <t>RUA FRANCISCO PATTI</t>
  </si>
  <si>
    <t>MARIA SONIA HENRIQUE</t>
  </si>
  <si>
    <t>ceiamgreenhalh@prefeitura.sp.gov.br</t>
  </si>
  <si>
    <t>SANDRA CONSTANTINO DOS SANTOS</t>
  </si>
  <si>
    <t>ALOYSIO DE MENEZES GREENHALGH, VER.</t>
  </si>
  <si>
    <t>CEI - AMERICO DE SOUZA</t>
  </si>
  <si>
    <t>CEI AMERICO DE SOUZA</t>
  </si>
  <si>
    <t>RUA GASPAR PEREIRA</t>
  </si>
  <si>
    <t>VILA PAULISTANA</t>
  </si>
  <si>
    <t>17.159-X</t>
  </si>
  <si>
    <t>AMERICO DE SOUZA</t>
  </si>
  <si>
    <t>CEI - ANITA CASTALDI ZAMPIROLLO, PROFA.</t>
  </si>
  <si>
    <t>CEI PROF ANITA CASTALDI ZAMPIROLLO</t>
  </si>
  <si>
    <t>ceiaczampirollo@prefeitura.sp.gov.br</t>
  </si>
  <si>
    <t>19.408-5</t>
  </si>
  <si>
    <t>GILDA BALDI VIDAL</t>
  </si>
  <si>
    <t>NOÉLIA SHIRLEY DOS ANJOS LUCHESI</t>
  </si>
  <si>
    <t>ANITA CASTALDI ZAMPIROLLO, PROFA.</t>
  </si>
  <si>
    <t>CEI - ANITA GARIBALDI</t>
  </si>
  <si>
    <t xml:space="preserve">CEI ANITA GARIBALDI </t>
  </si>
  <si>
    <t>20197-9</t>
  </si>
  <si>
    <t>DAIANE MARGARIDO DOS SANTOS</t>
  </si>
  <si>
    <t>daiane_nanapink@yahoo.com.br</t>
  </si>
  <si>
    <t>FRANCISCA MARIA DE ALMEIDA TUNES</t>
  </si>
  <si>
    <t>CEI - ANNA FLORENCIO ROMAO</t>
  </si>
  <si>
    <t>CEI ANNA FLORÊNCIO ROMÃO</t>
  </si>
  <si>
    <t>RUA VISCONDE DO URUGUAI</t>
  </si>
  <si>
    <t>VILA EUTHÁLIA</t>
  </si>
  <si>
    <t>13.534-8</t>
  </si>
  <si>
    <t>CLAUDIA ACORINTE DA COSTA</t>
  </si>
  <si>
    <t>ANNA FLORENCIO ROMAO</t>
  </si>
  <si>
    <t>CEI - ANTONIA MARIA TORRES DA SILVA</t>
  </si>
  <si>
    <t>CEI ANTÔNIA MARIA TORRES DA SILVA</t>
  </si>
  <si>
    <t>RUA PADRE THIAGO ALBERIONE</t>
  </si>
  <si>
    <t>17.056-9</t>
  </si>
  <si>
    <t>ÉRICA GALDINO DOS SANTOS</t>
  </si>
  <si>
    <t>ANTONIA MARIA TORRES DA SILVA</t>
  </si>
  <si>
    <t>CEI - ANTONIA MUOTRI LAMBERGA</t>
  </si>
  <si>
    <t xml:space="preserve">CEI ANTONIA MUOTRI LAMBERGA </t>
  </si>
  <si>
    <t>RUA DR. INÁCIO DE ARAÚJO</t>
  </si>
  <si>
    <t>29.380-6</t>
  </si>
  <si>
    <t>ANTONIA MUOTRI LAMBERGA</t>
  </si>
  <si>
    <t>CEI - ANTONIO JOAO ABDALLA, DR.</t>
  </si>
  <si>
    <t>CEI DR. ANTONIO JOÃO ABDALLA</t>
  </si>
  <si>
    <t>ceiajbdalla@prefeitura.sp.gov.br</t>
  </si>
  <si>
    <t>RUA ÂNGELO APARECIDO DOS SANTOS DIAS</t>
  </si>
  <si>
    <t>JARDIM SÃO JORGE</t>
  </si>
  <si>
    <t>71.696-0</t>
  </si>
  <si>
    <t>MAURO DA CONCEIÇÃO MORANO</t>
  </si>
  <si>
    <t>MÔNICA APARECIDA ROCHA DOS SANTOS</t>
  </si>
  <si>
    <t>ANTONIO JOAO ABDALLA, DR.</t>
  </si>
  <si>
    <t>CEI - ANTON MEROTH, PE.</t>
  </si>
  <si>
    <t>CEI ANTON MEROTH</t>
  </si>
  <si>
    <t>RUA GANIMEDES</t>
  </si>
  <si>
    <t>10957-6</t>
  </si>
  <si>
    <t>ALINE PEREIRA DA SILVA</t>
  </si>
  <si>
    <t>ms_denise@hotmail.com</t>
  </si>
  <si>
    <t>CARMEN MARGARETH DE ARAUJO RAMOS PIRAGIBE</t>
  </si>
  <si>
    <t>ANTON MEROTH, PE.</t>
  </si>
  <si>
    <t>CEI - ARAUCARIAS</t>
  </si>
  <si>
    <t>CEI ARAUCARIAS</t>
  </si>
  <si>
    <t>ceiaraucarias@prefeitura.sp.gov.br</t>
  </si>
  <si>
    <t xml:space="preserve">RUA ALBERTO FINK </t>
  </si>
  <si>
    <t>CJ. JOSE BONIFACIO</t>
  </si>
  <si>
    <t>52231-7</t>
  </si>
  <si>
    <t>ARAUCARIAS</t>
  </si>
  <si>
    <t>CEI - ARTURO DE ANGELIS, MAESTRO</t>
  </si>
  <si>
    <t>CEI MAESTRO ARTURO DE ANGELIS</t>
  </si>
  <si>
    <t>RUA SANTO ANTONIO DE ENTRE RIOS</t>
  </si>
  <si>
    <t>JARDIM CAROLINA</t>
  </si>
  <si>
    <t>28106-9</t>
  </si>
  <si>
    <t>MARCIA PEREIRA DA SILVA</t>
  </si>
  <si>
    <t>DEBORA MONTALVAO VIANA</t>
  </si>
  <si>
    <t>ARTURO DE ANGELIS, MAESTRO</t>
  </si>
  <si>
    <t>CEI - ASSMA CURIATI</t>
  </si>
  <si>
    <t xml:space="preserve">CEI ASSMA CURIATI </t>
  </si>
  <si>
    <t>RUA FRANCISCO MATIAS</t>
  </si>
  <si>
    <t>20203-7</t>
  </si>
  <si>
    <t>a.zuccas@uol.com.br</t>
  </si>
  <si>
    <t>CRISTINA DONÁ SANTANA</t>
  </si>
  <si>
    <t>ASSMA CURIATI</t>
  </si>
  <si>
    <t>CEI - AYRTON SENNA DA SILVA</t>
  </si>
  <si>
    <t>CEI AYRTON SENNA DA SILVA</t>
  </si>
  <si>
    <t>AVENIDA INÁCIO CUNHA LEME</t>
  </si>
  <si>
    <t>41769-6</t>
  </si>
  <si>
    <t>SELMA CÂMARA VILAR RODRIGUES</t>
  </si>
  <si>
    <t>JOSEFA SOUZA DA SILVA</t>
  </si>
  <si>
    <t>CEI - BARBARA HELIODORA</t>
  </si>
  <si>
    <t>CEI BARBARA HELIODORA</t>
  </si>
  <si>
    <t>ceibheliodora@prefeitura.sp.gov.br</t>
  </si>
  <si>
    <t>51.893-X</t>
  </si>
  <si>
    <t>JOSEFA PAULO DA SILVA</t>
  </si>
  <si>
    <t>BARBARA HELIODORA</t>
  </si>
  <si>
    <t>CEI - BENEDITO BUENO</t>
  </si>
  <si>
    <t>CEI BENEDITO BUENO</t>
  </si>
  <si>
    <t>VILA MIRANTE</t>
  </si>
  <si>
    <t>30852-8</t>
  </si>
  <si>
    <t>MARCIA REGINA DA COSTA</t>
  </si>
  <si>
    <t>ceibbueno@prefeitura.sp.gov</t>
  </si>
  <si>
    <t xml:space="preserve">RONALDO DE OLIVEIRA </t>
  </si>
  <si>
    <t>BENEDITO BUENO</t>
  </si>
  <si>
    <t>CEI - BENEDICTO ROCHA, VER.</t>
  </si>
  <si>
    <t>CEI VER. BENEDICTO ROCHA</t>
  </si>
  <si>
    <t>ceibrocha@prefeitura.sp.gov.br</t>
  </si>
  <si>
    <t>RUA DENIS CHAUDET</t>
  </si>
  <si>
    <t>JARDIM DRACENA</t>
  </si>
  <si>
    <t>AV PROF. FRANCISCO MORATO</t>
  </si>
  <si>
    <t>16.013-X</t>
  </si>
  <si>
    <t>TEODOMIRO LOMANTO ALVES DE BRITO</t>
  </si>
  <si>
    <t>ANA CAROLINA RODRIGUES CERDEIRA</t>
  </si>
  <si>
    <t>BENEDICTO ROCHA, VER.</t>
  </si>
  <si>
    <t>CEI - ZILDA ARNS NEUMANN, DRA.</t>
  </si>
  <si>
    <t>CEI DRA ZILDA ARNS NEUMANN</t>
  </si>
  <si>
    <t>RUA ANTONIO FORTUNATO</t>
  </si>
  <si>
    <t>BURGO PAULISTA</t>
  </si>
  <si>
    <t>14.663-3</t>
  </si>
  <si>
    <t>MARINA DAS GRAÇAS DE SOUZA KUMBIS</t>
  </si>
  <si>
    <t>ZILDA ARNS NEUMANN, DRA.</t>
  </si>
  <si>
    <t>CEI - CABREUVAS</t>
  </si>
  <si>
    <t>CEI CABREUVAS</t>
  </si>
  <si>
    <t>ceicabreuvas@prefeitura.sp.gov.br</t>
  </si>
  <si>
    <t>RUA ANTONIO GANDINI</t>
  </si>
  <si>
    <t>CARMOSINA</t>
  </si>
  <si>
    <t>19795-5</t>
  </si>
  <si>
    <t>DENISE CORREIA SILVA MARINHO</t>
  </si>
  <si>
    <t>EDNA MARIA FRANCISCO BARBINO</t>
  </si>
  <si>
    <t>CABREUVAS</t>
  </si>
  <si>
    <t>CEI - CANTIDIO NOGUEIRA SAMPAIO, VER.</t>
  </si>
  <si>
    <t>CEI VEREADOR CANTIDIO NOGUEIRA SAMPAIO</t>
  </si>
  <si>
    <t>ceicnsampaio@prefeitura.sp.gov.br</t>
  </si>
  <si>
    <t>RUA VICENTE QUEIROL</t>
  </si>
  <si>
    <t>JARDIM M. SILVA</t>
  </si>
  <si>
    <t>31.770-5</t>
  </si>
  <si>
    <t>CLORINDA FALCIONI</t>
  </si>
  <si>
    <t>CANTIDIO NOGUEIRA SAMPAIO, VER.</t>
  </si>
  <si>
    <t>CEI - ELFRIDA ZUKOWSKI JARDIM</t>
  </si>
  <si>
    <t>CEI - ELFRIDA ZUKOWSKI, JARDIM</t>
  </si>
  <si>
    <t>ceiezukowski@prefeitura.sp.gov.br</t>
  </si>
  <si>
    <t>RUA JOÃO ANDRÉ LEYSER</t>
  </si>
  <si>
    <t xml:space="preserve">VILA FAZZEONI </t>
  </si>
  <si>
    <t>AV. GIOVANNI GRONCHI</t>
  </si>
  <si>
    <t>21358-6</t>
  </si>
  <si>
    <t>ELAINE CRISTINA REIS DOS SANTOS SILVA</t>
  </si>
  <si>
    <t>ELLEN VIRGINIA PIRES DO AMARAL</t>
  </si>
  <si>
    <t>ELFRIDA ZUKOWSKI JARDIM</t>
  </si>
  <si>
    <t>CEI - CASA VERDE - WALTER ABRAHAO</t>
  </si>
  <si>
    <t>CEI CASA VERDE - WALTER ABRAHÃO</t>
  </si>
  <si>
    <t>RUA JAGUARETÉ</t>
  </si>
  <si>
    <t>3490-8</t>
  </si>
  <si>
    <t>CASA VERDE - WALTER ABRAHAO</t>
  </si>
  <si>
    <t>CEI - CELIA PERES SUNHIGA</t>
  </si>
  <si>
    <t xml:space="preserve">CEI CELIA PERES SUNHIGA </t>
  </si>
  <si>
    <t xml:space="preserve">RUA DAVID DE MELO LOPES  </t>
  </si>
  <si>
    <t>20202-9</t>
  </si>
  <si>
    <t>MARIA BERNADETE DA SILVA ROCHA</t>
  </si>
  <si>
    <t>CELIA PERES SUNHIGA</t>
  </si>
  <si>
    <t>CEI - CHACARA DONA OLIVIA</t>
  </si>
  <si>
    <t>CEI CHACARA DONA OLIVIA</t>
  </si>
  <si>
    <t>RUA PEREIRA DE FARO</t>
  </si>
  <si>
    <t>28204-9</t>
  </si>
  <si>
    <t>CLAUDINEIDE BATISTA DOS SANTOS</t>
  </si>
  <si>
    <t>NATALY GLEICE DA SILVA BARBOSA</t>
  </si>
  <si>
    <t>CHACARA DONA OLIVIA</t>
  </si>
  <si>
    <t>CEI - CID FRANCO, VER.</t>
  </si>
  <si>
    <t>ceicidfranco@prefeitura.sp.gov.br</t>
  </si>
  <si>
    <t>RUA AURELIO BELOTTI JR.</t>
  </si>
  <si>
    <t>12.692-6</t>
  </si>
  <si>
    <t>SILVIA ANDREA ROSSINI</t>
  </si>
  <si>
    <t>CID FRANCO, VER.</t>
  </si>
  <si>
    <t>CEI - ELIAS PEREIRA DE MELO, PE.</t>
  </si>
  <si>
    <t>CEI PE ELIAS PEREIRA DE MELO</t>
  </si>
  <si>
    <t>ceiepmelo@prefeitura.sp.gov.br</t>
  </si>
  <si>
    <t>RUA MANDASSAIA</t>
  </si>
  <si>
    <t>9116-2</t>
  </si>
  <si>
    <t>FABIANA DE FREITAS</t>
  </si>
  <si>
    <t>ELIAS PEREIRA DE MELO, PE.</t>
  </si>
  <si>
    <t>CEI - INEZITA BARROSO</t>
  </si>
  <si>
    <t>CEI INEZITA BARROSO</t>
  </si>
  <si>
    <t>RUA POCOS DE CALDAS</t>
  </si>
  <si>
    <t>16896-3</t>
  </si>
  <si>
    <t>MARIANA DE FÁTIMA CARNEIRO</t>
  </si>
  <si>
    <t>ROSEMEIRE BEZERRA KEILLER</t>
  </si>
  <si>
    <t>INEZITA BARROSO</t>
  </si>
  <si>
    <t>CEI - DOROTHY STANG</t>
  </si>
  <si>
    <t>CEI MISSIONARIA DOROTY STANG</t>
  </si>
  <si>
    <t>ceidorothystang@prefeitura.sp.gov.br</t>
  </si>
  <si>
    <t xml:space="preserve">RUA JOAQUIM ANTONIO DE SOUZA </t>
  </si>
  <si>
    <t>CIDADE LIDER</t>
  </si>
  <si>
    <t>13335-3</t>
  </si>
  <si>
    <t>ROSANA G. D. BATISTA</t>
  </si>
  <si>
    <t>DOROTHY STANG</t>
  </si>
  <si>
    <t>CEI - CIDADE NOVA DO PARQUE NOVO MUNDO</t>
  </si>
  <si>
    <t>CEI CIDADE NOVA DO PARQUE NOVO MUNDO</t>
  </si>
  <si>
    <t>ceicnpnmundo@prefeitura.sp.gov.br</t>
  </si>
  <si>
    <t>17.398-3</t>
  </si>
  <si>
    <t>ELISIEUX NECI DA SILVA ALENCAR</t>
  </si>
  <si>
    <t>MONICA CRISTINA CARDOSO CARVALHO</t>
  </si>
  <si>
    <t>CIDADE NOVA DO PARQUE NOVO MUNDO</t>
  </si>
  <si>
    <t>CEI - CIDADE PEDRO JOSE NUNES</t>
  </si>
  <si>
    <t>CEI CIDADE PEDRO JOSÉ NUNES</t>
  </si>
  <si>
    <t>AVENIDA MARIO ALVES</t>
  </si>
  <si>
    <t>17057-7</t>
  </si>
  <si>
    <t>JANAINA BUENO SPADONI NUNAN</t>
  </si>
  <si>
    <t>WELLINGTON RAPHAEL CARVALHO</t>
  </si>
  <si>
    <t>CIDADE PEDRO JOSE NUNES</t>
  </si>
  <si>
    <t>CEI - CIDADE TIRADENTES</t>
  </si>
  <si>
    <t>CEI CIDADE TIRADENTES</t>
  </si>
  <si>
    <t>ceictiradentes@prefeitura.sp.gov.br</t>
  </si>
  <si>
    <t>8.341-0</t>
  </si>
  <si>
    <t>CEI - COHAB FARIA LIMA, BRIG.</t>
  </si>
  <si>
    <t>CEI COHAB FARIA LIMA, BRIG.</t>
  </si>
  <si>
    <t>RUA APARECIDA D`OESTE</t>
  </si>
  <si>
    <t>41776-9</t>
  </si>
  <si>
    <t>COHAB FARIA LIMA, BRIG.</t>
  </si>
  <si>
    <t>CEI - COHAB RAPOSO TAVARES</t>
  </si>
  <si>
    <t>CEI COHAB RAPOSO TAVARES</t>
  </si>
  <si>
    <t>ceicrtavares@prefeitura.sp.gov.br</t>
  </si>
  <si>
    <t>15.960-3</t>
  </si>
  <si>
    <t>JOSÉ VIEIRA LINS</t>
  </si>
  <si>
    <t>ALTAIR FERANDES DE AZEVEDO</t>
  </si>
  <si>
    <t>CEI - CONJ. PRESTES MAIA</t>
  </si>
  <si>
    <t>CEI CONJUNTO PRESTES MAIA</t>
  </si>
  <si>
    <t>52.452-2</t>
  </si>
  <si>
    <t>MARIA DA PAZ DE SOUZA SANTANA</t>
  </si>
  <si>
    <t>PATRICIA SILVA DE MELO</t>
  </si>
  <si>
    <t>CONJ. PRESTES MAIA</t>
  </si>
  <si>
    <t>CEI - CORYNTHO BALDOINO DA COSTA FILHO, VER.</t>
  </si>
  <si>
    <t>CEI VER CORYNTHO B. DA C. FILHO</t>
  </si>
  <si>
    <t>ceicbcosta@prefeitura.sp.gov.br</t>
  </si>
  <si>
    <t>RUA JÚLIO PARIGOT</t>
  </si>
  <si>
    <t>VILA ANTONIETA</t>
  </si>
  <si>
    <t>ARICANDUVA USP</t>
  </si>
  <si>
    <t>16983-8</t>
  </si>
  <si>
    <t>DANIELLA ELLERO MARQUEZINI</t>
  </si>
  <si>
    <t>CORYNTHO BALDOINO DA COSTA FILHO, VER.</t>
  </si>
  <si>
    <t>CEI - CURUCA VELHA</t>
  </si>
  <si>
    <t>CEI CURUÇA VELHA</t>
  </si>
  <si>
    <t>RUA GRAPIRÁ</t>
  </si>
  <si>
    <t>CURUÇA VELHA</t>
  </si>
  <si>
    <t>51917-0</t>
  </si>
  <si>
    <t>VERONEIDE REZENDE DA SILVA</t>
  </si>
  <si>
    <t>CURUCA VELHA</t>
  </si>
  <si>
    <t>CEI - DELSON DOMINGUES</t>
  </si>
  <si>
    <t>CEI DELSON DOMINGUES</t>
  </si>
  <si>
    <t>RUA MARCO PÓLO</t>
  </si>
  <si>
    <t>ERM. MATARAZZO</t>
  </si>
  <si>
    <t>20.793-4</t>
  </si>
  <si>
    <t>REINALDO DOS SANTOS RODRIGUES</t>
  </si>
  <si>
    <t>DELSON DOMINGUES</t>
  </si>
  <si>
    <t>CEI - INCONFIDENTES</t>
  </si>
  <si>
    <t>CEI INCONFIDENTES</t>
  </si>
  <si>
    <t>20.003-4</t>
  </si>
  <si>
    <t>KARINA SANTOS DE CASTRO</t>
  </si>
  <si>
    <t>CASSIA DA SILVA CONRADO</t>
  </si>
  <si>
    <t>INCONFIDENTES</t>
  </si>
  <si>
    <t>CEI - DOUGLAS DANIEL DO NASCIMENTO</t>
  </si>
  <si>
    <t>CEI DOUGLAS DANIEL DO NASCIMENTO</t>
  </si>
  <si>
    <t>RUA MIRAFLORES</t>
  </si>
  <si>
    <t>JARDIM CASTRO ALVES</t>
  </si>
  <si>
    <t>41805-6</t>
  </si>
  <si>
    <t>DOUGLAS DANIEL DO NASCIMENTO</t>
  </si>
  <si>
    <t>CEI - DURVAL MIOLA, PROF.</t>
  </si>
  <si>
    <t>CEI DURVAL MIOLA</t>
  </si>
  <si>
    <t>52113-2</t>
  </si>
  <si>
    <t>IVETE VIEIRA LIVOTTO</t>
  </si>
  <si>
    <t>DURVAL MIOLA, PROF.</t>
  </si>
  <si>
    <t>CEI - EDNA ROSELY ALVES</t>
  </si>
  <si>
    <t>CEI EDNA ROSELY ALVES</t>
  </si>
  <si>
    <t>AVENIDA FREDERICK HOFFMANN</t>
  </si>
  <si>
    <t>9.168-5</t>
  </si>
  <si>
    <t>GLAUCIA CECILIA FERRAZ BARROS DA CUNHA</t>
  </si>
  <si>
    <t>EDNA ROSELY ALVES</t>
  </si>
  <si>
    <t>CEI - ELISIO TEIXEIRA LEITE</t>
  </si>
  <si>
    <t>CEI ELISIO T LEITE</t>
  </si>
  <si>
    <t>ceietleite@prefeitura.sp.gov.br</t>
  </si>
  <si>
    <t>COHAB TAIPAS</t>
  </si>
  <si>
    <t>3560-2</t>
  </si>
  <si>
    <t>HEITOR PENTEADO</t>
  </si>
  <si>
    <t>20825-6</t>
  </si>
  <si>
    <t>ELISIO TEIXEIRA LEITE</t>
  </si>
  <si>
    <t>CEI - ELIZABETH SOUZA LOBO GARCIA</t>
  </si>
  <si>
    <t xml:space="preserve">CEI ELIZABETH SOUZA LOBO GARCIA </t>
  </si>
  <si>
    <t>AVENIDA MENDONCA E VASCONCELOS</t>
  </si>
  <si>
    <t>30683-5</t>
  </si>
  <si>
    <t>ANGELA MARIA DOS S. COSTAMANHA</t>
  </si>
  <si>
    <t>EDSON PIRES</t>
  </si>
  <si>
    <t>ELIZABETH SOUZA LOBO GARCIA</t>
  </si>
  <si>
    <t>CEI - ENEDINA DE SOUSA CARVALHO</t>
  </si>
  <si>
    <t>CEI ENEDINA DE SOUSA CARVALHO</t>
  </si>
  <si>
    <t>27.702-9</t>
  </si>
  <si>
    <t>ENEDINA DE SOUSA CARVALHO</t>
  </si>
  <si>
    <t>CEI - ERMANO MARCHETTI, VER.</t>
  </si>
  <si>
    <t>CEI VEREADOR ERMANO MARCHETTI</t>
  </si>
  <si>
    <t>ceiemarchetti@prefeitura.sp.gov.br</t>
  </si>
  <si>
    <t>RUA NOVA LONDRINA</t>
  </si>
  <si>
    <t>31.785-3</t>
  </si>
  <si>
    <t>MARINA MONDEVAIM TEOTONIO</t>
  </si>
  <si>
    <t>MARIA DA GRAÇA PEREIRA NUNES</t>
  </si>
  <si>
    <t>ERMANO MARCHETTI, VER.</t>
  </si>
  <si>
    <t>CEI - FERNAO DIAS</t>
  </si>
  <si>
    <t>CEI FERNÃO DIAS</t>
  </si>
  <si>
    <t>ceifdias@prefeitura.sp.gov.br</t>
  </si>
  <si>
    <t>RUA MERINO</t>
  </si>
  <si>
    <t>31.797-7</t>
  </si>
  <si>
    <t>JANNAINA HELENA DE LIMA SANTOS</t>
  </si>
  <si>
    <t>ROSEMEIRE SANTANA VIANA</t>
  </si>
  <si>
    <t>FERNAO DIAS</t>
  </si>
  <si>
    <t>CEI - FRANCISCO MARCONDES OLIVEIRA, VER.</t>
  </si>
  <si>
    <t>CEI VER. FRANCISCO MARCONDES DE OLIVEIRA</t>
  </si>
  <si>
    <t>ceifmoliveira@prefeitura.sp.gov.br</t>
  </si>
  <si>
    <t>RUA CARLOS SANTOS</t>
  </si>
  <si>
    <t>31.753-3</t>
  </si>
  <si>
    <t>LUANA NATALIA MORAES MANTOVANI</t>
  </si>
  <si>
    <t>JANE MARIA DE PAULA SOUZA</t>
  </si>
  <si>
    <t>FRANCISCO MARCONDES OLIVEIRA, VER.</t>
  </si>
  <si>
    <t>CEI - FRANCISCO PEREZ, VER.</t>
  </si>
  <si>
    <t>CEI VEREADOR FRANCISCO PEREZ</t>
  </si>
  <si>
    <t>RUA JACAPÉ</t>
  </si>
  <si>
    <t>AGUA FUNDA</t>
  </si>
  <si>
    <t>21.485-X</t>
  </si>
  <si>
    <t>myonezawa@prefeitura.sp.gov.br</t>
  </si>
  <si>
    <t>Juracy Tiago Santana</t>
  </si>
  <si>
    <t>FRANCISCO PEREZ, VER.</t>
  </si>
  <si>
    <t>CEI - GABRIEL NOGUEIRA DE QUADROS, VER.</t>
  </si>
  <si>
    <t>CEI VER GABRIEL N. QUADROS</t>
  </si>
  <si>
    <t>ceignquadros@prefeitura.sp.gov.br</t>
  </si>
  <si>
    <t xml:space="preserve">RUA LAGOA SECA </t>
  </si>
  <si>
    <t>JARDIM RECORD</t>
  </si>
  <si>
    <t>21763-8</t>
  </si>
  <si>
    <t>GABRIEL NOGUEIRA DE QUADROS, VER.</t>
  </si>
  <si>
    <t>CEI - GENOVEVA DASCOLI</t>
  </si>
  <si>
    <t>CEI GENOVEVA D'ASCOLI</t>
  </si>
  <si>
    <t>RUA MARIA DAFFRÉ</t>
  </si>
  <si>
    <t>10.404-3</t>
  </si>
  <si>
    <t>silvanamora@prefeitura.sp.gov.br</t>
  </si>
  <si>
    <t>Robson Cardoso de Godoy</t>
  </si>
  <si>
    <t>GENOVEVA DASCOLI</t>
  </si>
  <si>
    <t>CEI - GERALDO DE ARRUDA PENTEADO, CEL.</t>
  </si>
  <si>
    <t>CEI GERALDO DE ARRUDA PENTEADO, CEL.</t>
  </si>
  <si>
    <t>RUA VALTER RIBEIRO MARRANY</t>
  </si>
  <si>
    <t>41796-0</t>
  </si>
  <si>
    <t>MARIANA LEAL FERREIRA</t>
  </si>
  <si>
    <t>GERALDO DE ARRUDA PENTEADO, CEL.</t>
  </si>
  <si>
    <t>CEI - GERALDO MAGELA PERON</t>
  </si>
  <si>
    <t>CEI GERALDO MAGELA PERON</t>
  </si>
  <si>
    <t>ceigmperon@prefeitura.sp.gov.br</t>
  </si>
  <si>
    <t>RUA SAMOUNA</t>
  </si>
  <si>
    <t>19.689-4</t>
  </si>
  <si>
    <t>KELLY CRISTINA DOS SANTOS</t>
  </si>
  <si>
    <t>GERALDO MAGELA PERON</t>
  </si>
  <si>
    <t>CEI - GUMERCINDO DE PADUA FLEURY, VER.</t>
  </si>
  <si>
    <t>ceigpfleury@prefeitura.sp.gov.br</t>
  </si>
  <si>
    <t>7665-1</t>
  </si>
  <si>
    <t>ILDA MACEDO DA ROCHA SILVA</t>
  </si>
  <si>
    <t>ELIZABETH GOMES DA SILVA</t>
  </si>
  <si>
    <t>GUMERCINDO DE PADUA FLEURY, VER.</t>
  </si>
  <si>
    <t>CEI - HELENA IRACY JUNQUEIRA</t>
  </si>
  <si>
    <t>CEI HELENA IRACY JUNQUEIRA</t>
  </si>
  <si>
    <t>EUDORA</t>
  </si>
  <si>
    <t>71.646-4</t>
  </si>
  <si>
    <t>CLAUDIA RODRIGUES BARBOSA</t>
  </si>
  <si>
    <t>ANGELICA DE BENEDICTO BATISTA</t>
  </si>
  <si>
    <t>HELENA IRACY JUNQUEIRA</t>
  </si>
  <si>
    <t>CEI - HELENA PEREIRA DE MORAES</t>
  </si>
  <si>
    <t>CEI HELENA PEREIRA DE MORAES</t>
  </si>
  <si>
    <t>RUA CARLO MARATI</t>
  </si>
  <si>
    <t>51768-2</t>
  </si>
  <si>
    <t>BARTIRA CRUZ LANDIM BELARMINO</t>
  </si>
  <si>
    <t>HELENA PEREIRA DE MORAES</t>
  </si>
  <si>
    <t>CEI - HIGINO PELLEGRINI, VER.</t>
  </si>
  <si>
    <t>CEI VER. HIGINO PELLEGRINI</t>
  </si>
  <si>
    <t>JARDIM NOEMIA</t>
  </si>
  <si>
    <t>28018-6</t>
  </si>
  <si>
    <t>ILZA CARLA CABELLO MAZZONI</t>
  </si>
  <si>
    <t>LUCIANA FELIX BARBOSA LEITE</t>
  </si>
  <si>
    <t>HIGINO PELLEGRINI, VER.</t>
  </si>
  <si>
    <t>CEI - HOMERO DOMINGUES DA SILVA, VER.</t>
  </si>
  <si>
    <t>CEI HOMERO DOMINGUES DA SILVA</t>
  </si>
  <si>
    <t>ceihdsilva@prefeitura.sp.gov.br</t>
  </si>
  <si>
    <t>RUA DOMENICO ASPARI</t>
  </si>
  <si>
    <t>113-106-0</t>
  </si>
  <si>
    <t>HOMERO DOMINGUES DA SILVA, VER.</t>
  </si>
  <si>
    <t>CEI - INACIO MONTEIRO</t>
  </si>
  <si>
    <t>CEI INACIO MONTEIRO</t>
  </si>
  <si>
    <t>RUA CACHOEIRA MORENA</t>
  </si>
  <si>
    <t>20.110-3</t>
  </si>
  <si>
    <t>ELISANIA MORAES DE SOUZA</t>
  </si>
  <si>
    <t>ceiimonteiro@!prefeitura.sp.gov.br</t>
  </si>
  <si>
    <t>MARIA DE FATIMA BORGES</t>
  </si>
  <si>
    <t>CEI - INEZ MENEZES MARIA</t>
  </si>
  <si>
    <t>CEI INEZ MENEZES MARIA</t>
  </si>
  <si>
    <t>R ISABEL DE GOIS</t>
  </si>
  <si>
    <t>JARDIM BOTUCATU</t>
  </si>
  <si>
    <t>21.568-6</t>
  </si>
  <si>
    <t>INEZ MENEZES MARIA</t>
  </si>
  <si>
    <t>CEI - JACARANDA</t>
  </si>
  <si>
    <t>CEI JACARANDÁ</t>
  </si>
  <si>
    <t>ceijacaranda@prefeitura.sp.gov.br</t>
  </si>
  <si>
    <t>52010-1</t>
  </si>
  <si>
    <t>LUIZ BENITES DE LIMA</t>
  </si>
  <si>
    <t>JACARANDA</t>
  </si>
  <si>
    <t>CEI - JACOB SALVADOR ZVEIBIL, VER.</t>
  </si>
  <si>
    <t>CEI VER. JACOB SALVADOR ZVEIBIL</t>
  </si>
  <si>
    <t>RUA DR. JOSÉ PACHECO E SILVA</t>
  </si>
  <si>
    <t>113.069-2</t>
  </si>
  <si>
    <t>ceisrjzveibil@pref.sp.gov.br</t>
  </si>
  <si>
    <t xml:space="preserve">ELISANGELA NECI DOS SANTOS </t>
  </si>
  <si>
    <t>JACOB SALVADOR ZVEIBIL, VER.</t>
  </si>
  <si>
    <t>CEI - JARDIM ADUTORA</t>
  </si>
  <si>
    <t xml:space="preserve">CEI ADUTORA </t>
  </si>
  <si>
    <t>RUA ANTONIO VILARES</t>
  </si>
  <si>
    <t>20149-9</t>
  </si>
  <si>
    <t>ROSANA ADRIANA DOS S. ANTONIO</t>
  </si>
  <si>
    <t>martinez.e@pop.com.br</t>
  </si>
  <si>
    <t>MARIA MARTINHA DOS SANTOS AGOSTINHO</t>
  </si>
  <si>
    <t>CEI - MARIA APARECIDA SIQUEIRA CAMPOS</t>
  </si>
  <si>
    <t>CEI MARIA APARECIDA SIQUEIRA CAMPOS</t>
  </si>
  <si>
    <t>ceijaricanduva@prefeitura.sp.gov.br</t>
  </si>
  <si>
    <t>RUA ANTONIO LOMBARDO</t>
  </si>
  <si>
    <t>JARDIM STA TEREZINHA</t>
  </si>
  <si>
    <t>13341-8</t>
  </si>
  <si>
    <t>LEILA TIEME ANDO ENCINAS</t>
  </si>
  <si>
    <t>MARIA APARECIDA SIQUEIRA CAMPOS</t>
  </si>
  <si>
    <t>CEI - JARDIM CAMARGO NOVO</t>
  </si>
  <si>
    <t>CEI JARDIM CAMARGO NOVO</t>
  </si>
  <si>
    <t>JARDIM CAMARGO NOVO</t>
  </si>
  <si>
    <t>28116-6</t>
  </si>
  <si>
    <t>MARCO ANTÔNIO DA COSTA</t>
  </si>
  <si>
    <t>BIANCA GOMES LEITE RODRIGUES</t>
  </si>
  <si>
    <t>CEI - JARDIM CAMARGO VELHO</t>
  </si>
  <si>
    <t>CEI JARDIM CAMARGO VELHO</t>
  </si>
  <si>
    <t>RUA FLORAI</t>
  </si>
  <si>
    <t>1819-X</t>
  </si>
  <si>
    <t>PRISCILLA PEREIRA DE ATAIDE MOREIRA</t>
  </si>
  <si>
    <t>ISABELA FERREIRA DOS SANTOS</t>
  </si>
  <si>
    <t>CEI - PEDRO HENRIQUE SIQUEIRA LIMA</t>
  </si>
  <si>
    <t>CEI PEDRO HENRIQUE SIQUEIRA LIMA</t>
  </si>
  <si>
    <t>RUA CONSTELAÇÃO DO DOURADO</t>
  </si>
  <si>
    <t>41.768-8</t>
  </si>
  <si>
    <t xml:space="preserve">JAMIR DOS SANTOS </t>
  </si>
  <si>
    <t>PEDRO HENRIQUE SIQUEIRA LIMA</t>
  </si>
  <si>
    <t>CEI - JARDIM CAMPOS</t>
  </si>
  <si>
    <t>CEI JARDIM CAMPOS</t>
  </si>
  <si>
    <t>28.563-3</t>
  </si>
  <si>
    <t>ROSELI MIRANDA DA SILVA</t>
  </si>
  <si>
    <t>CEI - JARDIM CAPELA</t>
  </si>
  <si>
    <t>RUA JOSE ROBERTO SALLES</t>
  </si>
  <si>
    <t>JARDIM CAPELA</t>
  </si>
  <si>
    <t>7709-7</t>
  </si>
  <si>
    <t>SONIA REGINA CAVALETI NASCIMENTO</t>
  </si>
  <si>
    <t>ceijdcapela@yahoo.com.br</t>
  </si>
  <si>
    <t>CEI - JARDIM CATANDUVA</t>
  </si>
  <si>
    <t>ceijcatanduva@prefeitura.sp.gov.br</t>
  </si>
  <si>
    <t>RUA DR. RENATO BUENO NETO</t>
  </si>
  <si>
    <t>12767-1</t>
  </si>
  <si>
    <t>MARTHA IZILDA ALVES FERREIRA</t>
  </si>
  <si>
    <t>SILVANA LIMA DOS SANTOS</t>
  </si>
  <si>
    <t>CEI - DANIELLE MONTEIRO, GCMF</t>
  </si>
  <si>
    <t>CEI GCMF DANIELLE MONTEIRO</t>
  </si>
  <si>
    <t>ceijcatarina@prefeitura.sp.gov.br</t>
  </si>
  <si>
    <t>RUA SEN.ENADORHENRIQUE NOVAES</t>
  </si>
  <si>
    <t>JARDIM CATARINA</t>
  </si>
  <si>
    <t>7626-0</t>
  </si>
  <si>
    <t>VANESSA ROSSI AMERICANO</t>
  </si>
  <si>
    <t>DANIELLE MONTEIRO, GCMF</t>
  </si>
  <si>
    <t>CEI - JARDIM COLONIAL</t>
  </si>
  <si>
    <t xml:space="preserve">CEI JARDIM COLONIAL </t>
  </si>
  <si>
    <t>AVENIDA JOSE RODRIGUES SANTAREM</t>
  </si>
  <si>
    <t>30531-6</t>
  </si>
  <si>
    <t>MARGARETH ERNANDES DA SILVA</t>
  </si>
  <si>
    <t>liamoreira@hotmail.com</t>
  </si>
  <si>
    <t>LISSANDRA MARIA DE MELO SAWADA</t>
  </si>
  <si>
    <t>CEI - JARDIM COLORADO</t>
  </si>
  <si>
    <t xml:space="preserve">CEI JARDIM COLORADO </t>
  </si>
  <si>
    <t>RUA JOSE DE ARAUJO VIEIRA</t>
  </si>
  <si>
    <t>RITA DE CÁSSIA GONÇALVES CARDOSO</t>
  </si>
  <si>
    <t>REGIANE RIBEIRO DE OLIVEIRA</t>
  </si>
  <si>
    <t>JARDIM COLORADO</t>
  </si>
  <si>
    <t>CEI - JARDIM COPACABANA</t>
  </si>
  <si>
    <t>ceijcopacabana@prefeitura.sp.gov.br</t>
  </si>
  <si>
    <t>RUA SANTA RITA DO SAPUCAI</t>
  </si>
  <si>
    <t>JARDIM COPACABANA</t>
  </si>
  <si>
    <t>12666-7</t>
  </si>
  <si>
    <t>JOÃO CARLOS PEREIRA DOS SANTOS</t>
  </si>
  <si>
    <t>MARIA JOSÉ SILVA</t>
  </si>
  <si>
    <t>CEI - JARDIM COTINHA</t>
  </si>
  <si>
    <t>CEI JARDIM COTINHA</t>
  </si>
  <si>
    <t>RUA BANDEIRA DO ALMADO</t>
  </si>
  <si>
    <t>16.983-8</t>
  </si>
  <si>
    <t>ANA CRISTINA PACHECO DA SILVA SANTOS</t>
  </si>
  <si>
    <t>CEI - MARIA MARGARIDA RODRIGUES DE OLIVEIRA, PROFA.</t>
  </si>
  <si>
    <t>CEI MARIA MARGARIDA RODRIGUES DE OLIVEIRA, PROFª</t>
  </si>
  <si>
    <t>DOMENICO PALMA</t>
  </si>
  <si>
    <t>23.500-8</t>
  </si>
  <si>
    <t>MAYARA SOUZA DE ALBUQUERQUE</t>
  </si>
  <si>
    <t>MARIA MARGARIDA RODRIGUES DE OLIVEIRA, PROFA.</t>
  </si>
  <si>
    <t>CEI - JARDIM DAS PEDRAS</t>
  </si>
  <si>
    <t>CEI JARDIM DAS PEDRAS</t>
  </si>
  <si>
    <t>ceijpedras@prefeitura.sp.gov.br</t>
  </si>
  <si>
    <t>RUA ENGENHEIRO ANTONIO TOLEDO</t>
  </si>
  <si>
    <t>JARDIM PEDRAS</t>
  </si>
  <si>
    <t>31.762-4</t>
  </si>
  <si>
    <t>GISELLE SANTOS RODRIGUES</t>
  </si>
  <si>
    <t>JARDIM DAS PEDRAS</t>
  </si>
  <si>
    <t>CEI - JARDIM DIONISIO</t>
  </si>
  <si>
    <t>ceijdionisio@prefeitura.sp.gov.br</t>
  </si>
  <si>
    <t>RUA WILLIAM CREMEN</t>
  </si>
  <si>
    <t>JARDIM DIONISIO</t>
  </si>
  <si>
    <t>7624-4</t>
  </si>
  <si>
    <t>LUCIA HELENA MARQUES CLAUDINO</t>
  </si>
  <si>
    <t xml:space="preserve">SINARIA ALVES DOS SANTOS </t>
  </si>
  <si>
    <t>CEI - JARDIM DOM JOSE</t>
  </si>
  <si>
    <t>RUA ANUM DOURADO</t>
  </si>
  <si>
    <t>7.658-9</t>
  </si>
  <si>
    <t>ceidomjose@prefeitura.sp.gov.br</t>
  </si>
  <si>
    <t>MARIA NAZARE BARBOSA DE MORAIS</t>
  </si>
  <si>
    <t>CEI - JARDIM ELIANA</t>
  </si>
  <si>
    <t>CEI JARDIM ELIANA</t>
  </si>
  <si>
    <t>RUA HENRI ARTHUR JONES</t>
  </si>
  <si>
    <t>JARDIM EDI</t>
  </si>
  <si>
    <t>CEI - JARDIM EVA</t>
  </si>
  <si>
    <t>CEI JARDIM EVA</t>
  </si>
  <si>
    <t>RUA UBAÍ</t>
  </si>
  <si>
    <t>12716-7</t>
  </si>
  <si>
    <t>BIANCA APARECIDA DE OLIVEIRA BATISTA</t>
  </si>
  <si>
    <t>ELISANGELA ERCILIA COELHO</t>
  </si>
  <si>
    <t>JARDIM EVA</t>
  </si>
  <si>
    <t>CEI - JARDIM GUAIRACA</t>
  </si>
  <si>
    <t>CEI JARDIM GUAIRACÁ</t>
  </si>
  <si>
    <t>ceijguairaca@prefeitura.sp.gov.br</t>
  </si>
  <si>
    <t>RUA JACITARA TIPITI</t>
  </si>
  <si>
    <t>20.705-5</t>
  </si>
  <si>
    <t>CEI - JARDIM GUARUJA - RITA MONTEIRO DE SOUZA</t>
  </si>
  <si>
    <t>CEI - JARDIM GUARUJA</t>
  </si>
  <si>
    <t>ceijguaruja@prefeitura.sp.gov.br</t>
  </si>
  <si>
    <t>AVENIDA GUARUJA</t>
  </si>
  <si>
    <t>21.328-4</t>
  </si>
  <si>
    <t xml:space="preserve">JOSÉ ALEXANDRE SANTOS </t>
  </si>
  <si>
    <t>GLADSTON EUCLIDES FERREIRA</t>
  </si>
  <si>
    <t>JARDIM GUARUJA - RITA MONTEIRO DE SOUZA</t>
  </si>
  <si>
    <t>CEI - JARDIM HELENA</t>
  </si>
  <si>
    <t xml:space="preserve">CEI JARDIM HELENA </t>
  </si>
  <si>
    <t>RUA ALMEIDA FALCAO</t>
  </si>
  <si>
    <t>30788-2</t>
  </si>
  <si>
    <t>DENISE MARIA DOS SANTOS</t>
  </si>
  <si>
    <t>crisventurineli@terra.com.br</t>
  </si>
  <si>
    <t>IRACEMA ALVES PINTO DOS SANTOS</t>
  </si>
  <si>
    <t>CEI - JARDIM HERCILIA</t>
  </si>
  <si>
    <t>CEI JARDIM HERCILIA</t>
  </si>
  <si>
    <t>RUA ALVES MALDONADO</t>
  </si>
  <si>
    <t>19.790-4</t>
  </si>
  <si>
    <t>LILIAN CRISTINA COSTA MATTOS OSSONA</t>
  </si>
  <si>
    <t>JARDIM HERCILIA</t>
  </si>
  <si>
    <t>CEI - BRYAN BIGUINATI JARDIM</t>
  </si>
  <si>
    <t>CEI - BRYAN BIGUINATI, JARDIM</t>
  </si>
  <si>
    <t>ceibiguinati@prefeitura.sp.gov.br</t>
  </si>
  <si>
    <t>JARDIM INGA</t>
  </si>
  <si>
    <t>21.326-8</t>
  </si>
  <si>
    <t>FERNANDA SILVESTRE JARDIM</t>
  </si>
  <si>
    <t>MELISSA DE LIMA AMORA DA FONSECA</t>
  </si>
  <si>
    <t>BRYAN BIGUINATI JARDIM</t>
  </si>
  <si>
    <t>CEI - JARDIM IPANEMA</t>
  </si>
  <si>
    <t>CEI JARDIM IPANEMA</t>
  </si>
  <si>
    <t>RENATO DE OLIVEIRA CAMPOS</t>
  </si>
  <si>
    <t>ceijipanema@pref.sp.gov.br</t>
  </si>
  <si>
    <t>CEI - JARDIM JAPAO</t>
  </si>
  <si>
    <t>CEI JARDIM JAPÃO</t>
  </si>
  <si>
    <t>ceijjapao@prefeitura.sp.gov.br</t>
  </si>
  <si>
    <t>P. JANIO S. QUADROS</t>
  </si>
  <si>
    <t>4243-9</t>
  </si>
  <si>
    <t>ALBERTO BYINGTON</t>
  </si>
  <si>
    <t>1.372-2</t>
  </si>
  <si>
    <t>GABRIEL CARVALHO VIEIRA SANTOS</t>
  </si>
  <si>
    <t>ROSEMEIRE BARILOTTI ARRUDA</t>
  </si>
  <si>
    <t>JARDIM JAPAO</t>
  </si>
  <si>
    <t>CEI - JARDIM JULIETA</t>
  </si>
  <si>
    <t>CEI JARDIM JULIETA</t>
  </si>
  <si>
    <t>ceijjulieta@prefeitura.sp.gov.br</t>
  </si>
  <si>
    <t>RUA SALVADOR NASCIMENTO</t>
  </si>
  <si>
    <t>13.639-5</t>
  </si>
  <si>
    <t>IVANISE  RESSURREIÇÃO</t>
  </si>
  <si>
    <t>MARILDA BARBOSA DOS SANTOS LOPES</t>
  </si>
  <si>
    <t>JARDIM JULIETA</t>
  </si>
  <si>
    <t>CEI - JARDIM KAGOHARA</t>
  </si>
  <si>
    <t>46616-6</t>
  </si>
  <si>
    <t>LILIAN PINHEIRO DOS SANTOS</t>
  </si>
  <si>
    <t>diretorasantos@gmail.com</t>
  </si>
  <si>
    <t>RITA DE CÁSSIA REZENDE ALVES CAVALCANTE</t>
  </si>
  <si>
    <t>CEI - JARDIM KLEIN</t>
  </si>
  <si>
    <t>RUA BONIFACIO MONTFERRAT</t>
  </si>
  <si>
    <t>JARDIM KLEIN</t>
  </si>
  <si>
    <t>12.480-X</t>
  </si>
  <si>
    <t>LUCIANA PATRICIA OLIVEIRA DA SILVA</t>
  </si>
  <si>
    <t>ceijardimklein@yahoo.com.br</t>
  </si>
  <si>
    <t>CEI - JARDIM LUSO</t>
  </si>
  <si>
    <t>CEI JARDIM LUSO</t>
  </si>
  <si>
    <t>OLDEGARD OLSEN SAPUCAIA</t>
  </si>
  <si>
    <t>26.957-3</t>
  </si>
  <si>
    <t>FABIOLA NUNES SOUSA DE AZEVEDO</t>
  </si>
  <si>
    <t>DANIELA FONSECA COSTA ALCANTARA</t>
  </si>
  <si>
    <t>JARDIM LUSO</t>
  </si>
  <si>
    <t>CEI - JARDIM MACEDONIA</t>
  </si>
  <si>
    <t>ceijmacedonia@prefeitura.sp.gov.br</t>
  </si>
  <si>
    <t>RUA SORIANO DE ALBUQUERQUE</t>
  </si>
  <si>
    <t>JARDIM MACEDONIA</t>
  </si>
  <si>
    <t>MARGARETH FELIPE DE LIMA AGUIAR</t>
  </si>
  <si>
    <t>ALINE CARVALHO BRITO</t>
  </si>
  <si>
    <t>CEI - JARDIM MAIA</t>
  </si>
  <si>
    <t>CEI JARDIM MAIA</t>
  </si>
  <si>
    <t>RUA ESTRELA DA NOITE</t>
  </si>
  <si>
    <t>JARDIM MAIA</t>
  </si>
  <si>
    <t>28191-3</t>
  </si>
  <si>
    <t>SUELY DA SILVA KATO</t>
  </si>
  <si>
    <t>ANGELA MARIA MACHADO DINIZ</t>
  </si>
  <si>
    <t>CEI - WILSON DANGELO BRAZ, PROF.</t>
  </si>
  <si>
    <t>CEI PROFESSOR WILSON D'ANGELO BRAZ</t>
  </si>
  <si>
    <t>ceijmaninos@prefeitura.sp.gov.br</t>
  </si>
  <si>
    <t>JARDIM MANINOS</t>
  </si>
  <si>
    <t>31.741-1</t>
  </si>
  <si>
    <t>MARIO JOSÉ PINTO</t>
  </si>
  <si>
    <t>MARTA RACCIATTI DE SOUZA SANTOS</t>
  </si>
  <si>
    <t>WILSON DANGELO BRAZ, PROF.</t>
  </si>
  <si>
    <t>CEI - JARDIM MARIA ALICE</t>
  </si>
  <si>
    <t>ceimalice@prefeitura.sp.gov.br</t>
  </si>
  <si>
    <t>RUA FELICE GIARDINI</t>
  </si>
  <si>
    <t>PARQUE AMELIA</t>
  </si>
  <si>
    <t>7668-6</t>
  </si>
  <si>
    <t>MARIA APARECIDA BARBOSA DIMITRIOS SIVAS</t>
  </si>
  <si>
    <t>JANETE NASCIMENTO</t>
  </si>
  <si>
    <t>JARDIM MARIA ALICE</t>
  </si>
  <si>
    <t>CEI - JOAO BENTO DE CARVALHO</t>
  </si>
  <si>
    <t>CEI JOÃO BENTO DE CARVALHO</t>
  </si>
  <si>
    <t>ceijbcarvalho@prefeitura.sp.gov.br</t>
  </si>
  <si>
    <t>RUA PEDRO DE MENA</t>
  </si>
  <si>
    <t>13406-6</t>
  </si>
  <si>
    <t>JOAO BENTO DE CARVALHO</t>
  </si>
  <si>
    <t>CEI - JARDIM MATARAZZO</t>
  </si>
  <si>
    <t>CEI JARDIM MATARAZZO</t>
  </si>
  <si>
    <t>RUA DONA ZILDA FERNANDES DE HOLANDA</t>
  </si>
  <si>
    <t>JD MATARAZZO</t>
  </si>
  <si>
    <t>20.864-7</t>
  </si>
  <si>
    <t>LUCIMARA REGINA DA SILVA MUNHOZ</t>
  </si>
  <si>
    <t>CEI - JARDIM MILIUNAS</t>
  </si>
  <si>
    <t>CEI JARDIM MILIUNAS</t>
  </si>
  <si>
    <t>RUA SARGAÇO</t>
  </si>
  <si>
    <t>51788-7</t>
  </si>
  <si>
    <t>ANDREIA PEREIRA QUIQUINATO</t>
  </si>
  <si>
    <t>SUELEIDE DA CUNHA NOLASCO</t>
  </si>
  <si>
    <t>CEI - ALBERTINA RODRIGUES SIMON, PROFA.</t>
  </si>
  <si>
    <t>CEI - ALBERTINA RODRIGUES SIMON,PROFA</t>
  </si>
  <si>
    <t>RUA MARCO DE CANAVESES</t>
  </si>
  <si>
    <t>12.773-6</t>
  </si>
  <si>
    <t>DANIELA ALVES RIBEIRO</t>
  </si>
  <si>
    <t>ceimitsutani@yahoo.com.br</t>
  </si>
  <si>
    <t>GIANE RIBEIRO DA SILVA JANNY</t>
  </si>
  <si>
    <t>ALBERTINA RODRIGUES SIMON, PROFA.</t>
  </si>
  <si>
    <t>CEI - JARDIM MONJOLO</t>
  </si>
  <si>
    <t>CEI JARDIM MONJOLO</t>
  </si>
  <si>
    <t>37577-2</t>
  </si>
  <si>
    <t>SIMONE BONAVITA</t>
  </si>
  <si>
    <t>CEI - JARDIM MONTE ALEGRE</t>
  </si>
  <si>
    <t>CEI JARDIM MONTE ALEGRE</t>
  </si>
  <si>
    <t>37719-8</t>
  </si>
  <si>
    <t>ROSEMEIRE DOS SANTOS CARDOSO</t>
  </si>
  <si>
    <t>ROSANE DE ALMEIDA DIAS</t>
  </si>
  <si>
    <t>CEI - JARDIM NAKAMURA</t>
  </si>
  <si>
    <t>ceijnakamura@prefeitura.sp.gov.br</t>
  </si>
  <si>
    <t>RUA MIGUEL DIONISIO DO VALE</t>
  </si>
  <si>
    <t>11318-2</t>
  </si>
  <si>
    <t>MARISE PINHEIRO MARINGUES</t>
  </si>
  <si>
    <t>CEI - JARDIM NAZARE</t>
  </si>
  <si>
    <t>CEI JARDIM NAZARÉ</t>
  </si>
  <si>
    <t>RUA JOSÉ FELIPE AMARAL</t>
  </si>
  <si>
    <t>52033-0</t>
  </si>
  <si>
    <t>CLAUDEMIR CUNHA LINS</t>
  </si>
  <si>
    <t>RONALDO RIBEIRO</t>
  </si>
  <si>
    <t>JARDIM NAZARE</t>
  </si>
  <si>
    <t>CEI - MARIA APARECIDA DOS SANTOS</t>
  </si>
  <si>
    <t>CEI MARIA APARECIDA DOS SANTOS</t>
  </si>
  <si>
    <t>RUA ESTEVÃO PINHEIRO</t>
  </si>
  <si>
    <t>28091-7</t>
  </si>
  <si>
    <t>APARECIDA SILVANA BROGGIO DE SOUSA</t>
  </si>
  <si>
    <t>SONIA SOARES DO NASCIMENTO</t>
  </si>
  <si>
    <t>MARIA APARECIDA DOS SANTOS</t>
  </si>
  <si>
    <t>CEI - JARDIM NOVE DE JULHO</t>
  </si>
  <si>
    <t xml:space="preserve">CEI JARDIM NOVE DE JULHO </t>
  </si>
  <si>
    <t>RUA GOMES DE MELO</t>
  </si>
  <si>
    <t>30789-0</t>
  </si>
  <si>
    <t>DANILO GUILHERME DA SILVA PERUCCI GOMES</t>
  </si>
  <si>
    <t>CEI - JARDIM NOVO PARELHEIROS</t>
  </si>
  <si>
    <t>CEI JARDIM NOVO PARELHEIROS</t>
  </si>
  <si>
    <t>RUA TEREZINHA PRADO DE OLIVEIRA</t>
  </si>
  <si>
    <t>41740-8</t>
  </si>
  <si>
    <t>ANDREA CECÍLIA SILVA HESSEL</t>
  </si>
  <si>
    <t>CEI - JARDIM PANAMERICANO</t>
  </si>
  <si>
    <t>CEI JARDIM PANAMERICANO</t>
  </si>
  <si>
    <t>ceijpanamericano@prefeitura.sp.gov.br</t>
  </si>
  <si>
    <t>RUA  BARRA DA FORQUILHA</t>
  </si>
  <si>
    <t>JARDIM VIVAN</t>
  </si>
  <si>
    <t>3326-X</t>
  </si>
  <si>
    <t>VILA ROMANA - LAPA</t>
  </si>
  <si>
    <t>19067-5</t>
  </si>
  <si>
    <t>MARIA LUCIA RODRIGUES</t>
  </si>
  <si>
    <t xml:space="preserve">CAMILA PEREIRA SANTANA </t>
  </si>
  <si>
    <t>CEI - JARDIM PERI</t>
  </si>
  <si>
    <t>CEI JARDIM PERI</t>
  </si>
  <si>
    <t>RUA AFONSO LOPES VIEIRA</t>
  </si>
  <si>
    <t>10577-5</t>
  </si>
  <si>
    <t>TALITA DE OLIVEIRA ZORNOFF</t>
  </si>
  <si>
    <t>CEI - JARDIM POPULAR</t>
  </si>
  <si>
    <t>CEI JARDIM POPULAR</t>
  </si>
  <si>
    <t>RUA FLOR DE CERA</t>
  </si>
  <si>
    <t>14.583-1</t>
  </si>
  <si>
    <t>ROSEMEIRE ALVES CARNEIRO</t>
  </si>
  <si>
    <t>CEI - JARDIM PRIMAVERA I</t>
  </si>
  <si>
    <t>CEI JARDIM PRIMAVERA I</t>
  </si>
  <si>
    <t>RUA CRISOLIA</t>
  </si>
  <si>
    <t>JD PRIMAVERA</t>
  </si>
  <si>
    <t>10113-3</t>
  </si>
  <si>
    <t>JEFERSON PEREIRA DOS SANTOS</t>
  </si>
  <si>
    <t>ANA PAULA DE ANDRADE FONSECA</t>
  </si>
  <si>
    <t>JARDIM PRIMAVERA I</t>
  </si>
  <si>
    <t>CEI - AURINDO DOS SANTOS FREIRE</t>
  </si>
  <si>
    <t>ceijreboucas@prefeitura.sp.gov.br</t>
  </si>
  <si>
    <t>RUA CAUIMA</t>
  </si>
  <si>
    <t>JARDIM REBOUCAS</t>
  </si>
  <si>
    <t>21.352-7</t>
  </si>
  <si>
    <t>MONICA PIRES HIRATA</t>
  </si>
  <si>
    <t>AURINDO DOS SANTOS FREIRE</t>
  </si>
  <si>
    <t>CEI - JARDIM REIMBERG</t>
  </si>
  <si>
    <t>CEI JARDIM REIMBERG</t>
  </si>
  <si>
    <t>RUA LUIZ THOMAZ JOAQUIM</t>
  </si>
  <si>
    <t>41806-4</t>
  </si>
  <si>
    <t>CEI - JARDIM RINCAO</t>
  </si>
  <si>
    <t>CEI JARDIM RINCÃO</t>
  </si>
  <si>
    <t>RUA XAVIER DOS PÁSSAROS</t>
  </si>
  <si>
    <t>30839-0</t>
  </si>
  <si>
    <t xml:space="preserve">ELAINE CRISTINA FURTADO MENDES </t>
  </si>
  <si>
    <t>ceijrincao@pref.sp.gov.br</t>
  </si>
  <si>
    <t>JARDIM RINCAO</t>
  </si>
  <si>
    <t>CEI - ILDEFRANCA, IRMA</t>
  </si>
  <si>
    <t>CEI IRMA ILDEFRANCA</t>
  </si>
  <si>
    <t>RUA PEDRO GERALDO</t>
  </si>
  <si>
    <t>JARDIM ROBRU</t>
  </si>
  <si>
    <t>52353-4</t>
  </si>
  <si>
    <t>JULIO CESAR DOS SANTOS</t>
  </si>
  <si>
    <t>ANA PAULA MACHADO VIEIRA</t>
  </si>
  <si>
    <t>ILDEFRANCA, IRMA</t>
  </si>
  <si>
    <t>CEI - JARDIM RODOLFO PIRANI</t>
  </si>
  <si>
    <t xml:space="preserve">CEI JARDIM RODOLFO PIRANI </t>
  </si>
  <si>
    <t>VANESSA BORGES DA SILVA</t>
  </si>
  <si>
    <t>mgmarinho@hotmail.com</t>
  </si>
  <si>
    <t>GISELENE MARIA VISSOTO</t>
  </si>
  <si>
    <t>CEI - JARDIM RODRIGO</t>
  </si>
  <si>
    <t>CEI JARDIM RODRIGO</t>
  </si>
  <si>
    <t>RUA TANAGRA VIOLÁCEA</t>
  </si>
  <si>
    <t>JARDIM TAIPAS</t>
  </si>
  <si>
    <t>31121-9</t>
  </si>
  <si>
    <t>JULI ANE OLIVARES CERQUEIRA</t>
  </si>
  <si>
    <t>ceijrodrigo@pref.sp.gov.br</t>
  </si>
  <si>
    <t>JARDIM RODRIGO</t>
  </si>
  <si>
    <t>CEI - JARDIM ROSELY</t>
  </si>
  <si>
    <t xml:space="preserve">CEI JARDIM ROSELY </t>
  </si>
  <si>
    <t>RUA JOSE DE LIMA</t>
  </si>
  <si>
    <t>JARDIM ROSELI</t>
  </si>
  <si>
    <t>27954-4</t>
  </si>
  <si>
    <t>MARCIA VICTOR DA SILVA</t>
  </si>
  <si>
    <t>elainegodoy@ig.com.br</t>
  </si>
  <si>
    <t>FATIMA APARECIDA DE SOUZA COELHO</t>
  </si>
  <si>
    <t>CEI - JARDIM RUTH</t>
  </si>
  <si>
    <t>CEI JARDIM RUTH</t>
  </si>
  <si>
    <t>RUA GUARABU</t>
  </si>
  <si>
    <t>JARDIM RUTH</t>
  </si>
  <si>
    <t>51675-9</t>
  </si>
  <si>
    <t>TARSILLA NATALLY ALCÂNTARA DA SILVA</t>
  </si>
  <si>
    <t>NELSON RODRIGUES MACHADO</t>
  </si>
  <si>
    <t>CEI - JARDIM SANTA MARIA</t>
  </si>
  <si>
    <t>CEI JARDIM SANTA MARIA</t>
  </si>
  <si>
    <t>ceijsmaria@prefeitura.sp.gov.br</t>
  </si>
  <si>
    <t>RUA EMBIU</t>
  </si>
  <si>
    <t>JARDIM SANTA MARIA</t>
  </si>
  <si>
    <t>13408-2</t>
  </si>
  <si>
    <t>CEI - JARDIM SANTO ANDRE</t>
  </si>
  <si>
    <t xml:space="preserve">CEI JARDIM SANTO ANDRE </t>
  </si>
  <si>
    <t>AVENIDA DOS SERTANISTAS</t>
  </si>
  <si>
    <t>30.555-3</t>
  </si>
  <si>
    <t>KÁTIA CELINA FELGUEIRAS REBELLES</t>
  </si>
  <si>
    <t>cicimonteiro@hotmail.com</t>
  </si>
  <si>
    <t>CLAUDIONE PEREIRA DOS SANTOS</t>
  </si>
  <si>
    <t>CEI - JARDIM SAO BENTO VELHO</t>
  </si>
  <si>
    <t>ceijsbvelho@prefeitura.sp.gov.br</t>
  </si>
  <si>
    <t>RUA BATALHA REIS</t>
  </si>
  <si>
    <t>SÃO BENTO VELHO</t>
  </si>
  <si>
    <t xml:space="preserve">CENTRO EMPRESARIAL </t>
  </si>
  <si>
    <t>32.555-4</t>
  </si>
  <si>
    <t>SANDRA REGINA P. DA SILVA</t>
  </si>
  <si>
    <t>JARDIM SAO BENTO VELHO</t>
  </si>
  <si>
    <t>CEI - JARDIM SAO CARLOS</t>
  </si>
  <si>
    <t>CEI JARDIM SÃO CARLOS</t>
  </si>
  <si>
    <t>RUA SÃO PEDRO DO JEQUITINHONHA</t>
  </si>
  <si>
    <t>51743-7</t>
  </si>
  <si>
    <t>ALESSANDRA DA SILVA DELLA PERUTA</t>
  </si>
  <si>
    <t>JARDIM SAO CARLOS</t>
  </si>
  <si>
    <t>CEI - JARDIM SAO JOAQUIM</t>
  </si>
  <si>
    <t xml:space="preserve">CAPELA DO SOCORRO </t>
  </si>
  <si>
    <t>46.715-4</t>
  </si>
  <si>
    <t>claricesalari@gmail.com</t>
  </si>
  <si>
    <t>CLEOMAR ROSIMAR SILVA CRUZ</t>
  </si>
  <si>
    <t>JARDIM SAO JOAQUIM</t>
  </si>
  <si>
    <t>CEI - JARDIM SAO LUIZ I</t>
  </si>
  <si>
    <t>RUA ARQUITETO ROBERTO PATRAO ASSIS</t>
  </si>
  <si>
    <t>JARDIM SÃO LUIZ</t>
  </si>
  <si>
    <t>7754-2</t>
  </si>
  <si>
    <t>mcscavazza@uol.com.br</t>
  </si>
  <si>
    <t>SANDRA REGINA DOS SANTOS BARBOSA</t>
  </si>
  <si>
    <t>JARDIM SAO LUIZ I</t>
  </si>
  <si>
    <t>CEI - JARDIM SAO LUIZ II</t>
  </si>
  <si>
    <t>RUA COLOMBO LEONI</t>
  </si>
  <si>
    <t>7796-8</t>
  </si>
  <si>
    <t>IVANILDA DUARTE DE FREITAS</t>
  </si>
  <si>
    <t>ceijsailuiz2@prefeitura.spgov.br</t>
  </si>
  <si>
    <t>JARDIM SAO LUIZ II</t>
  </si>
  <si>
    <t>CEI - JARDIM SAO MANOEL</t>
  </si>
  <si>
    <t>ceijsmanoel@prefeitura.sp.gov.br</t>
  </si>
  <si>
    <t>RUA PEDRO ROLDAN</t>
  </si>
  <si>
    <t>JARDIM SÃO MANOEL</t>
  </si>
  <si>
    <t>7770-4</t>
  </si>
  <si>
    <t>MARINA NEVES DA CRUZ</t>
  </si>
  <si>
    <t>JARDIM SAO MANOEL</t>
  </si>
  <si>
    <t>CEI - JARDIM SAO MARTINHO</t>
  </si>
  <si>
    <t>CEI JARDIM SÃO MARTINHO</t>
  </si>
  <si>
    <t>ERVA DO SERENO</t>
  </si>
  <si>
    <t>51954-5</t>
  </si>
  <si>
    <t>ARLETE MARQUES BARBOSA</t>
  </si>
  <si>
    <t>ROSA GRAZIELE ALVES DOS SANTOS</t>
  </si>
  <si>
    <t>JARDIM SAO MARTINHO</t>
  </si>
  <si>
    <t>CEI - JARDIM SAO PAULO</t>
  </si>
  <si>
    <t>CEI JARDIM SÃO PAULO</t>
  </si>
  <si>
    <t>RUA FELICIANO DE MENDONÇA</t>
  </si>
  <si>
    <t>19.667-3</t>
  </si>
  <si>
    <t>JARDIM SAO PAULO</t>
  </si>
  <si>
    <t>CEI - JARDIM SAO PEDRO</t>
  </si>
  <si>
    <t>CEI JARDIM SÃO PEDRO</t>
  </si>
  <si>
    <t>ceijspedro@prefeitura.sp.gov.br</t>
  </si>
  <si>
    <t>RUA LUIS MATEUS</t>
  </si>
  <si>
    <t>52310-0</t>
  </si>
  <si>
    <t>ERICA APARECIDA GOMES GALLEGO</t>
  </si>
  <si>
    <t>JARDIM SAO PEDRO</t>
  </si>
  <si>
    <t>CEI - JARDIM SAO VICENTE</t>
  </si>
  <si>
    <t>CEI JARDIM SÃO VICENTE</t>
  </si>
  <si>
    <t>RUA MOHAMED IBRAHIM SALEH</t>
  </si>
  <si>
    <t>51893-X</t>
  </si>
  <si>
    <t>SANDRA AMÉRICA DE OLIVEIRA</t>
  </si>
  <si>
    <t>FERNANDO DA SILVA CANO</t>
  </si>
  <si>
    <t>JARDIM SAO VICENTE</t>
  </si>
  <si>
    <t>CEI - SHANGRI-LA</t>
  </si>
  <si>
    <t>CEI  JARDIM SHANGRI-LA</t>
  </si>
  <si>
    <t>RUA SALVADOR DE ALBUQUERQUE</t>
  </si>
  <si>
    <t>JARDIM SHANGRI-LA</t>
  </si>
  <si>
    <t>113016-1</t>
  </si>
  <si>
    <t>ceishangrila@pref.sp.gov.br</t>
  </si>
  <si>
    <t>SHANGRI-LA</t>
  </si>
  <si>
    <t>CEI - JARDIM SILVA TELLES</t>
  </si>
  <si>
    <t>CEI JARDIM SILVA TELLES</t>
  </si>
  <si>
    <t>28206-5</t>
  </si>
  <si>
    <t>PATRÍCIA NATALINA KUTSUMBOS</t>
  </si>
  <si>
    <t>PRISCILA ARAUJO SANTOS</t>
  </si>
  <si>
    <t>JARDIM SILVA TELLES</t>
  </si>
  <si>
    <t>CEI - JARDIM SILVEIRA</t>
  </si>
  <si>
    <t>CEI JARDIM SILVEIRA</t>
  </si>
  <si>
    <t>41804-8</t>
  </si>
  <si>
    <t>NATHALIA PESSOA DA SILVA ALVES</t>
  </si>
  <si>
    <t>CEI - JARDIM SOMARA</t>
  </si>
  <si>
    <t>CEI JARDIM SOMARA</t>
  </si>
  <si>
    <t>RUA ANTONIO FELIPE FILHO</t>
  </si>
  <si>
    <t>JARDIM SOMARA</t>
  </si>
  <si>
    <t>41792-0</t>
  </si>
  <si>
    <t>HELEN CRISTINA BONFLEUR MESQUITA</t>
  </si>
  <si>
    <t xml:space="preserve">               </t>
  </si>
  <si>
    <t>CEI - JARDIM SOUZA</t>
  </si>
  <si>
    <t>ceijsouza@prefeitura.sp.gov.br</t>
  </si>
  <si>
    <t>RUA FRANCISCO SOBREIRA DA SILVA</t>
  </si>
  <si>
    <t>JARDIM SOUZA</t>
  </si>
  <si>
    <t>7669-4</t>
  </si>
  <si>
    <t>FERNANDO JOSÉ RIBEIRO DOS SANTOS</t>
  </si>
  <si>
    <t>CEI - JARDIM TAIPAS</t>
  </si>
  <si>
    <t>CEI JARDIM TAIPAS</t>
  </si>
  <si>
    <t>ceijtaipas@prefeitura.sp.gov.br</t>
  </si>
  <si>
    <t>AVENIDA ELIAS ANTONIO LOPES</t>
  </si>
  <si>
    <t>PARQUE TAIPAS</t>
  </si>
  <si>
    <t>30928-1</t>
  </si>
  <si>
    <t>LILIAN STEFANIN CANO</t>
  </si>
  <si>
    <t>CEI - JARDIM TIETE</t>
  </si>
  <si>
    <t xml:space="preserve">CEI JARDIM TIETE </t>
  </si>
  <si>
    <t>RUA ETTORE ANDREAZZA</t>
  </si>
  <si>
    <t>30745-9</t>
  </si>
  <si>
    <t>RUBENS BATISTA SOBRINHO</t>
  </si>
  <si>
    <t>jooneto@ig.com.br</t>
  </si>
  <si>
    <t>GISELE DE MACEDO TAKIUTI</t>
  </si>
  <si>
    <t>CEI - JARDIM TRES CORACOES</t>
  </si>
  <si>
    <t>CEI JARDIM TRÊS CORAÇÕES</t>
  </si>
  <si>
    <t>AVENIDA CARLOS ALBERTO BASTOS MACHADO</t>
  </si>
  <si>
    <t>JARDIM MIRNA</t>
  </si>
  <si>
    <t>41852-8</t>
  </si>
  <si>
    <t>ANA MARIA AFONSO</t>
  </si>
  <si>
    <t>JARDIM TRES CORACOES</t>
  </si>
  <si>
    <t>CEI - JARDIM TRES ESTRELAS</t>
  </si>
  <si>
    <t>ceijtestrelas@prefeitura.sp.gov.br</t>
  </si>
  <si>
    <t>RUA ROSALBA CARRIERA</t>
  </si>
  <si>
    <t>JARDIM 3 ESTRELAS</t>
  </si>
  <si>
    <t>7.656-2</t>
  </si>
  <si>
    <t>CICERO GOMES DA SILVA NETO</t>
  </si>
  <si>
    <t>JARDIM TRES ESTRELAS</t>
  </si>
  <si>
    <t>CEI - JARDIM TRES MARIAS</t>
  </si>
  <si>
    <t>CEI JARDIM TRÊS MARIAS</t>
  </si>
  <si>
    <t>RUA RAIMUNDO NOGUEIRA</t>
  </si>
  <si>
    <t>14.597-1</t>
  </si>
  <si>
    <t>CAMILA NERI SILVA</t>
  </si>
  <si>
    <t>JARDIM TRES MARIAS</t>
  </si>
  <si>
    <t>CEI - JARDIM UMARIZAL</t>
  </si>
  <si>
    <t>RUA ECAUNA</t>
  </si>
  <si>
    <t xml:space="preserve">FRANCISCO MORATO </t>
  </si>
  <si>
    <t>16057-1</t>
  </si>
  <si>
    <t>SUELI ALVES DOS SANTOS COSTA</t>
  </si>
  <si>
    <t>adebarri@bol.com.br</t>
  </si>
  <si>
    <t>KELI CRISTINA IPAVES MOTA</t>
  </si>
  <si>
    <t>CEI - JARDIM UNIVERSITARIO</t>
  </si>
  <si>
    <t>CEI JARDIM UNIVERSITÁRIO</t>
  </si>
  <si>
    <t>RUA GERALDO DO BRUMADO</t>
  </si>
  <si>
    <t>JARDIM DAS IMBUIAS</t>
  </si>
  <si>
    <t>41712-2</t>
  </si>
  <si>
    <t>JARDIM UNIVERSITARIO</t>
  </si>
  <si>
    <t>CEI - JARDIM VERA CRUZ</t>
  </si>
  <si>
    <t xml:space="preserve">CEI JARDIM VERA CRUZ </t>
  </si>
  <si>
    <t>RUA FELIPE COTRIM</t>
  </si>
  <si>
    <t>30812-9</t>
  </si>
  <si>
    <t>NIUZELY RIBEIRO MAIA</t>
  </si>
  <si>
    <t>MARIANA DO CARMO COSTA</t>
  </si>
  <si>
    <t>CEI - JARDIM VERONIA</t>
  </si>
  <si>
    <t>CEI JARDIM VERÔNIA</t>
  </si>
  <si>
    <t>RUA RITA DE SOUZA</t>
  </si>
  <si>
    <t>17.079-8</t>
  </si>
  <si>
    <t>HÉRICA ELAINE TAINO DE SÁ</t>
  </si>
  <si>
    <t>JARDIM VERONIA</t>
  </si>
  <si>
    <t>CEI - JARDIM VILA CARRAO</t>
  </si>
  <si>
    <t xml:space="preserve">CEI JARDIM VILA CARRAO </t>
  </si>
  <si>
    <t>RUA BARTOLOMEU ANTUNES</t>
  </si>
  <si>
    <t>JARDIM VILA CARRÃO</t>
  </si>
  <si>
    <t>30824-2</t>
  </si>
  <si>
    <t>JANAINA MARTINS DE SOUZA</t>
  </si>
  <si>
    <t>MARITELMA DE SIQUEIRA</t>
  </si>
  <si>
    <t>JARDIM VILA CARRAO</t>
  </si>
  <si>
    <t>CEI - JARDIM VILA PEDROSO</t>
  </si>
  <si>
    <t>CEI JARDIM VILA PEDROSO</t>
  </si>
  <si>
    <t>RUA JULIÃO PEREIRA MACHADO</t>
  </si>
  <si>
    <t>4304-4</t>
  </si>
  <si>
    <t>AV SÃO MIGUEL</t>
  </si>
  <si>
    <t>103042-6</t>
  </si>
  <si>
    <t>CRISTIANE PINHEIRO DOS SANTOS</t>
  </si>
  <si>
    <t>JARDIM VILA PEDROSO</t>
  </si>
  <si>
    <t>CEI - JARDIM VISTA ALEGRE</t>
  </si>
  <si>
    <t>CEI JARDIM VISTA ALEGRE</t>
  </si>
  <si>
    <t>37637-X</t>
  </si>
  <si>
    <t>PATRICIA MORENO CARVALHO DE JESUS</t>
  </si>
  <si>
    <t>CEI - JOAO CARLOS FAIRBANKS, VER.</t>
  </si>
  <si>
    <t>CEI VER. JOÃO CARLOS FAIRBANKS</t>
  </si>
  <si>
    <t>RUA ANDRE FURTADO DE MENDONÇA</t>
  </si>
  <si>
    <t>JARDIM ROMANO</t>
  </si>
  <si>
    <t>28007-0</t>
  </si>
  <si>
    <t>EDNA TIBURCIO DA SILVA DO CARMO</t>
  </si>
  <si>
    <t>PRISCILA MIYUKI YAMAMOTO</t>
  </si>
  <si>
    <t>JOAO CARLOS FAIRBANKS, VER.</t>
  </si>
  <si>
    <t>CEI - JOAO FRANCISCO DE HARO, VER.</t>
  </si>
  <si>
    <t xml:space="preserve">CEI VEREADOR JOAO FRANCISCO DE HARO </t>
  </si>
  <si>
    <t>RUA PEDRO DE CASTRO VELHO</t>
  </si>
  <si>
    <t>7550-7</t>
  </si>
  <si>
    <t>ANTONIO FRENEDA DE MOIA JUNIOR</t>
  </si>
  <si>
    <t>frenedajr@uol.com.br</t>
  </si>
  <si>
    <t>CARINA DAS NEVES DUARTE FREITAS</t>
  </si>
  <si>
    <t>JOAO FRANCISCO DE HARO, VER.</t>
  </si>
  <si>
    <t>CEI - JOAO TONIOLO, VER.</t>
  </si>
  <si>
    <t>CEI VEREADOR JOÃO TONIOLO</t>
  </si>
  <si>
    <t>21944-4</t>
  </si>
  <si>
    <t>JOB MENEZES DE SOUZA JUNIOR</t>
  </si>
  <si>
    <t>JOAO TONIOLO, VER.</t>
  </si>
  <si>
    <t>CEI - JOAQUIM GOUVEIA FRANCO JR., VER.</t>
  </si>
  <si>
    <t>CEI JOAQUIM GOUVEA FRANCO JUNIOR</t>
  </si>
  <si>
    <t>ceijgfranco@prefeitura.sp.gov.br</t>
  </si>
  <si>
    <t>RUA ARDOSIA</t>
  </si>
  <si>
    <t>19.854-4</t>
  </si>
  <si>
    <t>TAMIRES TRINDADE FERREIRA</t>
  </si>
  <si>
    <t>JOAQUIM GOUVEIA FRANCO JR., VER.</t>
  </si>
  <si>
    <t>CEI - JOAQUIM THOME FILHO, VER.</t>
  </si>
  <si>
    <t>CEI VEREADOR JOAQUIM THOME FILHO</t>
  </si>
  <si>
    <t>ceijthome@prefeitura.sp.gov.br</t>
  </si>
  <si>
    <t>RUA PROF. LUIS AMARAL WAGNER</t>
  </si>
  <si>
    <t>31.786-1</t>
  </si>
  <si>
    <t>MELISA PINHEIRO BIANCHI</t>
  </si>
  <si>
    <t>STEPHANE BASTOS DE SIQUEIRA MORAIS</t>
  </si>
  <si>
    <t>JOAQUIM THOME FILHO, VER.</t>
  </si>
  <si>
    <t>CEI - JOCELYNE GUIMARAES FERNANDES DE MELLO</t>
  </si>
  <si>
    <t>CEI JOCELYNE GUIMARAES FERNANDES DE MELLO</t>
  </si>
  <si>
    <t>RUA UTARO KANAI</t>
  </si>
  <si>
    <t>COHAB JUSCELINO KUBITSCHEK DE OLIVEIRA</t>
  </si>
  <si>
    <t>20.078-6</t>
  </si>
  <si>
    <t>GENILDA BARBOSA DOS SANTOS</t>
  </si>
  <si>
    <t>ceijneidemello@prefeitura.sp.gov.br</t>
  </si>
  <si>
    <t>CRISTIANE COMBA ALVES SAONITTI</t>
  </si>
  <si>
    <t>JOCELYNE GUIMARAES FERNANDES DE MELLO</t>
  </si>
  <si>
    <t>CEI - JOSE ADRIANO MARREY JR., VER.</t>
  </si>
  <si>
    <t>CEI JOSÉ ADRIANO MARREY JR., VER.</t>
  </si>
  <si>
    <t>41783-1</t>
  </si>
  <si>
    <t>MILENA JOSEFINA TAGLIAFERRO</t>
  </si>
  <si>
    <t>JOSE ADRIANO MARREY JR., VER.</t>
  </si>
  <si>
    <t>CEI - JOSE BUSTAMANTE, VER.</t>
  </si>
  <si>
    <t>CEI VEREADOR JOSE BUSTAMANTE</t>
  </si>
  <si>
    <t>RUA BURITI ALEGRE</t>
  </si>
  <si>
    <t>14.652-8</t>
  </si>
  <si>
    <t>ANA MARIA SANTANA DE LIMA</t>
  </si>
  <si>
    <t>JOSE BUSTAMANTE, VER.</t>
  </si>
  <si>
    <t>CEI - JOSE DE MOURA, VER.</t>
  </si>
  <si>
    <t xml:space="preserve">CEI VEREADOR JOSE DE MOURA </t>
  </si>
  <si>
    <t>RUA DONA ANA NERY</t>
  </si>
  <si>
    <t>Juventus</t>
  </si>
  <si>
    <t>22.796-X</t>
  </si>
  <si>
    <t>maraccanavese@hotmail.com</t>
  </si>
  <si>
    <t>JOSE DE MOURA, VER.</t>
  </si>
  <si>
    <t>CEI - JOSE FERREIRA KEFFER, VER.</t>
  </si>
  <si>
    <t>CEI JOSÉ FERREIRA KEFFER</t>
  </si>
  <si>
    <t>RUA IRUPANA</t>
  </si>
  <si>
    <t>4309-7</t>
  </si>
  <si>
    <t>14160-7</t>
  </si>
  <si>
    <t>JOSE FERREIRA KEFFER, VER.</t>
  </si>
  <si>
    <t>CEI - JOSE GOMES DE MORAES NETTO, VER.</t>
  </si>
  <si>
    <t>CEI JOSE GOMES DE MORAES NETTO</t>
  </si>
  <si>
    <t>ceijgmoraes@prefeitura.sp.gov.br</t>
  </si>
  <si>
    <t>RUA DEMOCRACIA</t>
  </si>
  <si>
    <t>21.546-5</t>
  </si>
  <si>
    <t>JOSE GOMES DE MORAES NETTO, VER.</t>
  </si>
  <si>
    <t>CEI - JOSE MOLINA JR., VER</t>
  </si>
  <si>
    <t>CEI JOSÉ MOLINA, VER.</t>
  </si>
  <si>
    <t>RUA GASPAR JOSÉ RAPOSO</t>
  </si>
  <si>
    <t>JARDIM ORION</t>
  </si>
  <si>
    <t xml:space="preserve">ERIKA KUWADA </t>
  </si>
  <si>
    <t>JOSE MOLINA JR., VER</t>
  </si>
  <si>
    <t>CEI - JOSE OLIVEIRA ALMEIDA DINIZ, VER.</t>
  </si>
  <si>
    <t>ceijoadiniz@prefeitura.sp.gov.br</t>
  </si>
  <si>
    <t>RUA ANTONIO RIBEIRO PINA</t>
  </si>
  <si>
    <t>7678-3</t>
  </si>
  <si>
    <t>CÁTIA GOMES DOS SANTOS</t>
  </si>
  <si>
    <t>RUBENS ROCHA DA SILVA</t>
  </si>
  <si>
    <t>JOSE OLIVEIRA ALMEIDA DINIZ, VER.</t>
  </si>
  <si>
    <t>CEI - JOSE OZI, PROF.</t>
  </si>
  <si>
    <t>CEI PROF. JOSÉ OZI</t>
  </si>
  <si>
    <t>ceijoseozi@prefeitura.sp.gov.br</t>
  </si>
  <si>
    <t>RUA BARTOLOMEU VENETO</t>
  </si>
  <si>
    <t>VILA TIRADENTES</t>
  </si>
  <si>
    <t>13.621-2</t>
  </si>
  <si>
    <t>BEATRIZ SANTOS SARGAÇO</t>
  </si>
  <si>
    <t>CLAUDIA BARBOSA NASCIMENTO</t>
  </si>
  <si>
    <t>JOSE OZI, PROF.</t>
  </si>
  <si>
    <t>CEI - JOSE SALVADOR JULIANELLI, DEP.</t>
  </si>
  <si>
    <t>CEI JOSE SALVADOR JULIANELLI, DEP.</t>
  </si>
  <si>
    <t>BARÃO DE JACEGUAI</t>
  </si>
  <si>
    <t>34.220-3</t>
  </si>
  <si>
    <t>JOSE SALVADOR JULIANELLI, DEP.</t>
  </si>
  <si>
    <t>CEI - JUSCELINO KUBITSCHEK OLIVEIRA, PRES.</t>
  </si>
  <si>
    <t>CEI JUSCELINO KUBITSCHEK DE OLIVEIRA, PRES.</t>
  </si>
  <si>
    <t>RUA PEDRO DE SEABRA</t>
  </si>
  <si>
    <t>20.050-6</t>
  </si>
  <si>
    <t>IVANILDA FATIMA PRIETO</t>
  </si>
  <si>
    <t>MARIA SUELI DA SILVA</t>
  </si>
  <si>
    <t>JUSCELINO KUBITSCHEK OLIVEIRA, PRES.</t>
  </si>
  <si>
    <t>CEI - LAERCIO CORTE, VER.</t>
  </si>
  <si>
    <t>CEI LAERCIO CORTE,VER.</t>
  </si>
  <si>
    <t>RUA BELARMINO PRESTES</t>
  </si>
  <si>
    <t>13718-9</t>
  </si>
  <si>
    <t>THAIS FERNANDA MILIANI</t>
  </si>
  <si>
    <t>ceilciocorte@pref.sp.gov.br</t>
  </si>
  <si>
    <t>LAERCIO CORTE, VER.</t>
  </si>
  <si>
    <t>CEI - LAUZANE PAULISTA</t>
  </si>
  <si>
    <t>CEI LAUZANE PAULISTA</t>
  </si>
  <si>
    <t>ceilpaulista@prefeitura.sp.gov.br</t>
  </si>
  <si>
    <t>PRAÇA SANTO ESTEVÃO BRITEIROS</t>
  </si>
  <si>
    <t>31.773-X</t>
  </si>
  <si>
    <t>ADRIANA SANTOS VOIGTEL DE OLIVEIRA</t>
  </si>
  <si>
    <t>VIVIANE DE ALMEIDA BRITO LESSA</t>
  </si>
  <si>
    <t>CEI - LIBERO ANCONA LOPES, VER.</t>
  </si>
  <si>
    <t>CEI VER. LIBERO ANCONA LOPES</t>
  </si>
  <si>
    <t>RUA BENEDITO RAPOSO</t>
  </si>
  <si>
    <t>51795-X</t>
  </si>
  <si>
    <t>CLAUDIA DE FREITAS SANCHES PERES</t>
  </si>
  <si>
    <t>RAFFAELLI JACOB SANTOS</t>
  </si>
  <si>
    <t>LIBERO ANCONA LOPES, VER.</t>
  </si>
  <si>
    <t>CEI - LUIZ GONZAGA DO NASCIMENTO JR.</t>
  </si>
  <si>
    <t xml:space="preserve">CEI LUIZ GONZAGA DO NASCIMENTO JR. </t>
  </si>
  <si>
    <t>RUA PASCOAL DIAS</t>
  </si>
  <si>
    <t>30682-7</t>
  </si>
  <si>
    <t>SILVANA APARECIDA DO SANTOS VIANNA</t>
  </si>
  <si>
    <t>silvanasvianna@bol.com.br</t>
  </si>
  <si>
    <t>JOSÂNIA BATISTA SOARES LOPES</t>
  </si>
  <si>
    <t>LUIZ GONZAGA DO NASCIMENTO JR.</t>
  </si>
  <si>
    <t>CEI - MANOEL DA NOBREGA, PDE.</t>
  </si>
  <si>
    <t>CEI PADRE MANOEL DA NÓBREGA</t>
  </si>
  <si>
    <t>128 A</t>
  </si>
  <si>
    <t>19.800-5</t>
  </si>
  <si>
    <t>ANA PAULA FERREIRA MANOCCHI MOLINARI</t>
  </si>
  <si>
    <t>MANOEL DA NOBREGA, PDE.</t>
  </si>
  <si>
    <t>CEI - MARCIA RICCO FERRAZ</t>
  </si>
  <si>
    <t>CEI MARCIA RICCO FERRAZ</t>
  </si>
  <si>
    <t>RUA DR MARIO DE SANCTIS</t>
  </si>
  <si>
    <t>25701-X</t>
  </si>
  <si>
    <t>MONICA CRISTINA DE MEDEIROS SANTOS</t>
  </si>
  <si>
    <t>MARCIA CRISTINA GAIÃO BEZERRA</t>
  </si>
  <si>
    <t>MARCIA RICCO FERRAZ</t>
  </si>
  <si>
    <t>CEI - MARCOS MELEGA, VER.</t>
  </si>
  <si>
    <t xml:space="preserve">CEI VEREADOR MARCOS MELEGA </t>
  </si>
  <si>
    <t>RUA TORRES FLORENCIO E RIELLI</t>
  </si>
  <si>
    <t>20109-X</t>
  </si>
  <si>
    <t>beva400@gmail.com</t>
  </si>
  <si>
    <t>LILIANE MENDES ASSIS BERATA</t>
  </si>
  <si>
    <t>MARCOS MELEGA, VER.</t>
  </si>
  <si>
    <t>CEI - MARIA AUXILIADORA DA SILVA</t>
  </si>
  <si>
    <t>CEI MARIA AUXILIADORA DA SILVA</t>
  </si>
  <si>
    <t>ceimasilva@prefeitura.sp.gov.br</t>
  </si>
  <si>
    <t>RUA ANGELO ALUISIO</t>
  </si>
  <si>
    <t>31.754-3</t>
  </si>
  <si>
    <t>JOÃO PAULO ÁVILA DE SOUZA</t>
  </si>
  <si>
    <t>ELIANA TECLA PEREIRA DA SILVA</t>
  </si>
  <si>
    <t>MARIA AUXILIADORA DA SILVA</t>
  </si>
  <si>
    <t>CEI - MARIA CURSI</t>
  </si>
  <si>
    <t xml:space="preserve">CEI MARIA CURSI </t>
  </si>
  <si>
    <t>AVENIDA MARIA LUIZA DO VAL PENTEADO</t>
  </si>
  <si>
    <t xml:space="preserve">SÃO MATEUS               </t>
  </si>
  <si>
    <t>30705-X</t>
  </si>
  <si>
    <t>NIVANDA SUARES DE SOUZA</t>
  </si>
  <si>
    <t>nivandasuares@ig.com.br</t>
  </si>
  <si>
    <t>MIRIAM LEMOS DE ANDRADE</t>
  </si>
  <si>
    <t>MARIA CURSI</t>
  </si>
  <si>
    <t>CEI - MARIA HENRIQUETA CATITE</t>
  </si>
  <si>
    <t>CEI MARIA HENRIQUETA CATITE</t>
  </si>
  <si>
    <t>ceimhcatite@prefeitura.sp.gov.br</t>
  </si>
  <si>
    <t>RUA DOM LUIS FELIPE ORLEANS</t>
  </si>
  <si>
    <t>31865-5</t>
  </si>
  <si>
    <t>SHEILA DIAS DOS SANTOS</t>
  </si>
  <si>
    <t>MARIA HENRIQUETA CATITE</t>
  </si>
  <si>
    <t>CEI - MARIA JOSE DE SOUZA</t>
  </si>
  <si>
    <t>CEI MARIA JOSE DE SOUZA</t>
  </si>
  <si>
    <t>37575-6</t>
  </si>
  <si>
    <t>MEIRE GUILHERME DOS SANTOS PAES</t>
  </si>
  <si>
    <t>MARIA JOSE DE SOUZA</t>
  </si>
  <si>
    <t>CEI - MARIA JOSE VASCONCELOS MANKEL, PROFA.</t>
  </si>
  <si>
    <t>CEI PROF. Mª JOSÉ DE V. MANKEL</t>
  </si>
  <si>
    <t>AVENIDA INÁCIA DE TOLEDO</t>
  </si>
  <si>
    <t>31234-7</t>
  </si>
  <si>
    <t>ceimjvmankel@prefeitura.sp.gov</t>
  </si>
  <si>
    <t>MARIA JOSE VASCONCELOS MANKEL, PROFA.</t>
  </si>
  <si>
    <t>CEI - MARILIA DE DIRCEU</t>
  </si>
  <si>
    <t>CEI MARILIA DE DIRCEU</t>
  </si>
  <si>
    <t>RUA LUIS BORDESE</t>
  </si>
  <si>
    <t>MARIA ZITA JESUS DO NASCIMENTO</t>
  </si>
  <si>
    <t>ANDREIA GODOI DA SILVA</t>
  </si>
  <si>
    <t>MARILIA DE DIRCEU</t>
  </si>
  <si>
    <t>CEI - MARIO CALDANA</t>
  </si>
  <si>
    <t>CEI CAP PM MÁRIO CALDANA</t>
  </si>
  <si>
    <t>RUA HEITOR DINIZ CAMPELLO</t>
  </si>
  <si>
    <t>44.700-5</t>
  </si>
  <si>
    <t>MERCIA ADRIANA DA SILVA</t>
  </si>
  <si>
    <t>MARIO CALDANA</t>
  </si>
  <si>
    <t>CEI - MARIO DA COSTA BARBOSA</t>
  </si>
  <si>
    <t>CEI PROFESSOR MARIO DA COSTA BARBOSA</t>
  </si>
  <si>
    <t>ceimcbarbosa@prefeitura.sp.gov.br</t>
  </si>
  <si>
    <t>RUA SG JETER A. PEREIRA</t>
  </si>
  <si>
    <t>31.757-8</t>
  </si>
  <si>
    <t>ELVIRA MARIA AUGUSTO</t>
  </si>
  <si>
    <t>CIRLENE BIAZOTTI DE MELO</t>
  </si>
  <si>
    <t>MARIO DA COSTA BARBOSA</t>
  </si>
  <si>
    <t>CEI - MENINO JESUS</t>
  </si>
  <si>
    <t>CEI MENINO JESUS DE PIRITUBA</t>
  </si>
  <si>
    <t>32.050-1</t>
  </si>
  <si>
    <t>ANA PAULA ORTEGA</t>
  </si>
  <si>
    <t>ceimjesus@pref.sp.gov.br</t>
  </si>
  <si>
    <t>MENINO JESUS</t>
  </si>
  <si>
    <t>CEI - MITIKO MATSUSHITA NEVOEIRO</t>
  </si>
  <si>
    <t>CEI MITIKO MATSUSHITA NEVOEIRO</t>
  </si>
  <si>
    <t>RUA MARTIN CACHA</t>
  </si>
  <si>
    <t>JARDIM SABIA</t>
  </si>
  <si>
    <t>3561-1</t>
  </si>
  <si>
    <t>41749-1</t>
  </si>
  <si>
    <t>WILLIAM BATISTA DE FARIAS</t>
  </si>
  <si>
    <t>MITIKO MATSUSHITA NEVOEIRO</t>
  </si>
  <si>
    <t>CEI - MONUMENTO</t>
  </si>
  <si>
    <t>CEI MONUMENTO</t>
  </si>
  <si>
    <t>ceimonumento@prefeitura.sp.gov.br</t>
  </si>
  <si>
    <t>RUA LEAIS PAULISTANOS</t>
  </si>
  <si>
    <t>35.252-7</t>
  </si>
  <si>
    <t>MONUMENTO</t>
  </si>
  <si>
    <t>CEI - NATHALIA PEDROSO ROSEMBURG, DRA.</t>
  </si>
  <si>
    <t>RUA AROLDO DE AZEVEDO</t>
  </si>
  <si>
    <t>JARDIM BOM REFUGIO</t>
  </si>
  <si>
    <t>13.320-5</t>
  </si>
  <si>
    <t>ANA MARIA DOS SANTOS DOMICIANO</t>
  </si>
  <si>
    <t>ceinprosemburg!prefeitura.sp.gov.br</t>
  </si>
  <si>
    <t>SILEIDE JANE RIBEIRO NAVAS</t>
  </si>
  <si>
    <t>NATHALIA PEDROSO ROSEMBURG, DRA.</t>
  </si>
  <si>
    <t>CEI - NAZARE</t>
  </si>
  <si>
    <t>CEI NAZARE</t>
  </si>
  <si>
    <t>RUA DOS MASSEIROS</t>
  </si>
  <si>
    <t>28032-1</t>
  </si>
  <si>
    <t>MICHELLA VASCONCELOS DE OLIVEIRA</t>
  </si>
  <si>
    <t>JAQUELINE SOUZA SILVA DOS SANTOS</t>
  </si>
  <si>
    <t>NAZARE</t>
  </si>
  <si>
    <t>CEI - NAZIR MIGUEL, VER.</t>
  </si>
  <si>
    <t>CEI VEREADOR NAZIR MIGUEL</t>
  </si>
  <si>
    <t>RUA PRUDENTE DE MORAIS</t>
  </si>
  <si>
    <t>3576-9</t>
  </si>
  <si>
    <t>35.568-2</t>
  </si>
  <si>
    <t>DEBORA GROTI MELÃO</t>
  </si>
  <si>
    <t>NAZIR MIGUEL, VER.</t>
  </si>
  <si>
    <t>CEI - NEIDE KETELHUT</t>
  </si>
  <si>
    <t>CEI NEIDE KETELHUT</t>
  </si>
  <si>
    <t>RUA CLAUDIO DA COSTA</t>
  </si>
  <si>
    <t>JARDIM AURORA</t>
  </si>
  <si>
    <t>19.669-X</t>
  </si>
  <si>
    <t>GISELY DE LIMA SOUZA COLLISTOCK</t>
  </si>
  <si>
    <t>NEIDE KETELHUT</t>
  </si>
  <si>
    <t>CEI - NINHO ALEGRE</t>
  </si>
  <si>
    <t>CEI NINHO ALEGRE</t>
  </si>
  <si>
    <t>CIDADE NOVA SÃO MIGUEL</t>
  </si>
  <si>
    <t>51688-0</t>
  </si>
  <si>
    <t>ANA AMÉLIA ROCHA SATÍRIO</t>
  </si>
  <si>
    <t>JULIANA NETTO DA SILVA</t>
  </si>
  <si>
    <t>NINHO ALEGRE</t>
  </si>
  <si>
    <t>CEI - ODILIA ALVES ALMEIDA SANTOS</t>
  </si>
  <si>
    <t>CEI ODILIA ALVES ALMEIDA SANTOS</t>
  </si>
  <si>
    <t>RUA DES. OSWALDO ARANHA BANDEIRA DE MELLO</t>
  </si>
  <si>
    <t>CIDADE KEMEL</t>
  </si>
  <si>
    <t>51944-8</t>
  </si>
  <si>
    <t>FELIPE DANIEL VIDOTTI MONTEIRO</t>
  </si>
  <si>
    <t>ODILIA ALVES ALMEIDA SANTOS</t>
  </si>
  <si>
    <t>CEI - OLGA BENARIO PRESTES</t>
  </si>
  <si>
    <t>ceiolbprestes@prefeitura.sp.gov.br</t>
  </si>
  <si>
    <t>7762-3</t>
  </si>
  <si>
    <t>ROSELI MARIA DA SILVA ANTONIO</t>
  </si>
  <si>
    <t>CEI - ONADYR MARCONDES</t>
  </si>
  <si>
    <t>CEI ONADYR MARCONDES</t>
  </si>
  <si>
    <t>ISAIAS</t>
  </si>
  <si>
    <t>23.428-1</t>
  </si>
  <si>
    <t>EDUARDO FELIPE DA SILVA</t>
  </si>
  <si>
    <t>ONADYR MARCONDES</t>
  </si>
  <si>
    <t>CEI - PARADA XV DE NOVEMBRO</t>
  </si>
  <si>
    <t>CEI PARADA XV DE NOVEMBRO</t>
  </si>
  <si>
    <t>ceipxvdenovembro@prefeitura.sp.gov.br</t>
  </si>
  <si>
    <t>19756-4</t>
  </si>
  <si>
    <t>SANDRA FERNANDES PINHEIRO</t>
  </si>
  <si>
    <t>CEI - VANDA MARIA RODRIGUES DOS SANTOS, PROFA.</t>
  </si>
  <si>
    <t>CEI VANDA MARIA RODRIGUES DOS SANTOS, PROFA.</t>
  </si>
  <si>
    <t>RUA CEL ARLINDO DE OLIVEIRA</t>
  </si>
  <si>
    <t>PARQUE ALTO RIO BONITO</t>
  </si>
  <si>
    <t>41830-7</t>
  </si>
  <si>
    <t>MARIA MADALENA DE MORAES</t>
  </si>
  <si>
    <t>DAIANE SILVINA DA CRUZ</t>
  </si>
  <si>
    <t>VANDA MARIA RODRIGUES DOS SANTOS, PROFA.</t>
  </si>
  <si>
    <t>CEI - PARQUE BOTURUSSU</t>
  </si>
  <si>
    <t>CEI PARQUE BOTURUSSU</t>
  </si>
  <si>
    <t>RUA JOÃO ANTONIO DE ANDRADE</t>
  </si>
  <si>
    <t>CAROLINA LOPES LAGÔAS</t>
  </si>
  <si>
    <t>ROSEMEIRE BARBOZA DA SILVA LIMA</t>
  </si>
  <si>
    <t>CEI - PARQUE CASA DE PEDRA</t>
  </si>
  <si>
    <t>CEI PARQUE CASA DE PEDRA</t>
  </si>
  <si>
    <t>ceipcpedra@prefeitura.sp.gov.br</t>
  </si>
  <si>
    <t>15.404-0</t>
  </si>
  <si>
    <t>WANDERLY GARCIA BARUEL</t>
  </si>
  <si>
    <t>ALICE FABIANA MARTINS</t>
  </si>
  <si>
    <t>PARQUE CASA DE PEDRA</t>
  </si>
  <si>
    <t>CEI - PARQUE COCAIA</t>
  </si>
  <si>
    <t>CEI PARQUE COCAIA</t>
  </si>
  <si>
    <t>RUA TAVAREDE</t>
  </si>
  <si>
    <t>41772-6</t>
  </si>
  <si>
    <t>CEI - PARQUE DAS PAINEIRAS</t>
  </si>
  <si>
    <t>CEI PARQUE DAS PAINEIRAS</t>
  </si>
  <si>
    <t>9.220-7</t>
  </si>
  <si>
    <t>PARQUE DAS PAINEIRAS</t>
  </si>
  <si>
    <t>CEI - PARQUE FERNANDA</t>
  </si>
  <si>
    <t>RUA ANTONIO FORLENZA</t>
  </si>
  <si>
    <t>21.411-6</t>
  </si>
  <si>
    <t>RENATA RAMOS</t>
  </si>
  <si>
    <t>marisadepaulaesteves@prefeitura.sp.gov.br</t>
  </si>
  <si>
    <t>CEI - PARQUE FIGUEIRA GRANDE</t>
  </si>
  <si>
    <t>ceipfgrande@prefeitura.sp.gov.br</t>
  </si>
  <si>
    <t>RUA PEDRO COSTA FALEIROS</t>
  </si>
  <si>
    <t>PARQUE FIGUEIRA GRANDE</t>
  </si>
  <si>
    <t>46546-1</t>
  </si>
  <si>
    <t>ANGELA SILVA DOS SANTOS LUZ</t>
  </si>
  <si>
    <t>CEI - PARQUE FONGARO</t>
  </si>
  <si>
    <t>CEI PARQUE FONGARO</t>
  </si>
  <si>
    <t>RUA JOAQUIM GONÇALVES ANDRADE</t>
  </si>
  <si>
    <t>PARQUE FONGARO</t>
  </si>
  <si>
    <t>16.151-9</t>
  </si>
  <si>
    <t>Ana Carolina Neuma Costa</t>
  </si>
  <si>
    <t>CEI - PARQUE GRAJAU</t>
  </si>
  <si>
    <t>CEI PARQUE GRAJAU II</t>
  </si>
  <si>
    <t>RUA JONATAS SERRANO</t>
  </si>
  <si>
    <t>41787-4</t>
  </si>
  <si>
    <t>MARCIA CRISTINA BISPO REIS</t>
  </si>
  <si>
    <t>CEI - PARQUE GUARANI</t>
  </si>
  <si>
    <t>CEI PARQUE GUARANI</t>
  </si>
  <si>
    <t>ceipguarani@prefeitura.sp.gov.br</t>
  </si>
  <si>
    <t>VILA JACUI</t>
  </si>
  <si>
    <t>11616-5</t>
  </si>
  <si>
    <t>IONE FERREIRA DIAS</t>
  </si>
  <si>
    <t>CEI - PARQUE NOVA SANTO AMARO</t>
  </si>
  <si>
    <t>ceipnsamaro@prefeitura.sp.gov.br</t>
  </si>
  <si>
    <t>RUA PADRE MARCELINO DUARTE</t>
  </si>
  <si>
    <t>ARIANE RODRIGUES DE ASSIS</t>
  </si>
  <si>
    <t>SERGIO JACINTO DA SILVA</t>
  </si>
  <si>
    <t>PARQUE NOVA SANTO AMARO</t>
  </si>
  <si>
    <t>CEI - PARQUE NOVO MUNDO</t>
  </si>
  <si>
    <t>CEI PARQUE NOVO MUNDO</t>
  </si>
  <si>
    <t>ceipanmundo@prefeitura.sp.gov.br</t>
  </si>
  <si>
    <t>RUA SD FRANCISCO FRANCO</t>
  </si>
  <si>
    <t>20.184-7</t>
  </si>
  <si>
    <t>JULIANA GEROLDE GAVA</t>
  </si>
  <si>
    <t>ADRIANA CARDELLI</t>
  </si>
  <si>
    <t>CEI - PARQUE REGINA</t>
  </si>
  <si>
    <t>RUA INACIO MANOEL TOURINHO</t>
  </si>
  <si>
    <t>7.633-3</t>
  </si>
  <si>
    <t>LAURA MARIA PEREIRA DE MARAIS</t>
  </si>
  <si>
    <t>ceiparegina@preefeitura.sp.gov.br</t>
  </si>
  <si>
    <t>CEI - MARIA DO CARMO PAZOS FERNANDEZ - MADU, PROFA.</t>
  </si>
  <si>
    <t>CEI MARIA DO CARMO PAZOS FERNANDES - MADU, PROFª</t>
  </si>
  <si>
    <t>JOSÉ DA FONSECA NADAES</t>
  </si>
  <si>
    <t>18.453-5</t>
  </si>
  <si>
    <t>MIRIAM CRISTINA ALVES NICOLAI</t>
  </si>
  <si>
    <t>ROSELI COSTA MOREIRA GOMES DOS SANTOS</t>
  </si>
  <si>
    <t>MARIA DO CARMO PAZOS FERNANDEZ - MADU, PROFA.</t>
  </si>
  <si>
    <t>CEI - DORALICE PEREIRA DE SOUZA LEONARDO</t>
  </si>
  <si>
    <t>CEI PARQUE SANTA AMELIA</t>
  </si>
  <si>
    <t>AV. RIO MIRIVAI</t>
  </si>
  <si>
    <t>PARQUE SANTA AMÉLIA</t>
  </si>
  <si>
    <t>28095-X</t>
  </si>
  <si>
    <t>ELISANGELA RODRIGUES CHAGAS</t>
  </si>
  <si>
    <t>DORALICE PEREIRA DE SOUZA LEONARDO</t>
  </si>
  <si>
    <t>CEI - PARQUE SANTA MADALENA</t>
  </si>
  <si>
    <t xml:space="preserve">CEI PARQUE SANTA MADALENA </t>
  </si>
  <si>
    <t>AVENIDA DR.  PAULO COLOMBO P. DE QUEIROZ</t>
  </si>
  <si>
    <t>20704-7</t>
  </si>
  <si>
    <t xml:space="preserve">SANDRA REGINA SOUZA BATISTA </t>
  </si>
  <si>
    <t>UDEMIA LUIZ SILVA DE CARVALHO</t>
  </si>
  <si>
    <t>CEI - PARQUE SANTA MARGARIDA</t>
  </si>
  <si>
    <t>RUA CAPAO REDONDO</t>
  </si>
  <si>
    <t>JARDIM S. MARGARIDA</t>
  </si>
  <si>
    <t>7632-5</t>
  </si>
  <si>
    <t>IRENE FERREIRA DA SILVA</t>
  </si>
  <si>
    <t>vandasj2006@yahoo.com.br</t>
  </si>
  <si>
    <t>ANA CLAUDIA TEIXEIRA DE PIERRE</t>
  </si>
  <si>
    <t>PARQUE SANTA MARGARIDA</t>
  </si>
  <si>
    <t>CEI - PARQUE SANTA RITA</t>
  </si>
  <si>
    <t>CEI PARQUE SANTA RITA</t>
  </si>
  <si>
    <t>RUA MATEUS BARBOSA DE REZENDE</t>
  </si>
  <si>
    <t>51979-0</t>
  </si>
  <si>
    <t>MIRIAM SOARES DE SOUZA</t>
  </si>
  <si>
    <t>CEI - PARQUE SANTO ANTONIO</t>
  </si>
  <si>
    <t>ceipsantonio@prefeitura.sp.gov.br</t>
  </si>
  <si>
    <t>MARINALVA CONCEIÇÃO DOMINGUES</t>
  </si>
  <si>
    <t>MARIA APARECIDA DE LIRA GONÇALVES</t>
  </si>
  <si>
    <t>CEI - PARQUE SAO RAFAEL II</t>
  </si>
  <si>
    <t xml:space="preserve">CEI PARQUE SAO RAFAEL II </t>
  </si>
  <si>
    <t>RUA SENADOR FILINTO MULLER</t>
  </si>
  <si>
    <t>30687-8</t>
  </si>
  <si>
    <t>ANA CAROLINA OLIVEIRA DA SILVA</t>
  </si>
  <si>
    <t>bmjacks@uol.com.br</t>
  </si>
  <si>
    <t>ALESSANDRA DE SOUZA GUIMARÃES</t>
  </si>
  <si>
    <t>PARQUE SAO RAFAEL II</t>
  </si>
  <si>
    <t>CEI - PARQUE SAVOY CITY</t>
  </si>
  <si>
    <t>CEI PARQUE SAVOY CITY</t>
  </si>
  <si>
    <t>ceipscity@prefeitura.sp.gov.br</t>
  </si>
  <si>
    <t>RUA ESTEVÃO DIAS VERGARA</t>
  </si>
  <si>
    <t>19894-3</t>
  </si>
  <si>
    <t>DANIELE FERRARA PEREIRA</t>
  </si>
  <si>
    <t>CEI - PAULO CESAR FONTELLES DE LIMA</t>
  </si>
  <si>
    <t>CEI PAULO CESAR FONTELLES DE LIMA</t>
  </si>
  <si>
    <t>RUA JOÃO NERY DE CARVALHO</t>
  </si>
  <si>
    <t>VILA ROSÁRIA</t>
  </si>
  <si>
    <t>51758-5</t>
  </si>
  <si>
    <t>MARIA CONCEIÇÃO NOGUEIRA DA SILVA</t>
  </si>
  <si>
    <t>PAULO CESAR FONTELLES DE LIMA</t>
  </si>
  <si>
    <t>CEI - PAULO E ADMAR</t>
  </si>
  <si>
    <t>RUA REVERENDO PEIXOTO DA SILVA</t>
  </si>
  <si>
    <t>JARDIM ROSANA</t>
  </si>
  <si>
    <t>7.660-0</t>
  </si>
  <si>
    <t>geusavcoelho@hotmail.com</t>
  </si>
  <si>
    <t>PAULO E ADMAR</t>
  </si>
  <si>
    <t>CEI - PEDRO BRASIL BANDECCHI, VER.</t>
  </si>
  <si>
    <t>CEI VER. PEDRO BRASIL BANDECCHI</t>
  </si>
  <si>
    <t>ceipbbandecchi@prefeitura.sp.gov.br</t>
  </si>
  <si>
    <t>RUA MARIA AMÉLIA DE ASSUNÇÃO</t>
  </si>
  <si>
    <t>JARDIM ETELVINA</t>
  </si>
  <si>
    <t>19.727-0</t>
  </si>
  <si>
    <t>PAULO VIEIRA DE MELO</t>
  </si>
  <si>
    <t>MARCELO ALVES SANTOS</t>
  </si>
  <si>
    <t>PEDRO BRASIL BANDECCHI, VER.</t>
  </si>
  <si>
    <t>CEI - PENHA</t>
  </si>
  <si>
    <t>CEI PENHA</t>
  </si>
  <si>
    <t>RUA LEOPOLDO DE FREITAS</t>
  </si>
  <si>
    <t>VILA ESPERANÇA</t>
  </si>
  <si>
    <t>16.428-3</t>
  </si>
  <si>
    <t>MARIA PEREIRA DIAS</t>
  </si>
  <si>
    <t>CEI - O PEQUENO SEAREIRO</t>
  </si>
  <si>
    <t>CEI PEQUENO SEAREIRO</t>
  </si>
  <si>
    <t>PROF. CARLOS RIZZINI</t>
  </si>
  <si>
    <t>19.707-6</t>
  </si>
  <si>
    <t>RACHEL CHRISTINNE ANDREONI NETTO</t>
  </si>
  <si>
    <t>O PEQUENO SEAREIRO</t>
  </si>
  <si>
    <t>CEI - RAUL TABAJARA VIDIGAL LEITAO, VER.</t>
  </si>
  <si>
    <t>CEI RAUL TABAJARA VIDIGAL LEITÃO, VER.</t>
  </si>
  <si>
    <t>JOSÉ ESTEVÃO DE MAGALHAES</t>
  </si>
  <si>
    <t>73.313-X</t>
  </si>
  <si>
    <t>NEREIDA MOTTA GIORGI REIS</t>
  </si>
  <si>
    <t>MAITE THAIS DE OLIVEIRA JOAQUIM</t>
  </si>
  <si>
    <t>RAUL TABAJARA VIDIGAL LEITAO, VER.</t>
  </si>
  <si>
    <t>CEI - RENATO ANTONIO CHECCHIA, VER.</t>
  </si>
  <si>
    <t>CEI RENATO A. CHECCHIA</t>
  </si>
  <si>
    <t>RUA BLUMENAU</t>
  </si>
  <si>
    <t>VILA LEOPOLDINA</t>
  </si>
  <si>
    <t>VILA LEPOLDINA</t>
  </si>
  <si>
    <t>15620-5</t>
  </si>
  <si>
    <t>ceiracheccia@pref.sp.gov.br</t>
  </si>
  <si>
    <t>RENATO ANTONIO CHECCHIA, VER.</t>
  </si>
  <si>
    <t>CEI - ROBERTO ARANTES LANHOSO</t>
  </si>
  <si>
    <t>CEI ROBERTO ARANTES LANHOSO</t>
  </si>
  <si>
    <t>ceiralanhoso@prefeitura.sp.gov.br</t>
  </si>
  <si>
    <t>RUA SARAH NEWTON</t>
  </si>
  <si>
    <t>JARDIM BOA  VISTA</t>
  </si>
  <si>
    <t>16.032-6</t>
  </si>
  <si>
    <t>ELAINE FREITAS</t>
  </si>
  <si>
    <t>DALVA DONIZETI LEPRES</t>
  </si>
  <si>
    <t>ROBERTO ARANTES LANHOSO</t>
  </si>
  <si>
    <t>CEI - ROBERTO GOMES PEDROSA, VER.</t>
  </si>
  <si>
    <t xml:space="preserve">CEI VEREADOR ROBERTO GOMES PEDROSA </t>
  </si>
  <si>
    <t>RUA BORGES DE MEDEIROS</t>
  </si>
  <si>
    <t>VILA FATIMA</t>
  </si>
  <si>
    <t>20066-2</t>
  </si>
  <si>
    <t>MARIANA DIAS FONSECA</t>
  </si>
  <si>
    <t>inesasp@hotmail.com</t>
  </si>
  <si>
    <t>KARINA NASCIMENTO DE ARAÚJO</t>
  </si>
  <si>
    <t>ROBERTO GOMES PEDROSA, VER.</t>
  </si>
  <si>
    <t>CEI - RUBENS GRANJA, VER.</t>
  </si>
  <si>
    <t>CEI RUBENS GRANJA, VER.</t>
  </si>
  <si>
    <t>SANTA CRUZ DO RIO PRADO</t>
  </si>
  <si>
    <t>23.427-3</t>
  </si>
  <si>
    <t>TATIANA SANTANA COELHO</t>
  </si>
  <si>
    <t>CYNTHYA BICUDO SIQUEIRA FERREIRA</t>
  </si>
  <si>
    <t>RUBENS GRANJA, VER.</t>
  </si>
  <si>
    <t>CEI - SALVADOR LO TURCO</t>
  </si>
  <si>
    <t>CEI SALVADOR LO TURCO</t>
  </si>
  <si>
    <t>ceisloturco@prefeitura.sp.gov.br</t>
  </si>
  <si>
    <t>RUA EUZÉBIO DE PAULA MARCONDES</t>
  </si>
  <si>
    <t>71.552-2</t>
  </si>
  <si>
    <t>ENI HERINGER DE MELO OLIVEIRA</t>
  </si>
  <si>
    <t>VIVIANE PEREIRA DO NASCIMENTO</t>
  </si>
  <si>
    <t>SALVADOR LO TURCO</t>
  </si>
  <si>
    <t>CEI - SAMIR RACHID SALIBA</t>
  </si>
  <si>
    <t>CEI SAMIR RACHID SALIBA</t>
  </si>
  <si>
    <t>RUA SERRA DE BOTUCATU</t>
  </si>
  <si>
    <t>29.368-7</t>
  </si>
  <si>
    <t>ELIETE APARECIDA FADEL</t>
  </si>
  <si>
    <t>SAMIR RACHID SALIBA</t>
  </si>
  <si>
    <t>CEI - SANTA BARBARA</t>
  </si>
  <si>
    <t>CEI SANTA BARBARA</t>
  </si>
  <si>
    <t>19.890-0</t>
  </si>
  <si>
    <t>SANDRA ALVES DA SILVA DE CARVALHO</t>
  </si>
  <si>
    <t>s-alves1970@bol.com.br</t>
  </si>
  <si>
    <t>SANTA BARBARA</t>
  </si>
  <si>
    <t>CEI - MARIA AUGUSTA DE PAULA, PROFA.</t>
  </si>
  <si>
    <t>CEI MARIA AUGUSTA DE PAULA</t>
  </si>
  <si>
    <t>30.884-6</t>
  </si>
  <si>
    <t>DINAERTE DE ASSIS JUNIOR</t>
  </si>
  <si>
    <t>CAMILA CURTI</t>
  </si>
  <si>
    <t>MARIA AUGUSTA DE PAULA, PROFA.</t>
  </si>
  <si>
    <t>CEI - SAO JORGE ARPOADOR</t>
  </si>
  <si>
    <t>CEI JARDIM SÃO JORGE ARPOADOR</t>
  </si>
  <si>
    <t>ceisjarpoador@prefeitura.sp.gov.br</t>
  </si>
  <si>
    <t>16.027-X</t>
  </si>
  <si>
    <t>GEUSA VOLITE COELHO</t>
  </si>
  <si>
    <t>YASMIM DE TOLEDO CRUZ BINI</t>
  </si>
  <si>
    <t>SAO JORGE ARPOADOR</t>
  </si>
  <si>
    <t>CEI - SAO LUIZ</t>
  </si>
  <si>
    <t>CEI SÃO LUIZ</t>
  </si>
  <si>
    <t>RUA IRMÃO NICOLAU DA FONSECA</t>
  </si>
  <si>
    <t>COHAB I - PE. MANOEL DA NÓBREGA</t>
  </si>
  <si>
    <t>19.946-X</t>
  </si>
  <si>
    <t>MAGDA EDGMAR RODRIGUES ROCHA</t>
  </si>
  <si>
    <t>magdaedgmar@ig.com.br</t>
  </si>
  <si>
    <t>SAO LUIZ</t>
  </si>
  <si>
    <t>CEI - SILVIA COVAS</t>
  </si>
  <si>
    <t>CEI SILVIA COVAS</t>
  </si>
  <si>
    <t>PRAÇA  JOSE VICENTE NOBREGA</t>
  </si>
  <si>
    <t>16.573-5</t>
  </si>
  <si>
    <t>mariaajaj@prefeitura.sp.gov.br</t>
  </si>
  <si>
    <t>Helsink Cristina de Moraes</t>
  </si>
  <si>
    <t>SILVIA COVAS</t>
  </si>
  <si>
    <t>CEI - SOLEDAD BARRET VIEDMA</t>
  </si>
  <si>
    <t>CEI SOLEDAD BARRET VIEDMA</t>
  </si>
  <si>
    <t>113.076-5</t>
  </si>
  <si>
    <t>SIMONE FANTON PAPIANI GOSMANO</t>
  </si>
  <si>
    <t>sifago@ig.com.br</t>
  </si>
  <si>
    <t>SOLEDAD BARRET VIEDMA</t>
  </si>
  <si>
    <t>CEI - SUZANA CAMPOS TAUIL</t>
  </si>
  <si>
    <t>CEI SUZANA CAMPOS TAUIL</t>
  </si>
  <si>
    <t>19.178-7</t>
  </si>
  <si>
    <t>csctauil@prefeitura.sp.com.br</t>
  </si>
  <si>
    <t>SUZANA CAMPOS TAUIL</t>
  </si>
  <si>
    <t>CEI - TANCREDO DE ALMEIDA NEVES, PRES.</t>
  </si>
  <si>
    <t>CEI - TANCREDO DE A. NEVES, PRES.</t>
  </si>
  <si>
    <t>ceitneves@prefeitura.sp.gov.br</t>
  </si>
  <si>
    <t>JARDIM MARIANE</t>
  </si>
  <si>
    <t>7785-2</t>
  </si>
  <si>
    <t>SIDINEIA DAS GRAÇAS LEÃO</t>
  </si>
  <si>
    <t>LUCIANA DOS ANJOS CARMO</t>
  </si>
  <si>
    <t>TANCREDO DE ALMEIDA NEVES, PRES.</t>
  </si>
  <si>
    <t>CEI - TEOTONIO VILELA</t>
  </si>
  <si>
    <t xml:space="preserve">CEI TEOTONIO VILELA </t>
  </si>
  <si>
    <t>20248-7</t>
  </si>
  <si>
    <t>JUSSANIA PERES</t>
  </si>
  <si>
    <t>CRISTIANO RODRIGO SIMÕES XAVIER</t>
  </si>
  <si>
    <t>TEOTONIO VILELA</t>
  </si>
  <si>
    <t>CEI - VELEIROS</t>
  </si>
  <si>
    <t>CEI VELEIROS</t>
  </si>
  <si>
    <t>AVENIDA IPANEMA</t>
  </si>
  <si>
    <t>41750-5</t>
  </si>
  <si>
    <t>ANA CRISTINA DE LIMA CAPELATO</t>
  </si>
  <si>
    <t>CEI - VICENTINA VELASCO, AS. SOCIAL</t>
  </si>
  <si>
    <t>CEI AS. SOCIAL VICENTINA VELASCO</t>
  </si>
  <si>
    <t>ceivvelasco@prefeitura.sp.gov.br</t>
  </si>
  <si>
    <t xml:space="preserve">TRAVESSA CASTRO PRADO </t>
  </si>
  <si>
    <t>21.500-7</t>
  </si>
  <si>
    <t>VICENTINA VELASCO, AS. SOCIAL</t>
  </si>
  <si>
    <t>CEI - CRISTINA, ME.</t>
  </si>
  <si>
    <t>CEI MADRE CRISTINA</t>
  </si>
  <si>
    <t>ceicristina@prefeitura.sp.gov.br</t>
  </si>
  <si>
    <t>RUA INÁCIO MAMMANA</t>
  </si>
  <si>
    <t>VILA VILA MAZZEI</t>
  </si>
  <si>
    <t>31.777-2</t>
  </si>
  <si>
    <t>RONALDO FRANCO DE MELO</t>
  </si>
  <si>
    <t>CRISTINA, ME.</t>
  </si>
  <si>
    <t>CEI - VILA BASILEIA</t>
  </si>
  <si>
    <t>CEI VILA BASILEIA</t>
  </si>
  <si>
    <t>ceivbasileia@prefeitura.sp.gov.br</t>
  </si>
  <si>
    <t>RUA DR. SOARES BRANDÃO FILHO</t>
  </si>
  <si>
    <t>VILA BASILÉIA</t>
  </si>
  <si>
    <t>31.771-3</t>
  </si>
  <si>
    <t>ANA PAULA MELIM SADAKANE</t>
  </si>
  <si>
    <t>MONICA BUENO DE OLIVEIRA</t>
  </si>
  <si>
    <t>VILA BASILEIA</t>
  </si>
  <si>
    <t>CEI - VILA BRASILANDIA</t>
  </si>
  <si>
    <t>CEI VILA BRASILANDIA</t>
  </si>
  <si>
    <t>RUA DOMINGOS VEJA</t>
  </si>
  <si>
    <t>37571-3</t>
  </si>
  <si>
    <t>CARLA SUELI QUERINO TEIXEIRA</t>
  </si>
  <si>
    <t>JOSEANE BOCALON</t>
  </si>
  <si>
    <t>CEI - VILA CALU</t>
  </si>
  <si>
    <t>ceivacalu@prefeitura.sp.gov.br</t>
  </si>
  <si>
    <t>V CALU</t>
  </si>
  <si>
    <t>35872-X</t>
  </si>
  <si>
    <t>ALDA HELENA DE SOUSA BRAGA SILVA</t>
  </si>
  <si>
    <t>CELSO FERREIRA</t>
  </si>
  <si>
    <t>CEI - VILA CARMOSINA</t>
  </si>
  <si>
    <t>CEI VILA CARMOSINA</t>
  </si>
  <si>
    <t>ceivcarmosina@prefeitura.sp.gov.br</t>
  </si>
  <si>
    <t>RUA WALDEMAR MANCINI</t>
  </si>
  <si>
    <t>52672-X</t>
  </si>
  <si>
    <t>ELAINE BARBOSA PEREIRA</t>
  </si>
  <si>
    <t>CEI - VILA CHUCA</t>
  </si>
  <si>
    <t>CEI VILA CHUCA</t>
  </si>
  <si>
    <t>ceivchuca@prefeitura.sp.gov.br</t>
  </si>
  <si>
    <t>RUA ANDRE BASILE</t>
  </si>
  <si>
    <t>VILA CHUCA</t>
  </si>
  <si>
    <t>52506-5</t>
  </si>
  <si>
    <t>LUCIANA REGINA DE P DA CUNHA</t>
  </si>
  <si>
    <t>CEI - MARIA DA GLORIA FREIRE LEMOS</t>
  </si>
  <si>
    <t>CEI MARIA DA GLÓRIA FREIRE LEMOS</t>
  </si>
  <si>
    <t>RUA AIQUARA</t>
  </si>
  <si>
    <t>17.296-0</t>
  </si>
  <si>
    <t>LIDIANE SIMÃO DA SILVA</t>
  </si>
  <si>
    <t>MARCELA TATIANA PAROLLO</t>
  </si>
  <si>
    <t>MARIA DA GLORIA FREIRE LEMOS</t>
  </si>
  <si>
    <t>CEI - ANGELA MARIA FERNANDES</t>
  </si>
  <si>
    <t>CEI ANGELA MARIA FERNANDES</t>
  </si>
  <si>
    <t>CABO ALFREDO CLEMENTE</t>
  </si>
  <si>
    <t>71.642-1</t>
  </si>
  <si>
    <t>MARIZUL SIMAS VIEIRA</t>
  </si>
  <si>
    <t>ONICLEIDE VIANA DIAS</t>
  </si>
  <si>
    <t>ANGELA MARIA FERNANDES</t>
  </si>
  <si>
    <t>CEI - VILA CONSTANCA</t>
  </si>
  <si>
    <t>CEI VILA CONSTANÇA</t>
  </si>
  <si>
    <t>31.761-6</t>
  </si>
  <si>
    <t>MARIA ELISA NOVOA DOBARCO RAPOSEIRAS</t>
  </si>
  <si>
    <t>ceivila constanc@prefeitura.sp.gov.br</t>
  </si>
  <si>
    <t>VILA CONSTANCA</t>
  </si>
  <si>
    <t>CEI - VILA CONSTANCIA</t>
  </si>
  <si>
    <t>CEI VILA CONSTÂNCIA</t>
  </si>
  <si>
    <t>RUA DR. SAUL DE CAMARGO NEVES</t>
  </si>
  <si>
    <t>VILA CONSTÂNCIA</t>
  </si>
  <si>
    <t>17.125-5</t>
  </si>
  <si>
    <t>JULIANNI GUERRA CAROLINO</t>
  </si>
  <si>
    <t>VILA CONSTANCIA</t>
  </si>
  <si>
    <t>CEI - PALMIRA DOS SANTOS ABRANTE</t>
  </si>
  <si>
    <t>CEI PALMIRA DOS SANTOS ABRANTE</t>
  </si>
  <si>
    <t>FRANCISCO DE ALVARENGA</t>
  </si>
  <si>
    <t>71.640-5</t>
  </si>
  <si>
    <t>ADRIANA DE MELO CHAVES</t>
  </si>
  <si>
    <t>PALMIRA DOS SANTOS ABRANTE</t>
  </si>
  <si>
    <t>CEI - VILA ERNESTINA</t>
  </si>
  <si>
    <t>CEI VILA ERNESTINA</t>
  </si>
  <si>
    <t>PROF GUILHERME BELFORT SABINO</t>
  </si>
  <si>
    <t>18.360-1</t>
  </si>
  <si>
    <t>MARCIA HELENA GARGUILO KRAUSE</t>
  </si>
  <si>
    <t>CLEIDE ARAUJO CARDILLI</t>
  </si>
  <si>
    <t>VILA ERNESTINA</t>
  </si>
  <si>
    <t>CEI - VILA GUSTAVO</t>
  </si>
  <si>
    <t>CEI VILA GUSTAVO</t>
  </si>
  <si>
    <t>RUA JOÃO ROSA</t>
  </si>
  <si>
    <t>VILA NIVI</t>
  </si>
  <si>
    <t>31.774-8</t>
  </si>
  <si>
    <t>MARIA CECILIA AMARAL DE ROSA</t>
  </si>
  <si>
    <t>ceiv.gustavo@prefeitura.sp.gov.br</t>
  </si>
  <si>
    <t>LEANDRO GOMES MOLINA</t>
  </si>
  <si>
    <t>CEI - VILA IMPERIO</t>
  </si>
  <si>
    <t>CEI VILA IMPERIO</t>
  </si>
  <si>
    <t>CARAXUES</t>
  </si>
  <si>
    <t>17.587-0</t>
  </si>
  <si>
    <t>JULIA MARIA DE SOUZA</t>
  </si>
  <si>
    <t>VILA IMPERIO</t>
  </si>
  <si>
    <t>CEI - VILA LIBANESA</t>
  </si>
  <si>
    <t>CEI VILA LIBANESA</t>
  </si>
  <si>
    <t>RUA ARPOAR</t>
  </si>
  <si>
    <t>JARDIM GONZAGA</t>
  </si>
  <si>
    <t>16.502-6</t>
  </si>
  <si>
    <t>MARISA DE ALMEIDA PEDROSO DIZ</t>
  </si>
  <si>
    <t>CEI - DOMINGOS RUFINO DE SOUZA</t>
  </si>
  <si>
    <t>CEI DOMINGOS RUFINO DE SOUZA</t>
  </si>
  <si>
    <t>NAVARRA</t>
  </si>
  <si>
    <t>17.546-3</t>
  </si>
  <si>
    <t>DOMINGOS RUFINO DE SOUZA</t>
  </si>
  <si>
    <t>CEI - VILA MISSIONARIA</t>
  </si>
  <si>
    <t>CEI VILA MISSIONARIA</t>
  </si>
  <si>
    <t>21.047-1</t>
  </si>
  <si>
    <t>AUDENI MARIA OLIVEIRA FERNANDES</t>
  </si>
  <si>
    <t>DANUBIA ALVES DE SOUZA LIMA</t>
  </si>
  <si>
    <t>VILA MISSIONARIA</t>
  </si>
  <si>
    <t>CEI - VILA PENTEADO</t>
  </si>
  <si>
    <t>CEI VILA PENTEADO</t>
  </si>
  <si>
    <t>RUA LUIS JOSE JUNQUEIRA FREIRE</t>
  </si>
  <si>
    <t>VILA PENTEADO</t>
  </si>
  <si>
    <t>37898-4</t>
  </si>
  <si>
    <t>RITA DE CASSIA ZOLESI SOUZA</t>
  </si>
  <si>
    <t>CEI - VILA PERUS</t>
  </si>
  <si>
    <t>CEI VILA PERUS</t>
  </si>
  <si>
    <t>ceivaperus@prefeitura.sp.gov.br</t>
  </si>
  <si>
    <t>RUA GONÇALVES DE ANDRADE</t>
  </si>
  <si>
    <t>113.283-0</t>
  </si>
  <si>
    <t>VILA PERUS</t>
  </si>
  <si>
    <t>CEI - VILA PRADO</t>
  </si>
  <si>
    <t>CEI VILA PRADO</t>
  </si>
  <si>
    <t>RUA QUARTIN BARBOSA</t>
  </si>
  <si>
    <t>10048-X</t>
  </si>
  <si>
    <t>VILA PRADO</t>
  </si>
  <si>
    <t>CEI - VILA PRAIA</t>
  </si>
  <si>
    <t>ceivapraia@prefeitura.sp.gov.br</t>
  </si>
  <si>
    <t>RUA ANTONIO GARCIA MOYA</t>
  </si>
  <si>
    <t>7772-0</t>
  </si>
  <si>
    <t>JULIANA MARA MENDES</t>
  </si>
  <si>
    <t>RENATA DE FELICE DEL MONTE</t>
  </si>
  <si>
    <t>VILA PRAIA</t>
  </si>
  <si>
    <t>CEI - VILA PROGRESSO</t>
  </si>
  <si>
    <t>CEI VILA PROGRESSO</t>
  </si>
  <si>
    <t>RUA SUZANA DE MELO</t>
  </si>
  <si>
    <t>51740-2</t>
  </si>
  <si>
    <t>ADRIANO MENDANHA</t>
  </si>
  <si>
    <t>FABIO DE SOUZA BARBOSA</t>
  </si>
  <si>
    <t>CEI - VILA RAMOS</t>
  </si>
  <si>
    <t>CEI VILA RAMOS</t>
  </si>
  <si>
    <t>ceivramos@prefeitura.sp.gov.br</t>
  </si>
  <si>
    <t>RUA LARANJA DE NATAL</t>
  </si>
  <si>
    <t>52881-1</t>
  </si>
  <si>
    <t>CECILIA MARA VENTURA DA COSTA</t>
  </si>
  <si>
    <t>VILA RAMOS</t>
  </si>
  <si>
    <t>CEI - VILA SALETE</t>
  </si>
  <si>
    <t>CEI VILA SALETE</t>
  </si>
  <si>
    <t>TRAVESSA COATIMIRIM</t>
  </si>
  <si>
    <t>16.360-0</t>
  </si>
  <si>
    <t>DOMINGAS APARECIDA DE SOUSA</t>
  </si>
  <si>
    <t>VILA SALETE</t>
  </si>
  <si>
    <t>CEI - VILA SANTA INES</t>
  </si>
  <si>
    <t>CEI VILA SANTA INÊS</t>
  </si>
  <si>
    <t>RUA RAINHA DO BOSQUE</t>
  </si>
  <si>
    <t>51748-8</t>
  </si>
  <si>
    <t>CRISTIANE RIBEIRO PAARMANN</t>
  </si>
  <si>
    <t>ANNE CAROLINE MOREIRA DOMINGOS</t>
  </si>
  <si>
    <t>VILA SANTA INES</t>
  </si>
  <si>
    <t>CEI - SANTA TERESA</t>
  </si>
  <si>
    <t>CEI SANTA TERESA</t>
  </si>
  <si>
    <t>RUA CLAUDIO FERREIRA MANOEL</t>
  </si>
  <si>
    <t>VILA LIVIEIRO</t>
  </si>
  <si>
    <t>15.696-5</t>
  </si>
  <si>
    <t>silvanamaria@prefeitura.sp.gov.br</t>
  </si>
  <si>
    <t>SANTA TERESA</t>
  </si>
  <si>
    <t>CEI - VILA SANTA TERESINHA</t>
  </si>
  <si>
    <t>CEI VL SANTA TEREZINHA</t>
  </si>
  <si>
    <t>ceivsterezinha@prefeitura.sp.gov.br</t>
  </si>
  <si>
    <t>RUA MAJOR VITORINO DE SOUZA ROCHA</t>
  </si>
  <si>
    <t>VILA SANTA TEREZINHA</t>
  </si>
  <si>
    <t>20075-1</t>
  </si>
  <si>
    <t>MICHELE ALENCAR DA SILVA ZONTA</t>
  </si>
  <si>
    <t>VILA SANTA TERESINHA</t>
  </si>
  <si>
    <t>CEI - VILA SAO FRANCISCO</t>
  </si>
  <si>
    <t>CEI VILA SÃO FRANCISCO</t>
  </si>
  <si>
    <t>PRAÇA DÉLIO DE CARVALHO</t>
  </si>
  <si>
    <t>14.668-4</t>
  </si>
  <si>
    <t>ROSEMEIRE BATISTA DO NASCIMENTO</t>
  </si>
  <si>
    <t>VILA SAO FRANCISCO</t>
  </si>
  <si>
    <t>CEI - CELIA REGINA KUHL, PROFA.</t>
  </si>
  <si>
    <t>CEI PROFA CELIA REGINA KUHL</t>
  </si>
  <si>
    <t>ceicregina@prefeitura.sp.gov.br</t>
  </si>
  <si>
    <t>RUA CAETANO TEIXEIRA</t>
  </si>
  <si>
    <t>JARDIM V BIANÇA</t>
  </si>
  <si>
    <t>31.793-4</t>
  </si>
  <si>
    <t>MARIA APARECIDA BISPO DE OLIVEIRA</t>
  </si>
  <si>
    <t>MARLUCIA EUGENIA DE LIMA</t>
  </si>
  <si>
    <t>CELIA REGINA KUHL, PROFA.</t>
  </si>
  <si>
    <t>CEI - WILSON JOSE ABDALLA</t>
  </si>
  <si>
    <t>CEI WILSON JOSE ABDALLA</t>
  </si>
  <si>
    <t>ceiwjabdalla@prefeitura.sp.gov.br</t>
  </si>
  <si>
    <t>R Anhaia</t>
  </si>
  <si>
    <t>110.647-3</t>
  </si>
  <si>
    <t>WILSON JOSE ABDALLA</t>
  </si>
  <si>
    <t>CEI - YOJIRO TAKAOKA</t>
  </si>
  <si>
    <t>CEI YOJIRO TAKAOKA</t>
  </si>
  <si>
    <t>AVENIDA LOURENÇO CABREIRA</t>
  </si>
  <si>
    <t>23548-2</t>
  </si>
  <si>
    <t>ANDREIA CECÍLIA NASCIMENTO MELLO</t>
  </si>
  <si>
    <t>YOJIRO TAKAOKA</t>
  </si>
  <si>
    <t>CEI - YVONE LEMOS DE ALMEIDA FRAGA</t>
  </si>
  <si>
    <t>CEI PROFª YVONE LEMOS DE ALMEIDA FRAGA</t>
  </si>
  <si>
    <t>ceiylafraga@prefeitura.sp.gov.br</t>
  </si>
  <si>
    <t>RUA NEY GONZAGA DE LACERDA</t>
  </si>
  <si>
    <t>23.453-2</t>
  </si>
  <si>
    <t>ANA Mª FALCÃO BRANCO</t>
  </si>
  <si>
    <t>YVONE LEMOS DE ALMEIDA FRAGA</t>
  </si>
  <si>
    <t>CEI - YVONE MALUHY JOSEPF SABGA</t>
  </si>
  <si>
    <t>CEI YVONNE MALUHY JOSEPH SABGA</t>
  </si>
  <si>
    <t>ceiymjsabga@prefeitura.sp.gov.br</t>
  </si>
  <si>
    <t>RUA ROSÁRIA ANA BARBOSA</t>
  </si>
  <si>
    <t>13.628-X</t>
  </si>
  <si>
    <t>DENISE DE FREITAS MANGUINO GROTKOWSKI</t>
  </si>
  <si>
    <t>MARLENE DE JESUS SANTOS OLIVEIRA</t>
  </si>
  <si>
    <t>YVONE MALUHY JOSEPF SABGA</t>
  </si>
  <si>
    <t>CEI - ZACARIA MAURO FACCIO GONCALVES</t>
  </si>
  <si>
    <t>CEI ZACARIA MAURO FACCIO GONÇALVES</t>
  </si>
  <si>
    <t>RUA CAVALEIRO DE JORGE</t>
  </si>
  <si>
    <t>20.733-0</t>
  </si>
  <si>
    <t>REGINALDO PACHECO DA SILVA</t>
  </si>
  <si>
    <t>ZACARIA MAURO FACCIO GONCALVES</t>
  </si>
  <si>
    <t>CEI - ROSA SABAG ADDAS</t>
  </si>
  <si>
    <t>CEI ROSA SABAG ADDAS</t>
  </si>
  <si>
    <t>RUA VISCONDE DE ALJEZUR</t>
  </si>
  <si>
    <t>VILA JUREMA</t>
  </si>
  <si>
    <t>28126-3</t>
  </si>
  <si>
    <t>LUCIMAR AMARAL MONTEIRO</t>
  </si>
  <si>
    <t>MARCO ANTONIO DE LIMA</t>
  </si>
  <si>
    <t>ROSA SABAG ADDAS</t>
  </si>
  <si>
    <t>CEI - CIDADE DE GENEBRA</t>
  </si>
  <si>
    <t>CEI CIDADE DE GENEBRA</t>
  </si>
  <si>
    <t>ceicgenebra@prefeitura.sp.gov.br</t>
  </si>
  <si>
    <t>71.558-1</t>
  </si>
  <si>
    <t>PATRÍCIA SANTOS QUEIROZ DE MORAES</t>
  </si>
  <si>
    <t>THAIS ATALIBA AZIZ KANJ</t>
  </si>
  <si>
    <t>CIDADE DE GENEBRA</t>
  </si>
  <si>
    <t>CEI - NICOLAI NICOLAEVICH KOCHERGIN</t>
  </si>
  <si>
    <t>CEI NICOLAI NICOLAEVICH KOCHERGIN</t>
  </si>
  <si>
    <t>RUA JOSÉ FRANCISCO DE MORAES</t>
  </si>
  <si>
    <t>23543-1</t>
  </si>
  <si>
    <t>LUCY VIEIRA</t>
  </si>
  <si>
    <t>NICOLAI NICOLAEVICH KOCHERGIN</t>
  </si>
  <si>
    <t>CEI - GUILHERME HENRIQUE PINTO COELHO</t>
  </si>
  <si>
    <t>CEI GUILHERME HENRIQUE PINTO COELHO</t>
  </si>
  <si>
    <t>RUA DOS PIONEIROS</t>
  </si>
  <si>
    <t>37672-8</t>
  </si>
  <si>
    <t>JULIANA JARDIM BOAVENTURA</t>
  </si>
  <si>
    <t>GUILHERME HENRIQUE PINTO COELHO</t>
  </si>
  <si>
    <t>CEI - MARIELCIA FLORENCIO DE MORAIS, PROFA.</t>
  </si>
  <si>
    <t>CEI PROFª MARIELCIA FLORENCIO DE MORAES</t>
  </si>
  <si>
    <t>ceimarielcia@prefeitura.sp.gov.br</t>
  </si>
  <si>
    <t>RUA CRISTIANO LOBE</t>
  </si>
  <si>
    <t>8.325-9</t>
  </si>
  <si>
    <t>ELIANA DA COSTA SAMARTIN</t>
  </si>
  <si>
    <t>MARIELCIA FLORENCIO DE MORAIS, PROFA.</t>
  </si>
  <si>
    <t>CEI - MARIO PEREIRA COSTA, PROF.</t>
  </si>
  <si>
    <t>CEI PROFESSOR MARIO PEREIRA COSTA</t>
  </si>
  <si>
    <t>8.310-0</t>
  </si>
  <si>
    <t>VIRGINIA APARECIDA VICENTE</t>
  </si>
  <si>
    <t>MARIO PEREIRA COSTA, PROF.</t>
  </si>
  <si>
    <t>CEI - MARIA CONCEICAO MONTEIRO AYRES, PROFA.</t>
  </si>
  <si>
    <t>CEI MARIA CONCEIÇÃO MONTEIRO AYRES</t>
  </si>
  <si>
    <t>mcmayres@prefeitura.sp.gov.br</t>
  </si>
  <si>
    <t>AV.DR.GUILHERME DE ABREU SODRÉ</t>
  </si>
  <si>
    <t>16.396-1</t>
  </si>
  <si>
    <t>STEPHANINI LOPES DA SILVA</t>
  </si>
  <si>
    <t>MARIA CONCEICAO MONTEIRO AYRES, PROFA.</t>
  </si>
  <si>
    <t>CEI - ADHEMAR FERREIRA DA SILVA</t>
  </si>
  <si>
    <t>CEI ADHEMAR FERREIRA DA SILVA</t>
  </si>
  <si>
    <t>ceiafsilva@prefeitura.sp.gov.br</t>
  </si>
  <si>
    <t>RUA ANTONIO CARLOS M. LOPESS/N</t>
  </si>
  <si>
    <t>COHAB BARRO BRANCO II</t>
  </si>
  <si>
    <t>19.860-9</t>
  </si>
  <si>
    <t>TABITA DE SOUZA BATISTA SILVA</t>
  </si>
  <si>
    <t>ADHEMAR FERREIRA DA SILVA</t>
  </si>
  <si>
    <t>CEI - GOITI</t>
  </si>
  <si>
    <t>CEI GOITI</t>
  </si>
  <si>
    <t>ceigoiti@prefeitura.sp.gov.br</t>
  </si>
  <si>
    <t>9276-2</t>
  </si>
  <si>
    <t>MONICA BARBOSA SILVA GUIMARAES</t>
  </si>
  <si>
    <t>GOITI</t>
  </si>
  <si>
    <t>CEI CEU - WALTER DE ANDRADE, PROF.</t>
  </si>
  <si>
    <t>CEU CEI PROFESSOR WALTER DE ANDRADE</t>
  </si>
  <si>
    <t>44.731-5</t>
  </si>
  <si>
    <t>WALTER DE ANDRADE, PROF.</t>
  </si>
  <si>
    <t>CEI - BALNEARIO MAR PAULISTA</t>
  </si>
  <si>
    <t>CEI BALNEARIO MAR PAULISTA</t>
  </si>
  <si>
    <t>MATSUICHI WADA</t>
  </si>
  <si>
    <t>23.439-7</t>
  </si>
  <si>
    <t>JOSSIANE CONSOLAÇÃO DE PAULA CARVALHO</t>
  </si>
  <si>
    <t>BALNEARIO MAR PAULISTA</t>
  </si>
  <si>
    <t>CEI - LUCIANO MENDES DE ALMEIDA, DOM</t>
  </si>
  <si>
    <t>CEI DOM LUCIANO MENDES DE ALMEIDA</t>
  </si>
  <si>
    <t>RUA GONÇALO LOPES DE CAMARGO</t>
  </si>
  <si>
    <t>52.200-7</t>
  </si>
  <si>
    <t>CELENE ROCHA</t>
  </si>
  <si>
    <t>CINTIA CORONADO</t>
  </si>
  <si>
    <t>LUCIANO MENDES DE ALMEIDA, DOM</t>
  </si>
  <si>
    <t>CEI - JARDIM ROSA MARIA</t>
  </si>
  <si>
    <t>RUA ADELINO BRANCO DE ANDRADE</t>
  </si>
  <si>
    <t>JARDIM ROSA MARIA</t>
  </si>
  <si>
    <t>7698-8</t>
  </si>
  <si>
    <t>MARCIA FERREIRA COSTA VASCONCELOS</t>
  </si>
  <si>
    <t>marciafcosta@terra.com.br</t>
  </si>
  <si>
    <t>CEI - JAMIR DAGIR</t>
  </si>
  <si>
    <t>CEI JAMIR DAGIR</t>
  </si>
  <si>
    <t>RUA SEPETIBA</t>
  </si>
  <si>
    <t>SICILIANO</t>
  </si>
  <si>
    <t>20808-6</t>
  </si>
  <si>
    <t>ROSANA CORDEIRO SILVA</t>
  </si>
  <si>
    <t>ALEX DRIMEL</t>
  </si>
  <si>
    <t>JAMIR DAGIR</t>
  </si>
  <si>
    <t>CEI - CELSO DANIEL, PROF.</t>
  </si>
  <si>
    <t>CEI PROF CELSO DANIEL</t>
  </si>
  <si>
    <t>ceicdaniel@prefeitura.sp.gov.br</t>
  </si>
  <si>
    <t>RUA JOSE DORIA DE ANDRADE</t>
  </si>
  <si>
    <t>21507-4</t>
  </si>
  <si>
    <t>CELSO DANIEL, PROF.</t>
  </si>
  <si>
    <t>CEI - EDUARDO DE CAMPOS ROSMANINHO, DR.</t>
  </si>
  <si>
    <t>CEI EDUARDO DE CAMPOS ROSMANINHO, DR.</t>
  </si>
  <si>
    <t>RUA DOM BERNADO NOGUEIRA</t>
  </si>
  <si>
    <t>21.540-6</t>
  </si>
  <si>
    <t>EDUARDO DE CAMPOS ROSMANINHO, DR.</t>
  </si>
  <si>
    <t>CEI - CONJ. HABITACIONAL TEXIMA</t>
  </si>
  <si>
    <t>CEI CONJUNTO HABITACIONAL TEXIMA</t>
  </si>
  <si>
    <t>RUA HENRIQUE ABADIÊ</t>
  </si>
  <si>
    <t>28504-8</t>
  </si>
  <si>
    <t>MARIA EDUARDA SOUZA</t>
  </si>
  <si>
    <t>PRISCILA LIMA MARINHO</t>
  </si>
  <si>
    <t>CONJ. HABITACIONAL TEXIMA</t>
  </si>
  <si>
    <t>CEI - MATIAS BONAR GONZALEZ, PE.</t>
  </si>
  <si>
    <t>CEI PADRE MATIAS BOÑAR GONZÁLEZ</t>
  </si>
  <si>
    <t>RUA ESTÉFANO FILLIPINI</t>
  </si>
  <si>
    <t>19.852-8</t>
  </si>
  <si>
    <t>LUCIANA DOS SANTOS MARQUES GUEDES</t>
  </si>
  <si>
    <t>MATIAS BONAR GONZALEZ, PE.</t>
  </si>
  <si>
    <t>CEI - ABGAIL DA ROCHA MORENO, PROFA.</t>
  </si>
  <si>
    <t>CEI PROFA. ABGAIL DA ROCHA MORENO</t>
  </si>
  <si>
    <t>RUA BOIPEVA</t>
  </si>
  <si>
    <t>CID. ANTONIO ESTEVAM</t>
  </si>
  <si>
    <t>CAMPANELA</t>
  </si>
  <si>
    <t>9.237-1</t>
  </si>
  <si>
    <t>MOISES RODRIGUES COELHO</t>
  </si>
  <si>
    <t>ABGAIL DA ROCHA MORENO, PROFA.</t>
  </si>
  <si>
    <t>CEI - RECANTO DOS HUMILDES</t>
  </si>
  <si>
    <t>CEI RECANTO DOS HUMILDES</t>
  </si>
  <si>
    <t>113.112-5</t>
  </si>
  <si>
    <t>hisarti@terra.com.br</t>
  </si>
  <si>
    <t>CEI - JARDIM CLIMAX II</t>
  </si>
  <si>
    <t>CEI JARDIM CLIMAX II</t>
  </si>
  <si>
    <t>ceijclimaxii@prefeitura.sp.gov.br</t>
  </si>
  <si>
    <t>RUA CELESTINO VIDAL</t>
  </si>
  <si>
    <t>21.555-4</t>
  </si>
  <si>
    <t>JARDIM CLIMAX II</t>
  </si>
  <si>
    <t>CEI - VILA MARILENA</t>
  </si>
  <si>
    <t>CEI VILA MARILENA</t>
  </si>
  <si>
    <t>ceivmarilena@prefeitura.sp.gov.br</t>
  </si>
  <si>
    <t>RUA RIO FARTURA</t>
  </si>
  <si>
    <t>19.741-6</t>
  </si>
  <si>
    <t>ELISABETE DA SILVA SALLES</t>
  </si>
  <si>
    <t>MARIA ISABEL DA CUNHA</t>
  </si>
  <si>
    <t>VILA MARILENA</t>
  </si>
  <si>
    <t>TICIANE SILVA RAYMUNDO</t>
  </si>
  <si>
    <t>CEI - JOAO UBALDO RIBEIRO</t>
  </si>
  <si>
    <t>CEI JOÃO UBALDO RIBEIRO</t>
  </si>
  <si>
    <t>RUA ROSA DA CHINA</t>
  </si>
  <si>
    <t>01-A</t>
  </si>
  <si>
    <t>20713-6</t>
  </si>
  <si>
    <t>JOSE GERALDO MOREIRA</t>
  </si>
  <si>
    <t>CELINA DAMASCENO OLIVEIRA</t>
  </si>
  <si>
    <t>JOAO UBALDO RIBEIRO</t>
  </si>
  <si>
    <t>CEI - JARDIM DAS VERTENTES</t>
  </si>
  <si>
    <t>CEI JARDIM DAS VERTENTES</t>
  </si>
  <si>
    <t>ceijvertentes@prefeitura.sp.gov.br</t>
  </si>
  <si>
    <t>RUA JOÃO CORREIA DA SILVA</t>
  </si>
  <si>
    <t xml:space="preserve">JARDIM BONFIGLIOLI </t>
  </si>
  <si>
    <t>13.605-0</t>
  </si>
  <si>
    <t>GISELE MOREIRA DA SILVA R. CARLOS</t>
  </si>
  <si>
    <t>ANA LIGIA CONTELL</t>
  </si>
  <si>
    <t>JARDIM DAS VERTENTES</t>
  </si>
  <si>
    <t>CEI - DOMINGUINHOS</t>
  </si>
  <si>
    <t>CEI DOMINGUINHOS</t>
  </si>
  <si>
    <t>10967-3</t>
  </si>
  <si>
    <t>CARLA DAIANE DA SILVA SANTOS</t>
  </si>
  <si>
    <t>malvesfb@yahoo.com.br</t>
  </si>
  <si>
    <t>ROSA MARIA BARBOSA VALERIO</t>
  </si>
  <si>
    <t>DOMINGUINHOS</t>
  </si>
  <si>
    <t>CEI - CITY JARAGUA IV</t>
  </si>
  <si>
    <t>CEI CITY JARAGUÁ IV</t>
  </si>
  <si>
    <t>RUA JOSE GALVEZ</t>
  </si>
  <si>
    <t>COHAB CITY JARAGUÁ</t>
  </si>
  <si>
    <t>7015-7</t>
  </si>
  <si>
    <t>19.429-8</t>
  </si>
  <si>
    <t>FLAVIO SANTOS NASCIMENTO</t>
  </si>
  <si>
    <t>ceicjaraguavi@pref.sp.gov.br</t>
  </si>
  <si>
    <t>CEI - AIRTON PEREIRA DA SILVA, FREI</t>
  </si>
  <si>
    <t>ceiairtonsilva@prefeitura.sp.gov.br</t>
  </si>
  <si>
    <t>RUA DA SAFRA</t>
  </si>
  <si>
    <t>7672-4</t>
  </si>
  <si>
    <t>JULIANA LOPES VEIGA</t>
  </si>
  <si>
    <t>AIRTON PEREIRA DA SILVA, FREI</t>
  </si>
  <si>
    <t>CEI - RIO PEQUENO II</t>
  </si>
  <si>
    <t>CEI RIO PEQUENO II</t>
  </si>
  <si>
    <t>ceirpequeno2@prefeitura.sp.gov.br</t>
  </si>
  <si>
    <t>VILA ANTONIO</t>
  </si>
  <si>
    <t>23.450-8</t>
  </si>
  <si>
    <t>RIO PEQUENO II</t>
  </si>
  <si>
    <t>CEI - MADRE PAULINA</t>
  </si>
  <si>
    <t>CEI MADRE PAULINA</t>
  </si>
  <si>
    <t>RUA ALEXANDRE DAVIENKO</t>
  </si>
  <si>
    <t>20.091-3</t>
  </si>
  <si>
    <t xml:space="preserve">TÂNIA CRISTINA PEREIRA FERREIRA </t>
  </si>
  <si>
    <t>SABRINA LIMA XAVIER</t>
  </si>
  <si>
    <t>MADRE PAULINA</t>
  </si>
  <si>
    <t>CEI - ALICE APARECIDA DE SOUZA, PROFA.</t>
  </si>
  <si>
    <t>CEI PROFA. ALICE APARECIDA DE SOUZA</t>
  </si>
  <si>
    <t>RUA DOS FINANCEIROS</t>
  </si>
  <si>
    <t>VILA BANCÁRIA</t>
  </si>
  <si>
    <t>20.575-3</t>
  </si>
  <si>
    <t>ALICE APARECIDA DE SOUZA, PROFA.</t>
  </si>
  <si>
    <t>CEI - PINHEIROS</t>
  </si>
  <si>
    <t>CEI PINHEIROS</t>
  </si>
  <si>
    <t>ceipinheiros@prefeitura.sp.gov.br</t>
  </si>
  <si>
    <t>AV. REBOUÇAS</t>
  </si>
  <si>
    <t>4055-X</t>
  </si>
  <si>
    <t>9.274-6</t>
  </si>
  <si>
    <t>EGLE PEREIRA PAZO</t>
  </si>
  <si>
    <t>CEI - PARQUE EDU CHAVES</t>
  </si>
  <si>
    <t>CEI PARQUE EDU CHAVES</t>
  </si>
  <si>
    <t>ceipaechaves@prefeitura.sp.gov.br</t>
  </si>
  <si>
    <t>RUA HINTEM MARTINS</t>
  </si>
  <si>
    <t>31.799-3</t>
  </si>
  <si>
    <t>GILBERTO SALERNO</t>
  </si>
  <si>
    <t>ALESSANDRA ALENCAR ALBUQUERQUE</t>
  </si>
  <si>
    <t>CEI - JARDIM DAS ORQUIDEAS</t>
  </si>
  <si>
    <t>CEI JARDIM DAS ORQUIDEAS</t>
  </si>
  <si>
    <t>ceijorquideas@prefeitura.sp.gov.br</t>
  </si>
  <si>
    <t>RUA SAVERIO VALENTE</t>
  </si>
  <si>
    <t>PQUE NAÇÕES UNIDAS</t>
  </si>
  <si>
    <t>31196 -0</t>
  </si>
  <si>
    <t xml:space="preserve">ELIANA AFONSO DA SILVA OLIVEIRA </t>
  </si>
  <si>
    <t>JARDIM DAS ORQUIDEAS</t>
  </si>
  <si>
    <t>CEI - VILA AIMORE</t>
  </si>
  <si>
    <t>CEI VILA AIMORÉ</t>
  </si>
  <si>
    <t>RUA SIMÃO RODRIGUES MOREIRA</t>
  </si>
  <si>
    <t>51959-6</t>
  </si>
  <si>
    <t>ELAINE GARCIA VALENTE</t>
  </si>
  <si>
    <t>VILA AIMORE</t>
  </si>
  <si>
    <t>CEI - 13 DE MAIO</t>
  </si>
  <si>
    <t>CEI 13 DE MAIO</t>
  </si>
  <si>
    <t>RUA 13 DE MAIO</t>
  </si>
  <si>
    <t>28.702-4</t>
  </si>
  <si>
    <t>cei13demaio@mail.com</t>
  </si>
  <si>
    <t>13 DE MAIO</t>
  </si>
  <si>
    <t>CEI - ICAMI TIBA</t>
  </si>
  <si>
    <t>CEI IÇAMI TIBA</t>
  </si>
  <si>
    <t>ceihspm@prefeitura.sp.gov.br</t>
  </si>
  <si>
    <t>RUA CASTRO ALVES</t>
  </si>
  <si>
    <t xml:space="preserve">1196-7 </t>
  </si>
  <si>
    <t>Liberdade</t>
  </si>
  <si>
    <t>42.610-5</t>
  </si>
  <si>
    <t>ICAMI TIBA</t>
  </si>
  <si>
    <t>CEI - PAULO COCHRANE SUPLICY</t>
  </si>
  <si>
    <t>ceipcsuplicy@prefeitura.sp.gov.br</t>
  </si>
  <si>
    <t>RUA ARROIO BUTIÁ</t>
  </si>
  <si>
    <t>12694-2</t>
  </si>
  <si>
    <t>ANA MARIA DA SILVA ESTEVAM</t>
  </si>
  <si>
    <t>PAULO COCHRANE SUPLICY</t>
  </si>
  <si>
    <t>CEI CEU - ALVARENGA</t>
  </si>
  <si>
    <t>CEU CEI  ALVARENGA</t>
  </si>
  <si>
    <t>9.107-3</t>
  </si>
  <si>
    <t>PAULA REGANE DE ALMEIDA</t>
  </si>
  <si>
    <t>APARECIDA BEZERRA DE ARAUJO SANTOS</t>
  </si>
  <si>
    <t>CEI CEU - DIRCE MIGLIACCIO</t>
  </si>
  <si>
    <t>CEU CEI DIRCE MIGLIACCIO</t>
  </si>
  <si>
    <t>13391-4</t>
  </si>
  <si>
    <t>ROSIMARY T. DE DEUS RODRIGUES</t>
  </si>
  <si>
    <t>ceicuearicanduva@prefeitura.sp.gov.br</t>
  </si>
  <si>
    <t>DIRCE MIGLIACCIO</t>
  </si>
  <si>
    <t>CEI CEU - BUTANTA</t>
  </si>
  <si>
    <t>CEI CEU BUTANTÃ</t>
  </si>
  <si>
    <t>ceiceubutanta@prefeitura.sp.gov.br</t>
  </si>
  <si>
    <t>13.606-9</t>
  </si>
  <si>
    <t>LILIANA DE FÁTIMA RIBEIRO</t>
  </si>
  <si>
    <t>MARIA ISABEL ALVES DE OLIVEIRA</t>
  </si>
  <si>
    <t>CEI CEU - CIDADE DUTRA</t>
  </si>
  <si>
    <t>CEU CEI CIDADE DUTRA</t>
  </si>
  <si>
    <t>41748-3</t>
  </si>
  <si>
    <t>CEI CEU - JOSELY MARIA CARDOSO BENTO</t>
  </si>
  <si>
    <t>CEU CEI JOSELY MARIA ARDOSO BENTO</t>
  </si>
  <si>
    <t>RUA BARÃO JOAQUIM DO AMPARO</t>
  </si>
  <si>
    <t>20.151-0</t>
  </si>
  <si>
    <t>ROBSON DONIZETE DE JESUS</t>
  </si>
  <si>
    <t>MARIA AP. FERREIRA DOS SANTOS</t>
  </si>
  <si>
    <t>JOSELY MARIA CARDOSO BENTO</t>
  </si>
  <si>
    <t>CEI CEU - EVANIR APARECIDA HILARIO, PROFA.</t>
  </si>
  <si>
    <t>CEU CEI EVANIR APARECIDA HILÁRIO, PROFª</t>
  </si>
  <si>
    <t>ceiceuevanirahilario@prefeitura.sp.gov.br</t>
  </si>
  <si>
    <t>20.232-0</t>
  </si>
  <si>
    <t>EVANIR APARECIDA HILARIO, PROFA.</t>
  </si>
  <si>
    <t>CEI CEU - MENINOS</t>
  </si>
  <si>
    <t>CEI CEU MENINOS</t>
  </si>
  <si>
    <t>ceiceumeninos@prefeitura.sp.gov.br</t>
  </si>
  <si>
    <t>10.493-0</t>
  </si>
  <si>
    <t>CEI CEU - NAVEGANTES</t>
  </si>
  <si>
    <t>CEU CEI NAVEGANTES</t>
  </si>
  <si>
    <t>41824-2</t>
  </si>
  <si>
    <t>VANUSA RODRIGUES LORDEIRO</t>
  </si>
  <si>
    <t>CEI CEU - PARQUE SAO CARLOS</t>
  </si>
  <si>
    <t>CEU CEI PARQUE SÃO CARLOS</t>
  </si>
  <si>
    <t>17203-0</t>
  </si>
  <si>
    <t>CLAUDIA CAVALCANTE DOS SANTOS FERREIRA</t>
  </si>
  <si>
    <t>REGIANE VENTURI</t>
  </si>
  <si>
    <t>CEI CEU - PARQUE VEREDAS</t>
  </si>
  <si>
    <t>CEU CEI PARQUE VEREDAS</t>
  </si>
  <si>
    <t>28171-9</t>
  </si>
  <si>
    <t>PAULO FERNANDO DO CARMO</t>
  </si>
  <si>
    <t>PARQUE VEREDAS</t>
  </si>
  <si>
    <t>CEI CEU - PERA MARMELO</t>
  </si>
  <si>
    <t>CEI CEU PERA MARMELO</t>
  </si>
  <si>
    <t>15547-0</t>
  </si>
  <si>
    <t>ceiceuperamarmelo@pref.sp.gov.br</t>
  </si>
  <si>
    <t>CEI CEU - PERUS</t>
  </si>
  <si>
    <t>CEI CEU PERUS</t>
  </si>
  <si>
    <t>RUA BERNARDO DE LORENA</t>
  </si>
  <si>
    <t>113.243-1</t>
  </si>
  <si>
    <t>ceiceuperus@pref.sp.gov.br</t>
  </si>
  <si>
    <t>CEI CEU - SAO MATEUS</t>
  </si>
  <si>
    <t xml:space="preserve">CEU CEI SAO MATEUS </t>
  </si>
  <si>
    <t>11066-2</t>
  </si>
  <si>
    <t>leia.lionardo@gmail.com</t>
  </si>
  <si>
    <t>LEIA DE OLIVEIRA LIONARDI</t>
  </si>
  <si>
    <t>CEI CEU - SAO RAFAEL</t>
  </si>
  <si>
    <t xml:space="preserve">CEU CEI SAO RAFAEL </t>
  </si>
  <si>
    <t>13392-2</t>
  </si>
  <si>
    <t>MARINA CASTIGLIONE DURAN</t>
  </si>
  <si>
    <t>ANDREIA VELOSO FALCÃO</t>
  </si>
  <si>
    <t>CEI CEU - TRES LAGOS</t>
  </si>
  <si>
    <t>CEI CEU TRÊS LAGOS</t>
  </si>
  <si>
    <t>46660-3</t>
  </si>
  <si>
    <t>IVANI DE BRITO GONÇALVES FERREIRA</t>
  </si>
  <si>
    <t xml:space="preserve">                                                                                                                                                        ,                    </t>
  </si>
  <si>
    <t>CEI CEU - VILA ATLANTICA</t>
  </si>
  <si>
    <t>CEI CEU VILA ATLANTICA</t>
  </si>
  <si>
    <t>15633-7</t>
  </si>
  <si>
    <t>ISABEL CRISTINA RUFINO DE SOUZA</t>
  </si>
  <si>
    <t>ceiceuvatlantica@pref.sp.gov</t>
  </si>
  <si>
    <t>CEI CEU - ANA LUCIA DE HOLANDA GAMBOA, PROFA.</t>
  </si>
  <si>
    <t>CEU CEI ANA LUCIA DE HOLANDA GAMBOA, PROFA.</t>
  </si>
  <si>
    <t>52034-9</t>
  </si>
  <si>
    <t>ANA LUCIA DE HOLANDA GAMBOA, PROFA.</t>
  </si>
  <si>
    <t>CEI CEU - ROSA DA CHINA</t>
  </si>
  <si>
    <t xml:space="preserve">CEU CEI ROSA DA CHINA </t>
  </si>
  <si>
    <t>30624-X</t>
  </si>
  <si>
    <t>LUIZ PALMA D'ALMEIDA NETO</t>
  </si>
  <si>
    <t>KELLY CRISTINA BERNARDES</t>
  </si>
  <si>
    <t>CEI CEU - CASA BLANCA</t>
  </si>
  <si>
    <t>ceiceucasablanca@prefeitura.sp.gov.br</t>
  </si>
  <si>
    <t>26820-8</t>
  </si>
  <si>
    <t>MAGDA GOMES DA SILVA MENATO</t>
  </si>
  <si>
    <t>CAROLINE  SILVA DOS SANTOS BARBOSA</t>
  </si>
  <si>
    <t>CEI CEU - PAZ</t>
  </si>
  <si>
    <t>CEI CEU PAZ</t>
  </si>
  <si>
    <t>38065-2</t>
  </si>
  <si>
    <t>CEI CEU - CAMPO LIMPO</t>
  </si>
  <si>
    <t>ESTRADA DO CAMPO LIMPO</t>
  </si>
  <si>
    <t>12739-6</t>
  </si>
  <si>
    <t>manjaroapa@ig.com.br</t>
  </si>
  <si>
    <t>ALEXANDRINA DE FÁTIMA PEREIRA NOVAES</t>
  </si>
  <si>
    <t>CEI - INOCOOP IPIRANGA</t>
  </si>
  <si>
    <t>CEI INOCOOP IPIRANGA</t>
  </si>
  <si>
    <t>ceiipiranga@prefeitura.sp.gov.br</t>
  </si>
  <si>
    <t>4584-6</t>
  </si>
  <si>
    <t>8447-6</t>
  </si>
  <si>
    <t>INOCOOP IPIRANGA</t>
  </si>
  <si>
    <t>CEI - VILA SAO JOAO</t>
  </si>
  <si>
    <t>CEI VILA SÃO JOÃO</t>
  </si>
  <si>
    <t>RUA ALTO JURUPARI</t>
  </si>
  <si>
    <t>61669-9</t>
  </si>
  <si>
    <t xml:space="preserve">HELENA MARIA CORREIA </t>
  </si>
  <si>
    <t>ceivsaojoaoa@pref.sp.gov.br</t>
  </si>
  <si>
    <t>VILA SAO JOAO</t>
  </si>
  <si>
    <t>CEI - VILA CURUCA II</t>
  </si>
  <si>
    <t>CEI VILA CURUÇA II</t>
  </si>
  <si>
    <t>RUA GEORGINA DINIZ BRAGHIROLI</t>
  </si>
  <si>
    <t>51759-3</t>
  </si>
  <si>
    <t>SALMA RODRIGUES DE SOUZA</t>
  </si>
  <si>
    <t>SERGIO GUILHERME DA SILVA</t>
  </si>
  <si>
    <t>VILA CURUCA II</t>
  </si>
  <si>
    <t>CEI - JARDIM REPUBLICA</t>
  </si>
  <si>
    <t>CEI JARDIM REPÚBLICA</t>
  </si>
  <si>
    <t>RUA JOSÉ BONIFÁCIO FILHO</t>
  </si>
  <si>
    <t>JARDIM S BENEDITO</t>
  </si>
  <si>
    <t>23557-1</t>
  </si>
  <si>
    <t>JARDIM REPUBLICA</t>
  </si>
  <si>
    <t>CEI - PARQUE AMERICA</t>
  </si>
  <si>
    <t>CEI PARQUE AMÉRICA</t>
  </si>
  <si>
    <t>RUA NIASI JORGE ABDO</t>
  </si>
  <si>
    <t>4398-5</t>
  </si>
  <si>
    <t>14223-9</t>
  </si>
  <si>
    <t>PARQUE AMERICA</t>
  </si>
  <si>
    <t>CEI - RAQUEL ZUMBANO ALTMAN</t>
  </si>
  <si>
    <t>CEI RAQUEL ZUMBANO ALTMAN</t>
  </si>
  <si>
    <t>RUA BENEDITO GAMA RICARDO</t>
  </si>
  <si>
    <t>CLAUDIA LIVERARO</t>
  </si>
  <si>
    <t>ceirzaltman@pref.sp.gov.br</t>
  </si>
  <si>
    <t>RAQUEL ZUMBANO ALTMAN</t>
  </si>
  <si>
    <t>CEI - REYNALDO DE MARIA FREITAS E SILVA, PROF.</t>
  </si>
  <si>
    <t>CEI PROFESSOR REYNALDO DE MARIA FREITAS E SILVA</t>
  </si>
  <si>
    <t>RUA OSCAR DE MOURA LACERDA</t>
  </si>
  <si>
    <t>JARDIM ROSSIN</t>
  </si>
  <si>
    <t>212806-3</t>
  </si>
  <si>
    <t>REYNALDO DE MARIA FREITAS E SILVA, PROF.</t>
  </si>
  <si>
    <t>CEI CEU - AGUA AZUL</t>
  </si>
  <si>
    <t>CEI CEU AGUA AZUL</t>
  </si>
  <si>
    <t>ceiceuaguazul@prefeitura.sp.gov.br</t>
  </si>
  <si>
    <t>RUA AVENIDA DOS METALURGICOS</t>
  </si>
  <si>
    <t>ROGERIO COSTA FREITAS</t>
  </si>
  <si>
    <t>KATIA FERREIRA GOMES</t>
  </si>
  <si>
    <t>CEI CEU - AZUL DA COR DO MAR</t>
  </si>
  <si>
    <t>CEU CEI AZUL DA COR DO MAR</t>
  </si>
  <si>
    <t>ceiceuazuldacordomar@prefeitura.sp.gov.br</t>
  </si>
  <si>
    <t>AV PIRES DO RIO</t>
  </si>
  <si>
    <t>9166-9</t>
  </si>
  <si>
    <t>FABIANA ALFIM TEIXEIRA</t>
  </si>
  <si>
    <t>AZUL DA COR DO MAR</t>
  </si>
  <si>
    <t>CEI CEU - YOLANDA DE SOUZA SANTALUCIA, PROFA.</t>
  </si>
  <si>
    <t>CEI CEU - YOLANDA DE SOUZA SANTALUCIA, PROFA</t>
  </si>
  <si>
    <t>ceiceufeiticovila@prefeitura.sp.gov.br</t>
  </si>
  <si>
    <t>12891-0</t>
  </si>
  <si>
    <t>RIZONEIDE GREGORIO</t>
  </si>
  <si>
    <t>YOLANDA DE SOUZA SANTALUCIA, PROFA.</t>
  </si>
  <si>
    <t>CEI CEU - VILA RUBI</t>
  </si>
  <si>
    <t>CEU CEI VILA RUBI</t>
  </si>
  <si>
    <t>14264-6</t>
  </si>
  <si>
    <t>WILES MACHADO DA SILVA</t>
  </si>
  <si>
    <t>CEI CEU - JACANA</t>
  </si>
  <si>
    <t>CEU CEI JAÇANÃ</t>
  </si>
  <si>
    <t>ceiceujacana@prefeitura.sp.gov.br</t>
  </si>
  <si>
    <t>31.859-0</t>
  </si>
  <si>
    <t>WAGNER INDALECIO</t>
  </si>
  <si>
    <t>VERA LUCIA DE LIMA ALMEIDA MERCÊS</t>
  </si>
  <si>
    <t>CEI CEU - GUARAPIRANGA</t>
  </si>
  <si>
    <t>ceiceuguarapiranga@prefeitura.sp.gov.br</t>
  </si>
  <si>
    <t>7976-6</t>
  </si>
  <si>
    <t>RAMONE VIEIRA SOUSA EMERENCIO</t>
  </si>
  <si>
    <t>CEI CEU - CANTOS DO AMANHECER</t>
  </si>
  <si>
    <t>ceiceucantosdoamanhecer@prefeitura.sp.gov.br</t>
  </si>
  <si>
    <t xml:space="preserve">AVENIDA CANTOS DO AMANHECER  </t>
  </si>
  <si>
    <t>7647-3</t>
  </si>
  <si>
    <t>RICARDO NUNES DE DEUS NETO</t>
  </si>
  <si>
    <t>JOSEILMA SANTOS DE OLIVEIRA SILVA</t>
  </si>
  <si>
    <t>CEI CEU - VILA DO SOL</t>
  </si>
  <si>
    <t>ceiceuviladosol@prefeitura.sp.gov.br</t>
  </si>
  <si>
    <t>7872-7</t>
  </si>
  <si>
    <t>FABIOLA LESLIE INOUYE</t>
  </si>
  <si>
    <t>CECILIA MARIA DOS ANJOS SOUZA</t>
  </si>
  <si>
    <t>CEI CEU - JARDIM PAULISTANO</t>
  </si>
  <si>
    <t>CEU CEI JARDIM PAULISTANO</t>
  </si>
  <si>
    <t>DANIELA FAVERO</t>
  </si>
  <si>
    <t>ANA PAULA PIMENTEL</t>
  </si>
  <si>
    <t>CEI CEU - QUINTA DO SOL</t>
  </si>
  <si>
    <t>CEU CEI QUINTA DO SOL</t>
  </si>
  <si>
    <t>17.126-3</t>
  </si>
  <si>
    <t>ROSANA LIMA DE SOUZA</t>
  </si>
  <si>
    <t>CEI CEU - RUBEM ALVES</t>
  </si>
  <si>
    <t>CEU CEI RUBEM ALVES</t>
  </si>
  <si>
    <t>20223-1</t>
  </si>
  <si>
    <t>EDILEUSA LUZINETE DA CONCEIÇÃO</t>
  </si>
  <si>
    <t>MONIE FERNANDES PACITTI</t>
  </si>
  <si>
    <t>RUBEM ALVES</t>
  </si>
  <si>
    <t>CEI CEU - TRES PONTES</t>
  </si>
  <si>
    <t>CEU CEI TRÊS PONTES</t>
  </si>
  <si>
    <t>28283-9</t>
  </si>
  <si>
    <t>RAILDO VIEIRA LINS</t>
  </si>
  <si>
    <t>CLAUDECILIA MARQUES SILVERIO</t>
  </si>
  <si>
    <t>CEI CEU - CAMINHO DO MAR</t>
  </si>
  <si>
    <t>CEU CEI CAMIHO DO MAR- DULCE SALLES CUNHA BRAGA</t>
  </si>
  <si>
    <t>73.320-2</t>
  </si>
  <si>
    <t>VANESSA GAMA SALVAIA SANTOS</t>
  </si>
  <si>
    <t>RENATA FURTUNATO DA SILVA</t>
  </si>
  <si>
    <t>CEI CEU - CAPAO REDONDO</t>
  </si>
  <si>
    <t>ceiceucapaoredondo@prefeitura.sp.gov.br</t>
  </si>
  <si>
    <t>7.710-7</t>
  </si>
  <si>
    <t>SUELI DE FÁTIMA CABRAL GUEDES</t>
  </si>
  <si>
    <t>REJANE CIRQUEIRA BATISTA DA SILVA</t>
  </si>
  <si>
    <t>CEI CEU - PARAISOPOLIS</t>
  </si>
  <si>
    <t>ceiceuparaisopolis@prefeitura.sp.gov.br</t>
  </si>
  <si>
    <t>21.417-5</t>
  </si>
  <si>
    <t>MONICA STOPASSOLI</t>
  </si>
  <si>
    <t>DENISE BIER DA SILVA</t>
  </si>
  <si>
    <t>CEI CEU - PARQUE BRISTOL</t>
  </si>
  <si>
    <t>CEU CEI PARQUE BRISTOL</t>
  </si>
  <si>
    <t>ceiceupqbristol@prefeitura.sp.gov.br</t>
  </si>
  <si>
    <t>35.178-4</t>
  </si>
  <si>
    <t>CEI CEU - ADELAIDE TERESA LOPES CIMONARI, PROFA.</t>
  </si>
  <si>
    <t>CEU CEI ADELAIDE TERESA LOPES CIMONARI</t>
  </si>
  <si>
    <t>25392-8</t>
  </si>
  <si>
    <t>carlota.carvalho@uol.com.br</t>
  </si>
  <si>
    <t>ADELAIDE TERESA LOPES CIMONARI, PROFA.</t>
  </si>
  <si>
    <t>CEI CEU - UIRAPURU</t>
  </si>
  <si>
    <t>CEI CEU UIRAPURU</t>
  </si>
  <si>
    <t>ceiceuuirapuru@prefeitura.sp.gov.br</t>
  </si>
  <si>
    <t>13.663-8</t>
  </si>
  <si>
    <t>ERIKA CORREIA PEDROSA</t>
  </si>
  <si>
    <t>MARIA CARMELITA OLIVA PARRELA</t>
  </si>
  <si>
    <t>CEI CEU - PARQUE ANHANGUERA</t>
  </si>
  <si>
    <t>CEU CEI PARQUE ANHANGUERA</t>
  </si>
  <si>
    <t>RUA PEDRO JOSÉ DE LIMA</t>
  </si>
  <si>
    <t>113.020-X</t>
  </si>
  <si>
    <t>ceiceupqanhanguera@pref.sp.gov.br</t>
  </si>
  <si>
    <t>CEI CEU - JAGUARE</t>
  </si>
  <si>
    <t>CEU CEI JAGUARÉ</t>
  </si>
  <si>
    <t>ceiceujaguare@prefeitura.sp.gov.br</t>
  </si>
  <si>
    <t>AV. KENKITI SIMOMOTO</t>
  </si>
  <si>
    <t>21711-5</t>
  </si>
  <si>
    <t>CEI CEU - ALTO ALEGRE</t>
  </si>
  <si>
    <t>CEI CEU ALTO ALEGRE</t>
  </si>
  <si>
    <t xml:space="preserve">S/N  </t>
  </si>
  <si>
    <t xml:space="preserve">JARDIM DAS LARANJEIRAS </t>
  </si>
  <si>
    <t>30807-2</t>
  </si>
  <si>
    <t>ELEN ARAÚJO RODRIGUES ANDRADE</t>
  </si>
  <si>
    <t>MARIA IRENICE ROSA MACHADO</t>
  </si>
  <si>
    <t>CEI CEU - PARELHEIROS</t>
  </si>
  <si>
    <t>CEI CEU PARELHEIROS</t>
  </si>
  <si>
    <t>41818-8</t>
  </si>
  <si>
    <t>ADRIANA MEDEIROS NETO</t>
  </si>
  <si>
    <t>CEI - INDIANOPOLIS</t>
  </si>
  <si>
    <t>CEI INDIANÓPOLIS</t>
  </si>
  <si>
    <t>ceidiretoindian@prefeitura.sp.gov.br</t>
  </si>
  <si>
    <t>RUA IRAÉ</t>
  </si>
  <si>
    <t>INDIANÓPOLIS</t>
  </si>
  <si>
    <t>32.348-9</t>
  </si>
  <si>
    <t>INDIANOPOLIS</t>
  </si>
  <si>
    <t>CEI - GREGORIO WESTRUPP, PE.</t>
  </si>
  <si>
    <t>RUA ESTADO DE ISRAEL</t>
  </si>
  <si>
    <t>45.521-0</t>
  </si>
  <si>
    <t>CEI - MARIA APARECIDA NASCIMENTO</t>
  </si>
  <si>
    <t>CEI MARIA APARECIDA DO NASCIMENTO</t>
  </si>
  <si>
    <t>26657-4</t>
  </si>
  <si>
    <t>FABILENES MARIA DE ALMEIDA ALVES</t>
  </si>
  <si>
    <t>SANDRA FELIX DOS SANTOS</t>
  </si>
  <si>
    <t>MARIA APARECIDA NASCIMENTO</t>
  </si>
  <si>
    <t>EMEI - MARGARIDA MARIA ALVES</t>
  </si>
  <si>
    <t>EMEI MARGARIDA MARIA ALVES</t>
  </si>
  <si>
    <t>52.367-4</t>
  </si>
  <si>
    <t>WILSON FELIX DA COSTA</t>
  </si>
  <si>
    <t>MARGARIDA MARIA ALVES</t>
  </si>
  <si>
    <t>Formação -</t>
  </si>
  <si>
    <t>Livre Aplicação -</t>
  </si>
  <si>
    <t>Reprog. Formação -</t>
  </si>
  <si>
    <t>Reprog. Oficina -</t>
  </si>
  <si>
    <t>Reprog. Livre Aplicação -</t>
  </si>
  <si>
    <t>Formação</t>
  </si>
  <si>
    <t>Livre Aplic.</t>
  </si>
  <si>
    <t>Livre Aplicação</t>
  </si>
  <si>
    <t>Modelo 2 - Formação</t>
  </si>
  <si>
    <t>Modelo 2 - Oficina</t>
  </si>
  <si>
    <t>Modelo 2 - Livre Aplicação</t>
  </si>
  <si>
    <t>FORMAÇÃO</t>
  </si>
  <si>
    <t>LIVRE APLICAÇÃO</t>
  </si>
  <si>
    <t>REP - FO - C</t>
  </si>
  <si>
    <t>REC - FO - C</t>
  </si>
  <si>
    <t>REP - FO - K</t>
  </si>
  <si>
    <t>REC - FO - K</t>
  </si>
  <si>
    <t>REP - LA - C</t>
  </si>
  <si>
    <t>REC - LA - C</t>
  </si>
  <si>
    <t>REP - LA - K</t>
  </si>
  <si>
    <t>REC - LA - K</t>
  </si>
  <si>
    <t>Invadiu REP-FO-C</t>
  </si>
  <si>
    <t>Invadiu REC-FO-C</t>
  </si>
  <si>
    <t>Invadiu REP-FO-K</t>
  </si>
  <si>
    <t>Invadiu REC-FO-K</t>
  </si>
  <si>
    <t>Invadiu REP-OF-C</t>
  </si>
  <si>
    <t>Invadiu REC-OF-C</t>
  </si>
  <si>
    <t>Invadiu REP-OF-K</t>
  </si>
  <si>
    <t>Invadiu REC-OF-K</t>
  </si>
  <si>
    <t>Invadiu REP-LA-C</t>
  </si>
  <si>
    <t>Invadiu REC-LA-C</t>
  </si>
  <si>
    <t>Invadiu REP-LA-K</t>
  </si>
  <si>
    <t>Invadiu REC-LA-K</t>
  </si>
  <si>
    <t>invasao Formação</t>
  </si>
  <si>
    <t>invasao Livre Aplic.</t>
  </si>
  <si>
    <t>Invasão Custeio - Formação</t>
  </si>
  <si>
    <t>Invasão Custeio - Livre Aplic.</t>
  </si>
  <si>
    <t>Formação - Reprogr</t>
  </si>
  <si>
    <t>Formação - Pagto</t>
  </si>
  <si>
    <t>Livre Aplic. - Pagto</t>
  </si>
  <si>
    <t>Livre Aplic. - Reprogr</t>
  </si>
  <si>
    <t>coluna 193 - formula</t>
  </si>
  <si>
    <t>coluna 196 - formula</t>
  </si>
  <si>
    <t>coluna 200 - formula</t>
  </si>
  <si>
    <t>coluna 203 - formula</t>
  </si>
  <si>
    <t>coluna 207 - formula</t>
  </si>
  <si>
    <t>coluna 210 - formula</t>
  </si>
  <si>
    <t>XXXXXX</t>
  </si>
  <si>
    <t>Nome do Favorecido ? - CPF Inválido</t>
  </si>
  <si>
    <t>Tipo de Documento? - CPF Inválido</t>
  </si>
  <si>
    <t>Nome do Favorecido ? - CNPJ Inválido</t>
  </si>
  <si>
    <t>Tipo de Documento? - CNPJ Inválido</t>
  </si>
  <si>
    <t>Prestação de Contas - Formação</t>
  </si>
  <si>
    <t>Prestação de Contas - Livre Aplicação</t>
  </si>
  <si>
    <t>Mais Escola</t>
  </si>
  <si>
    <t>Mais Escola -</t>
  </si>
  <si>
    <t>invasao Mais Escola</t>
  </si>
  <si>
    <t>Invasão Custeio - Mais Escola</t>
  </si>
  <si>
    <t>REP - ME - C</t>
  </si>
  <si>
    <t>REC - ME - C</t>
  </si>
  <si>
    <t>REP - ME - K</t>
  </si>
  <si>
    <t>REC - ME - K</t>
  </si>
  <si>
    <t>Modelo 2 - Mais Escola</t>
  </si>
  <si>
    <t>MAIS ESCOLA</t>
  </si>
  <si>
    <t>Prestação de Contas - Mais Escola</t>
  </si>
  <si>
    <t>Mais Escola - Pagto</t>
  </si>
  <si>
    <t>Mais Escola - Reprogr</t>
  </si>
  <si>
    <t>Devolução - Custeio</t>
  </si>
  <si>
    <t>Devolução - Capital</t>
  </si>
  <si>
    <t>XXXXXXXXXXXXXXXXXXXXXXXXXXX</t>
  </si>
  <si>
    <t>emeipcflorencano@sme.prefeitura.sp.gov.br</t>
  </si>
  <si>
    <t>SIMONE ARAUJO BATISTA</t>
  </si>
  <si>
    <t>emeivipsilva@sme.prefeitura.sp.gov.br</t>
  </si>
  <si>
    <t>FLÁVIA DOS SANTOS CÉSAR</t>
  </si>
  <si>
    <t>ANGELA MARIA DOS SANTOS SILVA</t>
  </si>
  <si>
    <t>emefjemoraes@sme.prefeitura.sp.gov.br</t>
  </si>
  <si>
    <t>emefacneto@sme.prefeitura.sp.gov.br</t>
  </si>
  <si>
    <t>SONIA DIAS DE SOUSA</t>
  </si>
  <si>
    <t>FELIPI RICARDO DE ALMEIDA BUZO</t>
  </si>
  <si>
    <t>emefvlaribeiro@sme.prefeitura.sp.gov.br</t>
  </si>
  <si>
    <t>CLAUDINEIA BARBOSA AZEVEDO</t>
  </si>
  <si>
    <t>emeiacpsilva@sme.prefeitura.sp.gov.br</t>
  </si>
  <si>
    <t>emeincbuarque@sme.prefeitura.sp.gov.br</t>
  </si>
  <si>
    <t xml:space="preserve">FREGUESIA DO O </t>
  </si>
  <si>
    <t>emeimyspahne@sme.prefeitura.sp.gov.br</t>
  </si>
  <si>
    <t>emeiwcarvalho@sme.prefeitura.sp.gov.br</t>
  </si>
  <si>
    <t>emeiwaoliveira@sme.prefeitura.sp.gov.br</t>
  </si>
  <si>
    <t>emefsheck@sme.prefeitura.sp.gov.br</t>
  </si>
  <si>
    <t>RICARDO MENDES DE ALMEIDA</t>
  </si>
  <si>
    <t>ANDREA ESCOBAR DIAS VERGANA</t>
  </si>
  <si>
    <t>emefvlfborba@sme.prefeitura.sp.gov.br</t>
  </si>
  <si>
    <t>RODRIGO SANTOS RAMOS</t>
  </si>
  <si>
    <t>emefrpatricio@sme.prefeitura.sp.gov.br</t>
  </si>
  <si>
    <t xml:space="preserve">BAIRRO DO LIMAO </t>
  </si>
  <si>
    <t>RITA DE CASSIA JORGE ROSA RENZO</t>
  </si>
  <si>
    <t>emefhfchaves@sme.prefeitura.sp.gov.br</t>
  </si>
  <si>
    <t>emefaasilva@sme.prefeitura.sp.gov.br</t>
  </si>
  <si>
    <t>emeenbasseto@sme.prefeitura.sp.gov.br</t>
  </si>
  <si>
    <t>emebsneussabassetto@sme.prefeitura.sp.gov.br</t>
  </si>
  <si>
    <t>NILSON YASSUO WATANABE</t>
  </si>
  <si>
    <t>emeflbray@sme.prefeitura.sp.gov.br</t>
  </si>
  <si>
    <t>RAQUEL JOSEFA DE SANTANA BERNARDES</t>
  </si>
  <si>
    <t>emeirjamaral@sme.prefeitura.sp.gov.br</t>
  </si>
  <si>
    <t>LARISSE DE JESUS DIAS DOS SANTOS VITORIANO</t>
  </si>
  <si>
    <t>emefsferraz@sme.prefeitura.sp.gov.br</t>
  </si>
  <si>
    <t>emeiccpelias@sme.prefeitura.sp.gov.br</t>
  </si>
  <si>
    <t>emeicspinho@sme.prefeitura.sp.gov.br</t>
  </si>
  <si>
    <t>ROSEANE MAGALHÃES</t>
  </si>
  <si>
    <t>emeiarmuller@sme.prefeitura.sp.gov.br</t>
  </si>
  <si>
    <t>Elaine Martins silva Fernandes</t>
  </si>
  <si>
    <t>emeimcgramos@sme.prefeitura.sp.gov.br</t>
  </si>
  <si>
    <t xml:space="preserve">MARINALVA VIRIATA ESTEVAM  </t>
  </si>
  <si>
    <t>emeirtrevisan@sme.prefeitura.sp.gov.br</t>
  </si>
  <si>
    <t>TATIANA CORTEZ GALLAFRIO QUATTRONE</t>
  </si>
  <si>
    <t xml:space="preserve">CLAUDIA MACIEL DA SILVA </t>
  </si>
  <si>
    <t>emefeda@sme.prefeitura.sp.gov.br</t>
  </si>
  <si>
    <t>emefaabdala@sme.prefeitura.sp.gov.br</t>
  </si>
  <si>
    <t>emeiabhferreira@sme.prefeitura.sp.gov.br</t>
  </si>
  <si>
    <t>JOSÉ LUIZ DOS REIS SANTOS</t>
  </si>
  <si>
    <t>emeimefakhoury@sme.prefeitura.sp.gov.br</t>
  </si>
  <si>
    <t>emefrpompeia@sme.prefeitura.sp.gov.br</t>
  </si>
  <si>
    <t>MARICI TAVARES NUNES ACQUAVIVA</t>
  </si>
  <si>
    <t>emeismadureira@sme.prefeitura.sp.gov.br</t>
  </si>
  <si>
    <t>acherutti@prefeitura.sp.gov.br</t>
  </si>
  <si>
    <t>emeftmsorta@sme.prefeitura.sp.gov.br</t>
  </si>
  <si>
    <t>emeioagaudio@sme.prefeitura.sp.gov.br</t>
  </si>
  <si>
    <t>emefhenfil@sme.prefeitura.sp.gov.br</t>
  </si>
  <si>
    <t>emefidemia@sme.prefeitura.sp.gov.br</t>
  </si>
  <si>
    <t>emefsfrancisco@sme.prefeitura.sp.gov.br</t>
  </si>
  <si>
    <t>MARTA NUNES DE OLIVEIRA SILVA</t>
  </si>
  <si>
    <t>emeiobprestes@sme.prefeitura.sp.gov.br</t>
  </si>
  <si>
    <t>SALETE APARECIDA FRANCISQUETI DOS REIS</t>
  </si>
  <si>
    <t>emefavleme@sme.prefeitura.sp.gov.br</t>
  </si>
  <si>
    <t>53.701-2</t>
  </si>
  <si>
    <t>ULISSES VAKIRTZIS</t>
  </si>
  <si>
    <t>emeflcprestes@sme.prefeitura.sp.gov.br</t>
  </si>
  <si>
    <t>emeidksouza@sme.prefeitura.sp.gov.br</t>
  </si>
  <si>
    <t>emeispopovic@sme.prefeitura.sp.gov.br</t>
  </si>
  <si>
    <t>emefgonzaguinha@sme.prefeitura.sp.gov.br</t>
  </si>
  <si>
    <t>Teresinha Rafael Pinto</t>
  </si>
  <si>
    <t>emeiojsilva@sme.prefeitura.sp.gov.br</t>
  </si>
  <si>
    <t>Zoraide Neri Garcia</t>
  </si>
  <si>
    <t>emefcfalconi@sme.prefeitura.sp.gov.br</t>
  </si>
  <si>
    <t>emefchicomendes@sme.prefeitura.sp.gov.br</t>
  </si>
  <si>
    <t>emefmschonberg@sme.prefeitura.sp.gov.br</t>
  </si>
  <si>
    <t>LETICIA FERREIRA DE FRANÇA</t>
  </si>
  <si>
    <t>emefcaqrocha@sme.prefeitura.sp.gov.br</t>
  </si>
  <si>
    <t>emefemcfreire@sme.prefeitura.sp.gov.br</t>
  </si>
  <si>
    <t>emefirmadulce@sme.prefeitura.sp.gov.br</t>
  </si>
  <si>
    <t>WENDEL MOREIRA DE OLIVEIRA</t>
  </si>
  <si>
    <t>emefzacaria@sme.prefeitura.sp.gov.br</t>
  </si>
  <si>
    <t>emflmsparapan@sme.prefeitura.sp.gov.br</t>
  </si>
  <si>
    <t>emefarluz@sme.prefeitura.sp.gov.br</t>
  </si>
  <si>
    <t>CLAUDIA ALVES DOS SANTOS MARCILIO</t>
  </si>
  <si>
    <t>emefpnajunior@sme.prefeitura.sp.gov.br</t>
  </si>
  <si>
    <t>CLAUDIA DOS SANTOS MAKIYAMA ORSINI</t>
  </si>
  <si>
    <t>emeffquirino@sme.prefeitura.sp.gov.br</t>
  </si>
  <si>
    <t>emefcalbuquerque@sme.prefeitura.sp.gov.br</t>
  </si>
  <si>
    <t>emeivremo@sme.prefeitura.sp.gov.br</t>
  </si>
  <si>
    <t>emeirnsilva@sme.prefeitura.sp.gov.br</t>
  </si>
  <si>
    <t>KAUANY FERREIRA DA SILVA</t>
  </si>
  <si>
    <t>emeiesader@sme.prefeitura.sp.gov.br</t>
  </si>
  <si>
    <t>emeiarabraga@sme.prefeitura.sp.gov.br</t>
  </si>
  <si>
    <t>ANDRÉ LUIS PEREIRA DOS SANTOS</t>
  </si>
  <si>
    <t>emeffsbueno@sme.prefeitura.sp.gov.br</t>
  </si>
  <si>
    <t>Regiane Barbosa Roque</t>
  </si>
  <si>
    <t>emeiybassi@sme.prefeitura.sp.gov.br</t>
  </si>
  <si>
    <t>FÁBIO JUNIO DA SILVA SANTOS</t>
  </si>
  <si>
    <t>emeipzingg@sme.prefeitura.sp.gov.br</t>
  </si>
  <si>
    <t>JOSEANE OLIVEIRA SANTOS</t>
  </si>
  <si>
    <t>emeijrchristi@sme.prefeitura.sp.gov.br</t>
  </si>
  <si>
    <t>NATALIA FERREIRA ANDRADE GARCIA</t>
  </si>
  <si>
    <t>emefafbastos@sme.prefeitura.sp.gov.br</t>
  </si>
  <si>
    <t>CICERA VIVIANE SAGUINI</t>
  </si>
  <si>
    <t>emeimbeni@sme.prefeitura.sp.gov.br</t>
  </si>
  <si>
    <t>emefmabghion@sme.prefeitura.sp.gov.br</t>
  </si>
  <si>
    <t>emefeshammass@sme.prefeitura.sp.gov.br</t>
  </si>
  <si>
    <t>emeifrsilva@sme.prefeitura.sp.gov.br</t>
  </si>
  <si>
    <t>SUELI ROSA ANTÔNIO</t>
  </si>
  <si>
    <t>emefuguimaraes@sme.prefeitura.sp.gov.br</t>
  </si>
  <si>
    <t>MARIZETE AP.VIANA PONTES</t>
  </si>
  <si>
    <t>NADIA MACHADO D.DE SOUZA</t>
  </si>
  <si>
    <t>emefpebatista@sme.prefeitura.sp.gov.br</t>
  </si>
  <si>
    <t>emefjopfilho@sme.prefeitura.sp.gov.br</t>
  </si>
  <si>
    <t>emeicgprado@sme.prefeitura.sp.gov.br</t>
  </si>
  <si>
    <t xml:space="preserve">MANOEL FERREIRA SERRANO FILHO GUIMARÃES </t>
  </si>
  <si>
    <t>MEIRE APARECIDA BALARIN LEONARDO</t>
  </si>
  <si>
    <t>emeisramo@sme.prefeitura.sp.gov.br</t>
  </si>
  <si>
    <t>CYNTHIA ROLIM SARDINHA BARBOSA</t>
  </si>
  <si>
    <t>emeiceucarlososl@sme.prefeitura.sp.gov.br</t>
  </si>
  <si>
    <t>emeimlpsilva@sme.prefeitura.sp.gov.br</t>
  </si>
  <si>
    <t>JARDIM TREMEMBE</t>
  </si>
  <si>
    <t>MARIA ERILANE PINTO</t>
  </si>
  <si>
    <t>emeijquadros@sme.prefeitura.sp.gov.br</t>
  </si>
  <si>
    <t>emeihricchetti@sme.prefeitura.sp.gov.br</t>
  </si>
  <si>
    <t>emeimnsmartins@sme.prefeitura.sp.gov.br</t>
  </si>
  <si>
    <t>emeijrcribeiro@sme.prefeitura.sp.gov.br</t>
  </si>
  <si>
    <t>SAMANTHA PINHEIRO HOLANDA FERREIRA</t>
  </si>
  <si>
    <t>emeidsferraz@sme.prefeitura.sp.gov.br</t>
  </si>
  <si>
    <t>ALESSANDRA BEZERRA  SILVA</t>
  </si>
  <si>
    <t>emefolinda@sme.prefeitura.sp.gov.br</t>
  </si>
  <si>
    <t>emefalzeglio@sme.prefeitura.sp.gov.br</t>
  </si>
  <si>
    <t>OSIMEIRECORDEIRO DE ARAUJO</t>
  </si>
  <si>
    <t>emeiddbenicio@sme.prefeitura.sp.gov.br</t>
  </si>
  <si>
    <t>emefjgrammont@sme.prefeitura.sp.gov.br</t>
  </si>
  <si>
    <t>emeiassilva@sme.prefeitura.sp.gov.br</t>
  </si>
  <si>
    <t>emeivtavora@sme.prefeitura.sp.gov.br</t>
  </si>
  <si>
    <t>MARTA DE ALMEIDA BIANNA OLIVEIRA</t>
  </si>
  <si>
    <t>emeisjorge@sme.prefeitura.sp.gov.br</t>
  </si>
  <si>
    <t>emefemleme@sme.prefeitura.sp.gov.br</t>
  </si>
  <si>
    <t>MICHELE MELO</t>
  </si>
  <si>
    <t>emeitlferreira@sme.prefeitura.sp.gov.br</t>
  </si>
  <si>
    <t>emeiciddosol@sme.prefeitura.sp.gov.br</t>
  </si>
  <si>
    <t>marcinhanav@yahoo.com.br</t>
  </si>
  <si>
    <t>Ana Maria Azevedo Melão</t>
  </si>
  <si>
    <t>emeffarosa@sme.prefeitura.sp.gov.br</t>
  </si>
  <si>
    <t>emeibcastrucci@sme.prefeitura.sp.gov.br</t>
  </si>
  <si>
    <t>emeiekmello@sme.prefeitura.sp.gov.br</t>
  </si>
  <si>
    <t>GOVERNO</t>
  </si>
  <si>
    <t>JENIFER MOREIRA SANTOS DOS ANJOS</t>
  </si>
  <si>
    <t>emeiersouza@sme.prefeitura.sp.gov.br</t>
  </si>
  <si>
    <t>emefadavila@sme.prefeitura.sp.gov.br</t>
  </si>
  <si>
    <t>emeimdmsgomes@sme.prefeitura.sp.gov.br</t>
  </si>
  <si>
    <t>emefcaiotoledo@sme.prefeitura.sp.gov.br</t>
  </si>
  <si>
    <t>emefjcfferraz@sme.prefeitura.sp.gov.br</t>
  </si>
  <si>
    <t>FRANCISCO DE SOUZA FILHO</t>
  </si>
  <si>
    <t>emefjcmsousa@sme.prefeitura.sp.gov.br</t>
  </si>
  <si>
    <t>emefprofjoaofranzolin@sme.prefeitura.sp.gov.br</t>
  </si>
  <si>
    <t>DAYANE FLEMING OLIVEIRA ANASTÁCIO</t>
  </si>
  <si>
    <t>emefpmaia@sme.prefeitura.sp.gov.br</t>
  </si>
  <si>
    <t>emefesbruno@sme.prefeitura.sp.gov.br</t>
  </si>
  <si>
    <t xml:space="preserve">JOSE ADOLFO SALIONI DE CARVALHO </t>
  </si>
  <si>
    <t>emeferfilho@sme.prefeitura.sp.gov.br</t>
  </si>
  <si>
    <t>emeffgracioso@sme.prefeitura.sp.gov.br</t>
  </si>
  <si>
    <t>MARIA NELMA BATISTA DA SILVA</t>
  </si>
  <si>
    <t xml:space="preserve">IVAIR APARECIDO DE OLIVEIRA JUNIOR </t>
  </si>
  <si>
    <t>emefflorestan@sme.prefeitura.sp.gov.br</t>
  </si>
  <si>
    <t>EDINETE S.RODRIGUES SILVERIO</t>
  </si>
  <si>
    <t>HÉLIO CESAR MARTINS</t>
  </si>
  <si>
    <t>emefrpaiva@sme.prefeitura.sp.gov.br</t>
  </si>
  <si>
    <t>SILVANA APARECIDA DE J. S. GUIMARÃES</t>
  </si>
  <si>
    <t>emefcbartolomazi@sme.prefeitura.sp.gov.br</t>
  </si>
  <si>
    <t>FERNANDA DA SILVA CARDOSO</t>
  </si>
  <si>
    <t>emefaspedreira@sme.prefeitura.sp.gov.br</t>
  </si>
  <si>
    <t>emeicsoliveira@sme.prefeitura.sp.gov.br</t>
  </si>
  <si>
    <t>SANDRA PEREIRA MAGALHÃES</t>
  </si>
  <si>
    <t>KÁTIA BOLDRINI DIONIZIO</t>
  </si>
  <si>
    <t>emefcvasobrinho@sme.prefeitura.sp.gov.br</t>
  </si>
  <si>
    <t>CLAUDIA CRUZ SANTOS</t>
  </si>
  <si>
    <t>emefgcabral@sme.prefeitura.sp.gov.br</t>
  </si>
  <si>
    <t>emeicvvelho@sme.prefeitura.sp.gov.br</t>
  </si>
  <si>
    <t>ALEXANDRA HERNANDES PANIZZA</t>
  </si>
  <si>
    <t>emeivmatheus@sme.prefeitura.sp.gov.br</t>
  </si>
  <si>
    <t>emeilsírio@sme.prefeitura.sp.gov.br</t>
  </si>
  <si>
    <t>emeilsirio@sme.prefeitura.sp.gov.br</t>
  </si>
  <si>
    <t>ELIETE MULLER DO VALE</t>
  </si>
  <si>
    <t>emefmasampaio@sme.prefeitura.sp.gov.br</t>
  </si>
  <si>
    <t>emeirgcsiqueira@sme.prefeitura.sp.gov.br</t>
  </si>
  <si>
    <t>17.117-4</t>
  </si>
  <si>
    <t>REGIANE MANZINI BONFIM</t>
  </si>
  <si>
    <t>emeimlmgentile@sme.prefeitura.sp.gov.br</t>
  </si>
  <si>
    <t>Glaucia Sarnauskas Crepaldi</t>
  </si>
  <si>
    <t>emefclotilde@sme.prefeitura.sp.gov.br</t>
  </si>
  <si>
    <t>ELLEN ALVES AROS</t>
  </si>
  <si>
    <t>emeivasilva@sme.prefeitura.sp.gov.br</t>
  </si>
  <si>
    <t>LIGIAFERREIRA DA SILVA</t>
  </si>
  <si>
    <t>emeisacoliveira@sme.prefeitura.sp.gov.br</t>
  </si>
  <si>
    <t>CRISTINA BARBOSA DA SILVA</t>
  </si>
  <si>
    <t>emeihlssilva@sme.prefeitura.sp.gov.br</t>
  </si>
  <si>
    <t>emeijjsilva@sme.prefeitura.sp.gov.br</t>
  </si>
  <si>
    <t>emeiafmaral@sme.prefeitura.sp.gov.br</t>
  </si>
  <si>
    <t>Renata Paiva Siqueira</t>
  </si>
  <si>
    <t>emefmdelane@sme.prefeitura.sp.gov.br</t>
  </si>
  <si>
    <t>emefpesramos@sme.prefeitura.sp.gov.br</t>
  </si>
  <si>
    <t>Fabiano Pedrosa Crisontomo</t>
  </si>
  <si>
    <t>emeiaferreira@sme.prefeitura.sp.gov.br</t>
  </si>
  <si>
    <t>emefdribeiro@sme.prefeitura.sp.gov.br</t>
  </si>
  <si>
    <t>emeimlctorres@sme.prefeitura.sp.gov.br</t>
  </si>
  <si>
    <t>emeimavpiante@sme.prefeitura.sp.gov.br</t>
  </si>
  <si>
    <t xml:space="preserve">GISELE AZEVEDO GARCIA </t>
  </si>
  <si>
    <t>ADELAINE TANZI MARTINS</t>
  </si>
  <si>
    <t>emeicashcar@sme.prefeitura.sp.gov.br</t>
  </si>
  <si>
    <t>emeiafeitosa@sme.prefeitura.sp.gov.br</t>
  </si>
  <si>
    <t xml:space="preserve">PATRICIA REGINA GONÇALVES COSTA </t>
  </si>
  <si>
    <t>MIRELE RAMOS DE CASTRO MOREIRA DA SILVA</t>
  </si>
  <si>
    <t>emeicoperamezza@sme.prefeitura.sp.gov.br</t>
  </si>
  <si>
    <t>sergioculti@bol.com.br</t>
  </si>
  <si>
    <t>LEILA SALLES MAKAY</t>
  </si>
  <si>
    <t>emeialexfreua@sme.prefeitura.sp.gov.br</t>
  </si>
  <si>
    <t>emeivascalquetti@sme.prefeitura.sp.gov.br</t>
  </si>
  <si>
    <t>emeiacbjobim@sme.prefeitura.sp.gov.br</t>
  </si>
  <si>
    <t>emeimoreno@sme.prefeitura.sp.gov.br</t>
  </si>
  <si>
    <t>emeijmescriva@sme.prefeitura.sp.gov.br</t>
  </si>
  <si>
    <t>emefcmascaro@sme.prefeitura.sp.gov.br</t>
  </si>
  <si>
    <t>emeijmfalcao@sme.prefeitura.sp.gov.br</t>
  </si>
  <si>
    <t>KÁTIA APARECIDA DELLA MÔNICA MELFI</t>
  </si>
  <si>
    <t>emeiggebara@sme.prefeitura.sp.gov.br</t>
  </si>
  <si>
    <t>RIVALDO LUIZ DE OLIVEIRA DA SILVA</t>
  </si>
  <si>
    <t>emeffreidamiao@sme.prefeitura.sp.gov.br</t>
  </si>
  <si>
    <t>emeiacallado@sme.prefeitura.sp.gov.br</t>
  </si>
  <si>
    <t>FERNANDA DE CASSIA FORATO</t>
  </si>
  <si>
    <t>GLAUCIA REGINA OLIVEIRA FRANCO</t>
  </si>
  <si>
    <t>emefpfreire@sme.prefeitura.sp.gov.br</t>
  </si>
  <si>
    <t>emeflmattos@sme.prefeitura.sp.gov.br</t>
  </si>
  <si>
    <t>ISABEL CRISTINA DE CARVALHO SANTOS</t>
  </si>
  <si>
    <t>emefjalmeida@sme.prefeitura.sp.gov.br</t>
  </si>
  <si>
    <t>JORGE DA SILVA PORTUGAL</t>
  </si>
  <si>
    <t>JUCELIA DA SILVA ARAUJO</t>
  </si>
  <si>
    <t>emeicsazul@sme.prefeitura.sp.gov.br</t>
  </si>
  <si>
    <t>emefcrlconsolin@sme.prefeitura.sp.gov.br</t>
  </si>
  <si>
    <t>emeiapanzan@sme.prefeitura.sp.gov.br</t>
  </si>
  <si>
    <t>LISIANE ALTEAFALQUETE</t>
  </si>
  <si>
    <t>emeittcarvalho@sme.prefeitura.sp.gov.br</t>
  </si>
  <si>
    <t>emeimcdrocha@sme.prefeitura.sp.gov.br</t>
  </si>
  <si>
    <t>GERALDO GUTEMBERGUE ALMEIDA OLIVEIRA</t>
  </si>
  <si>
    <t>emeirmarcelo@sme.prefeitura.sp.gov.br</t>
  </si>
  <si>
    <t>emeiabluz@sme.prefeitura.sp.gov.br</t>
  </si>
  <si>
    <t>emeidfcosta@sme.prefeitura.sp.gov.br</t>
  </si>
  <si>
    <t>emeidfc@sme.prefeitura.sp.gov.br</t>
  </si>
  <si>
    <t>MONICA FIORI REGO</t>
  </si>
  <si>
    <t>emeincstinchi@sme.prefeitura.sp.gov.br</t>
  </si>
  <si>
    <t>emeicmsantos@sme.prefeitura.sp.gov.br</t>
  </si>
  <si>
    <t>emeidmachado@sme.prefeitura.sp.gov.br</t>
  </si>
  <si>
    <t>DÉBORA CRISTINA MARTIM DOS SANTOS</t>
  </si>
  <si>
    <t>EDIVANIA CONCEIÇÃO RABELO DE SOUSA</t>
  </si>
  <si>
    <t>emefjqribeiro@sme.prefeitura.sp.gov.br</t>
  </si>
  <si>
    <t>emeijcandido@sme.prefeitura.sp.gov.br</t>
  </si>
  <si>
    <t>emefileusa@sme.prefeitura.sp.gov.br</t>
  </si>
  <si>
    <t>emeimfmazevedo@sme.prefeitura.sp.gov.br</t>
  </si>
  <si>
    <t>emeisilviocaldas@sme.prefeitura.sp.gov.br</t>
  </si>
  <si>
    <t>Evanilde Paula de Sousa Silva</t>
  </si>
  <si>
    <t>emefpgschunck@sme.prefeitura.sp.gov.br</t>
  </si>
  <si>
    <t>MARCIA APARECIDA LOPES</t>
  </si>
  <si>
    <t>emefjkauffmann@sme.prefeitura.sp.gov.br</t>
  </si>
  <si>
    <t>ACACIA PEDRONEZ TREVIZAN</t>
  </si>
  <si>
    <t>emeflilianeverzini@sme.prefeitura.sp.gov.br</t>
  </si>
  <si>
    <t>JOSE MARCELO BIAGIONI BARONI</t>
  </si>
  <si>
    <t>ANTONIO SERGIO GOMES SILVA</t>
  </si>
  <si>
    <t>emeiakreta@sme.prefeitura.sp.gov.br</t>
  </si>
  <si>
    <t>emeimsantos@sme.prefeitura.sp.gov.br</t>
  </si>
  <si>
    <t>emeiclemencia@sme.prefeitura.sp.gov.br</t>
  </si>
  <si>
    <t>emeijdazul@sme.prefeitura.sp.gov.br</t>
  </si>
  <si>
    <t>EDNILSON FERNANDO GHILARD</t>
  </si>
  <si>
    <t>emeimlsoliveira@sme.prefeitura.sp.gov.br</t>
  </si>
  <si>
    <t>ANDRÉ LUIZ MENDES DA COSTA</t>
  </si>
  <si>
    <t>emeijapereira@sme.prefeitura.sp.gov.br</t>
  </si>
  <si>
    <t xml:space="preserve">ANGELA CONCEIÇÃO MENEZES L. FERREIRA </t>
  </si>
  <si>
    <t>emeijfelicidade@sme.prefeitura.sp.gov.br</t>
  </si>
  <si>
    <t xml:space="preserve">FABIANO DE MOURA DUO </t>
  </si>
  <si>
    <t>emeimmachado@sme.prefeitura.sp.gov.br</t>
  </si>
  <si>
    <t>AMANDA BRITO SILVA</t>
  </si>
  <si>
    <t>emeijmbelo@sme.prefeitura.sp.gov.br</t>
  </si>
  <si>
    <t xml:space="preserve">VALÉRIA MARQUES MENDES </t>
  </si>
  <si>
    <t xml:space="preserve">THAISA NASCIMENTO ROCHA ALCANTARA </t>
  </si>
  <si>
    <t>emeifarodrigues@sme.prefeitura.sp.gov.br</t>
  </si>
  <si>
    <t>emeiaplcarrilho@sme.prefeitura.sp.gov.br</t>
  </si>
  <si>
    <t>MAXIMILIA ALVES VIANA</t>
  </si>
  <si>
    <t>emeflrmega@sme.prefeitura.sp.gov.br</t>
  </si>
  <si>
    <t>RENATA DE CASSIA SANTANA C. MAZZUCATTO</t>
  </si>
  <si>
    <t>emeilbiraghi@sme.prefeitura.sp.gov.br</t>
  </si>
  <si>
    <t>emeivboas@sme.prefeitura.sp.gov.br</t>
  </si>
  <si>
    <t>ADRIANA CARVALHO LOPES DOS SANTOS</t>
  </si>
  <si>
    <t>emeimitsutani@sme.prefeitura.sp.gov.br</t>
  </si>
  <si>
    <t xml:space="preserve"> CLEIDE DIAS VIEIRA DOS SANTOS </t>
  </si>
  <si>
    <t>rosangelaferreira@prefeitura.sp.gov.br</t>
  </si>
  <si>
    <t>emeireccbelo@sme.prefeitura.sp.gov.br</t>
  </si>
  <si>
    <t>emeijvnova@sme.prefeitura.sp.gov.br</t>
  </si>
  <si>
    <t>emefrrnaddeo@sme.prefeitura.sp.gov.br</t>
  </si>
  <si>
    <t>emefthereza@sme.prefeitura.sp.gov.br</t>
  </si>
  <si>
    <t>emefrechumildes@sme.prefeitura.sp.gov.br</t>
  </si>
  <si>
    <t>DENISE RUSSO DA SILVA OLHIER</t>
  </si>
  <si>
    <t xml:space="preserve">KATIA MARIA CYPRIANO DOS SANTOS </t>
  </si>
  <si>
    <t>emefgdmbelo@sme.prefeitura.sp.gov.br</t>
  </si>
  <si>
    <t>emefenzoasilvestrin@sme.prefeitura.sp.gov.br</t>
  </si>
  <si>
    <t xml:space="preserve">MARCO AURELIO LOUREIRO </t>
  </si>
  <si>
    <t>VANESSA BOLANI PAREJA</t>
  </si>
  <si>
    <t>emefmariolago@sme.prefeitura.sp.gov.br</t>
  </si>
  <si>
    <t>FELLIPE CAMILO</t>
  </si>
  <si>
    <t xml:space="preserve">GIANE MARGARETE RODRIGUES SOUZA </t>
  </si>
  <si>
    <t>emefjdlaranjeiras@sme.prefeitura.sp.gov.br</t>
  </si>
  <si>
    <t>emefveremundototh@sme.prefeitura.sp.gov.br</t>
  </si>
  <si>
    <t>emefpqflores@sme.prefeitura.sp.gov.br</t>
  </si>
  <si>
    <t>CONCEIÇÃO APARECIDA DE SALES</t>
  </si>
  <si>
    <t>emefjdbritania@sme.prefeitura.sp.gov.br</t>
  </si>
  <si>
    <t>emefpwogonçalves@sme.prefeitura.sp.gov.br</t>
  </si>
  <si>
    <t>emefceumcmachado@sme.prefeitura.sp.gov.br</t>
  </si>
  <si>
    <t>VANESSA LEME AMANCIO MARÇAL</t>
  </si>
  <si>
    <t>emefjdvnova@sme.prefeitura.sp.gov.br</t>
  </si>
  <si>
    <t>ANALIS MONTESANTTI ARAUJO SILVA</t>
  </si>
  <si>
    <t>emefjpegoraro@sme.prefeitura.sp.gov.br</t>
  </si>
  <si>
    <t>SONIA PEREIRA DA SILVA</t>
  </si>
  <si>
    <t>ANGELA MARIA CORDEIRO</t>
  </si>
  <si>
    <t>emefjcastro@sme.prefeitura.sp.gov.br</t>
  </si>
  <si>
    <t xml:space="preserve">SAMUEL FERNANDO CARDOSO DA SILVA </t>
  </si>
  <si>
    <t>emeinamanha@sme.prefeitura.sp.gov.br</t>
  </si>
  <si>
    <t>emeigpessego@sme.prefeitura.sp.gov.br</t>
  </si>
  <si>
    <t>emeffazjuta@sme.prefeitura.sp.gov.br</t>
  </si>
  <si>
    <t>emefecarone@sme.prefeitura.sp.gov.br</t>
  </si>
  <si>
    <t xml:space="preserve">JULIANA LEITE SILVA SANTOS </t>
  </si>
  <si>
    <t>emeipfreire@sme.prefeitura.sp.gov.br</t>
  </si>
  <si>
    <t>emeiceupfreire@sme.prefeitura.sp.gov.br</t>
  </si>
  <si>
    <t>FRANCINILDO VICENTE ALVES</t>
  </si>
  <si>
    <t>emeicsfrancisco@sme.prefeitura.sp.gov.br</t>
  </si>
  <si>
    <t>emeicgoiti@sme.prefeitura.sp.gov.br</t>
  </si>
  <si>
    <t>emeisdsilva@sme.prefeitura.sp.gov.br</t>
  </si>
  <si>
    <t>emeiglobodosol@sme.prefeitura.sp.gov.br</t>
  </si>
  <si>
    <t>MEIRE ADRIANE RAMOS SCIPTORE</t>
  </si>
  <si>
    <t>emeimbaptista@sme.prefeitura.sp.gov.br</t>
  </si>
  <si>
    <t>BEATRIZ CAMPOS DE ANDRADE</t>
  </si>
  <si>
    <t>emeiavolpi@sme.prefeitura.sp.gov.br</t>
  </si>
  <si>
    <t>MARIA JUDNEY P. MENDES</t>
  </si>
  <si>
    <t>emefhtavares@sme.prefeitura.sp.gov.br</t>
  </si>
  <si>
    <t>MARCO ANTONIO LOPES</t>
  </si>
  <si>
    <t>emeimrfusari@sme.prefeitura.sp.gov.br</t>
  </si>
  <si>
    <t>emefcoutinho@sme.prefeitura.sp.gov.br</t>
  </si>
  <si>
    <t>SIMONE SERAFIM DA COSTA</t>
  </si>
  <si>
    <t>emefgtavolaro@sme.prefeitura.sp.gov.br</t>
  </si>
  <si>
    <t>emeiapcsantos@sme.prefeitura.sp.gov.br</t>
  </si>
  <si>
    <t>SANDRA VIEIRA LIMA</t>
  </si>
  <si>
    <t>emeiraulnemenz@sme.prefeitura.sp.gov.br</t>
  </si>
  <si>
    <t>MARIA APARECIDA DE LIMA PEREIRA</t>
  </si>
  <si>
    <t>emeftmfigueiredo@sme.prefeitura.sp.gov.br</t>
  </si>
  <si>
    <t>emeiwrsantos@sme.prefeitura.sp.gov.br</t>
  </si>
  <si>
    <t>emefdaisyfujiwara@sme.prefeitura.sp.gov.br</t>
  </si>
  <si>
    <t>emeilauraconceicao@sme.prefeitura.sp.gov.br</t>
  </si>
  <si>
    <t>emeijrcaraujo@sme.prefeitura.sp.gov.br</t>
  </si>
  <si>
    <t>PATRICIA BITTENCOURT HERTZMANN</t>
  </si>
  <si>
    <t>emeijpaulo2@sme.prefeitura.sp.gov.br</t>
  </si>
  <si>
    <t>CHARLENE LOPES RIBEIRO BARRA</t>
  </si>
  <si>
    <t>emefaosampaio@sme.prefeitura.sp.gov.br</t>
  </si>
  <si>
    <t>emeizeliagattai@sme.prefeitura.sp.gov.br</t>
  </si>
  <si>
    <t>MELISSA TOSTI ANDRADE</t>
  </si>
  <si>
    <t xml:space="preserve">CARIEN BRANDI NOGUEIRA </t>
  </si>
  <si>
    <t>emeigeorgesavallagomescarequinha@sme.prefeitura.sp.gov.br</t>
  </si>
  <si>
    <t>emefaldotofori@sme.prefeitura.sp.gov.br</t>
  </si>
  <si>
    <t>SHIRLEY APARECIDA PEREIRA</t>
  </si>
  <si>
    <t>emeigrajau@sme.prefeitura.sp.gov.br</t>
  </si>
  <si>
    <t>MICHELLEKISSEL DE OLIVEIRA</t>
  </si>
  <si>
    <t>emeicecaranha@sme.prefeitura.sp.gov.br</t>
  </si>
  <si>
    <t>emefceualvarenga@sme.prefeitura.sp.gov.br</t>
  </si>
  <si>
    <t>emefceuaricanduva@sme.prefeitura.sp.gov.br</t>
  </si>
  <si>
    <t>emefceubutanta@sme.prefeitura.sp.gov.br</t>
  </si>
  <si>
    <t>emefceucidadedutra@sme.prefeitura.sp.gov.br</t>
  </si>
  <si>
    <t>JUSSARA DE SOUZA FERREIRA</t>
  </si>
  <si>
    <t>emefceuinaciomonteiro@sme.prefeitura.sp.gov.br</t>
  </si>
  <si>
    <t>emefceujambeiro@sme.prefeitura.sp.gov.br</t>
  </si>
  <si>
    <t>DAMARIS AXELSON JULIAN SILVA</t>
  </si>
  <si>
    <t>emefceumeninos@sme.prefeitura.sp.gov.br</t>
  </si>
  <si>
    <t>Morgana Rodrigues Jardim</t>
  </si>
  <si>
    <t>emefmrcpsbraga@sme.prefeitura.sp.gov.br</t>
  </si>
  <si>
    <t>emefceupscarlos@sme.prefeitura.sp.gov.br</t>
  </si>
  <si>
    <t>ADRIANA LOYOLA CAFÉ</t>
  </si>
  <si>
    <t>ELAINE MENDES DA SILVA</t>
  </si>
  <si>
    <t>emefceuperamarmelo@sme.prefeitura.sp.gov.br</t>
  </si>
  <si>
    <t xml:space="preserve">RENATA FERREIRA DE MORAIS </t>
  </si>
  <si>
    <t>emefceuperus@sme.prefeitura.sp.gov.br</t>
  </si>
  <si>
    <t>MILENE SANTOS ALCANTARA ALVES</t>
  </si>
  <si>
    <t>emefceucandidadoran@sme.prefeitura.sp.gov.br</t>
  </si>
  <si>
    <t>emeffrebolo@sme.prefeitura.sp.gov.br</t>
  </si>
  <si>
    <t>emefceutreslagos@sme.prefeitura.sp.gov.br</t>
  </si>
  <si>
    <t>ANTONIO APARECIDA FERREIRA</t>
  </si>
  <si>
    <t>emefceuvatalntica@sme.prefeitura.sp.gov.br</t>
  </si>
  <si>
    <t xml:space="preserve">NELSON FLAVIO MORAES DE OLIVEIRA </t>
  </si>
  <si>
    <t>emefceuvcuruça@sme.prefeitura.sp.gov.br</t>
  </si>
  <si>
    <t>emeiceualvarenga@sme.prefeitura.sp.gov.br</t>
  </si>
  <si>
    <t>BRUNA SAIZ DOS REIS</t>
  </si>
  <si>
    <t>emeiceuaricanduva@sme.prefeitura.sp.gov.br</t>
  </si>
  <si>
    <t>emeiceubutanta@sme.prefeitura.sp.gov.br</t>
  </si>
  <si>
    <t>emefjbjunior@sme.prefeitura.sp.gov.br</t>
  </si>
  <si>
    <t>emeiceuinaciomonteiro@sme.prefeitura.sp.gov.br</t>
  </si>
  <si>
    <t>MARIA APARECIDA MAGALHÃES SILVA</t>
  </si>
  <si>
    <t>emeiceutheresinhassilva@sme.prefeitura.sp.gov.br</t>
  </si>
  <si>
    <t>FABIANA DE MEDEIROS</t>
  </si>
  <si>
    <t>emeiceunavegantes@sme.prefeitura.sp.gov.br</t>
  </si>
  <si>
    <t>DANIELE COSTA DE MOURA BRAZ</t>
  </si>
  <si>
    <t>emeiceupqveredas@sme.prefeitura.sp.gov.br</t>
  </si>
  <si>
    <t>CLÓVIS DIAS DOS PASSOS</t>
  </si>
  <si>
    <t>MARCIA RODRIGUES SILVA BARBOSA</t>
  </si>
  <si>
    <t>emeiceuperamarmelo@sme.prefeitura.sp.gov.br</t>
  </si>
  <si>
    <t xml:space="preserve">PRISCILA RAED COSTA </t>
  </si>
  <si>
    <t>emefvgrande@sme.prefeitura.sp.gov.br</t>
  </si>
  <si>
    <t>SANDRA REGINA RODRIGUES</t>
  </si>
  <si>
    <t>VERA LÚCIA SANTOS SILVA</t>
  </si>
  <si>
    <t>emeiceusaomateus@sme.prefeitura.sp.gov.br</t>
  </si>
  <si>
    <t>EDILAINE MAGALHÃES BRITO DE SOUZA</t>
  </si>
  <si>
    <t>emeiceutreslagos@sme.prefeitura.sp.gov.br</t>
  </si>
  <si>
    <t>MARCIA FRANÇA DA SILVA</t>
  </si>
  <si>
    <t>emeiceuvatlantica@sme.prefeitura.sp.gov.br</t>
  </si>
  <si>
    <t xml:space="preserve">CRISTINA CASTRO TAVARES </t>
  </si>
  <si>
    <t>emeicvcuruca@sme.prefeitura.sp.gov.br</t>
  </si>
  <si>
    <t>emeiceurosadachina@sme.prefeitura.sp.gov.br</t>
  </si>
  <si>
    <t>MARGARETE VITAL PRADO</t>
  </si>
  <si>
    <t>emeijltorrre@sme.prefeitura.sp.gov.br</t>
  </si>
  <si>
    <t>emeimaplcoiado@sme.prefeitura.sp.gov.br</t>
  </si>
  <si>
    <t>MARA DE FATIMA ESTEVES</t>
  </si>
  <si>
    <t>CARLUCY SILVA EVANGELISTA FERREIRA</t>
  </si>
  <si>
    <t>emeiceucasablanca@sme.prefeitura.sp.gov.br</t>
  </si>
  <si>
    <t>GYSELE MEIRA GONÇALVES BARRETO</t>
  </si>
  <si>
    <t>emefceucasablanca@sme.prefeitura.sp.gov.br</t>
  </si>
  <si>
    <t>ALESSANDRA APARECIDA GONÇALVES GOIS MONTEIRO</t>
  </si>
  <si>
    <t>emeiceupaz@sme.prefeitura.sp.gov.br</t>
  </si>
  <si>
    <t>14024-4</t>
  </si>
  <si>
    <t>HELENA DE PAULA SENE DA SILVA</t>
  </si>
  <si>
    <t>emefjoaodasilva@sme.prefeitura.sp.gov.br</t>
  </si>
  <si>
    <t>emeiceucampolimpo@sme.prefeitura.sp.gov.br</t>
  </si>
  <si>
    <t>ISABEL CRISTINA BUCCINI</t>
  </si>
  <si>
    <t>emefhfsouza@sme.prefeitura.sp.gov.br</t>
  </si>
  <si>
    <t>emeifsabino@sme.prefeitura.sp.gov.br</t>
  </si>
  <si>
    <t>FERNANDA CARVALHO DOS REIS</t>
  </si>
  <si>
    <t>emeigcangaiba@sme.prefeitura.sp.gov.br</t>
  </si>
  <si>
    <t>SILVANA PEREIRA DA SILVA</t>
  </si>
  <si>
    <t>ceiceujardimsoares@sme.prefeitura.sp.gov.br</t>
  </si>
  <si>
    <t>emeijimperador@sme.prefeitura.sp.gov.br</t>
  </si>
  <si>
    <t>emeijconquista@sme.prefeitura.sp.gov.br</t>
  </si>
  <si>
    <t>emefmvqfilho@sme.prefeitura.sp.gov.br</t>
  </si>
  <si>
    <t>emefpgsantos@sme.prefeitura.sp.gov.br</t>
  </si>
  <si>
    <t xml:space="preserve">LAIS MENDES DOS SANTOS OLIVEIRA </t>
  </si>
  <si>
    <t>emeiceuednaalves@sme.prefeitura.sp.gov.br</t>
  </si>
  <si>
    <t>emeicrlandim@sme.prefeitura.sp.gov.br</t>
  </si>
  <si>
    <t>emeicidadekemel@sme.prefeitura.sp.gov.br</t>
  </si>
  <si>
    <t>FATIMA APARECIDA BOTELHO CHEMELLO BERSANI</t>
  </si>
  <si>
    <t>emeipqbristol@sme.prefeitura.sp.gov.br</t>
  </si>
  <si>
    <t>Marcia Aparecida Fabbri</t>
  </si>
  <si>
    <t>emeijardimdaconquistall@sme.prefeitura.sp.gov.br</t>
  </si>
  <si>
    <t>emeflbsantos@sme.prefeitura.sp.gov.br</t>
  </si>
  <si>
    <t>emefcityjaragua@sme.prefeitura.sp.gov.br</t>
  </si>
  <si>
    <t xml:space="preserve">ANDERSON CLAYTON SANTOS SILVA </t>
  </si>
  <si>
    <t>emeiodileabmattos@sme.prefeitura.sp.gov.br</t>
  </si>
  <si>
    <t>emeijnsamaro@sme.prefeitura.sp.gov.br</t>
  </si>
  <si>
    <t>emeimafreire@sme.prefeitura.sp.gov.br</t>
  </si>
  <si>
    <t>emeijaguare@sme.prefeitura.sp.gov.br</t>
  </si>
  <si>
    <t xml:space="preserve">MARINONIA DIAS BEVENUTO </t>
  </si>
  <si>
    <t>emeiriopequeno@sme.prefeitura.sp.gov.br</t>
  </si>
  <si>
    <t>ceuemeiaguaazul@sme.prefeitura.sp.gov.br</t>
  </si>
  <si>
    <t>ANA PAULA GUBASTA GAMA</t>
  </si>
  <si>
    <t>RUSIMEIRE RIBEIRO DOS SANTOS</t>
  </si>
  <si>
    <t>emeijorgeamado@sme.prefeitura.sp.gov.br</t>
  </si>
  <si>
    <t xml:space="preserve">MARIA APARECIDA CORNELIO DA SILVA </t>
  </si>
  <si>
    <t>emeiceuvrubi@sme.prefeitura.sp.gov.br</t>
  </si>
  <si>
    <t>emeiceijacana@sme.prefeitura.sp.gov.br</t>
  </si>
  <si>
    <t>emefceuaguaazul@sme.prefeitura.sp.gov.br</t>
  </si>
  <si>
    <t>51.834-4</t>
  </si>
  <si>
    <t>emefceufeiticodavila@sme.prefeitura.sp.gov.br</t>
  </si>
  <si>
    <t>MARIA CRISTINA SILVA FELIPINI</t>
  </si>
  <si>
    <t>emefceuvilarubi@sme.prefeitura.sp.gov.br</t>
  </si>
  <si>
    <t>EVANDRO DA SILVA ROCHA</t>
  </si>
  <si>
    <t>emefceujacana@sme.prefeitura.sp.gov.br</t>
  </si>
  <si>
    <t>ROSA MARQUES DOS SANTOS</t>
  </si>
  <si>
    <t>emeiceufeiticodavila@sme.prefeitura.sp.gov.br</t>
  </si>
  <si>
    <t>emeicidadeaecarvalho@sme.prefeitura.sp.gov.br</t>
  </si>
  <si>
    <t>SORAIA DA SILVA ARANITI OLIVEIRA</t>
  </si>
  <si>
    <t>emeiparaisopolis@sme.prefeitura.sp.gov.br</t>
  </si>
  <si>
    <t>DAIANE SIERRA BALDASSARINI GOMES</t>
  </si>
  <si>
    <t>emefjguarani@sme.prefeitura.sp.gov.br</t>
  </si>
  <si>
    <t>MARIA SUELI DE FRANÇA</t>
  </si>
  <si>
    <t>FLAVIA GRIJP FANTI</t>
  </si>
  <si>
    <t>emeijdkeralux@sme.prefeitura.sp.gov.br</t>
  </si>
  <si>
    <t>emeileilamaria@sme.prefeitura.sp.gob.br</t>
  </si>
  <si>
    <t>ELIANA DE MOURA SOUZA</t>
  </si>
  <si>
    <t>emeielizamtorres@sme.prefeitura.sp.gov.br</t>
  </si>
  <si>
    <t>MARIA AP. DA SILVA AQUINO DE OLIVEIRA</t>
  </si>
  <si>
    <t>estrtur@sme.prefeitura.sp.gov.br</t>
  </si>
  <si>
    <t>ROBERTO HENRIQUE DO NASCIMENTO</t>
  </si>
  <si>
    <t>emeinajlacuriizar@sme.prefeitura.sp.gov.br</t>
  </si>
  <si>
    <t>LILIAN ALTRAN</t>
  </si>
  <si>
    <t>emefconquista@sme.prefeitura.sp.gov.br</t>
  </si>
  <si>
    <t>emefgianguarnieri@sme.prefeitura.sp.gov.br</t>
  </si>
  <si>
    <t>emefjddamasceno@sme.prefeitura.sp.gov.br</t>
  </si>
  <si>
    <t>RUBENS ALEXANDRINO SILVA</t>
  </si>
  <si>
    <t>emefjherminio@sme.prefeitura.sp.gov.br</t>
  </si>
  <si>
    <t>37958-1</t>
  </si>
  <si>
    <t>emefmarilidias@sme.prefeitura.sp.gov.br</t>
  </si>
  <si>
    <t>emeiceuguarapiranga@sme.prefeitura.sp.gov.br</t>
  </si>
  <si>
    <t>SONIA MARIA DIAS</t>
  </si>
  <si>
    <t>emeiceucantosdoamanhecer@sme.prefeitura.sp.gov.br</t>
  </si>
  <si>
    <t>emeiceuviladosol@sme.prefeitura.sp.gov.br</t>
  </si>
  <si>
    <t>emeiceujdpaulistano@sme.prefeitura.sp.gov.br</t>
  </si>
  <si>
    <t>ANA CARLA SILVA DE OLIVEIRA CHANTIRI</t>
  </si>
  <si>
    <t>emeibrazjaimeromano@sme.prefeitura.sp.gov.br</t>
  </si>
  <si>
    <t>CARINA GODINHO DE OLIVEIRA CASTRO</t>
  </si>
  <si>
    <t>TECILIA TEODORO GOMES DA COSTA</t>
  </si>
  <si>
    <t>emeiceusapopemba@sme.prefeitura.sp.gov.br</t>
  </si>
  <si>
    <t>emeiceutrêspontes@sme.prefeitura.sp.gov.br</t>
  </si>
  <si>
    <t>ALCINA APARECIDA DE MELO FERREIRA</t>
  </si>
  <si>
    <t>ADRIANA APARECIDA SILVESTRE</t>
  </si>
  <si>
    <t>emefceuguarapiranga@sme.prefeitura.sp.gov.br</t>
  </si>
  <si>
    <t>emefceucantosdoamanhecer@sme.prefeitura.sp.gov.br</t>
  </si>
  <si>
    <t>emefceuviladosol@sme.prefeitura.sp.gov.br</t>
  </si>
  <si>
    <t>emefceujdpaulistano@sme.prefeitura.sp.gov.br</t>
  </si>
  <si>
    <t>NILCEIA REGINA FERREIRA</t>
  </si>
  <si>
    <t>MARCIA MARIA DE CARVALHO</t>
  </si>
  <si>
    <t>emeiceuroquesmbarros@sme.prefeitura.sp.gov.br</t>
  </si>
  <si>
    <t>ANA PAULA JACOMOSSI DE LIMA</t>
  </si>
  <si>
    <t>emefceurosangelavieira@sme.prefeitura.sp.gov.br</t>
  </si>
  <si>
    <t>WASHINGTON LUIZ GUIRAU DE ASSUNÇÃO</t>
  </si>
  <si>
    <t>emefceusapopemba@sme.prefeitura.sp.gov.br</t>
  </si>
  <si>
    <t>emefceutpontes@sme.prefeitura.sp.gov.br</t>
  </si>
  <si>
    <t>emefceulajeado@sme.prefeitura.sp.gov.br</t>
  </si>
  <si>
    <t>jdmitsutani@sme.prefeitura.sp.gov.br</t>
  </si>
  <si>
    <t>emeiceucaminhomar@sme.prefeitura.sp.gov.br</t>
  </si>
  <si>
    <t>emefsonhoazul@sme.prefeitura.sp.gov.br</t>
  </si>
  <si>
    <t>emefceucaminhomar@sme.prefeitura.sp.gov.br</t>
  </si>
  <si>
    <t>ABSOLON DE OILVEIRA</t>
  </si>
  <si>
    <t>emeiceucapaoredondo@sme.prefeitura.sp.gov.br</t>
  </si>
  <si>
    <t>MARIA IDEVANIRA RODRIGUES DE SOUZA</t>
  </si>
  <si>
    <t>emeiceuparaisopolis@sme.prefeitura.sp.gov.br</t>
  </si>
  <si>
    <t>NILSON LAVES DE SOUZA</t>
  </si>
  <si>
    <t>emeiceupqbristol@sme.prefeitura.sp.gov.br</t>
  </si>
  <si>
    <t>Julio Cesar Pereira</t>
  </si>
  <si>
    <t>emeiceuformosa@sme.prefeitura.sp.gov.br</t>
  </si>
  <si>
    <t>emeiceuuirapuru@sme.prefeitura.sp.gov.br</t>
  </si>
  <si>
    <t>emeiesliporoni@sme.prefeitura.sp.gov.br</t>
  </si>
  <si>
    <t>emeiceualtoalegre@sme.prefeitura.sp.gov.br</t>
  </si>
  <si>
    <t>CARLOS EDUARDO PINTO VERGUEIRO FILHO</t>
  </si>
  <si>
    <t>emefceuparaisopolis@sme.prefeitura.sp.gov.br</t>
  </si>
  <si>
    <t>ANA PAULA CORREIA NEIVA</t>
  </si>
  <si>
    <t>emefceupqbristol@sme.prefeitura.sp.gov.br</t>
  </si>
  <si>
    <t>emefceuformosa@sme.prefeitura.sp.gov.br</t>
  </si>
  <si>
    <t>emefceutiquatira@sme.prefeitura.sp.gov.br</t>
  </si>
  <si>
    <t>emefceuantoniocarlosrocha@sme.prefeitura.sp,gov.br</t>
  </si>
  <si>
    <t>LILIANA SANTORO SANTOS</t>
  </si>
  <si>
    <t>emefceupqanhanguera@sme.prefeitura.sp.gov.br</t>
  </si>
  <si>
    <t>emefceujaguare@sme.prefeitura.sp.gov.br</t>
  </si>
  <si>
    <t>emefceualtoalegre@sme.prefeitura.sp.gov.br</t>
  </si>
  <si>
    <t>ANA CRISTINA P. DA SILVA</t>
  </si>
  <si>
    <t>emeiceujaguaré@sme.prefeitura.sp.gov.br</t>
  </si>
  <si>
    <t xml:space="preserve">ELAINE DA SILVA DOURADO LIMA </t>
  </si>
  <si>
    <t>emeibernardinopmendes@sme.prefeitura.sp.gov.br</t>
  </si>
  <si>
    <t>LUCIVÂNIA APARECIDA DA COSTA ALVES</t>
  </si>
  <si>
    <t>emefcairaamedea@sme.prefeitura.sp.gov.br</t>
  </si>
  <si>
    <t>emefneiraugustolopes@sme.prefeitura.sp.gov.br</t>
  </si>
  <si>
    <t>CACHOEIRINHA</t>
  </si>
  <si>
    <t>emefserafinmartinezgutierrez@sme.prefeitura.sp.gov.br</t>
  </si>
  <si>
    <t>VIVIANI SOARES JORDANO</t>
  </si>
  <si>
    <t>emefserafinmartinezgutierez@sme.prefeitura.sp,gov.br</t>
  </si>
  <si>
    <t>ISABEL MIGUEL DA SILVA</t>
  </si>
  <si>
    <t>emeflutecia@sme.prefeitura.sp.gov.br</t>
  </si>
  <si>
    <t>emefaguasdemarco@sme.prefeitura.sp.gov.br</t>
  </si>
  <si>
    <t>MARIA CRISTINA ANTONIA</t>
  </si>
  <si>
    <t>emefdepjanuario@sme.prefeitura.sp.gov.br</t>
  </si>
  <si>
    <t>MARCOS ANTONIO FERREIRA</t>
  </si>
  <si>
    <t>emefdama@sme.prefeitura.sp.gov.br</t>
  </si>
  <si>
    <t>emefjardimfontalis@sme.prefeitura.sp.gov.br</t>
  </si>
  <si>
    <t>MARIA IZABEL FARIAS FERREIRA</t>
  </si>
  <si>
    <t>emefzscarvalho@sme.prefeitura.sp.gov.br</t>
  </si>
  <si>
    <t>ROSANGELA APARECIDA KRAUT</t>
  </si>
  <si>
    <t>SILVANA MAXIMINO DE GODOY NARDI</t>
  </si>
  <si>
    <t>emeivilaverde@sme.prefeitura.sp.gov.br</t>
  </si>
  <si>
    <t>emefcaucasica@sme.prefeitura.sp.gov.br</t>
  </si>
  <si>
    <t>emefgdupas@sme.prefeitura.sp.gov.br</t>
  </si>
  <si>
    <t>KARINA DE FIGUEIREDO VIOLLA</t>
  </si>
  <si>
    <t>emefcindio@sme.prefeitura.sp.gov.br</t>
  </si>
  <si>
    <t>DANIELA SGOTI DA SILVA</t>
  </si>
  <si>
    <t>emefcastor@sme.prefeitura.sp.gov.br</t>
  </si>
  <si>
    <t>emeffpqboaesperanca@sme.prefeitura.sp.gov.br</t>
  </si>
  <si>
    <t>emefcdhusmpaulistaii@sme.prefeitura.sp.gov.br</t>
  </si>
  <si>
    <t>DANIELE OLIVEIRA SANCHEZ PAIVA</t>
  </si>
  <si>
    <t>emefmurures@sme.prefeitura.sp.gov.br</t>
  </si>
  <si>
    <t>emefbadra@sme.prefeitura.sp.gov.br</t>
  </si>
  <si>
    <t xml:space="preserve">FRANCISCO DE ASSIS SIMOES </t>
  </si>
  <si>
    <t>emefnanybenute@sme.prefeitura.sp.gov.br</t>
  </si>
  <si>
    <t>JESSE BARRETO</t>
  </si>
  <si>
    <t>EDIVINETE OLIVEIRA DE JESUS</t>
  </si>
  <si>
    <t>emefpirituba2@sme.prefeitura.sp.gov.br</t>
  </si>
  <si>
    <t>emefpirituba3@sme.prefeitura.sp.gov.br</t>
  </si>
  <si>
    <t xml:space="preserve">ANA PAULA BARBOSA </t>
  </si>
  <si>
    <t>emefvmunck@sme.prefeitura.sp.gov.br</t>
  </si>
  <si>
    <t>emefpaulovi@sme.prefeitura.sp.gov.br</t>
  </si>
  <si>
    <t>PLÍNIO PEREIRA DE SOUSA</t>
  </si>
  <si>
    <t>emefamcosta@sme.prefeitura.sp.gov.br</t>
  </si>
  <si>
    <t>emefalexmartinscosta@sme.prefeitura.sp.gov.br</t>
  </si>
  <si>
    <t>SILMÉRIA ADRIANO MOREIRA CAVALLINI</t>
  </si>
  <si>
    <t>emefanabenetti@sme.prefeitura.sp.gov.br</t>
  </si>
  <si>
    <t>emefcidadeademar@sme.prefeitura.sp.gov.br</t>
  </si>
  <si>
    <t>emeftajal@sme.prefeitura.sp.gov.br</t>
  </si>
  <si>
    <t>emefmboimirim1@sme.prefeitura.sp.gov.br</t>
  </si>
  <si>
    <t>NORMA CORREIA DUARTE FARIA</t>
  </si>
  <si>
    <t>emefmboimirim2@sme.prefeitura.sp.gov.br</t>
  </si>
  <si>
    <t>CARLOS ANTONIO PEIXOTO</t>
  </si>
  <si>
    <t>emefmboimirim@sme.prefeitura.sp.gov.br</t>
  </si>
  <si>
    <t>EDSON ALVES VIANA</t>
  </si>
  <si>
    <t>emefiguatemi@sme.prefeitura.sp.gov.br</t>
  </si>
  <si>
    <t>ANA PAULA SIQUEIRA OYAKWA</t>
  </si>
  <si>
    <t>emefcdhuvconceição@sme.prefeitura.sp.gov.br</t>
  </si>
  <si>
    <t>emefipiranga1@sme.prefeitura.sp.gov.br</t>
  </si>
  <si>
    <t>Enedino Lopes das Chagas</t>
  </si>
  <si>
    <t>emefcampolimpo1@sme.prefeitura.sp.gov.br</t>
  </si>
  <si>
    <t>CLARICE ARASHIRO</t>
  </si>
  <si>
    <t>emeiagiannini@sme.prefeitura.sp.gov.br</t>
  </si>
  <si>
    <t>emefcampolimpo3@sme.prefeitura.sp.gov.br</t>
  </si>
  <si>
    <t>emefparqueregina@sme.prefeitura.sp.gov.br</t>
  </si>
  <si>
    <t>cemei@sme.prefeitura.sp.gov.br</t>
  </si>
  <si>
    <t>emefitaima@sme.prefeitura.sp.gov.br</t>
  </si>
  <si>
    <t>emefcampolimpo2@sme.prefeitura.sp.gov.br</t>
  </si>
  <si>
    <t>emefgranja@sme.prefeitura.sp.gov.br</t>
  </si>
  <si>
    <t>emefdiasgomes@sme.prefeitura.sp.gov.br</t>
  </si>
  <si>
    <t>emefaldina@sme.prefeitura.sp.gov.br</t>
  </si>
  <si>
    <t>LUIZ DAMASCENO</t>
  </si>
  <si>
    <t>LUCICLER PEREIRA DE AZEVEDO</t>
  </si>
  <si>
    <t>emefvsmaria@sme.prefeitura.sp.gov.br</t>
  </si>
  <si>
    <t>IVANILDOS REIS CONDE</t>
  </si>
  <si>
    <t>emeiceuparelheiros@sme.prefeitura.sp.gov.br</t>
  </si>
  <si>
    <t>emefbarrobranco2@sme.prefeitura.sp.gov.br</t>
  </si>
  <si>
    <t>emeivilaema@sme.prefeitura.sp.gov.br</t>
  </si>
  <si>
    <t>Paula Agostinho Leal Castanha</t>
  </si>
  <si>
    <t>emefrferreira@sme.prefeitura.sp.gov.br</t>
  </si>
  <si>
    <t>MARIA LUZA A DE OLIVEIRA</t>
  </si>
  <si>
    <t>emeirecantohumildes@sme.prefeitura.sp.gov.br</t>
  </si>
  <si>
    <t xml:space="preserve">DENISE FRUTUOSO DOS SANTOS AZANHA </t>
  </si>
  <si>
    <t>emefjoelfernandes@sme.prefeitura.sp.gov.br</t>
  </si>
  <si>
    <t>LARA COSTA DOS SANTOS CARVALHO GUILHERME</t>
  </si>
  <si>
    <t>emeiparelheiros@sme.prefeitura.sp.gov.br</t>
  </si>
  <si>
    <t>NEUSA CARNEIRO DE ROCHA SILVA</t>
  </si>
  <si>
    <t>emefcdhuenorte@sme.prefeitura.sp.gov.br</t>
  </si>
  <si>
    <t>WILLIAM OLIVEIRA GUIMARÃES</t>
  </si>
  <si>
    <t>emeijpremiano@sme.prefeitura.sp.gov.br</t>
  </si>
  <si>
    <t>ELISANGELA DE O. FERNANDES</t>
  </si>
  <si>
    <t>emeicocaia@sme.prefeitura.sp.gov.br</t>
  </si>
  <si>
    <t>APARECIDA DIAS DE MELLO</t>
  </si>
  <si>
    <t>emeimariatfumagalli@sme.prefeitura.sp.gov.br</t>
  </si>
  <si>
    <t xml:space="preserve">ANDREIA DAS NEVES FERREIRA PASSOS </t>
  </si>
  <si>
    <t>ANDREA FLOR DOS SANTOS LEONARDI</t>
  </si>
  <si>
    <t>emefmpbicudo@sme.prefeitura.sp.gov.br</t>
  </si>
  <si>
    <t>LUCIANA LOPES BONATO DE SOUZA</t>
  </si>
  <si>
    <t>emefvprudente@sme.prefeitura.sp.gov.br</t>
  </si>
  <si>
    <t>emefceliaandery@sme.prefeitura.sp.gov.br</t>
  </si>
  <si>
    <t>ANTONIO MARCOS DA SILVA</t>
  </si>
  <si>
    <t>emefhelinacoutinho@sme.prefeitura.sp.gov.br</t>
  </si>
  <si>
    <t>VALMIR APARECIDO DANTAS</t>
  </si>
  <si>
    <t>emefmamfernandes@sme.prefeitura.sp.gov.br</t>
  </si>
  <si>
    <t>marcintra@sme.prefeitura.sp.gov.br</t>
  </si>
  <si>
    <t>112656-3</t>
  </si>
  <si>
    <t>MAURICIO DIAS</t>
  </si>
  <si>
    <t>emeiuniaovilanova@sme.prefeitura.sp.gov.br</t>
  </si>
  <si>
    <t>FRANCISCA MARIA NOGUEIRA TRINDADE</t>
  </si>
  <si>
    <t>emefjrodolfopirani@sme.prefeitura.sp.gov.br</t>
  </si>
  <si>
    <t>VALDIR ALVES DE OLIVEIRA</t>
  </si>
  <si>
    <t>emeimdoce@sme.prefeitura.sp.gov.br</t>
  </si>
  <si>
    <t xml:space="preserve">SIMONE SOUZA CARNEIRO OLIVEIRA </t>
  </si>
  <si>
    <t>emeflilianmaso@sme.prefeitura.sp.gov.br</t>
  </si>
  <si>
    <t>THAIS REGINA DE FREITAS</t>
  </si>
  <si>
    <t>DALINI DE BARROS GALVÃO SILVA</t>
  </si>
  <si>
    <t>emefestacaojaragua@sme.prefeitura.sp.gov.br</t>
  </si>
  <si>
    <t xml:space="preserve">JOAO CARLOS DE SOUZA </t>
  </si>
  <si>
    <t>emefameliarodrigues@sme.prefeitura.sp.gov.br</t>
  </si>
  <si>
    <t>emefperimetral@sme.prefeitura.sp.gov.br</t>
  </si>
  <si>
    <t xml:space="preserve">SIMONE DE BARROS SILVA </t>
  </si>
  <si>
    <t xml:space="preserve">JOSENILDA GONÇALVES DE SANTANA </t>
  </si>
  <si>
    <t>emeilourorosa@sme.prefeitura.sp.gov.br</t>
  </si>
  <si>
    <t>emeijardimmonjolo@sme.prefeitura.sp.gov.br</t>
  </si>
  <si>
    <t>7385-7</t>
  </si>
  <si>
    <t>LISBETE KEIDANN OLIVEIRA</t>
  </si>
  <si>
    <t>LIZANDRA INHASZ ANDRADE</t>
  </si>
  <si>
    <t>emeipacmoraes@sme.prefeitura.sp.gov.br</t>
  </si>
  <si>
    <t>emeicidadeademar1@sme.prefeitura.sp.gov.br</t>
  </si>
  <si>
    <t>emeicidadeademar2@sme.prefeitura.sp.gov.br</t>
  </si>
  <si>
    <t>emeivargemgrande@sme.prefeitura.sp.gov.br</t>
  </si>
  <si>
    <t>emefvargemgrande2@sme.prefeitura.sp.gov.br</t>
  </si>
  <si>
    <t>JOSÉ LEONARDO SILVEIRA SIQUEIRA</t>
  </si>
  <si>
    <t>DELMA DE PAULA DOURADO</t>
  </si>
  <si>
    <t>emeicidadeademar3@sme.prefeitura.sp.gov.br</t>
  </si>
  <si>
    <t>DANIELA BENTO FANDINO</t>
  </si>
  <si>
    <t>CLEUSA DE FÁTIMA BATISTA QUEIROZ FIGUEIREDO</t>
  </si>
  <si>
    <t>emefmariapnascimento@sme.prefeitura.sp.gov.br</t>
  </si>
  <si>
    <t>REJANE BORBA SANTIAGO SILVA</t>
  </si>
  <si>
    <t>DANIELE DE MELO OLIVEIRA DE CARVALHO</t>
  </si>
  <si>
    <t>emeiisolinaleonel@sme.prefeitura.sp.gov.br</t>
  </si>
  <si>
    <t>Egle Vaitekaites Callegari</t>
  </si>
  <si>
    <t>emeimarisaricca@sme.prefeitura.sp.gov.br</t>
  </si>
  <si>
    <t>renattyynha@hotmail.com</t>
  </si>
  <si>
    <t>Natalia Maria Sette Faustino</t>
  </si>
  <si>
    <t xml:space="preserve"> emeivnatal@sme.prefeitura.sp.gov.br</t>
  </si>
  <si>
    <t>NEUSA MARIA DE OLIVEIRA CIORNAVEL</t>
  </si>
  <si>
    <t>emefahuck@sme.prefeitura.sp.gov.br</t>
  </si>
  <si>
    <t xml:space="preserve">kterumi@gmail.com </t>
  </si>
  <si>
    <t>Rosineide Lima</t>
  </si>
  <si>
    <t>emeialfazemas@sme.prefeitura.sp.gov.br</t>
  </si>
  <si>
    <t>emeimarcianovasques@sme.prefeitura.sp.gov.br</t>
  </si>
  <si>
    <t>GEANE SOUZA SANTOS</t>
  </si>
  <si>
    <t>emeiportonacional@sme.prefeitura.sp.gov.br</t>
  </si>
  <si>
    <t>TALITA MATHEUS PINHEIRO SILVA</t>
  </si>
  <si>
    <t>ceijstereza@sme.prefeitura.sp.gov.br</t>
  </si>
  <si>
    <t>emeiestradacorredor@sme.prefeitura.sp.gov.br</t>
  </si>
  <si>
    <t>CAMILA SANTOS ICHIKAWA</t>
  </si>
  <si>
    <t xml:space="preserve">WANDA DE OLIVEIRA MORAES </t>
  </si>
  <si>
    <t>emeicidadetiradentes@sme.prefeitura.sp.gov.br</t>
  </si>
  <si>
    <t>ADRIANA GONÇALVES DE MIRANDA</t>
  </si>
  <si>
    <t>emeipqnacoes@sme.prefeitura.sp.gov.br</t>
  </si>
  <si>
    <t xml:space="preserve">BEATRIZ SOUZA DUARTE </t>
  </si>
  <si>
    <t>emefchacaraturistica@sme.prefeitura.sp.gov.br</t>
  </si>
  <si>
    <t xml:space="preserve">JONATHAN MONTEIRO DA MOTA </t>
  </si>
  <si>
    <t>emefpctalves@sme.prefeitura.sp.gov.br</t>
  </si>
  <si>
    <t>DANIELA CAPELLINI PEREIRA BERNARDO</t>
  </si>
  <si>
    <t>emeipqsantarita@sme.prefeitura.sp.gov.br</t>
  </si>
  <si>
    <t>JOEL ANTONIO DE FREITAS</t>
  </si>
  <si>
    <t>emeicampolimpo6@sme.prefeitura.sp.gov.br</t>
  </si>
  <si>
    <t>emefperatuba@sme.prefeitura.sp.gov.br</t>
  </si>
  <si>
    <t>cemeicapaoredondo@sme.prefeitura.sp.gov.br</t>
  </si>
  <si>
    <t>ADRIANA REGINA DE ANDRADE LUZ FAGUNDES</t>
  </si>
  <si>
    <t>emeivcalu@sme.prefeitura.sp.gov.br</t>
  </si>
  <si>
    <t>LENI GOMES VALADARES DA SILVA</t>
  </si>
  <si>
    <t>emeipqstoantonio1@sme.prefeitura.sp.gov.br</t>
  </si>
  <si>
    <t>emefpliniomarcos@sme.prefeitura.sp.gov.br</t>
  </si>
  <si>
    <t>SALETE DOMINGUES DA CRUZ</t>
  </si>
  <si>
    <t>cemeiperatuba@sme.prefeitura.sp.gov.br</t>
  </si>
  <si>
    <t>LEILA MARTINS</t>
  </si>
  <si>
    <t>emeijdkagohara1@sme.prefeitura.sp.gov.br</t>
  </si>
  <si>
    <t>emeijardimdosreis@sme.prefeitura.sp.gov.br</t>
  </si>
  <si>
    <t>emefbetinho@sme.prefeitura.sp.gov.br</t>
  </si>
  <si>
    <t>JOAQUINA DE ALMEIDA MORAES</t>
  </si>
  <si>
    <t>emeipqfgrande@sme.prefeitura.sp.gov.br</t>
  </si>
  <si>
    <t>emeicdhuitaima1@sme.prefeitura.sp.gov.br</t>
  </si>
  <si>
    <t>MÔNICA APARECIDA DIAS</t>
  </si>
  <si>
    <t>emefjbartira@sme.prefeitura.sp.gov.br</t>
  </si>
  <si>
    <t>emeibegoniareal@sme.prefeitura.sp.gov.br</t>
  </si>
  <si>
    <t>emefcriuva@sme.prefeitura.sp.gov.br</t>
  </si>
  <si>
    <t>JAIRO MAURÍCIO DA SILVA</t>
  </si>
  <si>
    <t>ERIC MOREIRA EUFRASINO</t>
  </si>
  <si>
    <t>emefvjacui@sme.prefeitura.sp.gov.br</t>
  </si>
  <si>
    <t>ANA CAROLINA SILVA DE ALCANTARA</t>
  </si>
  <si>
    <t>emefpedrofukuyei@sme.prefeitura.sp.gov.br</t>
  </si>
  <si>
    <t>emeijsandre@sme.prefeitura.sp.gov.br</t>
  </si>
  <si>
    <t>JOSÉ DENISON CORREIA DE SOUZA</t>
  </si>
  <si>
    <t>emefaclamado@sme.prefeitura.sp.gov.br</t>
  </si>
  <si>
    <t>emeijdubirajara@sme.prefeitura.sp.gov.br</t>
  </si>
  <si>
    <t>emeidoracisramos@sme.prefeitura.sp.gov.br</t>
  </si>
  <si>
    <t>JULIA APARECIDA SOUZA DE OLIVEIRA</t>
  </si>
  <si>
    <t>TAINAN MARQUEZIM PERES LIMA</t>
  </si>
  <si>
    <t>cemeijdangela@sme.prefeitura.sp.gov.br</t>
  </si>
  <si>
    <t>SHIRLEI APARECIDA DO CARMO</t>
  </si>
  <si>
    <t>emeipqbologne@sme.prefeitura.sp.gov.br</t>
  </si>
  <si>
    <t>emeipirajussara@sme.prefeitura.sp.gov.br</t>
  </si>
  <si>
    <t>emeiperimetral1@sme.prefeitura.sp.gov.br</t>
  </si>
  <si>
    <t>emeiandorinhadosbeirais@sme.prefeitura.sp.gov.br</t>
  </si>
  <si>
    <t>emeicsmaria@sme.prefeitura.sp.gov.br</t>
  </si>
  <si>
    <t>emeicssouza@sme.prefeitura.sp.gov.br</t>
  </si>
  <si>
    <t>emeijacandido@sme.prefeitura.sp.gov.br</t>
  </si>
  <si>
    <t>cemeileila@sme.prefeitura.sp.gov.br</t>
  </si>
  <si>
    <t>emeijdgaivotas@sme.prefeitura.sp.gov.br</t>
  </si>
  <si>
    <t>emeijmyrna@sme.prefeitura.sp.gov.br</t>
  </si>
  <si>
    <t>FÁTIMA PATRICIA FURUYAMA</t>
  </si>
  <si>
    <t>emeipedreira@sme.prefeitura.sp.gov.br</t>
  </si>
  <si>
    <t>emeilajeado1@sme.prefeitura.sp.gov.br</t>
  </si>
  <si>
    <t>RAYZA FERREIRA DE OLIVEIRA</t>
  </si>
  <si>
    <t>emeijdmluiza@sme.prefeitura.sp.gov.br</t>
  </si>
  <si>
    <t>VANESSA APARECIDA DA SILVA</t>
  </si>
  <si>
    <t>FABIANA BRITO DELFINO</t>
  </si>
  <si>
    <t>emefdskimura@sme.prefeitura.sp.gov.br</t>
  </si>
  <si>
    <t>emeijdamericanopolis@sme.prefeitura.sp.gov.br</t>
  </si>
  <si>
    <t>CAROLINE MARIA RODRIGUES EXALTAÇÃO</t>
  </si>
  <si>
    <t>cemeiviladosol1@sme.prefeitura.sp.gov.br</t>
  </si>
  <si>
    <t>emefjdsilvateles@sme.prefeitura.sp.gov.br</t>
  </si>
  <si>
    <t>VANESSA FERREIRA SODRÉ MARQUES</t>
  </si>
  <si>
    <t>cemeicasablanca@sme.prefeitura.sp.gov.br</t>
  </si>
  <si>
    <t>cemeiirapara@sme.prefeitura.sp.gov.br</t>
  </si>
  <si>
    <t>SIMONE CORREIA DE SOUZA</t>
  </si>
  <si>
    <t>emeicaminhomartins@sme.prefeitura.sp.gov.br</t>
  </si>
  <si>
    <t>emeijarocha@sme.prefeitura.sp.gov.br</t>
  </si>
  <si>
    <t>Fabiana de Almeida Melo</t>
  </si>
  <si>
    <t>emeijdsaobernardo@sme.prefeitura.sp.gov.br</t>
  </si>
  <si>
    <t>emeiccocaia@sme.prefeitura.sp.gov.br</t>
  </si>
  <si>
    <t>emeiamsalles@sme.prefeitura.sp.gov.br</t>
  </si>
  <si>
    <t>ALICE LUCILIA PINTO DA SILVA</t>
  </si>
  <si>
    <t>emefcacastanho@sme.prefeitura.sp.gov.br</t>
  </si>
  <si>
    <t>VERA LUCIA FERREIRA DA SILVA</t>
  </si>
  <si>
    <t>ALESSANDRA RIBEIRO COSI</t>
  </si>
  <si>
    <t>emefrpcolacioppo@sme.prefeitura.sp.gov.br</t>
  </si>
  <si>
    <t>jgmoreira@prefeitura.sp.gov.br</t>
  </si>
  <si>
    <t>Rivaldo Lima dos Anjos</t>
  </si>
  <si>
    <t>emeiptaipas@sme.prefeitura.sp.gov.br</t>
  </si>
  <si>
    <t xml:space="preserve">MARCIA BUENO PEREIRA </t>
  </si>
  <si>
    <t xml:space="preserve">CLUADETE DE ALMEIDA LOPES DURAES </t>
  </si>
  <si>
    <t>emefwtpizza@sme.prefeitura.sp.gov.br</t>
  </si>
  <si>
    <t>emeiiguatemi@sme.prefeitura.sp.gov.br</t>
  </si>
  <si>
    <t>emefarcampos@sme.prefeitura.sp.gov.br</t>
  </si>
  <si>
    <t>FERNANDA PAIOLA</t>
  </si>
  <si>
    <t>emefdgsantos@sme.prefeitura.sp.gov.br</t>
  </si>
  <si>
    <t>TATIANA FONSECA DOS REIS</t>
  </si>
  <si>
    <t>emeipflores@sme.prefeitura.sp.gov.br</t>
  </si>
  <si>
    <t>emefncfigueiredo@sme.prefeitura.sp.gov.br</t>
  </si>
  <si>
    <t>emefceujdconquistaii@sme.prefeitura.sp.gov.br</t>
  </si>
  <si>
    <t>OZIAS DE MIRANDA</t>
  </si>
  <si>
    <t>CLAUDIA AP.ALMEIDA ROMERO</t>
  </si>
  <si>
    <t>LUANA RABETHGE DE FREITAS</t>
  </si>
  <si>
    <t>ANDRÉA MENDES SILVA</t>
  </si>
  <si>
    <t>HELOISE DE SOUZA ALVES</t>
  </si>
  <si>
    <t>ANA CRISTINA DA SILVA</t>
  </si>
  <si>
    <t>TATIANA AMORIM ALVES</t>
  </si>
  <si>
    <t>mtito@sme.prefeitura.sp.gov.br</t>
  </si>
  <si>
    <t>VANIA DE OLIVEIRA</t>
  </si>
  <si>
    <t>62169-2</t>
  </si>
  <si>
    <t>EMEI - JARDIM APURA</t>
  </si>
  <si>
    <t>EMEI JARDIM APURA</t>
  </si>
  <si>
    <t>JARDIM APURA</t>
  </si>
  <si>
    <t>emeifcsoares@sme.prefeitura.sp.gov.br</t>
  </si>
  <si>
    <t>emeigalvao@sme.prefeitura.sp.gov.br</t>
  </si>
  <si>
    <t>emeigalvao@psme.refeitura.sp.gov.br</t>
  </si>
  <si>
    <t>GEMINIANO APARECIDO DA SILVA RIBEIRO</t>
  </si>
  <si>
    <t>emefjdeliana@sme.prefeitura.sp.gov.br</t>
  </si>
  <si>
    <t>emeilgnascimento@sme.prefeitura.sp.gov.br</t>
  </si>
  <si>
    <t>THAYANE LOPES DOS SANTOS</t>
  </si>
  <si>
    <t>emefmariocovas@sme.prefeitura.sp.gov.br</t>
  </si>
  <si>
    <t>JACQUELINE A. VIEIRA RODRIGUES</t>
  </si>
  <si>
    <t>emefprimopascoli@sme.prefeitura.sp.gov.br</t>
  </si>
  <si>
    <t>JOÃO LEVI GOULART</t>
  </si>
  <si>
    <t>CATIA CRISTINA DE PAULA SILVA</t>
  </si>
  <si>
    <t>emefmbsantos@sme.prefeitura.sp.gov.br</t>
  </si>
  <si>
    <t>ALINE CRISTINA PEREIRA SANTOS</t>
  </si>
  <si>
    <t>emeimcastelo@sme.prefeitura.sp.gov.br</t>
  </si>
  <si>
    <t>emeiemnogueira@sme.prefeitura.sp.gov.br</t>
  </si>
  <si>
    <t>LAZARO MARIANO DE SOUSA</t>
  </si>
  <si>
    <t>emeiabento@sme.prefeitura.sp.gov.br</t>
  </si>
  <si>
    <t>emeidvnogueira@sme.prefeitura.sp.gov.br</t>
  </si>
  <si>
    <t>emeijnegrao@sme.prefeitura.sp.gov.br</t>
  </si>
  <si>
    <t>MARIA CRISTINA CORDEIRO DOS SANTOS IGNÁCIO</t>
  </si>
  <si>
    <t>emeialuisioalmeida@sme.prefeitura.sp.gov.br</t>
  </si>
  <si>
    <t>emeicribeiro@sme.prefeitura.sp.gov.br</t>
  </si>
  <si>
    <t>emeinmcorazza@sme.prefeitura.sp.gov.br</t>
  </si>
  <si>
    <t>emeirpmacedo@sme.prefeitura.sp.gov.br</t>
  </si>
  <si>
    <t>emeigchaves@sme.prefeitura.sp.gov.br</t>
  </si>
  <si>
    <t>emeicmaria@sme.prefeitura.sp.gov.br</t>
  </si>
  <si>
    <t>emeifpessoa@sme.prefeitura.sp.gov.br</t>
  </si>
  <si>
    <t xml:space="preserve">PEDRO HENRIQUE BARBOSA SILVA </t>
  </si>
  <si>
    <t>emeifjsilva@sme.prefeitura.sp.gov.br</t>
  </si>
  <si>
    <t>emeiaasevilha@sme.prefeitura.sp.gov.br</t>
  </si>
  <si>
    <t>emeiateixeira@sme.prefeitura.sp.gov.br</t>
  </si>
  <si>
    <t>CAMILA LOPES DIONISIO</t>
  </si>
  <si>
    <t>emeilccascudo@sme.prefeitura.sp.gov.br</t>
  </si>
  <si>
    <t>emeimapires@sme.prefeitura.sp.gov.br</t>
  </si>
  <si>
    <t>emeimsette@sme.prefeitura.sp.gov.br</t>
  </si>
  <si>
    <t>emeijmmacedo@sme.prefeitura.sp.gov.br</t>
  </si>
  <si>
    <t>emeicpcearense@sme.prefeitura.sp.gov.br</t>
  </si>
  <si>
    <t>emeiachateaubriand@sme.prefeitura.sp.gov.br</t>
  </si>
  <si>
    <t>emeiabrodrigues@sme.prefeitura.sp.gov.br</t>
  </si>
  <si>
    <t>emeibhgsilveira@sme.prefeitura.sp.gov.br</t>
  </si>
  <si>
    <t>ANA PAULA CARDOSO BARRETO</t>
  </si>
  <si>
    <t>emeijpalima@sme.prefeitura.sp.gov.br</t>
  </si>
  <si>
    <t>ELIANE RODRIGUES CORREA MENDES</t>
  </si>
  <si>
    <t>emeijibirapuera@sme.prefeitura.sp.gov.br</t>
  </si>
  <si>
    <t>WILLIAN PEREIRA CASTRO</t>
  </si>
  <si>
    <t>emeicampolimpo@sme.prefeitura.sp.gov.br</t>
  </si>
  <si>
    <t>CORINA STABILE PODVIN</t>
  </si>
  <si>
    <t>emeiclispector@sme.prefeitura.sp.gov.br</t>
  </si>
  <si>
    <t>emeijclair@sme.prefeitura.sp.gov.br</t>
  </si>
  <si>
    <t>SAMIRA VERA DA SILVA ZANINI</t>
  </si>
  <si>
    <t>emeidduran@sme.prefeitura.sp.gov.br</t>
  </si>
  <si>
    <t>emeidmleite@sme.prefeitura.sp.gov.br</t>
  </si>
  <si>
    <t>MARIA DE LOURDES DA FONSECA DANTAS</t>
  </si>
  <si>
    <t>emeioliveira@sme.prefeitura.sp.gov.br</t>
  </si>
  <si>
    <t>emeigpiccinali@sme.prefeitura.sp.gov.br</t>
  </si>
  <si>
    <t>emeicdelaet@sme.prefeitura.sp.gov.br</t>
  </si>
  <si>
    <t>emei j piaget@sme.prefeitura.sp.gov.br</t>
  </si>
  <si>
    <t xml:space="preserve">SILMARA REGINA SIQUEIRA BETTINI </t>
  </si>
  <si>
    <t>emeileopoldina@sme.prefeitura.sp.gov.br</t>
  </si>
  <si>
    <t>SONIA REGINA R.DE BRITO GAMA</t>
  </si>
  <si>
    <t xml:space="preserve">SIMONE CAVALCANTE SILVA OLIVEIRA </t>
  </si>
  <si>
    <t>emeiscamargo@sme.prefeitura.sp.gov.br</t>
  </si>
  <si>
    <t>SILVANA RIBEIRO NAVAS ONGARO</t>
  </si>
  <si>
    <t>CESAR AUGUSTO ROMANUCCI</t>
  </si>
  <si>
    <t>emeingchiacchio@sme.prefeitura.sp.gov.br</t>
  </si>
  <si>
    <t xml:space="preserve">PAULO GOMES DE SOUZA </t>
  </si>
  <si>
    <t>emeirgonçalves@sme.prefeitura.sp.gov.br</t>
  </si>
  <si>
    <t>lgfreire@prefeitura.sp.gov</t>
  </si>
  <si>
    <t>DEBORAH SCAQUETTI RIBEIRO</t>
  </si>
  <si>
    <t>emeiapoppovic@sme.prefeitura.sp.gov.br</t>
  </si>
  <si>
    <t xml:space="preserve">KEILA PICARONE FIGUEIRA </t>
  </si>
  <si>
    <t>emeinippolito@sme.prefeitura.sp.gov.br</t>
  </si>
  <si>
    <t>MARTA APARECIDA DA CONCEIÇÃO PANACHÃO</t>
  </si>
  <si>
    <t>emeisdumont@sme.prefeitura.sp.gov.br</t>
  </si>
  <si>
    <t>SERGIO AZMAN</t>
  </si>
  <si>
    <t>emeimlobato@sme.prefeitura.sp.gov.br</t>
  </si>
  <si>
    <t>Woney Mario Alves</t>
  </si>
  <si>
    <t>emeitsetubal@sme.prefeitura.sp.gov.br</t>
  </si>
  <si>
    <t>MARIA ROSA RODRIGUES DA SILVA</t>
  </si>
  <si>
    <t>emeipmoraes@sme.prefeitura.sp.gov.br</t>
  </si>
  <si>
    <t>emeiablefevre@sme.prefeitura.sp.gov.br</t>
  </si>
  <si>
    <t>emeizfranceschi@sme.prefeitura.sp.gov.br</t>
  </si>
  <si>
    <t>emeigcampos@sme.prefeitura.sp.gov.br</t>
  </si>
  <si>
    <t>emeiicolombo@sme.prefeitura.sp.gov.br</t>
  </si>
  <si>
    <t>emeibgato@sme.prefeitura.sp.gov.br</t>
  </si>
  <si>
    <t>VERONICA MARIA GARDIN</t>
  </si>
  <si>
    <t>emeianhanguera@sme.prefeitura.sp.gov.br</t>
  </si>
  <si>
    <t>emeifmsilva@sme.prefeitura.sp.gov.br</t>
  </si>
  <si>
    <t>emeicferreira@sme.prefeitura.sp.gov.br</t>
  </si>
  <si>
    <t>ALESSANDRA JANUARIO DA SILVA</t>
  </si>
  <si>
    <t>ANTONIA EDINALVA DE OLIVEIRA DO Ó</t>
  </si>
  <si>
    <t>emeijdnreis@sme.prefeitura.sp.gov.br</t>
  </si>
  <si>
    <t>JOSSANE KENIA DA SILVA</t>
  </si>
  <si>
    <t>ANA MARGARIDA DE SOUZA MARTINS</t>
  </si>
  <si>
    <t>emeivcorreia@sme.prefeitura.sp.gov.br</t>
  </si>
  <si>
    <t>DALVA PAIXÃO SOUZA</t>
  </si>
  <si>
    <t>emeicandrade@sme.prefeitura.sp.gov.br</t>
  </si>
  <si>
    <t>emeicalves@sme.prefeitura.sp.gov.br</t>
  </si>
  <si>
    <t>GISLAINE APARECIDA ROZATTI</t>
  </si>
  <si>
    <t>emeibrbranco@sme.prefeitura.sp.gov.br</t>
  </si>
  <si>
    <t>emeiltravassos@sme.prefeitura.sp.gov.br</t>
  </si>
  <si>
    <t>emeianogueira@sme.prefeitura.sp.gov.br</t>
  </si>
  <si>
    <t>MARLI DO CARMO PEREIRA DOS SANTOS</t>
  </si>
  <si>
    <t>emeizpalmares@sme.prefeitura.sp.gov.br</t>
  </si>
  <si>
    <t>emeicoracoralina@sme.prefeitura.sp.gov.br</t>
  </si>
  <si>
    <t>ADRIANA CECILIA KROLL VAZQUEZ DE ARAUJO</t>
  </si>
  <si>
    <t>emeimmforacchi@sme.prefeitura.sp.gov.br</t>
  </si>
  <si>
    <t>emeiscardoso@sme.prefeitura.sp.gov.br</t>
  </si>
  <si>
    <t>emeicnunes@sme.prefeitura.sp.gov.br</t>
  </si>
  <si>
    <t>emeipiratininga@sme.prefeitura.sp.gov.br</t>
  </si>
  <si>
    <t>ALINE BUENO SARTORI</t>
  </si>
  <si>
    <t>emeimmontessori@sme.prefeitura.sp.gov.br</t>
  </si>
  <si>
    <t>SANDRA MARINA BARBOSA VIEIRA DA SILVA</t>
  </si>
  <si>
    <t>emeilarroyo@sme.prefeitura.sp.gov.br</t>
  </si>
  <si>
    <t>SORAIA INÊS DE FARIA VERGINO</t>
  </si>
  <si>
    <t>PATRICIA SERAFIN CORTESI</t>
  </si>
  <si>
    <t>emeimvcunha@sme.prefeitura.sp.gov.br</t>
  </si>
  <si>
    <t>KÁTIA GOMES DE OLIVEIRA LUIZ</t>
  </si>
  <si>
    <t>emeipbbandecchi@sme.prefeitura.sp.gov.br</t>
  </si>
  <si>
    <t>ROSA SILVIANO</t>
  </si>
  <si>
    <t>emeimartins@sme.prefeitura.sp.gov.br</t>
  </si>
  <si>
    <t>MARLI MIYUKI KANO MIYASAKI</t>
  </si>
  <si>
    <t>ANA PAULA ALVES DE MORAES</t>
  </si>
  <si>
    <t>emeilroberto@sme.prefeitura.sp.gov.br</t>
  </si>
  <si>
    <t>ELIANE TOZZO ALMEIDA</t>
  </si>
  <si>
    <t>emeirvcordeiro@sme.prefeitura.sp.gov.br</t>
  </si>
  <si>
    <t>TATIANE APARECIDA BOVOLON DOS SANTOS</t>
  </si>
  <si>
    <t>ANA CRISTINA DA SILVA BRITO</t>
  </si>
  <si>
    <t>meijduarte@sme.prefeitura.sp.gov.br</t>
  </si>
  <si>
    <t>emeidmraguiar@sme.prefeitura.sp.gov.br</t>
  </si>
  <si>
    <t>emeibazevedo@sme.prefeitura.sp.gov.br</t>
  </si>
  <si>
    <t>IRINEU JOSÉ DE CAMARGO</t>
  </si>
  <si>
    <t>emeisvcastro@sme.prefeitura.sp.gov.br</t>
  </si>
  <si>
    <t>emeilvacker@sme.prefeitura.sp.gov.br</t>
  </si>
  <si>
    <t>emeifpeixoto@sme.prefeitura.sp.gov.br</t>
  </si>
  <si>
    <t>emeiagdias@sme.prefeitura.sp.gov.br</t>
  </si>
  <si>
    <t>emeimnobrega@sme.prefeitura.sp.gov.br</t>
  </si>
  <si>
    <t>VIVIANE MACHADO FURLAN</t>
  </si>
  <si>
    <t>emeimhbmartins@sme.prefeitura.sp.gov.br</t>
  </si>
  <si>
    <t>emeircarvalho@sme.prefeitura.sp.gov.br</t>
  </si>
  <si>
    <t>emeirabreu@sme.prefeitura.sp.gov.br</t>
  </si>
  <si>
    <t>BRUNA RESENDE ARANHA MARTINS</t>
  </si>
  <si>
    <t>emeigporta@sme.prefeitura.sp.gov.br</t>
  </si>
  <si>
    <t>emeitgalhardo@sme.prefeitura.sp.gov.br</t>
  </si>
  <si>
    <t>PATRICIA MARIA FERREIRA SILVA</t>
  </si>
  <si>
    <t>emeipestalozzi@sme.prefeitura.sp.gov.br</t>
  </si>
  <si>
    <t>emeifoliveira@sme.prefeitura.sp.gov.br</t>
  </si>
  <si>
    <t>emeijnbarbosa@sme.prefeitura.sp.gov.br</t>
  </si>
  <si>
    <t>emeicmeirelles@sme.prefeitura.sp.gov.br</t>
  </si>
  <si>
    <t>emeijosegaspar@sme.prefeitura.sp.gov.br</t>
  </si>
  <si>
    <t>emeifrqcastro@sme.prefeitura.sp.gov.br</t>
  </si>
  <si>
    <t>emeipchaves@sme.prefeitura.sp.gov.br</t>
  </si>
  <si>
    <t>emeiesbruno@sme.prefeitura.sp.gov.br</t>
  </si>
  <si>
    <t>emeimsilveira@sme.prefeitura.sp.gov.br</t>
  </si>
  <si>
    <t>emeicjereissati@sme.prefeitura.sp.gov.br</t>
  </si>
  <si>
    <t>emeiapmmendonca@sme.prefeitura.sp.gov.br</t>
  </si>
  <si>
    <t>RONAN APARECIDO PEREIRA DONHA</t>
  </si>
  <si>
    <t>emeimalves@sme.prefeitura.sp.gov.br</t>
  </si>
  <si>
    <t>VALERIA DA SILVA BRITO</t>
  </si>
  <si>
    <t>ANAEL CIPRIANO MARQUES DE SOUSA</t>
  </si>
  <si>
    <t>emeicpqueiroz@sme.prefeitura.sp.gov.br</t>
  </si>
  <si>
    <t>ELIANO MACEDO SOUZA</t>
  </si>
  <si>
    <t>emeiabarbosa@sme.prefeitura.sp.gov.br</t>
  </si>
  <si>
    <t>emeinamaral@sme.prefeitura.sp.gov.br</t>
  </si>
  <si>
    <t>emeiamazzaropi@sme.prefeitura.sp.gov.br</t>
  </si>
  <si>
    <t>ZENILDA DE FATIMA MENDES DA FONSECA</t>
  </si>
  <si>
    <t>emeiviana@sme.prefeitura.sp.gov.br</t>
  </si>
  <si>
    <t>16.947-1</t>
  </si>
  <si>
    <t>TANIA APARECIDA GAMA</t>
  </si>
  <si>
    <t>SERGIO MAURICIO JUNIOR</t>
  </si>
  <si>
    <t>emeiswainer@sme.prefeitura.sp.gov.br</t>
  </si>
  <si>
    <t>emeilaperreira@sme.prefeitura.sp.gov.br</t>
  </si>
  <si>
    <t>DIMAS DE OLIVEIRA CARVALHO</t>
  </si>
  <si>
    <t>emeielisregina@sme.prefeitura.sp.gov.br</t>
  </si>
  <si>
    <t>emeiafroebel@sme.prefeitura.sp.gov.br</t>
  </si>
  <si>
    <t>CLAUDIA MOREIRA GRAMINHOLI</t>
  </si>
  <si>
    <t>emeimaxwolf@sme.prefeitura.sp.gov.br</t>
  </si>
  <si>
    <t>SHIRLEY TAKATA</t>
  </si>
  <si>
    <t>emeimcosta@sme.prefeitura.sp.gov.br</t>
  </si>
  <si>
    <t>EDILENE SÁ ATHAYDE</t>
  </si>
  <si>
    <t>EDILEUZA DE MELO BEZERRA SILVA</t>
  </si>
  <si>
    <t>emeijpjnenes@sme.prefeitura.sp.gov.br</t>
  </si>
  <si>
    <t>emeiepessoa@sme.prefeitura.sp.gov.br</t>
  </si>
  <si>
    <t>emeiapeixoto@sme.prefeitura.sp.gov.br</t>
  </si>
  <si>
    <t>emeialapenna@sme.prefeitura.sp.gov.br</t>
  </si>
  <si>
    <t>emeigramos@sme.prefeitura.sp.gov.br</t>
  </si>
  <si>
    <t>MARCIA DE OLIVEIRA SOUZA</t>
  </si>
  <si>
    <t>JAQUELINE APARECIDA FREIRE GALESCO</t>
  </si>
  <si>
    <t>emeiaplima@sme.prefeitura.sp.gov.br</t>
  </si>
  <si>
    <t>JOSE ANTONIO DA SILVA JUNIOR</t>
  </si>
  <si>
    <t>emeimtagliaferro@sme.prefeitura.sp.gov.br</t>
  </si>
  <si>
    <t>MARINEIDE ANGELICA SILVA SOARES</t>
  </si>
  <si>
    <t>GLEICE DELFINO PEREIRA DA SILVA</t>
  </si>
  <si>
    <t>emeilhbarros@sme.prefeitura.sp.gov.br</t>
  </si>
  <si>
    <t>FATIMA APARECIDA RASQUINHO PORTELLA</t>
  </si>
  <si>
    <t>emeijalencar@sme.prefeitura.sp.gov.br</t>
  </si>
  <si>
    <t>LUCIMARA BASÍLIO DA CRUZ</t>
  </si>
  <si>
    <t>emeidompedro2@sme.prefeitura.sp.gov.br</t>
  </si>
  <si>
    <t>MARINEIDE GABRIEL DA SILVA</t>
  </si>
  <si>
    <t>emeimquiteria@sme.prefeitura.sp.gov.br</t>
  </si>
  <si>
    <t>emeiamendesjr@sme.prefeitura.sp.gov.br</t>
  </si>
  <si>
    <t>KENIA SÃO MARTINS GARCELAN</t>
  </si>
  <si>
    <t>emeiodecroly@sme.prefeitura.sp.gov.br</t>
  </si>
  <si>
    <t>emeihpmarin@sme.prefeitura.sp.gov.br</t>
  </si>
  <si>
    <t>emeildiniz@sme.prefeitura.sp.gov.br</t>
  </si>
  <si>
    <t>emeigrocha@sme.prefeitura.sp.gov.br</t>
  </si>
  <si>
    <t>emeiflopes@sme.prefeitura.sp.gov.br</t>
  </si>
  <si>
    <t xml:space="preserve">WAGNER GAZOLA </t>
  </si>
  <si>
    <t>emeigcardim@sme.prefeitura.sp.gov.br</t>
  </si>
  <si>
    <t>RENATA TIROLLI</t>
  </si>
  <si>
    <t>emeimlscampos@sme.prefeitura.sp.gov.br</t>
  </si>
  <si>
    <t>emeiqbocaiuva@sme.prefeitura.sp.gov.br</t>
  </si>
  <si>
    <t>RUA MONTE SERRAT</t>
  </si>
  <si>
    <t>TELMA DE LOURDES GUERREIRO APROBATO</t>
  </si>
  <si>
    <t>JOÃO FADUTH</t>
  </si>
  <si>
    <t>emeirtaguiar@sme.prefeitura.sp.gov.br</t>
  </si>
  <si>
    <t>CLAUDIA RANGEL RIBEIRO DIAS</t>
  </si>
  <si>
    <t>emeilgcsangirardi@sme.prefeitura.sp.gov.br</t>
  </si>
  <si>
    <t>VIVIANE PACHECO PEREIRA</t>
  </si>
  <si>
    <t>emeieveiga@sme.prefeitura.sp.gov.br</t>
  </si>
  <si>
    <t>JAQUELINE DE OLIVEIRA BATISTA BENIAMINO</t>
  </si>
  <si>
    <t>emeiagonzaga@sme.prefeitura.sp.gov.br</t>
  </si>
  <si>
    <t>CÉLIA NUNES DOS SANTOS</t>
  </si>
  <si>
    <t>emeijrpfernandes@sme.prefeitura.sp.gov.br</t>
  </si>
  <si>
    <t>PAULA CERQUEIRA LAMEIRA</t>
  </si>
  <si>
    <t>emeimgraciotti@sme.prefeitura.sp.gov.br</t>
  </si>
  <si>
    <t>MARIA DE LOURDES FERNANDES OKAWA</t>
  </si>
  <si>
    <t>emeigoulart@sme.prefeitura.sp.gov.br</t>
  </si>
  <si>
    <t xml:space="preserve">KATIA MERES RIZZATO </t>
  </si>
  <si>
    <t>emeisromero@sme.prefeitura.sp.gov.br</t>
  </si>
  <si>
    <t>FÁTIMA APARECIDA PEREIRA DA SILVA</t>
  </si>
  <si>
    <t>emeidutra@sme.prefeitura.sp.gov.br</t>
  </si>
  <si>
    <t>LUDMILA MEDEIROS</t>
  </si>
  <si>
    <t>emeimbuarque@sme.prefeitura.sp.gov.br</t>
  </si>
  <si>
    <t>CYNTHIA GOMES BACELAR</t>
  </si>
  <si>
    <t>emeimlmoura@sme.prefeitura.sp.gov.br</t>
  </si>
  <si>
    <t>LENIVALDO BARBOSA DE CAMARGO</t>
  </si>
  <si>
    <t>ADRIANA CRISTINA BATISTA CAPUZZO</t>
  </si>
  <si>
    <t>emeirsoaresjr@sme.prefeitura.sp.gov.br</t>
  </si>
  <si>
    <t>LUCIANE NAZÁRIO DOS SANTOS</t>
  </si>
  <si>
    <t>EDILENE PENTEADO</t>
  </si>
  <si>
    <t>emeiarviana@sme.prefeitura.sp.gov.br</t>
  </si>
  <si>
    <t>emeiarviana@sme.prefeitura.p.gov.br</t>
  </si>
  <si>
    <t>KAREN DE CARVALHO MARQUES</t>
  </si>
  <si>
    <t>emeimpreto@sme.prefeitura.sp.gov.br</t>
  </si>
  <si>
    <t>obilac@sme.prefeitura.sp.gov.br</t>
  </si>
  <si>
    <t>37679-5</t>
  </si>
  <si>
    <t>emeifmestrejou@sme.prefeitura.sp.gov.br</t>
  </si>
  <si>
    <t>emei25dejaneiro@sme.prefeitura.sp.gov.br</t>
  </si>
  <si>
    <t>ELAINE REGINA BRAGA BRUN</t>
  </si>
  <si>
    <t>jcanavo@sme.prefeitura.sp.gov.br</t>
  </si>
  <si>
    <t>emeiagama@sme.prefeitura.sp.gov.br</t>
  </si>
  <si>
    <t>37676-0</t>
  </si>
  <si>
    <t>JOELMA APARECIDA DOLFINE MARTINS</t>
  </si>
  <si>
    <t>emeiagaribaldi@sme.prefeitura.sp.gov.br</t>
  </si>
  <si>
    <t>emeimfontes@sme.prefeitura.sp.gov.br</t>
  </si>
  <si>
    <t>MIDIÃ JANUARIO MONTEIRO SILVA</t>
  </si>
  <si>
    <t>emeilngarcez@sme.prefeitura.sp.gov.br</t>
  </si>
  <si>
    <t>37698-1</t>
  </si>
  <si>
    <t>DANIELLE WACHSMUTH NAZARETH PEREIRA MAPELLI</t>
  </si>
  <si>
    <t>SARAH BAPTISTA</t>
  </si>
  <si>
    <t>emeibilac@sme.prefeitura.sp.gov.br</t>
  </si>
  <si>
    <t>LUCIA DOS SANTOS DA SILVA VITOR</t>
  </si>
  <si>
    <t>emeircagazzi@sme.prefeitura.sp.gov.br</t>
  </si>
  <si>
    <t>DANIELA ZANERETTO ROSA</t>
  </si>
  <si>
    <t>MARIA CICERA DA SILVA</t>
  </si>
  <si>
    <t>emeijmesquita@sme.prefeitura.sp.gov.br</t>
  </si>
  <si>
    <t>MARIA APARECIDA CALDEIRA DA SILVA</t>
  </si>
  <si>
    <t>emeiglopes@sme.prefeitura.sp.gov.br</t>
  </si>
  <si>
    <t>MARINA BASQUES MASELLA</t>
  </si>
  <si>
    <t>emeiabgaldino@sme.prefeitura.sp.gov.br</t>
  </si>
  <si>
    <t>SANDRA APARECIDA DE MATOS DANTAS</t>
  </si>
  <si>
    <t>emeiegomes@sme.prefeitura.sp.gov.br</t>
  </si>
  <si>
    <t>emeiberthalutz@sme.prefeitura.sp.gov.br</t>
  </si>
  <si>
    <t>37943-3</t>
  </si>
  <si>
    <t>emeiesilveira@sme.prefeitura.sp.gov.br</t>
  </si>
  <si>
    <t>JÚLIO SAMUEL DE MELO SOBRAL</t>
  </si>
  <si>
    <t>emeiocmenah@sme.prefeitura.sp.gov.br</t>
  </si>
  <si>
    <t xml:space="preserve">DANIELA FRAILE GARCIA </t>
  </si>
  <si>
    <t>emeiolgadomingos@sme.prefeitura.sp.gov.br</t>
  </si>
  <si>
    <t xml:space="preserve">EDILZA MARIA DA SILVA </t>
  </si>
  <si>
    <t>emeiesantos@sme.prefeitura.sp.gov.br</t>
  </si>
  <si>
    <t>ALANE APARECIDA R.DOS SANTOS</t>
  </si>
  <si>
    <t>emeicratleite@sme.prefeitura.sp.gov.br</t>
  </si>
  <si>
    <t xml:space="preserve">MELQUES DA SILVA PORTELA </t>
  </si>
  <si>
    <t>emeifazevedo@sme.prefeitura.sp.gov.br</t>
  </si>
  <si>
    <t>emeiolima@sme.prefeitura.sp.gov.br</t>
  </si>
  <si>
    <t xml:space="preserve">MARIA ANGELA PEREIRA DE MOURA </t>
  </si>
  <si>
    <t>emeipebyington@sme.prefeitura.sp.gov.br</t>
  </si>
  <si>
    <t xml:space="preserve">PATRICIA REGINA DOS SANTOS </t>
  </si>
  <si>
    <t>emeiasardinha@sme.prefeitura.sp.gov.br</t>
  </si>
  <si>
    <t xml:space="preserve">ADRIANA APARECEDIA GARRIGOS </t>
  </si>
  <si>
    <t>GISLAINE APARECIDA DE MORAES BERTOLOTTI</t>
  </si>
  <si>
    <t>emeipaulo6@sme.prefeitura.sp.gov.br</t>
  </si>
  <si>
    <t>FABIANA LARA F. PIZZOCARO</t>
  </si>
  <si>
    <t>emeiartavares@sme.prefeitura.sp.gov.br</t>
  </si>
  <si>
    <t xml:space="preserve">RITA DE CASSIA GONÇALVES </t>
  </si>
  <si>
    <t>emeiptoledo@sme.prefeitura.sp.gov.br</t>
  </si>
  <si>
    <t xml:space="preserve">GILSON VITOR FELISBINO </t>
  </si>
  <si>
    <t>emeicsilva@sme.prefeitura.sp.gov.br</t>
  </si>
  <si>
    <t xml:space="preserve">ISABEL DE LORDES SILVA PEREIRA </t>
  </si>
  <si>
    <t>emeimbandeira@sme.prefeitura.sp.gov.br</t>
  </si>
  <si>
    <t>SANDRA REGINA MONTEIRO CORREA</t>
  </si>
  <si>
    <t>emei7desetembro@sme.prefeitura.sp.gov.br</t>
  </si>
  <si>
    <t>SANDRA COELHO BARRETO SILVA</t>
  </si>
  <si>
    <t>ANA PAULA ALVES VIEIRA</t>
  </si>
  <si>
    <t>emeijbsilva@sme.prefeitura.sp.gov.br</t>
  </si>
  <si>
    <t>ROSANGELA SILVA LIMA</t>
  </si>
  <si>
    <t>emeiacesar@sme.prefeitura.sp.gov.br</t>
  </si>
  <si>
    <t>emeigmartino@sme.prefeitura.sp.gov.br</t>
  </si>
  <si>
    <t>emeiecorrea@sme.prefeitura.sp.gov.br</t>
  </si>
  <si>
    <t>ESTER BORBA CESAR</t>
  </si>
  <si>
    <t>emeiebarros@sme.prefeitura.sp.gov.br</t>
  </si>
  <si>
    <t>emeiaetzel@sme.prefeitura.sp.gov.br</t>
  </si>
  <si>
    <t>PRISCILA GIMENEZ LEAL</t>
  </si>
  <si>
    <t>emefpnfilho@sme.prefeitura.sp.gov.br</t>
  </si>
  <si>
    <t>CLEBER ALVES FERREIRA</t>
  </si>
  <si>
    <t>ARLENE SPAGNOLI FIRMANI</t>
  </si>
  <si>
    <t>emebshelenkeller@sme.prefeitura.sp.gov.br</t>
  </si>
  <si>
    <t>emeifeijo@sme.prefeitura.sp.gov.br</t>
  </si>
  <si>
    <t>Roseli Rosa Muniz Damaso</t>
  </si>
  <si>
    <t>emeialbertooliveira@sme.prefeitura.sp.gov.br</t>
  </si>
  <si>
    <t xml:space="preserve">Juscelia da Silva Rocha de Oliviera </t>
  </si>
  <si>
    <t>emeiamartino@sme.prefeitura.sp.gov.br</t>
  </si>
  <si>
    <t>emeipgalvao@sme.prefeitura.sp.gov.br</t>
  </si>
  <si>
    <t>emeigprestes@sme.prefeitura.sp.gov.br</t>
  </si>
  <si>
    <t>Cleudilene Ferreira de Almeida</t>
  </si>
  <si>
    <t>emeiaapereira@sme.prefeitura.sp.gov.br</t>
  </si>
  <si>
    <t>Rosimeire Garcia dos Santos</t>
  </si>
  <si>
    <t>emeijtheodoro@sme.prefeitura.sp.gov.br</t>
  </si>
  <si>
    <t>emeiamaraujo@sme.prefeitura.sp.gov.br</t>
  </si>
  <si>
    <t>Gisele Paneque da Silva</t>
  </si>
  <si>
    <t>emeiclibero@sme.prefeitura.sp.gov.br</t>
  </si>
  <si>
    <t>JOELMA SANTOS SOUZA</t>
  </si>
  <si>
    <t>emeidazevedo@sme.prefeitura.sp.gov.br</t>
  </si>
  <si>
    <t>Erika Mastrodomenico</t>
  </si>
  <si>
    <t>emeimimprota@sme.prefeitura.sp.gov.br</t>
  </si>
  <si>
    <t>rosaguisp@yahoo.com.br</t>
  </si>
  <si>
    <t>Venicius Dias da Costa</t>
  </si>
  <si>
    <t>emeimsneiva@sme.prefeitura.sp.gov.br</t>
  </si>
  <si>
    <t>emeitbpettan@sme.prefeitura.sp.gov.br</t>
  </si>
  <si>
    <t>Nathalia Massuio Araujo Enokibara</t>
  </si>
  <si>
    <t>emeimontese@sme.prefeitura.sp.gov.br</t>
  </si>
  <si>
    <t>Renata Luque de Oliveira Costa</t>
  </si>
  <si>
    <t>emeimmserra@sme.prefeitura.sp.gov.br</t>
  </si>
  <si>
    <t>Eliane Morelato Cangussu</t>
  </si>
  <si>
    <t>emeiaflisboa@sme.prefeitura.sp.gov.br</t>
  </si>
  <si>
    <t>Adriana Aparecida Gonçalves</t>
  </si>
  <si>
    <t>emeipadrebenno@sme.prefeitura.sp.gov.br</t>
  </si>
  <si>
    <t>Claudia Priscila Machado</t>
  </si>
  <si>
    <t>emeibcepelos@sme.prefeitura.sp.gov.br</t>
  </si>
  <si>
    <t>emeiprincisabel@sme.prefeitura.sp.gov.br</t>
  </si>
  <si>
    <t>Andrea Claudia Fará Mastrorosa</t>
  </si>
  <si>
    <t>emeidompedro1@sme.prefeitura.sp.gov.br</t>
  </si>
  <si>
    <t>Miltom Atsushi Oshiro</t>
  </si>
  <si>
    <t>emeitamandare@sme.prefeitura.sp.gov.br</t>
  </si>
  <si>
    <t>LIANE CIAMNCI LOGATTO</t>
  </si>
  <si>
    <t>emeimdias@sme.prefeitura.sp.gov.br</t>
  </si>
  <si>
    <t>MÁRCIA REGINA ANTONIA SACCO MARTINO</t>
  </si>
  <si>
    <t>MEIRE PERUZZI SOARES STANIC MILART</t>
  </si>
  <si>
    <t>emeigrudge@sme.prefeitura.sp.gov.br</t>
  </si>
  <si>
    <t>EDNEIA LETICIA MARGUTI</t>
  </si>
  <si>
    <t>emeiguilhermerudge@sme.prefeitura.sp.gov.br</t>
  </si>
  <si>
    <t>CLARICE MARIA KNEIP</t>
  </si>
  <si>
    <t>emeiaazevedo@sme.prefeitura.sp.gov.br</t>
  </si>
  <si>
    <t>ADENI BRITO RODRIGUES</t>
  </si>
  <si>
    <t>emeicpires@sme.prefeitura.sp.gov.br</t>
  </si>
  <si>
    <t>ÊDLA APARECIDA CORREIA DE SALES</t>
  </si>
  <si>
    <t>emeimacarvalho@sme.prefeitura.sp.gov.br</t>
  </si>
  <si>
    <t>FABIANA MOUNTINHO PEREIRA DE SOUZA</t>
  </si>
  <si>
    <t>emeifroquetti@sme.prefeitura.sp.gov.br</t>
  </si>
  <si>
    <t>emeiortale@sme.prefeitura.sp.gov.br</t>
  </si>
  <si>
    <t>emeiamcamargo@sme.prefeitura.sp.gov.br</t>
  </si>
  <si>
    <t>emeingmartin@sme.prefeitura.sp.gov.br</t>
  </si>
  <si>
    <t>ceirgpedrosa@sme.prefeitura.sp.gov.br</t>
  </si>
  <si>
    <t>emeiopribeiro@sme.prefeitura.sp.gov.br</t>
  </si>
  <si>
    <t>emeisefelippe@sme.prefeitura.sp.gov.br</t>
  </si>
  <si>
    <t>emeiepbifone@sme.prefeitura.sp.gov.br</t>
  </si>
  <si>
    <t>emeipbifone@sme.prefeitura.sp.gov.br</t>
  </si>
  <si>
    <t>SANDRA REGINA MATOS GONÇALVES</t>
  </si>
  <si>
    <t>emeianchieta@sme.prefeitura.sp.gov.br</t>
  </si>
  <si>
    <t>emeilourenco@sme.prefeitura.sp.gov.br</t>
  </si>
  <si>
    <t>NATÁLIA CRISTINE DE OLIVEIRA</t>
  </si>
  <si>
    <t>MÔNICA ROMÃO DA SILVA</t>
  </si>
  <si>
    <t>emeiananeri@sme.prefeitura.sp.gov.br</t>
  </si>
  <si>
    <t>emeiyozaki@sme.prefeitura.sp.gov.br</t>
  </si>
  <si>
    <t>emeicgomes@sme.prefeitura.sp.gov.br</t>
  </si>
  <si>
    <t>emeiecpereira@sme.prefeitura.sp.gov.br</t>
  </si>
  <si>
    <t>JOYCE MIGUEL</t>
  </si>
  <si>
    <t>emeimipribeiro@sme.prefeitura.sp.gov.br</t>
  </si>
  <si>
    <t>emeicfdias@sme.prefeitura.sp.gov.br</t>
  </si>
  <si>
    <t>emeiechaves@sme.prefeitura.sp.gov.br</t>
  </si>
  <si>
    <t>emeiojpires@sme.prefeitura.sp.gov.br</t>
  </si>
  <si>
    <t>emeitdkurban@sme.prefeitura.sp.gov.br</t>
  </si>
  <si>
    <t>emeiibettarello@sme.prefeitura.sp.gov.br</t>
  </si>
  <si>
    <t>emeilfsueur@sme.prefeitura.sp.gov.br</t>
  </si>
  <si>
    <t>emeifimperio@sme.prefeitura.sp.gov.br</t>
  </si>
  <si>
    <t>AURÉLIO MARCOS GUIMARÃES</t>
  </si>
  <si>
    <t>emeimassis@sme.prefeitura.sp.gov.br</t>
  </si>
  <si>
    <t>ANDREA ROGERIA ALVES DE ALMEIDA</t>
  </si>
  <si>
    <t>emeicabreu@sme.prefeitura.sp.gov.br</t>
  </si>
  <si>
    <t>MARCIA VIEIRA CARVALHO DA COSTA</t>
  </si>
  <si>
    <t>emeilmbarros@sme.prefeitura.sp.gov.br</t>
  </si>
  <si>
    <t>CLAUDIA REGINA CREMONESI PASSARÃO ASCENSO</t>
  </si>
  <si>
    <t>ROSANGELA DE ALMEIDA</t>
  </si>
  <si>
    <t>emeinmrossi@sme.prefeitura.sp.gov.br</t>
  </si>
  <si>
    <t>emeilfcamargo@sme.prefeitura.sp.gov.br</t>
  </si>
  <si>
    <t>emeihmello@sme.prefeitura.sp.gov.br</t>
  </si>
  <si>
    <t>emeilgsalgado@sme.prefeitura.sp.gov.br</t>
  </si>
  <si>
    <t>emeiihromeiro@sme.prefeitura.sp.gov.br</t>
  </si>
  <si>
    <t>fe_isiara@yahoo.com.br</t>
  </si>
  <si>
    <t>Karina Vieira Neves</t>
  </si>
  <si>
    <t>emeianitacosta@sme.prefeitura.sp.gov.br</t>
  </si>
  <si>
    <t>Maria Ines Speil Abeid</t>
  </si>
  <si>
    <t>emeispaulo@sme.prefeitura.sp.gov.br</t>
  </si>
  <si>
    <t>normaportela@uol.com.br</t>
  </si>
  <si>
    <t>Natália Priscilla Pimentel Bassan</t>
  </si>
  <si>
    <t>emeihvlobos@sme.prefeitura.sp.gov.br</t>
  </si>
  <si>
    <t>Marina de OliveiraKater Calabro</t>
  </si>
  <si>
    <t>emeiarraujo@sme.prefeitura.sp.gov.br</t>
  </si>
  <si>
    <t>Bernarda Pereira Santos</t>
  </si>
  <si>
    <t>emeiocruz@sme.prefeitura.sp.gov.br</t>
  </si>
  <si>
    <t>Fabiana Gomes de Mattos</t>
  </si>
  <si>
    <t>emeipalves@sme.prefeitura.sp.gov.br</t>
  </si>
  <si>
    <t>tatibyttatiana@hotmail.com</t>
  </si>
  <si>
    <t>emeiacorreia@sme.prefeitura.sp.gov.br</t>
  </si>
  <si>
    <t>emeiqpaineiras@sme.prefeitura.sp.gov.br</t>
  </si>
  <si>
    <t>Leticia Floriano Gonçalves</t>
  </si>
  <si>
    <t>emeiafcelso@sme.prefeitura.sp.gov.br</t>
  </si>
  <si>
    <t>Marta Cavalcante de Souza</t>
  </si>
  <si>
    <t>emeizgrandini@sme.prefeitura.sp.gov.br</t>
  </si>
  <si>
    <t>Terezinha de Fatima Peluchi</t>
  </si>
  <si>
    <t>emeisebastiaosanchesmartines@sme.prefeitura.sp.gov.br</t>
  </si>
  <si>
    <t>Carla Munhoz de Araujo Salvioni</t>
  </si>
  <si>
    <t>emeijverissimo@sme.prefeitura.sp.gov.br</t>
  </si>
  <si>
    <t>Claudia Cristina Cruz dos Santos de Matos</t>
  </si>
  <si>
    <t>emeibfmaral@sme.prefeitura.sp.gov.br</t>
  </si>
  <si>
    <t>Lúcia Regina Lopes Tombi</t>
  </si>
  <si>
    <t>emeiolessa@sme.prefeitura.sp.gov.br</t>
  </si>
  <si>
    <t>ANDRÉA FRAGOSO DE MELO</t>
  </si>
  <si>
    <t>emeibconstant@sme.prefeitura.sp.gov.br</t>
  </si>
  <si>
    <t>emeicpereira@sme.prefeitura.sp.gov.br</t>
  </si>
  <si>
    <t>emeivcarvalho@sme.prefeitura.sp.gov.br</t>
  </si>
  <si>
    <t>emeiaalves@sme.prefeitura.sp.gov.br</t>
  </si>
  <si>
    <t>emeimandrade@sme.prefeitura.sp.gov.br</t>
  </si>
  <si>
    <t>emeivbrasil@sme.prefeitura.sp.gov.br</t>
  </si>
  <si>
    <t>emeiaomaraujo@sme.prefeitura.sp.gov.br</t>
  </si>
  <si>
    <t>emeimfiel@sme.prefeitura.sp.gov.br</t>
  </si>
  <si>
    <t>emeiamoraes@sme.prefeitura.sp.gov.br</t>
  </si>
  <si>
    <t>emeicvolpon@sme.prefeitura.sp.gov.br</t>
  </si>
  <si>
    <t>emefacfilho@sme.prefeitura.sp.gov.br</t>
  </si>
  <si>
    <t>TABATA IRACEMA P. DA COSTA</t>
  </si>
  <si>
    <t>emeicbevilacqua@sme.prefeitura.sp.gov.br</t>
  </si>
  <si>
    <t>emeicgonzaga@sme.prefeitura.sp.gov.br</t>
  </si>
  <si>
    <t>JOANA LUCIA DE S. SILVA</t>
  </si>
  <si>
    <t>emeinduarte@sme.prefeitura.sp.gov.br</t>
  </si>
  <si>
    <t>emeicmiranda@sme.prefeitura.sp.gov.br</t>
  </si>
  <si>
    <t>emeijmvasconcelos@sme.prefeitura.sp.gov.br</t>
  </si>
  <si>
    <t>emefjamachado@sme.prefeitura.sp.gov.br</t>
  </si>
  <si>
    <t>ROBERTA DA SILVA PIRES DO AMARAL TAIOLI</t>
  </si>
  <si>
    <t>emefalima@sme.prefeitura.sp.gov.br</t>
  </si>
  <si>
    <t>SILVIA MARIA DE ARAUJO</t>
  </si>
  <si>
    <t>emeftdias@sme.prefeitura.sp.gov.br</t>
  </si>
  <si>
    <t>emefdeodoro@sme.prefeitura.sp.gov.br</t>
  </si>
  <si>
    <t>emefwhitaker@sme.prefeitura.sp.gov.br</t>
  </si>
  <si>
    <t>emeftarsila@sme.prefeitura.sp.gov.br</t>
  </si>
  <si>
    <t>emefaaserpa@sme.prefeitura.sp.gov.br</t>
  </si>
  <si>
    <t>emefagetchegoyen@sme.prefeitura.sp.gov.br</t>
  </si>
  <si>
    <t>emefjoaoxxiii@sme.prefeitura.sp.gov.br</t>
  </si>
  <si>
    <t>GIOVANNI GONÇALVES FERREIRA SPINELI</t>
  </si>
  <si>
    <t>emefstrindade@sme.prefeitura.sp.gov.br</t>
  </si>
  <si>
    <t>emeflematarazzo@sme.prefeitura.sp.gov.br</t>
  </si>
  <si>
    <t>emefjmesquita@sme.prefeitura.sp.gov.br</t>
  </si>
  <si>
    <t>emefinobre@sme.prefeitura.sp.gov.br</t>
  </si>
  <si>
    <t>emefbrasiljapao@sme.prefeitura.sp.gov.br</t>
  </si>
  <si>
    <t>emefasbraga@sme.prefeitura.sp.gov.br</t>
  </si>
  <si>
    <t>emeferosas@sme.prefeitura.sp.gov.br</t>
  </si>
  <si>
    <t xml:space="preserve">CAMILA TAMIRES DE MELO </t>
  </si>
  <si>
    <t>emefrmange@sme.prefeitura.sp.gov.br</t>
  </si>
  <si>
    <t>emefeofigueiredo@sme.prefeitura.sp.gov.br</t>
  </si>
  <si>
    <t>ALESSANDRA BARRETO BORGES E ALENCAR</t>
  </si>
  <si>
    <t>emefmmealbuquerque@sme.prefeitura.sp.gov.br</t>
  </si>
  <si>
    <t>RITA DE CASSIA MONTEIRO</t>
  </si>
  <si>
    <t>emefcrroliveira@sme.prefeitura.sp.gov.br</t>
  </si>
  <si>
    <t>emefoviana@sme.prefeitura.sp.gov.br</t>
  </si>
  <si>
    <t>CLOVES TEIXEIRA</t>
  </si>
  <si>
    <t>emefmmoliveira@sme.prefeitura.sp.gov.br</t>
  </si>
  <si>
    <t>BIANCA DOS SANTOS TORRES</t>
  </si>
  <si>
    <t>emefcpastore@sme.prefeitura.sp.gov.br</t>
  </si>
  <si>
    <t>emefaeaamaral@sme.prefeitura.sp.gov.br</t>
  </si>
  <si>
    <t>emefmrangel@sme.prefeitura.sp.gov.br</t>
  </si>
  <si>
    <t>emefjamericano@sme.prefeitura.sp.gov.br</t>
  </si>
  <si>
    <t>emefecunha@sme.prefeitura.sp.gov.br</t>
  </si>
  <si>
    <t>emefimsilveira@sme.prefeitura.sp.gov.br</t>
  </si>
  <si>
    <t>emeflasodre@sme.prefeitura.sp.gov.br</t>
  </si>
  <si>
    <t>emefomota@sme.prefeitura.sp.gov.br</t>
  </si>
  <si>
    <t>emefpferreira@sme.prefeitura.sp.gov.br</t>
  </si>
  <si>
    <t>emefaaribeiro@sme.prefeitura.sp.gov.br</t>
  </si>
  <si>
    <t>EDUARDO PAULINO SENHOR</t>
  </si>
  <si>
    <t>emefltbrito@sme.prefeitura.sp.gov.br</t>
  </si>
  <si>
    <t>emefabarros@sme.prefeitura.sp.gov.br</t>
  </si>
  <si>
    <t>emefprezende@sme.prefeitura.sp.gov.br</t>
  </si>
  <si>
    <t>emefmsimao@sme.prefeitura.sp.gov.br</t>
  </si>
  <si>
    <t>emeflvboas@sme.prefeitura.sp.gov.br</t>
  </si>
  <si>
    <t>emefsrocha@sme.prefeitura.sp.gov.br</t>
  </si>
  <si>
    <t>MARILIA TAIS GOMES VILELA</t>
  </si>
  <si>
    <t>emefzcfaustino@sme.prefeitura.sp.gov.br</t>
  </si>
  <si>
    <t>emefpcpqueiroz@sme.prefeitura.sp.gov.br</t>
  </si>
  <si>
    <t>ANGELICA TOBAL</t>
  </si>
  <si>
    <t>emefdgaulle@sme.prefeitura.sp.gov.br</t>
  </si>
  <si>
    <t>emeffvarella@sme.prefeitura.sp.gov.br</t>
  </si>
  <si>
    <t>emefddsantos@sme.prefeitura.sp.gov.br</t>
  </si>
  <si>
    <t>CHRISTIAN CARDOSO JACQUES BICCA</t>
  </si>
  <si>
    <t>emefafreire@sme.prefeitura.sp.gov.br</t>
  </si>
  <si>
    <t>emefjmpduarte@sme.prefeitura.sp.gov.br</t>
  </si>
  <si>
    <t>ELISA MOREIRA BONAFE</t>
  </si>
  <si>
    <t>FERNANDA QUEIROZ GRADELA PORTA</t>
  </si>
  <si>
    <t>emefmadbasto@sme.prefeitura.sp.gov.br</t>
  </si>
  <si>
    <t>emefopezzotti@sme.prefeitura.sp.gov.br</t>
  </si>
  <si>
    <t>emefchiquinha@sme.prefeitura.sp.gov.br</t>
  </si>
  <si>
    <t>emefjdsilveira@sme.prefeitura.sp.gov.br</t>
  </si>
  <si>
    <t>emefjocan@sme.prefeitura.sp.gov.br</t>
  </si>
  <si>
    <t>emeflprestes@sme.prefeitura.sp.gov.br</t>
  </si>
  <si>
    <t>emefcarizzini@sme.prefeitura.sp.gov.br</t>
  </si>
  <si>
    <t>emeflrcarvalho@sme.prefeitura.sp.gov.br</t>
  </si>
  <si>
    <t>ELIANE APARECIDA FERREIRA DA SILVA VASCONCELOS</t>
  </si>
  <si>
    <t>emefjgacarvalho@sme.prefeitura.sp.gov.br</t>
  </si>
  <si>
    <t>REGINA SOUSA DOMINGUEZ</t>
  </si>
  <si>
    <t>JOSÉ FDELIS DE MIRANDA</t>
  </si>
  <si>
    <t>emefacasodre@sme.prefeitura.sp.gov.br</t>
  </si>
  <si>
    <t>emefanascentes@sme.prefeitura.sp.gov.br</t>
  </si>
  <si>
    <t>emefmcfferraz@sme.prefeitura.sp.gov.br</t>
  </si>
  <si>
    <t>emefjshirata@sme.prefeitura.sp.gov.br</t>
  </si>
  <si>
    <t>emefivferreira@sme.prefeitura.sp.gov.br</t>
  </si>
  <si>
    <t>SANDRA DE MORAIS MIRANDA VITURINO</t>
  </si>
  <si>
    <t>emeftiradentes@sme.prefeitura.sp.gov.br</t>
  </si>
  <si>
    <t>CAMILA TEIXEIRA INEZ</t>
  </si>
  <si>
    <t>emefpcarneiro@sme.prefeitura.sp.gov.br</t>
  </si>
  <si>
    <t>emefpcastro@sme.prefeitura.sp.gov.br</t>
  </si>
  <si>
    <t>ALEX LUCIO FIRMINO</t>
  </si>
  <si>
    <t>emefhandrade@sme.prefeitura.sp.gov.br</t>
  </si>
  <si>
    <t>LILIAN DE FARIA INDICATI</t>
  </si>
  <si>
    <t>emefajunior@sme.prefeitura.sp.gov.br</t>
  </si>
  <si>
    <t>emefamfranco@sme.prefeitura.sp.gov.br</t>
  </si>
  <si>
    <t>MARIA AUXILIADORA ANDRADE</t>
  </si>
  <si>
    <t>emefjdcmello@sme.prefeitura.sp.gov.br</t>
  </si>
  <si>
    <t>emefomariano@sme.prefeitura.sp.gov.br</t>
  </si>
  <si>
    <t>emefmfalbuquerque@sme.prefeitura.sp.gov.br</t>
  </si>
  <si>
    <t>RAQUEL PANTOJA DA SILVA</t>
  </si>
  <si>
    <t>emefermsouza@sme.prefeitura.sp.gov.br</t>
  </si>
  <si>
    <t>LUIZ RICARDO COSTA</t>
  </si>
  <si>
    <t>RENATA RODRIGUES DE ARAUJO</t>
  </si>
  <si>
    <t>emefmabreu@sme.prefeitura.sp.gov.br</t>
  </si>
  <si>
    <t>ANDREA RABELLO DA SILVA</t>
  </si>
  <si>
    <t>LUIZ FELIX DA SILVA</t>
  </si>
  <si>
    <t>emefjbalneto@sme.prefeitura.sp.gov.br</t>
  </si>
  <si>
    <t>emefttpiza@sme.prefeitura.sp.gov.br</t>
  </si>
  <si>
    <t>emefpsetubal@sme.prefeitura.sp.gov.br</t>
  </si>
  <si>
    <t>JOÃO CARLOS DA SILVA</t>
  </si>
  <si>
    <t>emefjamadei@sme.prefeitura.sp.gov.br</t>
  </si>
  <si>
    <t>THAIS RODRIGUES REGO DIAS</t>
  </si>
  <si>
    <t>emefmvferreira@sme.prefeitura.sp.gov.br</t>
  </si>
  <si>
    <t>IVAN TOMAZ</t>
  </si>
  <si>
    <t>emefcmello@sme.prefeitura.sp.gov.br</t>
  </si>
  <si>
    <t>emefchagas@sme.prefeitura.sp.gov.br</t>
  </si>
  <si>
    <t>JULIANA MAVIEL DOS SANTOS LOURENÇO</t>
  </si>
  <si>
    <t>emefeprado@sme.prefeitura.sp.gov.br</t>
  </si>
  <si>
    <t>emefdjfernandes@sme.prefeitura.sp.gov.br</t>
  </si>
  <si>
    <t>emefayresmtorres@sme.prefeitura.sp.gov.br</t>
  </si>
  <si>
    <t>emefhveloso@sme.prefeitura.sp.gov.br</t>
  </si>
  <si>
    <t>emefaneiva@sme.prefeitura.sp.gov.br</t>
  </si>
  <si>
    <t>emefbcalixto@sme.prefeitura.sp.gov.br</t>
  </si>
  <si>
    <t>emefjlpaiva@sme.prefeitura.sp.gov.br</t>
  </si>
  <si>
    <t>CIBELE DIOGO KIMURA</t>
  </si>
  <si>
    <t>emef25dejaneiro@sme.prefeitura.sp.gov.br</t>
  </si>
  <si>
    <t>RENATA FRANCA GONÇALVES</t>
  </si>
  <si>
    <t>emefmadrejoana@sme.prefeitura.sp.gov.br</t>
  </si>
  <si>
    <t>emefsaturnino@sme.prefeitura.sp.gov.br</t>
  </si>
  <si>
    <t>RUTE RODRIGUES DOS REIS</t>
  </si>
  <si>
    <t>CLÉRIA SILVA OLIVEIRA</t>
  </si>
  <si>
    <t>emeffpagliuso@sme.prefeitura.sp.gov.br</t>
  </si>
  <si>
    <t>emefjodestrada@sme.prefeitura.sp.gov.br</t>
  </si>
  <si>
    <t>emefcneto@sme.prefeitura.sp.gov.br</t>
  </si>
  <si>
    <t>emefpqueiroz@sme.prefeitura.sp.gov.br</t>
  </si>
  <si>
    <t>FABIANA DE ANDRADE</t>
  </si>
  <si>
    <t>emefjmwhitaker@sme.prefeitura.sp.gov.br</t>
  </si>
  <si>
    <t>emefrmfandrade@sme.prefeitura.sp.gov.br</t>
  </si>
  <si>
    <t>IDELMA BARBOSA FRANCISCO HENARES</t>
  </si>
  <si>
    <t>emefrivadavia@sme.prefeitura.sp.gov.br</t>
  </si>
  <si>
    <t>emefaamartins@sme.prefeitura.sp.gov.br</t>
  </si>
  <si>
    <t>CATIA CRISTINA DA M. M. DE  SOUZA</t>
  </si>
  <si>
    <t>emefoabmello@sme.prefeitura.sp.gov.br</t>
  </si>
  <si>
    <t>ZULEICA FÁVERO LOPES</t>
  </si>
  <si>
    <t>PRISCILA MARCIA KAISER RODRIGUES</t>
  </si>
  <si>
    <t>emefmgoulart@sme.prefeitura.sp.gov.br</t>
  </si>
  <si>
    <t>emefwherzog@sme.prefeitura.sp.gov.br</t>
  </si>
  <si>
    <t>RENATA APARECIDA SILVA DE ANGELIS</t>
  </si>
  <si>
    <t>emefomangabeira@sme.prefeitura.sp.gov.br</t>
  </si>
  <si>
    <t>emefoctaviomangabeira@sme.prefeitura.sp.gov.br</t>
  </si>
  <si>
    <t>emefaamaral@sme.prefeitura.sp.gov.br</t>
  </si>
  <si>
    <t>CAIO MARQUES FERNANDES</t>
  </si>
  <si>
    <t>emefpaleixo@sme.prefeitura.sp.gov.br</t>
  </si>
  <si>
    <t>FÁBIO CAMILO</t>
  </si>
  <si>
    <t>emefepessoa@sme.prefeitura.sp.gov.br</t>
  </si>
  <si>
    <t>REGINA EVANGELISTA DA SILVA SANTOS</t>
  </si>
  <si>
    <t>emefrpilla@sme.prefeitura.sp.gov.br</t>
  </si>
  <si>
    <t>emefadalmeida@sme.prefeitura.sp.gov.br</t>
  </si>
  <si>
    <t>emefptexeira@sme.prefeitura.sp.gov.br</t>
  </si>
  <si>
    <t>emefacasilva@sme.prefeitura.sp.gov.br</t>
  </si>
  <si>
    <t>JOSÉ CLAUDIO DA SILVA</t>
  </si>
  <si>
    <t>ELAINE APARECIDA DE CARVALHO  MOURA</t>
  </si>
  <si>
    <t>emefalsaia@sme.prefeitura.sp.gov.br</t>
  </si>
  <si>
    <t>emefdprloureiro@sme.prefeitura.sp.gov.br</t>
  </si>
  <si>
    <t>ÉRICA ANDRADE MARTINS ROSA</t>
  </si>
  <si>
    <t>emefapfrontin@sme.prefeitura.sp.gov.br</t>
  </si>
  <si>
    <t>emeffazevedo@sme.prefeitura.sp.gov.br</t>
  </si>
  <si>
    <t>emefjrbarros@sme.prefeitura.sp.gov.br</t>
  </si>
  <si>
    <t>emefjanchieta@sme.prefeitura.sp.gov.br</t>
  </si>
  <si>
    <t>emefjabreves@sme.prefeitura.sp.gov.br</t>
  </si>
  <si>
    <t>FRANCISCO APARECIDO DE ANDRADE</t>
  </si>
  <si>
    <t>emefagusmao@sme.prefeitura.sp.gov.br</t>
  </si>
  <si>
    <t>emefhfcosta@sme.prefeitura.sp.gov.br</t>
  </si>
  <si>
    <t>emefaabegbie@sme.prefeitura.sp.gov.br</t>
  </si>
  <si>
    <t>emefgnreis@sme.prefeitura.sp.gov.br</t>
  </si>
  <si>
    <t>MIRIAM SATOMI FREI NEIVA</t>
  </si>
  <si>
    <t>emefmissacramento@sme.prefeitura.sp.gov.br</t>
  </si>
  <si>
    <t>MICHELLE CINTRA VILELA RODRIGUES</t>
  </si>
  <si>
    <t>emefrcorreia@sme.prefeitura.sp.gov.br</t>
  </si>
  <si>
    <t>emefjaalmeida@sme.prefeitura.sp.gov.br</t>
  </si>
  <si>
    <t>LUCIANE CRISTINA AUGUSTO DE OLIVEIRA</t>
  </si>
  <si>
    <t>emefjbassis@sme.prefeitura.sp.gov.br</t>
  </si>
  <si>
    <t>SIMONE DA SILVA CAVALCANTE</t>
  </si>
  <si>
    <t>emefacrighetti@sme.prefeitura.sp.gov.br</t>
  </si>
  <si>
    <t>IVONE MARIA DUARTE</t>
  </si>
  <si>
    <t>ANDERSON MIGRE DA CUNHA</t>
  </si>
  <si>
    <t>emefcabreu@sme.prefeitura.sp.gov.br</t>
  </si>
  <si>
    <t>IVONETE MOURA DE SOUZA</t>
  </si>
  <si>
    <t>emefcpasquale@sme.prefeitura.sp.gov.br</t>
  </si>
  <si>
    <t>WAGNER RESENDE DA SILVA</t>
  </si>
  <si>
    <t>emeferjunior@sme.prefeitura.sp.gov.br</t>
  </si>
  <si>
    <t>LUCIANA DE SOUSA LIMA XAVIER GUIMARÃES</t>
  </si>
  <si>
    <t>emefsmennucci@sme.prefeitura.sp.gov.br</t>
  </si>
  <si>
    <t>LAUDENICE SOARES DA PAIXÃO</t>
  </si>
  <si>
    <t>emefofranco@sme.prefeitura.sp.gov.br</t>
  </si>
  <si>
    <t>MARIA CRISTINA ALVES PASSERINE</t>
  </si>
  <si>
    <t>emefofranco@sme.prefeitura.sp,gov.br</t>
  </si>
  <si>
    <t>LILIAN CLAUDIA DINIZ DEL CIELO</t>
  </si>
  <si>
    <t>emefjfigueiredo@sme.prefeitura.sp.gov.br</t>
  </si>
  <si>
    <t>ANA LUCIA MARQUES DOS SANTOS</t>
  </si>
  <si>
    <t>emefjoaopinheiro@sme.prefeitura.sp.gov.br</t>
  </si>
  <si>
    <t>OSÉAS SOUZA DA SILVA</t>
  </si>
  <si>
    <t>emef19novembro@sme.prefeitura.sp.gov.br</t>
  </si>
  <si>
    <t>LUCIANA CRISTINE AUGUSTO ARAUJO</t>
  </si>
  <si>
    <t>emeffirminotiburcio@sme.prefeitura.sp.gov.br</t>
  </si>
  <si>
    <t>FABIANA COSTA DIAS AGNATI</t>
  </si>
  <si>
    <t>emefamoraes@sme.prefeitura.sp.gov.br</t>
  </si>
  <si>
    <t>KAREN MOSCA</t>
  </si>
  <si>
    <t>emefhumbertocampos@sme.prefeitura.sp.gov.br</t>
  </si>
  <si>
    <t>ETIENE PARENTE FEITOSA</t>
  </si>
  <si>
    <t>emefjosebonifacio@sme.prefeitura.sp.gov.br</t>
  </si>
  <si>
    <t>emefviscondecairu@sme.prefeitura.sp.gov.br</t>
  </si>
  <si>
    <t>emefaalvim@sme.prefeitura.sp.gov.br</t>
  </si>
  <si>
    <t>WILSON BATISTA DOS SANTOS</t>
  </si>
  <si>
    <t>emefavieira@sme.prefeitura.sp.gov.br</t>
  </si>
  <si>
    <t>RONALDO GOMES DA COSTA</t>
  </si>
  <si>
    <t>emefjgomes@sme.prefeitura.sp.gov.br</t>
  </si>
  <si>
    <t>emefjennygomes@sme.prefeitura.sp.gov.br</t>
  </si>
  <si>
    <t>ROSA MARIA BALHESTEROS NOGUEIRA</t>
  </si>
  <si>
    <t>emef8maio@sme.prefeitura.sp.gov.br</t>
  </si>
  <si>
    <t>emefprofwany@sme.prefeitura.sp.gov.br</t>
  </si>
  <si>
    <t>emefprofwanny@sme.prefeitura.sp.gov.br</t>
  </si>
  <si>
    <t>EDNA VALINAS LLAUSAS</t>
  </si>
  <si>
    <t>emefhpegado@sme.prefeitura.sp.gov.br</t>
  </si>
  <si>
    <t>PRISCILLA APARECIDA CORREIO RUBINO</t>
  </si>
  <si>
    <t>ROSEMEIRE PEREIRA SANTOS</t>
  </si>
  <si>
    <t>emefmarechaljuarez@sme.prefeitura.sp.gov.br</t>
  </si>
  <si>
    <t>CAMILLA EZIQUEL TURCHIAI</t>
  </si>
  <si>
    <t>emeffreifrancisco@sme.prefeitura.sp.gov.br</t>
  </si>
  <si>
    <t>GEYSE NUNES ADRIANO</t>
  </si>
  <si>
    <t>emefluizwashington@sme.prefeitura.sp.gov.br</t>
  </si>
  <si>
    <t>emefluizwashington@sme.prefeirura.sp.gov.br</t>
  </si>
  <si>
    <t>EDIVALDO DA SILVA HOFETCHER</t>
  </si>
  <si>
    <t>emefguilhermealmeida@sme.prefeitura.sp.gov.br</t>
  </si>
  <si>
    <t>ELLEN MARIA ARMANDO GARCIA</t>
  </si>
  <si>
    <t>emefceciliameireles@sme.prefeitura.sp.gov.br</t>
  </si>
  <si>
    <t>ALECSANDRA GARCIA SANTOS</t>
  </si>
  <si>
    <t>emefedgardcavalheiro@sme.prefeitura.sp.gov.br</t>
  </si>
  <si>
    <t xml:space="preserve"> emefatazevedo@sme.prefeitura.sp.gov.br</t>
  </si>
  <si>
    <t>ANDREA DA SILVA MARQUES</t>
  </si>
  <si>
    <t>emefnilopeçanha@sme.prefeitura.sp.gov.br</t>
  </si>
  <si>
    <t>LIGIA APARECIDA GONÇALVES</t>
  </si>
  <si>
    <t>emefplinioayrosa@sme.prefeitura.sp.gov.br</t>
  </si>
  <si>
    <t>emefjgfagundes@sme.prefeitura.sp.gov.br</t>
  </si>
  <si>
    <t>37653-1</t>
  </si>
  <si>
    <t>UELINTON MARQUES DE SANTANA</t>
  </si>
  <si>
    <t>emefverissimo@sme.prefeitura.sp.gov.br</t>
  </si>
  <si>
    <t>VITORIA KEIKO VASSOLER</t>
  </si>
  <si>
    <t>emefmiltoncampos@sme.prefeitura.sp.gov.br</t>
  </si>
  <si>
    <t>emefalckmin@sme.prefeitura.sp.gov.br</t>
  </si>
  <si>
    <t>37807-0</t>
  </si>
  <si>
    <t>emefraulfernandes@sme.prefeitura.sp.gov.br</t>
  </si>
  <si>
    <t>VALDILENE DUTRA DE BRITO</t>
  </si>
  <si>
    <t>emeftheodutra@sme.prefeitura.sp.gov.br</t>
  </si>
  <si>
    <t>ANA LUCIA DE OLIVEIRA BARRETO</t>
  </si>
  <si>
    <t>ADRIANA MALAQUIAS DE PAULA CERAVOLO</t>
  </si>
  <si>
    <t>emefaprudente@sme.prefeitura.sp.gov.br</t>
  </si>
  <si>
    <t>FLAVIA MAURICIO DA SILVA</t>
  </si>
  <si>
    <t>CRISTIANE GOMES DA SILVA CUSTÓDIO</t>
  </si>
  <si>
    <t>emefsnogueira@sme.prefeitura.sp.gov.br</t>
  </si>
  <si>
    <t>DANIELA BIANOR DE MATOS</t>
  </si>
  <si>
    <t>emefcastroalves@sme.prefeitura.sp.gov.br</t>
  </si>
  <si>
    <t>JULIANA ELIETE PEREIRA THOMAZ</t>
  </si>
  <si>
    <t>emefjacomenius@sme.prefeitura.sp.gov.br</t>
  </si>
  <si>
    <t>ADRIANA MARIA GOMES</t>
  </si>
  <si>
    <t>emefrleoni@sme.prefeitura.sp.gov.br</t>
  </si>
  <si>
    <t>SÔNIA MARIA MORA</t>
  </si>
  <si>
    <t>emefoqsim oes@sme.prefeitura.sp.gov.br</t>
  </si>
  <si>
    <t>SOLANGE APARECIDA FERNANDES DE PAULA</t>
  </si>
  <si>
    <t>ROSEANE FERREIRA DE MELO</t>
  </si>
  <si>
    <t>emeffsantos@sme.prefeitura.sp.gov.br</t>
  </si>
  <si>
    <t>FABIO KOITI NAKANO</t>
  </si>
  <si>
    <t>emefpedroamerico@sme.prefeitura.sp.gov.br</t>
  </si>
  <si>
    <t>emefeliascavalcanti@sme.prefeitura.sp.gov.br</t>
  </si>
  <si>
    <t>37566-7</t>
  </si>
  <si>
    <t>ALINE DOS SANTOS TOJA</t>
  </si>
  <si>
    <t>emefhdantas@sme.prefeitura.sp.gov.br</t>
  </si>
  <si>
    <t>10049-8</t>
  </si>
  <si>
    <t>MARIA JOSE FLORENTINO DOS SANTOS</t>
  </si>
  <si>
    <t>emefarazevedo@sme.prefeitura.sp.gov.br</t>
  </si>
  <si>
    <t>MARIA DE LOURDES CABRAL</t>
  </si>
  <si>
    <t>emeffamvita@sme.prefeitura.sp.gov.br</t>
  </si>
  <si>
    <t>MEIRE KEIKO HANASSAKA</t>
  </si>
  <si>
    <t>ELISÂNGELA TERCARIOLI RAMOS MONTEIRO</t>
  </si>
  <si>
    <t>emefgdavila@sme.prefeitura.sp.gov.br</t>
  </si>
  <si>
    <t>DALVA PAULINO DA SILVA VAZ</t>
  </si>
  <si>
    <t>emefceudapaz@sme.prefeitura.sp.gov.br</t>
  </si>
  <si>
    <t>emefcmvasconcelos@sme.prefeitura.sp.gov.br</t>
  </si>
  <si>
    <t>SIMONE IDY PAREDES</t>
  </si>
  <si>
    <t>ELLEN VASCONCELOS DE BARROS</t>
  </si>
  <si>
    <t>emefmkfilho@sme.prefeitura.sp.gov.br</t>
  </si>
  <si>
    <t xml:space="preserve">IARA LINA DE MOURA ALVES </t>
  </si>
  <si>
    <t>emefmlobato@sme.prefeitura.sp.gov.br</t>
  </si>
  <si>
    <t>emefgprestes@sme.prefeitura.sp.gov.br</t>
  </si>
  <si>
    <t xml:space="preserve">EUNICE MARQUES PIRES CARVALHO </t>
  </si>
  <si>
    <t>emeflbittencourt@sme.prefeitura.sp.gov.br</t>
  </si>
  <si>
    <t xml:space="preserve">VANIA GONÇALVES DE OLIVEIRA </t>
  </si>
  <si>
    <t>emefleopoldina@sme.prefeitura.sp.gov.br</t>
  </si>
  <si>
    <t xml:space="preserve">MARCIA REGINA ZANELLA ALENCAR </t>
  </si>
  <si>
    <t>emefrachecchia@sme.prefeitura.sp.gov.br</t>
  </si>
  <si>
    <t>agodliauskas@prefeitura.sp.gov.br</t>
  </si>
  <si>
    <t>emeflfranca@sme.prefeitura.sp.gov.br</t>
  </si>
  <si>
    <t>ci.rufino@interair.com.br</t>
  </si>
  <si>
    <t xml:space="preserve">PABLIO DE SOUSA TOH </t>
  </si>
  <si>
    <t>emefldsobrinho@sme.prefeitura.sp.gov.br</t>
  </si>
  <si>
    <t xml:space="preserve">CARINA EUGENIA DA SILVA RIBEIRO </t>
  </si>
  <si>
    <t>emefjoliveira@sme.prefeitura.sp.gov.br</t>
  </si>
  <si>
    <t xml:space="preserve">ELISABETE FERREIRA R.DE OLIVEIRA </t>
  </si>
  <si>
    <t>emefcandidoportinari@sme.prefeitura.sp.gov.br</t>
  </si>
  <si>
    <t xml:space="preserve">IZABEL CHRISTINA G.DE OLIVEIRA REIS </t>
  </si>
  <si>
    <t>emefpprado@sme.prefeitura.sp.gov.br</t>
  </si>
  <si>
    <t xml:space="preserve">MARCOS KENITI MORIKAWA </t>
  </si>
  <si>
    <t>emefhrdfontenelle@sme.prefeitura.sp.gov.br</t>
  </si>
  <si>
    <t>ALEXNDRE MEDEIROS SALES DA SILVA</t>
  </si>
  <si>
    <t xml:space="preserve">BRIOLANGE MOURA MONIZ CALDEIRA </t>
  </si>
  <si>
    <t>emefhgeisel@sme.prefeitura.sp.gov.br</t>
  </si>
  <si>
    <t>FRANCISCO JOSE JOAQUIM</t>
  </si>
  <si>
    <t>emefjramos@sme.prefeitura.sp.gov.br</t>
  </si>
  <si>
    <t>emef rbloem@sme.prefeitura.sp.gov.br</t>
  </si>
  <si>
    <t>CHISLANE DAS NEVES ALMEIDA</t>
  </si>
  <si>
    <t>emefamendes@sme.prefeitura.sp.gov.br</t>
  </si>
  <si>
    <t xml:space="preserve">MARTHA ESTHELA DOS SANTOS SILVA </t>
  </si>
  <si>
    <t>emefecsilveira@sme.prefeitura.sp.gov.br</t>
  </si>
  <si>
    <t xml:space="preserve">FLAVIO CANDIDO DE SANTANA </t>
  </si>
  <si>
    <t>emefjfcampos@sme.prefeitura.sp.gov.br</t>
  </si>
  <si>
    <t xml:space="preserve">GABRIEL BEZERRA DA CUNHA LIMA </t>
  </si>
  <si>
    <t>emefgstcarvalho@sme.prefeitura.sp.gov.br</t>
  </si>
  <si>
    <t>SONIA SAWICHI</t>
  </si>
  <si>
    <t>emefsportuga@sme.prefeitura.sp.gov.br</t>
  </si>
  <si>
    <t xml:space="preserve">EDILSON PAIVA SOUZA </t>
  </si>
  <si>
    <t>betetamas@hotmail.com</t>
  </si>
  <si>
    <t>NEUSA DAGLISIA FERNANDES TEIXEIRA</t>
  </si>
  <si>
    <t>emefaaverissimo@sme.prefeitura.sp.gov.br</t>
  </si>
  <si>
    <t xml:space="preserve">JOAO MATIAS SANTOS </t>
  </si>
  <si>
    <t>emefflima@sme.prefeitura.sp.gov.br</t>
  </si>
  <si>
    <t>José Carlos da Silva</t>
  </si>
  <si>
    <t>emefdcaxias@sme.prefeitura.sp.gov.br</t>
  </si>
  <si>
    <t>Wilson Almeida Amaral</t>
  </si>
  <si>
    <t>emefcelsolribeiro@sme.prefeitura.sp.gov.br</t>
  </si>
  <si>
    <t>Eliane Coelho Canale</t>
  </si>
  <si>
    <t>emefhenrique@sme.prefeitura.sp.gov.br</t>
  </si>
  <si>
    <t>AMANDA SANTANA GOMES SILVA</t>
  </si>
  <si>
    <t>emefmdallegretti@sme.prefeitura.sp.gov.br</t>
  </si>
  <si>
    <t>6804-7</t>
  </si>
  <si>
    <t>R VOL DA PATRIA</t>
  </si>
  <si>
    <t>emefaolaet@sme.prefeitura.sp.gov.br</t>
  </si>
  <si>
    <t>emefmmelega@sme.prefeitura.sp.gov.br</t>
  </si>
  <si>
    <t>PRISCILA NASCIMENTO ALVES</t>
  </si>
  <si>
    <t>emefmdias@sme.prefeitura.sp.gov.br</t>
  </si>
  <si>
    <t>VALERIA REGINA PAULON NOGUEIRA</t>
  </si>
  <si>
    <t>emefgmoutinho@sme.prefeitura.sp.gov.br</t>
  </si>
  <si>
    <t>MIRELLA DE PAULA SEBASTIÃO</t>
  </si>
  <si>
    <t>emefnazevedo@sme.prefeitura.sp.gov.br</t>
  </si>
  <si>
    <t>emefjrpernambuco@sme.prefeitura.sp.gov.br</t>
  </si>
  <si>
    <t>emefespramos@sme.prefeitura.sp.gov.br</t>
  </si>
  <si>
    <t>emefmfrandrada@sme.prefeitura.sp.gov.br</t>
  </si>
  <si>
    <t>emefrondon@sme.prefeitura.sp.gov.br</t>
  </si>
  <si>
    <t>JOSEFA MARTINS DE GOUVEA</t>
  </si>
  <si>
    <t>emefmmsantos@sme.prefeitura.sp.gov.br</t>
  </si>
  <si>
    <t>emeforbsilva@sme.prefeitura.sp.gov.br</t>
  </si>
  <si>
    <t>emefrbarbosa@sme.prefeitura.sp.gov.br</t>
  </si>
  <si>
    <t>emefhlbraga@sme.prefeitura.sp.gov.br</t>
  </si>
  <si>
    <t>emefagomes@sme.prefeitura.sp.gov.br</t>
  </si>
  <si>
    <t>CRISTIANE FAIS JOANINI</t>
  </si>
  <si>
    <t>KURT DAVI GOULART BRUM</t>
  </si>
  <si>
    <t>emefjdsampaio@sme.prefeitura.sp.gov.br</t>
  </si>
  <si>
    <t>emefpedroi@sme.prefeitura.sp.gov.br</t>
  </si>
  <si>
    <t>emeftamandare@sme.prefeitura.sp.gov.br</t>
  </si>
  <si>
    <t>LUCIANA MATIAS DE BIAGGI</t>
  </si>
  <si>
    <t>emefecaguiar@sme.prefeitura.sp.gov.br</t>
  </si>
  <si>
    <t>emefasdumont@sme.prefeitura.sp.gov.br</t>
  </si>
  <si>
    <t>emefjmsalgado@sme.prefeitura.sp.gov.br</t>
  </si>
  <si>
    <t>MARIA APARECIDA DA SILVA BERNARDINO</t>
  </si>
  <si>
    <t>emefasgalvão@sme.prefeitura.sp.gov.br</t>
  </si>
  <si>
    <t>MARIA LINDALVA PEREIRA DA SILVA</t>
  </si>
  <si>
    <t>SIMONE FANTUCCI DE OLIVEIRA</t>
  </si>
  <si>
    <t>emefoplopes@sme.prefeitura.sp.gov.br</t>
  </si>
  <si>
    <t>emeferodrigues@sme.prefeitura.sp.gov.br</t>
  </si>
  <si>
    <t>emeflfilho@sme.prefeitura.sp.gov.br</t>
  </si>
  <si>
    <t>ELISABETE VELOSO DOS SANTOS</t>
  </si>
  <si>
    <t>emefmhflima@sme.prefeitura.sp.gov.br</t>
  </si>
  <si>
    <t>emeffamcampos@sme.prefeitura.sp.gov.br</t>
  </si>
  <si>
    <t>MARCIA REGINA GOMES DE OLIVEIRA</t>
  </si>
  <si>
    <t>emefralves@sme.prefeitura.sp.gov.br</t>
  </si>
  <si>
    <t>emefsguio@sme.prefeitura.sp.gov.br</t>
  </si>
  <si>
    <t>ADRIANA DE CARVALHO MESQUITA</t>
  </si>
  <si>
    <t>emefjmlisboa@sme.prefeitura.sp.gov.br</t>
  </si>
  <si>
    <t>Maria Lucia Alves dos Santos</t>
  </si>
  <si>
    <t>emefegdutra@sme.prefeitura.sp.gov.br</t>
  </si>
  <si>
    <t>Alcilene Gaia Balansuelo</t>
  </si>
  <si>
    <t>emefsmpires@sme.prefeitura.sp.gov.br</t>
  </si>
  <si>
    <t>Erika Nadal Ferreira Rodrigues</t>
  </si>
  <si>
    <t>emefofontoura@sme.prefeitura.sp.gov.br</t>
  </si>
  <si>
    <t>Josival Silva dos Santos</t>
  </si>
  <si>
    <t>emefjnabuco@sme.prefeitura.sp.gov.br</t>
  </si>
  <si>
    <t>emefcricardo@sme.prefeitura.sp.gov.br</t>
  </si>
  <si>
    <t>emefjpatricinio@sme.prefeitura.sp.gov.br</t>
  </si>
  <si>
    <t>Eraldo Ramos Monteiro de Freitas</t>
  </si>
  <si>
    <t>emeflmachado@sme.prefeitura.sp.gov.br</t>
  </si>
  <si>
    <t>emefcsalles@sme.prefeitura.sp.gov.br</t>
  </si>
  <si>
    <t>emefaamachado@sme.prefeitura.sp.gov.br</t>
  </si>
  <si>
    <t>tatiapdo@yahoo.com.br</t>
  </si>
  <si>
    <t>emeffmeireles@sme.prefeitura.sp.gov.br</t>
  </si>
  <si>
    <t>Estela Maria Escorcio dos Santos</t>
  </si>
  <si>
    <t>emeffsprado@sme.prefeitura.sp.gov.br</t>
  </si>
  <si>
    <t>IARA ADILLA HERNANDES CALÇADA</t>
  </si>
  <si>
    <t>emefsfleming@sme.prefeitura.sp.gov.br</t>
  </si>
  <si>
    <t>MARISA DO NASCIMENTO GUICHO SEBASTIANUTTI</t>
  </si>
  <si>
    <t>emefdicavalcanti@sme.prefeitura.sp.gov.br</t>
  </si>
  <si>
    <t>CLEBERSON CARVALHO DE MEDEIROS</t>
  </si>
  <si>
    <t>emeflmbarros@sme.prefeitura.sp.gov.br</t>
  </si>
  <si>
    <t>CLAUDIA BOTCHINO PERES</t>
  </si>
  <si>
    <t>presidentekennedy@sme.prefeitura.sp.gov.br</t>
  </si>
  <si>
    <t>emefbartolomeugusmao@sme.prefeitura.sp.gov.br</t>
  </si>
  <si>
    <t>ecpinto@sme.prefeitura.sp.gov.br</t>
  </si>
  <si>
    <t>FLAVIA DO NASCIMENTO COUTINHO PRADO</t>
  </si>
  <si>
    <t>emefvicentina@sme.prefeitura.sp.gov.br</t>
  </si>
  <si>
    <t>emefroquettepinto@sme.prefeitura.sp.gov.br</t>
  </si>
  <si>
    <t>emefaoribeiro@sme.prefeitura.sp.gov.br</t>
  </si>
  <si>
    <t>emefjlrego@sme.prefeitura.sp.gov.br</t>
  </si>
  <si>
    <t>DILENE MARIA C. DE MATOS</t>
  </si>
  <si>
    <t>emefsergiomilliet@sme.prefeitura.sp.gov.br</t>
  </si>
  <si>
    <t>ADILSON SEBASTIÃO DE SOUSA</t>
  </si>
  <si>
    <t>emefguimaraesrosa@sme.prefeitura.sp.gov.br</t>
  </si>
  <si>
    <t>RENATA MORELLI ACQUAFREDA</t>
  </si>
  <si>
    <t>emefcalogeras@sme.prefeitura.sp.gov.br</t>
  </si>
  <si>
    <t>ABIGAIL DA CUNHA BUENO SANTOS</t>
  </si>
  <si>
    <t>emefbohiggins@sme.prefeitura.sp.gov.br</t>
  </si>
  <si>
    <t>emefaaparreiras@sme.prefeitura.sp.gov.br</t>
  </si>
  <si>
    <t>MARLENE PEREIRA DOS SANTOS</t>
  </si>
  <si>
    <t>DANIELA ANDRADE FERREIRA HENRIQUES</t>
  </si>
  <si>
    <t>emefmvmesquita@sme.prefeitura.sp.gov.br</t>
  </si>
  <si>
    <t>ANTONIO LUZIMAR DE SOUSA</t>
  </si>
  <si>
    <t>emefhckyrillos@sme.prefeitura.sp.gov.br</t>
  </si>
  <si>
    <t>emefasdoria@sme.prefeitura.sp.gov.br</t>
  </si>
  <si>
    <t>FABIANA ARAUJO PACHECO RODRIGUES</t>
  </si>
  <si>
    <t>emefaapereira@sme.prefeitura.sp.gov.br</t>
  </si>
  <si>
    <t>emefcacildabecker@sme.prefeitura.sp.gov.br</t>
  </si>
  <si>
    <t>emefnpqueiroz@sme.prefeitura.sp.gov.br</t>
  </si>
  <si>
    <t>emefjcsborges@sme.prefeitura.sp.gov.br</t>
  </si>
  <si>
    <t>Renato Ramos</t>
  </si>
  <si>
    <t>emefmpaiva@sme.prefeitura.sp.gov.br</t>
  </si>
  <si>
    <t>verasilvia@prefeitura.sp.gov.br</t>
  </si>
  <si>
    <t>Valéria Gonçalves Capella Nogueira</t>
  </si>
  <si>
    <t>emefjmermoz@sme.prefeitura.sp.gov.br</t>
  </si>
  <si>
    <t>Maria Margarete Ferreira Pinheiro</t>
  </si>
  <si>
    <t>emefimarinho@sme.prefeitura.sp.gov.br</t>
  </si>
  <si>
    <t>emefrlandrade@sme.prefeitura.sp.gov.br</t>
  </si>
  <si>
    <t>Juliana Inamine de Oliveira</t>
  </si>
  <si>
    <t>emefqfilho@sme.prefeitura.sp.gov.br</t>
  </si>
  <si>
    <t>msimilamore@prefeitura.sp.gov.br</t>
  </si>
  <si>
    <t>Patricia Nobre de Faria e Souza</t>
  </si>
  <si>
    <t>emefosorio@sme.prefeitura.sp.gov.br</t>
  </si>
  <si>
    <t>Priscila Cristina de Oliveira</t>
  </si>
  <si>
    <t>emefmaua@sme.prefeitura.sp.gov.br</t>
  </si>
  <si>
    <t>SUELI MUNHOZ SASTRE</t>
  </si>
  <si>
    <t>emefccampos@sme.prefeitura.sp.gov.br</t>
  </si>
  <si>
    <t>emefarxlopes@sme.prefeitura.sp.gov.br</t>
  </si>
  <si>
    <t>Lucineide Rapozo Neves</t>
  </si>
  <si>
    <t>emefmrondelli@sme.prefeitura.sp.gov.br</t>
  </si>
  <si>
    <t>emefpmorais@sme.prefeitura.sp.gov.br</t>
  </si>
  <si>
    <t>Katia Aparecida Ferreira Jacinto</t>
  </si>
  <si>
    <t>emefmmoraes@sme.prefeitura.sp.gov.br</t>
  </si>
  <si>
    <t>Vanessa Staiannov de Souza</t>
  </si>
  <si>
    <t>emefalazevedo@sme.prefeitura.sp.gov.br</t>
  </si>
  <si>
    <t>Marly Aparecida Ferres Costa</t>
  </si>
  <si>
    <t>emefaarantes@sme.prefeitura.sp.gov.br</t>
  </si>
  <si>
    <t>jhokairos@yahoo.com.br</t>
  </si>
  <si>
    <t>Ormuz Serpa Sanches Junior</t>
  </si>
  <si>
    <t>emefhmelega@sme.prefeitura.sp.gov.br</t>
  </si>
  <si>
    <t>emeferibas@sme.prefeitura.sp.gov.br</t>
  </si>
  <si>
    <t>emeffcunha@sme.prefeitura.sp.gov.br</t>
  </si>
  <si>
    <t>emefasoliveira@sme.prefeitura.sp.gov.br</t>
  </si>
  <si>
    <t>emefbmneto@sme.prefeitura.sp.gov.br</t>
  </si>
  <si>
    <t>JAELSON DE JESUS ENA</t>
  </si>
  <si>
    <t>emefhbarbuy@sme.prefeitura.sp.gov.br</t>
  </si>
  <si>
    <t>emefvmoraes@sme.prefeitura.sp.gov.br</t>
  </si>
  <si>
    <t>emefrcarvalho@sme.prefeitura.sp.gov.br</t>
  </si>
  <si>
    <t>emefocosta@sme.prefeitura.sp.gov.br</t>
  </si>
  <si>
    <t>emefcmcosta@sme.prefeitura.sp.gov.br</t>
  </si>
  <si>
    <t>emefamoroso@sme.prefeitura.sp.gov.br</t>
  </si>
  <si>
    <t>emefcidosaka@sme.prefeitura.sp.gov.br</t>
  </si>
  <si>
    <t>DAYSE AUGUSTA NUNES</t>
  </si>
  <si>
    <t>emefgwestrupp@sme.prefeitura.sp.gov.br</t>
  </si>
  <si>
    <t>ROBERTA DOS SANTOS TOLEDO</t>
  </si>
  <si>
    <t>emefivargas@sme.prefeitura.sp.gov.br</t>
  </si>
  <si>
    <t>emefvartigas@sme.prefeitura.sp.gov.br</t>
  </si>
  <si>
    <t>SELMA DAMASCENO OLIVEIRA</t>
  </si>
  <si>
    <t>emefpauloduarte@sme.prefeitura.sp.gov.br</t>
  </si>
  <si>
    <t>emefdduarte@sme.prefeitura.sp.gov.br</t>
  </si>
  <si>
    <t>emefjkoliveira@sme.prefeitura.sp.gov.br</t>
  </si>
  <si>
    <t>emefapignacio@sme.prefeitura.sp.gov.br</t>
  </si>
  <si>
    <t>emeikreinach@sme.prefeitura.sp.gov.br</t>
  </si>
  <si>
    <t>LARISSA VERONICA DOS SANTOS O. BATISTA</t>
  </si>
  <si>
    <t>emeiekabramovich@sme.prefeitura.sp.gov.br</t>
  </si>
  <si>
    <t>emeivazevedo@sme.prefeitura.sp.gov.br</t>
  </si>
  <si>
    <t>LUZINETE APARECIDA DE GOUVEIA</t>
  </si>
  <si>
    <t>EDNA LISBOA DOS SANTOS</t>
  </si>
  <si>
    <t>emeitneves@sme.prefeitura.sp.gov.br</t>
  </si>
  <si>
    <t>TABATA CRISTINA HENRIQUE FERRI</t>
  </si>
  <si>
    <t>emeiperoneto@sme.prefeitura.sp.gov.br</t>
  </si>
  <si>
    <t>emeiophorta@sme.prefeitura.sp.gov.br</t>
  </si>
  <si>
    <t>REGIANE GARCIA RODRIGUES BORGES</t>
  </si>
  <si>
    <t>emeizpleite@sme.prefeitura.sp.gov.br</t>
  </si>
  <si>
    <t>emeidfunaro@sme.prefeitura.sp.gov.br</t>
  </si>
  <si>
    <t>FABIANA MARIA DOS SANTOS LIMA</t>
  </si>
  <si>
    <t>emefaleite@sme.prefeitura.sp.gov.br</t>
  </si>
  <si>
    <t>emefjplcordeiro@sme.prefeitura.sp.gov.br</t>
  </si>
  <si>
    <t>JOÃO MARQUES DOS REIS</t>
  </si>
  <si>
    <t>emefjacsalgado@sme.prefeitura.sp.gov.br</t>
  </si>
  <si>
    <t>emeialbertsabin@sme.prefeitura.sp.gov.br</t>
  </si>
  <si>
    <t>emeicarvalho@sme.prefeitura.sp.gov.br</t>
  </si>
  <si>
    <t>Elaine Cristina Duarte</t>
  </si>
  <si>
    <t>emeiabaleeiro@sme.prefeitura.sp.gov.br</t>
  </si>
  <si>
    <t>ELAINE DANTAS VALÉRIO DE FREITAS</t>
  </si>
  <si>
    <t>SIMONE APARECIDA BARTHOLOMEU</t>
  </si>
  <si>
    <t>emeiocfarias@sme.prefeitura.sp.gov.br</t>
  </si>
  <si>
    <t>ANDREIA LOURENÇO ALVES</t>
  </si>
  <si>
    <t>emeicsousa@sme.prefeitura.sp.gov.br</t>
  </si>
  <si>
    <t>emeiavsantos@sme.prefeitura.sp.gov.br</t>
  </si>
  <si>
    <t>NÍVEA FILOMENA DE JESUS SOUZA FERREIRA</t>
  </si>
  <si>
    <t>emeiodenys@sme.prefeitura.sp.gov.br</t>
  </si>
  <si>
    <t>ELOIZA HELENA PERAZOLLI</t>
  </si>
  <si>
    <t>emei9dejulho@sme.prefeitura.sp.gov.br</t>
  </si>
  <si>
    <t>emeilgama@sme.prefeitura.sp.gov.br</t>
  </si>
  <si>
    <t>emeijmfonseca@sme.prefeitura.sp.gov.br</t>
  </si>
  <si>
    <t>emeicharbonneau@sme.prefeitura.sp.gov.br</t>
  </si>
  <si>
    <t>ROSANA MARIA MOHACSI</t>
  </si>
  <si>
    <t>emeiespaula@sme.prefeitura.sp.gov.br</t>
  </si>
  <si>
    <t>emeicmcarneiro@sme.prefeitura.sp.gov.br</t>
  </si>
  <si>
    <t>MARISA YOSHIKO KUROMOTO</t>
  </si>
  <si>
    <t>emeimjgfranca@sme.prefeitura.sp.gov.br</t>
  </si>
  <si>
    <t>emeivcmoraes@sme.prefeitura.sp.gov.br</t>
  </si>
  <si>
    <t>emeiaalmeida@sme.prefeitura.sp.gov.br</t>
  </si>
  <si>
    <t>emeidsqueiroz@sme.prefeitura.sp.gov.br</t>
  </si>
  <si>
    <t>NILTON APARECIDO DE OLIVEIRA</t>
  </si>
  <si>
    <t>emeidccabral@sme.prefeitura.sp.gov.br</t>
  </si>
  <si>
    <t>emeiarcorrea@sme.prefeitura.sp.gov.br</t>
  </si>
  <si>
    <t xml:space="preserve">VIVIAN RENATA DOS SANTOS </t>
  </si>
  <si>
    <t>emefhjcosta@sme.prefeitura.sp.gov.br</t>
  </si>
  <si>
    <t>emefdforte@sme.prefeitura.sp.gov.br</t>
  </si>
  <si>
    <t>emefpracinhas@sme.prefeitura.sp.gov.br</t>
  </si>
  <si>
    <t>JULIANA SILVA GOMES</t>
  </si>
  <si>
    <t>emefdrubino@sme.prefeitura.sp.gov.br</t>
  </si>
  <si>
    <t>emefvmfranco@sme.prefeitura.sp.gov.br</t>
  </si>
  <si>
    <t>EDILSON DA SILVA CRUZ</t>
  </si>
  <si>
    <t>emefasullivan@sme.prefeitura.sp.gov.br</t>
  </si>
  <si>
    <t>AMERIANE ALVES DA SILVA</t>
  </si>
  <si>
    <t>emeicchaplin@sme.prefeitura.sp.gov.br</t>
  </si>
  <si>
    <t>emefjpcneto@sme.prefeitura.sp.gov.br</t>
  </si>
  <si>
    <t>emefmscagliusi@sme.prefeitura.sp.gov.br</t>
  </si>
  <si>
    <t>CARINA SANTOS FARIA</t>
  </si>
  <si>
    <t>emeismfigueiredo@sme.prefeitura.sp.gov.br</t>
  </si>
  <si>
    <t>PATRICIA MATOZINHO LAZARO</t>
  </si>
  <si>
    <t>emeinteixeira@sme.prefeitura.sp.gov.br</t>
  </si>
  <si>
    <t>emeftottoni@sme.prefeitura.sp.gov.br</t>
  </si>
  <si>
    <t>emeiisasleal@sme.prefeitura.sp.gov.br</t>
  </si>
  <si>
    <t>RITA ANGÉLICA BRANDÃO</t>
  </si>
  <si>
    <t>emefvmoog@sme.prefeitura.sp.gov.br</t>
  </si>
  <si>
    <t>emefbmontenegro@sme.prefeitura.sp.gov.br</t>
  </si>
  <si>
    <t>emeijmerilia@sme.prefeitura.sp.gov.br</t>
  </si>
  <si>
    <t>ROSEMARY CANDOSO DA GAMA</t>
  </si>
  <si>
    <t>emeimcpereira@sme.prefeitura.sp.gov.br</t>
  </si>
  <si>
    <t>emef22marco@sme.prefeitura.sp.gov.br</t>
  </si>
  <si>
    <t>emeirmsoliveira@sme.prefeitura.sp.gov.br</t>
  </si>
  <si>
    <t>emefpnava@sme.prefeitura.sp.gov.br</t>
  </si>
  <si>
    <t>INGRID DA SILVA RICOMINI</t>
  </si>
  <si>
    <t>emeidhauck@sme.prefeitura.sp.gov.br</t>
  </si>
  <si>
    <t>emefjhrodrigues@sme.prefeitura.sp.gov.br</t>
  </si>
  <si>
    <t>JACILENE RODRIGUES DE ALMEIDA</t>
  </si>
  <si>
    <t>emefamelia@sme.prefeitura.sp.gov.br</t>
  </si>
  <si>
    <t>emefmallet@sme.prefeitura.sp.gov.br</t>
  </si>
  <si>
    <t>emefrvitiello@sme.prefeitura.sp.gov.br</t>
  </si>
  <si>
    <t>LIGIA MARIA NICACIO PEREIRA</t>
  </si>
  <si>
    <t>emefgsesso@sme.prefeitura.sp.gov.br</t>
  </si>
  <si>
    <t>JOSE ANTONIO DA SILVA</t>
  </si>
  <si>
    <t>SÉRGIO GREGORY MARCELINO DE SOUZA</t>
  </si>
  <si>
    <t>emefpsalgado@sme.prefeitura.sp.gov.br</t>
  </si>
  <si>
    <t>CELSO CIRILA XAVES</t>
  </si>
  <si>
    <t>emeffortedosreismagos@sme.prefeitura.sp.gov.br</t>
  </si>
  <si>
    <t>emeijgajorge@sme.prefeitura.sp.gov.br</t>
  </si>
  <si>
    <t>VERÔNICA SANCHES LAURI</t>
  </si>
  <si>
    <t>emeimjdupre@sme.prefeitura.sp.gov.br</t>
  </si>
  <si>
    <t>ROSELI APARECIDA DA SILVA LEONARDO</t>
  </si>
  <si>
    <t>ciejaermelinomatarazzo@sme.prefeitura.sp.gov.br</t>
  </si>
  <si>
    <t xml:space="preserve"> ciejaermelinomatarazzo@sme.prefeitura.sp.gov.br</t>
  </si>
  <si>
    <t>LAIS RODRIGUES CAETANO</t>
  </si>
  <si>
    <t>ciejaiguatemi1@sme.prefeitura.sp.gov.br</t>
  </si>
  <si>
    <t>ciejaperus1@sme.prefeitura.sp.gov.br</t>
  </si>
  <si>
    <t xml:space="preserve">FRANCIELE BUSICO LIMA </t>
  </si>
  <si>
    <t>&lt;ciejaperus1@prefeitura.sp.gov.br</t>
  </si>
  <si>
    <t xml:space="preserve">DJEANE DA CONCEIÇAO </t>
  </si>
  <si>
    <t>ciejanae8@sme.prefeitura.sp.gov.br</t>
  </si>
  <si>
    <t>SELMO HENRIQUE DE ARAUJO</t>
  </si>
  <si>
    <t>ciejasabrina@sme.prefeitura.sp.gov.br</t>
  </si>
  <si>
    <t>PAULO MEDEIROS FILHO</t>
  </si>
  <si>
    <t>ciejanae9@sme.prefeitura.sp.gov.br</t>
  </si>
  <si>
    <t>ciejacambuci@sme.prefeitura.sp.gov.br</t>
  </si>
  <si>
    <t>Regina Celi da Rocha</t>
  </si>
  <si>
    <t>ciejarosakazue@sme.prefeitura.sp.gov.br</t>
  </si>
  <si>
    <t>ciejanae6@sme.prefeitura.sp.gov.br</t>
  </si>
  <si>
    <t>ANTONIA ELENIR NOGUEIRA COMIN</t>
  </si>
  <si>
    <t>ciejanae5@sme.prefeitura.sp.gov.br</t>
  </si>
  <si>
    <t>ciejamga@sme.prefeitura.sp.gov.br</t>
  </si>
  <si>
    <t>ANA CLAUDIA F. JOSE ALVES</t>
  </si>
  <si>
    <t>ciejabutanta@sme.prefeitura.sp.gov.br</t>
  </si>
  <si>
    <t>ciejaccmiquelazzo@sme.prefeitura.sp.gov.br</t>
  </si>
  <si>
    <t>Marlene Alves Silva Robles</t>
  </si>
  <si>
    <t>ciejamandaqui@sme.prefeitura.sp.gov.br</t>
  </si>
  <si>
    <t>ciejafo@sme.prefeitura.sp.gov.br</t>
  </si>
  <si>
    <t>26068-1</t>
  </si>
  <si>
    <t>EDSON HIROSHI MARAGUTI</t>
  </si>
  <si>
    <t>AMAURI ARRIGHI</t>
  </si>
  <si>
    <t>smeceualvarenga@sme.prefeitura.sp.gov.br</t>
  </si>
  <si>
    <t>smeceuaricanduva@sme.prefeitura.sp.gov.br</t>
  </si>
  <si>
    <t>smeceubutanta@sme.prefeitura.sp.gov.br</t>
  </si>
  <si>
    <t>SILVANA LOMBAS DO NASCIMENTO</t>
  </si>
  <si>
    <t>smeceucidadedutra@sme.prefeitura.sp.gov.br</t>
  </si>
  <si>
    <t>smeceuinaciomonteiro@sme.prefeitura.sp.gov.br</t>
  </si>
  <si>
    <t>ALAN MOREIRA DE ANDRADE</t>
  </si>
  <si>
    <t>smeceujambeiro@sme.prefeitura.sp.gov.br</t>
  </si>
  <si>
    <t>GRINAURIA ENEDINA DA SILVA</t>
  </si>
  <si>
    <t>VANESSA MENEGATI PRATES NAPOLEÃO</t>
  </si>
  <si>
    <t>smeceumeninos@sme.prefeitura.sp.gov.br</t>
  </si>
  <si>
    <t>Rubéns Tévola</t>
  </si>
  <si>
    <t>smeceunavegantes@sme.prefeitura.sp.gov.br</t>
  </si>
  <si>
    <t>smeceupqsaocarlos@sme.prefeitura.sp.gov.br</t>
  </si>
  <si>
    <t>FERNANDO APARECIDO GERALDO DA SILVA</t>
  </si>
  <si>
    <t>smeceupqveredas@sme.prefeitura.sp.gov.br</t>
  </si>
  <si>
    <t>mau.canuto@gmail.com</t>
  </si>
  <si>
    <t xml:space="preserve">HELIO BARBOSA DA SILVA </t>
  </si>
  <si>
    <t>ceuperuseducacao@gmail.com</t>
  </si>
  <si>
    <t>smeceusaomateus@sme.prefeitura.sp.gov.br</t>
  </si>
  <si>
    <t>smeceusaorafael@sme.prefeitura.sp.gov.br</t>
  </si>
  <si>
    <t>KAREN ALTIVE</t>
  </si>
  <si>
    <t>smeceutreslagos@sme.prefeitura.sp.gov.br</t>
  </si>
  <si>
    <t>smeceuvlcuruca@sme.prefeitura.sp.gov.br</t>
  </si>
  <si>
    <t>RONALDO DOS SANTOS SPINOLA</t>
  </si>
  <si>
    <t>RAIMUNDO ALDEIDE DE SOUZA</t>
  </si>
  <si>
    <t>smeceurosachina@sme.prefeitura.sp.gov.br</t>
  </si>
  <si>
    <t>smecasablanca@sme.prefeitura.sp.gov.br</t>
  </si>
  <si>
    <t>CRISTINA KIYOMI TAKATSUKI RANEA</t>
  </si>
  <si>
    <t>smeceupaz@sme.prefeitura.sp.gov.br</t>
  </si>
  <si>
    <t>smeceucampolimpo@sme.prefeitura.sp.gov.br</t>
  </si>
  <si>
    <t>cecijaraguá@sme.prefeitura.sp.gov.br</t>
  </si>
  <si>
    <t>cecikrukutu@sme.prefeitura.sp.gov.br</t>
  </si>
  <si>
    <t>DINARTE BENITES GUARANI</t>
  </si>
  <si>
    <t>ANGELA GABRIEL DA SILVA</t>
  </si>
  <si>
    <t>cecitenondepora@sme.prefeitura.sp.gov.br</t>
  </si>
  <si>
    <t>LUIZA VIDAL</t>
  </si>
  <si>
    <t>ciejaparelheiros@sme.prefeitura.sp.gov.br</t>
  </si>
  <si>
    <t>MIKAELLE DA SILVA PUTUMUJU</t>
  </si>
  <si>
    <t>smeceuaguaazul@sme.prefeitura.sp.gov.br</t>
  </si>
  <si>
    <t>MARIA DO SOCORRO MOURATO LIMA</t>
  </si>
  <si>
    <t>FRANCISCO PEREIRA DA COSTA</t>
  </si>
  <si>
    <t>smeceuazuldacordomar@sme.prefeitura.sp.gov.br</t>
  </si>
  <si>
    <t>smeceufeiticovila@sme.prefeitura.sp.gov.br</t>
  </si>
  <si>
    <t xml:space="preserve">ROSE MARILIA LOPES </t>
  </si>
  <si>
    <t>smevilarubi@sme.prefeitura.sp.gov.br</t>
  </si>
  <si>
    <t>MERCI DE OLIVEIRA</t>
  </si>
  <si>
    <t>smeceujacana@sme.prefeitura.sp.gov.br</t>
  </si>
  <si>
    <t>smeceuguarapiranga@sme.prefeitura.sp.gov.br</t>
  </si>
  <si>
    <t>ceucantosdoamanhecer@sme.prefeitura.sp.gov.br</t>
  </si>
  <si>
    <t>ceuviladosol@sme.prefeitura.sp.gov.br</t>
  </si>
  <si>
    <t>ceujardim paulistano@sme.prefeitura.sp.gov.br</t>
  </si>
  <si>
    <t>WALDIRENE GOMES DA SILVA</t>
  </si>
  <si>
    <t>smeceulajeado@sme.prefeitura.sp.gov.br</t>
  </si>
  <si>
    <t>SANDRA REGINA SABINO DECAMPOS</t>
  </si>
  <si>
    <t>ceuquintadosol@sme.prefeitura.sp.gov.br</t>
  </si>
  <si>
    <t>DAVI RODRIGUES DE OLIVEIRA</t>
  </si>
  <si>
    <t>MARIO GABRIEL</t>
  </si>
  <si>
    <t>smeceusapopemba@sme.prefeitura.sp.gov.br</t>
  </si>
  <si>
    <t>ceutrespontes@sme.prefeitura.sp.gov.br</t>
  </si>
  <si>
    <t>DAVID BORGES DA CRUZ</t>
  </si>
  <si>
    <t>smeceucaminhomar@sme.prefeitura.sp.gov.br</t>
  </si>
  <si>
    <t>smeceucapaoredondo@sme.prefeitura.sp.gov.br</t>
  </si>
  <si>
    <t>smeceuparaisopolis@sme.prefeitura.sp.gov.br</t>
  </si>
  <si>
    <t>ceupqbristolgestao@sme.prefeitura.sp.gov.br</t>
  </si>
  <si>
    <t>smeceuformosa@sme.prefeitura.sp.gov.br</t>
  </si>
  <si>
    <t>ELAINE CRISTINA GARCIA TAVARES DA SILVA</t>
  </si>
  <si>
    <t>ceuirapuru@sme.prefeitura.sp.gov.br</t>
  </si>
  <si>
    <t>SILVANA DE ALMEIDA SILVA</t>
  </si>
  <si>
    <t>smeceutiquatira@sme.prefeitura.sp.gov.br</t>
  </si>
  <si>
    <t>RAFAEL STIVANELLI</t>
  </si>
  <si>
    <t>eduardoprofceu@gmail.com</t>
  </si>
  <si>
    <t xml:space="preserve">ARLETE DE OLIVEIRA </t>
  </si>
  <si>
    <t xml:space="preserve">MARIA LUCIA DOS SANTOS BREIM </t>
  </si>
  <si>
    <t>smeceualtoalegre@sme.prefeitura.sp.gov.br</t>
  </si>
  <si>
    <t>smeceuparelheiros@sme.prefeitura.sp.gov.br</t>
  </si>
  <si>
    <t>AMARILIS PERES RODRIGUES</t>
  </si>
  <si>
    <t>smeceuheliopolis@sme.prefeitura.sp.gov.br</t>
  </si>
  <si>
    <t>ceialrodrigues@sme.prefeitura.sp.gov.br</t>
  </si>
  <si>
    <t>ceiaagoncalves@sme.prefeitura.sp.gov.br</t>
  </si>
  <si>
    <t>VANESSA DE SOUZA ALBUQUERQUE</t>
  </si>
  <si>
    <t>ceiamgreenhalgh@sme.prefeitura.sp.gov.br</t>
  </si>
  <si>
    <t>ceiamsouza@sme.prefeitura.sp.gov.br</t>
  </si>
  <si>
    <t>VIVIANE CAVALCANTI LIRA</t>
  </si>
  <si>
    <t>LETICIA MANZOLINO GOMES ABRUZZESE</t>
  </si>
  <si>
    <t>ceiaczampirollo@sme.prefeitura.sp.gov.br</t>
  </si>
  <si>
    <t>ceiagaribaldi@sme.prefeitura.sp.gov.br</t>
  </si>
  <si>
    <t>ceiaafromao@sme.prefeitura.sp.gov.br</t>
  </si>
  <si>
    <t>SOLANGE MARTINS ALVES FERRA</t>
  </si>
  <si>
    <t>ceiamtsilva@sme.prefeitura.sp.gov.br</t>
  </si>
  <si>
    <t>ARLETE SUZART CRUZ NEVES</t>
  </si>
  <si>
    <t>ceiamlamberga@sme.prefeitura.sp.gov.br</t>
  </si>
  <si>
    <t>KÁTIA ROCHA MARTINEZ</t>
  </si>
  <si>
    <t>ELISANGELA TORRES</t>
  </si>
  <si>
    <t>ceiajbdalla@sme.prefeitura.sp.gov.br</t>
  </si>
  <si>
    <t>ceiamerloth@sme.prefeitura.sp.gov.br</t>
  </si>
  <si>
    <t>ceiaraucarias@sme.prefeitura.sp.gov.br</t>
  </si>
  <si>
    <t>ALDAISA SANCHEZ MAZZA</t>
  </si>
  <si>
    <t>ceiaangelis@sme.prefeitura.sp.gov.br</t>
  </si>
  <si>
    <t>ceiacuriati@sme.prefeitura.sp.gov.br</t>
  </si>
  <si>
    <t>MARLETE BARRETO DE ALMEIDA</t>
  </si>
  <si>
    <t>ceiasilva@sme.prefeitura.sp.gov.br</t>
  </si>
  <si>
    <t>ceibheliodora@sme.prefeitura.sp.gov.br</t>
  </si>
  <si>
    <t>DANIELE PEREIRA DA SILVA</t>
  </si>
  <si>
    <t>ceibbueno@sme.prefeitura.sp.gov.br</t>
  </si>
  <si>
    <t>ceibrocha@sme.prefeitura.sp.gov.br</t>
  </si>
  <si>
    <t>ceibpaulista@sme.prefeitura.sp.gov.br</t>
  </si>
  <si>
    <t>ceizildaarns@sme.prefeitura.sp.gov.br</t>
  </si>
  <si>
    <t>CINTIA DA CRUZ RAMOS PINTO</t>
  </si>
  <si>
    <t>ceicabreuvas@sme.prefeitura.sp.gov.br</t>
  </si>
  <si>
    <t>ceicnsampaio@sme.prefeitura.sp.gov.br</t>
  </si>
  <si>
    <t>SANDRA SALES DE OLIVEIRA</t>
  </si>
  <si>
    <t>ceiezukowski@sme.prefeitura.sp.gov.br</t>
  </si>
  <si>
    <t>ceicverde@sme.prefeitura.sp.gov.br</t>
  </si>
  <si>
    <t>1554-7</t>
  </si>
  <si>
    <t>BRAZ LEME</t>
  </si>
  <si>
    <t>ELAINE DE OLIVEIRA</t>
  </si>
  <si>
    <t>CARLA DANIELA DO VALE SANTOS GAROFALO</t>
  </si>
  <si>
    <t>ceicpsunhiga@sme.prefeitura.sp.gov.br</t>
  </si>
  <si>
    <t>SILVIA DO CARMO M. ANGULO.</t>
  </si>
  <si>
    <t>ceicdolivia@sme.prefeitura.sp.gov.br</t>
  </si>
  <si>
    <t>ceicidfranco@sme.prefeitura.sp.gov.br</t>
  </si>
  <si>
    <t>ANA PAULA BISPO FREITAS</t>
  </si>
  <si>
    <t>ceiepmelo@sme.prefeitura.sp.gov.br</t>
  </si>
  <si>
    <t>ceicivcentenario@sme.prefeitura.sp.gov.br</t>
  </si>
  <si>
    <t>ceidorothystang@sme.prefeitura.sp.gov.br</t>
  </si>
  <si>
    <t>ceicnpnmundo@sme.prefeitura.sp.gov.br</t>
  </si>
  <si>
    <t>ceicpjnunes@sme.prefeitura.sp.gov.br</t>
  </si>
  <si>
    <t>ceictiradentes@sme.prefeitura.sp.gov.br</t>
  </si>
  <si>
    <t>ANDREZA AP.GOMES DE ANDRADE</t>
  </si>
  <si>
    <t>ADENISE SANTOS SALES</t>
  </si>
  <si>
    <t>ceicflima@sme.prefeitura.sp.gov.br</t>
  </si>
  <si>
    <t>ELISABETE RAIMUNDA MACEDO DOS SANTOS</t>
  </si>
  <si>
    <t>LETÍCIA DE ARAUJO SILVA DELMIRO</t>
  </si>
  <si>
    <t>ceicrtavares@sme.prefeitura.sp.gov.br</t>
  </si>
  <si>
    <t>ceicpmaia@sme.prefeitura.sp.gov.br</t>
  </si>
  <si>
    <t>MARCOS EDUARDO FERREIRA DA SILVA</t>
  </si>
  <si>
    <t>ceicbcosta@sme.prefeitura.sp.gov.br</t>
  </si>
  <si>
    <t>ceicvelha@sme.prefeitura.sp.gov.br</t>
  </si>
  <si>
    <t>ANA PAULA ROMUALDO GONÇALVES RUBIO</t>
  </si>
  <si>
    <t>ceiddomingues@sme.prefeitura.sp.gov.br</t>
  </si>
  <si>
    <t>MARILENE DA SILVA DE SOUZA</t>
  </si>
  <si>
    <t>ceiinconfidentes@sme.prefeitura.sp.gov.br</t>
  </si>
  <si>
    <t>ceiddnascimento@sme.prefeitura.sp.gov.br</t>
  </si>
  <si>
    <t>JULIANA SILVA SANTOS</t>
  </si>
  <si>
    <t>RODRIGO AUGUSTO MODESTO</t>
  </si>
  <si>
    <t>ceidmiola@sme.prefeitura.sp.gov.br</t>
  </si>
  <si>
    <t>PAMELA DE MATOS ALVES</t>
  </si>
  <si>
    <t>ceieralves@sme.prefeitura.sp.gov.br</t>
  </si>
  <si>
    <t>MIRIAM DE LIMA KUMAMOTO</t>
  </si>
  <si>
    <t>ceietleite@sme.prefeitura.sp.gov.br</t>
  </si>
  <si>
    <t xml:space="preserve">REGINA MARIA COIMBRA SILVA </t>
  </si>
  <si>
    <t>LUCIA DA PENHA DA SILVA AURELIANO</t>
  </si>
  <si>
    <t>ceieslogarcia@sme.prefeitura.sp.gov.br</t>
  </si>
  <si>
    <t>ceiescarvalho@sme.prefeitura.sp.gov.br</t>
  </si>
  <si>
    <t>crismoraes13@ig.com.br</t>
  </si>
  <si>
    <t>Daniele Vicente de Assis</t>
  </si>
  <si>
    <t>ceiemarchetti@sme.prefeitura.sp.gov.br</t>
  </si>
  <si>
    <t>ceifdias@sme.prefeitura.sp.gov.br</t>
  </si>
  <si>
    <t>ceifmoliveira@sme.prefeitura.sp.gov.br</t>
  </si>
  <si>
    <t>ceifperez@sme.prefeitura.sp.gov.br</t>
  </si>
  <si>
    <t>ceignquadros@sme.prefeitura.sp.gov.br</t>
  </si>
  <si>
    <t>GISELLY HIDEMI MYASHIRO</t>
  </si>
  <si>
    <t>ceigdascoli@sme.prefeitura.sp.gov.br</t>
  </si>
  <si>
    <t>ceigapenteado@sme.prefeitura.sp.gov.br</t>
  </si>
  <si>
    <t>IARA REGINA DE ARAUJO SORRENTINO</t>
  </si>
  <si>
    <t>ceigmperon@sme.prefeitura.sp.gov.br</t>
  </si>
  <si>
    <t>ILMA CLEMENTINO PIMENTEL RAPOSO</t>
  </si>
  <si>
    <t>ceigpfleury@sme.prefeitura.sp.gov.br</t>
  </si>
  <si>
    <t>ceihijunqueira@sme.prefeitura.sp.gov.br</t>
  </si>
  <si>
    <t>ceihpmoraes@sme.prefeitura.sp.gov.br</t>
  </si>
  <si>
    <t>ANDREIA DUARTE DO NASCIMENTO</t>
  </si>
  <si>
    <t>ceivhpellegrini@sme.prefeitura.sp.gov.br</t>
  </si>
  <si>
    <t>ceihdsilva@sme.prefeitura.sp.gov.br</t>
  </si>
  <si>
    <t>FABIO CESAR CAMPANHOLI</t>
  </si>
  <si>
    <t xml:space="preserve">TICIANE BEZERRA DA SILVA COSTA </t>
  </si>
  <si>
    <t>ceiimonteiro@sme.prefeitura.sp.gov.br</t>
  </si>
  <si>
    <t>ceiimaria@sme.prefeitura.sp.gov.br</t>
  </si>
  <si>
    <t>taniasbc@ig.com.br</t>
  </si>
  <si>
    <t>Cristiane de Fatima Parra</t>
  </si>
  <si>
    <t>ceijacaranda@sme.prefeitura.sp.gov.br</t>
  </si>
  <si>
    <t>ceijsrzveibil@sme.prefeitura.sp.gov.br</t>
  </si>
  <si>
    <t>AGDA ROSANE VALERIANO</t>
  </si>
  <si>
    <t>ceijadutora@sme.prefeitura.sp.gov.br</t>
  </si>
  <si>
    <t>ceijaricanduva@sme.prefeitura.sp.gov.br</t>
  </si>
  <si>
    <t>ceijcnovo@sme.prefeitura.sp.gov.br</t>
  </si>
  <si>
    <t>RUA SARAVA</t>
  </si>
  <si>
    <t>ceijcvelho@sme.prefeitura.sp.gov.br</t>
  </si>
  <si>
    <t>ceiphslima@sme.prefeitura.sp.gov.br</t>
  </si>
  <si>
    <t>PAULA ANDREA GARCIA PIMENTEL</t>
  </si>
  <si>
    <t>ceijcampos@sme.prefeitura.sp.gov.br</t>
  </si>
  <si>
    <t>ceijcapela@sme.prefeitura.sp.gov.br</t>
  </si>
  <si>
    <t>VERONICA PINHEIRO ROFRIGUES MARTINS</t>
  </si>
  <si>
    <t>ceijcatanduva@sme.prefeitura.sp.gov.br</t>
  </si>
  <si>
    <t>ceijcatarina@sme.prefeitura.sp.gov.br</t>
  </si>
  <si>
    <t>ceijcolonial@sme.prefeitura.sp.gov.br</t>
  </si>
  <si>
    <t>ceijcolorado@sme.prefeitura.sp.gov.br</t>
  </si>
  <si>
    <t>ceijcopacabana@sme.prefeitura.sp.gov.br</t>
  </si>
  <si>
    <t>ceijdcotinha@sme.prefeitura.sp.gov.br</t>
  </si>
  <si>
    <t>LUISA FERNANDA ALVES</t>
  </si>
  <si>
    <t>ceijcupece@sme.prefeitura.sp.gov.br</t>
  </si>
  <si>
    <t xml:space="preserve">ADRIANA MARIA POCHINI MARTINES </t>
  </si>
  <si>
    <t>ceijpedras@sme.prefeitura.sp.gov.br</t>
  </si>
  <si>
    <t>MARIA ANGÉLICA GONÇALVES MIGUEL</t>
  </si>
  <si>
    <t>ceijdionisio@sme.prefeitura.sp.gov.br</t>
  </si>
  <si>
    <t>ceijdomjose@sme.prefeitura.sp.gov.br</t>
  </si>
  <si>
    <t>MARCIA CHRISTINNE SOARES SILVA DE SOUZA</t>
  </si>
  <si>
    <t>ceijeliana@sme.prefeitura.sp.gov.br</t>
  </si>
  <si>
    <t>CÁTIA PINHO VILLALOBOS</t>
  </si>
  <si>
    <t>JANAINA MIRANDA NARCISO DA SILVA</t>
  </si>
  <si>
    <t>ceijeva@sme.prefeitura.sp.gov.br</t>
  </si>
  <si>
    <t>ceijguairaca@sme.prefeitura.sp.gov.br</t>
  </si>
  <si>
    <t>Elis Regina Bonachello de Melo</t>
  </si>
  <si>
    <t>ceijguaruja@sme.prefeitura.sp.gov.br</t>
  </si>
  <si>
    <t>ceijhelena@sme.prefeitura.sp.gov.br</t>
  </si>
  <si>
    <t>ceijhercilia@sme.prefeitura.sp.gov.br</t>
  </si>
  <si>
    <t>SUELI TEIXEIRA DOS REIS</t>
  </si>
  <si>
    <t>ceibiguinati@sme.prefeitura.sp.gov.br</t>
  </si>
  <si>
    <t>ceijipanema@sme.prefeitura.sp.gov.br</t>
  </si>
  <si>
    <t>SOMAIA ABDUL HADI</t>
  </si>
  <si>
    <t>ceijjapao@sme.prefeitura.sp.gov.br</t>
  </si>
  <si>
    <t>ceijjulieta@sme.prefeitura.sp.gov.br</t>
  </si>
  <si>
    <t>ceijkagohara@sme.prefeitura.sp.gov.br</t>
  </si>
  <si>
    <t>ceijklein@sme.prefeitura.sp.gov.br</t>
  </si>
  <si>
    <t>VANIA CRISTINA DA SILVA ANIBAL</t>
  </si>
  <si>
    <t>ceijluso@sme.prefeitura.sp.gov.br</t>
  </si>
  <si>
    <t>ceijmacedonia@sme.prefeitura.sp.gov.br</t>
  </si>
  <si>
    <t>ceijmaia@sme.prefeitura.sp.gov.br</t>
  </si>
  <si>
    <t>ceijmaninos@sme.prefeitura.sp.gov.br</t>
  </si>
  <si>
    <t>ceimalice@sme.prefeitura.sp.gov.br</t>
  </si>
  <si>
    <t>ceijbcarvalho@sme.prefeitura.sp.gov.br</t>
  </si>
  <si>
    <t>FABIO JOSÉ DUARTE</t>
  </si>
  <si>
    <t>ceijmatarazzo@sme.prefeitura.sp.gov.br</t>
  </si>
  <si>
    <t>ELAINE CRISTINA DOS SANTOS</t>
  </si>
  <si>
    <t>ceijmiliunas@sme.prefeitura.sp.gov.br</t>
  </si>
  <si>
    <t>ceijmitsutani@sme.prefeitura.sp.gov.br</t>
  </si>
  <si>
    <t>ceijmonjolo@sme.prefeitura.sp.gov.br</t>
  </si>
  <si>
    <t>CILMARA CRISTINA CARDOSO MARQUES</t>
  </si>
  <si>
    <t>ceiijmalegre@sme.prefeitura.sp.gov.br</t>
  </si>
  <si>
    <t>ceijnakamura@sme.prefeitura.sp.gov.br</t>
  </si>
  <si>
    <t>MARIA SOLANGE DLIMAE SOUZA</t>
  </si>
  <si>
    <t>ceijnazare@sme.prefeitura.sp.gov.br</t>
  </si>
  <si>
    <t>ceimasantos@sme.prefeitura.sp.gov.br</t>
  </si>
  <si>
    <t>ceijnjulho@sme.prefeitura.sp.gov.br</t>
  </si>
  <si>
    <t>ANA MARIA C. DE MELO</t>
  </si>
  <si>
    <t>ceijnparelheiros@sme.prefeitura.sp.gov.br</t>
  </si>
  <si>
    <t>DAIANA FERREIRA TAVARES MATOS</t>
  </si>
  <si>
    <t>ceijpanamericano@sme.prefeitura.sp.gov.br</t>
  </si>
  <si>
    <t>ceijperi@sme.prefeitura.sp.gov.br</t>
  </si>
  <si>
    <t>MARIA CECILIA SILVA BISCOLA</t>
  </si>
  <si>
    <t> ceijpopular@sme.prefeitura.sp.gov.br</t>
  </si>
  <si>
    <t>ceijpopular@sme.prefeitura.sp.gov.br </t>
  </si>
  <si>
    <t>LUCIA ALVES DE LIMA</t>
  </si>
  <si>
    <t>ceijprimavera1@sme.prefeitura.sp.gov.br</t>
  </si>
  <si>
    <t>ceijreboucas@sme.prefeitura.sp.gov.br</t>
  </si>
  <si>
    <t>ROSANE APARECIDA FARIA DA SILVA</t>
  </si>
  <si>
    <t>ceijreimberg@sme.prefeitura.sp.gov.br</t>
  </si>
  <si>
    <t>ANA PAULA DO AMARAL OLIVEIRA</t>
  </si>
  <si>
    <t>TATIANE SILVA PAZ</t>
  </si>
  <si>
    <t>ceijrincao@sme.prefeitura.sp.gov.br</t>
  </si>
  <si>
    <t xml:space="preserve">REGIANE APARECIDA ALMEIDA </t>
  </si>
  <si>
    <t>ceiiildefranca@sme.prefeitura.sp.gov.br</t>
  </si>
  <si>
    <t>ceijrfpirani@sme.prefeitura.sp.gov.br</t>
  </si>
  <si>
    <t>ceijrodrigo@sme.prefeitura.sp.gov.br</t>
  </si>
  <si>
    <t xml:space="preserve">TATIANE CARDOSO DA SILVA </t>
  </si>
  <si>
    <t>ceijrosely@sme.prefeitura.sp.gov.br</t>
  </si>
  <si>
    <t>ceijruth@sme.prefeitura.sp.gov.br</t>
  </si>
  <si>
    <t>ceijsmaria@sme.prefeitura.sp.gov.br</t>
  </si>
  <si>
    <t>PAULO SÉRGIO ROCATO</t>
  </si>
  <si>
    <t>ceijsandre@sme.prefeitura.sp.gov.br</t>
  </si>
  <si>
    <t>ceijsbvelho@sme.prefeitura.sp.gov.br</t>
  </si>
  <si>
    <t>MARIA DE LOURDES RIBEIRO PAZ DA SILVA</t>
  </si>
  <si>
    <t>ceijscarlos@sme.prefeitura.sp.gov.br</t>
  </si>
  <si>
    <t>ALINE CRISTINE MARCONDES</t>
  </si>
  <si>
    <t>ceisjoaquim@sme.prefeitura.sp.gov.br</t>
  </si>
  <si>
    <t>MELINA SANTANA ALCANTARA</t>
  </si>
  <si>
    <t>ceijsaoluiz1@sme.prefeitura.sp.gov.br</t>
  </si>
  <si>
    <t>ceijsaoluiz2@sme.prefeitura.sp.gov.br</t>
  </si>
  <si>
    <t>VANECI APARECIDA MORAES SALLES</t>
  </si>
  <si>
    <t>ceijsmanoel@sme.prefeitura.sp.gov.br</t>
  </si>
  <si>
    <t>MILTON FLAVIO FERREIRA TEIXEIRA</t>
  </si>
  <si>
    <t>ceijsmartinho@sme.prefeitura.sp.gov.br</t>
  </si>
  <si>
    <t>ceijspaulo@sme.prefeitura.sp.gov.br</t>
  </si>
  <si>
    <t>LUCIANA APARECIDA FUMES VIDUEDO</t>
  </si>
  <si>
    <t>MARIA ROSA SOARES VITÓRIO</t>
  </si>
  <si>
    <t>ceijspedro@sme.prefeitura.sp.gov.br</t>
  </si>
  <si>
    <t>ceijsvicente@sme.prefeitura.sp.gov.br</t>
  </si>
  <si>
    <t>ceishangrila@sme.prefeitura.sp.gov.br</t>
  </si>
  <si>
    <t xml:space="preserve">ADRIANA MARCIA ALVES LEITE </t>
  </si>
  <si>
    <t xml:space="preserve">ELISAGELA APARECIDA DE FREITAS </t>
  </si>
  <si>
    <t>ceijstelles@sme.prefeitura.sp.gov.br</t>
  </si>
  <si>
    <t>ceijsilveira@sme.prefeitura.sp.gov.br</t>
  </si>
  <si>
    <t>JAQUELINE AZEVEDO TORRES</t>
  </si>
  <si>
    <t>ceiajsomara@sme.prefeitura.sp.gov.br</t>
  </si>
  <si>
    <t>VIVIANE VASCONCELOS ALVES</t>
  </si>
  <si>
    <t>ceijsouza@sme.prefeitura.sp.gov.br</t>
  </si>
  <si>
    <t>MARLI EVANGELISTA DE FREITAS</t>
  </si>
  <si>
    <t>ceijtaipas@sme.prefeitura.sp.gov.br</t>
  </si>
  <si>
    <t xml:space="preserve">IGNEZ FERRAZ </t>
  </si>
  <si>
    <t>ceijtiete@sme.prefeitura.sp.gov.br</t>
  </si>
  <si>
    <t>ceitcoracoes@sme.prefeitura.sp.gov.br</t>
  </si>
  <si>
    <t>VALDELICE DAS NEVES TELLES</t>
  </si>
  <si>
    <t>ceijtestrelas@sme.prefeitura.sp.gov.br</t>
  </si>
  <si>
    <t>LUCINETE FELICIDADE DOS SANTOS</t>
  </si>
  <si>
    <t>ceijtmarias@sme.prefeitura.sp.gov.br</t>
  </si>
  <si>
    <t>KÁTIA ROCHA SANTOS</t>
  </si>
  <si>
    <t>ceijumarizal@sme.prefeitura.sp.gov.br</t>
  </si>
  <si>
    <t>ceijuniversitario@sme.prefeitura.sp.gov.br</t>
  </si>
  <si>
    <t>MARCELO VASQUES</t>
  </si>
  <si>
    <t>MARIA CRISTINA ANSELMO</t>
  </si>
  <si>
    <t>ceijvcruz@sme.prefeitura.sp.gov.br</t>
  </si>
  <si>
    <t>ceijveronia@sme.prefeitura.sp.gov.br</t>
  </si>
  <si>
    <t>ADILENE DE JESUS</t>
  </si>
  <si>
    <t>ceijvcarrao@sme.prefeitura.sp.gov.br</t>
  </si>
  <si>
    <t>ceijvpedroso@sme.prefeitura.sp.gov.br</t>
  </si>
  <si>
    <t>PATRICIA MARIA BUENO PEDRASSOLLI</t>
  </si>
  <si>
    <t>ceijvalegre@sme.prefeitura.sp.gov.br</t>
  </si>
  <si>
    <t>SILVANILCE MARIA DA SILVA</t>
  </si>
  <si>
    <t>ceivjcfairbanks@sme.prefeitura.sp.gov.br</t>
  </si>
  <si>
    <t>ceijfharo@sme.prefeitura.sp.gov.br</t>
  </si>
  <si>
    <t>ceijoaotoniolo@sme.prefeitura.sp.gov.br</t>
  </si>
  <si>
    <t>LAIS VIEIRA DA SILVA</t>
  </si>
  <si>
    <t>ceijgfranco@sme.prefeitura.sp.gov.br</t>
  </si>
  <si>
    <t>MARIA DENISEALVES DE OLIVEIRA</t>
  </si>
  <si>
    <t>ceijthome@sme.prefeitura.sp.gov.br</t>
  </si>
  <si>
    <t>ceijnedemello@sme.prefeitura.sp.gov.br</t>
  </si>
  <si>
    <t>ceijamarrey@sme.prefeitura.sp.gov.br</t>
  </si>
  <si>
    <t>JOICE CRISTINA DA SILVA ALVES</t>
  </si>
  <si>
    <t>ceijbustamanteeador@sme.prefeitura.sp.gov.br</t>
  </si>
  <si>
    <t>TATIANE PAES DE OLIVEIRA</t>
  </si>
  <si>
    <t>ceijbustamante@sme.prefeitura.sp.gov.br</t>
  </si>
  <si>
    <t>ceijmoura@sme.prefeitura.sp.gov.br</t>
  </si>
  <si>
    <t>Daniela Fernandes Pereira</t>
  </si>
  <si>
    <t>ceijfkeffer@sme.prefeitura.sp.gov.br</t>
  </si>
  <si>
    <t>ANDRESSA APARECIDADE OLIVEIRA GAMA</t>
  </si>
  <si>
    <t>MARIA DE FÁTIMA DA SILVA</t>
  </si>
  <si>
    <t>ceijgmoraes@sme.prefeitura.sp.gov.br</t>
  </si>
  <si>
    <t>Bruno Coviello</t>
  </si>
  <si>
    <t>ceijosemolina@sme.prefeitura.sp.gov.br</t>
  </si>
  <si>
    <t>MARIA LUZINETE PRUDENTE DA SILVA</t>
  </si>
  <si>
    <t>ceijoadiniz@sme.prefeitura.sp.gov.br</t>
  </si>
  <si>
    <t>ceijoseozi@sme.prefeitura.sp.gov.br</t>
  </si>
  <si>
    <t>ceijsjulianelli@sme.prefeitura.sp.gov.br</t>
  </si>
  <si>
    <t>ceijkubitschek@sme.prefeitura.sp.gov.br</t>
  </si>
  <si>
    <t>ceilciocorte@sme.prefeitura.sp.gov.br</t>
  </si>
  <si>
    <t xml:space="preserve">IRIS APARECEIDA DE MIRANDA </t>
  </si>
  <si>
    <t>ceilpaulista@sme.prefeitura.sp.gov.br</t>
  </si>
  <si>
    <t>ceivlalopes@sme.prefeitura.sp.gov.br</t>
  </si>
  <si>
    <t>eilgnascimento@sme.prefeitura.sp.gov.br</t>
  </si>
  <si>
    <t>ceimnobrega@sme.prefeitura.sp.gov.br</t>
  </si>
  <si>
    <t>MARLENE LACARRA MEDINA</t>
  </si>
  <si>
    <t>ceimrf@sme.prefeitura.sp.gov.br</t>
  </si>
  <si>
    <t>ceimmelega@sme.prefeitura.sp.gov.br</t>
  </si>
  <si>
    <t>MARIA CRISTINA MANDADORI</t>
  </si>
  <si>
    <t>ceimasilva@sme.prefeitura.sp.gov.br</t>
  </si>
  <si>
    <t>ceimcursi@sme.prefeitura.sp.gov.br</t>
  </si>
  <si>
    <t>ceimhcatite@sme.prefeitura.sp.gov.br</t>
  </si>
  <si>
    <t>KÁTIA REGINA DA SILVA OLIVEIRA</t>
  </si>
  <si>
    <t>ceimjsouza@sme.prefeitura.sp.gov.br</t>
  </si>
  <si>
    <t>ROSE GOMES DE CARVALHO</t>
  </si>
  <si>
    <t>ceimjvmankel@sme.prefeitura.sp.gov.br</t>
  </si>
  <si>
    <t xml:space="preserve">MARGARETTE BORGES R.MEDEIROS </t>
  </si>
  <si>
    <t xml:space="preserve">PATRICIA DA SILVA GUTIERREZ </t>
  </si>
  <si>
    <t>ceimdirceu@sme.prefeitura.sp.gov.br</t>
  </si>
  <si>
    <t>ceimcaldana@sme.prefeitura.sp.gov.br</t>
  </si>
  <si>
    <t>CLARICE FIGUEIRA DE ABREU</t>
  </si>
  <si>
    <t>ceimcbarbosa@sme.prefeitura.sp.gov.br</t>
  </si>
  <si>
    <t>ceimjesus@sme.prefeitura.sp.gov.br</t>
  </si>
  <si>
    <t xml:space="preserve">FABIANA MORAES DA SILVA </t>
  </si>
  <si>
    <t>ceimmnevoeiro@sme.prefeitura.sp.gov.br</t>
  </si>
  <si>
    <t>JÉSSICA APARECIDA DOS SANTOS</t>
  </si>
  <si>
    <t>ceimonumento@sme.prefeitura.sp.gov.br</t>
  </si>
  <si>
    <t>Brigit Maria dos Passos Rodrigues</t>
  </si>
  <si>
    <t>ceinprosemburg@sme.prefeitura.sp.gov.br</t>
  </si>
  <si>
    <t>ceinazare@sme.prefeitura.sp.gov.br</t>
  </si>
  <si>
    <t>VAGNUM DIAS DA SILVA</t>
  </si>
  <si>
    <t>ceinazirmiguel@sme.prefeitura.sp.gov.br</t>
  </si>
  <si>
    <t>GRECYE KELLY SANTANA MACHADO</t>
  </si>
  <si>
    <t>ceineideketelhut@sme.prefeitura.sp.gov.br</t>
  </si>
  <si>
    <t>EDINAURA SILVA DOS SANTOS</t>
  </si>
  <si>
    <t>ceinalegre@sme.prefeitura.sp.gov.br</t>
  </si>
  <si>
    <t>ceioaasantos@sme.prefeitura.sp.gov.br</t>
  </si>
  <si>
    <t>MARCOS ANTÔNIO FERREIRA DE SOUZA</t>
  </si>
  <si>
    <t>CRELIA CARVALHO NOVAIS SILVA</t>
  </si>
  <si>
    <t>ceiolbprestes@sme.prefeitura.sp.gov.br</t>
  </si>
  <si>
    <t>SUELI COSTA BITENCOURT LOPES</t>
  </si>
  <si>
    <t>ceiomarcondes@sme.prefeitura.sp.gov.br</t>
  </si>
  <si>
    <t>FÚLVIA DE OLIVEIRA NASCIMENTO</t>
  </si>
  <si>
    <t>ceipxvdenovembro@sme.prefeitura.sp.gov.br</t>
  </si>
  <si>
    <t>ceiparbonito@sme.prefeitura.sp.gov.br</t>
  </si>
  <si>
    <t>ceipboturussu@sme.prefeitura.sp.gov.br</t>
  </si>
  <si>
    <t>ceipcpedra@sme.prefeitura.sp.gov.br</t>
  </si>
  <si>
    <t>ceipcocaia@sme.prefeitura.sp.gov.br</t>
  </si>
  <si>
    <t>MARIA IZABEL DA SILVA</t>
  </si>
  <si>
    <t>DÉBORA DANTAS DOS SANTOS</t>
  </si>
  <si>
    <t>ceippaineiras@sme.prefeitura.sp.gov.br</t>
  </si>
  <si>
    <t>MAKCILANIA BIANCA DOS SANTOS</t>
  </si>
  <si>
    <t>CRISTIANO REUTER SANTOS VIANA</t>
  </si>
  <si>
    <t>ceipafernanda@sme.prefeitura.sp.gov.br</t>
  </si>
  <si>
    <t>ADRIANA DE SOUZA ARAUJO</t>
  </si>
  <si>
    <t>ceipfgrande@sme.prefeitura.sp.gov.br</t>
  </si>
  <si>
    <t>LUCINEIA APARECIDA DOS SANTOS</t>
  </si>
  <si>
    <t>ceipfongaro@sme.prefeitura.sp.gov.br</t>
  </si>
  <si>
    <t>edenice.leticia@gmail.com</t>
  </si>
  <si>
    <t>ceipgrajau@sme.prefeitura.sp.gov.br</t>
  </si>
  <si>
    <t>FABIANA DA CONCEIÇÃO LIMA</t>
  </si>
  <si>
    <t>ceipguarani@sme.prefeitura.sp.gov.br</t>
  </si>
  <si>
    <t>ceipnsamaro@sme.prefeitura.sp.gov.br</t>
  </si>
  <si>
    <t>ceipanmundo@sme.prefeitura.sp.gov.br</t>
  </si>
  <si>
    <t>ceiparegina@sme.prefeitura.sp.gov.br</t>
  </si>
  <si>
    <t>PATRICIA DE FREITAS LOPES</t>
  </si>
  <si>
    <t>ceipsabara@sme.prefeitura.sp.gov.br</t>
  </si>
  <si>
    <t>ceipsamelia@sme.prefeitura.sp.gov.br</t>
  </si>
  <si>
    <t>ELIANE AMRQUES MENDONÇA</t>
  </si>
  <si>
    <t>ceipsmadalena@sme.prefeitura.sp.gov.br</t>
  </si>
  <si>
    <t>ceipsmargarida@sme.prefeitura.sp.gov.br</t>
  </si>
  <si>
    <t>ceipesrita@sme.prefeitura.sp.gov.br</t>
  </si>
  <si>
    <t>DEBORA CRISTINA BEVILACQUA OLLANDIN NEVES</t>
  </si>
  <si>
    <t>ceipsantonio@sme.prefeitura.sp.gov.br</t>
  </si>
  <si>
    <t>ceipsrafael2@sme.prefeitura.sp.gov.br</t>
  </si>
  <si>
    <t>ceipscity@sme.prefeitura.sp.gov.br</t>
  </si>
  <si>
    <t>ceipcfontelles@sme.prefeitura.sp.gov.br</t>
  </si>
  <si>
    <t>VALDELIA APARECIDA DE AGUIAR ANDRETO</t>
  </si>
  <si>
    <t>ceipauloeadmar@sme.prefeitura.sp.gov.br</t>
  </si>
  <si>
    <t>ROSANGELA MONTEIROMARQUES MOREIRA</t>
  </si>
  <si>
    <t>ceipbbandecchi@sme.prefeitura.sp.gov.br</t>
  </si>
  <si>
    <t>ceipenha@sme.prefeitura.sp.gov.br</t>
  </si>
  <si>
    <t>mpereira@sme.prefeitura.sp.gov.br</t>
  </si>
  <si>
    <t>RITA DE CÁSSIA BOTÁRIO</t>
  </si>
  <si>
    <t>ceipseareiro@sme.prefeitura.sp.gov.br</t>
  </si>
  <si>
    <t>KELLY CRISTINA LOBO DA SILVA</t>
  </si>
  <si>
    <t>ceirtvigalleitao@sme.prefeitura.sp.gov.br</t>
  </si>
  <si>
    <t>ceiracheccia@sme.prefeitura.sp.gov.br</t>
  </si>
  <si>
    <t xml:space="preserve">MARIA LIGIA BOER M.DA SILVA </t>
  </si>
  <si>
    <t xml:space="preserve">SELMA DA COSTA RAMOS </t>
  </si>
  <si>
    <t>ceiralanhoso@sme.prefeitura.sp.gov.br</t>
  </si>
  <si>
    <t>ceirgranja@sme.prefeitura.sp.gov.br</t>
  </si>
  <si>
    <t>ceisloturco@sme.prefeitura.sp.gov.br</t>
  </si>
  <si>
    <t>ceissaliba@sme.prefeitura.sp.gov.br</t>
  </si>
  <si>
    <t>ELISABETE DOS SANTOS REZENDE OLIVEIRA</t>
  </si>
  <si>
    <t>ceisbarbara@sme.prefeitura.sp.gov.br</t>
  </si>
  <si>
    <t>ALINE DA PONTE NUNES</t>
  </si>
  <si>
    <t>ceimariapaula@sme.prefeitura.sp.gov.br</t>
  </si>
  <si>
    <t>ceisjarpoador@sme.prefeitura.sp.gov.br</t>
  </si>
  <si>
    <t>ceisaoluiz@sme.prefeitura.sp.gov.br</t>
  </si>
  <si>
    <t>IVANIZE MARIA DE LIMA</t>
  </si>
  <si>
    <t>ceiscovas@sme.prefeitura.sp.gov.br</t>
  </si>
  <si>
    <t>ceisbviedma@sme.prefeitura.sp.gov.br</t>
  </si>
  <si>
    <t>VALERIA APARECIDA DE ARAUJO ARCARI</t>
  </si>
  <si>
    <t>ceisctauil@sme.prefeitura.sp.gov.br</t>
  </si>
  <si>
    <t>Leonardo Sangeli Barone</t>
  </si>
  <si>
    <t>ceitneves@sme.prefeitura.sp.gov.br</t>
  </si>
  <si>
    <t>ceitvilela@sme.prefeitura.sp.gov.br</t>
  </si>
  <si>
    <t>ceiveleiros@sme.prefeitura.sp.gov.br</t>
  </si>
  <si>
    <t>THAMIRIS SILVA ALVES HIPÓLITO</t>
  </si>
  <si>
    <t>ceivvelasco@sme.prefeitura.sp.gov.br</t>
  </si>
  <si>
    <t>Paula Cacciaguerra Santos</t>
  </si>
  <si>
    <t>ceicristina@sme.prefeitura.sp.gov.br</t>
  </si>
  <si>
    <t>KAMILA GÉLIO ROSSI SILVA</t>
  </si>
  <si>
    <t>ceivbasileia@sme.prefeitura.sp.gov.br</t>
  </si>
  <si>
    <t>ceivbrasilandia@sme.prefeitura.sp.gov.br</t>
  </si>
  <si>
    <t>ceivacalu@sme.prefeitura.sp.gov.br</t>
  </si>
  <si>
    <t>ceivcarmosina@sme.prefeitura.sp.gov.br</t>
  </si>
  <si>
    <t>ceivchuca@sme.prefeitura.sp.gov.br</t>
  </si>
  <si>
    <t>ceimgloria@sme.prefeitura.sp.gov.br</t>
  </si>
  <si>
    <t>ceiangelamfernandes@sme.prefeitura.sp.gov.br</t>
  </si>
  <si>
    <t>ceivilaconstanca@sme.prefeitura.sp.gov.br</t>
  </si>
  <si>
    <t>VANESSA LOPES GOMES LAVORATO</t>
  </si>
  <si>
    <t>ceivilaconstancia@sme.prefeitura.sp.gov.br</t>
  </si>
  <si>
    <t>DANIELA SOUZA SILVA</t>
  </si>
  <si>
    <t>ceipsabrante@sme.prefeitura.sp.gov.br</t>
  </si>
  <si>
    <t>GLESSIA LELES DE SOUZA MENDES</t>
  </si>
  <si>
    <t>ceiviernestina@sme.prefeitura.sp.gov.br</t>
  </si>
  <si>
    <t>ceivgustavo@sme.prefeitura.sp.gov.br</t>
  </si>
  <si>
    <t>ceivilaimperio@sme.prefeitura.sp.gov.br</t>
  </si>
  <si>
    <t>LORRAINE SOARES LUZIA</t>
  </si>
  <si>
    <t>ceivilalibanesa@sme.prefeitura.sp.gov.br</t>
  </si>
  <si>
    <t>DEBORA REGINA DE OLIVEIRA</t>
  </si>
  <si>
    <t>ceidomingosrdesouza@sme.prefeitura.sp.gov.br</t>
  </si>
  <si>
    <t>ceivmissionaria@sme.prefeitura.sp.gov.br</t>
  </si>
  <si>
    <t>ceivpenteado@sme.prefeitura.sp.gov.br</t>
  </si>
  <si>
    <t>ZIOMAR SOUZA DE JESUS</t>
  </si>
  <si>
    <t>ceivaperus@sme.prefeitura.sp.gov.br</t>
  </si>
  <si>
    <t xml:space="preserve">FERNANDA CRISPIM </t>
  </si>
  <si>
    <t>ceivprado@sme.prefeitura.sp.gov.br</t>
  </si>
  <si>
    <t>DENISE JANAINE DOS SANTOS LIMA</t>
  </si>
  <si>
    <t>TATIANE COUTO VENTURA</t>
  </si>
  <si>
    <t>ceivapraia@sme.prefeitura.sp.gov.br</t>
  </si>
  <si>
    <t>ceivprogresso@sme.prefeitura.sp.gov.br</t>
  </si>
  <si>
    <t>ceivramos@sme.prefeitura.sp.gov.br</t>
  </si>
  <si>
    <t>ceivsalete@sme.prefeitura.sp.gov.br</t>
  </si>
  <si>
    <t>ceivsines@sme.prefeitura.sp.gov.br</t>
  </si>
  <si>
    <t>ceisteresa@sme.prefeitura.sp.gov.br</t>
  </si>
  <si>
    <t>Aricia Aparecida Gouvea Dias</t>
  </si>
  <si>
    <t>ceivsterezinha@sme.prefeitura.sp.gov.br</t>
  </si>
  <si>
    <t>ceivsfrancisco@sme.prefeitura.sp.gov.br</t>
  </si>
  <si>
    <t>MARCIA RAMOS DE DESTACIO</t>
  </si>
  <si>
    <t>ceicregina@sme.prefeitura.sp.gov.br</t>
  </si>
  <si>
    <t>ceiwjabdalla@sme.prefeitura.sp.gov.br</t>
  </si>
  <si>
    <t>Priscila da Silva Oliveira</t>
  </si>
  <si>
    <t>ceiytakaoka@sme.prefeitura.sp.gov.br</t>
  </si>
  <si>
    <t>PAMELA GRAZIELA BARRETO BONFIM</t>
  </si>
  <si>
    <t>ceiylafraga@sme.prefeitura.sp.gov.br</t>
  </si>
  <si>
    <t>LÍDIA SILVA GUIMARÃES GODOI</t>
  </si>
  <si>
    <t>ceiymjsabga@sme.prefeitura.sp.gov.br</t>
  </si>
  <si>
    <t>ceizmfgoncalves@sme.prefeitura.sp.gov.br</t>
  </si>
  <si>
    <t>MARLI PEREIRA DA SILVA</t>
  </si>
  <si>
    <t>ROSELI SANTOS DOS PASSOS EUGENIO</t>
  </si>
  <si>
    <t>ceirsaddas@sme.prefeitura.sp.gov.br</t>
  </si>
  <si>
    <t>ceicgenebra@sme.prefeitura.sp.gov.br</t>
  </si>
  <si>
    <t>ceinnkochergin@sme.prefeitura.sp.gov.br</t>
  </si>
  <si>
    <t>ALINE APARECIDA RIBEIRO ALEIXO</t>
  </si>
  <si>
    <t>ceighpcoelho@sme.prefeitura.sp.gov.br</t>
  </si>
  <si>
    <t>HAYANE DA COSTA COPOLI</t>
  </si>
  <si>
    <t>ceimarielcia@sme.prefeitura.sp.gov.br</t>
  </si>
  <si>
    <t>REGINA RODRIGUES GOMES NOGUEIRA</t>
  </si>
  <si>
    <t>ceimariopereira@sme.prefeitura.sp.gov.br</t>
  </si>
  <si>
    <t>ANDRÉ LUIS DE ALMEIDA</t>
  </si>
  <si>
    <t>mcmayres@sme.prefeitura.sp.gov.br</t>
  </si>
  <si>
    <t>VALDINÉIA FIGUEIREDO ARAUJO SILVA</t>
  </si>
  <si>
    <t>ceiafsilva@sme.prefeitura.sp.gov.br</t>
  </si>
  <si>
    <t xml:space="preserve"> CARLA RENATA DE CASTRO DUARTE</t>
  </si>
  <si>
    <t>ceigoiti@sme.prefeitura.sp.gov.br</t>
  </si>
  <si>
    <t>ceitiquatira@sme.prefeitura.sp.gov.br</t>
  </si>
  <si>
    <t>KÁTIA MONTEIRO DA SILVA</t>
  </si>
  <si>
    <t>ceiceuwalterandrade@sme.prefeitura.sp.gov.br</t>
  </si>
  <si>
    <t>VIVIAN DAMARIS DIAS DE SOUZA</t>
  </si>
  <si>
    <t>ceibmpaulista@sme.prefeitura.sp.gov.br</t>
  </si>
  <si>
    <t>dlmalmeida@sme.prefeitura.sp.gov.br</t>
  </si>
  <si>
    <t>ceijrmaria@sme.prefeitura.sp.gov.br</t>
  </si>
  <si>
    <t>MARCIA SOUZA TRINDADE</t>
  </si>
  <si>
    <t>ceijdagir@sme.prefeitura.sp.gov.br</t>
  </si>
  <si>
    <t>ceicdaniel@sme.prefeitura.sp.gov.br</t>
  </si>
  <si>
    <t xml:space="preserve">ELIZABETH DIAS ANDRADE DA SILVA </t>
  </si>
  <si>
    <t>ceieduardodecampos@sme.prefeitura.sp.gov.br</t>
  </si>
  <si>
    <t>ceieduardodecampos@prefeitura.sp.org.br</t>
  </si>
  <si>
    <t>Neide de Oliveira Simbara</t>
  </si>
  <si>
    <t>ceichtexima@sme.prefeitura.sp.gov.br</t>
  </si>
  <si>
    <t>mbgoncalez@sme.prefeitura.sp.gov.br</t>
  </si>
  <si>
    <t>ceimbgoncales@sme.prefeitura.sp.gov.br</t>
  </si>
  <si>
    <t>CAROLINE ARAÚJO DE FRITAS GARCIA</t>
  </si>
  <si>
    <t>ceiarmoreno@sme.prefeitura.sp.gov.br</t>
  </si>
  <si>
    <t>MAGALI PEREIRA DE MELO</t>
  </si>
  <si>
    <t>ceirhumildes@sme.prefeitura.sp.gov.br</t>
  </si>
  <si>
    <t xml:space="preserve">ALEX JANE ALMEIDA GUEDES </t>
  </si>
  <si>
    <t xml:space="preserve">MARIA LUCILENE DE OLIVEIRA S.SOUZA </t>
  </si>
  <si>
    <t>ceijclimaxii@sme.prefeitura.sp.gov.br</t>
  </si>
  <si>
    <t>Carla Dias Sousa</t>
  </si>
  <si>
    <t>ceivmarilena@sme.prefeitura.sp.gov.br</t>
  </si>
  <si>
    <t>ceitalencar@sme.prefeitura.sp.gov.br</t>
  </si>
  <si>
    <t>CARRÃO</t>
  </si>
  <si>
    <t>12.8639-0</t>
  </si>
  <si>
    <t>ANAILANDIA LUCIANA DE LIMA LOPES</t>
  </si>
  <si>
    <t>ceispopemba2@sme.prefeitura.sp.gov.br</t>
  </si>
  <si>
    <t>ceijvertentes@sme.prefeitura.sp.gov.br</t>
  </si>
  <si>
    <t>ceipbesperanca@sme.prefeitura.sp.gov.br</t>
  </si>
  <si>
    <t>ceicjaraguaiv@sme.prefeitura.sp.gov.br</t>
  </si>
  <si>
    <t xml:space="preserve">CRISTIANE DE FATIMA BARBOSA </t>
  </si>
  <si>
    <t>ceiairtonsilva@sme.prefeitura.sp.gov.br</t>
  </si>
  <si>
    <t>GISLENE AIZA DE SOUZA</t>
  </si>
  <si>
    <t>ceirpequeno2@sme.prefeitura.sp.gov.br</t>
  </si>
  <si>
    <t>JULIANA KÁTIA PAIXÃO SAVIOLO</t>
  </si>
  <si>
    <t>ANA LUCIA DE JESUS SOUTO</t>
  </si>
  <si>
    <t>madrepaulina@sme.prefeitura.sp.gov.br</t>
  </si>
  <si>
    <t>ceicsetelvina5a@sme.prefeitura.sp.gov.br</t>
  </si>
  <si>
    <t>ALINE DE CASTRO ESTEVES</t>
  </si>
  <si>
    <t>MARILIA ALVES GARCIA</t>
  </si>
  <si>
    <t>ceipinheiros@sme.prefeitura.sp.gov.br</t>
  </si>
  <si>
    <t>ELISABETE GUEDES DA SILVA</t>
  </si>
  <si>
    <t>ceipaechaves@sme.prefeitura.sp.gov.br</t>
  </si>
  <si>
    <t>ceijorquideas@sme.prefeitura.sp.gov.br</t>
  </si>
  <si>
    <t xml:space="preserve">NATHALIA KATLIN GOBBI DA SILVA </t>
  </si>
  <si>
    <t>ceivaimore@sme.prefeitura.sp.gov.br</t>
  </si>
  <si>
    <t>NIVEA DE SOUZA FERNANDES</t>
  </si>
  <si>
    <t>ceitrezedemaio@sme.prefeitura.sp.gov.br</t>
  </si>
  <si>
    <t>Cacirley Aparecida Mota de Sousa</t>
  </si>
  <si>
    <t>ceihspm@sme.prefeitura.sp.gov.br</t>
  </si>
  <si>
    <t>Carlos Eduardo Ferraz</t>
  </si>
  <si>
    <t>ceipcsuplicy@sme.prefeitura.sp.gov.br</t>
  </si>
  <si>
    <t>DAIANE APARECIDA LIMEIRA</t>
  </si>
  <si>
    <t>ceiceualvarenga@sme.prefeitura.sp.gov.br</t>
  </si>
  <si>
    <t>ceiceuaricanduva@sme.prefeitura.sp.gov.br</t>
  </si>
  <si>
    <t>ceiceubutanta@sme.prefeitura.sp.gov.br</t>
  </si>
  <si>
    <t>ceiceucidadedutra@sme.prefeitura.sp.gov.br</t>
  </si>
  <si>
    <t>ALICE PATRICIA ROSSI</t>
  </si>
  <si>
    <t>BIANCA MACEDO DINIZ</t>
  </si>
  <si>
    <t>ceiceujoselymaria@sme.prefeitura.sp.gov.br</t>
  </si>
  <si>
    <t>ceiceuevanirahilario@sme.prefeitura.sp.gov.br</t>
  </si>
  <si>
    <t>MARIA LUCIA MOREIRA LUCAS</t>
  </si>
  <si>
    <t>VALZER LUCIO COLMINI</t>
  </si>
  <si>
    <t>ceiceumeninos@sme.prefeitura.sp.gov.br</t>
  </si>
  <si>
    <t>Marlene Rosali Javaroni Jabali</t>
  </si>
  <si>
    <t>ceiceunavegantes@sme.prefeitura.sp.gov.br</t>
  </si>
  <si>
    <t>SUZANA DA CONCEIÇÃO SANTANA</t>
  </si>
  <si>
    <t>ceiceupscarlos@sme.prefeitura.sp.gov.br</t>
  </si>
  <si>
    <t>ceiceupveredas@sme.prefeitura.sp.gov.br</t>
  </si>
  <si>
    <t>JOYCE SOARES SOBRINHO FRANÇA</t>
  </si>
  <si>
    <t>ceiceuperamarmelo@sme.prefeitura.sp.gov.br</t>
  </si>
  <si>
    <t xml:space="preserve">SILVIA ELAINE DE OLIVERIA ARAUJO </t>
  </si>
  <si>
    <t xml:space="preserve">MIRELLA PEDROSA CRTES MEIRELES </t>
  </si>
  <si>
    <t>ceiceuperus@sme.prefeitura.sp.gov.br</t>
  </si>
  <si>
    <t xml:space="preserve">GLEICE KELLY DE SOUZA GUERRA </t>
  </si>
  <si>
    <t xml:space="preserve">ANDREIA ELIAS DE ALMEIDA COSTA </t>
  </si>
  <si>
    <t>ceiceusaomateus@sme.prefeitura.sp.gov.br</t>
  </si>
  <si>
    <t>SONIA APARECIDA S. M. DOS SANTOS</t>
  </si>
  <si>
    <t>ceiceusaorafael@sme.prefeitura.sp.gov.br</t>
  </si>
  <si>
    <t>ceiceutreslagos@sme.prefeitura.sp.gov.br</t>
  </si>
  <si>
    <t>CLEIDE APARECIDA ALVES DE JESUS</t>
  </si>
  <si>
    <t>ceiceuvatlantica@sme.prefeitura.sp.gov.br</t>
  </si>
  <si>
    <t>SHEILA APARECIDA SILVA CARREIRA SANTOS</t>
  </si>
  <si>
    <t>ceiceuvcuruça@sme.prefeitura.sp.gov.br</t>
  </si>
  <si>
    <t>CÁSSIA PEREIRA DE LIMA</t>
  </si>
  <si>
    <t xml:space="preserve">SARA COSTA DONATO </t>
  </si>
  <si>
    <t>ceiceurosadachina@sme.prefeitura.sp.gov.br</t>
  </si>
  <si>
    <t>ceiceucasablanca@sme.prefeitura.sp.gov.br</t>
  </si>
  <si>
    <t>ceiceupaz@sme.prefeitura.sp.gov.br</t>
  </si>
  <si>
    <t>JULIANA FREIRE</t>
  </si>
  <si>
    <t>ROSANGELA SANTAMARINA MUCHINTE</t>
  </si>
  <si>
    <t>ceiceucampolimpo@sme.prefeitura.sp.gov.br</t>
  </si>
  <si>
    <t>MARILENE DA ROCHA PIMENTA</t>
  </si>
  <si>
    <t>ceiipiranga@sme.prefeitura.sp.gov.br</t>
  </si>
  <si>
    <t>Rita Paula Ferreira Pellecchia</t>
  </si>
  <si>
    <t>ceivsaojoaoa@sme.prefeitura.sp.gov.br</t>
  </si>
  <si>
    <t xml:space="preserve">JOAO PAULO MEDEIROS DE FARIA </t>
  </si>
  <si>
    <t>ceivcuruça2@sme.prefeitura.sp.gov.br</t>
  </si>
  <si>
    <t>ceijrepublica@sme.prefeitura.sp.gov.br</t>
  </si>
  <si>
    <t>ELISABETH SANTOS VITAL</t>
  </si>
  <si>
    <t>CAROLINA SILVA COSTA</t>
  </si>
  <si>
    <t>ceipamerica@sme.prefeitura.sp.gov.br</t>
  </si>
  <si>
    <t>LEILA HAMILTON SANTOS</t>
  </si>
  <si>
    <t>ROBERTA GOIS DE ANDRADE</t>
  </si>
  <si>
    <t>ceirzaltman@sme.prefeitura.sp.gov.br</t>
  </si>
  <si>
    <t xml:space="preserve">GILVANETE MATA DOS SANTOS </t>
  </si>
  <si>
    <t>ceireynaldo@sme.prefeitura.sp.gov.br</t>
  </si>
  <si>
    <t>VANESSA YUMI HISADOMI NORONHA</t>
  </si>
  <si>
    <t>ANDREZA DO NASCIMENTO</t>
  </si>
  <si>
    <t>ceiceuaguazul@sme.prefeitura.sp.gov.br</t>
  </si>
  <si>
    <t>20.070-0</t>
  </si>
  <si>
    <t>ceiceuazuldacordomar@sme.prefeitura.sp.gov.br</t>
  </si>
  <si>
    <t>ceiceufeiticovila@sme.prefeitura.sp.gov.br</t>
  </si>
  <si>
    <t>DIANA FERDERLE FERREIRA</t>
  </si>
  <si>
    <t>ceivilarubi@sme.prefeitura.sp.gov.br</t>
  </si>
  <si>
    <t>SIMONE OLIVEIRA SANTOS</t>
  </si>
  <si>
    <t>ceiceujacana@sme.prefeitura.sp.gov.br</t>
  </si>
  <si>
    <t>ceiceuguarapiranga@sme.prefeitura.sp.gov.br</t>
  </si>
  <si>
    <t>DANIELE FELIX MORAIS DOS ANJOS</t>
  </si>
  <si>
    <t>ceiceucantosdoamanhecer@sme.prefeitura.sp.gov.br</t>
  </si>
  <si>
    <t>ceiceuviladosol@sme.prefeitura.sp.gov.br</t>
  </si>
  <si>
    <t>anapimentel@sme.prefeitura.sp.gov.br</t>
  </si>
  <si>
    <t>37643-4</t>
  </si>
  <si>
    <t>ceiquintadosol@sme.prefeitura.sp.gov.br</t>
  </si>
  <si>
    <t>BRUNO HENRIQUE ALVES ALMEIDA CARTEIRO</t>
  </si>
  <si>
    <t>ceiceusapopemba@sme.prefeitura.sp.gov.br</t>
  </si>
  <si>
    <t>ceiceutpontes@sme.prefeitura.sp.gov.br</t>
  </si>
  <si>
    <t>ceiceucaminhomar@sme.prefeitura.sp.gov.br</t>
  </si>
  <si>
    <t>ceiceucapaoredondo@sme.prefeitura.sp.gov.br</t>
  </si>
  <si>
    <t>ceiceuparaisopolis@sme.prefeitura.sp.gov.br</t>
  </si>
  <si>
    <t>ceiceupqbristol@sme.prefeitura.sp.gov.br</t>
  </si>
  <si>
    <t>Dulce Ferrari</t>
  </si>
  <si>
    <t>ceiceuformosa@sme.prefeitura.sp.gov.br</t>
  </si>
  <si>
    <t>MERCIA FERNANDES PEREIRA</t>
  </si>
  <si>
    <t>ceiceuuirapuru@sme.prefeitura.sp.gov.br</t>
  </si>
  <si>
    <t>ceiceupqanhanguera@sme.prefeitura.sp.gov.br</t>
  </si>
  <si>
    <t>MARIA LUISA DO NASCIMENTO QUANDT</t>
  </si>
  <si>
    <t xml:space="preserve">CASSIA MOREIRA VILARIN DOS SANTOS </t>
  </si>
  <si>
    <t>ceiceujaguare@sme.prefeitura.sp.gov.br</t>
  </si>
  <si>
    <t xml:space="preserve">MARIA VALERIA GERDULLO ALVES </t>
  </si>
  <si>
    <t xml:space="preserve">JULIANA DE SOUZA VIEIRA GONÇALVES </t>
  </si>
  <si>
    <t>ceiceualtoalegre@sme.prefeitura.sp.gov.br</t>
  </si>
  <si>
    <t>ceiceuparelheiros@sme.prefeitura.sp.gov.br</t>
  </si>
  <si>
    <t>LAIS FLAUSINO DOS SANTOS CASTRO</t>
  </si>
  <si>
    <t>ceidiretoindian@sme.prefeitura.sp.gov.br</t>
  </si>
  <si>
    <t>Antonio Ilzo Nonato dos Santos</t>
  </si>
  <si>
    <t>ceigregoriowestrupp@sme.prefeitura.sp.gov.br</t>
  </si>
  <si>
    <t>algucavit@gmail.com</t>
  </si>
  <si>
    <t>Luciana Freitas de Amorim</t>
  </si>
  <si>
    <t>ceimanascimento@sme.prefeitura.sp.gov.br</t>
  </si>
  <si>
    <t>=se(Dados!$E$3="";"";Dados!$E$3)</t>
  </si>
  <si>
    <t>ceimariamargarida@sme.prefeitura.sp.gov.br</t>
  </si>
  <si>
    <t>JOSIANE BEZERRA DA SILVA</t>
  </si>
  <si>
    <t>FABIANO PEREIRA COSTA</t>
  </si>
  <si>
    <t>BEATRIZ OROSCO DE OLIVEIRA ROSA</t>
  </si>
  <si>
    <t>MARIA ROSÁRIA SILVA CALIL</t>
  </si>
  <si>
    <t>ciejafranciscohernani@smeprefeitura.sp.gov.br</t>
  </si>
  <si>
    <t>JOSE LUIZ GARCIA DA SILVA</t>
  </si>
  <si>
    <t>CARLOS LOPES RIBEIRO</t>
  </si>
  <si>
    <t>DAIANA LOURDES DE LIMA CASSIANO</t>
  </si>
  <si>
    <t>EDMUNDO MEDEIROS VASCONCELOS</t>
  </si>
  <si>
    <t>PAULO DA SILVA BORGES</t>
  </si>
  <si>
    <t>MAIZA ALVES FERREIRA CANDIDO</t>
  </si>
  <si>
    <t>WILSON ALBUQUERQUE OLIVEIRA</t>
  </si>
  <si>
    <t>emefprofpaulogsantos@sme.prefeitura.sp.gov.br</t>
  </si>
  <si>
    <t>CARLA APARECIDA DE ROSA VIZARRO</t>
  </si>
  <si>
    <t>VIVIAN CABRAL DE SOUZA FELÍCIO</t>
  </si>
  <si>
    <t>CARLA CRISTINA OLIVEIRA BEZERRA</t>
  </si>
  <si>
    <t>ERIKA SAYURI DE QUEIROZ NOMURA</t>
  </si>
  <si>
    <t>ALEXANDRE MASSENA MENDONÇA</t>
  </si>
  <si>
    <t>SIMONE TOZZINE</t>
  </si>
  <si>
    <t>MARIA APARECIDA RODRIGUES DOS SANTOS</t>
  </si>
  <si>
    <t>SUELI CRISTINA S.C.OLIVEIRA</t>
  </si>
  <si>
    <t>LARA DA SILVA SOUZA</t>
  </si>
  <si>
    <t>JAQUELINE LUANA OLIVEIRA CLEMENTE</t>
  </si>
  <si>
    <t>JUSCILENE FIDELIX NUNES</t>
  </si>
  <si>
    <t>ISABELE BONFIM SANTOS</t>
  </si>
  <si>
    <t>SILVANDIRA BISPO DA SILVA</t>
  </si>
  <si>
    <t>ANALU ELIETE DOS SANTOS LIMA</t>
  </si>
  <si>
    <t>FABIANA AP.ORTOLÃ DOS SANTOS</t>
  </si>
  <si>
    <t>LUIZA OLIVEIRA MEDEIRO</t>
  </si>
  <si>
    <t>LUANA ANDRADE PACHECO</t>
  </si>
  <si>
    <t>ANA LUCIA LOPES DA COSTA MAIA</t>
  </si>
  <si>
    <t>RAQUEL GONÇALVES Q.DOS SANTOS</t>
  </si>
  <si>
    <t>DALIRIA DA SILVA CARVALHO</t>
  </si>
  <si>
    <t>LAUDIENE DIAS DE LIMA</t>
  </si>
  <si>
    <t>MICHELE DO MONTE SANTOS SOUZA</t>
  </si>
  <si>
    <t>SILVIA PINHEIRO DE MOURA REIS SILVA</t>
  </si>
  <si>
    <t>SILVANO HENRIQUE DE LIMA</t>
  </si>
  <si>
    <t>ANA CRISTINA LEAL</t>
  </si>
  <si>
    <t xml:space="preserve">LUCINETE GHETTI </t>
  </si>
  <si>
    <t>MARIA RAYARA DE SOUZA SILVA</t>
  </si>
  <si>
    <t>emeijapura@sme.prefeitura.sp.gov.br</t>
  </si>
  <si>
    <t>RUA CAMILO ANGLERIA</t>
  </si>
  <si>
    <t>41.323-2</t>
  </si>
  <si>
    <t>ALINE GOMES PEIXOTO</t>
  </si>
  <si>
    <t>CRISTIANE MARTINIANO MARTINS</t>
  </si>
  <si>
    <t>MARCIA ROSA TAME MENDES</t>
  </si>
  <si>
    <t>CINTIA JACINTA CRUZ DE MOURA</t>
  </si>
  <si>
    <t>SANDRA MARIA MOTA DA SILVA</t>
  </si>
  <si>
    <t>DANIELLI INÊS MACHADO ZANGHELINI</t>
  </si>
  <si>
    <t>ALINE DA COSTA RODRIGUES</t>
  </si>
  <si>
    <t>KARINA SILVA BELFI</t>
  </si>
  <si>
    <t>CREMILDA SOUSA FRANÇA</t>
  </si>
  <si>
    <t>MARLI SILVA DE OLIVEIRA</t>
  </si>
  <si>
    <t>SILMARA FERREIRA AVELINO</t>
  </si>
  <si>
    <t>ANGELICA VIRIRA DA SILVA</t>
  </si>
  <si>
    <t>GENI RODRIGUES DE SÁ</t>
  </si>
  <si>
    <t>MAGNA MARIA DA SILVA</t>
  </si>
  <si>
    <t>VANDERLEI ALVES TEIXEIRA</t>
  </si>
  <si>
    <t>NANCIR DO CARMO RODRIGUES</t>
  </si>
  <si>
    <t>ADRIENE NEVES CARVALHO</t>
  </si>
  <si>
    <t>RENATO GOULART</t>
  </si>
  <si>
    <t>MALU FRANCINI MENEGHINI</t>
  </si>
  <si>
    <t>LUIZ ROSA DE FREITAS</t>
  </si>
  <si>
    <t>LUCIA SANTOS DA SILVA</t>
  </si>
  <si>
    <t>SIMONE COELHO DOS SANTOS</t>
  </si>
  <si>
    <t>GERUZA CABRAL DA SILVA</t>
  </si>
  <si>
    <t>ANDREIA DA CRUZ MARCELINO</t>
  </si>
  <si>
    <t>GUILHERME FERREIRA DE LUCENA</t>
  </si>
  <si>
    <t>CLAUDIANE COELHO DA SILVA</t>
  </si>
  <si>
    <t>DEISE ADRIANDA DE SOUZA</t>
  </si>
  <si>
    <t>LUCIANA SALGADO DA SILVA</t>
  </si>
  <si>
    <t>CAROLINE ARIANNE BLASI</t>
  </si>
  <si>
    <t>ROSANA CRISTINA ZANGUETTO SUZUKI</t>
  </si>
  <si>
    <t>ELIZABETE DIAS</t>
  </si>
  <si>
    <t>MARTA MARIA DA SILVA DE SOUZA</t>
  </si>
  <si>
    <t>DIEGO WESLEY DE OLIVEIRA</t>
  </si>
  <si>
    <t>SELMA REGINA GOES</t>
  </si>
  <si>
    <t>MÁRCIA RESENDES RODRIGUES</t>
  </si>
  <si>
    <t>ELAINE CRISTINA TURONE</t>
  </si>
  <si>
    <t>ROSANE OLIVEIRA ARAÚJO</t>
  </si>
  <si>
    <t>CATIA REGINA BRITES SOUZA</t>
  </si>
  <si>
    <t>DANIELA APARECIDA DOS SANTOS</t>
  </si>
  <si>
    <t>CLAUDIA PEREIRA RIBEIRO</t>
  </si>
  <si>
    <t>EDSON NASCIMENTO</t>
  </si>
  <si>
    <t>MARIA CLEIDE DE OLIVEIRA JERONYMO</t>
  </si>
  <si>
    <t xml:space="preserve">ADRIANA SIGNORINI DOS SANTOS </t>
  </si>
  <si>
    <t>KERLEY CRISTINA FERO ORTIZ</t>
  </si>
  <si>
    <t>NIVIA CONSTANCIO BENTO</t>
  </si>
  <si>
    <t xml:space="preserve">BENILZA SALES DELIMA </t>
  </si>
  <si>
    <t>EUNICE SILVA</t>
  </si>
  <si>
    <t>STELLA ALINE COSTA</t>
  </si>
  <si>
    <t>ELIVANE DE LEMOS PEREIRA</t>
  </si>
  <si>
    <t xml:space="preserve">CLAUDIA LEITE DE ALMEIDA </t>
  </si>
  <si>
    <t>SIDNEI ZEFERINO</t>
  </si>
  <si>
    <t>LUCAS PRADO DE CAVALHO</t>
  </si>
  <si>
    <t>ANIERI KARINE BEZERRA FEREIRA</t>
  </si>
  <si>
    <t xml:space="preserve">ALEILSON FELIPPE DOS SANTOS </t>
  </si>
  <si>
    <t>CHARLENE DA SILVA CAMPOS MEIRELES</t>
  </si>
  <si>
    <t>NATACHA VALERIA MANOEL CAMILO</t>
  </si>
  <si>
    <t>ADRIANA RANGEL DIAS DOS SANTOS</t>
  </si>
  <si>
    <t>SAMANTA EVELYN DE MELO AMARELLINHO</t>
  </si>
  <si>
    <t>GILVANICE PEREIRA DOS SANTOS</t>
  </si>
  <si>
    <t>MONICA CRISTINA DA SILVA</t>
  </si>
  <si>
    <t>NATALIA FONSECA ALVES</t>
  </si>
  <si>
    <t>SILVANA APARECIDA GONZALES</t>
  </si>
  <si>
    <t>DULCINEIA VOLTANI FERNANDES</t>
  </si>
  <si>
    <t>CLAUDIA FERNANDES MARTINEZ</t>
  </si>
  <si>
    <t>ADILSON OTHER</t>
  </si>
  <si>
    <t>ROSEANE DE CARVALHO BEZERRA</t>
  </si>
  <si>
    <t>ANDRE SANTOS ISIDORO</t>
  </si>
  <si>
    <t>LUCIANA TEODORO COSTA</t>
  </si>
  <si>
    <t>CRISTIANE OLIVEIRA DE SOUZA</t>
  </si>
  <si>
    <t>FÁBIA DE ALMEIDA RODRIGUES</t>
  </si>
  <si>
    <t>KERLY CRISTINA FERRO ORTIZ</t>
  </si>
  <si>
    <t>ROBERTA DOS SANTOS</t>
  </si>
  <si>
    <t>ADELINA URSULA CORREIA DE LIMA</t>
  </si>
  <si>
    <t>OSMAR DO PRADO PFUTZENREUTER</t>
  </si>
  <si>
    <t>CARYME PUCCINE CAMPANHA</t>
  </si>
  <si>
    <t>VIVIANE PEREZ NOGUEIRA</t>
  </si>
  <si>
    <t>RAQUEL CADETTE GOMES</t>
  </si>
  <si>
    <t>DANIELLA BASTIDA BERGAMO</t>
  </si>
  <si>
    <t>CRISTIANE MARANGON SANTANA</t>
  </si>
  <si>
    <t>ANGELA MARIA JESUS DA SILVEIRA</t>
  </si>
  <si>
    <t>FABIO CUTOLO SILVEIRA</t>
  </si>
  <si>
    <t>SOLANGE DE ABREU ORLANDELI</t>
  </si>
  <si>
    <t>MARIA DAS DORES DA SILVA QUEIROZ</t>
  </si>
  <si>
    <t>SILVANA RIO GRANDE ALMEIDA</t>
  </si>
  <si>
    <t>CAROLINA MEDEIROS MARTINI DE OLIVEIRA CRUZ</t>
  </si>
  <si>
    <t>JOSÉ BENJAMIN ROCHA FILHO</t>
  </si>
  <si>
    <t>ANDREIA SILVA DE ARAUJO</t>
  </si>
  <si>
    <t>LUCILEI APARECIDA COSTA</t>
  </si>
  <si>
    <t>VERONICA DE SOUZA CASTRO</t>
  </si>
  <si>
    <t>GRAZIELA SOUZA DE OLIVEIRA LOPES</t>
  </si>
  <si>
    <t>LAURENTINA INACIO DE LIMA</t>
  </si>
  <si>
    <t>ANA PAULA SILVA DOMINGUES</t>
  </si>
  <si>
    <t xml:space="preserve">GRAZIELA DE OLIVEIRA MORELLI ROCHA </t>
  </si>
  <si>
    <t>ESTER JULIANA FRANQUIM ROBERTO</t>
  </si>
  <si>
    <t>ELIAS BERNARDO DE BRITO JUNIOR</t>
  </si>
  <si>
    <t>ADAILTON DA SILVA LIMA</t>
  </si>
  <si>
    <t>ALESSANDRA MAFALDA CHODEN VIVEIROS</t>
  </si>
  <si>
    <t>FABIANA PALMENTIERI SANTOS</t>
  </si>
  <si>
    <t>RAFAELA PIMENTEL CARDOSO</t>
  </si>
  <si>
    <t>ANA MARIA GOMES DA SILVA</t>
  </si>
  <si>
    <t>FABIO AGUIGLIA</t>
  </si>
  <si>
    <t>DEBORAH DE BARROS GUALIATO</t>
  </si>
  <si>
    <t>JANAINA NUNES DA ROSA</t>
  </si>
  <si>
    <t>EDNEIA FERREIRA NOVAIS</t>
  </si>
  <si>
    <t>RENATA BOBALESTRA BOGDON</t>
  </si>
  <si>
    <t>SANDRA PRADO</t>
  </si>
  <si>
    <t>SOLANGE REGINA HERCULANO DA SILVA</t>
  </si>
  <si>
    <t>KARLA ROSA PEIXOTO</t>
  </si>
  <si>
    <t>MARCELA CONCEIÇÃO DE LUNA</t>
  </si>
  <si>
    <t>LUCIANA DOS SANTOS ROSSI</t>
  </si>
  <si>
    <t>BEATRIZ VALIM GOMES DA SILVA</t>
  </si>
  <si>
    <t>NEIVA BERGAMASCO ALVES CORREA</t>
  </si>
  <si>
    <t>PATRICIA KELLY DE LIMA SPILLA</t>
  </si>
  <si>
    <t>ELAINE ARAUJO ONDEI</t>
  </si>
  <si>
    <t>LAIS CAMPOS</t>
  </si>
  <si>
    <t>IVANILDA GUEDES VENANCIO</t>
  </si>
  <si>
    <t>PAULA MARCONDES PIFFER</t>
  </si>
  <si>
    <t>ANDREA ALVES DEA SILVA</t>
  </si>
  <si>
    <t>ARLENE PEREIRA EPISCOPO</t>
  </si>
  <si>
    <t>ANA PAULA DE OLIVEIRA</t>
  </si>
  <si>
    <t>SANDRA MARIA VICTOR FLORENTINO</t>
  </si>
  <si>
    <t xml:space="preserve">FABIANA MATIAS </t>
  </si>
  <si>
    <t>TATHIANE FREITAS YAGUI</t>
  </si>
  <si>
    <t>MARIA MARTA DOS SANTOS SILVA</t>
  </si>
  <si>
    <t>RENATA MARIANO MEDINA</t>
  </si>
  <si>
    <t>Diretor Regional de Educação</t>
  </si>
  <si>
    <t>Portarias</t>
  </si>
  <si>
    <t>BANCO DO BRASIL</t>
  </si>
  <si>
    <t>Invasão Capital - Básico</t>
  </si>
  <si>
    <t>Invasão Capital - Volta Aulas</t>
  </si>
  <si>
    <t>Invasão Capital - Fazendo Futuro</t>
  </si>
  <si>
    <t>Invasão Capital - Transporte</t>
  </si>
  <si>
    <t>Invasão Capital - Imprensa Jovem</t>
  </si>
  <si>
    <t>Invasão Capital - Grêmio</t>
  </si>
  <si>
    <t>Invasão Capital - Formação</t>
  </si>
  <si>
    <t>Invasão Capital - Mais Escola</t>
  </si>
  <si>
    <t>Invasão Capital - Livre Aplic.</t>
  </si>
  <si>
    <t>01/12/2019</t>
  </si>
  <si>
    <t>31/10/2020</t>
  </si>
  <si>
    <t>SIMONE GIMENEZ PALAZZI</t>
  </si>
  <si>
    <t>SIMONE BOSQUE DE FARIA</t>
  </si>
  <si>
    <t>CAROLINA NEVES GARCIA</t>
  </si>
  <si>
    <t>MARIA EMÍLIA ALVES RANGON DE LIMA</t>
  </si>
  <si>
    <t>ROSANGELA DE ALMEIDA FELIPE</t>
  </si>
  <si>
    <t>DEBORA IZA DE LIMA</t>
  </si>
  <si>
    <t>SONIA REGINA MARCOS DE LORENZI</t>
  </si>
  <si>
    <t>SILVANA MORA KLEIN</t>
  </si>
  <si>
    <t>SIGLIA PAVANELLO PALMIERI</t>
  </si>
  <si>
    <t>ADRIANA SANCHES NABARRETE</t>
  </si>
  <si>
    <t>CLAUDIANA ALVES DE LIMA</t>
  </si>
  <si>
    <t>14183</t>
  </si>
  <si>
    <t>ROSÂNGELA FORNO VAZQUEZ</t>
  </si>
  <si>
    <t xml:space="preserve">ISABEL CAMPOS DE SIQUEIRA </t>
  </si>
  <si>
    <t>VLADIMIR PETCOV</t>
  </si>
  <si>
    <t>NAIDE DA COSTA SOARES SOUZA</t>
  </si>
  <si>
    <t>CLAUDIA FERRARA DE SARAIVA</t>
  </si>
  <si>
    <t>ALINE PEREIRA CARVALHO DE SOUSA</t>
  </si>
  <si>
    <t>76546</t>
  </si>
  <si>
    <t>SILVANA MARIA DA SILVA</t>
  </si>
  <si>
    <t>MARCIA BARROS AJAJ</t>
  </si>
  <si>
    <t>41706</t>
  </si>
  <si>
    <t>IZOLDA MARIA BATISTA</t>
  </si>
  <si>
    <t>ADRIANA  FAGUNDES MOREIRA DOS SANTOS</t>
  </si>
  <si>
    <t>EDIVANIA SOARES DE SOUZA</t>
  </si>
  <si>
    <t>VERA LÚCIA ROSEIRA</t>
  </si>
  <si>
    <t>CRISTIANE MIRABETI LEITE</t>
  </si>
  <si>
    <t>MARIA ADELIA GONÇALVES RUOTOLO</t>
  </si>
  <si>
    <t>LUCIA PEDRO SARKISSIAN</t>
  </si>
  <si>
    <t>MARCOS MEDEIROS DANTAS</t>
  </si>
  <si>
    <t>ADEMIR CIOTI</t>
  </si>
  <si>
    <t>FRANCISCA ALVES DE MENEZES</t>
  </si>
  <si>
    <t>MARILUCI FALCO FERNANDES KAMISAKA</t>
  </si>
  <si>
    <t>MICHELLY FRANCINI BRASSAROTO DO AMARAL</t>
  </si>
  <si>
    <t>ROSEMEIRE SCHIMIDT</t>
  </si>
  <si>
    <t>MARCOS CESAR BIM</t>
  </si>
  <si>
    <t xml:space="preserve">HERVY VICENTE DA SILVA </t>
  </si>
  <si>
    <t>ANA CLAUDIA PINTO DA MATA</t>
  </si>
  <si>
    <t>LUCIANA LEITE SERAFIM</t>
  </si>
  <si>
    <t>213420</t>
  </si>
  <si>
    <t>FABRÍCIO ROSSINI CARRASCO</t>
  </si>
  <si>
    <t>CIEJA - ERMELINO MATARAZZO</t>
  </si>
  <si>
    <t>CIEJA ERMELINO MATARAZZO</t>
  </si>
  <si>
    <t>ELIANA PARDO PULZ DOICHE</t>
  </si>
  <si>
    <t>ROSANE NUNES RODRIGUES</t>
  </si>
  <si>
    <t>PATRÍCIA GOMES DE MIRANDA</t>
  </si>
  <si>
    <t>ANDERSON PEREIRA DA SILVA</t>
  </si>
  <si>
    <t xml:space="preserve">GISELLE MACHADO FERNANDES </t>
  </si>
  <si>
    <t>DEBORAH REGINA GUIMARÃES FELIPPE</t>
  </si>
  <si>
    <t>ANDRÉIA FREITAS SILVA</t>
  </si>
  <si>
    <t>PLINIO JOSÉ NEVES</t>
  </si>
  <si>
    <t>MARIA APARECIDA PEREIRA GÊNOVA</t>
  </si>
  <si>
    <t xml:space="preserve">PATRÍCIA GONÇALVES BEZERRA </t>
  </si>
  <si>
    <t>ILMA TÂNIA CIRIACO MAGALHÃES</t>
  </si>
  <si>
    <t>PATRICIA LIAGI ANTOLINO</t>
  </si>
  <si>
    <t>ANA PAULA PUZZELLO GHIRALDINI</t>
  </si>
  <si>
    <t>ANELISA BIAGGIO CABRAL DE VASCONCELLOS</t>
  </si>
  <si>
    <t>105961</t>
  </si>
  <si>
    <t>JOSÉ CARLOS DE SOUZA DIAS</t>
  </si>
  <si>
    <t>SYLVIA GEORGINA FREIRE DE SOUZA FREITAS</t>
  </si>
  <si>
    <t>DINAH MARIA BARILE</t>
  </si>
  <si>
    <t>ELOIR JOSÉ DA SILVA</t>
  </si>
  <si>
    <t>MAGALI APARECDIA MINGARELI DEL VALLE</t>
  </si>
  <si>
    <t>MARIA FERNANDA CARVALHO GONÇALVES</t>
  </si>
  <si>
    <t>RODRIGO LEITÃO E SILVA</t>
  </si>
  <si>
    <t>ROSA MARIA AURORA BARTALINI</t>
  </si>
  <si>
    <t>FERNANDA EUGÊNIA ALVARENGA MENDES</t>
  </si>
  <si>
    <t>NATALY COSTA DE OLIVEIRA</t>
  </si>
  <si>
    <t>PATRÍCIA GANDRA CARVALHO NASCIMENTO</t>
  </si>
  <si>
    <t>DÉBORA NOGUEIRA SANCHES</t>
  </si>
  <si>
    <t>CRISTINA LINS BARBOSA DE SOUZA</t>
  </si>
  <si>
    <t>ANA MARIA SPINA AVINO</t>
  </si>
  <si>
    <t>LUCYMARA CORDEIRO BERNARDES MACHADO</t>
  </si>
  <si>
    <t>JULIANA APARECIDA DA COSTA BORGES</t>
  </si>
  <si>
    <t>MARCOS VAZATTA</t>
  </si>
  <si>
    <t xml:space="preserve">ENI PEREIRA DE SOUZA </t>
  </si>
  <si>
    <t>ELISABETE MAZOCA ANDRADE</t>
  </si>
  <si>
    <t>HELIANE CRISTINA ORMENEZ VIEIRA</t>
  </si>
  <si>
    <t>DANIELE PERESTRELO GIFALLI FERRARI</t>
  </si>
  <si>
    <t xml:space="preserve">ALESSANDRA ZEMAN DO NASCIMENTO SOUSA </t>
  </si>
  <si>
    <t>SANDRA MARA ALVES MARANHO</t>
  </si>
  <si>
    <t>PAULA DARCIE AZEVEDO SEMAAN</t>
  </si>
  <si>
    <t>MARA LÚCIA NASCIMENTO CARVALHO</t>
  </si>
  <si>
    <t>MARIA DE SOUSA BAMONTE</t>
  </si>
  <si>
    <t>JOÃO KLEBER DE SANTANA SOUZA</t>
  </si>
  <si>
    <t>CINTIA ALVES DOS SANTOS</t>
  </si>
  <si>
    <t>CLAUDIO MEDEIROS ALMEIDA</t>
  </si>
  <si>
    <t>REGINA MAURA SIQUEIRA DIAS</t>
  </si>
  <si>
    <t>LUCIMAR AMARAL DE MELO</t>
  </si>
  <si>
    <t>ADILSON DE SOUZA</t>
  </si>
  <si>
    <t>CRISTIANE VENTURINELI</t>
  </si>
  <si>
    <t>AMANDA LANA GUIRAU BRANDÃO</t>
  </si>
  <si>
    <t>DENISE CONTI BIGAL CATELLI</t>
  </si>
  <si>
    <t>CARLA MARIA DOS SANTOS BREGOLA</t>
  </si>
  <si>
    <t>SOLANGE RIBEIRO</t>
  </si>
  <si>
    <t>ELISABETE LÚCIA ROCHA ANDRADE DUARTE</t>
  </si>
  <si>
    <t>ANA MARIA MARTINS LINHARES</t>
  </si>
  <si>
    <t>MARIA CLÁUDIA VIEIRA FERNANDES</t>
  </si>
  <si>
    <t>ÂNGELA REGINA SAMPAIO NUNES</t>
  </si>
  <si>
    <t>SANDRA HELENA GOMES SOARES</t>
  </si>
  <si>
    <t>MÁRCIA FARIA CRUNFLI</t>
  </si>
  <si>
    <t>CLAUDIA ROSA DE OLIVEIRA</t>
  </si>
  <si>
    <t>MARA NEIDE ZAGO</t>
  </si>
  <si>
    <t>RIVANIA KALIL DUARTE</t>
  </si>
  <si>
    <t>AUDREY REGINA PONCE</t>
  </si>
  <si>
    <t>MAURY PEREIRA DA SILVA</t>
  </si>
  <si>
    <t>ANA ROSA DE SOUSA MERIGO</t>
  </si>
  <si>
    <t>RENATA DE CASSIA DINI JOSÉ</t>
  </si>
  <si>
    <t>MARIA DE FATIMA BORGES DE OLIVEIRA</t>
  </si>
  <si>
    <t>GENEILDO SELIO VALENÇA DA SILVA</t>
  </si>
  <si>
    <t>LARISSA KENSCHIKOWSKY</t>
  </si>
  <si>
    <t xml:space="preserve">ADILIA GOMES SIQUEIRA </t>
  </si>
  <si>
    <t>JACIRA DE MELO PIUCHI</t>
  </si>
  <si>
    <t>656003</t>
  </si>
  <si>
    <t>JESSICA GOMES DE CAMPOS CAJUELA</t>
  </si>
  <si>
    <t>MARTA ARANTES</t>
  </si>
  <si>
    <t>ALCIR VANDERLEI FERREIRA</t>
  </si>
  <si>
    <t>ELIANE CAMARGO MOURA</t>
  </si>
  <si>
    <t>CLAZIANE PEREIRA DE LIMA</t>
  </si>
  <si>
    <t>MARIA APARECIDA ORCINI</t>
  </si>
  <si>
    <t>MARILIA DE SANTIS</t>
  </si>
  <si>
    <t>PAULO GOMES DOS SANTOS</t>
  </si>
  <si>
    <t>PATRICIA REGIS DE OLIVEIRA</t>
  </si>
  <si>
    <t>EMEF - ROMAO GOMES, CEL.</t>
  </si>
  <si>
    <t>EMEF CEL ROMÃO GOMES</t>
  </si>
  <si>
    <t>emefrgomes@sme.prefeitura.sp.gov.br</t>
  </si>
  <si>
    <t>RUA SD JOSÉ VICENTE DE PAULA</t>
  </si>
  <si>
    <t>20.204-5</t>
  </si>
  <si>
    <t>MARCILENE REJANE MORETO FRANCISCO</t>
  </si>
  <si>
    <t>emefrgomes@prefeitura.sp.gov.br</t>
  </si>
  <si>
    <t>VIRGILIA DA SILVA OLIVEIRA</t>
  </si>
  <si>
    <t>ROMAO GOMES, CEL.</t>
  </si>
  <si>
    <t>CEI - TITO DE ALENCAR LIMA, FREI</t>
  </si>
  <si>
    <t>CEI FREI TITO DE ALENCAR LIMA</t>
  </si>
  <si>
    <t>TITO DE ALENCAR LIMA, FREI</t>
  </si>
  <si>
    <t>Data do Extrato</t>
  </si>
  <si>
    <t>próximo Repasse</t>
  </si>
  <si>
    <t>Versão 1.1.2020 
24/09/2020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</si>
</sst>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164" formatCode="_(&quot;R$&quot;* #,##0.00_);_(&quot;R$&quot;* \(#,##0.00\);_(&quot;R$&quot;* &quot;-&quot;??_);_(@_)"/>
    <numFmt numFmtId="165" formatCode="&quot;R$ &quot;#,##0.00_);\(&quot;R$ &quot;#,##0.00\)"/>
    <numFmt numFmtId="166" formatCode="&quot;R$ &quot;#,##0.00_);[Red]\(&quot;R$ &quot;#,##0.00\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0;[Red]0"/>
    <numFmt numFmtId="170" formatCode="&quot;R$ &quot;#,##0.00"/>
    <numFmt numFmtId="171" formatCode="0000&quot;-&quot;0000"/>
    <numFmt numFmtId="172" formatCode="dd/mm/yy;@"/>
    <numFmt numFmtId="173" formatCode="00000&quot;-&quot;000"/>
    <numFmt numFmtId="174" formatCode="000&quot;.&quot;000&quot;.&quot;000&quot;-&quot;00"/>
    <numFmt numFmtId="175" formatCode="00&quot;/&quot;00&quot;/&quot;0000"/>
    <numFmt numFmtId="176" formatCode="000000"/>
    <numFmt numFmtId="177" formatCode="#,##0.00;[Red]#,##0.00"/>
    <numFmt numFmtId="178" formatCode="00&quot;.&quot;000&quot;.&quot;000&quot;/&quot;0000&quot;-&quot;00"/>
    <numFmt numFmtId="179" formatCode="00"/>
    <numFmt numFmtId="180" formatCode="0&quot;.&quot;000&quot;.&quot;000&quot;-&quot;0"/>
    <numFmt numFmtId="181" formatCode="0000&quot;-&quot;0"/>
    <numFmt numFmtId="182" formatCode="&quot;R$&quot;\ #,##0.00"/>
    <numFmt numFmtId="183" formatCode="000"/>
    <numFmt numFmtId="184" formatCode="0000&quot;-&quot;0&quot;.&quot;000&quot;.&quot;000&quot;-&quot;0"/>
    <numFmt numFmtId="185" formatCode="0##&quot;.&quot;###&quot;.&quot;###\-##"/>
    <numFmt numFmtId="186" formatCode="[&lt;=99999999999]000\.000\.000\-00;00\.000\.000\/0000\-00"/>
    <numFmt numFmtId="187" formatCode="[&lt;=6016209999999990]\60\1\6\.\2000\/0000000\-0;\60\1\6\.\2000\/000000\-0"/>
    <numFmt numFmtId="188" formatCode="&quot;6016.2020/&quot;0000000&quot;-&quot;0"/>
    <numFmt numFmtId="189" formatCode="[$-409]mm/dd/yyyy\ hh:mm;@"/>
    <numFmt numFmtId="190" formatCode="[&gt;=999999999999]00\.000\.000\/0000\-00;000\.000\.000\-00"/>
  </numFmts>
  <fonts count="143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sz val="6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8"/>
      <color indexed="8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i/>
      <sz val="9"/>
      <name val="Arial"/>
      <family val="2"/>
    </font>
    <font>
      <b/>
      <sz val="2"/>
      <name val="Arial"/>
      <family val="2"/>
    </font>
    <font>
      <u/>
      <sz val="8"/>
      <name val="Arial"/>
      <family val="2"/>
    </font>
    <font>
      <sz val="2"/>
      <name val="Arial"/>
      <family val="2"/>
    </font>
    <font>
      <b/>
      <sz val="14"/>
      <name val="Arial"/>
      <family val="2"/>
    </font>
    <font>
      <sz val="9"/>
      <name val="Times New Roman"/>
      <family val="1"/>
    </font>
    <font>
      <sz val="9"/>
      <color indexed="9"/>
      <name val="Arial"/>
      <family val="2"/>
    </font>
    <font>
      <b/>
      <u/>
      <sz val="10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12"/>
      <color indexed="9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Times New Roman"/>
      <family val="1"/>
    </font>
    <font>
      <sz val="10"/>
      <color indexed="9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8"/>
      <color indexed="50"/>
      <name val="Verdana"/>
      <family val="2"/>
    </font>
    <font>
      <b/>
      <sz val="9"/>
      <color indexed="17"/>
      <name val="Arial"/>
      <family val="2"/>
    </font>
    <font>
      <sz val="9"/>
      <color indexed="17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6"/>
      <color indexed="10"/>
      <name val="Arial"/>
      <family val="2"/>
    </font>
    <font>
      <b/>
      <sz val="12"/>
      <color indexed="12"/>
      <name val="Arial"/>
      <family val="2"/>
    </font>
    <font>
      <b/>
      <sz val="10"/>
      <color indexed="10"/>
      <name val="Arial"/>
      <family val="2"/>
    </font>
    <font>
      <u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b/>
      <sz val="9"/>
      <color indexed="9"/>
      <name val="Arial"/>
      <family val="2"/>
    </font>
    <font>
      <b/>
      <sz val="13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2"/>
      <color indexed="12"/>
      <name val="Arial"/>
      <family val="2"/>
    </font>
    <font>
      <sz val="8"/>
      <color indexed="9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10"/>
      <color indexed="12"/>
      <name val="Arial"/>
      <family val="2"/>
    </font>
    <font>
      <b/>
      <sz val="9"/>
      <color indexed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9"/>
      <name val="Times New Roman"/>
      <family val="1"/>
    </font>
    <font>
      <sz val="8"/>
      <color indexed="9"/>
      <name val="Arial"/>
      <family val="2"/>
    </font>
    <font>
      <sz val="8"/>
      <color indexed="9"/>
      <name val="Times New Roman"/>
      <family val="1"/>
    </font>
    <font>
      <b/>
      <sz val="14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55"/>
      <name val="Arial"/>
      <family val="2"/>
    </font>
    <font>
      <sz val="8"/>
      <color indexed="22"/>
      <name val="Arial"/>
      <family val="2"/>
    </font>
    <font>
      <sz val="10"/>
      <color indexed="17"/>
      <name val="Arial"/>
      <family val="2"/>
    </font>
    <font>
      <b/>
      <sz val="7"/>
      <name val="Arial"/>
      <family val="2"/>
    </font>
    <font>
      <b/>
      <sz val="18"/>
      <color theme="3"/>
      <name val="Cambria"/>
      <family val="2"/>
      <scheme val="major"/>
    </font>
    <font>
      <sz val="9"/>
      <color theme="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Times New Roman"/>
      <family val="1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6"/>
      <color theme="9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18"/>
      <name val="Cambria"/>
      <family val="2"/>
      <scheme val="major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b/>
      <sz val="14"/>
      <color rgb="FFFF0000"/>
      <name val="Arial"/>
      <family val="2"/>
    </font>
    <font>
      <b/>
      <i/>
      <sz val="10"/>
      <name val="Arial"/>
      <family val="2"/>
    </font>
    <font>
      <b/>
      <sz val="10"/>
      <color rgb="FF0000FF"/>
      <name val="Arial"/>
      <family val="2"/>
    </font>
    <font>
      <b/>
      <sz val="13.5"/>
      <name val="Arial"/>
      <family val="2"/>
    </font>
    <font>
      <b/>
      <sz val="14"/>
      <color theme="0"/>
      <name val="Arial"/>
      <family val="2"/>
    </font>
    <font>
      <sz val="16"/>
      <color indexed="8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sz val="9"/>
      <color rgb="FFFF0000"/>
      <name val="Arial"/>
      <family val="2"/>
    </font>
    <font>
      <b/>
      <sz val="11"/>
      <color rgb="FF0000FF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u/>
      <sz val="11"/>
      <name val="Calibri"/>
      <family val="2"/>
    </font>
    <font>
      <u/>
      <sz val="11"/>
      <name val="Calibri"/>
      <family val="2"/>
    </font>
    <font>
      <i/>
      <u/>
      <sz val="11"/>
      <name val="Calibri"/>
      <family val="2"/>
    </font>
    <font>
      <b/>
      <sz val="11"/>
      <color rgb="FFFF0000"/>
      <name val="Calibri"/>
      <family val="2"/>
    </font>
    <font>
      <b/>
      <i/>
      <sz val="16"/>
      <name val="Calibri"/>
      <family val="2"/>
    </font>
    <font>
      <b/>
      <i/>
      <u/>
      <sz val="10"/>
      <name val="Arial"/>
      <family val="2"/>
    </font>
    <font>
      <b/>
      <sz val="12"/>
      <color theme="0"/>
      <name val="Arial"/>
      <family val="2"/>
    </font>
    <font>
      <sz val="10"/>
      <color theme="9" tint="0.79998168889431442"/>
      <name val="Arial"/>
      <family val="2"/>
    </font>
    <font>
      <b/>
      <sz val="8"/>
      <color theme="9" tint="0.79998168889431442"/>
      <name val="Arial"/>
      <family val="2"/>
    </font>
    <font>
      <sz val="10"/>
      <color theme="0" tint="-4.9989318521683403E-2"/>
      <name val="Arial"/>
      <family val="2"/>
    </font>
    <font>
      <sz val="9"/>
      <color rgb="FF007033"/>
      <name val="Arial"/>
      <family val="2"/>
    </font>
    <font>
      <b/>
      <i/>
      <u/>
      <sz val="12"/>
      <name val="Arial"/>
      <family val="2"/>
    </font>
    <font>
      <b/>
      <sz val="9"/>
      <color rgb="FF7030A0"/>
      <name val="Arial"/>
      <family val="2"/>
    </font>
    <font>
      <b/>
      <i/>
      <sz val="8"/>
      <name val="Arial"/>
      <family val="2"/>
    </font>
    <font>
      <b/>
      <sz val="9"/>
      <color theme="5" tint="-0.249977111117893"/>
      <name val="Arial"/>
      <family val="2"/>
    </font>
    <font>
      <b/>
      <sz val="9"/>
      <color rgb="FFCC00FF"/>
      <name val="Arial"/>
      <family val="2"/>
    </font>
    <font>
      <b/>
      <sz val="9"/>
      <color theme="9"/>
      <name val="Arial"/>
      <family val="2"/>
    </font>
    <font>
      <b/>
      <sz val="9"/>
      <color rgb="FF00B0F0"/>
      <name val="Arial"/>
      <family val="2"/>
    </font>
    <font>
      <sz val="8"/>
      <color rgb="FF0070C0"/>
      <name val="Arial"/>
      <family val="2"/>
    </font>
    <font>
      <sz val="10"/>
      <color theme="0" tint="-0.14999847407452621"/>
      <name val="Arial"/>
      <family val="2"/>
    </font>
    <font>
      <sz val="12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color theme="0" tint="-4.9989318521683403E-2"/>
      <name val="Arial"/>
      <family val="2"/>
    </font>
    <font>
      <b/>
      <sz val="18"/>
      <color theme="9"/>
      <name val="Cambria"/>
      <family val="2"/>
      <scheme val="major"/>
    </font>
    <font>
      <sz val="10"/>
      <color theme="0" tint="-0.14996795556505021"/>
      <name val="Arial"/>
      <family val="2"/>
    </font>
    <font>
      <sz val="9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9"/>
      <color rgb="FFC00000"/>
      <name val="Arial"/>
      <family val="2"/>
    </font>
    <font>
      <b/>
      <sz val="9"/>
      <color rgb="FF00B050"/>
      <name val="Arial"/>
      <family val="2"/>
    </font>
    <font>
      <b/>
      <sz val="9"/>
      <color rgb="FF0000FF"/>
      <name val="Arial"/>
      <family val="2"/>
    </font>
    <font>
      <b/>
      <sz val="9"/>
      <color rgb="FF007033"/>
      <name val="Arial"/>
      <family val="2"/>
    </font>
    <font>
      <b/>
      <sz val="9"/>
      <color theme="9" tint="-0.249977111117893"/>
      <name val="Arial"/>
      <family val="2"/>
    </font>
    <font>
      <b/>
      <sz val="8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rgb="FFF7EFFF"/>
      </patternFill>
    </fill>
    <fill>
      <patternFill patternType="solid">
        <fgColor rgb="FF66FF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rgb="FF92D050"/>
        <bgColor indexed="64"/>
      </patternFill>
    </fill>
    <fill>
      <patternFill patternType="solid">
        <fgColor rgb="FFC76A0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79646"/>
        <bgColor rgb="FFF7EFFF"/>
      </patternFill>
    </fill>
    <fill>
      <patternFill patternType="solid">
        <fgColor rgb="FFCC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rgb="FFFFFF00"/>
        <bgColor rgb="FFF7EFFF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10"/>
      </bottom>
      <diagonal/>
    </border>
    <border>
      <left/>
      <right/>
      <top style="medium">
        <color indexed="1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9" tint="0.59999389629810485"/>
      </left>
      <right/>
      <top style="medium">
        <color theme="9" tint="0.59999389629810485"/>
      </top>
      <bottom/>
      <diagonal/>
    </border>
    <border>
      <left/>
      <right/>
      <top style="medium">
        <color theme="9" tint="0.59999389629810485"/>
      </top>
      <bottom/>
      <diagonal/>
    </border>
    <border>
      <left/>
      <right style="medium">
        <color theme="9" tint="0.59999389629810485"/>
      </right>
      <top style="medium">
        <color theme="9" tint="0.59999389629810485"/>
      </top>
      <bottom/>
      <diagonal/>
    </border>
    <border>
      <left style="medium">
        <color theme="9" tint="0.59999389629810485"/>
      </left>
      <right/>
      <top/>
      <bottom/>
      <diagonal/>
    </border>
    <border>
      <left/>
      <right style="medium">
        <color theme="9" tint="0.59999389629810485"/>
      </right>
      <top/>
      <bottom/>
      <diagonal/>
    </border>
    <border>
      <left style="medium">
        <color theme="9" tint="0.59999389629810485"/>
      </left>
      <right/>
      <top/>
      <bottom style="medium">
        <color theme="9" tint="0.59999389629810485"/>
      </bottom>
      <diagonal/>
    </border>
    <border>
      <left/>
      <right/>
      <top/>
      <bottom style="medium">
        <color theme="9" tint="0.59999389629810485"/>
      </bottom>
      <diagonal/>
    </border>
    <border>
      <left/>
      <right style="medium">
        <color theme="9" tint="0.59999389629810485"/>
      </right>
      <top/>
      <bottom style="medium">
        <color theme="9" tint="0.5999938962981048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9" tint="0.59999389629810485"/>
      </top>
      <bottom style="medium">
        <color theme="9" tint="0.59999389629810485"/>
      </bottom>
      <diagonal/>
    </border>
  </borders>
  <cellStyleXfs count="11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1" fillId="0" borderId="0" applyFont="0" applyFill="0" applyBorder="0" applyAlignment="0" applyProtection="0"/>
    <xf numFmtId="0" fontId="8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89" fontId="1" fillId="0" borderId="0"/>
  </cellStyleXfs>
  <cellXfs count="1965">
    <xf numFmtId="0" fontId="0" fillId="0" borderId="0" xfId="0"/>
    <xf numFmtId="0" fontId="5" fillId="0" borderId="0" xfId="3" applyFont="1" applyProtection="1">
      <protection hidden="1"/>
    </xf>
    <xf numFmtId="0" fontId="2" fillId="0" borderId="0" xfId="3" applyFont="1" applyProtection="1">
      <protection hidden="1"/>
    </xf>
    <xf numFmtId="0" fontId="3" fillId="0" borderId="0" xfId="3" applyFont="1" applyAlignment="1" applyProtection="1">
      <alignment horizontal="right"/>
      <protection hidden="1"/>
    </xf>
    <xf numFmtId="0" fontId="8" fillId="0" borderId="0" xfId="3" applyFont="1" applyAlignment="1" applyProtection="1">
      <alignment horizontal="right"/>
      <protection hidden="1"/>
    </xf>
    <xf numFmtId="0" fontId="5" fillId="0" borderId="1" xfId="3" applyFont="1" applyBorder="1" applyProtection="1">
      <protection hidden="1"/>
    </xf>
    <xf numFmtId="0" fontId="12" fillId="0" borderId="0" xfId="3" applyFont="1" applyProtection="1">
      <protection hidden="1"/>
    </xf>
    <xf numFmtId="0" fontId="5" fillId="0" borderId="0" xfId="3" applyFont="1" applyAlignment="1" applyProtection="1">
      <alignment vertical="center"/>
      <protection hidden="1"/>
    </xf>
    <xf numFmtId="0" fontId="5" fillId="0" borderId="2" xfId="3" applyFont="1" applyBorder="1" applyProtection="1">
      <protection hidden="1"/>
    </xf>
    <xf numFmtId="0" fontId="5" fillId="0" borderId="0" xfId="3" applyFont="1" applyBorder="1" applyProtection="1">
      <protection hidden="1"/>
    </xf>
    <xf numFmtId="0" fontId="5" fillId="0" borderId="3" xfId="3" applyFont="1" applyBorder="1" applyProtection="1">
      <protection hidden="1"/>
    </xf>
    <xf numFmtId="0" fontId="5" fillId="0" borderId="2" xfId="3" applyFont="1" applyBorder="1" applyAlignment="1" applyProtection="1">
      <alignment horizontal="right"/>
      <protection hidden="1"/>
    </xf>
    <xf numFmtId="0" fontId="5" fillId="0" borderId="4" xfId="3" applyFont="1" applyBorder="1" applyProtection="1">
      <protection hidden="1"/>
    </xf>
    <xf numFmtId="0" fontId="5" fillId="0" borderId="5" xfId="3" applyFont="1" applyBorder="1" applyProtection="1">
      <protection hidden="1"/>
    </xf>
    <xf numFmtId="0" fontId="5" fillId="0" borderId="6" xfId="3" applyFont="1" applyBorder="1" applyProtection="1">
      <protection hidden="1"/>
    </xf>
    <xf numFmtId="0" fontId="5" fillId="0" borderId="0" xfId="3" applyFont="1" applyBorder="1" applyAlignment="1" applyProtection="1">
      <protection hidden="1"/>
    </xf>
    <xf numFmtId="0" fontId="13" fillId="0" borderId="0" xfId="5" applyFont="1" applyBorder="1" applyProtection="1"/>
    <xf numFmtId="0" fontId="6" fillId="0" borderId="7" xfId="3" applyFont="1" applyBorder="1" applyAlignment="1" applyProtection="1">
      <alignment horizontal="center"/>
      <protection hidden="1"/>
    </xf>
    <xf numFmtId="0" fontId="5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protection hidden="1"/>
    </xf>
    <xf numFmtId="0" fontId="6" fillId="0" borderId="0" xfId="3" applyFont="1" applyFill="1" applyBorder="1" applyAlignment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6" fillId="0" borderId="0" xfId="0" applyFont="1" applyFill="1" applyBorder="1" applyAlignment="1" applyProtection="1">
      <protection hidden="1"/>
    </xf>
    <xf numFmtId="0" fontId="14" fillId="0" borderId="0" xfId="3" applyFont="1" applyFill="1" applyBorder="1" applyAlignment="1" applyProtection="1">
      <protection hidden="1"/>
    </xf>
    <xf numFmtId="0" fontId="14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left"/>
      <protection hidden="1"/>
    </xf>
    <xf numFmtId="0" fontId="5" fillId="2" borderId="0" xfId="3" applyFont="1" applyFill="1" applyBorder="1" applyProtection="1">
      <protection hidden="1"/>
    </xf>
    <xf numFmtId="0" fontId="33" fillId="0" borderId="0" xfId="3" applyFont="1" applyFill="1" applyBorder="1" applyProtection="1">
      <protection hidden="1"/>
    </xf>
    <xf numFmtId="0" fontId="33" fillId="3" borderId="0" xfId="3" applyFont="1" applyFill="1" applyBorder="1" applyProtection="1">
      <protection hidden="1"/>
    </xf>
    <xf numFmtId="169" fontId="32" fillId="0" borderId="0" xfId="3" applyNumberFormat="1" applyFont="1" applyFill="1" applyBorder="1" applyAlignment="1" applyProtection="1">
      <protection hidden="1"/>
    </xf>
    <xf numFmtId="169" fontId="32" fillId="3" borderId="0" xfId="3" applyNumberFormat="1" applyFont="1" applyFill="1" applyBorder="1" applyAlignment="1" applyProtection="1">
      <protection hidden="1"/>
    </xf>
    <xf numFmtId="0" fontId="32" fillId="3" borderId="0" xfId="3" applyFont="1" applyFill="1" applyBorder="1" applyAlignment="1" applyProtection="1">
      <alignment horizontal="left"/>
      <protection hidden="1"/>
    </xf>
    <xf numFmtId="0" fontId="32" fillId="0" borderId="0" xfId="0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protection hidden="1"/>
    </xf>
    <xf numFmtId="174" fontId="14" fillId="0" borderId="0" xfId="3" applyNumberFormat="1" applyFont="1" applyFill="1" applyBorder="1" applyAlignment="1" applyProtection="1">
      <protection hidden="1"/>
    </xf>
    <xf numFmtId="0" fontId="5" fillId="3" borderId="0" xfId="3" applyFont="1" applyFill="1" applyBorder="1" applyAlignment="1" applyProtection="1">
      <alignment horizontal="right"/>
      <protection hidden="1"/>
    </xf>
    <xf numFmtId="0" fontId="5" fillId="4" borderId="0" xfId="3" applyFont="1" applyFill="1" applyBorder="1" applyAlignment="1" applyProtection="1">
      <alignment horizontal="right"/>
      <protection hidden="1"/>
    </xf>
    <xf numFmtId="0" fontId="14" fillId="4" borderId="0" xfId="3" applyFont="1" applyFill="1" applyBorder="1" applyProtection="1">
      <protection hidden="1"/>
    </xf>
    <xf numFmtId="0" fontId="14" fillId="4" borderId="0" xfId="3" applyFont="1" applyFill="1" applyBorder="1" applyAlignment="1" applyProtection="1">
      <protection hidden="1"/>
    </xf>
    <xf numFmtId="0" fontId="5" fillId="4" borderId="0" xfId="3" applyFont="1" applyFill="1" applyBorder="1" applyProtection="1">
      <protection hidden="1"/>
    </xf>
    <xf numFmtId="0" fontId="32" fillId="3" borderId="0" xfId="3" applyFont="1" applyFill="1" applyBorder="1" applyProtection="1">
      <protection hidden="1"/>
    </xf>
    <xf numFmtId="0" fontId="3" fillId="3" borderId="0" xfId="0" applyFont="1" applyFill="1" applyProtection="1">
      <protection hidden="1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2" fillId="3" borderId="9" xfId="0" applyFont="1" applyFill="1" applyBorder="1" applyProtection="1"/>
    <xf numFmtId="166" fontId="15" fillId="3" borderId="10" xfId="0" applyNumberFormat="1" applyFont="1" applyFill="1" applyBorder="1" applyAlignment="1" applyProtection="1">
      <alignment horizontal="center"/>
      <protection hidden="1"/>
    </xf>
    <xf numFmtId="170" fontId="15" fillId="3" borderId="4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/>
    <xf numFmtId="0" fontId="34" fillId="3" borderId="0" xfId="0" applyFont="1" applyFill="1" applyBorder="1" applyProtection="1"/>
    <xf numFmtId="0" fontId="36" fillId="3" borderId="0" xfId="0" applyFont="1" applyFill="1" applyBorder="1" applyProtection="1"/>
    <xf numFmtId="0" fontId="13" fillId="0" borderId="0" xfId="5" applyFont="1" applyFill="1" applyBorder="1" applyProtection="1"/>
    <xf numFmtId="0" fontId="5" fillId="0" borderId="1" xfId="3" applyFont="1" applyBorder="1" applyAlignment="1" applyProtection="1">
      <protection hidden="1"/>
    </xf>
    <xf numFmtId="0" fontId="1" fillId="3" borderId="11" xfId="8" applyNumberForma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13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16" fillId="3" borderId="16" xfId="0" applyFont="1" applyFill="1" applyBorder="1" applyProtection="1">
      <protection hidden="1"/>
    </xf>
    <xf numFmtId="0" fontId="16" fillId="3" borderId="0" xfId="0" applyFont="1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41" fillId="3" borderId="0" xfId="0" applyFont="1" applyFill="1" applyProtection="1">
      <protection hidden="1"/>
    </xf>
    <xf numFmtId="0" fontId="0" fillId="3" borderId="19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0" fontId="38" fillId="3" borderId="0" xfId="0" applyFont="1" applyFill="1" applyBorder="1" applyProtection="1">
      <protection hidden="1"/>
    </xf>
    <xf numFmtId="0" fontId="41" fillId="3" borderId="0" xfId="0" applyFont="1" applyFill="1" applyBorder="1" applyProtection="1">
      <protection hidden="1"/>
    </xf>
    <xf numFmtId="0" fontId="5" fillId="3" borderId="22" xfId="0" applyFont="1" applyFill="1" applyBorder="1" applyAlignment="1" applyProtection="1">
      <alignment horizontal="right"/>
      <protection hidden="1"/>
    </xf>
    <xf numFmtId="0" fontId="0" fillId="3" borderId="17" xfId="0" applyFill="1" applyBorder="1" applyAlignment="1" applyProtection="1">
      <protection hidden="1"/>
    </xf>
    <xf numFmtId="0" fontId="41" fillId="3" borderId="0" xfId="4" applyFont="1" applyFill="1" applyProtection="1">
      <protection hidden="1"/>
    </xf>
    <xf numFmtId="0" fontId="16" fillId="3" borderId="23" xfId="0" applyFont="1" applyFill="1" applyBorder="1" applyProtection="1">
      <protection hidden="1"/>
    </xf>
    <xf numFmtId="0" fontId="16" fillId="3" borderId="24" xfId="0" applyFont="1" applyFill="1" applyBorder="1" applyProtection="1">
      <protection hidden="1"/>
    </xf>
    <xf numFmtId="0" fontId="16" fillId="3" borderId="25" xfId="0" applyFont="1" applyFill="1" applyBorder="1" applyProtection="1">
      <protection hidden="1"/>
    </xf>
    <xf numFmtId="0" fontId="12" fillId="4" borderId="0" xfId="3" applyFont="1" applyFill="1" applyBorder="1" applyProtection="1">
      <protection hidden="1"/>
    </xf>
    <xf numFmtId="0" fontId="12" fillId="2" borderId="0" xfId="3" applyFont="1" applyFill="1" applyBorder="1" applyProtection="1">
      <protection hidden="1"/>
    </xf>
    <xf numFmtId="0" fontId="2" fillId="3" borderId="0" xfId="0" applyFont="1" applyFill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5" fillId="3" borderId="0" xfId="0" applyFont="1" applyFill="1" applyProtection="1"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8" xfId="0" applyFont="1" applyFill="1" applyBorder="1" applyAlignment="1" applyProtection="1">
      <alignment horizontal="left" vertical="top" shrinkToFit="1"/>
      <protection hidden="1"/>
    </xf>
    <xf numFmtId="0" fontId="10" fillId="3" borderId="0" xfId="0" applyFont="1" applyFill="1" applyBorder="1" applyAlignment="1" applyProtection="1">
      <alignment horizontal="left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49" fontId="10" fillId="3" borderId="7" xfId="0" applyNumberFormat="1" applyFont="1" applyFill="1" applyBorder="1" applyAlignment="1" applyProtection="1">
      <alignment horizontal="left" shrinkToFit="1"/>
      <protection hidden="1"/>
    </xf>
    <xf numFmtId="49" fontId="7" fillId="5" borderId="10" xfId="0" applyNumberFormat="1" applyFont="1" applyFill="1" applyBorder="1" applyAlignment="1" applyProtection="1">
      <alignment horizontal="left" vertical="center"/>
      <protection hidden="1"/>
    </xf>
    <xf numFmtId="49" fontId="7" fillId="5" borderId="20" xfId="0" applyNumberFormat="1" applyFont="1" applyFill="1" applyBorder="1" applyAlignment="1" applyProtection="1">
      <alignment horizontal="left" vertical="center"/>
      <protection hidden="1"/>
    </xf>
    <xf numFmtId="0" fontId="11" fillId="5" borderId="26" xfId="0" applyFont="1" applyFill="1" applyBorder="1" applyProtection="1">
      <protection hidden="1"/>
    </xf>
    <xf numFmtId="0" fontId="10" fillId="3" borderId="2" xfId="0" applyFont="1" applyFill="1" applyBorder="1" applyAlignment="1" applyProtection="1">
      <alignment vertical="top"/>
      <protection hidden="1"/>
    </xf>
    <xf numFmtId="0" fontId="10" fillId="3" borderId="0" xfId="0" applyFont="1" applyFill="1" applyBorder="1" applyAlignment="1" applyProtection="1">
      <alignment vertical="top"/>
      <protection hidden="1"/>
    </xf>
    <xf numFmtId="0" fontId="2" fillId="3" borderId="0" xfId="0" applyFont="1" applyFill="1" applyBorder="1" applyAlignment="1" applyProtection="1">
      <protection hidden="1"/>
    </xf>
    <xf numFmtId="0" fontId="2" fillId="3" borderId="3" xfId="0" applyFont="1" applyFill="1" applyBorder="1" applyAlignment="1" applyProtection="1">
      <protection hidden="1"/>
    </xf>
    <xf numFmtId="0" fontId="2" fillId="3" borderId="0" xfId="0" applyFont="1" applyFill="1" applyBorder="1" applyAlignment="1" applyProtection="1">
      <alignment horizontal="center"/>
      <protection hidden="1"/>
    </xf>
    <xf numFmtId="0" fontId="19" fillId="3" borderId="0" xfId="0" applyFont="1" applyFill="1" applyBorder="1" applyAlignment="1" applyProtection="1">
      <protection hidden="1"/>
    </xf>
    <xf numFmtId="0" fontId="2" fillId="3" borderId="3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12" fillId="3" borderId="5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Protection="1">
      <protection hidden="1"/>
    </xf>
    <xf numFmtId="0" fontId="10" fillId="3" borderId="5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protection hidden="1"/>
    </xf>
    <xf numFmtId="0" fontId="10" fillId="3" borderId="5" xfId="0" applyFont="1" applyFill="1" applyBorder="1" applyAlignment="1" applyProtection="1">
      <protection hidden="1"/>
    </xf>
    <xf numFmtId="0" fontId="13" fillId="3" borderId="6" xfId="0" applyFont="1" applyFill="1" applyBorder="1" applyProtection="1">
      <protection hidden="1"/>
    </xf>
    <xf numFmtId="0" fontId="2" fillId="0" borderId="0" xfId="4" applyFont="1" applyProtection="1">
      <protection hidden="1"/>
    </xf>
    <xf numFmtId="169" fontId="2" fillId="0" borderId="0" xfId="4" applyNumberFormat="1" applyFont="1" applyProtection="1">
      <protection hidden="1"/>
    </xf>
    <xf numFmtId="0" fontId="3" fillId="0" borderId="0" xfId="4" applyFont="1" applyAlignment="1" applyProtection="1">
      <alignment horizontal="right"/>
      <protection hidden="1"/>
    </xf>
    <xf numFmtId="0" fontId="5" fillId="0" borderId="0" xfId="4" applyFont="1" applyProtection="1">
      <protection hidden="1"/>
    </xf>
    <xf numFmtId="0" fontId="6" fillId="0" borderId="0" xfId="4" applyFont="1" applyAlignment="1" applyProtection="1">
      <alignment horizontal="right"/>
      <protection hidden="1"/>
    </xf>
    <xf numFmtId="0" fontId="19" fillId="0" borderId="1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horizontal="left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9" fillId="0" borderId="7" xfId="4" applyFont="1" applyBorder="1" applyAlignment="1" applyProtection="1">
      <alignment vertical="top" wrapText="1"/>
      <protection hidden="1"/>
    </xf>
    <xf numFmtId="0" fontId="12" fillId="3" borderId="2" xfId="4" applyFont="1" applyFill="1" applyBorder="1" applyAlignment="1" applyProtection="1">
      <alignment wrapText="1"/>
      <protection hidden="1"/>
    </xf>
    <xf numFmtId="0" fontId="15" fillId="3" borderId="5" xfId="4" applyFont="1" applyFill="1" applyBorder="1" applyAlignment="1" applyProtection="1">
      <alignment horizontal="right" wrapText="1"/>
      <protection hidden="1"/>
    </xf>
    <xf numFmtId="0" fontId="26" fillId="3" borderId="0" xfId="4" applyFont="1" applyFill="1" applyBorder="1" applyAlignment="1" applyProtection="1">
      <alignment wrapText="1"/>
      <protection hidden="1"/>
    </xf>
    <xf numFmtId="0" fontId="12" fillId="3" borderId="0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vertical="top" wrapText="1"/>
      <protection hidden="1"/>
    </xf>
    <xf numFmtId="170" fontId="10" fillId="3" borderId="1" xfId="2" applyNumberFormat="1" applyFont="1" applyFill="1" applyBorder="1" applyAlignment="1" applyProtection="1">
      <alignment vertical="top"/>
      <protection hidden="1"/>
    </xf>
    <xf numFmtId="0" fontId="8" fillId="3" borderId="7" xfId="2" applyNumberFormat="1" applyFont="1" applyFill="1" applyBorder="1" applyAlignment="1" applyProtection="1">
      <alignment horizontal="center"/>
      <protection hidden="1"/>
    </xf>
    <xf numFmtId="14" fontId="6" fillId="3" borderId="4" xfId="0" applyNumberFormat="1" applyFont="1" applyFill="1" applyBorder="1" applyAlignment="1" applyProtection="1">
      <alignment horizontal="right"/>
      <protection hidden="1"/>
    </xf>
    <xf numFmtId="14" fontId="6" fillId="3" borderId="6" xfId="2" applyNumberFormat="1" applyFont="1" applyFill="1" applyBorder="1" applyAlignment="1" applyProtection="1">
      <alignment horizontal="left"/>
      <protection hidden="1"/>
    </xf>
    <xf numFmtId="0" fontId="19" fillId="0" borderId="1" xfId="4" applyFont="1" applyBorder="1" applyProtection="1">
      <protection hidden="1"/>
    </xf>
    <xf numFmtId="0" fontId="15" fillId="2" borderId="0" xfId="3" applyFont="1" applyFill="1" applyBorder="1" applyAlignment="1" applyProtection="1">
      <alignment horizontal="center"/>
      <protection hidden="1"/>
    </xf>
    <xf numFmtId="0" fontId="12" fillId="0" borderId="0" xfId="3" applyFont="1" applyFill="1" applyBorder="1" applyProtection="1">
      <protection hidden="1"/>
    </xf>
    <xf numFmtId="0" fontId="45" fillId="4" borderId="0" xfId="3" applyFont="1" applyFill="1" applyBorder="1" applyProtection="1">
      <protection hidden="1"/>
    </xf>
    <xf numFmtId="169" fontId="46" fillId="4" borderId="0" xfId="3" applyNumberFormat="1" applyFont="1" applyFill="1" applyBorder="1" applyAlignment="1" applyProtection="1">
      <protection hidden="1"/>
    </xf>
    <xf numFmtId="0" fontId="46" fillId="4" borderId="0" xfId="3" applyFont="1" applyFill="1" applyBorder="1" applyAlignment="1" applyProtection="1">
      <alignment horizontal="left"/>
      <protection hidden="1"/>
    </xf>
    <xf numFmtId="0" fontId="46" fillId="4" borderId="0" xfId="0" applyFont="1" applyFill="1" applyBorder="1" applyAlignment="1" applyProtection="1">
      <alignment horizontal="left"/>
      <protection hidden="1"/>
    </xf>
    <xf numFmtId="0" fontId="47" fillId="4" borderId="0" xfId="3" applyFont="1" applyFill="1" applyBorder="1" applyAlignment="1" applyProtection="1">
      <alignment horizontal="left"/>
      <protection hidden="1"/>
    </xf>
    <xf numFmtId="0" fontId="46" fillId="4" borderId="0" xfId="3" applyFont="1" applyFill="1" applyBorder="1" applyAlignment="1" applyProtection="1">
      <protection hidden="1"/>
    </xf>
    <xf numFmtId="0" fontId="47" fillId="4" borderId="0" xfId="3" applyFont="1" applyFill="1" applyBorder="1" applyAlignment="1" applyProtection="1">
      <protection hidden="1"/>
    </xf>
    <xf numFmtId="0" fontId="12" fillId="4" borderId="0" xfId="3" applyFont="1" applyFill="1" applyBorder="1" applyAlignment="1" applyProtection="1">
      <protection hidden="1"/>
    </xf>
    <xf numFmtId="0" fontId="15" fillId="4" borderId="0" xfId="0" applyFont="1" applyFill="1" applyBorder="1" applyAlignment="1" applyProtection="1">
      <protection hidden="1"/>
    </xf>
    <xf numFmtId="0" fontId="15" fillId="4" borderId="0" xfId="3" applyFont="1" applyFill="1" applyBorder="1" applyAlignment="1" applyProtection="1">
      <protection hidden="1"/>
    </xf>
    <xf numFmtId="0" fontId="19" fillId="0" borderId="12" xfId="4" applyFont="1" applyBorder="1" applyAlignment="1" applyProtection="1">
      <alignment vertical="top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14" fontId="6" fillId="0" borderId="4" xfId="4" applyNumberFormat="1" applyFont="1" applyBorder="1" applyAlignment="1" applyProtection="1">
      <alignment horizontal="center" wrapText="1"/>
      <protection hidden="1"/>
    </xf>
    <xf numFmtId="175" fontId="6" fillId="0" borderId="5" xfId="4" applyNumberFormat="1" applyFont="1" applyBorder="1" applyAlignment="1" applyProtection="1">
      <alignment horizontal="center" wrapText="1"/>
      <protection hidden="1"/>
    </xf>
    <xf numFmtId="14" fontId="6" fillId="0" borderId="6" xfId="4" applyNumberFormat="1" applyFont="1" applyBorder="1" applyAlignment="1" applyProtection="1">
      <alignment horizontal="center" wrapText="1"/>
      <protection hidden="1"/>
    </xf>
    <xf numFmtId="177" fontId="1" fillId="3" borderId="9" xfId="8" applyNumberFormat="1" applyFill="1" applyBorder="1" applyAlignment="1" applyProtection="1">
      <alignment horizontal="right" indent="1"/>
      <protection hidden="1"/>
    </xf>
    <xf numFmtId="0" fontId="11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3" fillId="0" borderId="0" xfId="0" applyFont="1" applyFill="1" applyBorder="1" applyProtection="1"/>
    <xf numFmtId="0" fontId="13" fillId="0" borderId="0" xfId="0" applyFont="1" applyFill="1" applyProtection="1"/>
    <xf numFmtId="0" fontId="10" fillId="3" borderId="0" xfId="0" applyFont="1" applyFill="1" applyBorder="1" applyAlignment="1" applyProtection="1">
      <protection hidden="1"/>
    </xf>
    <xf numFmtId="0" fontId="49" fillId="0" borderId="0" xfId="3" applyFont="1" applyFill="1" applyBorder="1" applyAlignment="1" applyProtection="1">
      <alignment horizontal="right" vertical="center"/>
      <protection hidden="1"/>
    </xf>
    <xf numFmtId="0" fontId="47" fillId="0" borderId="0" xfId="3" applyFont="1" applyFill="1" applyBorder="1" applyAlignment="1" applyProtection="1">
      <protection hidden="1"/>
    </xf>
    <xf numFmtId="14" fontId="5" fillId="3" borderId="5" xfId="0" applyNumberFormat="1" applyFont="1" applyFill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protection hidden="1"/>
    </xf>
    <xf numFmtId="0" fontId="5" fillId="0" borderId="6" xfId="3" applyFont="1" applyBorder="1" applyAlignment="1" applyProtection="1">
      <protection hidden="1"/>
    </xf>
    <xf numFmtId="0" fontId="5" fillId="6" borderId="0" xfId="3" applyFont="1" applyFill="1" applyBorder="1" applyAlignment="1" applyProtection="1">
      <alignment horizontal="left"/>
      <protection hidden="1"/>
    </xf>
    <xf numFmtId="0" fontId="5" fillId="6" borderId="2" xfId="3" applyFont="1" applyFill="1" applyBorder="1" applyAlignment="1" applyProtection="1">
      <alignment horizontal="left"/>
      <protection hidden="1"/>
    </xf>
    <xf numFmtId="0" fontId="5" fillId="6" borderId="3" xfId="3" applyFont="1" applyFill="1" applyBorder="1" applyProtection="1">
      <protection hidden="1"/>
    </xf>
    <xf numFmtId="0" fontId="5" fillId="6" borderId="4" xfId="3" applyFont="1" applyFill="1" applyBorder="1" applyAlignment="1" applyProtection="1">
      <alignment horizontal="right"/>
      <protection hidden="1"/>
    </xf>
    <xf numFmtId="14" fontId="8" fillId="0" borderId="0" xfId="5" applyNumberFormat="1" applyFont="1" applyBorder="1" applyAlignment="1" applyProtection="1">
      <alignment horizontal="center" vertical="center" wrapText="1"/>
      <protection hidden="1"/>
    </xf>
    <xf numFmtId="0" fontId="5" fillId="0" borderId="0" xfId="3" applyFont="1" applyFill="1" applyBorder="1" applyAlignment="1" applyProtection="1">
      <alignment horizontal="left"/>
      <protection hidden="1"/>
    </xf>
    <xf numFmtId="165" fontId="5" fillId="0" borderId="0" xfId="3" applyNumberFormat="1" applyFont="1" applyFill="1" applyBorder="1" applyAlignment="1" applyProtection="1">
      <protection hidden="1"/>
    </xf>
    <xf numFmtId="165" fontId="6" fillId="0" borderId="0" xfId="3" applyNumberFormat="1" applyFont="1" applyFill="1" applyBorder="1" applyAlignment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4" fillId="0" borderId="0" xfId="0" applyFont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166" fontId="8" fillId="0" borderId="0" xfId="0" applyNumberFormat="1" applyFont="1" applyProtection="1">
      <protection hidden="1"/>
    </xf>
    <xf numFmtId="0" fontId="6" fillId="0" borderId="0" xfId="3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Border="1" applyAlignment="1" applyProtection="1">
      <protection hidden="1"/>
    </xf>
    <xf numFmtId="165" fontId="8" fillId="3" borderId="0" xfId="0" applyNumberFormat="1" applyFont="1" applyFill="1" applyBorder="1" applyAlignment="1" applyProtection="1">
      <protection hidden="1"/>
    </xf>
    <xf numFmtId="14" fontId="8" fillId="3" borderId="0" xfId="0" applyNumberFormat="1" applyFont="1" applyFill="1" applyBorder="1" applyAlignment="1" applyProtection="1">
      <protection hidden="1"/>
    </xf>
    <xf numFmtId="0" fontId="56" fillId="3" borderId="0" xfId="3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 wrapText="1"/>
      <protection hidden="1"/>
    </xf>
    <xf numFmtId="177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Protection="1">
      <protection hidden="1"/>
    </xf>
    <xf numFmtId="180" fontId="6" fillId="0" borderId="7" xfId="4" applyNumberFormat="1" applyFont="1" applyBorder="1" applyAlignment="1" applyProtection="1">
      <alignment horizontal="center" wrapText="1"/>
      <protection hidden="1"/>
    </xf>
    <xf numFmtId="0" fontId="11" fillId="0" borderId="0" xfId="0" applyFont="1" applyFill="1" applyProtection="1"/>
    <xf numFmtId="0" fontId="20" fillId="0" borderId="0" xfId="0" applyFont="1" applyFill="1" applyBorder="1" applyAlignment="1" applyProtection="1">
      <alignment vertical="top" wrapText="1"/>
    </xf>
    <xf numFmtId="14" fontId="56" fillId="7" borderId="8" xfId="3" applyNumberFormat="1" applyFont="1" applyFill="1" applyBorder="1" applyAlignment="1" applyProtection="1">
      <alignment horizontal="center"/>
      <protection hidden="1"/>
    </xf>
    <xf numFmtId="0" fontId="56" fillId="7" borderId="28" xfId="3" applyFont="1" applyFill="1" applyBorder="1" applyAlignment="1" applyProtection="1">
      <alignment horizontal="right" vertical="center"/>
      <protection hidden="1"/>
    </xf>
    <xf numFmtId="0" fontId="30" fillId="7" borderId="29" xfId="3" applyFont="1" applyFill="1" applyBorder="1" applyAlignment="1" applyProtection="1">
      <alignment horizontal="right" vertical="center"/>
      <protection hidden="1"/>
    </xf>
    <xf numFmtId="0" fontId="56" fillId="7" borderId="30" xfId="3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Protection="1">
      <protection hidden="1"/>
    </xf>
    <xf numFmtId="1" fontId="0" fillId="0" borderId="0" xfId="0" applyNumberFormat="1" applyProtection="1">
      <protection hidden="1"/>
    </xf>
    <xf numFmtId="172" fontId="1" fillId="3" borderId="1" xfId="8" applyNumberForma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5" fillId="0" borderId="16" xfId="3" applyFont="1" applyFill="1" applyBorder="1" applyAlignment="1" applyProtection="1">
      <alignment horizontal="right"/>
      <protection hidden="1"/>
    </xf>
    <xf numFmtId="0" fontId="1" fillId="3" borderId="3" xfId="8" applyNumberFormat="1" applyFill="1" applyBorder="1" applyAlignment="1" applyProtection="1">
      <alignment horizontal="center"/>
      <protection hidden="1"/>
    </xf>
    <xf numFmtId="0" fontId="0" fillId="3" borderId="31" xfId="0" applyNumberFormat="1" applyFill="1" applyBorder="1" applyAlignment="1" applyProtection="1">
      <alignment horizontal="center"/>
      <protection hidden="1"/>
    </xf>
    <xf numFmtId="172" fontId="0" fillId="3" borderId="31" xfId="0" applyNumberFormat="1" applyFill="1" applyBorder="1" applyAlignment="1" applyProtection="1">
      <alignment horizontal="center"/>
      <protection hidden="1"/>
    </xf>
    <xf numFmtId="177" fontId="0" fillId="3" borderId="31" xfId="0" applyNumberFormat="1" applyFill="1" applyBorder="1" applyAlignment="1" applyProtection="1">
      <alignment horizontal="right" indent="1"/>
      <protection hidden="1"/>
    </xf>
    <xf numFmtId="0" fontId="1" fillId="3" borderId="32" xfId="8" applyNumberFormat="1" applyFill="1" applyBorder="1" applyAlignment="1" applyProtection="1">
      <alignment horizontal="center"/>
      <protection hidden="1"/>
    </xf>
    <xf numFmtId="0" fontId="1" fillId="3" borderId="19" xfId="8" applyNumberFormat="1" applyFill="1" applyBorder="1" applyAlignment="1" applyProtection="1">
      <alignment horizontal="center"/>
      <protection hidden="1"/>
    </xf>
    <xf numFmtId="172" fontId="1" fillId="3" borderId="3" xfId="8" applyNumberFormat="1" applyFill="1" applyBorder="1" applyAlignment="1" applyProtection="1">
      <alignment horizontal="center"/>
      <protection hidden="1"/>
    </xf>
    <xf numFmtId="177" fontId="1" fillId="3" borderId="3" xfId="8" applyNumberFormat="1" applyFill="1" applyBorder="1" applyAlignment="1" applyProtection="1">
      <alignment horizontal="right" indent="1"/>
      <protection hidden="1"/>
    </xf>
    <xf numFmtId="0" fontId="8" fillId="3" borderId="29" xfId="0" applyFont="1" applyFill="1" applyBorder="1" applyAlignment="1" applyProtection="1">
      <alignment horizontal="right"/>
      <protection hidden="1"/>
    </xf>
    <xf numFmtId="0" fontId="14" fillId="3" borderId="0" xfId="3" applyFont="1" applyFill="1" applyBorder="1" applyProtection="1">
      <protection hidden="1"/>
    </xf>
    <xf numFmtId="0" fontId="5" fillId="3" borderId="0" xfId="3" applyFont="1" applyFill="1" applyBorder="1" applyProtection="1">
      <protection hidden="1"/>
    </xf>
    <xf numFmtId="0" fontId="30" fillId="3" borderId="0" xfId="3" applyFont="1" applyFill="1" applyBorder="1" applyAlignment="1" applyProtection="1">
      <alignment horizontal="right"/>
      <protection hidden="1"/>
    </xf>
    <xf numFmtId="0" fontId="30" fillId="3" borderId="0" xfId="3" applyFont="1" applyFill="1" applyBorder="1" applyAlignment="1" applyProtection="1">
      <alignment horizontal="center"/>
      <protection hidden="1"/>
    </xf>
    <xf numFmtId="0" fontId="38" fillId="3" borderId="0" xfId="0" applyFont="1" applyFill="1" applyProtection="1">
      <protection hidden="1"/>
    </xf>
    <xf numFmtId="0" fontId="30" fillId="0" borderId="0" xfId="3" applyFont="1" applyProtection="1">
      <protection hidden="1"/>
    </xf>
    <xf numFmtId="0" fontId="22" fillId="0" borderId="0" xfId="5" applyBorder="1" applyProtection="1">
      <protection hidden="1"/>
    </xf>
    <xf numFmtId="0" fontId="5" fillId="2" borderId="0" xfId="3" applyFont="1" applyFill="1" applyBorder="1" applyAlignment="1" applyProtection="1">
      <alignment horizontal="right"/>
      <protection hidden="1"/>
    </xf>
    <xf numFmtId="0" fontId="14" fillId="2" borderId="0" xfId="3" applyFont="1" applyFill="1" applyBorder="1" applyProtection="1">
      <protection hidden="1"/>
    </xf>
    <xf numFmtId="178" fontId="6" fillId="0" borderId="4" xfId="4" applyNumberFormat="1" applyFont="1" applyBorder="1" applyAlignment="1" applyProtection="1">
      <alignment horizontal="center" shrinkToFit="1"/>
      <protection hidden="1"/>
    </xf>
    <xf numFmtId="0" fontId="12" fillId="0" borderId="8" xfId="4" applyFont="1" applyBorder="1" applyAlignment="1" applyProtection="1">
      <alignment horizontal="center" wrapText="1"/>
      <protection hidden="1"/>
    </xf>
    <xf numFmtId="14" fontId="12" fillId="0" borderId="8" xfId="4" applyNumberFormat="1" applyFont="1" applyBorder="1" applyAlignment="1" applyProtection="1">
      <alignment horizontal="center" wrapText="1"/>
      <protection hidden="1"/>
    </xf>
    <xf numFmtId="0" fontId="1" fillId="3" borderId="33" xfId="8" applyNumberFormat="1" applyFill="1" applyBorder="1" applyAlignment="1" applyProtection="1">
      <alignment horizontal="center"/>
      <protection hidden="1"/>
    </xf>
    <xf numFmtId="0" fontId="1" fillId="3" borderId="26" xfId="8" applyNumberFormat="1" applyFill="1" applyBorder="1" applyAlignment="1" applyProtection="1">
      <alignment horizontal="center"/>
      <protection hidden="1"/>
    </xf>
    <xf numFmtId="0" fontId="1" fillId="3" borderId="10" xfId="8" applyNumberFormat="1" applyFill="1" applyBorder="1" applyAlignment="1" applyProtection="1">
      <alignment horizontal="center"/>
      <protection hidden="1"/>
    </xf>
    <xf numFmtId="172" fontId="1" fillId="3" borderId="8" xfId="8" applyNumberFormat="1" applyFill="1" applyBorder="1" applyAlignment="1" applyProtection="1">
      <alignment horizontal="center"/>
      <protection hidden="1"/>
    </xf>
    <xf numFmtId="176" fontId="5" fillId="0" borderId="0" xfId="3" applyNumberFormat="1" applyFont="1" applyFill="1" applyBorder="1" applyProtection="1">
      <protection hidden="1"/>
    </xf>
    <xf numFmtId="0" fontId="65" fillId="3" borderId="0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Protection="1"/>
    <xf numFmtId="0" fontId="11" fillId="3" borderId="0" xfId="0" applyFont="1" applyFill="1" applyBorder="1" applyProtection="1"/>
    <xf numFmtId="0" fontId="2" fillId="3" borderId="0" xfId="0" applyFont="1" applyFill="1" applyProtection="1"/>
    <xf numFmtId="0" fontId="13" fillId="3" borderId="0" xfId="0" applyFont="1" applyFill="1" applyProtection="1"/>
    <xf numFmtId="0" fontId="60" fillId="3" borderId="34" xfId="0" applyFont="1" applyFill="1" applyBorder="1" applyAlignment="1" applyProtection="1">
      <alignment horizontal="center" vertical="center"/>
      <protection locked="0"/>
    </xf>
    <xf numFmtId="0" fontId="60" fillId="3" borderId="35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hidden="1"/>
    </xf>
    <xf numFmtId="0" fontId="75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5" fillId="8" borderId="26" xfId="3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5" applyFill="1" applyBorder="1" applyProtection="1">
      <protection hidden="1"/>
    </xf>
    <xf numFmtId="0" fontId="2" fillId="0" borderId="0" xfId="5" applyFont="1" applyBorder="1" applyProtection="1">
      <protection hidden="1"/>
    </xf>
    <xf numFmtId="0" fontId="12" fillId="0" borderId="12" xfId="5" applyFont="1" applyBorder="1" applyAlignment="1" applyProtection="1">
      <alignment vertical="top" wrapText="1"/>
      <protection hidden="1"/>
    </xf>
    <xf numFmtId="0" fontId="15" fillId="0" borderId="9" xfId="5" applyFont="1" applyBorder="1" applyAlignment="1" applyProtection="1">
      <alignment vertical="top" wrapText="1"/>
      <protection hidden="1"/>
    </xf>
    <xf numFmtId="0" fontId="15" fillId="0" borderId="11" xfId="5" applyFont="1" applyBorder="1" applyAlignment="1" applyProtection="1">
      <alignment vertical="top" wrapText="1"/>
      <protection hidden="1"/>
    </xf>
    <xf numFmtId="0" fontId="12" fillId="0" borderId="1" xfId="5" applyFont="1" applyBorder="1" applyAlignment="1" applyProtection="1">
      <alignment horizontal="left" vertical="top" wrapText="1"/>
      <protection hidden="1"/>
    </xf>
    <xf numFmtId="180" fontId="15" fillId="0" borderId="7" xfId="5" applyNumberFormat="1" applyFont="1" applyBorder="1" applyAlignment="1" applyProtection="1">
      <alignment horizontal="center"/>
      <protection hidden="1"/>
    </xf>
    <xf numFmtId="0" fontId="15" fillId="0" borderId="7" xfId="5" applyFont="1" applyBorder="1" applyAlignment="1" applyProtection="1">
      <alignment horizontal="center"/>
      <protection hidden="1"/>
    </xf>
    <xf numFmtId="0" fontId="5" fillId="0" borderId="2" xfId="5" applyFont="1" applyBorder="1" applyAlignment="1" applyProtection="1">
      <alignment horizontal="right" vertical="center" wrapText="1"/>
      <protection hidden="1"/>
    </xf>
    <xf numFmtId="0" fontId="29" fillId="0" borderId="0" xfId="5" applyFont="1" applyBorder="1" applyAlignment="1" applyProtection="1">
      <alignment horizontal="center" vertical="center"/>
      <protection hidden="1"/>
    </xf>
    <xf numFmtId="0" fontId="8" fillId="0" borderId="2" xfId="5" applyFont="1" applyBorder="1" applyAlignment="1" applyProtection="1">
      <alignment horizontal="right" vertical="center"/>
      <protection hidden="1"/>
    </xf>
    <xf numFmtId="0" fontId="25" fillId="0" borderId="20" xfId="5" applyFont="1" applyBorder="1" applyAlignment="1" applyProtection="1">
      <alignment wrapText="1"/>
      <protection hidden="1"/>
    </xf>
    <xf numFmtId="0" fontId="25" fillId="0" borderId="9" xfId="5" applyFont="1" applyBorder="1" applyAlignment="1" applyProtection="1">
      <alignment wrapText="1"/>
      <protection hidden="1"/>
    </xf>
    <xf numFmtId="0" fontId="2" fillId="0" borderId="9" xfId="5" applyFont="1" applyBorder="1" applyProtection="1">
      <protection hidden="1"/>
    </xf>
    <xf numFmtId="0" fontId="2" fillId="0" borderId="10" xfId="5" applyFont="1" applyBorder="1" applyProtection="1">
      <protection hidden="1"/>
    </xf>
    <xf numFmtId="0" fontId="22" fillId="0" borderId="20" xfId="5" applyBorder="1" applyAlignment="1" applyProtection="1">
      <alignment horizontal="center"/>
      <protection hidden="1"/>
    </xf>
    <xf numFmtId="0" fontId="12" fillId="0" borderId="8" xfId="5" applyFont="1" applyBorder="1" applyAlignment="1" applyProtection="1">
      <alignment horizontal="center" vertical="center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12" fillId="0" borderId="2" xfId="5" applyFont="1" applyBorder="1" applyAlignment="1" applyProtection="1">
      <alignment vertical="top" wrapText="1"/>
      <protection hidden="1"/>
    </xf>
    <xf numFmtId="0" fontId="12" fillId="0" borderId="3" xfId="5" applyFont="1" applyBorder="1" applyAlignment="1" applyProtection="1">
      <alignment vertical="top"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2" fillId="0" borderId="2" xfId="5" applyFont="1" applyBorder="1" applyProtection="1">
      <protection hidden="1"/>
    </xf>
    <xf numFmtId="0" fontId="15" fillId="3" borderId="0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protection hidden="1"/>
    </xf>
    <xf numFmtId="0" fontId="12" fillId="3" borderId="3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alignment horizontal="left"/>
      <protection hidden="1"/>
    </xf>
    <xf numFmtId="0" fontId="12" fillId="0" borderId="3" xfId="5" applyFont="1" applyBorder="1" applyAlignment="1" applyProtection="1"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2" fillId="0" borderId="0" xfId="5" applyFont="1" applyBorder="1" applyProtection="1">
      <protection hidden="1"/>
    </xf>
    <xf numFmtId="0" fontId="12" fillId="0" borderId="2" xfId="5" applyFont="1" applyBorder="1" applyAlignment="1" applyProtection="1">
      <alignment horizontal="right"/>
      <protection hidden="1"/>
    </xf>
    <xf numFmtId="0" fontId="2" fillId="0" borderId="4" xfId="5" applyFont="1" applyBorder="1" applyProtection="1">
      <protection hidden="1"/>
    </xf>
    <xf numFmtId="0" fontId="2" fillId="0" borderId="5" xfId="5" applyFont="1" applyBorder="1" applyProtection="1">
      <protection hidden="1"/>
    </xf>
    <xf numFmtId="0" fontId="2" fillId="0" borderId="6" xfId="5" applyFont="1" applyBorder="1" applyProtection="1">
      <protection hidden="1"/>
    </xf>
    <xf numFmtId="0" fontId="12" fillId="0" borderId="1" xfId="5" applyFont="1" applyBorder="1" applyAlignment="1" applyProtection="1">
      <alignment horizontal="left" vertical="top"/>
      <protection hidden="1"/>
    </xf>
    <xf numFmtId="0" fontId="73" fillId="3" borderId="0" xfId="0" applyFont="1" applyFill="1" applyProtection="1">
      <protection hidden="1"/>
    </xf>
    <xf numFmtId="0" fontId="5" fillId="0" borderId="1" xfId="5" applyFont="1" applyBorder="1" applyAlignment="1" applyProtection="1">
      <alignment horizontal="center" vertical="center" wrapText="1"/>
      <protection hidden="1"/>
    </xf>
    <xf numFmtId="172" fontId="12" fillId="5" borderId="1" xfId="5" applyNumberFormat="1" applyFont="1" applyFill="1" applyBorder="1" applyAlignment="1" applyProtection="1">
      <alignment horizontal="center" wrapText="1"/>
      <protection hidden="1"/>
    </xf>
    <xf numFmtId="0" fontId="5" fillId="5" borderId="1" xfId="5" applyFont="1" applyFill="1" applyBorder="1" applyAlignment="1" applyProtection="1">
      <alignment horizontal="center" wrapText="1"/>
      <protection hidden="1"/>
    </xf>
    <xf numFmtId="0" fontId="8" fillId="5" borderId="5" xfId="5" applyFont="1" applyFill="1" applyBorder="1" applyAlignment="1" applyProtection="1">
      <alignment horizontal="right" vertical="top" wrapText="1"/>
      <protection hidden="1"/>
    </xf>
    <xf numFmtId="0" fontId="8" fillId="5" borderId="5" xfId="5" applyFont="1" applyFill="1" applyBorder="1" applyAlignment="1" applyProtection="1">
      <alignment vertical="top" wrapText="1"/>
      <protection hidden="1"/>
    </xf>
    <xf numFmtId="0" fontId="6" fillId="3" borderId="7" xfId="5" applyFont="1" applyFill="1" applyBorder="1" applyAlignment="1" applyProtection="1">
      <alignment vertical="top" wrapText="1"/>
      <protection hidden="1"/>
    </xf>
    <xf numFmtId="0" fontId="0" fillId="9" borderId="0" xfId="0" applyFill="1" applyProtection="1">
      <protection hidden="1"/>
    </xf>
    <xf numFmtId="183" fontId="8" fillId="0" borderId="36" xfId="5" applyNumberFormat="1" applyFont="1" applyBorder="1" applyAlignment="1" applyProtection="1">
      <alignment horizontal="center" vertical="center" wrapText="1"/>
      <protection hidden="1"/>
    </xf>
    <xf numFmtId="0" fontId="1" fillId="3" borderId="37" xfId="8" applyNumberFormat="1" applyFill="1" applyBorder="1" applyAlignment="1" applyProtection="1">
      <alignment horizontal="center"/>
      <protection hidden="1"/>
    </xf>
    <xf numFmtId="0" fontId="5" fillId="0" borderId="8" xfId="5" applyFont="1" applyFill="1" applyBorder="1" applyAlignment="1" applyProtection="1">
      <alignment horizontal="center" vertical="center" wrapText="1"/>
      <protection hidden="1"/>
    </xf>
    <xf numFmtId="166" fontId="15" fillId="5" borderId="10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Alignment="1" applyProtection="1">
      <alignment vertical="top"/>
      <protection hidden="1"/>
    </xf>
    <xf numFmtId="0" fontId="0" fillId="0" borderId="0" xfId="0" applyAlignment="1" applyProtection="1">
      <alignment vertical="center"/>
      <protection hidden="1"/>
    </xf>
    <xf numFmtId="4" fontId="13" fillId="3" borderId="38" xfId="8" applyNumberFormat="1" applyFont="1" applyFill="1" applyBorder="1" applyAlignment="1" applyProtection="1">
      <alignment horizontal="right" indent="1"/>
      <protection hidden="1"/>
    </xf>
    <xf numFmtId="4" fontId="13" fillId="3" borderId="17" xfId="8" applyNumberFormat="1" applyFont="1" applyFill="1" applyBorder="1" applyAlignment="1" applyProtection="1">
      <alignment horizontal="right" indent="1"/>
      <protection hidden="1"/>
    </xf>
    <xf numFmtId="4" fontId="13" fillId="3" borderId="25" xfId="8" applyNumberFormat="1" applyFont="1" applyFill="1" applyBorder="1" applyAlignment="1" applyProtection="1">
      <alignment horizontal="right" indent="1"/>
      <protection hidden="1"/>
    </xf>
    <xf numFmtId="4" fontId="8" fillId="3" borderId="39" xfId="0" applyNumberFormat="1" applyFont="1" applyFill="1" applyBorder="1" applyAlignment="1" applyProtection="1">
      <alignment horizontal="right" indent="1"/>
      <protection hidden="1"/>
    </xf>
    <xf numFmtId="4" fontId="1" fillId="3" borderId="20" xfId="8" applyNumberFormat="1" applyFill="1" applyBorder="1" applyAlignment="1" applyProtection="1">
      <alignment horizontal="right" indent="1"/>
      <protection hidden="1"/>
    </xf>
    <xf numFmtId="4" fontId="8" fillId="3" borderId="21" xfId="8" applyNumberFormat="1" applyFont="1" applyFill="1" applyBorder="1" applyAlignment="1" applyProtection="1">
      <alignment horizontal="right" indent="1"/>
      <protection hidden="1"/>
    </xf>
    <xf numFmtId="4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Fill="1" applyAlignment="1" applyProtection="1">
      <alignment horizontal="center" vertical="top"/>
      <protection hidden="1"/>
    </xf>
    <xf numFmtId="0" fontId="4" fillId="8" borderId="8" xfId="0" applyFont="1" applyFill="1" applyBorder="1" applyAlignment="1" applyProtection="1">
      <alignment horizontal="center" vertical="center"/>
      <protection hidden="1"/>
    </xf>
    <xf numFmtId="0" fontId="1" fillId="3" borderId="19" xfId="8" applyNumberFormat="1" applyFont="1" applyFill="1" applyBorder="1" applyAlignment="1" applyProtection="1">
      <alignment horizontal="center"/>
      <protection hidden="1"/>
    </xf>
    <xf numFmtId="170" fontId="30" fillId="0" borderId="0" xfId="3" applyNumberFormat="1" applyFont="1" applyFill="1" applyBorder="1" applyAlignment="1" applyProtection="1">
      <alignment horizontal="center"/>
      <protection hidden="1"/>
    </xf>
    <xf numFmtId="4" fontId="6" fillId="0" borderId="8" xfId="0" applyNumberFormat="1" applyFont="1" applyBorder="1" applyAlignment="1" applyProtection="1">
      <alignment horizontal="right"/>
      <protection hidden="1"/>
    </xf>
    <xf numFmtId="0" fontId="82" fillId="0" borderId="0" xfId="3" applyFont="1" applyFill="1" applyBorder="1" applyProtection="1">
      <protection hidden="1"/>
    </xf>
    <xf numFmtId="0" fontId="6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Protection="1"/>
    <xf numFmtId="0" fontId="0" fillId="3" borderId="0" xfId="0" applyFill="1" applyProtection="1"/>
    <xf numFmtId="0" fontId="0" fillId="0" borderId="0" xfId="0" applyFill="1" applyProtection="1"/>
    <xf numFmtId="0" fontId="0" fillId="0" borderId="0" xfId="0" applyAlignment="1" applyProtection="1">
      <alignment horizontal="left"/>
    </xf>
    <xf numFmtId="0" fontId="54" fillId="0" borderId="0" xfId="0" applyFont="1" applyAlignment="1" applyProtection="1"/>
    <xf numFmtId="0" fontId="83" fillId="3" borderId="0" xfId="0" applyFont="1" applyFill="1" applyProtection="1">
      <protection hidden="1"/>
    </xf>
    <xf numFmtId="0" fontId="12" fillId="2" borderId="0" xfId="0" applyFont="1" applyFill="1" applyBorder="1" applyAlignment="1" applyProtection="1">
      <alignment horizontal="center"/>
    </xf>
    <xf numFmtId="0" fontId="54" fillId="0" borderId="0" xfId="0" applyFont="1" applyProtection="1"/>
    <xf numFmtId="0" fontId="84" fillId="3" borderId="0" xfId="0" applyFont="1" applyFill="1" applyProtection="1">
      <protection hidden="1"/>
    </xf>
    <xf numFmtId="0" fontId="2" fillId="3" borderId="40" xfId="0" applyFont="1" applyFill="1" applyBorder="1" applyProtection="1"/>
    <xf numFmtId="0" fontId="34" fillId="0" borderId="0" xfId="0" applyFont="1" applyProtection="1"/>
    <xf numFmtId="0" fontId="12" fillId="0" borderId="0" xfId="0" applyFont="1" applyFill="1" applyProtection="1"/>
    <xf numFmtId="0" fontId="12" fillId="3" borderId="0" xfId="0" applyFont="1" applyFill="1" applyProtection="1"/>
    <xf numFmtId="0" fontId="2" fillId="3" borderId="0" xfId="0" applyFont="1" applyFill="1" applyAlignment="1" applyProtection="1">
      <alignment horizontal="center"/>
    </xf>
    <xf numFmtId="0" fontId="2" fillId="3" borderId="35" xfId="0" applyFont="1" applyFill="1" applyBorder="1" applyProtection="1"/>
    <xf numFmtId="0" fontId="2" fillId="3" borderId="41" xfId="0" applyFont="1" applyFill="1" applyBorder="1" applyProtection="1"/>
    <xf numFmtId="0" fontId="62" fillId="0" borderId="0" xfId="0" applyFont="1" applyFill="1" applyProtection="1"/>
    <xf numFmtId="0" fontId="63" fillId="3" borderId="0" xfId="0" applyFont="1" applyFill="1" applyBorder="1" applyAlignment="1" applyProtection="1">
      <alignment horizontal="center"/>
    </xf>
    <xf numFmtId="0" fontId="12" fillId="0" borderId="0" xfId="0" applyFont="1" applyFill="1" applyBorder="1" applyProtection="1"/>
    <xf numFmtId="0" fontId="12" fillId="3" borderId="0" xfId="0" applyFont="1" applyFill="1" applyBorder="1" applyProtection="1"/>
    <xf numFmtId="0" fontId="63" fillId="0" borderId="0" xfId="0" applyFont="1" applyFill="1" applyBorder="1" applyProtection="1"/>
    <xf numFmtId="0" fontId="74" fillId="0" borderId="0" xfId="0" applyFont="1" applyFill="1" applyBorder="1" applyAlignment="1" applyProtection="1">
      <alignment vertical="top" wrapText="1"/>
    </xf>
    <xf numFmtId="0" fontId="5" fillId="3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Protection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1" fillId="0" borderId="0" xfId="0" applyFont="1" applyFill="1" applyBorder="1" applyAlignment="1" applyProtection="1">
      <alignment vertical="top" wrapText="1"/>
    </xf>
    <xf numFmtId="0" fontId="21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Border="1" applyProtection="1"/>
    <xf numFmtId="0" fontId="34" fillId="0" borderId="0" xfId="0" applyFont="1" applyBorder="1" applyProtection="1"/>
    <xf numFmtId="0" fontId="2" fillId="0" borderId="0" xfId="0" applyFont="1" applyProtection="1"/>
    <xf numFmtId="0" fontId="22" fillId="0" borderId="0" xfId="4" applyProtection="1"/>
    <xf numFmtId="0" fontId="34" fillId="0" borderId="0" xfId="4" applyFont="1" applyAlignment="1" applyProtection="1">
      <alignment horizontal="center"/>
    </xf>
    <xf numFmtId="0" fontId="2" fillId="0" borderId="0" xfId="4" applyFont="1" applyProtection="1"/>
    <xf numFmtId="0" fontId="4" fillId="0" borderId="0" xfId="4" applyFont="1" applyAlignment="1" applyProtection="1">
      <alignment horizontal="right"/>
    </xf>
    <xf numFmtId="0" fontId="34" fillId="0" borderId="0" xfId="4" applyFont="1" applyProtection="1"/>
    <xf numFmtId="0" fontId="3" fillId="0" borderId="0" xfId="4" applyFont="1" applyAlignment="1" applyProtection="1">
      <alignment horizontal="right"/>
    </xf>
    <xf numFmtId="0" fontId="6" fillId="0" borderId="0" xfId="4" applyFont="1" applyAlignment="1" applyProtection="1">
      <alignment horizontal="right"/>
    </xf>
    <xf numFmtId="0" fontId="36" fillId="0" borderId="0" xfId="4" applyFont="1" applyAlignment="1" applyProtection="1">
      <alignment horizontal="center"/>
    </xf>
    <xf numFmtId="0" fontId="22" fillId="0" borderId="0" xfId="4" applyFont="1" applyProtection="1"/>
    <xf numFmtId="0" fontId="37" fillId="0" borderId="0" xfId="4" applyFont="1" applyProtection="1"/>
    <xf numFmtId="0" fontId="30" fillId="0" borderId="0" xfId="4" applyFont="1" applyProtection="1"/>
    <xf numFmtId="0" fontId="5" fillId="0" borderId="0" xfId="4" applyFont="1" applyProtection="1"/>
    <xf numFmtId="0" fontId="36" fillId="0" borderId="0" xfId="4" applyFont="1" applyProtection="1"/>
    <xf numFmtId="0" fontId="36" fillId="3" borderId="0" xfId="0" applyFont="1" applyFill="1" applyBorder="1" applyAlignment="1" applyProtection="1">
      <alignment horizontal="center"/>
    </xf>
    <xf numFmtId="0" fontId="12" fillId="0" borderId="0" xfId="4" applyFont="1" applyProtection="1"/>
    <xf numFmtId="0" fontId="22" fillId="0" borderId="0" xfId="4" applyFill="1" applyProtection="1"/>
    <xf numFmtId="0" fontId="37" fillId="0" borderId="0" xfId="4" applyFont="1" applyFill="1" applyProtection="1"/>
    <xf numFmtId="0" fontId="84" fillId="0" borderId="0" xfId="4" applyFont="1" applyProtection="1">
      <protection hidden="1"/>
    </xf>
    <xf numFmtId="0" fontId="22" fillId="0" borderId="0" xfId="5" applyBorder="1" applyProtection="1"/>
    <xf numFmtId="0" fontId="22" fillId="0" borderId="0" xfId="5" applyFill="1" applyBorder="1" applyProtection="1"/>
    <xf numFmtId="0" fontId="2" fillId="0" borderId="0" xfId="5" applyFont="1" applyBorder="1" applyProtection="1"/>
    <xf numFmtId="0" fontId="2" fillId="0" borderId="0" xfId="5" applyFont="1" applyFill="1" applyBorder="1" applyProtection="1"/>
    <xf numFmtId="0" fontId="2" fillId="0" borderId="2" xfId="5" applyFont="1" applyBorder="1" applyProtection="1"/>
    <xf numFmtId="0" fontId="12" fillId="0" borderId="2" xfId="5" applyFont="1" applyBorder="1" applyProtection="1"/>
    <xf numFmtId="0" fontId="12" fillId="0" borderId="0" xfId="5" applyFont="1" applyFill="1" applyBorder="1" applyProtection="1"/>
    <xf numFmtId="0" fontId="12" fillId="0" borderId="2" xfId="5" applyFont="1" applyBorder="1" applyAlignment="1" applyProtection="1">
      <alignment vertical="top" wrapText="1"/>
    </xf>
    <xf numFmtId="0" fontId="12" fillId="0" borderId="0" xfId="5" applyFont="1" applyFill="1" applyBorder="1" applyAlignment="1" applyProtection="1">
      <alignment vertical="top" wrapText="1"/>
    </xf>
    <xf numFmtId="0" fontId="2" fillId="0" borderId="2" xfId="5" applyFont="1" applyBorder="1" applyAlignment="1" applyProtection="1"/>
    <xf numFmtId="0" fontId="2" fillId="0" borderId="0" xfId="5" applyFont="1" applyFill="1" applyBorder="1" applyAlignment="1" applyProtection="1"/>
    <xf numFmtId="0" fontId="34" fillId="0" borderId="0" xfId="5" applyFont="1" applyBorder="1" applyAlignment="1" applyProtection="1">
      <alignment horizontal="center"/>
    </xf>
    <xf numFmtId="0" fontId="2" fillId="0" borderId="0" xfId="5" applyFont="1" applyFill="1" applyBorder="1" applyAlignment="1" applyProtection="1">
      <alignment horizontal="center"/>
    </xf>
    <xf numFmtId="0" fontId="34" fillId="0" borderId="2" xfId="5" applyFont="1" applyBorder="1" applyAlignment="1" applyProtection="1">
      <alignment vertical="center"/>
    </xf>
    <xf numFmtId="4" fontId="2" fillId="0" borderId="0" xfId="5" applyNumberFormat="1" applyFont="1" applyFill="1" applyBorder="1" applyAlignment="1" applyProtection="1"/>
    <xf numFmtId="4" fontId="2" fillId="0" borderId="0" xfId="5" applyNumberFormat="1" applyFont="1" applyFill="1" applyBorder="1" applyProtection="1"/>
    <xf numFmtId="4" fontId="35" fillId="3" borderId="0" xfId="0" applyNumberFormat="1" applyFont="1" applyFill="1" applyBorder="1" applyProtection="1">
      <protection locked="0"/>
    </xf>
    <xf numFmtId="0" fontId="12" fillId="0" borderId="36" xfId="4" applyFont="1" applyBorder="1" applyAlignment="1" applyProtection="1">
      <alignment horizontal="center" wrapText="1"/>
      <protection locked="0"/>
    </xf>
    <xf numFmtId="14" fontId="12" fillId="0" borderId="36" xfId="4" applyNumberFormat="1" applyFont="1" applyBorder="1" applyAlignment="1" applyProtection="1">
      <alignment horizontal="center" wrapText="1"/>
      <protection locked="0"/>
    </xf>
    <xf numFmtId="0" fontId="12" fillId="0" borderId="7" xfId="4" applyFont="1" applyBorder="1" applyAlignment="1" applyProtection="1">
      <alignment horizontal="center" wrapText="1"/>
      <protection locked="0"/>
    </xf>
    <xf numFmtId="14" fontId="12" fillId="0" borderId="7" xfId="4" applyNumberFormat="1" applyFont="1" applyBorder="1" applyAlignment="1" applyProtection="1">
      <alignment horizontal="center" wrapText="1"/>
      <protection locked="0"/>
    </xf>
    <xf numFmtId="14" fontId="12" fillId="0" borderId="8" xfId="5" applyNumberFormat="1" applyFont="1" applyBorder="1" applyAlignment="1" applyProtection="1">
      <alignment horizontal="center" vertical="center" wrapText="1"/>
      <protection locked="0"/>
    </xf>
    <xf numFmtId="0" fontId="5" fillId="3" borderId="8" xfId="5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0" fillId="11" borderId="0" xfId="0" applyFill="1" applyProtection="1">
      <protection hidden="1"/>
    </xf>
    <xf numFmtId="0" fontId="0" fillId="11" borderId="0" xfId="0" applyFill="1" applyBorder="1" applyAlignment="1" applyProtection="1">
      <protection hidden="1"/>
    </xf>
    <xf numFmtId="1" fontId="0" fillId="0" borderId="0" xfId="0" applyNumberFormat="1" applyProtection="1"/>
    <xf numFmtId="14" fontId="0" fillId="0" borderId="0" xfId="0" applyNumberFormat="1"/>
    <xf numFmtId="0" fontId="1" fillId="0" borderId="0" xfId="0" applyFont="1" applyProtection="1"/>
    <xf numFmtId="0" fontId="0" fillId="0" borderId="0" xfId="0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178" fontId="1" fillId="0" borderId="0" xfId="0" applyNumberFormat="1" applyFont="1"/>
    <xf numFmtId="0" fontId="8" fillId="3" borderId="0" xfId="0" applyFont="1" applyFill="1" applyAlignment="1" applyProtection="1">
      <protection hidden="1"/>
    </xf>
    <xf numFmtId="0" fontId="52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" fillId="3" borderId="0" xfId="0" applyFont="1" applyFill="1" applyAlignment="1" applyProtection="1">
      <alignment wrapText="1"/>
      <protection hidden="1"/>
    </xf>
    <xf numFmtId="0" fontId="1" fillId="3" borderId="0" xfId="0" applyFont="1" applyFill="1" applyProtection="1">
      <protection hidden="1"/>
    </xf>
    <xf numFmtId="0" fontId="1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Border="1" applyProtection="1">
      <protection hidden="1"/>
    </xf>
    <xf numFmtId="0" fontId="53" fillId="3" borderId="0" xfId="0" applyFont="1" applyFill="1" applyProtection="1"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0" fontId="5" fillId="0" borderId="8" xfId="3" applyFont="1" applyFill="1" applyBorder="1" applyAlignment="1" applyProtection="1">
      <alignment horizontal="center" vertical="center"/>
      <protection locked="0"/>
    </xf>
    <xf numFmtId="14" fontId="5" fillId="0" borderId="8" xfId="3" applyNumberFormat="1" applyFont="1" applyFill="1" applyBorder="1" applyAlignment="1" applyProtection="1">
      <alignment horizontal="center" vertical="center"/>
      <protection locked="0"/>
    </xf>
    <xf numFmtId="4" fontId="5" fillId="0" borderId="8" xfId="3" applyNumberFormat="1" applyFont="1" applyFill="1" applyBorder="1" applyAlignment="1" applyProtection="1">
      <alignment horizontal="right" vertical="center"/>
      <protection locked="0"/>
    </xf>
    <xf numFmtId="14" fontId="5" fillId="0" borderId="0" xfId="3" applyNumberFormat="1" applyFont="1" applyFill="1" applyBorder="1" applyProtection="1">
      <protection hidden="1"/>
    </xf>
    <xf numFmtId="14" fontId="82" fillId="0" borderId="0" xfId="3" applyNumberFormat="1" applyFont="1" applyFill="1" applyBorder="1" applyProtection="1">
      <protection hidden="1"/>
    </xf>
    <xf numFmtId="0" fontId="1" fillId="11" borderId="0" xfId="0" applyFont="1" applyFill="1" applyProtection="1"/>
    <xf numFmtId="0" fontId="1" fillId="11" borderId="0" xfId="0" applyFont="1" applyFill="1" applyAlignment="1" applyProtection="1">
      <alignment horizontal="left"/>
    </xf>
    <xf numFmtId="0" fontId="0" fillId="0" borderId="0" xfId="0" applyNumberFormat="1"/>
    <xf numFmtId="0" fontId="15" fillId="2" borderId="8" xfId="3" applyFont="1" applyFill="1" applyBorder="1" applyAlignment="1" applyProtection="1">
      <alignment horizontal="center"/>
      <protection hidden="1"/>
    </xf>
    <xf numFmtId="0" fontId="15" fillId="2" borderId="8" xfId="3" applyFont="1" applyFill="1" applyBorder="1" applyAlignment="1" applyProtection="1">
      <alignment horizontal="center" vertical="center"/>
      <protection hidden="1"/>
    </xf>
    <xf numFmtId="0" fontId="15" fillId="2" borderId="8" xfId="0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0" borderId="0" xfId="0" quotePrefix="1"/>
    <xf numFmtId="0" fontId="0" fillId="0" borderId="0" xfId="0" quotePrefix="1" applyAlignment="1">
      <alignment horizontal="center"/>
    </xf>
    <xf numFmtId="178" fontId="0" fillId="0" borderId="0" xfId="0" applyNumberFormat="1"/>
    <xf numFmtId="0" fontId="64" fillId="3" borderId="0" xfId="0" applyFont="1" applyFill="1" applyBorder="1" applyAlignment="1" applyProtection="1">
      <alignment horizontal="center" vertical="center"/>
      <protection hidden="1"/>
    </xf>
    <xf numFmtId="49" fontId="6" fillId="3" borderId="12" xfId="0" applyNumberFormat="1" applyFont="1" applyFill="1" applyBorder="1" applyAlignment="1" applyProtection="1">
      <alignment vertical="center" wrapText="1"/>
      <protection hidden="1"/>
    </xf>
    <xf numFmtId="49" fontId="6" fillId="3" borderId="9" xfId="0" applyNumberFormat="1" applyFont="1" applyFill="1" applyBorder="1" applyAlignment="1" applyProtection="1">
      <alignment vertical="top" wrapText="1"/>
      <protection hidden="1"/>
    </xf>
    <xf numFmtId="49" fontId="6" fillId="3" borderId="4" xfId="0" applyNumberFormat="1" applyFont="1" applyFill="1" applyBorder="1" applyAlignment="1" applyProtection="1">
      <alignment vertical="center" wrapText="1"/>
      <protection hidden="1"/>
    </xf>
    <xf numFmtId="49" fontId="6" fillId="3" borderId="5" xfId="0" applyNumberFormat="1" applyFont="1" applyFill="1" applyBorder="1" applyAlignment="1" applyProtection="1">
      <alignment vertical="top" wrapText="1"/>
      <protection hidden="1"/>
    </xf>
    <xf numFmtId="4" fontId="6" fillId="3" borderId="5" xfId="0" applyNumberFormat="1" applyFont="1" applyFill="1" applyBorder="1" applyAlignment="1" applyProtection="1">
      <alignment horizontal="center" vertical="center" wrapText="1"/>
      <protection hidden="1"/>
    </xf>
    <xf numFmtId="4" fontId="6" fillId="3" borderId="6" xfId="0" applyNumberFormat="1" applyFont="1" applyFill="1" applyBorder="1" applyAlignment="1" applyProtection="1">
      <alignment horizontal="center" vertical="center" wrapText="1"/>
      <protection hidden="1"/>
    </xf>
    <xf numFmtId="49" fontId="6" fillId="3" borderId="2" xfId="0" applyNumberFormat="1" applyFont="1" applyFill="1" applyBorder="1" applyAlignment="1" applyProtection="1">
      <alignment vertical="center" wrapText="1"/>
      <protection hidden="1"/>
    </xf>
    <xf numFmtId="49" fontId="6" fillId="3" borderId="0" xfId="0" applyNumberFormat="1" applyFont="1" applyFill="1" applyBorder="1" applyAlignment="1" applyProtection="1">
      <alignment vertical="top" wrapText="1"/>
      <protection hidden="1"/>
    </xf>
    <xf numFmtId="0" fontId="6" fillId="3" borderId="0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3" xfId="0" applyNumberFormat="1" applyFont="1" applyFill="1" applyBorder="1" applyAlignment="1" applyProtection="1">
      <alignment horizontal="center" vertical="center" wrapText="1"/>
      <protection hidden="1"/>
    </xf>
    <xf numFmtId="4" fontId="35" fillId="3" borderId="0" xfId="0" applyNumberFormat="1" applyFont="1" applyFill="1" applyBorder="1" applyProtection="1">
      <protection hidden="1"/>
    </xf>
    <xf numFmtId="0" fontId="0" fillId="12" borderId="0" xfId="0" applyFill="1"/>
    <xf numFmtId="0" fontId="1" fillId="0" borderId="0" xfId="0" applyFont="1" applyFill="1" applyAlignment="1" applyProtection="1">
      <alignment horizontal="center"/>
      <protection hidden="1"/>
    </xf>
    <xf numFmtId="0" fontId="5" fillId="0" borderId="20" xfId="0" applyFont="1" applyFill="1" applyBorder="1" applyProtection="1">
      <protection locked="0"/>
    </xf>
    <xf numFmtId="0" fontId="5" fillId="0" borderId="43" xfId="0" applyNumberFormat="1" applyFont="1" applyFill="1" applyBorder="1" applyAlignment="1" applyProtection="1">
      <alignment horizontal="center"/>
      <protection hidden="1"/>
    </xf>
    <xf numFmtId="0" fontId="5" fillId="0" borderId="44" xfId="0" applyNumberFormat="1" applyFont="1" applyFill="1" applyBorder="1" applyAlignment="1" applyProtection="1">
      <alignment horizontal="left"/>
      <protection locked="0"/>
    </xf>
    <xf numFmtId="0" fontId="5" fillId="0" borderId="46" xfId="0" applyNumberFormat="1" applyFont="1" applyFill="1" applyBorder="1" applyAlignment="1" applyProtection="1">
      <alignment horizontal="center"/>
      <protection locked="0"/>
    </xf>
    <xf numFmtId="0" fontId="5" fillId="0" borderId="44" xfId="0" applyNumberFormat="1" applyFont="1" applyFill="1" applyBorder="1" applyAlignment="1" applyProtection="1">
      <alignment horizontal="center"/>
      <protection locked="0"/>
    </xf>
    <xf numFmtId="49" fontId="5" fillId="0" borderId="33" xfId="0" applyNumberFormat="1" applyFont="1" applyFill="1" applyBorder="1" applyAlignment="1" applyProtection="1">
      <alignment horizontal="center"/>
      <protection locked="0"/>
    </xf>
    <xf numFmtId="0" fontId="5" fillId="0" borderId="8" xfId="0" applyNumberFormat="1" applyFont="1" applyFill="1" applyBorder="1" applyAlignment="1" applyProtection="1">
      <alignment horizontal="center"/>
      <protection locked="0"/>
    </xf>
    <xf numFmtId="0" fontId="5" fillId="0" borderId="26" xfId="0" applyNumberFormat="1" applyFont="1" applyFill="1" applyBorder="1" applyAlignment="1" applyProtection="1">
      <alignment horizontal="center"/>
      <protection locked="0"/>
    </xf>
    <xf numFmtId="0" fontId="5" fillId="0" borderId="46" xfId="0" applyFont="1" applyFill="1" applyBorder="1" applyAlignment="1" applyProtection="1">
      <alignment horizontal="center"/>
      <protection locked="0"/>
    </xf>
    <xf numFmtId="0" fontId="5" fillId="0" borderId="46" xfId="0" applyNumberFormat="1" applyFont="1" applyFill="1" applyBorder="1" applyAlignment="1" applyProtection="1">
      <alignment horizontal="center"/>
      <protection hidden="1"/>
    </xf>
    <xf numFmtId="4" fontId="79" fillId="0" borderId="33" xfId="0" applyNumberFormat="1" applyFont="1" applyFill="1" applyBorder="1" applyProtection="1">
      <protection hidden="1"/>
    </xf>
    <xf numFmtId="0" fontId="79" fillId="0" borderId="0" xfId="0" applyFont="1" applyFill="1" applyProtection="1">
      <protection hidden="1"/>
    </xf>
    <xf numFmtId="0" fontId="79" fillId="0" borderId="0" xfId="0" applyFont="1" applyFill="1" applyAlignment="1" applyProtection="1">
      <alignment horizontal="center"/>
      <protection hidden="1"/>
    </xf>
    <xf numFmtId="14" fontId="79" fillId="0" borderId="0" xfId="0" applyNumberFormat="1" applyFont="1" applyFill="1" applyProtection="1">
      <protection hidden="1"/>
    </xf>
    <xf numFmtId="182" fontId="79" fillId="0" borderId="0" xfId="0" applyNumberFormat="1" applyFont="1" applyFill="1" applyProtection="1">
      <protection hidden="1"/>
    </xf>
    <xf numFmtId="0" fontId="79" fillId="0" borderId="0" xfId="0" applyFont="1" applyFill="1" applyBorder="1" applyAlignment="1" applyProtection="1">
      <alignment horizontal="right"/>
      <protection hidden="1"/>
    </xf>
    <xf numFmtId="3" fontId="79" fillId="0" borderId="0" xfId="0" applyNumberFormat="1" applyFont="1" applyFill="1" applyBorder="1" applyAlignment="1" applyProtection="1">
      <alignment horizontal="center"/>
      <protection hidden="1"/>
    </xf>
    <xf numFmtId="182" fontId="79" fillId="0" borderId="0" xfId="0" applyNumberFormat="1" applyFont="1" applyFill="1" applyBorder="1" applyAlignment="1" applyProtection="1">
      <alignment horizontal="right"/>
      <protection hidden="1"/>
    </xf>
    <xf numFmtId="167" fontId="79" fillId="0" borderId="0" xfId="2" applyFont="1" applyFill="1" applyAlignment="1" applyProtection="1">
      <alignment horizontal="center"/>
      <protection hidden="1"/>
    </xf>
    <xf numFmtId="49" fontId="79" fillId="0" borderId="0" xfId="0" applyNumberFormat="1" applyFont="1" applyFill="1" applyProtection="1">
      <protection hidden="1"/>
    </xf>
    <xf numFmtId="0" fontId="1" fillId="0" borderId="0" xfId="0" applyFont="1" applyFill="1" applyProtection="1">
      <protection hidden="1"/>
    </xf>
    <xf numFmtId="49" fontId="5" fillId="0" borderId="20" xfId="0" applyNumberFormat="1" applyFont="1" applyFill="1" applyBorder="1" applyAlignment="1" applyProtection="1">
      <alignment horizontal="left"/>
      <protection locked="0"/>
    </xf>
    <xf numFmtId="3" fontId="5" fillId="0" borderId="46" xfId="0" applyNumberFormat="1" applyFont="1" applyFill="1" applyBorder="1" applyAlignment="1" applyProtection="1">
      <alignment horizontal="center"/>
      <protection locked="0"/>
    </xf>
    <xf numFmtId="3" fontId="5" fillId="0" borderId="44" xfId="0" applyNumberFormat="1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Protection="1">
      <protection locked="0"/>
    </xf>
    <xf numFmtId="0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51" xfId="0" applyNumberFormat="1" applyFont="1" applyFill="1" applyBorder="1" applyAlignment="1" applyProtection="1">
      <alignment horizontal="center"/>
      <protection locked="0"/>
    </xf>
    <xf numFmtId="49" fontId="5" fillId="0" borderId="32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1" xfId="0" applyNumberFormat="1" applyFont="1" applyFill="1" applyBorder="1" applyAlignment="1" applyProtection="1">
      <alignment horizont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 vertical="center"/>
      <protection hidden="1"/>
    </xf>
    <xf numFmtId="0" fontId="0" fillId="2" borderId="0" xfId="0" applyFill="1"/>
    <xf numFmtId="0" fontId="0" fillId="0" borderId="0" xfId="0" applyFill="1"/>
    <xf numFmtId="0" fontId="12" fillId="14" borderId="59" xfId="0" applyFont="1" applyFill="1" applyBorder="1" applyAlignment="1" applyProtection="1">
      <alignment horizontal="center"/>
      <protection hidden="1"/>
    </xf>
    <xf numFmtId="9" fontId="15" fillId="0" borderId="8" xfId="3" applyNumberFormat="1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/>
      <protection hidden="1"/>
    </xf>
    <xf numFmtId="0" fontId="5" fillId="3" borderId="36" xfId="0" applyNumberFormat="1" applyFont="1" applyFill="1" applyBorder="1" applyAlignment="1" applyProtection="1">
      <alignment horizontal="center"/>
      <protection hidden="1"/>
    </xf>
    <xf numFmtId="176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left"/>
      <protection hidden="1"/>
    </xf>
    <xf numFmtId="178" fontId="12" fillId="14" borderId="60" xfId="0" applyNumberFormat="1" applyFont="1" applyFill="1" applyBorder="1" applyAlignment="1" applyProtection="1">
      <alignment horizontal="center"/>
      <protection hidden="1"/>
    </xf>
    <xf numFmtId="14" fontId="12" fillId="14" borderId="60" xfId="0" applyNumberFormat="1" applyFont="1" applyFill="1" applyBorder="1" applyAlignment="1" applyProtection="1">
      <alignment horizontal="center"/>
      <protection hidden="1"/>
    </xf>
    <xf numFmtId="180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center"/>
      <protection hidden="1"/>
    </xf>
    <xf numFmtId="173" fontId="12" fillId="14" borderId="60" xfId="0" applyNumberFormat="1" applyFont="1" applyFill="1" applyBorder="1" applyAlignment="1" applyProtection="1">
      <alignment horizontal="center"/>
      <protection hidden="1"/>
    </xf>
    <xf numFmtId="171" fontId="12" fillId="14" borderId="60" xfId="0" applyNumberFormat="1" applyFont="1" applyFill="1" applyBorder="1" applyAlignment="1" applyProtection="1">
      <alignment horizontal="center"/>
      <protection hidden="1"/>
    </xf>
    <xf numFmtId="184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NumberFormat="1" applyFont="1" applyFill="1" applyBorder="1" applyAlignment="1" applyProtection="1">
      <alignment horizontal="center"/>
      <protection hidden="1"/>
    </xf>
    <xf numFmtId="1" fontId="12" fillId="14" borderId="60" xfId="0" applyNumberFormat="1" applyFont="1" applyFill="1" applyBorder="1" applyAlignment="1" applyProtection="1">
      <alignment horizontal="center"/>
      <protection hidden="1"/>
    </xf>
    <xf numFmtId="2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 vertical="center"/>
      <protection hidden="1"/>
    </xf>
    <xf numFmtId="9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78" fillId="14" borderId="60" xfId="0" applyNumberFormat="1" applyFont="1" applyFill="1" applyBorder="1" applyAlignment="1" applyProtection="1">
      <alignment horizontal="center" vertical="center"/>
      <protection hidden="1"/>
    </xf>
    <xf numFmtId="181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12" fillId="14" borderId="60" xfId="0" applyNumberFormat="1" applyFont="1" applyFill="1" applyBorder="1" applyAlignment="1" applyProtection="1">
      <alignment horizontal="left" vertical="center"/>
      <protection hidden="1"/>
    </xf>
    <xf numFmtId="0" fontId="12" fillId="14" borderId="60" xfId="0" applyNumberFormat="1" applyFont="1" applyFill="1" applyBorder="1" applyAlignment="1" applyProtection="1">
      <alignment horizontal="right" vertical="center"/>
      <protection hidden="1"/>
    </xf>
    <xf numFmtId="0" fontId="12" fillId="14" borderId="60" xfId="3" applyFont="1" applyFill="1" applyBorder="1" applyAlignment="1" applyProtection="1">
      <alignment horizontal="center"/>
      <protection hidden="1"/>
    </xf>
    <xf numFmtId="4" fontId="12" fillId="14" borderId="60" xfId="0" applyNumberFormat="1" applyFont="1" applyFill="1" applyBorder="1" applyAlignment="1" applyProtection="1">
      <alignment horizontal="center" vertical="center"/>
      <protection hidden="1"/>
    </xf>
    <xf numFmtId="14" fontId="12" fillId="14" borderId="60" xfId="3" applyNumberFormat="1" applyFont="1" applyFill="1" applyBorder="1" applyAlignment="1" applyProtection="1">
      <alignment horizontal="center"/>
      <protection hidden="1"/>
    </xf>
    <xf numFmtId="14" fontId="12" fillId="14" borderId="60" xfId="3" applyNumberFormat="1" applyFont="1" applyFill="1" applyBorder="1" applyProtection="1">
      <protection hidden="1"/>
    </xf>
    <xf numFmtId="4" fontId="5" fillId="3" borderId="3" xfId="0" applyNumberFormat="1" applyFont="1" applyFill="1" applyBorder="1" applyAlignment="1" applyProtection="1">
      <alignment horizontal="right"/>
      <protection hidden="1"/>
    </xf>
    <xf numFmtId="0" fontId="1" fillId="14" borderId="0" xfId="0" applyFont="1" applyFill="1" applyBorder="1" applyProtection="1">
      <protection hidden="1"/>
    </xf>
    <xf numFmtId="0" fontId="1" fillId="14" borderId="0" xfId="0" applyFont="1" applyFill="1" applyProtection="1"/>
    <xf numFmtId="0" fontId="44" fillId="0" borderId="0" xfId="0" applyFont="1" applyFill="1" applyProtection="1"/>
    <xf numFmtId="3" fontId="5" fillId="0" borderId="20" xfId="0" applyNumberFormat="1" applyFont="1" applyFill="1" applyBorder="1" applyAlignment="1" applyProtection="1">
      <alignment horizontal="center"/>
      <protection locked="0"/>
    </xf>
    <xf numFmtId="4" fontId="54" fillId="12" borderId="0" xfId="0" applyNumberFormat="1" applyFont="1" applyFill="1" applyProtection="1">
      <protection hidden="1"/>
    </xf>
    <xf numFmtId="4" fontId="0" fillId="12" borderId="0" xfId="0" applyNumberFormat="1" applyFill="1" applyProtection="1">
      <protection hidden="1"/>
    </xf>
    <xf numFmtId="4" fontId="54" fillId="0" borderId="0" xfId="0" applyNumberFormat="1" applyFont="1" applyProtection="1">
      <protection hidden="1"/>
    </xf>
    <xf numFmtId="4" fontId="0" fillId="0" borderId="0" xfId="0" applyNumberFormat="1" applyProtection="1">
      <protection hidden="1"/>
    </xf>
    <xf numFmtId="0" fontId="1" fillId="14" borderId="0" xfId="0" applyFont="1" applyFill="1" applyProtection="1">
      <protection hidden="1"/>
    </xf>
    <xf numFmtId="14" fontId="1" fillId="0" borderId="0" xfId="0" applyNumberFormat="1" applyFont="1" applyFill="1" applyProtection="1">
      <protection hidden="1"/>
    </xf>
    <xf numFmtId="182" fontId="1" fillId="0" borderId="0" xfId="0" applyNumberFormat="1" applyFont="1" applyFill="1" applyProtection="1">
      <protection hidden="1"/>
    </xf>
    <xf numFmtId="0" fontId="1" fillId="0" borderId="0" xfId="0" applyFont="1" applyFill="1" applyBorder="1" applyAlignment="1" applyProtection="1">
      <alignment horizontal="right"/>
      <protection hidden="1"/>
    </xf>
    <xf numFmtId="3" fontId="1" fillId="0" borderId="0" xfId="0" applyNumberFormat="1" applyFont="1" applyFill="1" applyBorder="1" applyAlignment="1" applyProtection="1">
      <alignment horizontal="center"/>
      <protection hidden="1"/>
    </xf>
    <xf numFmtId="182" fontId="1" fillId="0" borderId="0" xfId="0" applyNumberFormat="1" applyFont="1" applyFill="1" applyBorder="1" applyAlignment="1" applyProtection="1">
      <alignment horizontal="right"/>
      <protection hidden="1"/>
    </xf>
    <xf numFmtId="167" fontId="1" fillId="0" borderId="0" xfId="2" applyFont="1" applyFill="1" applyAlignment="1" applyProtection="1">
      <alignment horizontal="center"/>
      <protection hidden="1"/>
    </xf>
    <xf numFmtId="49" fontId="1" fillId="0" borderId="0" xfId="0" applyNumberFormat="1" applyFont="1" applyFill="1" applyProtection="1">
      <protection hidden="1"/>
    </xf>
    <xf numFmtId="0" fontId="79" fillId="0" borderId="0" xfId="0" applyFont="1" applyFill="1" applyProtection="1"/>
    <xf numFmtId="0" fontId="5" fillId="2" borderId="0" xfId="0" applyFont="1" applyFill="1" applyProtection="1"/>
    <xf numFmtId="0" fontId="1" fillId="2" borderId="0" xfId="0" applyFont="1" applyFill="1" applyProtection="1">
      <protection hidden="1"/>
    </xf>
    <xf numFmtId="1" fontId="6" fillId="3" borderId="0" xfId="0" applyNumberFormat="1" applyFont="1" applyFill="1" applyAlignment="1" applyProtection="1">
      <protection hidden="1"/>
    </xf>
    <xf numFmtId="1" fontId="40" fillId="0" borderId="0" xfId="0" applyNumberFormat="1" applyFont="1" applyProtection="1">
      <protection hidden="1"/>
    </xf>
    <xf numFmtId="1" fontId="0" fillId="0" borderId="0" xfId="0" applyNumberFormat="1" applyAlignment="1" applyProtection="1">
      <alignment horizontal="left"/>
    </xf>
    <xf numFmtId="165" fontId="6" fillId="15" borderId="0" xfId="3" applyNumberFormat="1" applyFont="1" applyFill="1" applyBorder="1" applyAlignment="1" applyProtection="1">
      <protection hidden="1"/>
    </xf>
    <xf numFmtId="0" fontId="91" fillId="16" borderId="29" xfId="7" applyFont="1" applyFill="1" applyBorder="1" applyAlignment="1" applyProtection="1">
      <alignment horizontal="center" vertical="center"/>
      <protection hidden="1"/>
    </xf>
    <xf numFmtId="4" fontId="79" fillId="0" borderId="0" xfId="0" applyNumberFormat="1" applyFont="1" applyFill="1" applyBorder="1" applyAlignment="1" applyProtection="1">
      <alignment horizontal="right"/>
      <protection hidden="1"/>
    </xf>
    <xf numFmtId="14" fontId="1" fillId="0" borderId="0" xfId="0" quotePrefix="1" applyNumberFormat="1" applyFont="1" applyFill="1" applyProtection="1">
      <protection hidden="1"/>
    </xf>
    <xf numFmtId="4" fontId="0" fillId="0" borderId="0" xfId="0" applyNumberFormat="1" applyFill="1" applyAlignment="1" applyProtection="1">
      <alignment horizontal="center"/>
      <protection hidden="1"/>
    </xf>
    <xf numFmtId="0" fontId="60" fillId="0" borderId="35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58" xfId="0" applyFill="1" applyBorder="1" applyAlignment="1" applyProtection="1">
      <alignment horizontal="center"/>
      <protection hidden="1"/>
    </xf>
    <xf numFmtId="0" fontId="15" fillId="2" borderId="36" xfId="3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right"/>
      <protection hidden="1"/>
    </xf>
    <xf numFmtId="0" fontId="0" fillId="3" borderId="0" xfId="0" applyFill="1" applyAlignment="1" applyProtection="1">
      <protection hidden="1"/>
    </xf>
    <xf numFmtId="0" fontId="1" fillId="11" borderId="0" xfId="0" applyFont="1" applyFill="1" applyProtection="1">
      <protection hidden="1"/>
    </xf>
    <xf numFmtId="0" fontId="9" fillId="0" borderId="14" xfId="0" applyFont="1" applyFill="1" applyBorder="1" applyAlignment="1" applyProtection="1">
      <alignment horizontal="center" vertical="center"/>
      <protection hidden="1"/>
    </xf>
    <xf numFmtId="0" fontId="96" fillId="13" borderId="28" xfId="0" applyFont="1" applyFill="1" applyBorder="1" applyAlignment="1" applyProtection="1">
      <alignment horizontal="centerContinuous" vertical="center"/>
      <protection hidden="1"/>
    </xf>
    <xf numFmtId="0" fontId="12" fillId="14" borderId="60" xfId="3" applyNumberFormat="1" applyFont="1" applyFill="1" applyBorder="1" applyAlignment="1" applyProtection="1">
      <alignment horizontal="center"/>
      <protection hidden="1"/>
    </xf>
    <xf numFmtId="0" fontId="61" fillId="14" borderId="29" xfId="0" applyFont="1" applyFill="1" applyBorder="1" applyAlignment="1" applyProtection="1">
      <alignment vertical="center"/>
      <protection hidden="1"/>
    </xf>
    <xf numFmtId="0" fontId="96" fillId="14" borderId="29" xfId="0" applyFont="1" applyFill="1" applyBorder="1" applyAlignment="1" applyProtection="1">
      <alignment horizontal="centerContinuous"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top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9" fillId="0" borderId="54" xfId="0" applyFont="1" applyFill="1" applyBorder="1" applyAlignment="1" applyProtection="1">
      <alignment horizontal="center" vertical="center" shrinkToFit="1"/>
      <protection hidden="1"/>
    </xf>
    <xf numFmtId="178" fontId="0" fillId="17" borderId="0" xfId="0" applyNumberFormat="1" applyFill="1"/>
    <xf numFmtId="0" fontId="5" fillId="0" borderId="20" xfId="0" applyFont="1" applyFill="1" applyBorder="1" applyAlignment="1" applyProtection="1">
      <alignment wrapText="1"/>
      <protection locked="0"/>
    </xf>
    <xf numFmtId="0" fontId="1" fillId="0" borderId="46" xfId="0" applyNumberFormat="1" applyFont="1" applyFill="1" applyBorder="1" applyAlignment="1" applyProtection="1">
      <alignment horizontal="left"/>
      <protection hidden="1"/>
    </xf>
    <xf numFmtId="49" fontId="5" fillId="0" borderId="46" xfId="0" applyNumberFormat="1" applyFont="1" applyFill="1" applyBorder="1" applyAlignment="1" applyProtection="1">
      <alignment horizontal="center"/>
      <protection locked="0"/>
    </xf>
    <xf numFmtId="49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20" xfId="0" applyNumberFormat="1" applyFont="1" applyFill="1" applyBorder="1" applyAlignment="1" applyProtection="1">
      <alignment horizontal="left"/>
      <protection hidden="1"/>
    </xf>
    <xf numFmtId="0" fontId="79" fillId="2" borderId="0" xfId="0" applyFont="1" applyFill="1" applyProtection="1">
      <protection hidden="1"/>
    </xf>
    <xf numFmtId="0" fontId="1" fillId="12" borderId="8" xfId="0" applyFont="1" applyFill="1" applyBorder="1" applyAlignment="1" applyProtection="1">
      <alignment horizontal="left"/>
    </xf>
    <xf numFmtId="0" fontId="0" fillId="12" borderId="8" xfId="0" applyFill="1" applyBorder="1"/>
    <xf numFmtId="0" fontId="0" fillId="3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0" fillId="3" borderId="84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right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4" fillId="14" borderId="42" xfId="0" applyFont="1" applyFill="1" applyBorder="1" applyAlignment="1" applyProtection="1">
      <alignment horizontal="center" vertical="center"/>
      <protection hidden="1"/>
    </xf>
    <xf numFmtId="3" fontId="79" fillId="2" borderId="0" xfId="0" applyNumberFormat="1" applyFont="1" applyFill="1" applyBorder="1" applyAlignment="1" applyProtection="1">
      <alignment horizontal="center"/>
      <protection hidden="1"/>
    </xf>
    <xf numFmtId="182" fontId="79" fillId="2" borderId="0" xfId="0" applyNumberFormat="1" applyFont="1" applyFill="1" applyBorder="1" applyAlignment="1" applyProtection="1">
      <alignment horizontal="right"/>
      <protection hidden="1"/>
    </xf>
    <xf numFmtId="0" fontId="12" fillId="0" borderId="1" xfId="4" applyFont="1" applyBorder="1" applyAlignment="1" applyProtection="1">
      <alignment horizontal="center" wrapText="1"/>
      <protection hidden="1"/>
    </xf>
    <xf numFmtId="14" fontId="12" fillId="0" borderId="1" xfId="4" applyNumberFormat="1" applyFont="1" applyBorder="1" applyAlignment="1" applyProtection="1">
      <alignment horizontal="center" wrapText="1"/>
      <protection hidden="1"/>
    </xf>
    <xf numFmtId="0" fontId="12" fillId="0" borderId="36" xfId="4" applyFont="1" applyBorder="1" applyAlignment="1" applyProtection="1">
      <alignment horizontal="center" wrapText="1"/>
      <protection hidden="1"/>
    </xf>
    <xf numFmtId="14" fontId="12" fillId="0" borderId="36" xfId="4" applyNumberFormat="1" applyFont="1" applyBorder="1" applyAlignment="1" applyProtection="1">
      <alignment horizontal="center" wrapText="1"/>
      <protection hidden="1"/>
    </xf>
    <xf numFmtId="14" fontId="12" fillId="0" borderId="7" xfId="4" applyNumberFormat="1" applyFont="1" applyBorder="1" applyAlignment="1" applyProtection="1">
      <alignment horizontal="center" wrapText="1"/>
      <protection hidden="1"/>
    </xf>
    <xf numFmtId="0" fontId="5" fillId="0" borderId="49" xfId="0" applyFont="1" applyFill="1" applyBorder="1" applyAlignment="1" applyProtection="1">
      <alignment horizontal="center"/>
      <protection locked="0"/>
    </xf>
    <xf numFmtId="3" fontId="5" fillId="0" borderId="49" xfId="0" applyNumberFormat="1" applyFont="1" applyFill="1" applyBorder="1" applyAlignment="1" applyProtection="1">
      <alignment horizontal="center"/>
      <protection locked="0"/>
    </xf>
    <xf numFmtId="0" fontId="0" fillId="14" borderId="0" xfId="0" applyFill="1"/>
    <xf numFmtId="0" fontId="44" fillId="2" borderId="0" xfId="0" applyFont="1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4" fontId="79" fillId="0" borderId="0" xfId="0" applyNumberFormat="1" applyFont="1" applyFill="1" applyBorder="1" applyProtection="1">
      <protection hidden="1"/>
    </xf>
    <xf numFmtId="0" fontId="1" fillId="19" borderId="0" xfId="0" applyFont="1" applyFill="1" applyProtection="1"/>
    <xf numFmtId="0" fontId="5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96" fillId="14" borderId="30" xfId="0" applyFont="1" applyFill="1" applyBorder="1" applyAlignment="1" applyProtection="1">
      <alignment horizontal="centerContinuous" vertical="center"/>
      <protection hidden="1"/>
    </xf>
    <xf numFmtId="14" fontId="1" fillId="14" borderId="0" xfId="0" quotePrefix="1" applyNumberFormat="1" applyFont="1" applyFill="1" applyProtection="1">
      <protection hidden="1"/>
    </xf>
    <xf numFmtId="4" fontId="1" fillId="14" borderId="0" xfId="0" applyNumberFormat="1" applyFont="1" applyFill="1" applyAlignment="1" applyProtection="1">
      <alignment horizontal="center"/>
      <protection hidden="1"/>
    </xf>
    <xf numFmtId="170" fontId="1" fillId="14" borderId="0" xfId="0" applyNumberFormat="1" applyFont="1" applyFill="1" applyProtection="1">
      <protection hidden="1"/>
    </xf>
    <xf numFmtId="3" fontId="79" fillId="0" borderId="0" xfId="0" applyNumberFormat="1" applyFont="1" applyFill="1" applyBorder="1" applyAlignment="1" applyProtection="1">
      <alignment horizontal="right"/>
      <protection hidden="1"/>
    </xf>
    <xf numFmtId="14" fontId="5" fillId="0" borderId="21" xfId="0" applyNumberFormat="1" applyFont="1" applyFill="1" applyBorder="1" applyAlignment="1" applyProtection="1">
      <alignment horizontal="center"/>
      <protection locked="0"/>
    </xf>
    <xf numFmtId="14" fontId="5" fillId="0" borderId="52" xfId="0" applyNumberFormat="1" applyFont="1" applyFill="1" applyBorder="1" applyAlignment="1" applyProtection="1">
      <alignment horizontal="center"/>
      <protection locked="0"/>
    </xf>
    <xf numFmtId="0" fontId="5" fillId="0" borderId="67" xfId="0" applyNumberFormat="1" applyFont="1" applyFill="1" applyBorder="1" applyAlignment="1" applyProtection="1">
      <alignment horizontal="center"/>
      <protection hidden="1"/>
    </xf>
    <xf numFmtId="0" fontId="5" fillId="0" borderId="24" xfId="0" applyFont="1" applyFill="1" applyBorder="1" applyProtection="1">
      <protection locked="0"/>
    </xf>
    <xf numFmtId="49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63" xfId="0" applyNumberFormat="1" applyFont="1" applyFill="1" applyBorder="1" applyAlignment="1" applyProtection="1">
      <alignment horizontal="center"/>
      <protection hidden="1"/>
    </xf>
    <xf numFmtId="0" fontId="5" fillId="0" borderId="64" xfId="0" applyNumberFormat="1" applyFont="1" applyFill="1" applyBorder="1" applyAlignment="1" applyProtection="1">
      <alignment horizontal="left"/>
      <protection hidden="1"/>
    </xf>
    <xf numFmtId="0" fontId="5" fillId="0" borderId="65" xfId="0" applyNumberFormat="1" applyFont="1" applyFill="1" applyBorder="1" applyAlignment="1" applyProtection="1">
      <alignment horizontal="left"/>
      <protection locked="0"/>
    </xf>
    <xf numFmtId="0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25" xfId="0" applyNumberFormat="1" applyFont="1" applyFill="1" applyBorder="1" applyAlignment="1" applyProtection="1">
      <alignment horizontal="center"/>
      <protection locked="0"/>
    </xf>
    <xf numFmtId="49" fontId="5" fillId="0" borderId="37" xfId="0" applyNumberFormat="1" applyFont="1" applyFill="1" applyBorder="1" applyAlignment="1" applyProtection="1">
      <alignment horizontal="center"/>
      <protection locked="0"/>
    </xf>
    <xf numFmtId="0" fontId="5" fillId="0" borderId="66" xfId="0" applyNumberFormat="1" applyFont="1" applyFill="1" applyBorder="1" applyAlignment="1" applyProtection="1">
      <alignment horizontal="center"/>
      <protection locked="0"/>
    </xf>
    <xf numFmtId="14" fontId="5" fillId="0" borderId="62" xfId="0" applyNumberFormat="1" applyFont="1" applyFill="1" applyBorder="1" applyAlignment="1" applyProtection="1">
      <alignment horizontal="center"/>
      <protection locked="0"/>
    </xf>
    <xf numFmtId="0" fontId="5" fillId="0" borderId="31" xfId="0" applyNumberFormat="1" applyFont="1" applyFill="1" applyBorder="1" applyAlignment="1" applyProtection="1">
      <alignment horizontal="center"/>
      <protection locked="0"/>
    </xf>
    <xf numFmtId="0" fontId="5" fillId="0" borderId="58" xfId="0" applyFont="1" applyFill="1" applyBorder="1" applyAlignment="1" applyProtection="1">
      <alignment horizontal="center"/>
      <protection locked="0"/>
    </xf>
    <xf numFmtId="3" fontId="5" fillId="0" borderId="58" xfId="0" applyNumberFormat="1" applyFont="1" applyFill="1" applyBorder="1" applyAlignment="1" applyProtection="1">
      <alignment horizontal="center"/>
      <protection locked="0"/>
    </xf>
    <xf numFmtId="0" fontId="1" fillId="0" borderId="67" xfId="0" applyNumberFormat="1" applyFont="1" applyFill="1" applyBorder="1" applyAlignment="1" applyProtection="1">
      <alignment horizontal="left"/>
      <protection hidden="1"/>
    </xf>
    <xf numFmtId="0" fontId="5" fillId="2" borderId="46" xfId="0" applyNumberFormat="1" applyFont="1" applyFill="1" applyBorder="1" applyAlignment="1" applyProtection="1">
      <alignment horizontal="center"/>
      <protection locked="0"/>
    </xf>
    <xf numFmtId="0" fontId="5" fillId="2" borderId="48" xfId="0" applyFont="1" applyFill="1" applyBorder="1" applyAlignment="1" applyProtection="1">
      <alignment horizontal="center"/>
      <protection hidden="1"/>
    </xf>
    <xf numFmtId="0" fontId="5" fillId="0" borderId="48" xfId="0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5" fillId="0" borderId="45" xfId="0" applyNumberFormat="1" applyFont="1" applyFill="1" applyBorder="1" applyAlignment="1" applyProtection="1">
      <alignment horizontal="left"/>
      <protection hidden="1"/>
    </xf>
    <xf numFmtId="0" fontId="5" fillId="0" borderId="17" xfId="0" applyNumberFormat="1" applyFont="1" applyFill="1" applyBorder="1" applyAlignment="1" applyProtection="1">
      <alignment horizontal="left"/>
      <protection hidden="1"/>
    </xf>
    <xf numFmtId="0" fontId="5" fillId="0" borderId="44" xfId="0" applyNumberFormat="1" applyFont="1" applyFill="1" applyBorder="1" applyAlignment="1" applyProtection="1">
      <alignment horizontal="left"/>
      <protection hidden="1"/>
    </xf>
    <xf numFmtId="0" fontId="5" fillId="0" borderId="25" xfId="0" applyNumberFormat="1" applyFont="1" applyFill="1" applyBorder="1" applyAlignment="1" applyProtection="1">
      <alignment horizontal="left"/>
      <protection hidden="1"/>
    </xf>
    <xf numFmtId="0" fontId="0" fillId="11" borderId="0" xfId="0" applyFill="1"/>
    <xf numFmtId="0" fontId="1" fillId="11" borderId="0" xfId="0" applyFont="1" applyFill="1" applyAlignment="1">
      <alignment horizontal="right" vertical="center"/>
    </xf>
    <xf numFmtId="0" fontId="109" fillId="11" borderId="0" xfId="0" applyFont="1" applyFill="1" applyAlignment="1">
      <alignment vertical="center"/>
    </xf>
    <xf numFmtId="0" fontId="109" fillId="11" borderId="0" xfId="0" applyFont="1" applyFill="1"/>
    <xf numFmtId="0" fontId="107" fillId="11" borderId="0" xfId="0" applyFont="1" applyFill="1" applyAlignment="1">
      <alignment horizontal="left" vertical="center"/>
    </xf>
    <xf numFmtId="0" fontId="107" fillId="11" borderId="0" xfId="0" applyFont="1" applyFill="1"/>
    <xf numFmtId="0" fontId="108" fillId="11" borderId="0" xfId="0" applyFont="1" applyFill="1" applyAlignment="1">
      <alignment vertical="center"/>
    </xf>
    <xf numFmtId="0" fontId="110" fillId="11" borderId="0" xfId="0" applyFont="1" applyFill="1" applyAlignment="1">
      <alignment vertical="center"/>
    </xf>
    <xf numFmtId="0" fontId="107" fillId="11" borderId="0" xfId="0" applyFont="1" applyFill="1" applyAlignment="1">
      <alignment vertical="center"/>
    </xf>
    <xf numFmtId="0" fontId="107" fillId="11" borderId="0" xfId="0" applyFont="1" applyFill="1" applyAlignment="1"/>
    <xf numFmtId="0" fontId="108" fillId="11" borderId="0" xfId="0" applyFont="1" applyFill="1"/>
    <xf numFmtId="0" fontId="0" fillId="11" borderId="0" xfId="0" applyFill="1" applyAlignment="1"/>
    <xf numFmtId="0" fontId="110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/>
    </xf>
    <xf numFmtId="0" fontId="1" fillId="11" borderId="0" xfId="0" applyFont="1" applyFill="1"/>
    <xf numFmtId="0" fontId="0" fillId="11" borderId="0" xfId="0" applyFill="1" applyAlignment="1">
      <alignment vertical="center"/>
    </xf>
    <xf numFmtId="0" fontId="107" fillId="11" borderId="0" xfId="0" applyFont="1" applyFill="1" applyAlignment="1">
      <alignment horizontal="left"/>
    </xf>
    <xf numFmtId="0" fontId="85" fillId="0" borderId="0" xfId="4" applyFont="1" applyProtection="1"/>
    <xf numFmtId="0" fontId="79" fillId="0" borderId="54" xfId="0" applyFont="1" applyFill="1" applyBorder="1" applyAlignment="1" applyProtection="1">
      <alignment horizontal="left"/>
      <protection hidden="1"/>
    </xf>
    <xf numFmtId="4" fontId="79" fillId="0" borderId="56" xfId="0" applyNumberFormat="1" applyFont="1" applyFill="1" applyBorder="1" applyAlignment="1" applyProtection="1">
      <alignment horizontal="left"/>
      <protection hidden="1"/>
    </xf>
    <xf numFmtId="3" fontId="5" fillId="0" borderId="46" xfId="0" applyNumberFormat="1" applyFont="1" applyFill="1" applyBorder="1" applyAlignment="1" applyProtection="1">
      <alignment horizontal="center"/>
      <protection hidden="1"/>
    </xf>
    <xf numFmtId="0" fontId="5" fillId="0" borderId="49" xfId="0" applyNumberFormat="1" applyFont="1" applyFill="1" applyBorder="1" applyAlignment="1" applyProtection="1">
      <alignment horizontal="center"/>
      <protection hidden="1"/>
    </xf>
    <xf numFmtId="0" fontId="5" fillId="0" borderId="58" xfId="0" applyNumberFormat="1" applyFont="1" applyFill="1" applyBorder="1" applyAlignment="1" applyProtection="1">
      <alignment horizontal="center"/>
      <protection hidden="1"/>
    </xf>
    <xf numFmtId="176" fontId="87" fillId="21" borderId="85" xfId="0" applyNumberFormat="1" applyFont="1" applyFill="1" applyBorder="1" applyAlignment="1" applyProtection="1">
      <alignment horizontal="center"/>
      <protection hidden="1"/>
    </xf>
    <xf numFmtId="0" fontId="87" fillId="21" borderId="88" xfId="0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right" vertical="center"/>
      <protection hidden="1"/>
    </xf>
    <xf numFmtId="14" fontId="87" fillId="21" borderId="86" xfId="0" applyNumberFormat="1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center" vertical="center"/>
      <protection hidden="1"/>
    </xf>
    <xf numFmtId="14" fontId="87" fillId="21" borderId="86" xfId="0" applyNumberFormat="1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alignment horizontal="center" vertical="center"/>
      <protection hidden="1"/>
    </xf>
    <xf numFmtId="0" fontId="86" fillId="22" borderId="89" xfId="0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Protection="1">
      <protection hidden="1"/>
    </xf>
    <xf numFmtId="0" fontId="86" fillId="22" borderId="0" xfId="0" applyFont="1" applyFill="1" applyBorder="1" applyProtection="1">
      <protection hidden="1"/>
    </xf>
    <xf numFmtId="0" fontId="1" fillId="22" borderId="85" xfId="0" applyFont="1" applyFill="1" applyBorder="1" applyAlignment="1" applyProtection="1">
      <alignment horizontal="center"/>
      <protection hidden="1"/>
    </xf>
    <xf numFmtId="0" fontId="15" fillId="22" borderId="0" xfId="0" applyFont="1" applyFill="1" applyBorder="1" applyAlignment="1" applyProtection="1">
      <alignment vertical="center"/>
      <protection hidden="1"/>
    </xf>
    <xf numFmtId="14" fontId="117" fillId="22" borderId="85" xfId="0" applyNumberFormat="1" applyFont="1" applyFill="1" applyBorder="1" applyAlignment="1" applyProtection="1">
      <alignment horizontal="center"/>
      <protection hidden="1"/>
    </xf>
    <xf numFmtId="0" fontId="117" fillId="22" borderId="0" xfId="0" applyFont="1" applyFill="1" applyBorder="1" applyProtection="1">
      <protection hidden="1"/>
    </xf>
    <xf numFmtId="0" fontId="117" fillId="22" borderId="85" xfId="0" applyFont="1" applyFill="1" applyBorder="1" applyProtection="1">
      <protection hidden="1"/>
    </xf>
    <xf numFmtId="14" fontId="118" fillId="22" borderId="85" xfId="0" applyNumberFormat="1" applyFont="1" applyFill="1" applyBorder="1" applyAlignment="1" applyProtection="1">
      <alignment horizontal="center" vertical="center"/>
      <protection hidden="1"/>
    </xf>
    <xf numFmtId="14" fontId="118" fillId="22" borderId="0" xfId="0" applyNumberFormat="1" applyFont="1" applyFill="1" applyBorder="1" applyAlignment="1" applyProtection="1">
      <alignment horizontal="center" vertical="center"/>
      <protection hidden="1"/>
    </xf>
    <xf numFmtId="0" fontId="118" fillId="22" borderId="0" xfId="0" applyFont="1" applyFill="1" applyBorder="1" applyAlignment="1" applyProtection="1">
      <alignment vertical="center"/>
      <protection hidden="1"/>
    </xf>
    <xf numFmtId="0" fontId="0" fillId="23" borderId="0" xfId="0" applyFill="1" applyProtection="1">
      <protection hidden="1"/>
    </xf>
    <xf numFmtId="0" fontId="96" fillId="23" borderId="0" xfId="0" applyFont="1" applyFill="1" applyBorder="1" applyAlignment="1" applyProtection="1">
      <protection hidden="1"/>
    </xf>
    <xf numFmtId="0" fontId="0" fillId="23" borderId="0" xfId="0" applyFill="1" applyProtection="1"/>
    <xf numFmtId="0" fontId="1" fillId="23" borderId="0" xfId="0" applyFont="1" applyFill="1" applyProtection="1"/>
    <xf numFmtId="0" fontId="90" fillId="23" borderId="0" xfId="0" quotePrefix="1" applyFont="1" applyFill="1" applyProtection="1">
      <protection hidden="1"/>
    </xf>
    <xf numFmtId="0" fontId="90" fillId="23" borderId="0" xfId="0" applyFont="1" applyFill="1" applyProtection="1">
      <protection hidden="1"/>
    </xf>
    <xf numFmtId="0" fontId="8" fillId="23" borderId="0" xfId="0" applyFont="1" applyFill="1" applyAlignment="1" applyProtection="1">
      <alignment vertical="center"/>
      <protection hidden="1"/>
    </xf>
    <xf numFmtId="0" fontId="1" fillId="23" borderId="0" xfId="0" applyFont="1" applyFill="1" applyAlignment="1" applyProtection="1">
      <alignment horizontal="center"/>
      <protection hidden="1"/>
    </xf>
    <xf numFmtId="0" fontId="1" fillId="23" borderId="0" xfId="0" applyFont="1" applyFill="1" applyBorder="1" applyAlignment="1" applyProtection="1">
      <alignment horizontal="center"/>
      <protection hidden="1"/>
    </xf>
    <xf numFmtId="1" fontId="1" fillId="23" borderId="0" xfId="0" applyNumberFormat="1" applyFont="1" applyFill="1" applyBorder="1" applyAlignment="1" applyProtection="1">
      <protection hidden="1"/>
    </xf>
    <xf numFmtId="0" fontId="1" fillId="23" borderId="0" xfId="0" applyFont="1" applyFill="1" applyProtection="1">
      <protection hidden="1"/>
    </xf>
    <xf numFmtId="0" fontId="89" fillId="23" borderId="0" xfId="0" applyFont="1" applyFill="1" applyAlignment="1" applyProtection="1">
      <alignment horizontal="left"/>
      <protection hidden="1"/>
    </xf>
    <xf numFmtId="0" fontId="1" fillId="23" borderId="0" xfId="0" applyFont="1" applyFill="1" applyBorder="1" applyProtection="1">
      <protection hidden="1"/>
    </xf>
    <xf numFmtId="0" fontId="1" fillId="23" borderId="0" xfId="0" applyFont="1" applyFill="1" applyBorder="1" applyAlignment="1" applyProtection="1">
      <protection hidden="1"/>
    </xf>
    <xf numFmtId="0" fontId="94" fillId="23" borderId="0" xfId="0" applyFont="1" applyFill="1" applyAlignment="1" applyProtection="1">
      <alignment horizontal="center" vertical="center"/>
      <protection hidden="1"/>
    </xf>
    <xf numFmtId="0" fontId="0" fillId="23" borderId="0" xfId="0" applyFill="1" applyAlignment="1" applyProtection="1">
      <alignment horizontal="center"/>
    </xf>
    <xf numFmtId="14" fontId="0" fillId="23" borderId="0" xfId="0" applyNumberFormat="1" applyFill="1" applyProtection="1"/>
    <xf numFmtId="164" fontId="0" fillId="23" borderId="0" xfId="0" applyNumberFormat="1" applyFill="1" applyProtection="1"/>
    <xf numFmtId="0" fontId="119" fillId="23" borderId="0" xfId="0" applyFont="1" applyFill="1" applyProtection="1"/>
    <xf numFmtId="0" fontId="119" fillId="23" borderId="0" xfId="0" applyFont="1" applyFill="1" applyBorder="1" applyProtection="1"/>
    <xf numFmtId="14" fontId="119" fillId="23" borderId="0" xfId="0" applyNumberFormat="1" applyFont="1" applyFill="1" applyProtection="1">
      <protection hidden="1"/>
    </xf>
    <xf numFmtId="0" fontId="40" fillId="11" borderId="0" xfId="0" applyFont="1" applyFill="1"/>
    <xf numFmtId="0" fontId="110" fillId="0" borderId="0" xfId="0" applyFont="1" applyAlignment="1">
      <alignment vertical="center"/>
    </xf>
    <xf numFmtId="3" fontId="5" fillId="0" borderId="8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protection hidden="1"/>
    </xf>
    <xf numFmtId="0" fontId="9" fillId="0" borderId="55" xfId="0" applyFont="1" applyFill="1" applyBorder="1" applyAlignment="1" applyProtection="1">
      <alignment horizontal="center" vertical="center" shrinkToFit="1"/>
      <protection hidden="1"/>
    </xf>
    <xf numFmtId="0" fontId="69" fillId="3" borderId="0" xfId="0" applyFont="1" applyFill="1" applyBorder="1" applyProtection="1">
      <protection hidden="1"/>
    </xf>
    <xf numFmtId="0" fontId="69" fillId="3" borderId="0" xfId="0" applyFont="1" applyFill="1" applyProtection="1">
      <protection hidden="1"/>
    </xf>
    <xf numFmtId="0" fontId="71" fillId="3" borderId="0" xfId="0" applyFont="1" applyFill="1" applyProtection="1">
      <protection hidden="1"/>
    </xf>
    <xf numFmtId="0" fontId="71" fillId="3" borderId="0" xfId="0" applyFont="1" applyFill="1" applyAlignment="1" applyProtection="1">
      <alignment horizontal="left"/>
      <protection hidden="1"/>
    </xf>
    <xf numFmtId="4" fontId="5" fillId="0" borderId="46" xfId="0" applyNumberFormat="1" applyFont="1" applyFill="1" applyBorder="1" applyAlignment="1" applyProtection="1">
      <alignment horizontal="right" indent="1"/>
      <protection locked="0"/>
    </xf>
    <xf numFmtId="4" fontId="5" fillId="0" borderId="48" xfId="0" applyNumberFormat="1" applyFont="1" applyFill="1" applyBorder="1" applyAlignment="1" applyProtection="1">
      <alignment horizontal="right" indent="1"/>
      <protection locked="0"/>
    </xf>
    <xf numFmtId="4" fontId="5" fillId="0" borderId="58" xfId="0" applyNumberFormat="1" applyFont="1" applyFill="1" applyBorder="1" applyAlignment="1" applyProtection="1">
      <alignment horizontal="right" indent="1"/>
      <protection locked="0"/>
    </xf>
    <xf numFmtId="4" fontId="5" fillId="0" borderId="47" xfId="0" applyNumberFormat="1" applyFont="1" applyFill="1" applyBorder="1" applyAlignment="1" applyProtection="1">
      <alignment horizontal="right" indent="1"/>
      <protection locked="0"/>
    </xf>
    <xf numFmtId="4" fontId="5" fillId="0" borderId="33" xfId="0" applyNumberFormat="1" applyFont="1" applyFill="1" applyBorder="1" applyAlignment="1" applyProtection="1">
      <alignment horizontal="right" indent="1"/>
      <protection locked="0"/>
    </xf>
    <xf numFmtId="4" fontId="5" fillId="0" borderId="32" xfId="0" applyNumberFormat="1" applyFont="1" applyFill="1" applyBorder="1" applyAlignment="1" applyProtection="1">
      <alignment horizontal="right" indent="1"/>
      <protection locked="0"/>
    </xf>
    <xf numFmtId="4" fontId="5" fillId="0" borderId="37" xfId="0" applyNumberFormat="1" applyFont="1" applyFill="1" applyBorder="1" applyAlignment="1" applyProtection="1">
      <alignment horizontal="right" indent="1"/>
      <protection locked="0"/>
    </xf>
    <xf numFmtId="4" fontId="0" fillId="0" borderId="0" xfId="0" applyNumberFormat="1" applyProtection="1"/>
    <xf numFmtId="0" fontId="0" fillId="0" borderId="0" xfId="0" applyNumberFormat="1" applyProtection="1"/>
    <xf numFmtId="0" fontId="11" fillId="11" borderId="0" xfId="0" applyFont="1" applyFill="1"/>
    <xf numFmtId="0" fontId="11" fillId="11" borderId="0" xfId="0" applyFont="1" applyFill="1" applyAlignment="1">
      <alignment vertical="center"/>
    </xf>
    <xf numFmtId="0" fontId="15" fillId="12" borderId="8" xfId="0" applyFont="1" applyFill="1" applyBorder="1" applyAlignment="1" applyProtection="1">
      <alignment horizontal="center" vertical="center"/>
      <protection hidden="1"/>
    </xf>
    <xf numFmtId="9" fontId="15" fillId="17" borderId="8" xfId="3" applyNumberFormat="1" applyFont="1" applyFill="1" applyBorder="1" applyAlignment="1" applyProtection="1">
      <alignment horizontal="center" vertical="center"/>
      <protection hidden="1"/>
    </xf>
    <xf numFmtId="0" fontId="15" fillId="17" borderId="8" xfId="0" applyFont="1" applyFill="1" applyBorder="1" applyAlignment="1" applyProtection="1">
      <alignment horizontal="center" vertical="center"/>
      <protection hidden="1"/>
    </xf>
    <xf numFmtId="0" fontId="107" fillId="0" borderId="0" xfId="0" applyFont="1" applyAlignment="1">
      <alignment vertical="center"/>
    </xf>
    <xf numFmtId="0" fontId="8" fillId="3" borderId="10" xfId="4" applyFont="1" applyFill="1" applyBorder="1" applyAlignment="1" applyProtection="1">
      <alignment horizontal="left" vertical="center" wrapText="1"/>
      <protection hidden="1"/>
    </xf>
    <xf numFmtId="0" fontId="1" fillId="3" borderId="28" xfId="0" applyFont="1" applyFill="1" applyBorder="1" applyAlignment="1" applyProtection="1">
      <alignment vertical="center"/>
      <protection hidden="1"/>
    </xf>
    <xf numFmtId="4" fontId="1" fillId="23" borderId="0" xfId="0" applyNumberFormat="1" applyFont="1" applyFill="1" applyProtection="1"/>
    <xf numFmtId="167" fontId="79" fillId="2" borderId="0" xfId="2" applyFont="1" applyFill="1" applyAlignment="1" applyProtection="1">
      <alignment horizontal="center"/>
      <protection hidden="1"/>
    </xf>
    <xf numFmtId="4" fontId="0" fillId="0" borderId="33" xfId="0" applyNumberFormat="1" applyFill="1" applyBorder="1"/>
    <xf numFmtId="18" fontId="5" fillId="0" borderId="20" xfId="0" applyNumberFormat="1" applyFont="1" applyFill="1" applyBorder="1" applyProtection="1">
      <protection locked="0"/>
    </xf>
    <xf numFmtId="0" fontId="0" fillId="3" borderId="0" xfId="0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Alignment="1" applyProtection="1">
      <alignment horizontal="left" vertical="center" wrapText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2" fillId="3" borderId="0" xfId="3" applyFont="1" applyFill="1" applyBorder="1" applyAlignment="1" applyProtection="1">
      <alignment vertical="center"/>
      <protection hidden="1"/>
    </xf>
    <xf numFmtId="169" fontId="32" fillId="3" borderId="0" xfId="3" applyNumberFormat="1" applyFont="1" applyFill="1" applyBorder="1" applyAlignment="1" applyProtection="1">
      <alignment vertical="center"/>
      <protection hidden="1"/>
    </xf>
    <xf numFmtId="0" fontId="104" fillId="3" borderId="0" xfId="3" applyFont="1" applyFill="1" applyBorder="1" applyAlignment="1" applyProtection="1">
      <alignment horizontal="right" vertical="center"/>
      <protection hidden="1"/>
    </xf>
    <xf numFmtId="165" fontId="93" fillId="11" borderId="0" xfId="3" applyNumberFormat="1" applyFont="1" applyFill="1" applyBorder="1" applyAlignment="1" applyProtection="1">
      <alignment horizontal="center" vertical="center"/>
      <protection hidden="1"/>
    </xf>
    <xf numFmtId="170" fontId="93" fillId="11" borderId="0" xfId="3" applyNumberFormat="1" applyFont="1" applyFill="1" applyBorder="1" applyAlignment="1" applyProtection="1">
      <alignment horizontal="center" vertical="center"/>
      <protection hidden="1"/>
    </xf>
    <xf numFmtId="165" fontId="43" fillId="11" borderId="0" xfId="3" applyNumberFormat="1" applyFont="1" applyFill="1" applyBorder="1" applyAlignment="1" applyProtection="1">
      <alignment horizontal="center" vertical="center"/>
      <protection hidden="1"/>
    </xf>
    <xf numFmtId="169" fontId="32" fillId="11" borderId="0" xfId="3" applyNumberFormat="1" applyFont="1" applyFill="1" applyBorder="1" applyAlignment="1" applyProtection="1">
      <alignment vertical="center"/>
      <protection hidden="1"/>
    </xf>
    <xf numFmtId="169" fontId="32" fillId="0" borderId="96" xfId="3" applyNumberFormat="1" applyFont="1" applyFill="1" applyBorder="1" applyAlignment="1" applyProtection="1">
      <protection hidden="1"/>
    </xf>
    <xf numFmtId="169" fontId="32" fillId="0" borderId="98" xfId="3" applyNumberFormat="1" applyFont="1" applyFill="1" applyBorder="1" applyAlignment="1" applyProtection="1">
      <protection hidden="1"/>
    </xf>
    <xf numFmtId="0" fontId="120" fillId="0" borderId="99" xfId="3" applyFont="1" applyFill="1" applyBorder="1" applyAlignment="1" applyProtection="1">
      <alignment horizontal="right" vertical="center"/>
      <protection hidden="1"/>
    </xf>
    <xf numFmtId="0" fontId="120" fillId="3" borderId="100" xfId="3" applyFont="1" applyFill="1" applyBorder="1" applyAlignment="1" applyProtection="1">
      <alignment horizontal="right" vertical="center"/>
      <protection hidden="1"/>
    </xf>
    <xf numFmtId="169" fontId="32" fillId="0" borderId="101" xfId="3" applyNumberFormat="1" applyFont="1" applyFill="1" applyBorder="1" applyAlignment="1" applyProtection="1">
      <protection hidden="1"/>
    </xf>
    <xf numFmtId="0" fontId="104" fillId="0" borderId="97" xfId="3" applyFont="1" applyFill="1" applyBorder="1" applyAlignment="1" applyProtection="1">
      <alignment horizontal="right" vertical="center"/>
      <protection hidden="1"/>
    </xf>
    <xf numFmtId="0" fontId="5" fillId="0" borderId="94" xfId="3" applyFont="1" applyFill="1" applyBorder="1" applyAlignment="1" applyProtection="1">
      <alignment horizontal="right"/>
      <protection hidden="1"/>
    </xf>
    <xf numFmtId="0" fontId="5" fillId="3" borderId="95" xfId="3" applyFont="1" applyFill="1" applyBorder="1" applyAlignment="1" applyProtection="1">
      <alignment horizontal="right"/>
      <protection hidden="1"/>
    </xf>
    <xf numFmtId="0" fontId="32" fillId="3" borderId="95" xfId="3" applyFont="1" applyFill="1" applyBorder="1" applyProtection="1">
      <protection hidden="1"/>
    </xf>
    <xf numFmtId="169" fontId="32" fillId="3" borderId="95" xfId="3" applyNumberFormat="1" applyFont="1" applyFill="1" applyBorder="1" applyAlignment="1" applyProtection="1">
      <protection hidden="1"/>
    </xf>
    <xf numFmtId="0" fontId="120" fillId="11" borderId="100" xfId="3" applyFont="1" applyFill="1" applyBorder="1" applyAlignment="1" applyProtection="1">
      <alignment horizontal="right" vertical="center"/>
      <protection hidden="1"/>
    </xf>
    <xf numFmtId="170" fontId="4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100" xfId="3" applyNumberFormat="1" applyFont="1" applyFill="1" applyBorder="1" applyAlignment="1" applyProtection="1">
      <alignment horizontal="center" vertical="center"/>
      <protection hidden="1"/>
    </xf>
    <xf numFmtId="170" fontId="9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95" xfId="3" applyNumberFormat="1" applyFont="1" applyFill="1" applyBorder="1" applyAlignment="1" applyProtection="1">
      <alignment horizontal="center" vertical="center"/>
      <protection hidden="1"/>
    </xf>
    <xf numFmtId="170" fontId="93" fillId="11" borderId="95" xfId="3" applyNumberFormat="1" applyFont="1" applyFill="1" applyBorder="1" applyAlignment="1" applyProtection="1">
      <alignment horizontal="center" vertical="center"/>
      <protection hidden="1"/>
    </xf>
    <xf numFmtId="165" fontId="43" fillId="11" borderId="95" xfId="3" applyNumberFormat="1" applyFont="1" applyFill="1" applyBorder="1" applyAlignment="1" applyProtection="1">
      <alignment horizontal="center" vertical="center"/>
      <protection hidden="1"/>
    </xf>
    <xf numFmtId="170" fontId="43" fillId="11" borderId="95" xfId="3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" fillId="0" borderId="0" xfId="0" quotePrefix="1" applyFont="1" applyProtection="1">
      <protection hidden="1"/>
    </xf>
    <xf numFmtId="0" fontId="1" fillId="12" borderId="0" xfId="0" applyFont="1" applyFill="1" applyAlignment="1" applyProtection="1">
      <alignment vertical="center"/>
      <protection hidden="1"/>
    </xf>
    <xf numFmtId="0" fontId="0" fillId="12" borderId="0" xfId="0" applyFill="1" applyAlignment="1" applyProtection="1">
      <alignment vertical="center"/>
      <protection hidden="1"/>
    </xf>
    <xf numFmtId="0" fontId="0" fillId="20" borderId="0" xfId="0" applyFill="1" applyAlignment="1" applyProtection="1">
      <alignment vertical="center"/>
      <protection hidden="1"/>
    </xf>
    <xf numFmtId="0" fontId="1" fillId="20" borderId="0" xfId="0" applyFont="1" applyFill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left" vertical="center"/>
      <protection hidden="1"/>
    </xf>
    <xf numFmtId="0" fontId="1" fillId="0" borderId="53" xfId="0" applyFont="1" applyFill="1" applyBorder="1" applyAlignment="1" applyProtection="1">
      <alignment horizontal="center"/>
      <protection hidden="1"/>
    </xf>
    <xf numFmtId="4" fontId="5" fillId="0" borderId="43" xfId="0" applyNumberFormat="1" applyFont="1" applyFill="1" applyBorder="1" applyAlignment="1" applyProtection="1">
      <alignment horizontal="right" indent="1"/>
      <protection locked="0"/>
    </xf>
    <xf numFmtId="0" fontId="0" fillId="0" borderId="48" xfId="0" applyFill="1" applyBorder="1" applyAlignment="1" applyProtection="1">
      <alignment horizont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14" fontId="1" fillId="23" borderId="85" xfId="0" applyNumberFormat="1" applyFont="1" applyFill="1" applyBorder="1" applyAlignment="1" applyProtection="1">
      <alignment horizontal="center"/>
      <protection hidden="1"/>
    </xf>
    <xf numFmtId="0" fontId="1" fillId="23" borderId="85" xfId="0" applyFont="1" applyFill="1" applyBorder="1" applyProtection="1">
      <protection hidden="1"/>
    </xf>
    <xf numFmtId="0" fontId="86" fillId="22" borderId="90" xfId="0" applyFont="1" applyFill="1" applyBorder="1" applyAlignment="1" applyProtection="1">
      <protection hidden="1"/>
    </xf>
    <xf numFmtId="0" fontId="86" fillId="22" borderId="91" xfId="0" applyFont="1" applyFill="1" applyBorder="1" applyAlignment="1" applyProtection="1">
      <protection hidden="1"/>
    </xf>
    <xf numFmtId="0" fontId="1" fillId="14" borderId="0" xfId="0" applyFont="1" applyFill="1"/>
    <xf numFmtId="4" fontId="1" fillId="2" borderId="0" xfId="0" applyNumberFormat="1" applyFont="1" applyFill="1" applyProtection="1">
      <protection hidden="1"/>
    </xf>
    <xf numFmtId="4" fontId="1" fillId="0" borderId="71" xfId="0" applyNumberFormat="1" applyFont="1" applyFill="1" applyBorder="1" applyAlignment="1" applyProtection="1">
      <alignment horizontal="right" indent="1"/>
      <protection hidden="1"/>
    </xf>
    <xf numFmtId="4" fontId="1" fillId="0" borderId="70" xfId="0" applyNumberFormat="1" applyFont="1" applyFill="1" applyBorder="1" applyAlignment="1" applyProtection="1">
      <alignment horizontal="right" indent="1"/>
      <protection hidden="1"/>
    </xf>
    <xf numFmtId="4" fontId="1" fillId="0" borderId="46" xfId="0" applyNumberFormat="1" applyFont="1" applyFill="1" applyBorder="1" applyAlignment="1" applyProtection="1">
      <alignment horizontal="right" indent="1"/>
      <protection hidden="1"/>
    </xf>
    <xf numFmtId="4" fontId="1" fillId="0" borderId="44" xfId="0" applyNumberFormat="1" applyFont="1" applyFill="1" applyBorder="1" applyAlignment="1" applyProtection="1">
      <alignment horizontal="right" indent="1"/>
      <protection hidden="1"/>
    </xf>
    <xf numFmtId="4" fontId="1" fillId="0" borderId="49" xfId="0" applyNumberFormat="1" applyFont="1" applyFill="1" applyBorder="1" applyAlignment="1" applyProtection="1">
      <alignment horizontal="right" indent="1"/>
      <protection hidden="1"/>
    </xf>
    <xf numFmtId="0" fontId="123" fillId="11" borderId="7" xfId="0" applyFont="1" applyFill="1" applyBorder="1" applyAlignment="1" applyProtection="1">
      <alignment vertical="center"/>
      <protection hidden="1"/>
    </xf>
    <xf numFmtId="4" fontId="40" fillId="11" borderId="8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7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1" xfId="0" applyNumberFormat="1" applyFont="1" applyFill="1" applyBorder="1" applyAlignment="1" applyProtection="1">
      <alignment horizontal="right" vertical="center" indent="1"/>
      <protection hidden="1"/>
    </xf>
    <xf numFmtId="0" fontId="123" fillId="11" borderId="1" xfId="0" applyFont="1" applyFill="1" applyBorder="1" applyAlignment="1" applyProtection="1">
      <alignment vertical="center"/>
      <protection hidden="1"/>
    </xf>
    <xf numFmtId="0" fontId="123" fillId="11" borderId="8" xfId="0" applyFont="1" applyFill="1" applyBorder="1" applyAlignment="1" applyProtection="1">
      <alignment vertical="center"/>
      <protection hidden="1"/>
    </xf>
    <xf numFmtId="14" fontId="5" fillId="0" borderId="8" xfId="0" applyNumberFormat="1" applyFont="1" applyFill="1" applyBorder="1" applyAlignment="1" applyProtection="1">
      <alignment horizontal="center" vertical="center"/>
    </xf>
    <xf numFmtId="0" fontId="0" fillId="29" borderId="8" xfId="0" applyFill="1" applyBorder="1" applyProtection="1">
      <protection hidden="1"/>
    </xf>
    <xf numFmtId="0" fontId="12" fillId="23" borderId="9" xfId="0" applyFont="1" applyFill="1" applyBorder="1" applyAlignment="1" applyProtection="1">
      <alignment horizontal="center" vertical="center"/>
      <protection hidden="1"/>
    </xf>
    <xf numFmtId="0" fontId="97" fillId="34" borderId="102" xfId="0" applyFont="1" applyFill="1" applyBorder="1" applyAlignment="1" applyProtection="1">
      <alignment horizontal="left" vertical="center" indent="2"/>
      <protection hidden="1"/>
    </xf>
    <xf numFmtId="4" fontId="40" fillId="34" borderId="102" xfId="0" applyNumberFormat="1" applyFont="1" applyFill="1" applyBorder="1" applyAlignment="1" applyProtection="1">
      <alignment horizontal="right" vertical="center" indent="1"/>
      <protection hidden="1"/>
    </xf>
    <xf numFmtId="0" fontId="0" fillId="23" borderId="16" xfId="0" applyFill="1" applyBorder="1" applyProtection="1"/>
    <xf numFmtId="0" fontId="0" fillId="23" borderId="0" xfId="0" applyFill="1" applyBorder="1" applyProtection="1"/>
    <xf numFmtId="0" fontId="5" fillId="0" borderId="6" xfId="0" applyNumberFormat="1" applyFont="1" applyFill="1" applyBorder="1" applyAlignment="1" applyProtection="1">
      <alignment horizontal="center"/>
      <protection locked="0"/>
    </xf>
    <xf numFmtId="4" fontId="8" fillId="0" borderId="42" xfId="0" applyNumberFormat="1" applyFont="1" applyFill="1" applyBorder="1" applyAlignment="1" applyProtection="1">
      <alignment horizontal="center"/>
      <protection hidden="1"/>
    </xf>
    <xf numFmtId="0" fontId="82" fillId="0" borderId="44" xfId="0" applyNumberFormat="1" applyFont="1" applyFill="1" applyBorder="1" applyAlignment="1" applyProtection="1">
      <alignment horizontal="center"/>
      <protection locked="0"/>
    </xf>
    <xf numFmtId="186" fontId="5" fillId="0" borderId="43" xfId="0" applyNumberFormat="1" applyFont="1" applyFill="1" applyBorder="1" applyAlignment="1" applyProtection="1">
      <alignment horizontal="right" indent="1"/>
      <protection locked="0"/>
    </xf>
    <xf numFmtId="186" fontId="5" fillId="0" borderId="50" xfId="0" applyNumberFormat="1" applyFont="1" applyFill="1" applyBorder="1" applyAlignment="1" applyProtection="1">
      <alignment horizontal="right" indent="1"/>
      <protection locked="0"/>
    </xf>
    <xf numFmtId="186" fontId="5" fillId="0" borderId="23" xfId="0" applyNumberFormat="1" applyFont="1" applyFill="1" applyBorder="1" applyAlignment="1" applyProtection="1">
      <alignment horizontal="right" indent="1"/>
      <protection locked="0"/>
    </xf>
    <xf numFmtId="4" fontId="8" fillId="0" borderId="30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14" fontId="79" fillId="2" borderId="0" xfId="0" applyNumberFormat="1" applyFont="1" applyFill="1" applyProtection="1">
      <protection hidden="1"/>
    </xf>
    <xf numFmtId="182" fontId="79" fillId="2" borderId="0" xfId="0" applyNumberFormat="1" applyFont="1" applyFill="1" applyProtection="1">
      <protection hidden="1"/>
    </xf>
    <xf numFmtId="0" fontId="79" fillId="2" borderId="0" xfId="0" applyFont="1" applyFill="1" applyBorder="1" applyAlignment="1" applyProtection="1">
      <alignment horizontal="right"/>
      <protection hidden="1"/>
    </xf>
    <xf numFmtId="0" fontId="99" fillId="3" borderId="0" xfId="0" applyFont="1" applyFill="1" applyAlignment="1" applyProtection="1">
      <alignment vertical="top"/>
      <protection hidden="1"/>
    </xf>
    <xf numFmtId="0" fontId="0" fillId="0" borderId="0" xfId="0" applyFont="1" applyProtection="1"/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88" fillId="38" borderId="28" xfId="0" applyFont="1" applyFill="1" applyBorder="1" applyAlignment="1" applyProtection="1">
      <alignment horizontal="center" vertical="center"/>
      <protection hidden="1"/>
    </xf>
    <xf numFmtId="14" fontId="5" fillId="0" borderId="47" xfId="0" applyNumberFormat="1" applyFont="1" applyFill="1" applyBorder="1" applyAlignment="1" applyProtection="1">
      <alignment horizontal="center"/>
      <protection locked="0"/>
    </xf>
    <xf numFmtId="0" fontId="79" fillId="14" borderId="0" xfId="0" applyFont="1" applyFill="1" applyProtection="1">
      <protection hidden="1"/>
    </xf>
    <xf numFmtId="4" fontId="1" fillId="14" borderId="0" xfId="0" applyNumberFormat="1" applyFont="1" applyFill="1" applyProtection="1">
      <protection hidden="1"/>
    </xf>
    <xf numFmtId="4" fontId="5" fillId="12" borderId="5" xfId="3" applyNumberFormat="1" applyFont="1" applyFill="1" applyBorder="1" applyAlignment="1" applyProtection="1">
      <alignment vertical="center"/>
      <protection hidden="1"/>
    </xf>
    <xf numFmtId="4" fontId="5" fillId="12" borderId="5" xfId="3" applyNumberFormat="1" applyFont="1" applyFill="1" applyBorder="1" applyAlignment="1" applyProtection="1">
      <alignment vertical="center"/>
    </xf>
    <xf numFmtId="4" fontId="1" fillId="20" borderId="5" xfId="0" applyNumberFormat="1" applyFont="1" applyFill="1" applyBorder="1" applyAlignment="1" applyProtection="1">
      <alignment vertical="center"/>
      <protection hidden="1"/>
    </xf>
    <xf numFmtId="4" fontId="0" fillId="34" borderId="0" xfId="0" applyNumberFormat="1" applyFill="1" applyProtection="1">
      <protection hidden="1"/>
    </xf>
    <xf numFmtId="0" fontId="12" fillId="0" borderId="1" xfId="4" applyFont="1" applyBorder="1" applyAlignment="1" applyProtection="1">
      <alignment horizontal="right" wrapText="1" indent="1"/>
      <protection hidden="1"/>
    </xf>
    <xf numFmtId="0" fontId="12" fillId="0" borderId="36" xfId="4" applyFont="1" applyBorder="1" applyAlignment="1" applyProtection="1">
      <alignment horizontal="right" wrapText="1" indent="1"/>
      <protection hidden="1"/>
    </xf>
    <xf numFmtId="0" fontId="12" fillId="0" borderId="7" xfId="4" applyFont="1" applyBorder="1" applyAlignment="1" applyProtection="1">
      <alignment horizontal="right" wrapText="1" indent="1"/>
      <protection hidden="1"/>
    </xf>
    <xf numFmtId="0" fontId="1" fillId="3" borderId="12" xfId="8" applyNumberFormat="1" applyFill="1" applyBorder="1" applyAlignment="1" applyProtection="1">
      <alignment horizontal="right" indent="1"/>
      <protection hidden="1"/>
    </xf>
    <xf numFmtId="0" fontId="1" fillId="3" borderId="3" xfId="8" applyNumberFormat="1" applyFill="1" applyBorder="1" applyAlignment="1" applyProtection="1">
      <alignment horizontal="right" indent="1"/>
      <protection hidden="1"/>
    </xf>
    <xf numFmtId="0" fontId="0" fillId="3" borderId="31" xfId="0" applyNumberFormat="1" applyFill="1" applyBorder="1" applyAlignment="1" applyProtection="1">
      <alignment horizontal="right" indent="1"/>
      <protection hidden="1"/>
    </xf>
    <xf numFmtId="0" fontId="123" fillId="11" borderId="55" xfId="0" applyFont="1" applyFill="1" applyBorder="1" applyAlignment="1" applyProtection="1">
      <alignment vertical="center"/>
      <protection hidden="1"/>
    </xf>
    <xf numFmtId="4" fontId="40" fillId="11" borderId="55" xfId="0" applyNumberFormat="1" applyFont="1" applyFill="1" applyBorder="1" applyAlignment="1" applyProtection="1">
      <alignment horizontal="right" vertical="center" indent="1"/>
      <protection hidden="1"/>
    </xf>
    <xf numFmtId="167" fontId="1" fillId="2" borderId="0" xfId="2" applyFont="1" applyFill="1" applyAlignment="1" applyProtection="1">
      <alignment horizontal="center"/>
      <protection hidden="1"/>
    </xf>
    <xf numFmtId="0" fontId="79" fillId="2" borderId="0" xfId="0" applyFont="1" applyFill="1" applyAlignment="1" applyProtection="1">
      <alignment horizontal="center"/>
      <protection hidden="1"/>
    </xf>
    <xf numFmtId="49" fontId="1" fillId="2" borderId="0" xfId="0" applyNumberFormat="1" applyFont="1" applyFill="1" applyProtection="1">
      <protection hidden="1"/>
    </xf>
    <xf numFmtId="0" fontId="0" fillId="2" borderId="58" xfId="0" applyFill="1" applyBorder="1" applyAlignment="1" applyProtection="1">
      <alignment horizontal="center"/>
      <protection hidden="1"/>
    </xf>
    <xf numFmtId="14" fontId="1" fillId="2" borderId="0" xfId="0" applyNumberFormat="1" applyFont="1" applyFill="1" applyProtection="1">
      <protection hidden="1"/>
    </xf>
    <xf numFmtId="182" fontId="1" fillId="2" borderId="0" xfId="0" applyNumberFormat="1" applyFont="1" applyFill="1" applyProtection="1">
      <protection hidden="1"/>
    </xf>
    <xf numFmtId="0" fontId="1" fillId="2" borderId="0" xfId="0" applyFont="1" applyFill="1" applyBorder="1" applyAlignment="1" applyProtection="1">
      <alignment horizontal="right"/>
      <protection hidden="1"/>
    </xf>
    <xf numFmtId="3" fontId="1" fillId="2" borderId="0" xfId="0" applyNumberFormat="1" applyFont="1" applyFill="1" applyBorder="1" applyAlignment="1" applyProtection="1">
      <alignment horizontal="center"/>
      <protection hidden="1"/>
    </xf>
    <xf numFmtId="182" fontId="1" fillId="2" borderId="0" xfId="0" applyNumberFormat="1" applyFont="1" applyFill="1" applyBorder="1" applyAlignment="1" applyProtection="1">
      <alignment horizontal="right"/>
      <protection hidden="1"/>
    </xf>
    <xf numFmtId="49" fontId="79" fillId="2" borderId="0" xfId="0" applyNumberFormat="1" applyFont="1" applyFill="1" applyProtection="1">
      <protection hidden="1"/>
    </xf>
    <xf numFmtId="4" fontId="79" fillId="2" borderId="0" xfId="0" applyNumberFormat="1" applyFont="1" applyFill="1" applyBorder="1" applyAlignment="1" applyProtection="1">
      <alignment horizontal="right"/>
      <protection hidden="1"/>
    </xf>
    <xf numFmtId="4" fontId="79" fillId="2" borderId="46" xfId="0" applyNumberFormat="1" applyFont="1" applyFill="1" applyBorder="1" applyAlignment="1" applyProtection="1">
      <alignment horizontal="right"/>
      <protection hidden="1"/>
    </xf>
    <xf numFmtId="4" fontId="79" fillId="2" borderId="33" xfId="0" applyNumberFormat="1" applyFont="1" applyFill="1" applyBorder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4" fontId="1" fillId="2" borderId="46" xfId="0" applyNumberFormat="1" applyFont="1" applyFill="1" applyBorder="1" applyAlignment="1" applyProtection="1">
      <alignment horizontal="right"/>
      <protection hidden="1"/>
    </xf>
    <xf numFmtId="4" fontId="1" fillId="2" borderId="33" xfId="0" applyNumberFormat="1" applyFont="1" applyFill="1" applyBorder="1" applyProtection="1">
      <protection hidden="1"/>
    </xf>
    <xf numFmtId="0" fontId="79" fillId="14" borderId="0" xfId="0" applyFont="1" applyFill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182" fontId="79" fillId="14" borderId="0" xfId="0" applyNumberFormat="1" applyFont="1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0" fontId="79" fillId="2" borderId="46" xfId="0" applyFont="1" applyFill="1" applyBorder="1" applyAlignment="1" applyProtection="1">
      <alignment horizontal="right"/>
      <protection hidden="1"/>
    </xf>
    <xf numFmtId="14" fontId="79" fillId="14" borderId="0" xfId="0" applyNumberFormat="1" applyFont="1" applyFill="1" applyProtection="1">
      <protection hidden="1"/>
    </xf>
    <xf numFmtId="182" fontId="79" fillId="14" borderId="0" xfId="0" applyNumberFormat="1" applyFont="1" applyFill="1" applyProtection="1">
      <protection hidden="1"/>
    </xf>
    <xf numFmtId="0" fontId="79" fillId="14" borderId="0" xfId="0" applyFont="1" applyFill="1" applyBorder="1" applyAlignment="1" applyProtection="1">
      <alignment horizontal="right"/>
      <protection hidden="1"/>
    </xf>
    <xf numFmtId="3" fontId="79" fillId="14" borderId="0" xfId="0" applyNumberFormat="1" applyFont="1" applyFill="1" applyBorder="1" applyAlignment="1" applyProtection="1">
      <alignment horizontal="center"/>
      <protection hidden="1"/>
    </xf>
    <xf numFmtId="4" fontId="79" fillId="14" borderId="71" xfId="0" applyNumberFormat="1" applyFont="1" applyFill="1" applyBorder="1" applyAlignment="1" applyProtection="1">
      <alignment horizontal="right"/>
      <protection hidden="1"/>
    </xf>
    <xf numFmtId="0" fontId="1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4" fontId="1" fillId="2" borderId="0" xfId="0" applyNumberFormat="1" applyFont="1" applyFill="1" applyAlignment="1" applyProtection="1">
      <alignment horizontal="center"/>
      <protection hidden="1"/>
    </xf>
    <xf numFmtId="0" fontId="1" fillId="2" borderId="0" xfId="0" applyFont="1" applyFill="1"/>
    <xf numFmtId="0" fontId="0" fillId="2" borderId="53" xfId="0" applyFill="1" applyBorder="1" applyProtection="1">
      <protection hidden="1"/>
    </xf>
    <xf numFmtId="0" fontId="0" fillId="2" borderId="15" xfId="0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4" fontId="1" fillId="0" borderId="17" xfId="0" applyNumberFormat="1" applyFont="1" applyFill="1" applyBorder="1" applyAlignment="1" applyProtection="1">
      <alignment horizontal="right" indent="1"/>
      <protection hidden="1"/>
    </xf>
    <xf numFmtId="165" fontId="5" fillId="0" borderId="0" xfId="3" applyNumberFormat="1" applyFont="1" applyFill="1" applyBorder="1" applyProtection="1">
      <protection hidden="1"/>
    </xf>
    <xf numFmtId="0" fontId="82" fillId="0" borderId="0" xfId="3" applyFont="1" applyFill="1" applyBorder="1" applyAlignment="1" applyProtection="1">
      <alignment horizontal="center"/>
      <protection hidden="1"/>
    </xf>
    <xf numFmtId="4" fontId="0" fillId="2" borderId="0" xfId="0" applyNumberFormat="1" applyFill="1"/>
    <xf numFmtId="187" fontId="5" fillId="0" borderId="46" xfId="0" applyNumberFormat="1" applyFont="1" applyFill="1" applyBorder="1" applyAlignment="1" applyProtection="1">
      <alignment horizontal="center"/>
      <protection locked="0"/>
    </xf>
    <xf numFmtId="187" fontId="5" fillId="0" borderId="48" xfId="0" applyNumberFormat="1" applyFont="1" applyFill="1" applyBorder="1" applyAlignment="1" applyProtection="1">
      <alignment horizontal="center"/>
      <protection locked="0"/>
    </xf>
    <xf numFmtId="187" fontId="5" fillId="0" borderId="58" xfId="0" applyNumberFormat="1" applyFont="1" applyFill="1" applyBorder="1" applyAlignment="1" applyProtection="1">
      <alignment horizontal="center"/>
      <protection locked="0"/>
    </xf>
    <xf numFmtId="186" fontId="5" fillId="0" borderId="43" xfId="0" quotePrefix="1" applyNumberFormat="1" applyFont="1" applyFill="1" applyBorder="1" applyAlignment="1" applyProtection="1">
      <alignment horizontal="right" indent="1"/>
      <protection locked="0"/>
    </xf>
    <xf numFmtId="0" fontId="0" fillId="19" borderId="58" xfId="0" applyFill="1" applyBorder="1" applyAlignment="1" applyProtection="1">
      <alignment horizontal="center"/>
      <protection hidden="1"/>
    </xf>
    <xf numFmtId="4" fontId="79" fillId="14" borderId="75" xfId="0" applyNumberFormat="1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hidden="1"/>
    </xf>
    <xf numFmtId="14" fontId="32" fillId="34" borderId="8" xfId="3" quotePrefix="1" applyNumberFormat="1" applyFont="1" applyFill="1" applyBorder="1" applyAlignment="1" applyProtection="1">
      <alignment horizontal="center"/>
      <protection hidden="1"/>
    </xf>
    <xf numFmtId="0" fontId="32" fillId="34" borderId="8" xfId="0" applyFont="1" applyFill="1" applyBorder="1" applyAlignment="1" applyProtection="1">
      <alignment horizontal="center"/>
      <protection hidden="1"/>
    </xf>
    <xf numFmtId="171" fontId="32" fillId="34" borderId="8" xfId="3" applyNumberFormat="1" applyFont="1" applyFill="1" applyBorder="1" applyAlignment="1" applyProtection="1">
      <alignment horizontal="center"/>
      <protection hidden="1"/>
    </xf>
    <xf numFmtId="173" fontId="32" fillId="34" borderId="8" xfId="3" applyNumberFormat="1" applyFont="1" applyFill="1" applyBorder="1" applyAlignment="1" applyProtection="1">
      <alignment horizontal="center"/>
      <protection hidden="1"/>
    </xf>
    <xf numFmtId="176" fontId="48" fillId="34" borderId="10" xfId="3" applyNumberFormat="1" applyFont="1" applyFill="1" applyBorder="1" applyAlignment="1" applyProtection="1">
      <alignment horizontal="center" vertical="center"/>
      <protection locked="0"/>
    </xf>
    <xf numFmtId="181" fontId="32" fillId="34" borderId="8" xfId="3" applyNumberFormat="1" applyFont="1" applyFill="1" applyBorder="1" applyAlignment="1" applyProtection="1">
      <alignment horizontal="center"/>
      <protection hidden="1"/>
    </xf>
    <xf numFmtId="183" fontId="32" fillId="34" borderId="8" xfId="3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locked="0"/>
    </xf>
    <xf numFmtId="174" fontId="32" fillId="34" borderId="8" xfId="3" applyNumberFormat="1" applyFont="1" applyFill="1" applyBorder="1" applyAlignment="1" applyProtection="1">
      <alignment horizontal="center"/>
      <protection locked="0"/>
    </xf>
    <xf numFmtId="14" fontId="32" fillId="34" borderId="8" xfId="3" applyNumberFormat="1" applyFont="1" applyFill="1" applyBorder="1" applyAlignment="1" applyProtection="1">
      <alignment horizontal="center"/>
      <protection locked="0"/>
    </xf>
    <xf numFmtId="0" fontId="6" fillId="34" borderId="8" xfId="3" applyFont="1" applyFill="1" applyBorder="1" applyAlignment="1" applyProtection="1">
      <alignment horizontal="center" vertical="center"/>
      <protection hidden="1"/>
    </xf>
    <xf numFmtId="0" fontId="32" fillId="34" borderId="8" xfId="3" applyFont="1" applyFill="1" applyBorder="1" applyAlignment="1" applyProtection="1">
      <protection locked="0"/>
    </xf>
    <xf numFmtId="171" fontId="32" fillId="34" borderId="8" xfId="3" applyNumberFormat="1" applyFont="1" applyFill="1" applyBorder="1" applyAlignment="1" applyProtection="1">
      <alignment horizontal="center"/>
      <protection locked="0"/>
    </xf>
    <xf numFmtId="3" fontId="32" fillId="34" borderId="8" xfId="3" applyNumberFormat="1" applyFont="1" applyFill="1" applyBorder="1" applyAlignment="1" applyProtection="1">
      <protection locked="0"/>
    </xf>
    <xf numFmtId="173" fontId="32" fillId="34" borderId="8" xfId="3" applyNumberFormat="1" applyFont="1" applyFill="1" applyBorder="1" applyAlignment="1" applyProtection="1">
      <alignment horizontal="center"/>
      <protection locked="0"/>
    </xf>
    <xf numFmtId="167" fontId="79" fillId="14" borderId="0" xfId="2" applyFont="1" applyFill="1" applyAlignment="1" applyProtection="1">
      <alignment horizontal="center"/>
      <protection hidden="1"/>
    </xf>
    <xf numFmtId="49" fontId="79" fillId="14" borderId="0" xfId="0" applyNumberFormat="1" applyFont="1" applyFill="1" applyProtection="1">
      <protection hidden="1"/>
    </xf>
    <xf numFmtId="0" fontId="79" fillId="14" borderId="0" xfId="0" applyFont="1" applyFill="1" applyProtection="1"/>
    <xf numFmtId="0" fontId="1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protection hidden="1"/>
    </xf>
    <xf numFmtId="0" fontId="1" fillId="39" borderId="0" xfId="0" applyFont="1" applyFill="1" applyAlignment="1" applyProtection="1">
      <alignment horizontal="center"/>
      <protection hidden="1"/>
    </xf>
    <xf numFmtId="0" fontId="0" fillId="39" borderId="0" xfId="0" applyFill="1" applyProtection="1">
      <protection hidden="1"/>
    </xf>
    <xf numFmtId="14" fontId="1" fillId="3" borderId="0" xfId="0" applyNumberFormat="1" applyFont="1" applyFill="1" applyBorder="1" applyAlignment="1" applyProtection="1">
      <alignment vertical="center"/>
      <protection hidden="1"/>
    </xf>
    <xf numFmtId="0" fontId="0" fillId="0" borderId="0" xfId="0" applyAlignment="1" applyProtection="1">
      <protection hidden="1"/>
    </xf>
    <xf numFmtId="0" fontId="54" fillId="0" borderId="0" xfId="0" applyFont="1" applyAlignment="1" applyProtection="1">
      <protection hidden="1"/>
    </xf>
    <xf numFmtId="0" fontId="1" fillId="3" borderId="0" xfId="0" applyFont="1" applyFill="1" applyAlignment="1" applyProtection="1">
      <alignment horizontal="left" wrapText="1"/>
    </xf>
    <xf numFmtId="0" fontId="2" fillId="11" borderId="0" xfId="0" applyFont="1" applyFill="1" applyAlignment="1" applyProtection="1">
      <alignment vertical="center" wrapText="1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protection hidden="1"/>
    </xf>
    <xf numFmtId="4" fontId="40" fillId="0" borderId="8" xfId="0" applyNumberFormat="1" applyFont="1" applyFill="1" applyBorder="1" applyAlignment="1" applyProtection="1">
      <alignment horizontal="right" vertical="center" indent="1"/>
      <protection hidden="1"/>
    </xf>
    <xf numFmtId="4" fontId="40" fillId="0" borderId="1" xfId="0" applyNumberFormat="1" applyFont="1" applyFill="1" applyBorder="1" applyAlignment="1" applyProtection="1">
      <alignment horizontal="right" vertical="center" indent="1"/>
      <protection hidden="1"/>
    </xf>
    <xf numFmtId="4" fontId="97" fillId="0" borderId="8" xfId="0" applyNumberFormat="1" applyFont="1" applyFill="1" applyBorder="1" applyAlignment="1" applyProtection="1">
      <alignment horizontal="right" vertical="center" indent="1"/>
    </xf>
    <xf numFmtId="4" fontId="40" fillId="0" borderId="8" xfId="0" applyNumberFormat="1" applyFont="1" applyFill="1" applyBorder="1" applyAlignment="1" applyProtection="1">
      <alignment horizontal="right" vertical="center" indent="1"/>
    </xf>
    <xf numFmtId="4" fontId="97" fillId="0" borderId="1" xfId="0" applyNumberFormat="1" applyFont="1" applyFill="1" applyBorder="1" applyAlignment="1" applyProtection="1">
      <alignment horizontal="right" vertical="center" indent="1"/>
    </xf>
    <xf numFmtId="0" fontId="79" fillId="0" borderId="0" xfId="0" applyFont="1" applyFill="1" applyAlignment="1" applyProtection="1">
      <alignment horizontal="center"/>
    </xf>
    <xf numFmtId="0" fontId="79" fillId="14" borderId="0" xfId="0" applyFont="1" applyFill="1" applyAlignment="1" applyProtection="1">
      <alignment horizontal="center"/>
    </xf>
    <xf numFmtId="0" fontId="107" fillId="0" borderId="0" xfId="0" applyFont="1"/>
    <xf numFmtId="49" fontId="9" fillId="0" borderId="61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62" xfId="0" applyNumberFormat="1" applyFont="1" applyFill="1" applyBorder="1" applyAlignment="1" applyProtection="1">
      <alignment horizontal="center" vertical="center" shrinkToFit="1"/>
      <protection hidden="1"/>
    </xf>
    <xf numFmtId="0" fontId="89" fillId="23" borderId="0" xfId="0" applyFont="1" applyFill="1" applyProtection="1">
      <protection hidden="1"/>
    </xf>
    <xf numFmtId="0" fontId="128" fillId="23" borderId="0" xfId="0" applyFont="1" applyFill="1" applyProtection="1">
      <protection hidden="1"/>
    </xf>
    <xf numFmtId="0" fontId="128" fillId="23" borderId="0" xfId="0" applyFont="1" applyFill="1" applyAlignment="1" applyProtection="1">
      <alignment horizontal="left"/>
      <protection hidden="1"/>
    </xf>
    <xf numFmtId="0" fontId="0" fillId="34" borderId="0" xfId="0" applyFill="1" applyProtection="1"/>
    <xf numFmtId="0" fontId="77" fillId="34" borderId="0" xfId="0" applyFont="1" applyFill="1" applyProtection="1"/>
    <xf numFmtId="0" fontId="38" fillId="34" borderId="0" xfId="0" applyFont="1" applyFill="1" applyProtection="1"/>
    <xf numFmtId="0" fontId="0" fillId="34" borderId="0" xfId="0" applyFill="1" applyProtection="1">
      <protection hidden="1"/>
    </xf>
    <xf numFmtId="0" fontId="1" fillId="34" borderId="0" xfId="0" applyFont="1" applyFill="1" applyProtection="1">
      <protection hidden="1"/>
    </xf>
    <xf numFmtId="0" fontId="41" fillId="34" borderId="0" xfId="0" applyFont="1" applyFill="1" applyAlignment="1" applyProtection="1">
      <alignment horizontal="right"/>
      <protection hidden="1"/>
    </xf>
    <xf numFmtId="0" fontId="58" fillId="34" borderId="0" xfId="0" applyFont="1" applyFill="1" applyAlignment="1" applyProtection="1">
      <alignment horizontal="center" vertical="center" wrapText="1" shrinkToFit="1"/>
      <protection hidden="1"/>
    </xf>
    <xf numFmtId="0" fontId="8" fillId="34" borderId="0" xfId="0" applyFont="1" applyFill="1" applyAlignment="1" applyProtection="1">
      <alignment vertical="top" wrapText="1"/>
      <protection hidden="1"/>
    </xf>
    <xf numFmtId="0" fontId="99" fillId="34" borderId="0" xfId="0" applyFont="1" applyFill="1" applyAlignment="1" applyProtection="1">
      <alignment vertical="top"/>
      <protection hidden="1"/>
    </xf>
    <xf numFmtId="0" fontId="0" fillId="34" borderId="0" xfId="0" applyFill="1" applyBorder="1" applyProtection="1">
      <protection hidden="1"/>
    </xf>
    <xf numFmtId="0" fontId="0" fillId="34" borderId="0" xfId="0" applyFill="1" applyAlignment="1" applyProtection="1">
      <protection hidden="1"/>
    </xf>
    <xf numFmtId="0" fontId="1" fillId="34" borderId="0" xfId="0" applyFont="1" applyFill="1" applyAlignment="1" applyProtection="1">
      <alignment vertical="center"/>
      <protection hidden="1"/>
    </xf>
    <xf numFmtId="0" fontId="77" fillId="34" borderId="0" xfId="0" applyFont="1" applyFill="1" applyProtection="1">
      <protection hidden="1"/>
    </xf>
    <xf numFmtId="0" fontId="87" fillId="34" borderId="0" xfId="0" applyFont="1" applyFill="1" applyAlignment="1" applyProtection="1">
      <alignment vertical="center"/>
      <protection hidden="1"/>
    </xf>
    <xf numFmtId="0" fontId="41" fillId="34" borderId="0" xfId="0" applyFont="1" applyFill="1" applyAlignment="1" applyProtection="1">
      <alignment horizontal="center" vertical="center" wrapText="1"/>
      <protection hidden="1"/>
    </xf>
    <xf numFmtId="0" fontId="87" fillId="34" borderId="0" xfId="0" applyFont="1" applyFill="1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Border="1" applyAlignment="1" applyProtection="1">
      <alignment horizontal="center" vertical="center" wrapText="1"/>
      <protection hidden="1"/>
    </xf>
    <xf numFmtId="0" fontId="1" fillId="34" borderId="0" xfId="0" applyFont="1" applyFill="1" applyAlignment="1" applyProtection="1">
      <alignment horizontal="left" vertical="center" wrapText="1"/>
      <protection hidden="1"/>
    </xf>
    <xf numFmtId="0" fontId="2" fillId="34" borderId="0" xfId="0" applyFont="1" applyFill="1" applyBorder="1" applyAlignment="1" applyProtection="1">
      <alignment horizontal="center" wrapText="1"/>
      <protection hidden="1"/>
    </xf>
    <xf numFmtId="0" fontId="2" fillId="34" borderId="0" xfId="0" applyFont="1" applyFill="1" applyAlignment="1" applyProtection="1">
      <alignment vertical="center" wrapText="1"/>
      <protection hidden="1"/>
    </xf>
    <xf numFmtId="0" fontId="129" fillId="34" borderId="0" xfId="0" applyFont="1" applyFill="1" applyProtection="1">
      <protection hidden="1"/>
    </xf>
    <xf numFmtId="0" fontId="94" fillId="34" borderId="0" xfId="0" applyFont="1" applyFill="1" applyAlignment="1" applyProtection="1">
      <alignment horizontal="center"/>
      <protection hidden="1"/>
    </xf>
    <xf numFmtId="0" fontId="130" fillId="34" borderId="0" xfId="0" applyFont="1" applyFill="1" applyAlignment="1" applyProtection="1">
      <alignment horizontal="center" vertical="center" wrapText="1"/>
      <protection hidden="1"/>
    </xf>
    <xf numFmtId="0" fontId="130" fillId="34" borderId="0" xfId="0" applyFont="1" applyFill="1" applyAlignment="1" applyProtection="1">
      <alignment vertical="center" wrapText="1"/>
      <protection hidden="1"/>
    </xf>
    <xf numFmtId="0" fontId="90" fillId="34" borderId="0" xfId="0" applyFont="1" applyFill="1" applyAlignment="1" applyProtection="1">
      <alignment horizontal="center" vertical="center" wrapText="1"/>
      <protection hidden="1"/>
    </xf>
    <xf numFmtId="0" fontId="2" fillId="34" borderId="0" xfId="4" applyFont="1" applyFill="1" applyProtection="1"/>
    <xf numFmtId="0" fontId="1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/>
    </xf>
    <xf numFmtId="0" fontId="22" fillId="34" borderId="0" xfId="4" applyFont="1" applyFill="1" applyProtection="1"/>
    <xf numFmtId="0" fontId="22" fillId="34" borderId="0" xfId="4" applyFill="1" applyProtection="1"/>
    <xf numFmtId="0" fontId="3" fillId="34" borderId="84" xfId="4" applyFont="1" applyFill="1" applyBorder="1" applyAlignment="1" applyProtection="1">
      <alignment horizontal="center" vertical="center"/>
      <protection locked="0"/>
    </xf>
    <xf numFmtId="0" fontId="2" fillId="34" borderId="0" xfId="4" applyFont="1" applyFill="1" applyAlignment="1" applyProtection="1">
      <alignment horizontal="center" vertical="center"/>
    </xf>
    <xf numFmtId="0" fontId="2" fillId="34" borderId="0" xfId="4" applyFont="1" applyFill="1" applyBorder="1" applyAlignment="1" applyProtection="1">
      <alignment horizontal="center" vertical="center"/>
      <protection hidden="1"/>
    </xf>
    <xf numFmtId="0" fontId="4" fillId="34" borderId="8" xfId="4" applyFont="1" applyFill="1" applyBorder="1" applyAlignment="1" applyProtection="1">
      <alignment horizontal="center"/>
    </xf>
    <xf numFmtId="0" fontId="4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 vertical="top"/>
    </xf>
    <xf numFmtId="0" fontId="34" fillId="34" borderId="0" xfId="4" applyFont="1" applyFill="1" applyAlignment="1" applyProtection="1">
      <alignment horizontal="center"/>
    </xf>
    <xf numFmtId="0" fontId="4" fillId="34" borderId="0" xfId="4" applyFont="1" applyFill="1" applyAlignment="1" applyProtection="1">
      <alignment horizontal="right"/>
    </xf>
    <xf numFmtId="0" fontId="5" fillId="34" borderId="0" xfId="4" applyFont="1" applyFill="1" applyProtection="1"/>
    <xf numFmtId="0" fontId="72" fillId="34" borderId="0" xfId="4" applyFont="1" applyFill="1" applyProtection="1"/>
    <xf numFmtId="0" fontId="37" fillId="34" borderId="0" xfId="4" applyFont="1" applyFill="1" applyProtection="1"/>
    <xf numFmtId="0" fontId="22" fillId="34" borderId="0" xfId="5" applyFill="1" applyBorder="1" applyProtection="1">
      <protection hidden="1"/>
    </xf>
    <xf numFmtId="0" fontId="37" fillId="34" borderId="0" xfId="5" applyFont="1" applyFill="1" applyBorder="1" applyAlignment="1" applyProtection="1">
      <alignment horizontal="center"/>
      <protection hidden="1"/>
    </xf>
    <xf numFmtId="0" fontId="64" fillId="34" borderId="0" xfId="4" applyFont="1" applyFill="1" applyBorder="1" applyAlignment="1" applyProtection="1">
      <alignment horizontal="center" vertical="center"/>
      <protection hidden="1"/>
    </xf>
    <xf numFmtId="0" fontId="2" fillId="34" borderId="0" xfId="5" applyFont="1" applyFill="1" applyBorder="1" applyProtection="1">
      <protection hidden="1"/>
    </xf>
    <xf numFmtId="0" fontId="12" fillId="34" borderId="0" xfId="5" applyFont="1" applyFill="1" applyBorder="1" applyProtection="1">
      <protection hidden="1"/>
    </xf>
    <xf numFmtId="0" fontId="2" fillId="34" borderId="0" xfId="5" applyFont="1" applyFill="1" applyBorder="1" applyAlignment="1" applyProtection="1">
      <protection hidden="1"/>
    </xf>
    <xf numFmtId="0" fontId="2" fillId="34" borderId="0" xfId="5" applyFont="1" applyFill="1" applyBorder="1" applyProtection="1"/>
    <xf numFmtId="0" fontId="13" fillId="34" borderId="0" xfId="5" applyFont="1" applyFill="1" applyBorder="1" applyProtection="1"/>
    <xf numFmtId="0" fontId="2" fillId="11" borderId="0" xfId="5" applyFont="1" applyFill="1" applyBorder="1" applyProtection="1"/>
    <xf numFmtId="0" fontId="22" fillId="34" borderId="0" xfId="5" applyFill="1" applyBorder="1" applyProtection="1"/>
    <xf numFmtId="0" fontId="12" fillId="34" borderId="0" xfId="5" applyFont="1" applyFill="1" applyBorder="1" applyProtection="1"/>
    <xf numFmtId="0" fontId="2" fillId="34" borderId="0" xfId="5" applyFont="1" applyFill="1" applyBorder="1" applyAlignment="1" applyProtection="1"/>
    <xf numFmtId="0" fontId="85" fillId="11" borderId="0" xfId="5" applyFont="1" applyFill="1" applyBorder="1" applyProtection="1">
      <protection hidden="1"/>
    </xf>
    <xf numFmtId="0" fontId="22" fillId="11" borderId="0" xfId="5" applyFill="1" applyBorder="1" applyProtection="1">
      <protection hidden="1"/>
    </xf>
    <xf numFmtId="169" fontId="8" fillId="11" borderId="0" xfId="3" applyNumberFormat="1" applyFont="1" applyFill="1" applyAlignment="1" applyProtection="1">
      <protection hidden="1"/>
    </xf>
    <xf numFmtId="0" fontId="22" fillId="11" borderId="0" xfId="5" applyFont="1" applyFill="1" applyBorder="1" applyProtection="1">
      <protection hidden="1"/>
    </xf>
    <xf numFmtId="0" fontId="2" fillId="11" borderId="0" xfId="5" applyFont="1" applyFill="1" applyBorder="1" applyProtection="1">
      <protection hidden="1"/>
    </xf>
    <xf numFmtId="169" fontId="2" fillId="11" borderId="0" xfId="5" applyNumberFormat="1" applyFont="1" applyFill="1" applyBorder="1" applyProtection="1">
      <protection hidden="1"/>
    </xf>
    <xf numFmtId="0" fontId="3" fillId="11" borderId="0" xfId="5" applyFont="1" applyFill="1" applyBorder="1" applyAlignment="1" applyProtection="1">
      <alignment horizontal="right"/>
      <protection hidden="1"/>
    </xf>
    <xf numFmtId="0" fontId="4" fillId="11" borderId="0" xfId="5" applyFont="1" applyFill="1" applyBorder="1" applyAlignment="1" applyProtection="1">
      <alignment horizontal="right"/>
      <protection hidden="1"/>
    </xf>
    <xf numFmtId="0" fontId="3" fillId="11" borderId="0" xfId="5" applyFont="1" applyFill="1" applyBorder="1" applyProtection="1">
      <protection hidden="1"/>
    </xf>
    <xf numFmtId="0" fontId="6" fillId="11" borderId="0" xfId="5" applyFont="1" applyFill="1" applyBorder="1" applyAlignment="1" applyProtection="1">
      <alignment horizontal="right"/>
      <protection hidden="1"/>
    </xf>
    <xf numFmtId="0" fontId="6" fillId="22" borderId="7" xfId="0" applyFont="1" applyFill="1" applyBorder="1" applyAlignment="1" applyProtection="1">
      <alignment horizontal="center" vertical="center" shrinkToFit="1"/>
      <protection hidden="1"/>
    </xf>
    <xf numFmtId="0" fontId="6" fillId="35" borderId="6" xfId="0" applyFont="1" applyFill="1" applyBorder="1" applyAlignment="1" applyProtection="1">
      <alignment horizontal="center" vertical="center" shrinkToFit="1"/>
      <protection hidden="1"/>
    </xf>
    <xf numFmtId="0" fontId="92" fillId="36" borderId="6" xfId="0" applyFont="1" applyFill="1" applyBorder="1" applyAlignment="1" applyProtection="1">
      <alignment horizontal="center" vertical="center" shrinkToFit="1"/>
      <protection hidden="1"/>
    </xf>
    <xf numFmtId="0" fontId="6" fillId="25" borderId="6" xfId="0" applyFont="1" applyFill="1" applyBorder="1" applyAlignment="1" applyProtection="1">
      <alignment horizontal="center" vertical="center" shrinkToFit="1"/>
      <protection hidden="1"/>
    </xf>
    <xf numFmtId="0" fontId="6" fillId="37" borderId="6" xfId="0" applyFont="1" applyFill="1" applyBorder="1" applyAlignment="1" applyProtection="1">
      <alignment horizontal="center" vertical="center" shrinkToFit="1"/>
      <protection hidden="1"/>
    </xf>
    <xf numFmtId="0" fontId="92" fillId="31" borderId="6" xfId="0" applyFont="1" applyFill="1" applyBorder="1" applyAlignment="1" applyProtection="1">
      <alignment horizontal="center" vertical="center" shrinkToFit="1"/>
      <protection hidden="1"/>
    </xf>
    <xf numFmtId="0" fontId="87" fillId="28" borderId="8" xfId="0" applyFont="1" applyFill="1" applyBorder="1" applyAlignment="1" applyProtection="1">
      <alignment horizontal="center" shrinkToFit="1"/>
      <protection hidden="1"/>
    </xf>
    <xf numFmtId="0" fontId="6" fillId="22" borderId="8" xfId="0" applyFont="1" applyFill="1" applyBorder="1" applyAlignment="1" applyProtection="1">
      <alignment horizontal="center" vertical="center" shrinkToFit="1"/>
      <protection hidden="1"/>
    </xf>
    <xf numFmtId="0" fontId="92" fillId="32" borderId="6" xfId="0" applyFont="1" applyFill="1" applyBorder="1" applyAlignment="1" applyProtection="1">
      <alignment horizontal="center" vertical="center" shrinkToFit="1"/>
      <protection hidden="1"/>
    </xf>
    <xf numFmtId="0" fontId="6" fillId="25" borderId="26" xfId="0" applyFont="1" applyFill="1" applyBorder="1" applyAlignment="1" applyProtection="1">
      <alignment horizontal="center" vertical="center" shrinkToFit="1"/>
      <protection hidden="1"/>
    </xf>
    <xf numFmtId="0" fontId="6" fillId="26" borderId="6" xfId="0" applyFont="1" applyFill="1" applyBorder="1" applyAlignment="1" applyProtection="1">
      <alignment horizontal="center" vertical="center" shrinkToFit="1"/>
      <protection hidden="1"/>
    </xf>
    <xf numFmtId="0" fontId="92" fillId="31" borderId="26" xfId="0" applyFont="1" applyFill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1" fillId="23" borderId="0" xfId="0" applyFont="1" applyFill="1" applyBorder="1" applyAlignment="1" applyProtection="1">
      <alignment vertical="center" wrapText="1"/>
      <protection hidden="1"/>
    </xf>
    <xf numFmtId="0" fontId="1" fillId="23" borderId="28" xfId="0" applyFont="1" applyFill="1" applyBorder="1" applyAlignment="1" applyProtection="1">
      <alignment vertical="center" wrapText="1"/>
      <protection hidden="1"/>
    </xf>
    <xf numFmtId="0" fontId="1" fillId="23" borderId="30" xfId="0" applyFont="1" applyFill="1" applyBorder="1" applyAlignment="1" applyProtection="1">
      <alignment vertical="center" wrapText="1"/>
      <protection hidden="1"/>
    </xf>
    <xf numFmtId="0" fontId="104" fillId="11" borderId="95" xfId="3" applyFont="1" applyFill="1" applyBorder="1" applyAlignment="1" applyProtection="1">
      <alignment vertical="center"/>
      <protection hidden="1"/>
    </xf>
    <xf numFmtId="169" fontId="32" fillId="12" borderId="0" xfId="3" applyNumberFormat="1" applyFont="1" applyFill="1" applyBorder="1" applyAlignment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63" fillId="3" borderId="0" xfId="0" applyFont="1" applyFill="1" applyBorder="1" applyAlignment="1" applyProtection="1">
      <alignment horizontal="center"/>
      <protection hidden="1"/>
    </xf>
    <xf numFmtId="0" fontId="34" fillId="3" borderId="0" xfId="0" applyFont="1" applyFill="1" applyBorder="1" applyProtection="1">
      <protection hidden="1"/>
    </xf>
    <xf numFmtId="0" fontId="30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>
      <protection hidden="1"/>
    </xf>
    <xf numFmtId="0" fontId="36" fillId="3" borderId="0" xfId="0" applyFont="1" applyFill="1" applyBorder="1" applyProtection="1">
      <protection hidden="1"/>
    </xf>
    <xf numFmtId="0" fontId="131" fillId="11" borderId="103" xfId="0" applyFont="1" applyFill="1" applyBorder="1" applyAlignment="1" applyProtection="1">
      <alignment horizontal="center" vertical="center" wrapText="1"/>
      <protection hidden="1"/>
    </xf>
    <xf numFmtId="4" fontId="94" fillId="11" borderId="30" xfId="0" applyNumberFormat="1" applyFont="1" applyFill="1" applyBorder="1" applyAlignment="1" applyProtection="1">
      <alignment horizontal="right" vertical="center" wrapText="1" indent="1"/>
      <protection hidden="1"/>
    </xf>
    <xf numFmtId="4" fontId="5" fillId="0" borderId="62" xfId="0" applyNumberFormat="1" applyFont="1" applyFill="1" applyBorder="1" applyAlignment="1" applyProtection="1">
      <alignment horizontal="right" indent="1"/>
      <protection locked="0"/>
    </xf>
    <xf numFmtId="4" fontId="132" fillId="23" borderId="0" xfId="0" applyNumberFormat="1" applyFont="1" applyFill="1" applyProtection="1">
      <protection hidden="1"/>
    </xf>
    <xf numFmtId="49" fontId="9" fillId="0" borderId="18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37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locked="0"/>
    </xf>
    <xf numFmtId="0" fontId="9" fillId="0" borderId="53" xfId="0" applyFont="1" applyFill="1" applyBorder="1" applyAlignment="1" applyProtection="1">
      <alignment horizontal="center" vertical="center" shrinkToFit="1"/>
      <protection hidden="1"/>
    </xf>
    <xf numFmtId="0" fontId="9" fillId="0" borderId="56" xfId="0" applyFont="1" applyFill="1" applyBorder="1" applyAlignment="1" applyProtection="1">
      <alignment horizontal="center" vertical="center" shrinkToFit="1"/>
      <protection hidden="1"/>
    </xf>
    <xf numFmtId="0" fontId="87" fillId="28" borderId="7" xfId="0" applyFont="1" applyFill="1" applyBorder="1" applyAlignment="1" applyProtection="1">
      <alignment horizont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87" fillId="15" borderId="7" xfId="0" applyFont="1" applyFill="1" applyBorder="1" applyAlignment="1" applyProtection="1">
      <alignment horizontal="center" shrinkToFit="1"/>
      <protection hidden="1"/>
    </xf>
    <xf numFmtId="0" fontId="87" fillId="40" borderId="7" xfId="0" applyFont="1" applyFill="1" applyBorder="1" applyAlignment="1" applyProtection="1">
      <alignment horizontal="center" shrinkToFit="1"/>
      <protection hidden="1"/>
    </xf>
    <xf numFmtId="0" fontId="87" fillId="24" borderId="7" xfId="0" applyFont="1" applyFill="1" applyBorder="1" applyAlignment="1" applyProtection="1">
      <alignment horizontal="center" shrinkToFit="1"/>
      <protection hidden="1"/>
    </xf>
    <xf numFmtId="4" fontId="0" fillId="0" borderId="0" xfId="0" applyNumberFormat="1" applyFill="1" applyProtection="1">
      <protection hidden="1"/>
    </xf>
    <xf numFmtId="4" fontId="1" fillId="12" borderId="5" xfId="0" applyNumberFormat="1" applyFont="1" applyFill="1" applyBorder="1" applyAlignment="1" applyProtection="1">
      <alignment vertical="center"/>
      <protection hidden="1"/>
    </xf>
    <xf numFmtId="4" fontId="0" fillId="11" borderId="0" xfId="0" applyNumberFormat="1" applyFill="1" applyProtection="1">
      <protection hidden="1"/>
    </xf>
    <xf numFmtId="4" fontId="79" fillId="14" borderId="46" xfId="0" applyNumberFormat="1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Border="1" applyAlignment="1" applyProtection="1">
      <alignment horizontal="right"/>
      <protection hidden="1"/>
    </xf>
    <xf numFmtId="3" fontId="1" fillId="14" borderId="0" xfId="0" applyNumberFormat="1" applyFont="1" applyFill="1" applyBorder="1" applyAlignment="1" applyProtection="1">
      <alignment horizontal="center"/>
      <protection hidden="1"/>
    </xf>
    <xf numFmtId="0" fontId="1" fillId="14" borderId="0" xfId="0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Protection="1">
      <protection hidden="1"/>
    </xf>
    <xf numFmtId="14" fontId="1" fillId="14" borderId="0" xfId="0" applyNumberFormat="1" applyFont="1" applyFill="1" applyProtection="1">
      <protection hidden="1"/>
    </xf>
    <xf numFmtId="49" fontId="1" fillId="14" borderId="0" xfId="0" applyNumberFormat="1" applyFont="1" applyFill="1" applyProtection="1">
      <protection hidden="1"/>
    </xf>
    <xf numFmtId="167" fontId="1" fillId="14" borderId="0" xfId="2" applyFont="1" applyFill="1" applyAlignment="1" applyProtection="1">
      <alignment horizontal="center"/>
      <protection hidden="1"/>
    </xf>
    <xf numFmtId="0" fontId="0" fillId="14" borderId="0" xfId="0" applyNumberFormat="1" applyFill="1" applyProtection="1">
      <protection hidden="1"/>
    </xf>
    <xf numFmtId="0" fontId="1" fillId="14" borderId="0" xfId="0" applyNumberFormat="1" applyFont="1" applyFill="1" applyProtection="1">
      <protection hidden="1"/>
    </xf>
    <xf numFmtId="0" fontId="0" fillId="14" borderId="0" xfId="0" applyNumberFormat="1" applyFill="1" applyAlignment="1" applyProtection="1">
      <alignment horizontal="center"/>
      <protection hidden="1"/>
    </xf>
    <xf numFmtId="4" fontId="5" fillId="0" borderId="47" xfId="0" applyNumberFormat="1" applyFont="1" applyFill="1" applyBorder="1" applyAlignment="1" applyProtection="1">
      <alignment horizontal="right" indent="1"/>
    </xf>
    <xf numFmtId="0" fontId="0" fillId="14" borderId="0" xfId="0" applyFill="1" applyProtection="1">
      <protection hidden="1"/>
    </xf>
    <xf numFmtId="0" fontId="1" fillId="2" borderId="0" xfId="0" applyFont="1" applyFill="1" applyAlignment="1" applyProtection="1">
      <protection hidden="1"/>
    </xf>
    <xf numFmtId="0" fontId="79" fillId="0" borderId="8" xfId="0" applyFont="1" applyFill="1" applyBorder="1" applyAlignment="1" applyProtection="1">
      <alignment horizontal="left"/>
      <protection hidden="1"/>
    </xf>
    <xf numFmtId="4" fontId="79" fillId="14" borderId="8" xfId="0" applyNumberFormat="1" applyFont="1" applyFill="1" applyBorder="1" applyProtection="1">
      <protection hidden="1"/>
    </xf>
    <xf numFmtId="0" fontId="0" fillId="2" borderId="48" xfId="0" applyFill="1" applyBorder="1" applyAlignment="1" applyProtection="1">
      <alignment horizontal="center"/>
      <protection hidden="1"/>
    </xf>
    <xf numFmtId="0" fontId="0" fillId="19" borderId="48" xfId="0" applyFill="1" applyBorder="1" applyAlignment="1" applyProtection="1">
      <alignment horizontal="center"/>
      <protection hidden="1"/>
    </xf>
    <xf numFmtId="4" fontId="79" fillId="0" borderId="8" xfId="0" applyNumberFormat="1" applyFont="1" applyFill="1" applyBorder="1" applyAlignment="1" applyProtection="1">
      <alignment horizontal="left"/>
      <protection hidden="1"/>
    </xf>
    <xf numFmtId="0" fontId="0" fillId="23" borderId="17" xfId="0" applyNumberFormat="1" applyFill="1" applyBorder="1" applyProtection="1">
      <protection hidden="1"/>
    </xf>
    <xf numFmtId="0" fontId="0" fillId="23" borderId="17" xfId="0" applyFill="1" applyBorder="1" applyProtection="1"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41" borderId="0" xfId="0" applyFill="1"/>
    <xf numFmtId="0" fontId="9" fillId="0" borderId="63" xfId="0" applyFont="1" applyFill="1" applyBorder="1" applyAlignment="1" applyProtection="1">
      <alignment horizontal="center" vertical="center" shrinkToFit="1"/>
      <protection hidden="1"/>
    </xf>
    <xf numFmtId="4" fontId="12" fillId="42" borderId="60" xfId="3" applyNumberFormat="1" applyFont="1" applyFill="1" applyBorder="1" applyAlignment="1" applyProtection="1">
      <alignment horizontal="right"/>
      <protection hidden="1"/>
    </xf>
    <xf numFmtId="49" fontId="133" fillId="16" borderId="29" xfId="7" applyNumberFormat="1" applyFont="1" applyFill="1" applyBorder="1" applyAlignment="1" applyProtection="1">
      <alignment horizontal="center" vertical="center"/>
      <protection hidden="1"/>
    </xf>
    <xf numFmtId="0" fontId="134" fillId="34" borderId="0" xfId="0" applyFont="1" applyFill="1" applyProtection="1">
      <protection hidden="1"/>
    </xf>
    <xf numFmtId="0" fontId="135" fillId="0" borderId="0" xfId="3" applyFont="1" applyProtection="1">
      <protection hidden="1"/>
    </xf>
    <xf numFmtId="0" fontId="136" fillId="34" borderId="0" xfId="5" applyFont="1" applyFill="1" applyBorder="1" applyProtection="1">
      <protection hidden="1"/>
    </xf>
    <xf numFmtId="0" fontId="83" fillId="11" borderId="0" xfId="0" applyFont="1" applyFill="1" applyProtection="1">
      <protection hidden="1"/>
    </xf>
    <xf numFmtId="0" fontId="139" fillId="0" borderId="97" xfId="3" applyFont="1" applyFill="1" applyBorder="1" applyAlignment="1" applyProtection="1">
      <alignment horizontal="right" vertical="center"/>
      <protection hidden="1"/>
    </xf>
    <xf numFmtId="0" fontId="139" fillId="3" borderId="0" xfId="3" applyFont="1" applyFill="1" applyBorder="1" applyAlignment="1" applyProtection="1">
      <alignment horizontal="right" vertical="center"/>
      <protection hidden="1"/>
    </xf>
    <xf numFmtId="0" fontId="139" fillId="0" borderId="0" xfId="3" applyFont="1" applyFill="1" applyBorder="1" applyAlignment="1" applyProtection="1">
      <alignment horizontal="right" vertical="center"/>
      <protection hidden="1"/>
    </xf>
    <xf numFmtId="0" fontId="6" fillId="0" borderId="97" xfId="3" applyFont="1" applyFill="1" applyBorder="1" applyAlignment="1" applyProtection="1">
      <alignment horizontal="right" vertical="center"/>
      <protection hidden="1"/>
    </xf>
    <xf numFmtId="0" fontId="6" fillId="3" borderId="0" xfId="3" applyFont="1" applyFill="1" applyBorder="1" applyAlignment="1" applyProtection="1">
      <alignment horizontal="right" vertical="center"/>
      <protection hidden="1"/>
    </xf>
    <xf numFmtId="0" fontId="140" fillId="0" borderId="97" xfId="3" applyFont="1" applyFill="1" applyBorder="1" applyAlignment="1" applyProtection="1">
      <alignment horizontal="right" vertical="center"/>
      <protection hidden="1"/>
    </xf>
    <xf numFmtId="0" fontId="140" fillId="3" borderId="0" xfId="3" applyFont="1" applyFill="1" applyBorder="1" applyAlignment="1" applyProtection="1">
      <alignment horizontal="right" vertical="center"/>
      <protection hidden="1"/>
    </xf>
    <xf numFmtId="0" fontId="140" fillId="0" borderId="0" xfId="3" applyFont="1" applyFill="1" applyBorder="1" applyAlignment="1" applyProtection="1">
      <alignment horizontal="right" vertical="center"/>
      <protection hidden="1"/>
    </xf>
    <xf numFmtId="0" fontId="140" fillId="0" borderId="99" xfId="3" applyFont="1" applyFill="1" applyBorder="1" applyAlignment="1" applyProtection="1">
      <alignment horizontal="right" vertical="center"/>
      <protection hidden="1"/>
    </xf>
    <xf numFmtId="0" fontId="140" fillId="3" borderId="100" xfId="3" applyFont="1" applyFill="1" applyBorder="1" applyAlignment="1" applyProtection="1">
      <alignment horizontal="right" vertical="center"/>
      <protection hidden="1"/>
    </xf>
    <xf numFmtId="0" fontId="140" fillId="0" borderId="100" xfId="3" applyFont="1" applyFill="1" applyBorder="1" applyAlignment="1" applyProtection="1">
      <alignment horizontal="right" vertical="center"/>
      <protection hidden="1"/>
    </xf>
    <xf numFmtId="0" fontId="93" fillId="12" borderId="97" xfId="3" applyFont="1" applyFill="1" applyBorder="1" applyAlignment="1" applyProtection="1">
      <alignment horizontal="right" vertical="center"/>
      <protection hidden="1"/>
    </xf>
    <xf numFmtId="0" fontId="93" fillId="12" borderId="0" xfId="3" applyFont="1" applyFill="1" applyBorder="1" applyAlignment="1" applyProtection="1">
      <alignment horizontal="right" vertical="center"/>
      <protection hidden="1"/>
    </xf>
    <xf numFmtId="0" fontId="93" fillId="0" borderId="94" xfId="3" applyFont="1" applyFill="1" applyBorder="1" applyAlignment="1" applyProtection="1">
      <alignment horizontal="right" vertical="center"/>
      <protection hidden="1"/>
    </xf>
    <xf numFmtId="0" fontId="93" fillId="3" borderId="95" xfId="3" applyFont="1" applyFill="1" applyBorder="1" applyAlignment="1" applyProtection="1">
      <alignment horizontal="right" vertical="center"/>
      <protection hidden="1"/>
    </xf>
    <xf numFmtId="0" fontId="137" fillId="0" borderId="97" xfId="3" applyFont="1" applyFill="1" applyBorder="1" applyAlignment="1" applyProtection="1">
      <alignment horizontal="right" vertical="center"/>
      <protection hidden="1"/>
    </xf>
    <xf numFmtId="0" fontId="137" fillId="3" borderId="0" xfId="3" applyFont="1" applyFill="1" applyBorder="1" applyAlignment="1" applyProtection="1">
      <alignment horizontal="right" vertical="center"/>
      <protection hidden="1"/>
    </xf>
    <xf numFmtId="0" fontId="43" fillId="0" borderId="94" xfId="3" applyFont="1" applyFill="1" applyBorder="1" applyAlignment="1" applyProtection="1">
      <alignment horizontal="right" vertical="center"/>
      <protection hidden="1"/>
    </xf>
    <xf numFmtId="0" fontId="43" fillId="3" borderId="95" xfId="3" applyFont="1" applyFill="1" applyBorder="1" applyAlignment="1" applyProtection="1">
      <alignment horizontal="right" vertical="center"/>
      <protection hidden="1"/>
    </xf>
    <xf numFmtId="0" fontId="43" fillId="0" borderId="95" xfId="3" applyFont="1" applyFill="1" applyBorder="1" applyAlignment="1" applyProtection="1">
      <alignment horizontal="right" vertical="center"/>
      <protection hidden="1"/>
    </xf>
    <xf numFmtId="0" fontId="127" fillId="0" borderId="97" xfId="3" applyFont="1" applyFill="1" applyBorder="1" applyAlignment="1" applyProtection="1">
      <alignment horizontal="right" vertical="center"/>
      <protection hidden="1"/>
    </xf>
    <xf numFmtId="0" fontId="127" fillId="3" borderId="0" xfId="3" applyFont="1" applyFill="1" applyBorder="1" applyAlignment="1" applyProtection="1">
      <alignment horizontal="right" vertical="center"/>
      <protection hidden="1"/>
    </xf>
    <xf numFmtId="0" fontId="93" fillId="0" borderId="97" xfId="3" applyFont="1" applyFill="1" applyBorder="1" applyAlignment="1" applyProtection="1">
      <alignment horizontal="right" vertical="center"/>
      <protection hidden="1"/>
    </xf>
    <xf numFmtId="0" fontId="93" fillId="3" borderId="0" xfId="3" applyFont="1" applyFill="1" applyBorder="1" applyAlignment="1" applyProtection="1">
      <alignment horizontal="right" vertical="center"/>
      <protection hidden="1"/>
    </xf>
    <xf numFmtId="0" fontId="126" fillId="0" borderId="97" xfId="3" applyFont="1" applyFill="1" applyBorder="1" applyAlignment="1" applyProtection="1">
      <alignment horizontal="right" vertical="center"/>
      <protection hidden="1"/>
    </xf>
    <xf numFmtId="0" fontId="126" fillId="3" borderId="0" xfId="3" applyFont="1" applyFill="1" applyBorder="1" applyAlignment="1" applyProtection="1">
      <alignment horizontal="right" vertical="center"/>
      <protection hidden="1"/>
    </xf>
    <xf numFmtId="0" fontId="125" fillId="0" borderId="97" xfId="3" applyFont="1" applyFill="1" applyBorder="1" applyAlignment="1" applyProtection="1">
      <alignment horizontal="right" vertical="center"/>
      <protection hidden="1"/>
    </xf>
    <xf numFmtId="0" fontId="141" fillId="3" borderId="0" xfId="3" applyFont="1" applyFill="1" applyBorder="1" applyAlignment="1" applyProtection="1">
      <alignment horizontal="right" vertical="center"/>
      <protection hidden="1"/>
    </xf>
    <xf numFmtId="0" fontId="125" fillId="3" borderId="0" xfId="3" applyFont="1" applyFill="1" applyBorder="1" applyAlignment="1" applyProtection="1">
      <alignment horizontal="right" vertical="center"/>
      <protection hidden="1"/>
    </xf>
    <xf numFmtId="0" fontId="140" fillId="11" borderId="100" xfId="3" applyFont="1" applyFill="1" applyBorder="1" applyAlignment="1" applyProtection="1">
      <alignment horizontal="right" vertical="center"/>
      <protection hidden="1"/>
    </xf>
    <xf numFmtId="0" fontId="140" fillId="11" borderId="0" xfId="3" applyFont="1" applyFill="1" applyBorder="1" applyAlignment="1" applyProtection="1">
      <alignment horizontal="right" vertical="center"/>
      <protection hidden="1"/>
    </xf>
    <xf numFmtId="0" fontId="122" fillId="0" borderId="97" xfId="3" applyFont="1" applyFill="1" applyBorder="1" applyAlignment="1" applyProtection="1">
      <alignment horizontal="right" vertical="center"/>
      <protection hidden="1"/>
    </xf>
    <xf numFmtId="0" fontId="122" fillId="3" borderId="0" xfId="3" applyFont="1" applyFill="1" applyBorder="1" applyAlignment="1" applyProtection="1">
      <alignment horizontal="right" vertical="center"/>
      <protection hidden="1"/>
    </xf>
    <xf numFmtId="0" fontId="138" fillId="0" borderId="97" xfId="3" applyFont="1" applyFill="1" applyBorder="1" applyAlignment="1" applyProtection="1">
      <alignment horizontal="right" vertical="center"/>
      <protection hidden="1"/>
    </xf>
    <xf numFmtId="0" fontId="138" fillId="3" borderId="0" xfId="3" applyFont="1" applyFill="1" applyBorder="1" applyAlignment="1" applyProtection="1">
      <alignment horizontal="right" vertical="center"/>
      <protection hidden="1"/>
    </xf>
    <xf numFmtId="0" fontId="93" fillId="11" borderId="95" xfId="3" applyFont="1" applyFill="1" applyBorder="1" applyAlignment="1" applyProtection="1">
      <alignment horizontal="right" vertical="center"/>
      <protection hidden="1"/>
    </xf>
    <xf numFmtId="0" fontId="137" fillId="0" borderId="0" xfId="3" applyFont="1" applyFill="1" applyBorder="1" applyAlignment="1" applyProtection="1">
      <alignment horizontal="right" vertical="center"/>
      <protection hidden="1"/>
    </xf>
    <xf numFmtId="0" fontId="43" fillId="11" borderId="95" xfId="3" applyFont="1" applyFill="1" applyBorder="1" applyAlignment="1" applyProtection="1">
      <alignment horizontal="right" vertical="center"/>
      <protection hidden="1"/>
    </xf>
    <xf numFmtId="0" fontId="126" fillId="0" borderId="0" xfId="3" applyFont="1" applyFill="1" applyBorder="1" applyAlignment="1" applyProtection="1">
      <alignment horizontal="right" vertical="center"/>
      <protection hidden="1"/>
    </xf>
    <xf numFmtId="0" fontId="93" fillId="11" borderId="0" xfId="3" applyFont="1" applyFill="1" applyBorder="1" applyAlignment="1" applyProtection="1">
      <alignment horizontal="right" vertical="center"/>
      <protection hidden="1"/>
    </xf>
    <xf numFmtId="0" fontId="125" fillId="0" borderId="0" xfId="3" applyFont="1" applyFill="1" applyBorder="1" applyAlignment="1" applyProtection="1">
      <alignment horizontal="right" vertical="center"/>
      <protection hidden="1"/>
    </xf>
    <xf numFmtId="0" fontId="122" fillId="0" borderId="0" xfId="3" applyFont="1" applyFill="1" applyBorder="1" applyAlignment="1" applyProtection="1">
      <alignment horizontal="right" vertical="center"/>
      <protection hidden="1"/>
    </xf>
    <xf numFmtId="0" fontId="138" fillId="0" borderId="0" xfId="3" applyFont="1" applyFill="1" applyBorder="1" applyAlignment="1" applyProtection="1">
      <alignment horizontal="right" vertical="center"/>
      <protection hidden="1"/>
    </xf>
    <xf numFmtId="0" fontId="93" fillId="0" borderId="0" xfId="3" applyFont="1" applyFill="1" applyBorder="1" applyAlignment="1" applyProtection="1">
      <alignment horizontal="right" vertical="center"/>
      <protection hidden="1"/>
    </xf>
    <xf numFmtId="0" fontId="9" fillId="0" borderId="57" xfId="0" applyFont="1" applyFill="1" applyBorder="1" applyAlignment="1" applyProtection="1">
      <alignment horizontal="center" vertical="center"/>
      <protection hidden="1"/>
    </xf>
    <xf numFmtId="14" fontId="6" fillId="7" borderId="42" xfId="3" applyNumberFormat="1" applyFont="1" applyFill="1" applyBorder="1" applyAlignment="1" applyProtection="1">
      <alignment horizontal="center"/>
      <protection hidden="1"/>
    </xf>
    <xf numFmtId="14" fontId="94" fillId="12" borderId="70" xfId="0" applyNumberFormat="1" applyFont="1" applyFill="1" applyBorder="1" applyAlignment="1" applyProtection="1">
      <alignment horizontal="center"/>
      <protection locked="0"/>
    </xf>
    <xf numFmtId="0" fontId="0" fillId="19" borderId="0" xfId="0" applyNumberFormat="1" applyFill="1" applyProtection="1">
      <protection hidden="1"/>
    </xf>
    <xf numFmtId="0" fontId="1" fillId="19" borderId="0" xfId="0" applyNumberFormat="1" applyFont="1" applyFill="1" applyProtection="1">
      <protection hidden="1"/>
    </xf>
    <xf numFmtId="0" fontId="5" fillId="2" borderId="71" xfId="0" applyNumberFormat="1" applyFont="1" applyFill="1" applyBorder="1" applyAlignment="1" applyProtection="1">
      <alignment horizontal="center"/>
      <protection hidden="1"/>
    </xf>
    <xf numFmtId="49" fontId="5" fillId="2" borderId="71" xfId="0" applyNumberFormat="1" applyFont="1" applyFill="1" applyBorder="1" applyAlignment="1" applyProtection="1">
      <alignment horizontal="center"/>
      <protection locked="0"/>
    </xf>
    <xf numFmtId="190" fontId="5" fillId="2" borderId="68" xfId="0" applyNumberFormat="1" applyFont="1" applyFill="1" applyBorder="1" applyAlignment="1" applyProtection="1">
      <alignment horizontal="right" indent="1"/>
      <protection locked="0"/>
    </xf>
    <xf numFmtId="0" fontId="5" fillId="2" borderId="68" xfId="0" applyNumberFormat="1" applyFont="1" applyFill="1" applyBorder="1" applyAlignment="1" applyProtection="1">
      <alignment horizontal="center"/>
      <protection hidden="1"/>
    </xf>
    <xf numFmtId="0" fontId="5" fillId="2" borderId="69" xfId="0" applyNumberFormat="1" applyFont="1" applyFill="1" applyBorder="1" applyAlignment="1" applyProtection="1">
      <alignment horizontal="left"/>
      <protection hidden="1"/>
    </xf>
    <xf numFmtId="0" fontId="5" fillId="2" borderId="70" xfId="0" applyNumberFormat="1" applyFont="1" applyFill="1" applyBorder="1" applyAlignment="1" applyProtection="1">
      <alignment horizontal="left"/>
      <protection locked="0"/>
    </xf>
    <xf numFmtId="0" fontId="5" fillId="2" borderId="70" xfId="0" applyNumberFormat="1" applyFont="1" applyFill="1" applyBorder="1" applyAlignment="1" applyProtection="1">
      <alignment horizontal="left"/>
      <protection hidden="1"/>
    </xf>
    <xf numFmtId="0" fontId="5" fillId="2" borderId="70" xfId="0" applyNumberFormat="1" applyFont="1" applyFill="1" applyBorder="1" applyAlignment="1" applyProtection="1">
      <alignment horizontal="center"/>
      <protection locked="0"/>
    </xf>
    <xf numFmtId="0" fontId="5" fillId="2" borderId="71" xfId="0" applyNumberFormat="1" applyFont="1" applyFill="1" applyBorder="1" applyAlignment="1" applyProtection="1">
      <alignment horizontal="center"/>
      <protection locked="0"/>
    </xf>
    <xf numFmtId="0" fontId="5" fillId="2" borderId="69" xfId="0" applyFont="1" applyFill="1" applyBorder="1" applyProtection="1">
      <protection locked="0"/>
    </xf>
    <xf numFmtId="49" fontId="5" fillId="2" borderId="18" xfId="0" applyNumberFormat="1" applyFont="1" applyFill="1" applyBorder="1" applyAlignment="1" applyProtection="1">
      <alignment horizontal="center"/>
      <protection locked="0"/>
    </xf>
    <xf numFmtId="3" fontId="5" fillId="2" borderId="72" xfId="0" applyNumberFormat="1" applyFont="1" applyFill="1" applyBorder="1" applyAlignment="1" applyProtection="1">
      <alignment horizontal="center"/>
      <protection locked="0"/>
    </xf>
    <xf numFmtId="14" fontId="5" fillId="2" borderId="73" xfId="0" applyNumberFormat="1" applyFont="1" applyFill="1" applyBorder="1" applyAlignment="1" applyProtection="1">
      <alignment horizontal="center"/>
      <protection locked="0"/>
    </xf>
    <xf numFmtId="0" fontId="5" fillId="2" borderId="74" xfId="0" applyNumberFormat="1" applyFont="1" applyFill="1" applyBorder="1" applyAlignment="1" applyProtection="1">
      <alignment horizontal="center"/>
      <protection locked="0"/>
    </xf>
    <xf numFmtId="4" fontId="5" fillId="2" borderId="75" xfId="0" applyNumberFormat="1" applyFont="1" applyFill="1" applyBorder="1" applyAlignment="1" applyProtection="1">
      <alignment horizontal="right" indent="1"/>
      <protection locked="0"/>
    </xf>
    <xf numFmtId="4" fontId="5" fillId="2" borderId="73" xfId="0" applyNumberFormat="1" applyFont="1" applyFill="1" applyBorder="1" applyAlignment="1" applyProtection="1">
      <alignment horizontal="right" indent="1"/>
      <protection locked="0"/>
    </xf>
    <xf numFmtId="0" fontId="5" fillId="2" borderId="71" xfId="0" applyFont="1" applyFill="1" applyBorder="1" applyAlignment="1" applyProtection="1">
      <alignment horizontal="center"/>
      <protection locked="0"/>
    </xf>
    <xf numFmtId="187" fontId="5" fillId="2" borderId="71" xfId="0" applyNumberFormat="1" applyFont="1" applyFill="1" applyBorder="1" applyAlignment="1" applyProtection="1">
      <alignment horizontal="center"/>
      <protection locked="0"/>
    </xf>
    <xf numFmtId="3" fontId="5" fillId="2" borderId="71" xfId="0" applyNumberFormat="1" applyFont="1" applyFill="1" applyBorder="1" applyAlignment="1" applyProtection="1">
      <alignment horizontal="center"/>
      <protection locked="0"/>
    </xf>
    <xf numFmtId="4" fontId="5" fillId="2" borderId="71" xfId="0" applyNumberFormat="1" applyFont="1" applyFill="1" applyBorder="1" applyAlignment="1" applyProtection="1">
      <alignment horizontal="right" indent="1"/>
      <protection locked="0"/>
    </xf>
    <xf numFmtId="0" fontId="1" fillId="2" borderId="93" xfId="0" applyNumberFormat="1" applyFont="1" applyFill="1" applyBorder="1" applyAlignment="1" applyProtection="1">
      <alignment horizontal="left"/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4" fontId="94" fillId="12" borderId="21" xfId="0" applyNumberFormat="1" applyFont="1" applyFill="1" applyBorder="1" applyAlignment="1" applyProtection="1">
      <alignment horizontal="right" indent="1"/>
    </xf>
    <xf numFmtId="0" fontId="5" fillId="14" borderId="20" xfId="0" applyFont="1" applyFill="1" applyBorder="1" applyProtection="1">
      <protection locked="0"/>
    </xf>
    <xf numFmtId="0" fontId="9" fillId="23" borderId="86" xfId="0" applyFont="1" applyFill="1" applyBorder="1" applyAlignment="1" applyProtection="1">
      <alignment horizontal="center" vertical="center" wrapText="1"/>
      <protection hidden="1"/>
    </xf>
    <xf numFmtId="0" fontId="3" fillId="22" borderId="90" xfId="0" applyFont="1" applyFill="1" applyBorder="1" applyAlignment="1" applyProtection="1">
      <alignment horizontal="center" vertical="center"/>
      <protection hidden="1"/>
    </xf>
    <xf numFmtId="0" fontId="3" fillId="22" borderId="91" xfId="0" applyFont="1" applyFill="1" applyBorder="1" applyAlignment="1" applyProtection="1">
      <alignment horizontal="center" vertical="center"/>
      <protection hidden="1"/>
    </xf>
    <xf numFmtId="0" fontId="3" fillId="22" borderId="92" xfId="0" applyFont="1" applyFill="1" applyBorder="1" applyAlignment="1" applyProtection="1">
      <alignment horizontal="center" vertical="center"/>
      <protection hidden="1"/>
    </xf>
    <xf numFmtId="0" fontId="87" fillId="21" borderId="85" xfId="0" applyFont="1" applyFill="1" applyBorder="1" applyAlignment="1" applyProtection="1">
      <alignment horizontal="center" vertical="center"/>
      <protection hidden="1"/>
    </xf>
    <xf numFmtId="0" fontId="87" fillId="21" borderId="0" xfId="0" applyFont="1" applyFill="1" applyBorder="1" applyAlignment="1" applyProtection="1">
      <alignment horizontal="center" vertical="center"/>
      <protection hidden="1"/>
    </xf>
    <xf numFmtId="0" fontId="87" fillId="21" borderId="89" xfId="0" applyFont="1" applyFill="1" applyBorder="1" applyAlignment="1" applyProtection="1">
      <alignment horizontal="center" vertical="center"/>
      <protection hidden="1"/>
    </xf>
    <xf numFmtId="0" fontId="116" fillId="21" borderId="85" xfId="0" applyFont="1" applyFill="1" applyBorder="1" applyAlignment="1" applyProtection="1">
      <alignment horizontal="center" vertical="center"/>
      <protection hidden="1"/>
    </xf>
    <xf numFmtId="0" fontId="116" fillId="21" borderId="0" xfId="0" applyFont="1" applyFill="1" applyBorder="1" applyAlignment="1" applyProtection="1">
      <alignment horizontal="center" vertical="center"/>
      <protection hidden="1"/>
    </xf>
    <xf numFmtId="0" fontId="116" fillId="21" borderId="89" xfId="0" applyFont="1" applyFill="1" applyBorder="1" applyAlignment="1" applyProtection="1">
      <alignment horizontal="center" vertical="center"/>
      <protection hidden="1"/>
    </xf>
    <xf numFmtId="0" fontId="87" fillId="15" borderId="10" xfId="0" applyFont="1" applyFill="1" applyBorder="1" applyAlignment="1" applyProtection="1">
      <alignment horizontal="center" vertical="center"/>
      <protection hidden="1"/>
    </xf>
    <xf numFmtId="0" fontId="87" fillId="15" borderId="20" xfId="0" applyFont="1" applyFill="1" applyBorder="1" applyAlignment="1" applyProtection="1">
      <alignment horizontal="center" vertical="center"/>
      <protection hidden="1"/>
    </xf>
    <xf numFmtId="0" fontId="87" fillId="15" borderId="26" xfId="0" applyFont="1" applyFill="1" applyBorder="1" applyAlignment="1" applyProtection="1">
      <alignment horizontal="center" vertical="center"/>
      <protection hidden="1"/>
    </xf>
    <xf numFmtId="0" fontId="92" fillId="15" borderId="86" xfId="0" applyFont="1" applyFill="1" applyBorder="1" applyAlignment="1" applyProtection="1">
      <alignment horizontal="center" vertical="center" wrapText="1"/>
      <protection hidden="1"/>
    </xf>
    <xf numFmtId="0" fontId="92" fillId="15" borderId="87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Alignment="1" applyProtection="1">
      <alignment horizontal="center" vertical="center"/>
      <protection hidden="1"/>
    </xf>
    <xf numFmtId="0" fontId="90" fillId="23" borderId="91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Border="1" applyAlignment="1" applyProtection="1">
      <alignment horizontal="left" vertical="center"/>
      <protection hidden="1"/>
    </xf>
    <xf numFmtId="0" fontId="86" fillId="23" borderId="0" xfId="0" applyFont="1" applyFill="1" applyBorder="1" applyAlignment="1" applyProtection="1">
      <alignment horizontal="left" vertical="center"/>
      <protection hidden="1"/>
    </xf>
    <xf numFmtId="0" fontId="87" fillId="28" borderId="10" xfId="0" applyFont="1" applyFill="1" applyBorder="1" applyAlignment="1" applyProtection="1">
      <alignment horizontal="center" vertical="center" wrapText="1"/>
      <protection hidden="1"/>
    </xf>
    <xf numFmtId="0" fontId="87" fillId="28" borderId="20" xfId="0" applyFont="1" applyFill="1" applyBorder="1" applyAlignment="1" applyProtection="1">
      <alignment horizontal="center" vertical="center" wrapText="1"/>
      <protection hidden="1"/>
    </xf>
    <xf numFmtId="0" fontId="87" fillId="28" borderId="26" xfId="0" applyFont="1" applyFill="1" applyBorder="1" applyAlignment="1" applyProtection="1">
      <alignment horizontal="center" vertical="center" wrapText="1"/>
      <protection hidden="1"/>
    </xf>
    <xf numFmtId="0" fontId="87" fillId="33" borderId="10" xfId="0" applyFont="1" applyFill="1" applyBorder="1" applyAlignment="1" applyProtection="1">
      <alignment horizontal="center" vertical="center"/>
      <protection hidden="1"/>
    </xf>
    <xf numFmtId="0" fontId="87" fillId="33" borderId="20" xfId="0" applyFont="1" applyFill="1" applyBorder="1" applyAlignment="1" applyProtection="1">
      <alignment horizontal="center" vertical="center"/>
      <protection hidden="1"/>
    </xf>
    <xf numFmtId="0" fontId="87" fillId="33" borderId="26" xfId="0" applyFont="1" applyFill="1" applyBorder="1" applyAlignment="1" applyProtection="1">
      <alignment horizontal="center" vertic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8" fillId="23" borderId="0" xfId="0" applyFont="1" applyFill="1" applyAlignment="1" applyProtection="1">
      <alignment horizontal="center" vertical="center" wrapText="1"/>
      <protection hidden="1"/>
    </xf>
    <xf numFmtId="0" fontId="87" fillId="24" borderId="10" xfId="0" applyFont="1" applyFill="1" applyBorder="1" applyAlignment="1" applyProtection="1">
      <alignment horizontal="center" vertical="center" wrapText="1"/>
      <protection hidden="1"/>
    </xf>
    <xf numFmtId="0" fontId="87" fillId="24" borderId="20" xfId="0" applyFont="1" applyFill="1" applyBorder="1" applyAlignment="1" applyProtection="1">
      <alignment horizontal="center" vertical="center" wrapText="1"/>
      <protection hidden="1"/>
    </xf>
    <xf numFmtId="0" fontId="87" fillId="24" borderId="26" xfId="0" applyFont="1" applyFill="1" applyBorder="1" applyAlignment="1" applyProtection="1">
      <alignment horizontal="center" vertical="center" wrapText="1"/>
      <protection hidden="1"/>
    </xf>
    <xf numFmtId="0" fontId="87" fillId="30" borderId="10" xfId="0" applyFont="1" applyFill="1" applyBorder="1" applyAlignment="1" applyProtection="1">
      <alignment horizontal="center" vertical="center"/>
      <protection hidden="1"/>
    </xf>
    <xf numFmtId="0" fontId="87" fillId="30" borderId="20" xfId="0" applyFont="1" applyFill="1" applyBorder="1" applyAlignment="1" applyProtection="1">
      <alignment horizontal="center" vertical="center"/>
      <protection hidden="1"/>
    </xf>
    <xf numFmtId="0" fontId="87" fillId="30" borderId="26" xfId="0" applyFont="1" applyFill="1" applyBorder="1" applyAlignment="1" applyProtection="1">
      <alignment horizontal="center" vertical="center"/>
      <protection hidden="1"/>
    </xf>
    <xf numFmtId="0" fontId="87" fillId="27" borderId="10" xfId="0" applyFont="1" applyFill="1" applyBorder="1" applyAlignment="1" applyProtection="1">
      <alignment horizontal="center" vertical="center"/>
      <protection hidden="1"/>
    </xf>
    <xf numFmtId="0" fontId="87" fillId="27" borderId="20" xfId="0" applyFont="1" applyFill="1" applyBorder="1" applyAlignment="1" applyProtection="1">
      <alignment horizontal="center" vertical="center"/>
      <protection hidden="1"/>
    </xf>
    <xf numFmtId="0" fontId="87" fillId="27" borderId="26" xfId="0" applyFont="1" applyFill="1" applyBorder="1" applyAlignment="1" applyProtection="1">
      <alignment horizontal="center" vertical="center"/>
      <protection hidden="1"/>
    </xf>
    <xf numFmtId="0" fontId="8" fillId="22" borderId="91" xfId="0" applyFont="1" applyFill="1" applyBorder="1" applyAlignment="1" applyProtection="1">
      <alignment horizontal="center" vertical="center"/>
      <protection hidden="1"/>
    </xf>
    <xf numFmtId="0" fontId="8" fillId="22" borderId="92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1" fontId="95" fillId="22" borderId="85" xfId="0" applyNumberFormat="1" applyFont="1" applyFill="1" applyBorder="1" applyAlignment="1" applyProtection="1">
      <alignment horizontal="center" vertical="center"/>
      <protection hidden="1"/>
    </xf>
    <xf numFmtId="1" fontId="87" fillId="21" borderId="86" xfId="0" applyNumberFormat="1" applyFont="1" applyFill="1" applyBorder="1" applyAlignment="1" applyProtection="1">
      <alignment horizontal="left" shrinkToFit="1"/>
      <protection hidden="1"/>
    </xf>
    <xf numFmtId="1" fontId="87" fillId="21" borderId="87" xfId="0" applyNumberFormat="1" applyFont="1" applyFill="1" applyBorder="1" applyAlignment="1" applyProtection="1">
      <alignment horizontal="left" shrinkToFit="1"/>
      <protection hidden="1"/>
    </xf>
    <xf numFmtId="0" fontId="119" fillId="23" borderId="0" xfId="0" applyFont="1" applyFill="1" applyAlignment="1" applyProtection="1">
      <alignment horizontal="left"/>
    </xf>
    <xf numFmtId="0" fontId="90" fillId="23" borderId="0" xfId="0" applyFont="1" applyFill="1" applyAlignment="1" applyProtection="1">
      <alignment horizontal="center"/>
      <protection hidden="1"/>
    </xf>
    <xf numFmtId="0" fontId="87" fillId="24" borderId="28" xfId="0" applyFont="1" applyFill="1" applyBorder="1" applyAlignment="1" applyProtection="1">
      <alignment horizontal="center" vertical="center" wrapText="1"/>
      <protection hidden="1"/>
    </xf>
    <xf numFmtId="0" fontId="87" fillId="24" borderId="30" xfId="0" applyFont="1" applyFill="1" applyBorder="1" applyAlignment="1" applyProtection="1">
      <alignment horizontal="center" vertical="center" wrapText="1"/>
      <protection hidden="1"/>
    </xf>
    <xf numFmtId="0" fontId="8" fillId="33" borderId="43" xfId="0" applyFont="1" applyFill="1" applyBorder="1" applyAlignment="1" applyProtection="1">
      <alignment horizontal="center"/>
    </xf>
    <xf numFmtId="0" fontId="8" fillId="33" borderId="26" xfId="0" applyFont="1" applyFill="1" applyBorder="1" applyAlignment="1" applyProtection="1">
      <alignment horizontal="center"/>
    </xf>
    <xf numFmtId="0" fontId="86" fillId="23" borderId="63" xfId="0" applyFont="1" applyFill="1" applyBorder="1" applyAlignment="1" applyProtection="1">
      <alignment horizontal="center" vertical="center"/>
      <protection hidden="1"/>
    </xf>
    <xf numFmtId="0" fontId="86" fillId="23" borderId="64" xfId="0" applyFont="1" applyFill="1" applyBorder="1" applyAlignment="1" applyProtection="1">
      <alignment horizontal="center" vertical="center"/>
      <protection hidden="1"/>
    </xf>
    <xf numFmtId="0" fontId="86" fillId="23" borderId="65" xfId="0" applyFont="1" applyFill="1" applyBorder="1" applyAlignment="1" applyProtection="1">
      <alignment horizontal="center" vertical="center"/>
      <protection hidden="1"/>
    </xf>
    <xf numFmtId="0" fontId="8" fillId="23" borderId="22" xfId="0" applyFont="1" applyFill="1" applyBorder="1" applyAlignment="1" applyProtection="1">
      <alignment horizontal="center"/>
    </xf>
    <xf numFmtId="0" fontId="8" fillId="23" borderId="5" xfId="0" applyFont="1" applyFill="1" applyBorder="1" applyAlignment="1" applyProtection="1">
      <alignment horizontal="center"/>
    </xf>
    <xf numFmtId="0" fontId="8" fillId="23" borderId="45" xfId="0" applyFont="1" applyFill="1" applyBorder="1" applyAlignment="1" applyProtection="1">
      <alignment horizontal="center"/>
    </xf>
    <xf numFmtId="0" fontId="8" fillId="33" borderId="68" xfId="0" applyFont="1" applyFill="1" applyBorder="1" applyAlignment="1" applyProtection="1">
      <alignment horizontal="center"/>
    </xf>
    <xf numFmtId="0" fontId="8" fillId="33" borderId="74" xfId="0" applyFont="1" applyFill="1" applyBorder="1" applyAlignment="1" applyProtection="1">
      <alignment horizontal="center"/>
    </xf>
    <xf numFmtId="4" fontId="122" fillId="34" borderId="8" xfId="3" applyNumberFormat="1" applyFont="1" applyFill="1" applyBorder="1" applyAlignment="1" applyProtection="1">
      <alignment horizontal="right" vertical="center" indent="3"/>
      <protection hidden="1"/>
    </xf>
    <xf numFmtId="4" fontId="43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43" fillId="34" borderId="26" xfId="3" applyNumberFormat="1" applyFont="1" applyFill="1" applyBorder="1" applyAlignment="1" applyProtection="1">
      <alignment horizontal="right" vertical="center" indent="3"/>
      <protection hidden="1"/>
    </xf>
    <xf numFmtId="4" fontId="138" fillId="34" borderId="8" xfId="3" applyNumberFormat="1" applyFont="1" applyFill="1" applyBorder="1" applyAlignment="1" applyProtection="1">
      <alignment horizontal="right" vertical="center" indent="3"/>
      <protection hidden="1"/>
    </xf>
    <xf numFmtId="4" fontId="93" fillId="34" borderId="104" xfId="3" applyNumberFormat="1" applyFont="1" applyFill="1" applyBorder="1" applyAlignment="1" applyProtection="1">
      <alignment horizontal="right" vertical="center" wrapText="1" indent="3"/>
      <protection hidden="1"/>
    </xf>
    <xf numFmtId="0" fontId="142" fillId="12" borderId="104" xfId="3" applyFont="1" applyFill="1" applyBorder="1" applyAlignment="1" applyProtection="1">
      <alignment horizontal="center" vertical="center" wrapText="1"/>
      <protection hidden="1"/>
    </xf>
    <xf numFmtId="188" fontId="61" fillId="0" borderId="0" xfId="3" applyNumberFormat="1" applyFont="1" applyFill="1" applyBorder="1" applyAlignment="1" applyProtection="1">
      <alignment horizontal="center" vertical="center"/>
      <protection hidden="1"/>
    </xf>
    <xf numFmtId="170" fontId="14" fillId="34" borderId="28" xfId="3" applyNumberFormat="1" applyFont="1" applyFill="1" applyBorder="1" applyAlignment="1" applyProtection="1">
      <alignment horizontal="center"/>
      <protection hidden="1"/>
    </xf>
    <xf numFmtId="170" fontId="14" fillId="34" borderId="30" xfId="3" applyNumberFormat="1" applyFont="1" applyFill="1" applyBorder="1" applyAlignment="1" applyProtection="1">
      <alignment horizontal="center"/>
      <protection hidden="1"/>
    </xf>
    <xf numFmtId="14" fontId="93" fillId="34" borderId="28" xfId="3" applyNumberFormat="1" applyFont="1" applyFill="1" applyBorder="1" applyAlignment="1" applyProtection="1">
      <alignment horizontal="center"/>
      <protection hidden="1"/>
    </xf>
    <xf numFmtId="14" fontId="93" fillId="34" borderId="30" xfId="3" applyNumberFormat="1" applyFont="1" applyFill="1" applyBorder="1" applyAlignment="1" applyProtection="1">
      <alignment horizontal="center"/>
      <protection hidden="1"/>
    </xf>
    <xf numFmtId="0" fontId="32" fillId="34" borderId="10" xfId="3" applyFont="1" applyFill="1" applyBorder="1" applyAlignment="1" applyProtection="1">
      <alignment horizontal="left"/>
      <protection locked="0"/>
    </xf>
    <xf numFmtId="0" fontId="32" fillId="34" borderId="20" xfId="3" applyFont="1" applyFill="1" applyBorder="1" applyAlignment="1" applyProtection="1">
      <alignment horizontal="left"/>
      <protection locked="0"/>
    </xf>
    <xf numFmtId="0" fontId="32" fillId="34" borderId="26" xfId="3" applyFont="1" applyFill="1" applyBorder="1" applyAlignment="1" applyProtection="1">
      <alignment horizontal="left"/>
      <protection locked="0"/>
    </xf>
    <xf numFmtId="0" fontId="18" fillId="34" borderId="10" xfId="1" applyFill="1" applyBorder="1" applyAlignment="1" applyProtection="1">
      <alignment horizontal="left"/>
      <protection locked="0"/>
    </xf>
    <xf numFmtId="0" fontId="5" fillId="0" borderId="2" xfId="3" applyFont="1" applyFill="1" applyBorder="1" applyAlignment="1" applyProtection="1">
      <alignment horizontal="right"/>
      <protection hidden="1"/>
    </xf>
    <xf numFmtId="0" fontId="5" fillId="0" borderId="3" xfId="3" applyFont="1" applyFill="1" applyBorder="1" applyAlignment="1" applyProtection="1">
      <alignment horizontal="right"/>
      <protection hidden="1"/>
    </xf>
    <xf numFmtId="0" fontId="5" fillId="0" borderId="9" xfId="3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left"/>
      <protection locked="0"/>
    </xf>
    <xf numFmtId="0" fontId="32" fillId="34" borderId="10" xfId="3" applyFont="1" applyFill="1" applyBorder="1" applyAlignment="1" applyProtection="1">
      <alignment horizontal="center"/>
      <protection hidden="1"/>
    </xf>
    <xf numFmtId="0" fontId="32" fillId="34" borderId="26" xfId="3" applyFont="1" applyFill="1" applyBorder="1" applyAlignment="1" applyProtection="1">
      <alignment horizontal="center"/>
      <protection hidden="1"/>
    </xf>
    <xf numFmtId="0" fontId="5" fillId="0" borderId="5" xfId="3" applyFont="1" applyFill="1" applyBorder="1" applyAlignment="1" applyProtection="1">
      <alignment horizontal="left"/>
      <protection hidden="1"/>
    </xf>
    <xf numFmtId="0" fontId="30" fillId="10" borderId="0" xfId="3" applyFont="1" applyFill="1" applyBorder="1" applyAlignment="1" applyProtection="1">
      <alignment horizontal="center"/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hidden="1"/>
    </xf>
    <xf numFmtId="0" fontId="32" fillId="34" borderId="20" xfId="3" applyFont="1" applyFill="1" applyBorder="1" applyAlignment="1" applyProtection="1">
      <alignment horizontal="left"/>
      <protection hidden="1"/>
    </xf>
    <xf numFmtId="0" fontId="32" fillId="34" borderId="26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left"/>
    </xf>
    <xf numFmtId="0" fontId="0" fillId="34" borderId="20" xfId="0" applyFill="1" applyBorder="1" applyAlignment="1" applyProtection="1">
      <alignment horizontal="left"/>
    </xf>
    <xf numFmtId="0" fontId="0" fillId="34" borderId="26" xfId="0" applyFill="1" applyBorder="1" applyAlignment="1" applyProtection="1">
      <alignment horizontal="left"/>
    </xf>
    <xf numFmtId="170" fontId="14" fillId="34" borderId="10" xfId="3" applyNumberFormat="1" applyFont="1" applyFill="1" applyBorder="1" applyAlignment="1" applyProtection="1">
      <alignment horizontal="center"/>
      <protection hidden="1"/>
    </xf>
    <xf numFmtId="170" fontId="14" fillId="34" borderId="26" xfId="3" applyNumberFormat="1" applyFont="1" applyFill="1" applyBorder="1" applyAlignment="1" applyProtection="1">
      <alignment horizontal="center"/>
      <protection hidden="1"/>
    </xf>
    <xf numFmtId="185" fontId="32" fillId="34" borderId="10" xfId="3" applyNumberFormat="1" applyFont="1" applyFill="1" applyBorder="1" applyAlignment="1" applyProtection="1">
      <alignment horizontal="center"/>
      <protection locked="0"/>
    </xf>
    <xf numFmtId="185" fontId="32" fillId="34" borderId="26" xfId="3" applyNumberFormat="1" applyFont="1" applyFill="1" applyBorder="1" applyAlignment="1" applyProtection="1">
      <alignment horizontal="center"/>
      <protection locked="0"/>
    </xf>
    <xf numFmtId="0" fontId="14" fillId="0" borderId="2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0" fontId="5" fillId="6" borderId="12" xfId="3" applyFont="1" applyFill="1" applyBorder="1" applyAlignment="1" applyProtection="1">
      <alignment horizontal="center"/>
      <protection hidden="1"/>
    </xf>
    <xf numFmtId="0" fontId="5" fillId="6" borderId="9" xfId="3" applyFont="1" applyFill="1" applyBorder="1" applyAlignment="1" applyProtection="1">
      <alignment horizontal="center"/>
      <protection hidden="1"/>
    </xf>
    <xf numFmtId="0" fontId="5" fillId="6" borderId="11" xfId="3" applyFont="1" applyFill="1" applyBorder="1" applyAlignment="1" applyProtection="1">
      <alignment horizontal="center"/>
      <protection hidden="1"/>
    </xf>
    <xf numFmtId="0" fontId="32" fillId="34" borderId="10" xfId="3" applyFont="1" applyFill="1" applyBorder="1" applyAlignment="1" applyProtection="1">
      <alignment horizontal="center"/>
    </xf>
    <xf numFmtId="0" fontId="32" fillId="34" borderId="26" xfId="3" applyFont="1" applyFill="1" applyBorder="1" applyAlignment="1" applyProtection="1">
      <alignment horizontal="center"/>
    </xf>
    <xf numFmtId="0" fontId="66" fillId="34" borderId="10" xfId="1" applyFont="1" applyFill="1" applyBorder="1" applyAlignment="1" applyProtection="1">
      <alignment horizontal="left"/>
      <protection hidden="1"/>
    </xf>
    <xf numFmtId="0" fontId="67" fillId="34" borderId="20" xfId="3" applyFont="1" applyFill="1" applyBorder="1" applyAlignment="1" applyProtection="1">
      <alignment horizontal="left"/>
      <protection hidden="1"/>
    </xf>
    <xf numFmtId="0" fontId="67" fillId="34" borderId="26" xfId="3" applyFont="1" applyFill="1" applyBorder="1" applyAlignment="1" applyProtection="1">
      <alignment horizontal="left"/>
      <protection hidden="1"/>
    </xf>
    <xf numFmtId="0" fontId="32" fillId="34" borderId="10" xfId="0" applyFont="1" applyFill="1" applyBorder="1" applyAlignment="1" applyProtection="1">
      <alignment horizontal="left"/>
      <protection hidden="1"/>
    </xf>
    <xf numFmtId="0" fontId="32" fillId="34" borderId="20" xfId="0" applyFont="1" applyFill="1" applyBorder="1" applyAlignment="1" applyProtection="1">
      <alignment horizontal="left"/>
      <protection hidden="1"/>
    </xf>
    <xf numFmtId="0" fontId="32" fillId="34" borderId="26" xfId="0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locked="0" hidden="1"/>
    </xf>
    <xf numFmtId="0" fontId="32" fillId="34" borderId="20" xfId="3" applyFont="1" applyFill="1" applyBorder="1" applyAlignment="1" applyProtection="1">
      <alignment horizontal="left"/>
      <protection locked="0" hidden="1"/>
    </xf>
    <xf numFmtId="0" fontId="32" fillId="34" borderId="26" xfId="3" applyFont="1" applyFill="1" applyBorder="1" applyAlignment="1" applyProtection="1">
      <alignment horizontal="left"/>
      <protection locked="0" hidden="1"/>
    </xf>
    <xf numFmtId="180" fontId="32" fillId="34" borderId="10" xfId="3" applyNumberFormat="1" applyFont="1" applyFill="1" applyBorder="1" applyAlignment="1" applyProtection="1">
      <alignment horizontal="center"/>
      <protection hidden="1"/>
    </xf>
    <xf numFmtId="180" fontId="32" fillId="34" borderId="26" xfId="3" applyNumberFormat="1" applyFont="1" applyFill="1" applyBorder="1" applyAlignment="1" applyProtection="1">
      <alignment horizontal="center"/>
      <protection hidden="1"/>
    </xf>
    <xf numFmtId="1" fontId="92" fillId="3" borderId="2" xfId="3" applyNumberFormat="1" applyFont="1" applyFill="1" applyBorder="1" applyAlignment="1" applyProtection="1">
      <alignment horizontal="left"/>
      <protection hidden="1"/>
    </xf>
    <xf numFmtId="0" fontId="92" fillId="3" borderId="0" xfId="3" applyFont="1" applyFill="1" applyBorder="1" applyAlignment="1" applyProtection="1">
      <alignment horizontal="left"/>
      <protection hidden="1"/>
    </xf>
    <xf numFmtId="0" fontId="76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6" xfId="3" applyNumberFormat="1" applyFont="1" applyFill="1" applyBorder="1" applyAlignment="1" applyProtection="1">
      <alignment horizontal="center" vertical="center" wrapText="1"/>
      <protection hidden="1"/>
    </xf>
    <xf numFmtId="1" fontId="14" fillId="8" borderId="8" xfId="3" applyNumberFormat="1" applyFont="1" applyFill="1" applyBorder="1" applyAlignment="1" applyProtection="1">
      <alignment horizontal="left"/>
      <protection hidden="1"/>
    </xf>
    <xf numFmtId="0" fontId="14" fillId="8" borderId="8" xfId="3" applyFont="1" applyFill="1" applyBorder="1" applyAlignment="1" applyProtection="1">
      <alignment horizontal="left"/>
      <protection hidden="1"/>
    </xf>
    <xf numFmtId="178" fontId="32" fillId="34" borderId="10" xfId="0" applyNumberFormat="1" applyFont="1" applyFill="1" applyBorder="1" applyAlignment="1" applyProtection="1">
      <alignment horizontal="center"/>
      <protection hidden="1"/>
    </xf>
    <xf numFmtId="178" fontId="32" fillId="34" borderId="26" xfId="0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32" fillId="34" borderId="26" xfId="3" applyNumberFormat="1" applyFont="1" applyFill="1" applyBorder="1" applyAlignment="1" applyProtection="1">
      <alignment horizontal="right" vertical="center" indent="3"/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4" fontId="124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3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6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5" fillId="34" borderId="8" xfId="3" applyNumberFormat="1" applyFont="1" applyFill="1" applyBorder="1" applyAlignment="1" applyProtection="1">
      <alignment horizontal="right" vertical="center" indent="3"/>
      <protection hidden="1"/>
    </xf>
    <xf numFmtId="0" fontId="97" fillId="34" borderId="28" xfId="0" applyFont="1" applyFill="1" applyBorder="1" applyAlignment="1" applyProtection="1">
      <alignment horizontal="left"/>
      <protection hidden="1"/>
    </xf>
    <xf numFmtId="0" fontId="97" fillId="34" borderId="29" xfId="0" applyFont="1" applyFill="1" applyBorder="1" applyAlignment="1" applyProtection="1">
      <alignment horizontal="left"/>
      <protection hidden="1"/>
    </xf>
    <xf numFmtId="0" fontId="97" fillId="34" borderId="30" xfId="0" applyFont="1" applyFill="1" applyBorder="1" applyAlignment="1" applyProtection="1">
      <alignment horizontal="left"/>
      <protection hidden="1"/>
    </xf>
    <xf numFmtId="4" fontId="1" fillId="3" borderId="23" xfId="0" applyNumberFormat="1" applyFont="1" applyFill="1" applyBorder="1" applyAlignment="1" applyProtection="1">
      <alignment horizontal="right" indent="1"/>
      <protection hidden="1"/>
    </xf>
    <xf numFmtId="4" fontId="1" fillId="3" borderId="24" xfId="0" applyNumberFormat="1" applyFont="1" applyFill="1" applyBorder="1" applyAlignment="1" applyProtection="1">
      <alignment horizontal="right" indent="1"/>
      <protection hidden="1"/>
    </xf>
    <xf numFmtId="4" fontId="1" fillId="3" borderId="25" xfId="0" applyNumberFormat="1" applyFont="1" applyFill="1" applyBorder="1" applyAlignment="1" applyProtection="1">
      <alignment horizontal="right" indent="1"/>
      <protection hidden="1"/>
    </xf>
    <xf numFmtId="0" fontId="1" fillId="3" borderId="31" xfId="0" applyFont="1" applyFill="1" applyBorder="1" applyAlignment="1" applyProtection="1">
      <alignment horizontal="center" vertical="center" wrapText="1"/>
      <protection hidden="1"/>
    </xf>
    <xf numFmtId="0" fontId="1" fillId="3" borderId="66" xfId="0" applyFont="1" applyFill="1" applyBorder="1" applyAlignment="1" applyProtection="1">
      <alignment horizontal="center" vertical="center" wrapText="1"/>
      <protection hidden="1"/>
    </xf>
    <xf numFmtId="0" fontId="1" fillId="3" borderId="62" xfId="0" applyFont="1" applyFill="1" applyBorder="1" applyAlignment="1" applyProtection="1">
      <alignment horizontal="center" vertical="center" wrapText="1"/>
      <protection hidden="1"/>
    </xf>
    <xf numFmtId="0" fontId="97" fillId="34" borderId="37" xfId="0" applyFont="1" applyFill="1" applyBorder="1" applyAlignment="1" applyProtection="1">
      <alignment horizontal="left"/>
      <protection hidden="1"/>
    </xf>
    <xf numFmtId="0" fontId="97" fillId="34" borderId="66" xfId="0" applyFont="1" applyFill="1" applyBorder="1" applyAlignment="1" applyProtection="1">
      <alignment horizontal="left"/>
      <protection hidden="1"/>
    </xf>
    <xf numFmtId="0" fontId="97" fillId="34" borderId="78" xfId="0" applyFont="1" applyFill="1" applyBorder="1" applyAlignment="1" applyProtection="1">
      <alignment horizontal="left"/>
      <protection hidden="1"/>
    </xf>
    <xf numFmtId="0" fontId="1" fillId="3" borderId="37" xfId="0" applyFont="1" applyFill="1" applyBorder="1" applyAlignment="1" applyProtection="1">
      <alignment horizontal="center" vertical="center" wrapText="1"/>
      <protection hidden="1"/>
    </xf>
    <xf numFmtId="4" fontId="1" fillId="3" borderId="29" xfId="0" applyNumberFormat="1" applyFont="1" applyFill="1" applyBorder="1" applyAlignment="1" applyProtection="1">
      <alignment horizontal="right" indent="1"/>
      <protection hidden="1"/>
    </xf>
    <xf numFmtId="4" fontId="1" fillId="3" borderId="30" xfId="0" applyNumberFormat="1" applyFont="1" applyFill="1" applyBorder="1" applyAlignment="1" applyProtection="1">
      <alignment horizontal="right" indent="1"/>
      <protection hidden="1"/>
    </xf>
    <xf numFmtId="0" fontId="115" fillId="3" borderId="0" xfId="0" applyFont="1" applyFill="1" applyAlignment="1" applyProtection="1">
      <alignment horizontal="left" vertical="center" wrapText="1"/>
      <protection hidden="1"/>
    </xf>
    <xf numFmtId="0" fontId="0" fillId="3" borderId="5" xfId="0" applyFill="1" applyBorder="1" applyAlignment="1" applyProtection="1">
      <alignment horizontal="center"/>
      <protection locked="0"/>
    </xf>
    <xf numFmtId="0" fontId="97" fillId="34" borderId="28" xfId="0" applyFont="1" applyFill="1" applyBorder="1" applyAlignment="1" applyProtection="1">
      <alignment horizontal="center" vertical="center"/>
      <protection hidden="1"/>
    </xf>
    <xf numFmtId="0" fontId="97" fillId="34" borderId="29" xfId="0" applyFont="1" applyFill="1" applyBorder="1" applyAlignment="1" applyProtection="1">
      <alignment horizontal="center" vertical="center"/>
      <protection hidden="1"/>
    </xf>
    <xf numFmtId="0" fontId="97" fillId="34" borderId="81" xfId="0" applyFont="1" applyFill="1" applyBorder="1" applyAlignment="1" applyProtection="1">
      <alignment horizontal="center" vertical="center"/>
      <protection hidden="1"/>
    </xf>
    <xf numFmtId="0" fontId="97" fillId="34" borderId="30" xfId="0" applyFont="1" applyFill="1" applyBorder="1" applyAlignment="1" applyProtection="1">
      <alignment horizontal="center" vertical="center"/>
      <protection hidden="1"/>
    </xf>
    <xf numFmtId="0" fontId="7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justify" vertical="center" wrapText="1"/>
      <protection hidden="1"/>
    </xf>
    <xf numFmtId="0" fontId="97" fillId="34" borderId="27" xfId="0" applyFont="1" applyFill="1" applyBorder="1" applyAlignment="1" applyProtection="1">
      <alignment horizontal="center" vertical="center"/>
      <protection hidden="1"/>
    </xf>
    <xf numFmtId="0" fontId="97" fillId="34" borderId="39" xfId="0" applyFont="1" applyFill="1" applyBorder="1" applyAlignment="1" applyProtection="1">
      <alignment horizontal="center" vertical="center"/>
      <protection hidden="1"/>
    </xf>
    <xf numFmtId="0" fontId="1" fillId="3" borderId="81" xfId="0" applyFont="1" applyFill="1" applyBorder="1" applyAlignment="1" applyProtection="1">
      <alignment horizontal="center" vertical="center" wrapText="1"/>
      <protection hidden="1"/>
    </xf>
    <xf numFmtId="0" fontId="1" fillId="3" borderId="27" xfId="0" applyFont="1" applyFill="1" applyBorder="1" applyAlignment="1" applyProtection="1">
      <alignment horizontal="center" vertical="center" wrapText="1"/>
      <protection hidden="1"/>
    </xf>
    <xf numFmtId="0" fontId="1" fillId="3" borderId="39" xfId="0" applyFont="1" applyFill="1" applyBorder="1" applyAlignment="1" applyProtection="1">
      <alignment horizontal="center" vertical="center" wrapText="1"/>
      <protection hidden="1"/>
    </xf>
    <xf numFmtId="4" fontId="1" fillId="3" borderId="29" xfId="0" applyNumberFormat="1" applyFont="1" applyFill="1" applyBorder="1" applyAlignment="1" applyProtection="1">
      <alignment horizontal="right" vertical="center" indent="1"/>
      <protection hidden="1"/>
    </xf>
    <xf numFmtId="4" fontId="1" fillId="3" borderId="30" xfId="0" applyNumberFormat="1" applyFont="1" applyFill="1" applyBorder="1" applyAlignment="1" applyProtection="1">
      <alignment horizontal="right" vertical="center" indent="1"/>
      <protection hidden="1"/>
    </xf>
    <xf numFmtId="0" fontId="97" fillId="34" borderId="103" xfId="0" applyFont="1" applyFill="1" applyBorder="1" applyAlignment="1" applyProtection="1">
      <alignment horizontal="left"/>
      <protection hidden="1"/>
    </xf>
    <xf numFmtId="0" fontId="97" fillId="34" borderId="27" xfId="0" applyFont="1" applyFill="1" applyBorder="1" applyAlignment="1" applyProtection="1">
      <alignment horizontal="left"/>
      <protection hidden="1"/>
    </xf>
    <xf numFmtId="0" fontId="97" fillId="34" borderId="79" xfId="0" applyFont="1" applyFill="1" applyBorder="1" applyAlignment="1" applyProtection="1">
      <alignment horizontal="left"/>
      <protection hidden="1"/>
    </xf>
    <xf numFmtId="4" fontId="1" fillId="3" borderId="28" xfId="0" applyNumberFormat="1" applyFont="1" applyFill="1" applyBorder="1" applyAlignment="1" applyProtection="1">
      <alignment horizontal="right" vertical="center" indent="1"/>
      <protection hidden="1"/>
    </xf>
    <xf numFmtId="4" fontId="1" fillId="3" borderId="28" xfId="0" applyNumberFormat="1" applyFont="1" applyFill="1" applyBorder="1" applyAlignment="1" applyProtection="1">
      <alignment horizontal="right" indent="1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97" fillId="34" borderId="103" xfId="0" applyFont="1" applyFill="1" applyBorder="1" applyAlignment="1" applyProtection="1">
      <alignment horizontal="left" vertical="center"/>
      <protection hidden="1"/>
    </xf>
    <xf numFmtId="0" fontId="97" fillId="34" borderId="27" xfId="0" applyFont="1" applyFill="1" applyBorder="1" applyAlignment="1" applyProtection="1">
      <alignment horizontal="left" vertical="center"/>
      <protection hidden="1"/>
    </xf>
    <xf numFmtId="0" fontId="97" fillId="34" borderId="79" xfId="0" applyFont="1" applyFill="1" applyBorder="1" applyAlignment="1" applyProtection="1">
      <alignment horizontal="left" vertical="center"/>
      <protection hidden="1"/>
    </xf>
    <xf numFmtId="0" fontId="52" fillId="3" borderId="0" xfId="0" applyFont="1" applyFill="1" applyAlignment="1" applyProtection="1">
      <alignment horizontal="center"/>
      <protection hidden="1"/>
    </xf>
    <xf numFmtId="14" fontId="68" fillId="3" borderId="5" xfId="0" applyNumberFormat="1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justify"/>
      <protection hidden="1"/>
    </xf>
    <xf numFmtId="0" fontId="69" fillId="3" borderId="0" xfId="0" applyFont="1" applyFill="1" applyAlignment="1" applyProtection="1">
      <alignment horizontal="justify"/>
      <protection hidden="1"/>
    </xf>
    <xf numFmtId="0" fontId="97" fillId="34" borderId="103" xfId="0" applyFont="1" applyFill="1" applyBorder="1" applyAlignment="1" applyProtection="1">
      <alignment horizontal="center" vertical="center"/>
      <protection hidden="1"/>
    </xf>
    <xf numFmtId="0" fontId="97" fillId="34" borderId="79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49" fontId="8" fillId="3" borderId="0" xfId="0" applyNumberFormat="1" applyFont="1" applyFill="1" applyBorder="1" applyAlignment="1" applyProtection="1">
      <alignment horizontal="left"/>
      <protection locked="0"/>
    </xf>
    <xf numFmtId="0" fontId="1" fillId="11" borderId="0" xfId="0" applyFont="1" applyFill="1" applyAlignment="1" applyProtection="1">
      <alignment horizontal="left"/>
      <protection hidden="1"/>
    </xf>
    <xf numFmtId="0" fontId="71" fillId="3" borderId="5" xfId="0" applyFont="1" applyFill="1" applyBorder="1" applyAlignment="1" applyProtection="1">
      <alignment horizontal="center"/>
      <protection hidden="1"/>
    </xf>
    <xf numFmtId="0" fontId="1" fillId="3" borderId="9" xfId="0" applyFont="1" applyFill="1" applyBorder="1" applyAlignment="1" applyProtection="1">
      <alignment horizontal="center"/>
      <protection hidden="1"/>
    </xf>
    <xf numFmtId="0" fontId="71" fillId="3" borderId="9" xfId="0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left" vertical="center" wrapText="1"/>
      <protection locked="0"/>
    </xf>
    <xf numFmtId="0" fontId="71" fillId="3" borderId="0" xfId="0" applyFont="1" applyFill="1" applyAlignment="1" applyProtection="1">
      <alignment horizontal="left" vertical="center" wrapText="1"/>
      <protection locked="0"/>
    </xf>
    <xf numFmtId="0" fontId="1" fillId="3" borderId="0" xfId="0" applyFont="1" applyFill="1" applyAlignment="1" applyProtection="1">
      <alignment horizontal="left" vertical="center" wrapText="1"/>
      <protection locked="0" hidden="1"/>
    </xf>
    <xf numFmtId="0" fontId="71" fillId="3" borderId="0" xfId="0" applyFont="1" applyFill="1" applyAlignment="1" applyProtection="1">
      <alignment horizontal="left" vertical="center" wrapText="1"/>
      <protection locked="0" hidden="1"/>
    </xf>
    <xf numFmtId="0" fontId="71" fillId="3" borderId="0" xfId="0" applyFont="1" applyFill="1" applyAlignment="1" applyProtection="1">
      <alignment horizontal="center" shrinkToFit="1"/>
      <protection hidden="1"/>
    </xf>
    <xf numFmtId="0" fontId="1" fillId="3" borderId="0" xfId="0" applyFont="1" applyFill="1" applyAlignment="1" applyProtection="1">
      <alignment horizontal="justify" vertical="justify"/>
      <protection hidden="1"/>
    </xf>
    <xf numFmtId="0" fontId="71" fillId="3" borderId="0" xfId="0" applyFont="1" applyFill="1" applyAlignment="1" applyProtection="1">
      <alignment horizontal="justify" vertical="justify"/>
      <protection hidden="1"/>
    </xf>
    <xf numFmtId="0" fontId="97" fillId="34" borderId="39" xfId="0" applyFont="1" applyFill="1" applyBorder="1" applyAlignment="1" applyProtection="1">
      <alignment horizontal="left"/>
      <protection hidden="1"/>
    </xf>
    <xf numFmtId="4" fontId="97" fillId="34" borderId="28" xfId="0" applyNumberFormat="1" applyFont="1" applyFill="1" applyBorder="1" applyAlignment="1" applyProtection="1">
      <alignment horizontal="right" indent="1"/>
      <protection hidden="1"/>
    </xf>
    <xf numFmtId="4" fontId="97" fillId="34" borderId="29" xfId="0" applyNumberFormat="1" applyFont="1" applyFill="1" applyBorder="1" applyAlignment="1" applyProtection="1">
      <alignment horizontal="right" indent="1"/>
      <protection hidden="1"/>
    </xf>
    <xf numFmtId="4" fontId="97" fillId="34" borderId="30" xfId="0" applyNumberFormat="1" applyFont="1" applyFill="1" applyBorder="1" applyAlignment="1" applyProtection="1">
      <alignment horizontal="right" indent="1"/>
      <protection hidden="1"/>
    </xf>
    <xf numFmtId="4" fontId="97" fillId="34" borderId="81" xfId="0" applyNumberFormat="1" applyFont="1" applyFill="1" applyBorder="1" applyAlignment="1" applyProtection="1">
      <alignment horizontal="right" indent="1"/>
      <protection hidden="1"/>
    </xf>
    <xf numFmtId="0" fontId="1" fillId="3" borderId="0" xfId="0" applyFont="1" applyFill="1" applyAlignment="1" applyProtection="1">
      <alignment horizontal="center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left" wrapText="1"/>
      <protection hidden="1"/>
    </xf>
    <xf numFmtId="0" fontId="8" fillId="3" borderId="0" xfId="0" applyFont="1" applyFill="1" applyAlignment="1" applyProtection="1">
      <alignment horizontal="justify" vertical="center" wrapText="1"/>
      <protection hidden="1"/>
    </xf>
    <xf numFmtId="0" fontId="1" fillId="3" borderId="0" xfId="0" applyFont="1" applyFill="1" applyAlignment="1" applyProtection="1">
      <alignment horizontal="justify" vertical="center" wrapText="1"/>
      <protection locked="0"/>
    </xf>
    <xf numFmtId="0" fontId="0" fillId="3" borderId="0" xfId="0" applyFill="1" applyAlignment="1" applyProtection="1">
      <alignment horizontal="justify" vertical="center" wrapText="1"/>
      <protection locked="0"/>
    </xf>
    <xf numFmtId="0" fontId="1" fillId="3" borderId="0" xfId="0" applyFont="1" applyFill="1" applyAlignment="1" applyProtection="1">
      <alignment horizontal="center" vertical="top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20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4" fontId="8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0" fillId="3" borderId="0" xfId="0" quotePrefix="1" applyFill="1" applyAlignment="1" applyProtection="1">
      <alignment horizontal="left" wrapText="1"/>
      <protection hidden="1"/>
    </xf>
    <xf numFmtId="165" fontId="8" fillId="3" borderId="0" xfId="0" applyNumberFormat="1" applyFont="1" applyFill="1" applyBorder="1" applyAlignment="1" applyProtection="1">
      <alignment horizontal="center"/>
      <protection hidden="1"/>
    </xf>
    <xf numFmtId="0" fontId="1" fillId="3" borderId="0" xfId="0" quotePrefix="1" applyFont="1" applyFill="1" applyAlignment="1" applyProtection="1">
      <alignment horizontal="left" wrapText="1"/>
      <protection hidden="1"/>
    </xf>
    <xf numFmtId="4" fontId="1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121" fillId="3" borderId="0" xfId="0" applyFont="1" applyFill="1" applyAlignment="1" applyProtection="1">
      <alignment horizontal="left" vertical="center" wrapText="1"/>
      <protection hidden="1"/>
    </xf>
    <xf numFmtId="0" fontId="2" fillId="11" borderId="0" xfId="0" applyFont="1" applyFill="1" applyAlignment="1" applyProtection="1">
      <alignment horizontal="center" vertical="center" wrapText="1"/>
      <protection hidden="1"/>
    </xf>
    <xf numFmtId="0" fontId="8" fillId="34" borderId="8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4" fontId="1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4" fontId="1" fillId="11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0" fillId="11" borderId="0" xfId="0" applyFill="1" applyAlignment="1" applyProtection="1">
      <alignment horizontal="center"/>
      <protection hidden="1"/>
    </xf>
    <xf numFmtId="4" fontId="8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54" fillId="12" borderId="0" xfId="0" applyFont="1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top" wrapText="1"/>
      <protection hidden="1"/>
    </xf>
    <xf numFmtId="0" fontId="0" fillId="3" borderId="43" xfId="0" applyFill="1" applyBorder="1" applyAlignment="1" applyProtection="1">
      <alignment horizontal="left"/>
      <protection locked="0"/>
    </xf>
    <xf numFmtId="0" fontId="0" fillId="3" borderId="20" xfId="0" applyFill="1" applyBorder="1" applyAlignment="1" applyProtection="1">
      <alignment horizontal="left"/>
      <protection locked="0"/>
    </xf>
    <xf numFmtId="0" fontId="0" fillId="3" borderId="26" xfId="0" applyFill="1" applyBorder="1" applyAlignment="1" applyProtection="1">
      <alignment horizontal="left"/>
      <protection locked="0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97" fillId="3" borderId="63" xfId="0" applyFont="1" applyFill="1" applyBorder="1" applyAlignment="1" applyProtection="1">
      <alignment horizontal="left"/>
      <protection locked="0"/>
    </xf>
    <xf numFmtId="0" fontId="97" fillId="3" borderId="64" xfId="0" applyFont="1" applyFill="1" applyBorder="1" applyAlignment="1" applyProtection="1">
      <alignment horizontal="left"/>
      <protection locked="0"/>
    </xf>
    <xf numFmtId="0" fontId="97" fillId="3" borderId="76" xfId="0" applyFont="1" applyFill="1" applyBorder="1" applyAlignment="1" applyProtection="1">
      <alignment horizontal="left"/>
      <protection locked="0"/>
    </xf>
    <xf numFmtId="0" fontId="0" fillId="3" borderId="68" xfId="0" applyFill="1" applyBorder="1" applyAlignment="1" applyProtection="1">
      <alignment horizontal="left"/>
      <protection hidden="1"/>
    </xf>
    <xf numFmtId="0" fontId="0" fillId="3" borderId="69" xfId="0" applyFill="1" applyBorder="1" applyAlignment="1" applyProtection="1">
      <alignment horizontal="left"/>
      <protection hidden="1"/>
    </xf>
    <xf numFmtId="0" fontId="0" fillId="3" borderId="74" xfId="0" applyFill="1" applyBorder="1" applyAlignment="1" applyProtection="1">
      <alignment horizontal="left"/>
      <protection hidden="1"/>
    </xf>
    <xf numFmtId="0" fontId="8" fillId="3" borderId="28" xfId="0" applyFont="1" applyFill="1" applyBorder="1" applyAlignment="1" applyProtection="1">
      <alignment horizontal="center"/>
      <protection hidden="1"/>
    </xf>
    <xf numFmtId="0" fontId="8" fillId="3" borderId="29" xfId="0" applyFont="1" applyFill="1" applyBorder="1" applyAlignment="1" applyProtection="1">
      <alignment horizontal="center"/>
      <protection hidden="1"/>
    </xf>
    <xf numFmtId="0" fontId="8" fillId="3" borderId="81" xfId="0" applyFont="1" applyFill="1" applyBorder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" fontId="3" fillId="3" borderId="0" xfId="0" applyNumberFormat="1" applyFont="1" applyFill="1" applyAlignment="1" applyProtection="1">
      <alignment horizontal="center" vertical="center"/>
      <protection hidden="1"/>
    </xf>
    <xf numFmtId="0" fontId="0" fillId="3" borderId="68" xfId="0" applyFill="1" applyBorder="1" applyAlignment="1" applyProtection="1">
      <alignment horizontal="left"/>
      <protection locked="0"/>
    </xf>
    <xf numFmtId="0" fontId="0" fillId="3" borderId="69" xfId="0" applyFill="1" applyBorder="1" applyAlignment="1" applyProtection="1">
      <alignment horizontal="left"/>
      <protection locked="0"/>
    </xf>
    <xf numFmtId="0" fontId="0" fillId="3" borderId="7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9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Alignment="1" applyProtection="1">
      <alignment horizontal="justify" vertical="center" wrapText="1"/>
      <protection hidden="1"/>
    </xf>
    <xf numFmtId="14" fontId="0" fillId="3" borderId="0" xfId="0" applyNumberFormat="1" applyFill="1" applyAlignment="1" applyProtection="1">
      <alignment horizontal="center" vertical="center" wrapText="1"/>
      <protection hidden="1"/>
    </xf>
    <xf numFmtId="14" fontId="1" fillId="3" borderId="0" xfId="0" applyNumberFormat="1" applyFont="1" applyFill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left" vertical="center" wrapText="1"/>
      <protection hidden="1"/>
    </xf>
    <xf numFmtId="0" fontId="1" fillId="3" borderId="0" xfId="0" applyFont="1" applyFill="1" applyAlignment="1" applyProtection="1">
      <alignment horizontal="justify" vertical="center" wrapText="1"/>
      <protection hidden="1"/>
    </xf>
    <xf numFmtId="0" fontId="57" fillId="3" borderId="0" xfId="0" applyFont="1" applyFill="1" applyAlignment="1" applyProtection="1">
      <alignment horizontal="center"/>
    </xf>
    <xf numFmtId="0" fontId="0" fillId="3" borderId="63" xfId="0" applyFill="1" applyBorder="1" applyAlignment="1" applyProtection="1">
      <alignment horizontal="left"/>
      <protection locked="0"/>
    </xf>
    <xf numFmtId="0" fontId="0" fillId="3" borderId="64" xfId="0" applyFill="1" applyBorder="1" applyAlignment="1" applyProtection="1">
      <alignment horizontal="left"/>
      <protection locked="0"/>
    </xf>
    <xf numFmtId="0" fontId="0" fillId="3" borderId="76" xfId="0" applyFill="1" applyBorder="1" applyAlignment="1" applyProtection="1">
      <alignment horizontal="left"/>
      <protection locked="0"/>
    </xf>
    <xf numFmtId="0" fontId="0" fillId="3" borderId="57" xfId="0" applyFill="1" applyBorder="1" applyAlignment="1" applyProtection="1">
      <alignment horizontal="center"/>
      <protection hidden="1"/>
    </xf>
    <xf numFmtId="0" fontId="0" fillId="3" borderId="64" xfId="0" applyFill="1" applyBorder="1" applyAlignment="1" applyProtection="1">
      <alignment horizontal="center"/>
      <protection hidden="1"/>
    </xf>
    <xf numFmtId="0" fontId="0" fillId="3" borderId="6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justify" vertical="top" wrapText="1"/>
      <protection hidden="1"/>
    </xf>
    <xf numFmtId="1" fontId="57" fillId="3" borderId="0" xfId="0" applyNumberFormat="1" applyFont="1" applyFill="1" applyAlignment="1" applyProtection="1">
      <alignment horizontal="center" vertical="center" shrinkToFit="1"/>
      <protection hidden="1"/>
    </xf>
    <xf numFmtId="0" fontId="57" fillId="3" borderId="0" xfId="0" applyFont="1" applyFill="1" applyAlignment="1" applyProtection="1">
      <alignment horizontal="center" vertical="center" shrinkToFit="1"/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181" fontId="8" fillId="3" borderId="5" xfId="0" applyNumberFormat="1" applyFont="1" applyFill="1" applyBorder="1" applyAlignment="1" applyProtection="1">
      <alignment horizontal="center" wrapText="1"/>
      <protection hidden="1"/>
    </xf>
    <xf numFmtId="0" fontId="0" fillId="3" borderId="77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center"/>
      <protection hidden="1"/>
    </xf>
    <xf numFmtId="0" fontId="0" fillId="3" borderId="24" xfId="0" applyFill="1" applyBorder="1" applyAlignment="1" applyProtection="1">
      <alignment horizontal="center"/>
      <protection hidden="1"/>
    </xf>
    <xf numFmtId="0" fontId="0" fillId="3" borderId="25" xfId="0" applyFill="1" applyBorder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165" fontId="8" fillId="3" borderId="5" xfId="0" applyNumberFormat="1" applyFont="1" applyFill="1" applyBorder="1" applyAlignment="1" applyProtection="1">
      <alignment horizontal="center"/>
      <protection hidden="1"/>
    </xf>
    <xf numFmtId="0" fontId="8" fillId="3" borderId="79" xfId="0" applyFont="1" applyFill="1" applyBorder="1" applyAlignment="1" applyProtection="1">
      <alignment horizontal="center"/>
      <protection hidden="1"/>
    </xf>
    <xf numFmtId="0" fontId="8" fillId="3" borderId="30" xfId="0" applyFont="1" applyFill="1" applyBorder="1" applyAlignment="1" applyProtection="1">
      <alignment horizontal="center"/>
      <protection hidden="1"/>
    </xf>
    <xf numFmtId="0" fontId="0" fillId="3" borderId="80" xfId="0" applyFill="1" applyBorder="1" applyAlignment="1" applyProtection="1">
      <alignment horizontal="center"/>
      <protection hidden="1"/>
    </xf>
    <xf numFmtId="0" fontId="0" fillId="3" borderId="69" xfId="0" applyFill="1" applyBorder="1" applyAlignment="1" applyProtection="1">
      <alignment horizontal="center"/>
      <protection hidden="1"/>
    </xf>
    <xf numFmtId="0" fontId="0" fillId="3" borderId="70" xfId="0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9" fontId="1" fillId="3" borderId="0" xfId="0" applyNumberFormat="1" applyFont="1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14" fontId="41" fillId="3" borderId="0" xfId="0" quotePrefix="1" applyNumberFormat="1" applyFont="1" applyFill="1" applyAlignment="1" applyProtection="1">
      <alignment horizontal="center" vertical="center"/>
      <protection hidden="1"/>
    </xf>
    <xf numFmtId="179" fontId="0" fillId="3" borderId="0" xfId="0" applyNumberFormat="1" applyFill="1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left"/>
      <protection hidden="1"/>
    </xf>
    <xf numFmtId="0" fontId="0" fillId="3" borderId="0" xfId="0" applyFill="1" applyAlignment="1" applyProtection="1">
      <alignment horizontal="right" vertical="center" wrapText="1"/>
      <protection hidden="1"/>
    </xf>
    <xf numFmtId="0" fontId="13" fillId="3" borderId="0" xfId="0" applyFont="1" applyFill="1" applyAlignment="1" applyProtection="1">
      <alignment horizontal="left" vertical="center" wrapText="1"/>
      <protection hidden="1"/>
    </xf>
    <xf numFmtId="0" fontId="6" fillId="3" borderId="5" xfId="3" applyFont="1" applyFill="1" applyBorder="1" applyAlignment="1" applyProtection="1">
      <alignment horizontal="center"/>
      <protection hidden="1"/>
    </xf>
    <xf numFmtId="14" fontId="59" fillId="3" borderId="0" xfId="0" applyNumberFormat="1" applyFont="1" applyFill="1" applyAlignment="1" applyProtection="1">
      <alignment horizontal="left" vertical="center"/>
      <protection hidden="1"/>
    </xf>
    <xf numFmtId="179" fontId="38" fillId="3" borderId="0" xfId="0" applyNumberFormat="1" applyFont="1" applyFill="1" applyAlignment="1" applyProtection="1">
      <alignment horizontal="center" vertical="center"/>
      <protection hidden="1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0" fillId="3" borderId="29" xfId="0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right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57" fillId="3" borderId="0" xfId="0" applyFont="1" applyFill="1" applyAlignment="1" applyProtection="1">
      <alignment horizontal="center" wrapText="1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justify" vertical="center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15" fillId="0" borderId="0" xfId="3" applyFont="1" applyAlignment="1" applyProtection="1">
      <alignment horizontal="left" vertical="center"/>
      <protection hidden="1"/>
    </xf>
    <xf numFmtId="174" fontId="6" fillId="0" borderId="4" xfId="3" applyNumberFormat="1" applyFont="1" applyBorder="1" applyAlignment="1" applyProtection="1">
      <alignment horizontal="center"/>
      <protection hidden="1"/>
    </xf>
    <xf numFmtId="174" fontId="6" fillId="0" borderId="6" xfId="3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center"/>
      <protection hidden="1"/>
    </xf>
    <xf numFmtId="0" fontId="6" fillId="0" borderId="5" xfId="3" applyFont="1" applyBorder="1" applyAlignment="1" applyProtection="1">
      <alignment horizontal="center"/>
      <protection hidden="1"/>
    </xf>
    <xf numFmtId="0" fontId="6" fillId="0" borderId="6" xfId="3" applyFont="1" applyBorder="1" applyAlignment="1" applyProtection="1">
      <alignment horizontal="center"/>
      <protection hidden="1"/>
    </xf>
    <xf numFmtId="0" fontId="6" fillId="0" borderId="7" xfId="3" applyFont="1" applyBorder="1" applyAlignment="1" applyProtection="1">
      <alignment horizontal="center"/>
      <protection hidden="1"/>
    </xf>
    <xf numFmtId="173" fontId="6" fillId="0" borderId="5" xfId="3" applyNumberFormat="1" applyFont="1" applyBorder="1" applyAlignment="1" applyProtection="1">
      <alignment horizontal="center"/>
      <protection hidden="1"/>
    </xf>
    <xf numFmtId="173" fontId="6" fillId="0" borderId="6" xfId="3" applyNumberFormat="1" applyFont="1" applyBorder="1" applyAlignment="1" applyProtection="1">
      <alignment horizontal="center"/>
      <protection hidden="1"/>
    </xf>
    <xf numFmtId="0" fontId="6" fillId="5" borderId="8" xfId="3" applyFont="1" applyFill="1" applyBorder="1" applyAlignment="1" applyProtection="1">
      <protection hidden="1"/>
    </xf>
    <xf numFmtId="0" fontId="5" fillId="0" borderId="1" xfId="3" applyFont="1" applyBorder="1" applyAlignment="1" applyProtection="1"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5" fillId="0" borderId="12" xfId="3" applyFont="1" applyBorder="1" applyAlignment="1" applyProtection="1">
      <alignment horizontal="left"/>
      <protection hidden="1"/>
    </xf>
    <xf numFmtId="0" fontId="5" fillId="0" borderId="11" xfId="3" applyFont="1" applyBorder="1" applyAlignment="1" applyProtection="1">
      <alignment horizontal="left"/>
      <protection hidden="1"/>
    </xf>
    <xf numFmtId="0" fontId="5" fillId="0" borderId="9" xfId="3" applyFont="1" applyBorder="1" applyAlignment="1" applyProtection="1">
      <alignment horizontal="left"/>
      <protection hidden="1"/>
    </xf>
    <xf numFmtId="0" fontId="5" fillId="0" borderId="1" xfId="3" applyFont="1" applyBorder="1" applyAlignment="1" applyProtection="1">
      <alignment horizontal="left"/>
      <protection hidden="1"/>
    </xf>
    <xf numFmtId="173" fontId="6" fillId="0" borderId="7" xfId="3" applyNumberFormat="1" applyFont="1" applyBorder="1" applyAlignment="1" applyProtection="1">
      <alignment horizontal="center"/>
      <protection hidden="1"/>
    </xf>
    <xf numFmtId="171" fontId="6" fillId="0" borderId="7" xfId="3" applyNumberFormat="1" applyFont="1" applyBorder="1" applyAlignment="1" applyProtection="1">
      <alignment horizontal="center"/>
      <protection hidden="1"/>
    </xf>
    <xf numFmtId="171" fontId="6" fillId="0" borderId="4" xfId="3" applyNumberFormat="1" applyFont="1" applyBorder="1" applyAlignment="1" applyProtection="1">
      <alignment horizontal="center"/>
      <protection hidden="1"/>
    </xf>
    <xf numFmtId="171" fontId="6" fillId="0" borderId="6" xfId="3" applyNumberFormat="1" applyFont="1" applyBorder="1" applyAlignment="1" applyProtection="1">
      <alignment horizontal="center"/>
      <protection hidden="1"/>
    </xf>
    <xf numFmtId="0" fontId="31" fillId="0" borderId="4" xfId="1" applyFont="1" applyBorder="1" applyAlignment="1" applyProtection="1">
      <alignment horizontal="left"/>
      <protection hidden="1"/>
    </xf>
    <xf numFmtId="0" fontId="31" fillId="0" borderId="5" xfId="1" applyFont="1" applyBorder="1" applyAlignment="1" applyProtection="1">
      <alignment horizontal="left"/>
      <protection hidden="1"/>
    </xf>
    <xf numFmtId="0" fontId="31" fillId="0" borderId="6" xfId="1" applyFont="1" applyBorder="1" applyAlignment="1" applyProtection="1">
      <alignment horizontal="left"/>
      <protection hidden="1"/>
    </xf>
    <xf numFmtId="181" fontId="6" fillId="0" borderId="7" xfId="3" applyNumberFormat="1" applyFont="1" applyBorder="1" applyAlignment="1" applyProtection="1">
      <alignment horizontal="center"/>
      <protection hidden="1"/>
    </xf>
    <xf numFmtId="0" fontId="5" fillId="0" borderId="12" xfId="3" applyFont="1" applyBorder="1" applyAlignment="1" applyProtection="1">
      <protection hidden="1"/>
    </xf>
    <xf numFmtId="0" fontId="5" fillId="0" borderId="9" xfId="3" applyFont="1" applyBorder="1" applyAlignment="1" applyProtection="1">
      <protection hidden="1"/>
    </xf>
    <xf numFmtId="0" fontId="5" fillId="0" borderId="11" xfId="3" applyFont="1" applyBorder="1" applyAlignment="1" applyProtection="1">
      <protection hidden="1"/>
    </xf>
    <xf numFmtId="0" fontId="24" fillId="0" borderId="3" xfId="3" applyFont="1" applyBorder="1" applyAlignment="1" applyProtection="1">
      <alignment horizontal="center"/>
      <protection hidden="1"/>
    </xf>
    <xf numFmtId="0" fontId="24" fillId="0" borderId="2" xfId="3" applyFont="1" applyBorder="1" applyAlignment="1" applyProtection="1">
      <alignment horizontal="center"/>
      <protection hidden="1"/>
    </xf>
    <xf numFmtId="0" fontId="40" fillId="0" borderId="10" xfId="3" applyFont="1" applyBorder="1" applyAlignment="1" applyProtection="1">
      <alignment horizontal="justify" vertical="center" wrapText="1"/>
      <protection hidden="1"/>
    </xf>
    <xf numFmtId="0" fontId="40" fillId="0" borderId="20" xfId="3" applyFont="1" applyBorder="1" applyAlignment="1" applyProtection="1">
      <alignment horizontal="justify" vertical="center" wrapText="1"/>
      <protection hidden="1"/>
    </xf>
    <xf numFmtId="0" fontId="40" fillId="0" borderId="26" xfId="3" applyFont="1" applyBorder="1" applyAlignment="1" applyProtection="1">
      <alignment horizontal="justify" vertical="center" wrapText="1"/>
      <protection hidden="1"/>
    </xf>
    <xf numFmtId="0" fontId="24" fillId="0" borderId="0" xfId="3" applyFont="1" applyBorder="1" applyAlignment="1" applyProtection="1">
      <alignment horizontal="center"/>
      <protection hidden="1"/>
    </xf>
    <xf numFmtId="0" fontId="5" fillId="0" borderId="2" xfId="3" applyFont="1" applyBorder="1" applyAlignment="1" applyProtection="1">
      <alignment horizontal="left"/>
      <protection hidden="1"/>
    </xf>
    <xf numFmtId="0" fontId="5" fillId="0" borderId="0" xfId="3" applyFont="1" applyBorder="1" applyAlignment="1" applyProtection="1">
      <alignment horizontal="left"/>
      <protection hidden="1"/>
    </xf>
    <xf numFmtId="14" fontId="6" fillId="0" borderId="0" xfId="3" applyNumberFormat="1" applyFont="1" applyBorder="1" applyAlignment="1" applyProtection="1">
      <alignment horizontal="left"/>
      <protection hidden="1"/>
    </xf>
    <xf numFmtId="14" fontId="6" fillId="0" borderId="3" xfId="3" applyNumberFormat="1" applyFont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alignment horizontal="left"/>
    </xf>
    <xf numFmtId="0" fontId="5" fillId="0" borderId="6" xfId="3" applyFont="1" applyBorder="1" applyAlignment="1" applyProtection="1">
      <alignment horizontal="left"/>
    </xf>
    <xf numFmtId="14" fontId="6" fillId="0" borderId="7" xfId="3" applyNumberFormat="1" applyFont="1" applyBorder="1" applyAlignment="1" applyProtection="1">
      <alignment horizontal="center"/>
      <protection hidden="1"/>
    </xf>
    <xf numFmtId="14" fontId="6" fillId="0" borderId="4" xfId="3" applyNumberFormat="1" applyFont="1" applyBorder="1" applyAlignment="1" applyProtection="1">
      <alignment horizontal="center"/>
      <protection hidden="1"/>
    </xf>
    <xf numFmtId="0" fontId="39" fillId="0" borderId="4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0" fontId="39" fillId="0" borderId="6" xfId="0" applyFont="1" applyBorder="1" applyAlignment="1">
      <alignment horizontal="left"/>
    </xf>
    <xf numFmtId="183" fontId="6" fillId="0" borderId="7" xfId="3" applyNumberFormat="1" applyFont="1" applyBorder="1" applyAlignment="1" applyProtection="1">
      <alignment horizontal="center"/>
      <protection hidden="1"/>
    </xf>
    <xf numFmtId="169" fontId="8" fillId="0" borderId="0" xfId="3" applyNumberFormat="1" applyFont="1" applyAlignment="1" applyProtection="1">
      <alignment horizontal="left"/>
      <protection hidden="1"/>
    </xf>
    <xf numFmtId="169" fontId="100" fillId="0" borderId="0" xfId="3" applyNumberFormat="1" applyFont="1" applyAlignment="1" applyProtection="1">
      <alignment horizontal="center" vertical="top"/>
      <protection hidden="1"/>
    </xf>
    <xf numFmtId="0" fontId="30" fillId="0" borderId="5" xfId="3" applyFont="1" applyFill="1" applyBorder="1" applyAlignment="1" applyProtection="1">
      <alignment horizontal="left"/>
      <protection hidden="1"/>
    </xf>
    <xf numFmtId="180" fontId="6" fillId="0" borderId="4" xfId="0" applyNumberFormat="1" applyFont="1" applyBorder="1" applyAlignment="1" applyProtection="1">
      <alignment horizontal="center"/>
      <protection hidden="1"/>
    </xf>
    <xf numFmtId="180" fontId="6" fillId="0" borderId="5" xfId="0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left" shrinkToFit="1"/>
      <protection hidden="1"/>
    </xf>
    <xf numFmtId="0" fontId="6" fillId="0" borderId="5" xfId="3" applyFont="1" applyBorder="1" applyAlignment="1" applyProtection="1">
      <alignment horizontal="left" shrinkToFit="1"/>
      <protection hidden="1"/>
    </xf>
    <xf numFmtId="0" fontId="6" fillId="0" borderId="6" xfId="3" applyFont="1" applyBorder="1" applyAlignment="1" applyProtection="1">
      <alignment horizontal="left" shrinkToFit="1"/>
      <protection hidden="1"/>
    </xf>
    <xf numFmtId="178" fontId="6" fillId="0" borderId="4" xfId="0" applyNumberFormat="1" applyFont="1" applyBorder="1" applyAlignment="1" applyProtection="1">
      <alignment horizontal="center"/>
      <protection hidden="1"/>
    </xf>
    <xf numFmtId="178" fontId="6" fillId="0" borderId="6" xfId="0" applyNumberFormat="1" applyFont="1" applyBorder="1" applyAlignment="1" applyProtection="1">
      <alignment horizontal="center"/>
      <protection hidden="1"/>
    </xf>
    <xf numFmtId="0" fontId="12" fillId="3" borderId="2" xfId="0" applyNumberFormat="1" applyFont="1" applyFill="1" applyBorder="1" applyAlignment="1" applyProtection="1">
      <alignment horizontal="left"/>
      <protection hidden="1"/>
    </xf>
    <xf numFmtId="0" fontId="12" fillId="3" borderId="0" xfId="0" applyNumberFormat="1" applyFont="1" applyFill="1" applyBorder="1" applyAlignment="1" applyProtection="1">
      <alignment horizontal="left"/>
      <protection hidden="1"/>
    </xf>
    <xf numFmtId="0" fontId="12" fillId="3" borderId="3" xfId="0" applyNumberFormat="1" applyFont="1" applyFill="1" applyBorder="1" applyAlignment="1" applyProtection="1">
      <alignment horizontal="left"/>
      <protection hidden="1"/>
    </xf>
    <xf numFmtId="0" fontId="12" fillId="3" borderId="4" xfId="0" applyNumberFormat="1" applyFont="1" applyFill="1" applyBorder="1" applyAlignment="1" applyProtection="1">
      <alignment horizontal="left"/>
      <protection hidden="1"/>
    </xf>
    <xf numFmtId="0" fontId="12" fillId="3" borderId="5" xfId="0" applyNumberFormat="1" applyFont="1" applyFill="1" applyBorder="1" applyAlignment="1" applyProtection="1">
      <alignment horizontal="left"/>
      <protection hidden="1"/>
    </xf>
    <xf numFmtId="0" fontId="12" fillId="3" borderId="6" xfId="0" applyNumberFormat="1" applyFont="1" applyFill="1" applyBorder="1" applyAlignment="1" applyProtection="1">
      <alignment horizontal="left"/>
      <protection hidden="1"/>
    </xf>
    <xf numFmtId="0" fontId="5" fillId="3" borderId="2" xfId="0" applyNumberFormat="1" applyFont="1" applyFill="1" applyBorder="1" applyAlignment="1" applyProtection="1">
      <alignment horizontal="left"/>
      <protection hidden="1"/>
    </xf>
    <xf numFmtId="0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3" xfId="0" applyNumberFormat="1" applyFont="1" applyFill="1" applyBorder="1" applyAlignment="1" applyProtection="1">
      <alignment horizontal="left"/>
      <protection hidden="1"/>
    </xf>
    <xf numFmtId="186" fontId="12" fillId="3" borderId="12" xfId="0" applyNumberFormat="1" applyFont="1" applyFill="1" applyBorder="1" applyAlignment="1" applyProtection="1">
      <alignment horizontal="right" indent="1"/>
      <protection hidden="1"/>
    </xf>
    <xf numFmtId="186" fontId="12" fillId="3" borderId="11" xfId="0" applyNumberFormat="1" applyFont="1" applyFill="1" applyBorder="1" applyAlignment="1" applyProtection="1">
      <alignment horizontal="right" indent="1"/>
      <protection hidden="1"/>
    </xf>
    <xf numFmtId="166" fontId="15" fillId="3" borderId="20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 vertical="top"/>
      <protection hidden="1"/>
    </xf>
    <xf numFmtId="0" fontId="10" fillId="3" borderId="9" xfId="0" applyFont="1" applyFill="1" applyBorder="1" applyAlignment="1" applyProtection="1">
      <alignment horizontal="left" vertical="top"/>
      <protection hidden="1"/>
    </xf>
    <xf numFmtId="0" fontId="10" fillId="3" borderId="11" xfId="0" applyFont="1" applyFill="1" applyBorder="1" applyAlignment="1" applyProtection="1">
      <alignment horizontal="left" vertical="top"/>
      <protection hidden="1"/>
    </xf>
    <xf numFmtId="0" fontId="10" fillId="3" borderId="4" xfId="0" applyFont="1" applyFill="1" applyBorder="1" applyAlignment="1" applyProtection="1">
      <alignment horizontal="left" vertical="top"/>
      <protection hidden="1"/>
    </xf>
    <xf numFmtId="0" fontId="10" fillId="3" borderId="5" xfId="0" applyFont="1" applyFill="1" applyBorder="1" applyAlignment="1" applyProtection="1">
      <alignment horizontal="left" vertical="top"/>
      <protection hidden="1"/>
    </xf>
    <xf numFmtId="0" fontId="10" fillId="3" borderId="6" xfId="0" applyFont="1" applyFill="1" applyBorder="1" applyAlignment="1" applyProtection="1">
      <alignment horizontal="left" vertical="top"/>
      <protection hidden="1"/>
    </xf>
    <xf numFmtId="170" fontId="15" fillId="3" borderId="5" xfId="0" applyNumberFormat="1" applyFont="1" applyFill="1" applyBorder="1" applyAlignment="1" applyProtection="1">
      <alignment horizontal="center"/>
      <protection hidden="1"/>
    </xf>
    <xf numFmtId="170" fontId="15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0" fillId="3" borderId="9" xfId="0" applyFont="1" applyFill="1" applyBorder="1" applyAlignment="1" applyProtection="1">
      <alignment horizontal="left"/>
      <protection hidden="1"/>
    </xf>
    <xf numFmtId="186" fontId="12" fillId="3" borderId="2" xfId="0" applyNumberFormat="1" applyFont="1" applyFill="1" applyBorder="1" applyAlignment="1" applyProtection="1">
      <alignment horizontal="right" indent="1"/>
      <protection hidden="1"/>
    </xf>
    <xf numFmtId="186" fontId="12" fillId="3" borderId="3" xfId="0" applyNumberFormat="1" applyFont="1" applyFill="1" applyBorder="1" applyAlignment="1" applyProtection="1">
      <alignment horizontal="right" indent="1"/>
      <protection hidden="1"/>
    </xf>
    <xf numFmtId="166" fontId="15" fillId="3" borderId="26" xfId="0" applyNumberFormat="1" applyFont="1" applyFill="1" applyBorder="1" applyAlignment="1" applyProtection="1">
      <alignment horizontal="center"/>
      <protection hidden="1"/>
    </xf>
    <xf numFmtId="0" fontId="7" fillId="5" borderId="10" xfId="0" applyFont="1" applyFill="1" applyBorder="1" applyAlignment="1" applyProtection="1">
      <alignment horizontal="left" vertical="center"/>
      <protection hidden="1"/>
    </xf>
    <xf numFmtId="0" fontId="7" fillId="5" borderId="20" xfId="0" applyFont="1" applyFill="1" applyBorder="1" applyAlignment="1" applyProtection="1">
      <alignment horizontal="left" vertical="center"/>
      <protection hidden="1"/>
    </xf>
    <xf numFmtId="0" fontId="7" fillId="5" borderId="26" xfId="0" applyFont="1" applyFill="1" applyBorder="1" applyAlignment="1" applyProtection="1">
      <alignment horizontal="left" vertical="center"/>
      <protection hidden="1"/>
    </xf>
    <xf numFmtId="0" fontId="10" fillId="3" borderId="11" xfId="0" applyFont="1" applyFill="1" applyBorder="1" applyAlignment="1" applyProtection="1">
      <alignment horizontal="left"/>
      <protection hidden="1"/>
    </xf>
    <xf numFmtId="178" fontId="6" fillId="3" borderId="5" xfId="0" applyNumberFormat="1" applyFont="1" applyFill="1" applyBorder="1" applyAlignment="1" applyProtection="1">
      <alignment horizontal="center"/>
      <protection hidden="1"/>
    </xf>
    <xf numFmtId="178" fontId="6" fillId="3" borderId="6" xfId="0" applyNumberFormat="1" applyFont="1" applyFill="1" applyBorder="1" applyAlignment="1" applyProtection="1">
      <alignment horizontal="center"/>
      <protection hidden="1"/>
    </xf>
    <xf numFmtId="0" fontId="6" fillId="11" borderId="4" xfId="0" applyFont="1" applyFill="1" applyBorder="1" applyAlignment="1" applyProtection="1">
      <alignment horizont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6" fillId="3" borderId="6" xfId="0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center" vertical="top" wrapText="1"/>
      <protection hidden="1"/>
    </xf>
    <xf numFmtId="0" fontId="10" fillId="3" borderId="11" xfId="0" applyFont="1" applyFill="1" applyBorder="1" applyAlignment="1" applyProtection="1">
      <alignment horizontal="center" vertical="top"/>
      <protection hidden="1"/>
    </xf>
    <xf numFmtId="0" fontId="10" fillId="3" borderId="4" xfId="0" applyFont="1" applyFill="1" applyBorder="1" applyAlignment="1" applyProtection="1">
      <alignment horizontal="center" vertical="top"/>
      <protection hidden="1"/>
    </xf>
    <xf numFmtId="0" fontId="10" fillId="3" borderId="6" xfId="0" applyFont="1" applyFill="1" applyBorder="1" applyAlignment="1" applyProtection="1">
      <alignment horizontal="center" vertical="top"/>
      <protection hidden="1"/>
    </xf>
    <xf numFmtId="0" fontId="10" fillId="3" borderId="12" xfId="0" applyFont="1" applyFill="1" applyBorder="1" applyAlignment="1" applyProtection="1">
      <alignment horizontal="center" vertical="top"/>
      <protection hidden="1"/>
    </xf>
    <xf numFmtId="0" fontId="10" fillId="3" borderId="9" xfId="0" applyFont="1" applyFill="1" applyBorder="1" applyAlignment="1" applyProtection="1">
      <alignment horizontal="center" vertical="top"/>
      <protection hidden="1"/>
    </xf>
    <xf numFmtId="170" fontId="10" fillId="3" borderId="12" xfId="2" applyNumberFormat="1" applyFont="1" applyFill="1" applyBorder="1" applyAlignment="1" applyProtection="1">
      <alignment horizontal="left" vertical="top"/>
      <protection hidden="1"/>
    </xf>
    <xf numFmtId="170" fontId="10" fillId="3" borderId="9" xfId="2" applyNumberFormat="1" applyFont="1" applyFill="1" applyBorder="1" applyAlignment="1" applyProtection="1">
      <alignment horizontal="left" vertical="top"/>
      <protection hidden="1"/>
    </xf>
    <xf numFmtId="170" fontId="10" fillId="3" borderId="11" xfId="2" applyNumberFormat="1" applyFont="1" applyFill="1" applyBorder="1" applyAlignment="1" applyProtection="1">
      <alignment horizontal="left" vertical="top"/>
      <protection hidden="1"/>
    </xf>
    <xf numFmtId="0" fontId="8" fillId="3" borderId="9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9" xfId="0" applyNumberFormat="1" applyFont="1" applyFill="1" applyBorder="1" applyAlignment="1" applyProtection="1">
      <alignment horizontal="left" vertical="center" wrapText="1"/>
      <protection hidden="1"/>
    </xf>
    <xf numFmtId="0" fontId="6" fillId="3" borderId="11" xfId="0" applyNumberFormat="1" applyFont="1" applyFill="1" applyBorder="1" applyAlignment="1" applyProtection="1">
      <alignment horizontal="left" vertical="center" wrapText="1"/>
      <protection hidden="1"/>
    </xf>
    <xf numFmtId="0" fontId="6" fillId="3" borderId="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0" xfId="0" applyNumberFormat="1" applyFont="1" applyFill="1" applyBorder="1" applyAlignment="1" applyProtection="1">
      <alignment horizontal="left" vertical="center" wrapText="1"/>
      <protection hidden="1"/>
    </xf>
    <xf numFmtId="0" fontId="6" fillId="3" borderId="3" xfId="0" applyNumberFormat="1" applyFont="1" applyFill="1" applyBorder="1" applyAlignment="1" applyProtection="1">
      <alignment horizontal="left" vertical="center" wrapText="1"/>
      <protection hidden="1"/>
    </xf>
    <xf numFmtId="0" fontId="6" fillId="3" borderId="4" xfId="0" applyNumberFormat="1" applyFont="1" applyFill="1" applyBorder="1" applyAlignment="1" applyProtection="1">
      <alignment horizontal="left" vertical="center" wrapText="1"/>
      <protection hidden="1"/>
    </xf>
    <xf numFmtId="0" fontId="6" fillId="3" borderId="5" xfId="0" applyNumberFormat="1" applyFont="1" applyFill="1" applyBorder="1" applyAlignment="1" applyProtection="1">
      <alignment horizontal="left" vertical="center" wrapText="1"/>
      <protection hidden="1"/>
    </xf>
    <xf numFmtId="0" fontId="6" fillId="3" borderId="6" xfId="0" applyNumberFormat="1" applyFont="1" applyFill="1" applyBorder="1" applyAlignment="1" applyProtection="1">
      <alignment horizontal="left" vertical="center" wrapText="1"/>
      <protection hidden="1"/>
    </xf>
    <xf numFmtId="0" fontId="12" fillId="3" borderId="2" xfId="0" applyNumberFormat="1" applyFont="1" applyFill="1" applyBorder="1" applyAlignment="1" applyProtection="1">
      <alignment horizontal="center"/>
      <protection hidden="1"/>
    </xf>
    <xf numFmtId="0" fontId="12" fillId="3" borderId="3" xfId="0" applyNumberFormat="1" applyFont="1" applyFill="1" applyBorder="1" applyAlignment="1" applyProtection="1">
      <alignment horizontal="center"/>
      <protection hidden="1"/>
    </xf>
    <xf numFmtId="14" fontId="5" fillId="3" borderId="2" xfId="0" applyNumberFormat="1" applyFont="1" applyFill="1" applyBorder="1" applyAlignment="1" applyProtection="1">
      <alignment horizontal="center"/>
      <protection hidden="1"/>
    </xf>
    <xf numFmtId="14" fontId="5" fillId="3" borderId="3" xfId="0" applyNumberFormat="1" applyFont="1" applyFill="1" applyBorder="1" applyAlignment="1" applyProtection="1">
      <alignment horizontal="center"/>
      <protection hidden="1"/>
    </xf>
    <xf numFmtId="170" fontId="15" fillId="3" borderId="2" xfId="0" applyNumberFormat="1" applyFont="1" applyFill="1" applyBorder="1" applyAlignment="1" applyProtection="1">
      <alignment horizontal="center" vertical="center"/>
      <protection hidden="1"/>
    </xf>
    <xf numFmtId="170" fontId="15" fillId="3" borderId="0" xfId="0" applyNumberFormat="1" applyFont="1" applyFill="1" applyBorder="1" applyAlignment="1" applyProtection="1">
      <alignment horizontal="center" vertical="center"/>
      <protection hidden="1"/>
    </xf>
    <xf numFmtId="170" fontId="15" fillId="3" borderId="3" xfId="0" applyNumberFormat="1" applyFont="1" applyFill="1" applyBorder="1" applyAlignment="1" applyProtection="1">
      <alignment horizontal="center" vertical="center"/>
      <protection hidden="1"/>
    </xf>
    <xf numFmtId="170" fontId="15" fillId="3" borderId="4" xfId="0" applyNumberFormat="1" applyFont="1" applyFill="1" applyBorder="1" applyAlignment="1" applyProtection="1">
      <alignment horizontal="center" vertical="center"/>
      <protection hidden="1"/>
    </xf>
    <xf numFmtId="170" fontId="15" fillId="3" borderId="5" xfId="0" applyNumberFormat="1" applyFont="1" applyFill="1" applyBorder="1" applyAlignment="1" applyProtection="1">
      <alignment horizontal="center" vertical="center"/>
      <protection hidden="1"/>
    </xf>
    <xf numFmtId="170" fontId="15" fillId="3" borderId="6" xfId="0" applyNumberFormat="1" applyFont="1" applyFill="1" applyBorder="1" applyAlignment="1" applyProtection="1">
      <alignment horizontal="center" vertical="center"/>
      <protection hidden="1"/>
    </xf>
    <xf numFmtId="170" fontId="15" fillId="3" borderId="20" xfId="2" applyNumberFormat="1" applyFont="1" applyFill="1" applyBorder="1" applyAlignment="1" applyProtection="1">
      <alignment horizontal="center"/>
      <protection hidden="1"/>
    </xf>
    <xf numFmtId="0" fontId="5" fillId="3" borderId="2" xfId="0" applyNumberFormat="1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5" fillId="3" borderId="2" xfId="0" applyNumberFormat="1" applyFont="1" applyFill="1" applyBorder="1" applyAlignment="1" applyProtection="1">
      <alignment horizontal="right" indent="1"/>
      <protection hidden="1"/>
    </xf>
    <xf numFmtId="0" fontId="5" fillId="3" borderId="0" xfId="0" applyNumberFormat="1" applyFont="1" applyFill="1" applyBorder="1" applyAlignment="1" applyProtection="1">
      <alignment horizontal="right" indent="1"/>
      <protection hidden="1"/>
    </xf>
    <xf numFmtId="0" fontId="5" fillId="3" borderId="3" xfId="0" applyNumberFormat="1" applyFont="1" applyFill="1" applyBorder="1" applyAlignment="1" applyProtection="1">
      <alignment horizontal="right" indent="1"/>
      <protection hidden="1"/>
    </xf>
    <xf numFmtId="0" fontId="64" fillId="3" borderId="0" xfId="0" applyFont="1" applyFill="1" applyAlignment="1" applyProtection="1">
      <alignment horizontal="right" vertical="center"/>
      <protection hidden="1"/>
    </xf>
    <xf numFmtId="169" fontId="8" fillId="3" borderId="0" xfId="3" applyNumberFormat="1" applyFont="1" applyFill="1" applyAlignment="1" applyProtection="1">
      <alignment horizontal="left"/>
      <protection hidden="1"/>
    </xf>
    <xf numFmtId="0" fontId="15" fillId="3" borderId="0" xfId="3" applyFont="1" applyFill="1" applyAlignment="1" applyProtection="1">
      <alignment horizontal="left" vertical="center"/>
      <protection hidden="1"/>
    </xf>
    <xf numFmtId="169" fontId="61" fillId="3" borderId="0" xfId="3" applyNumberFormat="1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14" fontId="5" fillId="3" borderId="12" xfId="0" applyNumberFormat="1" applyFont="1" applyFill="1" applyBorder="1" applyAlignment="1" applyProtection="1">
      <alignment horizontal="center"/>
      <protection hidden="1"/>
    </xf>
    <xf numFmtId="14" fontId="5" fillId="3" borderId="11" xfId="0" applyNumberFormat="1" applyFont="1" applyFill="1" applyBorder="1" applyAlignment="1" applyProtection="1">
      <alignment horizontal="center"/>
      <protection hidden="1"/>
    </xf>
    <xf numFmtId="0" fontId="15" fillId="3" borderId="0" xfId="3" applyFont="1" applyFill="1" applyAlignment="1" applyProtection="1">
      <alignment vertical="center"/>
      <protection hidden="1"/>
    </xf>
    <xf numFmtId="169" fontId="8" fillId="3" borderId="0" xfId="3" applyNumberFormat="1" applyFont="1" applyFill="1" applyAlignment="1" applyProtection="1">
      <protection hidden="1"/>
    </xf>
    <xf numFmtId="0" fontId="42" fillId="5" borderId="20" xfId="0" applyFont="1" applyFill="1" applyBorder="1" applyAlignment="1" applyProtection="1">
      <alignment horizontal="center" vertical="center"/>
      <protection hidden="1"/>
    </xf>
    <xf numFmtId="0" fontId="42" fillId="5" borderId="26" xfId="0" applyFont="1" applyFill="1" applyBorder="1" applyAlignment="1" applyProtection="1">
      <alignment horizontal="center" vertical="center"/>
      <protection hidden="1"/>
    </xf>
    <xf numFmtId="49" fontId="10" fillId="3" borderId="12" xfId="0" applyNumberFormat="1" applyFont="1" applyFill="1" applyBorder="1" applyAlignment="1" applyProtection="1">
      <alignment horizontal="left" vertical="top"/>
      <protection hidden="1"/>
    </xf>
    <xf numFmtId="49" fontId="10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11" xfId="0" applyNumberFormat="1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left"/>
      <protection hidden="1"/>
    </xf>
    <xf numFmtId="0" fontId="5" fillId="3" borderId="9" xfId="0" applyNumberFormat="1" applyFont="1" applyFill="1" applyBorder="1" applyAlignment="1" applyProtection="1">
      <alignment horizontal="left"/>
      <protection hidden="1"/>
    </xf>
    <xf numFmtId="0" fontId="5" fillId="3" borderId="11" xfId="0" applyNumberFormat="1" applyFont="1" applyFill="1" applyBorder="1" applyAlignment="1" applyProtection="1">
      <alignment horizontal="left"/>
      <protection hidden="1"/>
    </xf>
    <xf numFmtId="180" fontId="6" fillId="3" borderId="4" xfId="0" applyNumberFormat="1" applyFont="1" applyFill="1" applyBorder="1" applyAlignment="1" applyProtection="1">
      <alignment horizontal="center"/>
      <protection hidden="1"/>
    </xf>
    <xf numFmtId="180" fontId="6" fillId="3" borderId="6" xfId="0" applyNumberFormat="1" applyFont="1" applyFill="1" applyBorder="1" applyAlignment="1" applyProtection="1">
      <alignment horizontal="center"/>
      <protection hidden="1"/>
    </xf>
    <xf numFmtId="170" fontId="15" fillId="5" borderId="20" xfId="0" applyNumberFormat="1" applyFont="1" applyFill="1" applyBorder="1" applyAlignment="1" applyProtection="1">
      <alignment horizontal="center"/>
      <protection hidden="1"/>
    </xf>
    <xf numFmtId="170" fontId="15" fillId="5" borderId="26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left" vertical="top"/>
      <protection hidden="1"/>
    </xf>
    <xf numFmtId="0" fontId="10" fillId="3" borderId="26" xfId="0" applyFont="1" applyFill="1" applyBorder="1" applyAlignment="1" applyProtection="1">
      <alignment horizontal="left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26" xfId="0" applyFont="1" applyFill="1" applyBorder="1" applyAlignment="1" applyProtection="1">
      <alignment horizontal="center" vertical="center"/>
      <protection hidden="1"/>
    </xf>
    <xf numFmtId="0" fontId="5" fillId="3" borderId="12" xfId="0" applyNumberFormat="1" applyFont="1" applyFill="1" applyBorder="1" applyAlignment="1" applyProtection="1">
      <alignment horizontal="center"/>
      <protection hidden="1"/>
    </xf>
    <xf numFmtId="0" fontId="5" fillId="3" borderId="11" xfId="0" applyNumberFormat="1" applyFont="1" applyFill="1" applyBorder="1" applyAlignment="1" applyProtection="1">
      <alignment horizontal="center"/>
      <protection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center"/>
      <protection hidden="1"/>
    </xf>
    <xf numFmtId="0" fontId="12" fillId="3" borderId="11" xfId="0" applyNumberFormat="1" applyFont="1" applyFill="1" applyBorder="1" applyAlignment="1" applyProtection="1">
      <alignment horizontal="center"/>
      <protection hidden="1"/>
    </xf>
    <xf numFmtId="0" fontId="5" fillId="3" borderId="12" xfId="0" applyNumberFormat="1" applyFont="1" applyFill="1" applyBorder="1" applyAlignment="1" applyProtection="1">
      <alignment horizontal="right" indent="1"/>
      <protection hidden="1"/>
    </xf>
    <xf numFmtId="0" fontId="5" fillId="3" borderId="9" xfId="0" applyNumberFormat="1" applyFont="1" applyFill="1" applyBorder="1" applyAlignment="1" applyProtection="1">
      <alignment horizontal="right" indent="1"/>
      <protection hidden="1"/>
    </xf>
    <xf numFmtId="0" fontId="5" fillId="3" borderId="11" xfId="0" applyNumberFormat="1" applyFont="1" applyFill="1" applyBorder="1" applyAlignment="1" applyProtection="1">
      <alignment horizontal="right" indent="1"/>
      <protection hidden="1"/>
    </xf>
    <xf numFmtId="0" fontId="10" fillId="3" borderId="20" xfId="0" applyFont="1" applyFill="1" applyBorder="1" applyAlignment="1" applyProtection="1">
      <alignment horizontal="center" vertical="center"/>
      <protection hidden="1"/>
    </xf>
    <xf numFmtId="0" fontId="12" fillId="3" borderId="12" xfId="0" applyNumberFormat="1" applyFont="1" applyFill="1" applyBorder="1" applyAlignment="1" applyProtection="1">
      <alignment horizontal="left"/>
      <protection hidden="1"/>
    </xf>
    <xf numFmtId="0" fontId="12" fillId="3" borderId="9" xfId="0" applyNumberFormat="1" applyFont="1" applyFill="1" applyBorder="1" applyAlignment="1" applyProtection="1">
      <alignment horizontal="left"/>
      <protection hidden="1"/>
    </xf>
    <xf numFmtId="0" fontId="12" fillId="3" borderId="11" xfId="0" applyNumberFormat="1" applyFont="1" applyFill="1" applyBorder="1" applyAlignment="1" applyProtection="1">
      <alignment horizontal="left"/>
      <protection hidden="1"/>
    </xf>
    <xf numFmtId="0" fontId="10" fillId="3" borderId="10" xfId="0" applyFont="1" applyFill="1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/>
    </xf>
    <xf numFmtId="0" fontId="0" fillId="0" borderId="26" xfId="0" applyBorder="1" applyAlignment="1" applyProtection="1">
      <alignment horizontal="left"/>
    </xf>
    <xf numFmtId="0" fontId="9" fillId="0" borderId="20" xfId="0" applyFont="1" applyFill="1" applyBorder="1" applyAlignment="1" applyProtection="1">
      <alignment horizontal="center"/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9" fillId="0" borderId="26" xfId="0" applyFont="1" applyFill="1" applyBorder="1" applyAlignment="1" applyProtection="1">
      <alignment horizontal="center"/>
      <protection hidden="1"/>
    </xf>
    <xf numFmtId="49" fontId="15" fillId="5" borderId="12" xfId="0" applyNumberFormat="1" applyFont="1" applyFill="1" applyBorder="1" applyAlignment="1" applyProtection="1">
      <alignment horizontal="left"/>
      <protection hidden="1"/>
    </xf>
    <xf numFmtId="49" fontId="15" fillId="5" borderId="9" xfId="0" applyNumberFormat="1" applyFont="1" applyFill="1" applyBorder="1" applyAlignment="1" applyProtection="1">
      <alignment horizontal="left"/>
      <protection hidden="1"/>
    </xf>
    <xf numFmtId="49" fontId="15" fillId="5" borderId="11" xfId="0" applyNumberFormat="1" applyFont="1" applyFill="1" applyBorder="1" applyAlignment="1" applyProtection="1">
      <alignment horizontal="left"/>
      <protection hidden="1"/>
    </xf>
    <xf numFmtId="14" fontId="5" fillId="3" borderId="4" xfId="0" applyNumberFormat="1" applyFont="1" applyFill="1" applyBorder="1" applyAlignment="1" applyProtection="1">
      <alignment horizontal="center"/>
      <protection hidden="1"/>
    </xf>
    <xf numFmtId="14" fontId="5" fillId="3" borderId="6" xfId="0" applyNumberFormat="1" applyFont="1" applyFill="1" applyBorder="1" applyAlignment="1" applyProtection="1">
      <alignment horizontal="center"/>
      <protection hidden="1"/>
    </xf>
    <xf numFmtId="14" fontId="15" fillId="3" borderId="0" xfId="0" applyNumberFormat="1" applyFont="1" applyFill="1" applyBorder="1" applyAlignment="1" applyProtection="1">
      <alignment horizontal="center"/>
      <protection hidden="1"/>
    </xf>
    <xf numFmtId="0" fontId="19" fillId="3" borderId="20" xfId="0" applyFont="1" applyFill="1" applyBorder="1" applyAlignment="1" applyProtection="1">
      <alignment horizontal="center" vertical="top"/>
      <protection hidden="1"/>
    </xf>
    <xf numFmtId="0" fontId="12" fillId="3" borderId="2" xfId="0" applyFont="1" applyFill="1" applyBorder="1" applyAlignment="1" applyProtection="1">
      <alignment horizontal="left" vertical="top"/>
      <protection hidden="1"/>
    </xf>
    <xf numFmtId="0" fontId="12" fillId="3" borderId="0" xfId="0" applyFont="1" applyFill="1" applyBorder="1" applyAlignment="1" applyProtection="1">
      <alignment horizontal="left" vertical="top"/>
      <protection hidden="1"/>
    </xf>
    <xf numFmtId="0" fontId="0" fillId="11" borderId="0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12" fillId="3" borderId="3" xfId="0" applyFont="1" applyFill="1" applyBorder="1" applyAlignment="1" applyProtection="1">
      <alignment horizontal="left" vertical="top"/>
      <protection hidden="1"/>
    </xf>
    <xf numFmtId="49" fontId="15" fillId="0" borderId="20" xfId="0" applyNumberFormat="1" applyFont="1" applyBorder="1" applyAlignment="1" applyProtection="1">
      <alignment horizontal="center"/>
      <protection hidden="1"/>
    </xf>
    <xf numFmtId="49" fontId="15" fillId="0" borderId="26" xfId="0" applyNumberFormat="1" applyFont="1" applyBorder="1" applyAlignment="1" applyProtection="1">
      <alignment horizontal="center"/>
      <protection hidden="1"/>
    </xf>
    <xf numFmtId="0" fontId="8" fillId="5" borderId="10" xfId="0" applyFont="1" applyFill="1" applyBorder="1" applyAlignment="1" applyProtection="1">
      <alignment horizontal="right"/>
    </xf>
    <xf numFmtId="0" fontId="8" fillId="5" borderId="20" xfId="0" applyFont="1" applyFill="1" applyBorder="1" applyAlignment="1" applyProtection="1">
      <alignment horizontal="right"/>
    </xf>
    <xf numFmtId="0" fontId="8" fillId="5" borderId="26" xfId="0" applyFont="1" applyFill="1" applyBorder="1" applyAlignment="1" applyProtection="1">
      <alignment horizontal="right"/>
    </xf>
    <xf numFmtId="49" fontId="15" fillId="0" borderId="10" xfId="0" applyNumberFormat="1" applyFont="1" applyBorder="1" applyAlignment="1" applyProtection="1">
      <alignment horizontal="left"/>
    </xf>
    <xf numFmtId="49" fontId="15" fillId="0" borderId="26" xfId="0" applyNumberFormat="1" applyFont="1" applyBorder="1" applyAlignment="1" applyProtection="1">
      <alignment horizontal="left"/>
    </xf>
    <xf numFmtId="0" fontId="5" fillId="3" borderId="4" xfId="0" applyNumberFormat="1" applyFont="1" applyFill="1" applyBorder="1" applyAlignment="1" applyProtection="1">
      <alignment horizontal="left"/>
      <protection hidden="1"/>
    </xf>
    <xf numFmtId="0" fontId="5" fillId="3" borderId="5" xfId="0" applyNumberFormat="1" applyFont="1" applyFill="1" applyBorder="1" applyAlignment="1" applyProtection="1">
      <alignment horizontal="left"/>
      <protection hidden="1"/>
    </xf>
    <xf numFmtId="0" fontId="5" fillId="3" borderId="6" xfId="0" applyNumberFormat="1" applyFont="1" applyFill="1" applyBorder="1" applyAlignment="1" applyProtection="1">
      <alignment horizontal="left"/>
      <protection hidden="1"/>
    </xf>
    <xf numFmtId="0" fontId="12" fillId="3" borderId="4" xfId="0" applyNumberFormat="1" applyFont="1" applyFill="1" applyBorder="1" applyAlignment="1" applyProtection="1">
      <alignment horizontal="center"/>
      <protection hidden="1"/>
    </xf>
    <xf numFmtId="0" fontId="12" fillId="3" borderId="6" xfId="0" applyNumberFormat="1" applyFont="1" applyFill="1" applyBorder="1" applyAlignment="1" applyProtection="1">
      <alignment horizontal="center"/>
      <protection hidden="1"/>
    </xf>
    <xf numFmtId="0" fontId="101" fillId="3" borderId="0" xfId="0" applyFont="1" applyFill="1" applyBorder="1" applyAlignment="1" applyProtection="1">
      <alignment horizontal="center" vertical="center" textRotation="180" wrapText="1"/>
      <protection hidden="1"/>
    </xf>
    <xf numFmtId="4" fontId="11" fillId="3" borderId="5" xfId="0" applyNumberFormat="1" applyFont="1" applyFill="1" applyBorder="1" applyAlignment="1" applyProtection="1">
      <alignment horizontal="center"/>
    </xf>
    <xf numFmtId="0" fontId="11" fillId="3" borderId="5" xfId="0" applyFont="1" applyFill="1" applyBorder="1" applyAlignment="1" applyProtection="1">
      <alignment horizontal="center"/>
    </xf>
    <xf numFmtId="14" fontId="12" fillId="3" borderId="2" xfId="0" applyNumberFormat="1" applyFont="1" applyFill="1" applyBorder="1" applyAlignment="1" applyProtection="1">
      <alignment horizontal="right"/>
      <protection hidden="1"/>
    </xf>
    <xf numFmtId="14" fontId="12" fillId="3" borderId="0" xfId="0" applyNumberFormat="1" applyFont="1" applyFill="1" applyBorder="1" applyAlignment="1" applyProtection="1">
      <alignment horizontal="right"/>
      <protection hidden="1"/>
    </xf>
    <xf numFmtId="0" fontId="19" fillId="3" borderId="9" xfId="0" applyFont="1" applyFill="1" applyBorder="1" applyAlignment="1" applyProtection="1">
      <alignment horizontal="center"/>
      <protection hidden="1"/>
    </xf>
    <xf numFmtId="14" fontId="12" fillId="3" borderId="5" xfId="0" applyNumberFormat="1" applyFont="1" applyFill="1" applyBorder="1" applyAlignment="1" applyProtection="1">
      <alignment horizontal="left"/>
      <protection hidden="1"/>
    </xf>
    <xf numFmtId="14" fontId="12" fillId="3" borderId="4" xfId="0" applyNumberFormat="1" applyFont="1" applyFill="1" applyBorder="1" applyAlignment="1" applyProtection="1">
      <alignment horizontal="right"/>
      <protection hidden="1"/>
    </xf>
    <xf numFmtId="14" fontId="12" fillId="3" borderId="5" xfId="0" applyNumberFormat="1" applyFont="1" applyFill="1" applyBorder="1" applyAlignment="1" applyProtection="1">
      <alignment horizontal="right"/>
      <protection hidden="1"/>
    </xf>
    <xf numFmtId="0" fontId="10" fillId="3" borderId="2" xfId="0" applyFont="1" applyFill="1" applyBorder="1" applyAlignment="1" applyProtection="1">
      <alignment horizontal="center" vertical="top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166" fontId="15" fillId="18" borderId="20" xfId="0" applyNumberFormat="1" applyFont="1" applyFill="1" applyBorder="1" applyAlignment="1" applyProtection="1">
      <alignment horizontal="center"/>
      <protection hidden="1"/>
    </xf>
    <xf numFmtId="170" fontId="15" fillId="18" borderId="5" xfId="0" applyNumberFormat="1" applyFont="1" applyFill="1" applyBorder="1" applyAlignment="1" applyProtection="1">
      <alignment horizontal="center"/>
      <protection hidden="1"/>
    </xf>
    <xf numFmtId="0" fontId="12" fillId="0" borderId="2" xfId="4" applyFont="1" applyBorder="1" applyAlignment="1" applyProtection="1">
      <alignment horizontal="left" wrapText="1"/>
      <protection locked="0"/>
    </xf>
    <xf numFmtId="0" fontId="12" fillId="0" borderId="0" xfId="4" applyFont="1" applyBorder="1" applyAlignment="1" applyProtection="1">
      <alignment horizontal="left" wrapText="1"/>
      <protection locked="0"/>
    </xf>
    <xf numFmtId="0" fontId="12" fillId="0" borderId="3" xfId="4" applyFont="1" applyBorder="1" applyAlignment="1" applyProtection="1">
      <alignment horizontal="left" wrapText="1"/>
      <protection locked="0"/>
    </xf>
    <xf numFmtId="0" fontId="12" fillId="0" borderId="2" xfId="4" applyFont="1" applyBorder="1" applyAlignment="1" applyProtection="1">
      <alignment horizontal="center" wrapText="1"/>
      <protection locked="0"/>
    </xf>
    <xf numFmtId="0" fontId="12" fillId="0" borderId="3" xfId="4" applyFont="1" applyBorder="1" applyAlignment="1" applyProtection="1">
      <alignment horizontal="center" wrapText="1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/>
    </xf>
    <xf numFmtId="4" fontId="12" fillId="0" borderId="0" xfId="4" applyNumberFormat="1" applyFont="1" applyBorder="1" applyAlignment="1" applyProtection="1">
      <alignment horizontal="right" wrapText="1" indent="2"/>
      <protection locked="0"/>
    </xf>
    <xf numFmtId="4" fontId="12" fillId="0" borderId="3" xfId="4" applyNumberFormat="1" applyFont="1" applyBorder="1" applyAlignment="1" applyProtection="1">
      <alignment horizontal="right" wrapText="1" indent="2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 hidden="1"/>
    </xf>
    <xf numFmtId="4" fontId="12" fillId="0" borderId="3" xfId="4" applyNumberFormat="1" applyFont="1" applyBorder="1" applyAlignment="1" applyProtection="1">
      <alignment horizontal="right" wrapText="1" indent="2"/>
      <protection locked="0" hidden="1"/>
    </xf>
    <xf numFmtId="0" fontId="12" fillId="3" borderId="5" xfId="4" applyFont="1" applyFill="1" applyBorder="1" applyAlignment="1" applyProtection="1">
      <alignment horizontal="center" wrapText="1"/>
      <protection hidden="1"/>
    </xf>
    <xf numFmtId="0" fontId="12" fillId="3" borderId="6" xfId="4" applyFont="1" applyFill="1" applyBorder="1" applyAlignment="1" applyProtection="1">
      <alignment horizontal="center" wrapText="1"/>
      <protection hidden="1"/>
    </xf>
    <xf numFmtId="0" fontId="12" fillId="0" borderId="4" xfId="4" applyFont="1" applyBorder="1" applyAlignment="1" applyProtection="1">
      <alignment horizontal="left" wrapText="1"/>
      <protection locked="0"/>
    </xf>
    <xf numFmtId="0" fontId="12" fillId="0" borderId="5" xfId="4" applyFont="1" applyBorder="1" applyAlignment="1" applyProtection="1">
      <alignment horizontal="left" wrapText="1"/>
      <protection locked="0"/>
    </xf>
    <xf numFmtId="0" fontId="12" fillId="0" borderId="6" xfId="4" applyFont="1" applyBorder="1" applyAlignment="1" applyProtection="1">
      <alignment horizontal="left" wrapText="1"/>
      <protection locked="0"/>
    </xf>
    <xf numFmtId="0" fontId="12" fillId="0" borderId="4" xfId="4" applyFont="1" applyBorder="1" applyAlignment="1" applyProtection="1">
      <alignment horizontal="center" wrapText="1"/>
      <protection locked="0"/>
    </xf>
    <xf numFmtId="0" fontId="12" fillId="0" borderId="6" xfId="4" applyFont="1" applyBorder="1" applyAlignment="1" applyProtection="1">
      <alignment horizontal="center" wrapText="1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/>
    </xf>
    <xf numFmtId="4" fontId="12" fillId="0" borderId="5" xfId="4" applyNumberFormat="1" applyFont="1" applyBorder="1" applyAlignment="1" applyProtection="1">
      <alignment horizontal="right" wrapText="1" indent="2"/>
      <protection locked="0"/>
    </xf>
    <xf numFmtId="4" fontId="12" fillId="0" borderId="6" xfId="4" applyNumberFormat="1" applyFont="1" applyBorder="1" applyAlignment="1" applyProtection="1">
      <alignment horizontal="right" wrapText="1" indent="2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 hidden="1"/>
    </xf>
    <xf numFmtId="4" fontId="12" fillId="0" borderId="6" xfId="4" applyNumberFormat="1" applyFont="1" applyBorder="1" applyAlignment="1" applyProtection="1">
      <alignment horizontal="right" wrapText="1" indent="2"/>
      <protection locked="0" hidden="1"/>
    </xf>
    <xf numFmtId="0" fontId="6" fillId="5" borderId="10" xfId="4" applyFont="1" applyFill="1" applyBorder="1" applyAlignment="1" applyProtection="1">
      <alignment horizontal="right" wrapText="1"/>
      <protection hidden="1"/>
    </xf>
    <xf numFmtId="0" fontId="6" fillId="5" borderId="20" xfId="4" applyFont="1" applyFill="1" applyBorder="1" applyAlignment="1" applyProtection="1">
      <alignment horizontal="right" wrapText="1"/>
      <protection hidden="1"/>
    </xf>
    <xf numFmtId="0" fontId="6" fillId="5" borderId="26" xfId="4" applyFont="1" applyFill="1" applyBorder="1" applyAlignment="1" applyProtection="1">
      <alignment horizontal="right" wrapText="1"/>
      <protection hidden="1"/>
    </xf>
    <xf numFmtId="0" fontId="6" fillId="0" borderId="10" xfId="4" applyFont="1" applyBorder="1" applyAlignment="1" applyProtection="1">
      <alignment horizontal="center" wrapText="1"/>
      <protection hidden="1"/>
    </xf>
    <xf numFmtId="0" fontId="6" fillId="0" borderId="20" xfId="4" applyFont="1" applyBorder="1" applyAlignment="1" applyProtection="1">
      <alignment horizontal="center" wrapText="1"/>
      <protection hidden="1"/>
    </xf>
    <xf numFmtId="0" fontId="6" fillId="0" borderId="26" xfId="4" applyFont="1" applyBorder="1" applyAlignment="1" applyProtection="1">
      <alignment horizontal="center" wrapText="1"/>
      <protection hidden="1"/>
    </xf>
    <xf numFmtId="4" fontId="15" fillId="0" borderId="10" xfId="4" applyNumberFormat="1" applyFont="1" applyBorder="1" applyAlignment="1" applyProtection="1">
      <alignment horizontal="center" wrapText="1"/>
      <protection hidden="1"/>
    </xf>
    <xf numFmtId="4" fontId="15" fillId="0" borderId="26" xfId="4" applyNumberFormat="1" applyFont="1" applyBorder="1" applyAlignment="1" applyProtection="1">
      <alignment horizontal="center" wrapText="1"/>
      <protection hidden="1"/>
    </xf>
    <xf numFmtId="0" fontId="12" fillId="3" borderId="4" xfId="4" applyFont="1" applyFill="1" applyBorder="1" applyAlignment="1" applyProtection="1">
      <alignment horizontal="center" vertical="top" wrapText="1"/>
      <protection hidden="1"/>
    </xf>
    <xf numFmtId="0" fontId="12" fillId="3" borderId="5" xfId="4" applyFont="1" applyFill="1" applyBorder="1" applyAlignment="1" applyProtection="1">
      <alignment horizontal="center" vertical="top" wrapText="1"/>
      <protection hidden="1"/>
    </xf>
    <xf numFmtId="0" fontId="12" fillId="3" borderId="20" xfId="4" applyFont="1" applyFill="1" applyBorder="1" applyAlignment="1" applyProtection="1">
      <alignment horizontal="center" vertical="top" wrapText="1"/>
      <protection hidden="1"/>
    </xf>
    <xf numFmtId="0" fontId="12" fillId="3" borderId="26" xfId="4" applyFont="1" applyFill="1" applyBorder="1" applyAlignment="1" applyProtection="1">
      <alignment horizontal="center" vertical="top" wrapText="1"/>
      <protection hidden="1"/>
    </xf>
    <xf numFmtId="0" fontId="25" fillId="3" borderId="0" xfId="4" applyFont="1" applyFill="1" applyBorder="1" applyAlignment="1" applyProtection="1">
      <alignment wrapText="1"/>
      <protection hidden="1"/>
    </xf>
    <xf numFmtId="0" fontId="6" fillId="5" borderId="8" xfId="4" applyFont="1" applyFill="1" applyBorder="1" applyAlignment="1" applyProtection="1">
      <alignment wrapText="1"/>
      <protection hidden="1"/>
    </xf>
    <xf numFmtId="0" fontId="12" fillId="3" borderId="12" xfId="4" applyFont="1" applyFill="1" applyBorder="1" applyAlignment="1" applyProtection="1">
      <alignment horizontal="center" wrapText="1"/>
      <protection hidden="1"/>
    </xf>
    <xf numFmtId="0" fontId="12" fillId="3" borderId="9" xfId="4" applyFont="1" applyFill="1" applyBorder="1" applyAlignment="1" applyProtection="1">
      <alignment horizontal="center" wrapText="1"/>
      <protection hidden="1"/>
    </xf>
    <xf numFmtId="0" fontId="12" fillId="3" borderId="11" xfId="4" applyFont="1" applyFill="1" applyBorder="1" applyAlignment="1" applyProtection="1">
      <alignment horizontal="center" wrapText="1"/>
      <protection hidden="1"/>
    </xf>
    <xf numFmtId="14" fontId="15" fillId="3" borderId="5" xfId="4" applyNumberFormat="1" applyFont="1" applyFill="1" applyBorder="1" applyAlignment="1" applyProtection="1">
      <alignment horizontal="left" wrapText="1"/>
      <protection hidden="1"/>
    </xf>
    <xf numFmtId="4" fontId="5" fillId="3" borderId="5" xfId="4" applyNumberFormat="1" applyFont="1" applyFill="1" applyBorder="1" applyAlignment="1" applyProtection="1">
      <alignment horizontal="center" wrapText="1"/>
      <protection hidden="1"/>
    </xf>
    <xf numFmtId="0" fontId="5" fillId="3" borderId="5" xfId="4" applyFont="1" applyFill="1" applyBorder="1" applyAlignment="1" applyProtection="1">
      <alignment horizontal="center" wrapText="1"/>
      <protection hidden="1"/>
    </xf>
    <xf numFmtId="0" fontId="51" fillId="3" borderId="5" xfId="4" applyFont="1" applyFill="1" applyBorder="1" applyAlignment="1" applyProtection="1">
      <alignment horizontal="center" wrapText="1"/>
      <protection hidden="1"/>
    </xf>
    <xf numFmtId="0" fontId="12" fillId="0" borderId="10" xfId="4" applyFont="1" applyBorder="1" applyAlignment="1" applyProtection="1">
      <alignment horizontal="left" wrapText="1"/>
      <protection hidden="1"/>
    </xf>
    <xf numFmtId="0" fontId="12" fillId="0" borderId="20" xfId="4" applyFont="1" applyBorder="1" applyAlignment="1" applyProtection="1">
      <alignment horizontal="left" wrapText="1"/>
      <protection hidden="1"/>
    </xf>
    <xf numFmtId="0" fontId="12" fillId="0" borderId="26" xfId="4" applyFont="1" applyBorder="1" applyAlignment="1" applyProtection="1">
      <alignment horizontal="left" wrapText="1"/>
      <protection hidden="1"/>
    </xf>
    <xf numFmtId="0" fontId="12" fillId="0" borderId="10" xfId="4" applyFont="1" applyBorder="1" applyAlignment="1" applyProtection="1">
      <alignment horizontal="center" wrapText="1"/>
      <protection hidden="1"/>
    </xf>
    <xf numFmtId="0" fontId="12" fillId="0" borderId="26" xfId="4" applyFont="1" applyBorder="1" applyAlignment="1" applyProtection="1">
      <alignment horizontal="center" wrapText="1"/>
      <protection hidden="1"/>
    </xf>
    <xf numFmtId="4" fontId="12" fillId="0" borderId="10" xfId="4" applyNumberFormat="1" applyFont="1" applyBorder="1" applyAlignment="1" applyProtection="1">
      <alignment horizontal="right" wrapText="1" indent="2"/>
      <protection hidden="1"/>
    </xf>
    <xf numFmtId="0" fontId="0" fillId="0" borderId="20" xfId="0" applyBorder="1" applyAlignment="1" applyProtection="1">
      <alignment horizontal="right" indent="2"/>
      <protection hidden="1"/>
    </xf>
    <xf numFmtId="0" fontId="0" fillId="0" borderId="26" xfId="0" applyBorder="1" applyAlignment="1" applyProtection="1">
      <alignment horizontal="right" indent="2"/>
      <protection hidden="1"/>
    </xf>
    <xf numFmtId="4" fontId="15" fillId="0" borderId="10" xfId="4" applyNumberFormat="1" applyFont="1" applyBorder="1" applyAlignment="1" applyProtection="1">
      <alignment horizontal="right" wrapText="1" indent="2"/>
      <protection hidden="1"/>
    </xf>
    <xf numFmtId="4" fontId="15" fillId="0" borderId="26" xfId="4" applyNumberFormat="1" applyFont="1" applyBorder="1" applyAlignment="1" applyProtection="1">
      <alignment horizontal="right" wrapText="1" indent="2"/>
      <protection hidden="1"/>
    </xf>
    <xf numFmtId="0" fontId="19" fillId="0" borderId="4" xfId="4" applyFont="1" applyBorder="1" applyAlignment="1" applyProtection="1">
      <alignment horizontal="center" vertical="top" wrapText="1"/>
      <protection hidden="1"/>
    </xf>
    <xf numFmtId="0" fontId="19" fillId="0" borderId="5" xfId="4" applyFont="1" applyBorder="1" applyAlignment="1" applyProtection="1">
      <alignment horizontal="center" vertical="top" wrapText="1"/>
      <protection hidden="1"/>
    </xf>
    <xf numFmtId="0" fontId="19" fillId="0" borderId="6" xfId="4" applyFont="1" applyBorder="1" applyAlignment="1" applyProtection="1">
      <alignment horizontal="center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0" fillId="0" borderId="12" xfId="4" applyFont="1" applyBorder="1" applyAlignment="1" applyProtection="1">
      <alignment horizontal="center" wrapText="1"/>
      <protection hidden="1"/>
    </xf>
    <xf numFmtId="0" fontId="10" fillId="0" borderId="11" xfId="4" applyFont="1" applyBorder="1" applyAlignment="1" applyProtection="1">
      <alignment horizontal="center" wrapText="1"/>
      <protection hidden="1"/>
    </xf>
    <xf numFmtId="0" fontId="19" fillId="0" borderId="10" xfId="4" applyFont="1" applyBorder="1" applyAlignment="1" applyProtection="1">
      <alignment horizontal="left" vertical="top" wrapText="1"/>
      <protection hidden="1"/>
    </xf>
    <xf numFmtId="0" fontId="19" fillId="0" borderId="20" xfId="4" applyFont="1" applyBorder="1" applyAlignment="1" applyProtection="1">
      <alignment horizontal="left" vertical="top" wrapText="1"/>
      <protection hidden="1"/>
    </xf>
    <xf numFmtId="0" fontId="19" fillId="0" borderId="26" xfId="4" applyFont="1" applyBorder="1" applyAlignment="1" applyProtection="1">
      <alignment horizontal="left" vertical="top" wrapText="1"/>
      <protection hidden="1"/>
    </xf>
    <xf numFmtId="0" fontId="19" fillId="0" borderId="12" xfId="4" applyFont="1" applyBorder="1" applyAlignment="1" applyProtection="1">
      <alignment horizontal="left" vertical="top" wrapText="1"/>
      <protection hidden="1"/>
    </xf>
    <xf numFmtId="0" fontId="19" fillId="0" borderId="9" xfId="4" applyFont="1" applyBorder="1" applyAlignment="1" applyProtection="1">
      <alignment horizontal="left" vertical="top" wrapText="1"/>
      <protection hidden="1"/>
    </xf>
    <xf numFmtId="0" fontId="19" fillId="0" borderId="11" xfId="4" applyFont="1" applyBorder="1" applyAlignment="1" applyProtection="1">
      <alignment horizontal="left" vertical="top" wrapText="1"/>
      <protection hidden="1"/>
    </xf>
    <xf numFmtId="0" fontId="6" fillId="0" borderId="4" xfId="4" applyFont="1" applyBorder="1" applyAlignment="1" applyProtection="1">
      <alignment horizontal="center" wrapText="1"/>
      <protection hidden="1"/>
    </xf>
    <xf numFmtId="0" fontId="6" fillId="0" borderId="5" xfId="4" applyFont="1" applyBorder="1" applyAlignment="1" applyProtection="1">
      <alignment horizontal="center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0" fontId="25" fillId="0" borderId="0" xfId="4" applyFont="1" applyBorder="1" applyAlignment="1" applyProtection="1">
      <alignment wrapText="1"/>
      <protection hidden="1"/>
    </xf>
    <xf numFmtId="0" fontId="2" fillId="0" borderId="5" xfId="4" applyFont="1" applyBorder="1" applyAlignment="1" applyProtection="1">
      <alignment horizontal="center"/>
      <protection hidden="1"/>
    </xf>
    <xf numFmtId="0" fontId="6" fillId="5" borderId="1" xfId="4" applyFont="1" applyFill="1" applyBorder="1" applyAlignment="1" applyProtection="1">
      <alignment wrapText="1"/>
      <protection hidden="1"/>
    </xf>
    <xf numFmtId="0" fontId="19" fillId="0" borderId="9" xfId="4" applyFont="1" applyBorder="1" applyAlignment="1" applyProtection="1">
      <alignment horizontal="center" vertical="top" wrapText="1"/>
      <protection hidden="1"/>
    </xf>
    <xf numFmtId="0" fontId="19" fillId="0" borderId="11" xfId="4" applyFont="1" applyBorder="1" applyAlignment="1" applyProtection="1">
      <alignment horizontal="center" vertical="top" wrapText="1"/>
      <protection hidden="1"/>
    </xf>
    <xf numFmtId="0" fontId="2" fillId="0" borderId="0" xfId="4" applyFont="1" applyAlignment="1" applyProtection="1">
      <alignment horizontal="center"/>
      <protection hidden="1"/>
    </xf>
    <xf numFmtId="0" fontId="6" fillId="5" borderId="10" xfId="4" applyFont="1" applyFill="1" applyBorder="1" applyAlignment="1" applyProtection="1">
      <alignment wrapText="1"/>
      <protection hidden="1"/>
    </xf>
    <xf numFmtId="0" fontId="6" fillId="5" borderId="20" xfId="4" applyFont="1" applyFill="1" applyBorder="1" applyAlignment="1" applyProtection="1">
      <alignment wrapText="1"/>
      <protection hidden="1"/>
    </xf>
    <xf numFmtId="0" fontId="6" fillId="5" borderId="26" xfId="4" applyFont="1" applyFill="1" applyBorder="1" applyAlignment="1" applyProtection="1">
      <alignment wrapText="1"/>
      <protection hidden="1"/>
    </xf>
    <xf numFmtId="0" fontId="25" fillId="3" borderId="20" xfId="4" applyFont="1" applyFill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 wrapText="1"/>
      <protection locked="0"/>
    </xf>
    <xf numFmtId="0" fontId="12" fillId="0" borderId="9" xfId="4" applyFont="1" applyBorder="1" applyAlignment="1" applyProtection="1">
      <alignment horizontal="left" wrapText="1"/>
      <protection locked="0"/>
    </xf>
    <xf numFmtId="0" fontId="12" fillId="0" borderId="11" xfId="4" applyFont="1" applyBorder="1" applyAlignment="1" applyProtection="1">
      <alignment horizontal="left" wrapText="1"/>
      <protection locked="0"/>
    </xf>
    <xf numFmtId="0" fontId="12" fillId="0" borderId="12" xfId="4" applyFont="1" applyBorder="1" applyAlignment="1" applyProtection="1">
      <alignment horizontal="center" wrapText="1"/>
      <protection locked="0"/>
    </xf>
    <xf numFmtId="0" fontId="12" fillId="0" borderId="11" xfId="4" applyFont="1" applyBorder="1" applyAlignment="1" applyProtection="1">
      <alignment horizontal="center" wrapText="1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/>
    </xf>
    <xf numFmtId="4" fontId="12" fillId="0" borderId="9" xfId="4" applyNumberFormat="1" applyFont="1" applyBorder="1" applyAlignment="1" applyProtection="1">
      <alignment horizontal="right" wrapText="1" indent="2"/>
      <protection locked="0"/>
    </xf>
    <xf numFmtId="4" fontId="12" fillId="0" borderId="11" xfId="4" applyNumberFormat="1" applyFont="1" applyBorder="1" applyAlignment="1" applyProtection="1">
      <alignment horizontal="right" wrapText="1" indent="2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 hidden="1"/>
    </xf>
    <xf numFmtId="4" fontId="12" fillId="0" borderId="11" xfId="4" applyNumberFormat="1" applyFont="1" applyBorder="1" applyAlignment="1" applyProtection="1">
      <alignment horizontal="right" wrapText="1" indent="2"/>
      <protection locked="0" hidden="1"/>
    </xf>
    <xf numFmtId="4" fontId="12" fillId="0" borderId="20" xfId="4" applyNumberFormat="1" applyFont="1" applyBorder="1" applyAlignment="1" applyProtection="1">
      <alignment horizontal="right" wrapText="1" indent="2"/>
      <protection hidden="1"/>
    </xf>
    <xf numFmtId="4" fontId="12" fillId="0" borderId="26" xfId="4" applyNumberFormat="1" applyFont="1" applyBorder="1" applyAlignment="1" applyProtection="1">
      <alignment horizontal="right" wrapText="1" indent="2"/>
      <protection hidden="1"/>
    </xf>
    <xf numFmtId="0" fontId="10" fillId="0" borderId="10" xfId="4" applyFont="1" applyBorder="1" applyAlignment="1" applyProtection="1">
      <alignment horizontal="center" wrapText="1"/>
      <protection hidden="1"/>
    </xf>
    <xf numFmtId="0" fontId="10" fillId="0" borderId="20" xfId="4" applyFont="1" applyBorder="1" applyAlignment="1" applyProtection="1">
      <alignment horizontal="center" wrapText="1"/>
      <protection hidden="1"/>
    </xf>
    <xf numFmtId="0" fontId="10" fillId="0" borderId="26" xfId="4" applyFont="1" applyBorder="1" applyAlignment="1" applyProtection="1">
      <alignment horizontal="center" wrapText="1"/>
      <protection hidden="1"/>
    </xf>
    <xf numFmtId="0" fontId="25" fillId="0" borderId="20" xfId="4" applyFont="1" applyBorder="1" applyAlignment="1" applyProtection="1">
      <alignment wrapText="1"/>
      <protection hidden="1"/>
    </xf>
    <xf numFmtId="4" fontId="12" fillId="0" borderId="2" xfId="4" applyNumberFormat="1" applyFont="1" applyBorder="1" applyAlignment="1" applyProtection="1">
      <alignment horizontal="right" wrapText="1" indent="2"/>
      <protection hidden="1"/>
    </xf>
    <xf numFmtId="4" fontId="12" fillId="0" borderId="3" xfId="4" applyNumberFormat="1" applyFont="1" applyBorder="1" applyAlignment="1" applyProtection="1">
      <alignment horizontal="right" wrapText="1" indent="2"/>
      <protection hidden="1"/>
    </xf>
    <xf numFmtId="4" fontId="12" fillId="0" borderId="4" xfId="4" applyNumberFormat="1" applyFont="1" applyBorder="1" applyAlignment="1" applyProtection="1">
      <alignment horizontal="right" wrapText="1" indent="2"/>
      <protection hidden="1"/>
    </xf>
    <xf numFmtId="4" fontId="12" fillId="0" borderId="6" xfId="4" applyNumberFormat="1" applyFont="1" applyBorder="1" applyAlignment="1" applyProtection="1">
      <alignment horizontal="right" wrapText="1" indent="2"/>
      <protection hidden="1"/>
    </xf>
    <xf numFmtId="4" fontId="12" fillId="0" borderId="0" xfId="4" applyNumberFormat="1" applyFont="1" applyBorder="1" applyAlignment="1" applyProtection="1">
      <alignment horizontal="right" wrapText="1" indent="2"/>
      <protection hidden="1"/>
    </xf>
    <xf numFmtId="4" fontId="12" fillId="0" borderId="5" xfId="4" applyNumberFormat="1" applyFont="1" applyBorder="1" applyAlignment="1" applyProtection="1">
      <alignment horizontal="right" wrapText="1" indent="2"/>
      <protection hidden="1"/>
    </xf>
    <xf numFmtId="0" fontId="12" fillId="0" borderId="2" xfId="4" applyFont="1" applyBorder="1" applyAlignment="1" applyProtection="1">
      <alignment horizontal="left" shrinkToFit="1"/>
      <protection hidden="1"/>
    </xf>
    <xf numFmtId="0" fontId="12" fillId="0" borderId="0" xfId="4" applyFont="1" applyBorder="1" applyAlignment="1" applyProtection="1">
      <alignment horizontal="left" shrinkToFit="1"/>
      <protection hidden="1"/>
    </xf>
    <xf numFmtId="0" fontId="12" fillId="0" borderId="3" xfId="4" applyFont="1" applyBorder="1" applyAlignment="1" applyProtection="1">
      <alignment horizontal="left" shrinkToFit="1"/>
      <protection hidden="1"/>
    </xf>
    <xf numFmtId="0" fontId="12" fillId="0" borderId="4" xfId="4" applyFont="1" applyBorder="1" applyAlignment="1" applyProtection="1">
      <alignment horizontal="left" shrinkToFit="1"/>
      <protection hidden="1"/>
    </xf>
    <xf numFmtId="0" fontId="12" fillId="0" borderId="5" xfId="4" applyFont="1" applyBorder="1" applyAlignment="1" applyProtection="1">
      <alignment horizontal="left" shrinkToFit="1"/>
      <protection hidden="1"/>
    </xf>
    <xf numFmtId="0" fontId="12" fillId="0" borderId="6" xfId="4" applyFont="1" applyBorder="1" applyAlignment="1" applyProtection="1">
      <alignment horizontal="left" shrinkToFit="1"/>
      <protection hidden="1"/>
    </xf>
    <xf numFmtId="187" fontId="12" fillId="0" borderId="2" xfId="4" applyNumberFormat="1" applyFont="1" applyBorder="1" applyAlignment="1" applyProtection="1">
      <alignment horizontal="center" wrapText="1"/>
      <protection hidden="1"/>
    </xf>
    <xf numFmtId="187" fontId="12" fillId="0" borderId="3" xfId="4" applyNumberFormat="1" applyFont="1" applyBorder="1" applyAlignment="1" applyProtection="1">
      <alignment horizontal="center" wrapText="1"/>
      <protection hidden="1"/>
    </xf>
    <xf numFmtId="187" fontId="12" fillId="0" borderId="4" xfId="4" applyNumberFormat="1" applyFont="1" applyBorder="1" applyAlignment="1" applyProtection="1">
      <alignment horizontal="center" wrapText="1"/>
      <protection hidden="1"/>
    </xf>
    <xf numFmtId="187" fontId="12" fillId="0" borderId="6" xfId="4" applyNumberFormat="1" applyFont="1" applyBorder="1" applyAlignment="1" applyProtection="1">
      <alignment horizontal="center" wrapText="1"/>
      <protection hidden="1"/>
    </xf>
    <xf numFmtId="187" fontId="12" fillId="0" borderId="12" xfId="4" applyNumberFormat="1" applyFont="1" applyBorder="1" applyAlignment="1" applyProtection="1">
      <alignment horizontal="center" wrapText="1"/>
      <protection hidden="1"/>
    </xf>
    <xf numFmtId="187" fontId="12" fillId="0" borderId="11" xfId="4" applyNumberFormat="1" applyFont="1" applyBorder="1" applyAlignment="1" applyProtection="1">
      <alignment horizontal="center" wrapText="1"/>
      <protection hidden="1"/>
    </xf>
    <xf numFmtId="4" fontId="12" fillId="0" borderId="12" xfId="4" applyNumberFormat="1" applyFont="1" applyBorder="1" applyAlignment="1" applyProtection="1">
      <alignment horizontal="right" wrapText="1" indent="2"/>
      <protection hidden="1"/>
    </xf>
    <xf numFmtId="0" fontId="0" fillId="0" borderId="9" xfId="0" applyBorder="1" applyAlignment="1" applyProtection="1">
      <alignment horizontal="right" indent="2"/>
      <protection hidden="1"/>
    </xf>
    <xf numFmtId="0" fontId="0" fillId="0" borderId="11" xfId="0" applyBorder="1" applyAlignment="1" applyProtection="1">
      <alignment horizontal="right" indent="2"/>
      <protection hidden="1"/>
    </xf>
    <xf numFmtId="4" fontId="12" fillId="0" borderId="11" xfId="4" applyNumberFormat="1" applyFont="1" applyBorder="1" applyAlignment="1" applyProtection="1">
      <alignment horizontal="right" wrapText="1" indent="2"/>
      <protection hidden="1"/>
    </xf>
    <xf numFmtId="0" fontId="12" fillId="0" borderId="12" xfId="4" applyFont="1" applyBorder="1" applyAlignment="1" applyProtection="1">
      <alignment horizontal="left" shrinkToFit="1"/>
      <protection hidden="1"/>
    </xf>
    <xf numFmtId="0" fontId="12" fillId="0" borderId="9" xfId="4" applyFont="1" applyBorder="1" applyAlignment="1" applyProtection="1">
      <alignment horizontal="left" shrinkToFit="1"/>
      <protection hidden="1"/>
    </xf>
    <xf numFmtId="0" fontId="12" fillId="0" borderId="11" xfId="4" applyFont="1" applyBorder="1" applyAlignment="1" applyProtection="1">
      <alignment horizontal="left" shrinkToFit="1"/>
      <protection hidden="1"/>
    </xf>
    <xf numFmtId="0" fontId="2" fillId="34" borderId="0" xfId="4" applyFont="1" applyFill="1" applyAlignment="1" applyProtection="1">
      <alignment horizontal="center"/>
      <protection hidden="1"/>
    </xf>
    <xf numFmtId="0" fontId="80" fillId="0" borderId="9" xfId="4" applyFont="1" applyBorder="1" applyAlignment="1" applyProtection="1">
      <alignment horizontal="center" vertical="top" wrapText="1"/>
      <protection hidden="1"/>
    </xf>
    <xf numFmtId="0" fontId="80" fillId="0" borderId="11" xfId="4" applyFont="1" applyBorder="1" applyAlignment="1" applyProtection="1">
      <alignment horizontal="center" vertical="top" wrapText="1"/>
      <protection hidden="1"/>
    </xf>
    <xf numFmtId="169" fontId="3" fillId="0" borderId="0" xfId="3" applyNumberFormat="1" applyFont="1" applyAlignment="1" applyProtection="1">
      <alignment horizontal="center"/>
      <protection hidden="1"/>
    </xf>
    <xf numFmtId="0" fontId="1" fillId="3" borderId="20" xfId="4" applyFont="1" applyFill="1" applyBorder="1" applyAlignment="1" applyProtection="1">
      <alignment horizontal="left" vertical="center" wrapText="1"/>
      <protection locked="0"/>
    </xf>
    <xf numFmtId="0" fontId="1" fillId="3" borderId="26" xfId="4" applyFont="1" applyFill="1" applyBorder="1" applyAlignment="1" applyProtection="1">
      <alignment horizontal="left" vertical="center" wrapText="1"/>
      <protection locked="0"/>
    </xf>
    <xf numFmtId="0" fontId="102" fillId="34" borderId="0" xfId="4" applyFont="1" applyFill="1" applyAlignment="1" applyProtection="1">
      <alignment horizontal="center" vertical="center" textRotation="180"/>
      <protection hidden="1"/>
    </xf>
    <xf numFmtId="0" fontId="3" fillId="34" borderId="0" xfId="4" applyFont="1" applyFill="1" applyBorder="1" applyAlignment="1" applyProtection="1">
      <alignment horizontal="center" vertical="center"/>
      <protection hidden="1"/>
    </xf>
    <xf numFmtId="4" fontId="15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5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12" fillId="3" borderId="10" xfId="5" applyFont="1" applyFill="1" applyBorder="1" applyAlignment="1" applyProtection="1">
      <alignment horizontal="left" vertical="center" wrapText="1"/>
      <protection locked="0"/>
    </xf>
    <xf numFmtId="0" fontId="12" fillId="3" borderId="20" xfId="5" applyFont="1" applyFill="1" applyBorder="1" applyAlignment="1" applyProtection="1">
      <alignment horizontal="left" vertical="center" wrapText="1"/>
      <protection locked="0"/>
    </xf>
    <xf numFmtId="0" fontId="12" fillId="3" borderId="26" xfId="5" applyFont="1" applyFill="1" applyBorder="1" applyAlignment="1" applyProtection="1">
      <alignment horizontal="left" vertical="center" wrapText="1"/>
      <protection locked="0"/>
    </xf>
    <xf numFmtId="4" fontId="5" fillId="0" borderId="10" xfId="5" applyNumberFormat="1" applyFont="1" applyBorder="1" applyAlignment="1" applyProtection="1">
      <alignment horizontal="right" vertical="center" wrapText="1" indent="2"/>
      <protection locked="0"/>
    </xf>
    <xf numFmtId="4" fontId="5" fillId="0" borderId="26" xfId="5" applyNumberFormat="1" applyFont="1" applyBorder="1" applyAlignment="1" applyProtection="1">
      <alignment horizontal="right" vertical="center" wrapText="1" indent="2"/>
      <protection locked="0"/>
    </xf>
    <xf numFmtId="4" fontId="12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2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8" xfId="5" applyFont="1" applyFill="1" applyBorder="1" applyAlignment="1" applyProtection="1">
      <alignment horizontal="left" vertical="center" wrapText="1"/>
      <protection hidden="1"/>
    </xf>
    <xf numFmtId="0" fontId="15" fillId="0" borderId="5" xfId="5" applyFont="1" applyBorder="1" applyAlignment="1" applyProtection="1">
      <alignment horizontal="center"/>
      <protection hidden="1"/>
    </xf>
    <xf numFmtId="0" fontId="15" fillId="0" borderId="6" xfId="5" applyFont="1" applyBorder="1" applyAlignment="1" applyProtection="1">
      <alignment horizontal="center"/>
      <protection hidden="1"/>
    </xf>
    <xf numFmtId="0" fontId="27" fillId="0" borderId="0" xfId="5" applyFont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/>
      <protection hidden="1"/>
    </xf>
    <xf numFmtId="0" fontId="12" fillId="0" borderId="9" xfId="4" applyFont="1" applyBorder="1" applyAlignment="1" applyProtection="1">
      <alignment horizontal="left"/>
      <protection hidden="1"/>
    </xf>
    <xf numFmtId="0" fontId="12" fillId="0" borderId="11" xfId="4" applyFont="1" applyBorder="1" applyAlignment="1" applyProtection="1">
      <alignment horizontal="left"/>
      <protection hidden="1"/>
    </xf>
    <xf numFmtId="178" fontId="15" fillId="0" borderId="4" xfId="5" applyNumberFormat="1" applyFont="1" applyBorder="1" applyAlignment="1" applyProtection="1">
      <alignment horizontal="center" shrinkToFit="1"/>
      <protection hidden="1"/>
    </xf>
    <xf numFmtId="178" fontId="15" fillId="0" borderId="5" xfId="5" applyNumberFormat="1" applyFont="1" applyBorder="1" applyAlignment="1" applyProtection="1">
      <alignment horizontal="center" shrinkToFit="1"/>
      <protection hidden="1"/>
    </xf>
    <xf numFmtId="178" fontId="15" fillId="0" borderId="6" xfId="5" applyNumberFormat="1" applyFont="1" applyBorder="1" applyAlignment="1" applyProtection="1">
      <alignment horizontal="center" shrinkToFit="1"/>
      <protection hidden="1"/>
    </xf>
    <xf numFmtId="0" fontId="15" fillId="0" borderId="4" xfId="5" applyFont="1" applyBorder="1" applyAlignment="1" applyProtection="1">
      <alignment horizontal="center"/>
      <protection hidden="1"/>
    </xf>
    <xf numFmtId="0" fontId="15" fillId="0" borderId="9" xfId="5" applyFont="1" applyBorder="1" applyAlignment="1" applyProtection="1">
      <alignment horizontal="center" vertical="top" wrapText="1"/>
      <protection hidden="1"/>
    </xf>
    <xf numFmtId="0" fontId="12" fillId="0" borderId="12" xfId="5" applyFont="1" applyBorder="1" applyAlignment="1" applyProtection="1">
      <alignment horizontal="left" vertical="top"/>
      <protection hidden="1"/>
    </xf>
    <xf numFmtId="0" fontId="12" fillId="0" borderId="9" xfId="5" applyFont="1" applyBorder="1" applyAlignment="1" applyProtection="1">
      <alignment horizontal="left" vertical="top"/>
      <protection hidden="1"/>
    </xf>
    <xf numFmtId="0" fontId="12" fillId="0" borderId="11" xfId="5" applyFont="1" applyBorder="1" applyAlignment="1" applyProtection="1">
      <alignment horizontal="left" vertical="top"/>
      <protection hidden="1"/>
    </xf>
    <xf numFmtId="0" fontId="12" fillId="0" borderId="12" xfId="5" applyFont="1" applyBorder="1" applyAlignment="1" applyProtection="1">
      <alignment horizontal="left" vertical="top" wrapText="1"/>
      <protection hidden="1"/>
    </xf>
    <xf numFmtId="0" fontId="12" fillId="0" borderId="9" xfId="5" applyFont="1" applyBorder="1" applyAlignment="1" applyProtection="1">
      <alignment horizontal="left" vertical="top" wrapText="1"/>
      <protection hidden="1"/>
    </xf>
    <xf numFmtId="0" fontId="12" fillId="0" borderId="11" xfId="5" applyFont="1" applyBorder="1" applyAlignment="1" applyProtection="1">
      <alignment horizontal="left" vertical="top" wrapText="1"/>
      <protection hidden="1"/>
    </xf>
    <xf numFmtId="4" fontId="5" fillId="5" borderId="1" xfId="5" applyNumberFormat="1" applyFont="1" applyFill="1" applyBorder="1" applyAlignment="1" applyProtection="1">
      <alignment horizontal="right" wrapText="1" indent="1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5" fillId="0" borderId="12" xfId="5" applyFont="1" applyBorder="1" applyAlignment="1" applyProtection="1">
      <alignment horizontal="left" vertical="center" shrinkToFit="1"/>
      <protection hidden="1"/>
    </xf>
    <xf numFmtId="0" fontId="5" fillId="0" borderId="9" xfId="5" applyFont="1" applyBorder="1" applyAlignment="1" applyProtection="1">
      <alignment horizontal="left" vertical="center" shrinkToFit="1"/>
      <protection hidden="1"/>
    </xf>
    <xf numFmtId="0" fontId="5" fillId="0" borderId="11" xfId="5" applyFont="1" applyBorder="1" applyAlignment="1" applyProtection="1">
      <alignment horizontal="left" vertical="center" shrinkToFit="1"/>
      <protection hidden="1"/>
    </xf>
    <xf numFmtId="0" fontId="12" fillId="0" borderId="10" xfId="5" applyFont="1" applyBorder="1" applyAlignment="1" applyProtection="1">
      <alignment horizontal="center" vertical="center" wrapText="1"/>
      <protection hidden="1"/>
    </xf>
    <xf numFmtId="0" fontId="12" fillId="0" borderId="20" xfId="5" applyFont="1" applyBorder="1" applyAlignment="1" applyProtection="1">
      <alignment horizontal="center" vertical="center" wrapText="1"/>
      <protection hidden="1"/>
    </xf>
    <xf numFmtId="0" fontId="12" fillId="0" borderId="26" xfId="5" applyFont="1" applyBorder="1" applyAlignment="1" applyProtection="1">
      <alignment horizontal="center" vertical="center" wrapText="1"/>
      <protection hidden="1"/>
    </xf>
    <xf numFmtId="4" fontId="12" fillId="0" borderId="10" xfId="5" applyNumberFormat="1" applyFont="1" applyBorder="1" applyAlignment="1" applyProtection="1">
      <alignment horizontal="right" vertical="center" wrapText="1" indent="2"/>
      <protection hidden="1"/>
    </xf>
    <xf numFmtId="4" fontId="12" fillId="0" borderId="26" xfId="5" applyNumberFormat="1" applyFont="1" applyBorder="1" applyAlignment="1" applyProtection="1">
      <alignment horizontal="right" vertical="center" wrapText="1" indent="2"/>
      <protection hidden="1"/>
    </xf>
    <xf numFmtId="4" fontId="15" fillId="0" borderId="10" xfId="5" applyNumberFormat="1" applyFont="1" applyBorder="1" applyAlignment="1" applyProtection="1">
      <alignment horizontal="right" vertical="center" wrapText="1" indent="2"/>
      <protection hidden="1"/>
    </xf>
    <xf numFmtId="4" fontId="15" fillId="0" borderId="26" xfId="5" applyNumberFormat="1" applyFont="1" applyBorder="1" applyAlignment="1" applyProtection="1">
      <alignment horizontal="right" vertical="center" wrapText="1" indent="2"/>
      <protection hidden="1"/>
    </xf>
    <xf numFmtId="0" fontId="12" fillId="5" borderId="12" xfId="5" applyFont="1" applyFill="1" applyBorder="1" applyAlignment="1" applyProtection="1">
      <alignment horizontal="left" wrapText="1"/>
      <protection hidden="1"/>
    </xf>
    <xf numFmtId="0" fontId="12" fillId="5" borderId="9" xfId="5" applyFont="1" applyFill="1" applyBorder="1" applyAlignment="1" applyProtection="1">
      <alignment horizontal="left" wrapText="1"/>
      <protection hidden="1"/>
    </xf>
    <xf numFmtId="0" fontId="12" fillId="5" borderId="11" xfId="5" applyFont="1" applyFill="1" applyBorder="1" applyAlignment="1" applyProtection="1">
      <alignment horizontal="left" wrapText="1"/>
      <protection hidden="1"/>
    </xf>
    <xf numFmtId="4" fontId="15" fillId="0" borderId="4" xfId="5" applyNumberFormat="1" applyFont="1" applyBorder="1" applyAlignment="1" applyProtection="1">
      <alignment horizontal="right" vertical="top" wrapText="1" indent="2"/>
      <protection hidden="1"/>
    </xf>
    <xf numFmtId="0" fontId="15" fillId="0" borderId="6" xfId="5" applyFont="1" applyBorder="1" applyAlignment="1" applyProtection="1">
      <alignment horizontal="right" vertical="top" wrapText="1" indent="2"/>
      <protection hidden="1"/>
    </xf>
    <xf numFmtId="4" fontId="15" fillId="0" borderId="4" xfId="5" applyNumberFormat="1" applyFont="1" applyBorder="1" applyAlignment="1" applyProtection="1">
      <alignment horizontal="right" vertical="top" wrapText="1" indent="1"/>
      <protection hidden="1"/>
    </xf>
    <xf numFmtId="4" fontId="15" fillId="0" borderId="6" xfId="5" applyNumberFormat="1" applyFont="1" applyBorder="1" applyAlignment="1" applyProtection="1">
      <alignment horizontal="right" vertical="top" wrapText="1" indent="1"/>
      <protection hidden="1"/>
    </xf>
    <xf numFmtId="0" fontId="6" fillId="5" borderId="10" xfId="5" applyFont="1" applyFill="1" applyBorder="1" applyAlignment="1" applyProtection="1">
      <alignment wrapText="1"/>
      <protection hidden="1"/>
    </xf>
    <xf numFmtId="0" fontId="6" fillId="5" borderId="20" xfId="5" applyFont="1" applyFill="1" applyBorder="1" applyAlignment="1" applyProtection="1">
      <alignment wrapText="1"/>
      <protection hidden="1"/>
    </xf>
    <xf numFmtId="0" fontId="6" fillId="5" borderId="26" xfId="5" applyFont="1" applyFill="1" applyBorder="1" applyAlignment="1" applyProtection="1">
      <alignment wrapText="1"/>
      <protection hidden="1"/>
    </xf>
    <xf numFmtId="0" fontId="8" fillId="5" borderId="7" xfId="5" applyFont="1" applyFill="1" applyBorder="1" applyAlignment="1" applyProtection="1">
      <alignment wrapText="1"/>
      <protection hidden="1"/>
    </xf>
    <xf numFmtId="0" fontId="8" fillId="5" borderId="4" xfId="5" applyFont="1" applyFill="1" applyBorder="1" applyAlignment="1" applyProtection="1">
      <alignment wrapText="1"/>
      <protection hidden="1"/>
    </xf>
    <xf numFmtId="0" fontId="6" fillId="3" borderId="12" xfId="5" applyFont="1" applyFill="1" applyBorder="1" applyAlignment="1" applyProtection="1">
      <alignment horizontal="left" vertical="center" wrapText="1" indent="1"/>
      <protection locked="0"/>
    </xf>
    <xf numFmtId="0" fontId="6" fillId="3" borderId="9" xfId="5" applyFont="1" applyFill="1" applyBorder="1" applyAlignment="1" applyProtection="1">
      <alignment horizontal="left" vertical="center" wrapText="1" indent="1"/>
      <protection locked="0"/>
    </xf>
    <xf numFmtId="0" fontId="6" fillId="3" borderId="11" xfId="5" applyFont="1" applyFill="1" applyBorder="1" applyAlignment="1" applyProtection="1">
      <alignment horizontal="left" vertical="center" wrapText="1" indent="1"/>
      <protection locked="0"/>
    </xf>
    <xf numFmtId="0" fontId="6" fillId="3" borderId="4" xfId="5" applyFont="1" applyFill="1" applyBorder="1" applyAlignment="1" applyProtection="1">
      <alignment horizontal="left" vertical="center" wrapText="1" indent="1"/>
      <protection locked="0"/>
    </xf>
    <xf numFmtId="0" fontId="6" fillId="3" borderId="5" xfId="5" applyFont="1" applyFill="1" applyBorder="1" applyAlignment="1" applyProtection="1">
      <alignment horizontal="left" vertical="center" wrapText="1" indent="1"/>
      <protection locked="0"/>
    </xf>
    <xf numFmtId="0" fontId="6" fillId="3" borderId="6" xfId="5" applyFont="1" applyFill="1" applyBorder="1" applyAlignment="1" applyProtection="1">
      <alignment horizontal="left" vertical="center" wrapText="1" indent="1"/>
      <protection locked="0"/>
    </xf>
    <xf numFmtId="0" fontId="15" fillId="5" borderId="4" xfId="5" applyFont="1" applyFill="1" applyBorder="1" applyAlignment="1" applyProtection="1">
      <alignment horizontal="center" vertical="top" wrapText="1"/>
      <protection hidden="1"/>
    </xf>
    <xf numFmtId="0" fontId="15" fillId="5" borderId="5" xfId="5" applyFont="1" applyFill="1" applyBorder="1" applyAlignment="1" applyProtection="1">
      <alignment horizontal="center" vertical="top" wrapText="1"/>
      <protection hidden="1"/>
    </xf>
    <xf numFmtId="0" fontId="15" fillId="5" borderId="6" xfId="5" applyFont="1" applyFill="1" applyBorder="1" applyAlignment="1" applyProtection="1">
      <alignment horizontal="center" vertical="top"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12" fillId="3" borderId="11" xfId="5" applyFont="1" applyFill="1" applyBorder="1" applyAlignment="1" applyProtection="1">
      <alignment horizontal="center" wrapText="1"/>
      <protection hidden="1"/>
    </xf>
    <xf numFmtId="0" fontId="12" fillId="3" borderId="12" xfId="5" applyFont="1" applyFill="1" applyBorder="1" applyAlignment="1" applyProtection="1">
      <alignment horizontal="center" wrapText="1"/>
      <protection hidden="1"/>
    </xf>
    <xf numFmtId="0" fontId="15" fillId="11" borderId="0" xfId="3" applyFont="1" applyFill="1" applyAlignment="1" applyProtection="1">
      <alignment horizontal="left" vertical="center"/>
      <protection hidden="1"/>
    </xf>
    <xf numFmtId="0" fontId="6" fillId="5" borderId="8" xfId="5" applyFont="1" applyFill="1" applyBorder="1" applyAlignment="1" applyProtection="1">
      <alignment wrapText="1"/>
      <protection hidden="1"/>
    </xf>
    <xf numFmtId="0" fontId="15" fillId="5" borderId="10" xfId="5" applyFont="1" applyFill="1" applyBorder="1" applyAlignment="1" applyProtection="1">
      <alignment wrapText="1"/>
      <protection hidden="1"/>
    </xf>
    <xf numFmtId="0" fontId="15" fillId="5" borderId="20" xfId="5" applyFont="1" applyFill="1" applyBorder="1" applyAlignment="1" applyProtection="1">
      <alignment wrapText="1"/>
      <protection hidden="1"/>
    </xf>
    <xf numFmtId="0" fontId="15" fillId="5" borderId="26" xfId="5" applyFont="1" applyFill="1" applyBorder="1" applyAlignment="1" applyProtection="1">
      <alignment wrapText="1"/>
      <protection hidden="1"/>
    </xf>
    <xf numFmtId="14" fontId="8" fillId="0" borderId="5" xfId="5" applyNumberFormat="1" applyFont="1" applyBorder="1" applyAlignment="1" applyProtection="1">
      <alignment horizontal="center" vertical="center" wrapText="1"/>
      <protection hidden="1"/>
    </xf>
    <xf numFmtId="14" fontId="8" fillId="0" borderId="6" xfId="5" applyNumberFormat="1" applyFont="1" applyBorder="1" applyAlignment="1" applyProtection="1">
      <alignment horizontal="center" vertical="center" wrapText="1"/>
      <protection hidden="1"/>
    </xf>
    <xf numFmtId="0" fontId="8" fillId="0" borderId="2" xfId="5" applyFont="1" applyBorder="1" applyAlignment="1" applyProtection="1">
      <alignment horizontal="center" vertical="center" wrapText="1"/>
      <protection hidden="1"/>
    </xf>
    <xf numFmtId="0" fontId="8" fillId="0" borderId="0" xfId="5" applyFont="1" applyBorder="1" applyAlignment="1" applyProtection="1">
      <alignment horizontal="center" vertical="center" wrapText="1"/>
      <protection hidden="1"/>
    </xf>
    <xf numFmtId="0" fontId="8" fillId="0" borderId="3" xfId="5" applyFont="1" applyBorder="1" applyAlignment="1" applyProtection="1">
      <alignment horizontal="center" vertical="center" wrapText="1"/>
      <protection hidden="1"/>
    </xf>
    <xf numFmtId="14" fontId="8" fillId="0" borderId="2" xfId="5" applyNumberFormat="1" applyFont="1" applyBorder="1" applyAlignment="1" applyProtection="1">
      <alignment horizontal="center" vertical="center"/>
      <protection hidden="1"/>
    </xf>
    <xf numFmtId="14" fontId="8" fillId="0" borderId="3" xfId="5" applyNumberFormat="1" applyFont="1" applyBorder="1" applyAlignment="1" applyProtection="1">
      <alignment horizontal="center" vertical="center"/>
      <protection hidden="1"/>
    </xf>
    <xf numFmtId="4" fontId="8" fillId="0" borderId="5" xfId="5" applyNumberFormat="1" applyFont="1" applyBorder="1" applyAlignment="1" applyProtection="1">
      <alignment horizontal="left" vertical="center" indent="2"/>
      <protection hidden="1"/>
    </xf>
    <xf numFmtId="4" fontId="8" fillId="0" borderId="6" xfId="5" applyNumberFormat="1" applyFont="1" applyBorder="1" applyAlignment="1" applyProtection="1">
      <alignment horizontal="left" vertical="center" indent="2"/>
      <protection hidden="1"/>
    </xf>
    <xf numFmtId="0" fontId="12" fillId="0" borderId="12" xfId="5" applyFont="1" applyBorder="1" applyAlignment="1" applyProtection="1">
      <alignment horizontal="left"/>
      <protection hidden="1"/>
    </xf>
    <xf numFmtId="0" fontId="12" fillId="0" borderId="11" xfId="5" applyFont="1" applyBorder="1" applyAlignment="1" applyProtection="1">
      <alignment horizontal="left"/>
      <protection hidden="1"/>
    </xf>
    <xf numFmtId="0" fontId="12" fillId="0" borderId="10" xfId="5" applyFont="1" applyBorder="1" applyAlignment="1" applyProtection="1">
      <alignment horizontal="left" vertical="top" wrapText="1"/>
      <protection hidden="1"/>
    </xf>
    <xf numFmtId="0" fontId="12" fillId="0" borderId="20" xfId="5" applyFont="1" applyBorder="1" applyAlignment="1" applyProtection="1">
      <alignment horizontal="left" vertical="top" wrapText="1"/>
      <protection hidden="1"/>
    </xf>
    <xf numFmtId="0" fontId="12" fillId="0" borderId="26" xfId="5" applyFont="1" applyBorder="1" applyAlignment="1" applyProtection="1">
      <alignment horizontal="left" vertical="top" wrapText="1"/>
      <protection hidden="1"/>
    </xf>
    <xf numFmtId="0" fontId="12" fillId="0" borderId="2" xfId="5" applyFont="1" applyBorder="1" applyAlignment="1" applyProtection="1">
      <alignment horizontal="center"/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5" fillId="3" borderId="2" xfId="5" applyFont="1" applyFill="1" applyBorder="1" applyAlignment="1" applyProtection="1">
      <alignment horizontal="center" wrapText="1"/>
      <protection hidden="1"/>
    </xf>
    <xf numFmtId="0" fontId="15" fillId="3" borderId="0" xfId="5" applyFont="1" applyFill="1" applyBorder="1" applyAlignment="1" applyProtection="1">
      <alignment horizontal="center" wrapText="1"/>
      <protection hidden="1"/>
    </xf>
    <xf numFmtId="0" fontId="11" fillId="0" borderId="5" xfId="5" applyFont="1" applyBorder="1" applyAlignment="1" applyProtection="1">
      <alignment horizontal="center"/>
      <protection hidden="1"/>
    </xf>
    <xf numFmtId="0" fontId="12" fillId="0" borderId="9" xfId="5" applyFont="1" applyBorder="1" applyAlignment="1" applyProtection="1">
      <alignment horizontal="center"/>
      <protection hidden="1"/>
    </xf>
    <xf numFmtId="0" fontId="25" fillId="3" borderId="20" xfId="5" applyFont="1" applyFill="1" applyBorder="1" applyAlignment="1" applyProtection="1">
      <alignment wrapText="1"/>
      <protection hidden="1"/>
    </xf>
    <xf numFmtId="0" fontId="6" fillId="5" borderId="12" xfId="5" applyFont="1" applyFill="1" applyBorder="1" applyAlignment="1" applyProtection="1">
      <alignment horizontal="left" wrapText="1"/>
      <protection hidden="1"/>
    </xf>
    <xf numFmtId="0" fontId="6" fillId="5" borderId="9" xfId="5" applyFont="1" applyFill="1" applyBorder="1" applyAlignment="1" applyProtection="1">
      <alignment horizontal="left" wrapText="1"/>
      <protection hidden="1"/>
    </xf>
    <xf numFmtId="0" fontId="6" fillId="5" borderId="11" xfId="5" applyFont="1" applyFill="1" applyBorder="1" applyAlignment="1" applyProtection="1">
      <alignment horizontal="left" wrapText="1"/>
      <protection hidden="1"/>
    </xf>
    <xf numFmtId="0" fontId="6" fillId="5" borderId="4" xfId="5" applyFont="1" applyFill="1" applyBorder="1" applyAlignment="1" applyProtection="1">
      <alignment horizontal="left" wrapText="1"/>
      <protection hidden="1"/>
    </xf>
    <xf numFmtId="0" fontId="6" fillId="5" borderId="5" xfId="5" applyFont="1" applyFill="1" applyBorder="1" applyAlignment="1" applyProtection="1">
      <alignment horizontal="left" wrapText="1"/>
      <protection hidden="1"/>
    </xf>
    <xf numFmtId="0" fontId="6" fillId="5" borderId="6" xfId="5" applyFont="1" applyFill="1" applyBorder="1" applyAlignment="1" applyProtection="1">
      <alignment horizontal="left" wrapText="1"/>
      <protection hidden="1"/>
    </xf>
    <xf numFmtId="0" fontId="13" fillId="0" borderId="5" xfId="5" applyFont="1" applyBorder="1" applyAlignment="1" applyProtection="1">
      <alignment horizontal="center"/>
      <protection hidden="1"/>
    </xf>
    <xf numFmtId="0" fontId="103" fillId="0" borderId="0" xfId="5" applyFont="1" applyFill="1" applyBorder="1" applyAlignment="1" applyProtection="1">
      <alignment horizontal="center" vertical="center" textRotation="180"/>
      <protection hidden="1"/>
    </xf>
    <xf numFmtId="4" fontId="15" fillId="0" borderId="10" xfId="5" applyNumberFormat="1" applyFont="1" applyBorder="1" applyAlignment="1" applyProtection="1">
      <alignment horizontal="right" vertical="top" wrapText="1" indent="1"/>
      <protection hidden="1"/>
    </xf>
    <xf numFmtId="4" fontId="15" fillId="0" borderId="26" xfId="5" applyNumberFormat="1" applyFont="1" applyBorder="1" applyAlignment="1" applyProtection="1">
      <alignment horizontal="right" vertical="top" wrapText="1" indent="1"/>
      <protection hidden="1"/>
    </xf>
    <xf numFmtId="169" fontId="8" fillId="11" borderId="0" xfId="3" applyNumberFormat="1" applyFont="1" applyFill="1" applyAlignment="1" applyProtection="1">
      <alignment horizontal="left"/>
      <protection hidden="1"/>
    </xf>
    <xf numFmtId="169" fontId="3" fillId="11" borderId="0" xfId="3" applyNumberFormat="1" applyFont="1" applyFill="1" applyAlignment="1" applyProtection="1">
      <alignment horizontal="left"/>
      <protection hidden="1"/>
    </xf>
    <xf numFmtId="0" fontId="0" fillId="3" borderId="0" xfId="0" applyFill="1" applyAlignment="1" applyProtection="1">
      <alignment horizontal="right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8" fillId="3" borderId="5" xfId="0" applyFont="1" applyFill="1" applyBorder="1" applyAlignment="1" applyProtection="1">
      <alignment horizontal="left"/>
      <protection hidden="1"/>
    </xf>
    <xf numFmtId="0" fontId="8" fillId="3" borderId="45" xfId="0" applyFont="1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center" vertical="top"/>
      <protection hidden="1"/>
    </xf>
    <xf numFmtId="0" fontId="0" fillId="3" borderId="51" xfId="0" applyFill="1" applyBorder="1" applyAlignment="1" applyProtection="1">
      <alignment horizontal="center" vertical="top"/>
      <protection hidden="1"/>
    </xf>
    <xf numFmtId="0" fontId="0" fillId="3" borderId="16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1" fontId="0" fillId="3" borderId="0" xfId="0" applyNumberFormat="1" applyFill="1" applyBorder="1" applyAlignment="1" applyProtection="1">
      <alignment horizontal="center"/>
      <protection hidden="1"/>
    </xf>
    <xf numFmtId="1" fontId="0" fillId="3" borderId="3" xfId="0" applyNumberFormat="1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left"/>
      <protection hidden="1"/>
    </xf>
    <xf numFmtId="0" fontId="0" fillId="3" borderId="23" xfId="0" applyFill="1" applyBorder="1" applyAlignment="1" applyProtection="1">
      <alignment horizontal="left"/>
      <protection hidden="1"/>
    </xf>
    <xf numFmtId="0" fontId="0" fillId="3" borderId="24" xfId="0" applyFill="1" applyBorder="1" applyAlignment="1" applyProtection="1">
      <alignment horizontal="left"/>
      <protection hidden="1"/>
    </xf>
    <xf numFmtId="0" fontId="0" fillId="3" borderId="25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 vertical="center"/>
      <protection hidden="1"/>
    </xf>
    <xf numFmtId="0" fontId="0" fillId="3" borderId="14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/>
      <protection hidden="1"/>
    </xf>
    <xf numFmtId="0" fontId="0" fillId="3" borderId="83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8" fillId="3" borderId="20" xfId="0" applyFont="1" applyFill="1" applyBorder="1" applyAlignment="1" applyProtection="1">
      <alignment horizontal="left"/>
      <protection hidden="1"/>
    </xf>
    <xf numFmtId="0" fontId="8" fillId="3" borderId="26" xfId="0" applyFont="1" applyFill="1" applyBorder="1" applyAlignment="1" applyProtection="1">
      <alignment horizontal="left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1" fontId="0" fillId="3" borderId="20" xfId="0" applyNumberFormat="1" applyFill="1" applyBorder="1" applyAlignment="1" applyProtection="1">
      <alignment horizontal="center"/>
      <protection hidden="1"/>
    </xf>
    <xf numFmtId="1" fontId="0" fillId="3" borderId="26" xfId="0" applyNumberFormat="1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74" xfId="0" applyFill="1" applyBorder="1" applyAlignment="1" applyProtection="1">
      <alignment horizontal="center"/>
      <protection hidden="1"/>
    </xf>
    <xf numFmtId="0" fontId="0" fillId="3" borderId="28" xfId="0" applyFill="1" applyBorder="1" applyAlignment="1" applyProtection="1">
      <alignment horizontal="center"/>
      <protection hidden="1"/>
    </xf>
    <xf numFmtId="0" fontId="0" fillId="3" borderId="30" xfId="0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16" fillId="3" borderId="64" xfId="0" applyFont="1" applyFill="1" applyBorder="1" applyAlignment="1" applyProtection="1">
      <alignment horizontal="center"/>
      <protection hidden="1"/>
    </xf>
    <xf numFmtId="0" fontId="8" fillId="3" borderId="10" xfId="0" applyFont="1" applyFill="1" applyBorder="1" applyAlignment="1" applyProtection="1">
      <alignment horizontal="left"/>
      <protection hidden="1"/>
    </xf>
    <xf numFmtId="187" fontId="0" fillId="3" borderId="0" xfId="0" applyNumberFormat="1" applyFill="1" applyBorder="1" applyAlignment="1" applyProtection="1">
      <alignment horizontal="center"/>
      <protection hidden="1"/>
    </xf>
    <xf numFmtId="187" fontId="0" fillId="3" borderId="3" xfId="0" applyNumberFormat="1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left" shrinkToFit="1"/>
      <protection hidden="1"/>
    </xf>
    <xf numFmtId="0" fontId="0" fillId="3" borderId="0" xfId="0" applyFill="1" applyBorder="1" applyAlignment="1" applyProtection="1">
      <alignment horizontal="left" shrinkToFit="1"/>
      <protection hidden="1"/>
    </xf>
    <xf numFmtId="0" fontId="0" fillId="3" borderId="3" xfId="0" applyFill="1" applyBorder="1" applyAlignment="1" applyProtection="1">
      <alignment horizontal="left" shrinkToFit="1"/>
      <protection hidden="1"/>
    </xf>
    <xf numFmtId="187" fontId="0" fillId="3" borderId="12" xfId="0" applyNumberFormat="1" applyFill="1" applyBorder="1" applyAlignment="1" applyProtection="1">
      <alignment horizontal="center"/>
      <protection hidden="1"/>
    </xf>
    <xf numFmtId="187" fontId="0" fillId="3" borderId="9" xfId="0" applyNumberFormat="1" applyFill="1" applyBorder="1" applyAlignment="1" applyProtection="1">
      <alignment horizontal="center"/>
      <protection hidden="1"/>
    </xf>
    <xf numFmtId="187" fontId="0" fillId="3" borderId="11" xfId="0" applyNumberFormat="1" applyFill="1" applyBorder="1" applyAlignment="1" applyProtection="1">
      <alignment horizontal="center"/>
      <protection hidden="1"/>
    </xf>
    <xf numFmtId="0" fontId="0" fillId="3" borderId="9" xfId="0" applyFill="1" applyBorder="1" applyAlignment="1" applyProtection="1">
      <alignment horizontal="left" shrinkToFit="1"/>
      <protection hidden="1"/>
    </xf>
    <xf numFmtId="0" fontId="0" fillId="3" borderId="11" xfId="0" applyFill="1" applyBorder="1" applyAlignment="1" applyProtection="1">
      <alignment horizontal="left" shrinkToFit="1"/>
      <protection hidden="1"/>
    </xf>
    <xf numFmtId="1" fontId="8" fillId="3" borderId="0" xfId="0" applyNumberFormat="1" applyFont="1" applyFill="1" applyBorder="1" applyAlignment="1" applyProtection="1">
      <alignment horizontal="left"/>
      <protection hidden="1"/>
    </xf>
    <xf numFmtId="0" fontId="8" fillId="3" borderId="0" xfId="0" applyFont="1" applyFill="1" applyBorder="1" applyAlignment="1" applyProtection="1">
      <alignment horizontal="left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187" fontId="0" fillId="3" borderId="24" xfId="0" applyNumberFormat="1" applyFill="1" applyBorder="1" applyAlignment="1" applyProtection="1">
      <alignment horizontal="center"/>
      <protection hidden="1"/>
    </xf>
    <xf numFmtId="187" fontId="0" fillId="3" borderId="31" xfId="0" applyNumberForma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 shrinkToFit="1"/>
      <protection hidden="1"/>
    </xf>
    <xf numFmtId="0" fontId="0" fillId="3" borderId="24" xfId="0" applyFill="1" applyBorder="1" applyAlignment="1" applyProtection="1">
      <alignment horizontal="left" shrinkToFit="1"/>
      <protection hidden="1"/>
    </xf>
    <xf numFmtId="0" fontId="0" fillId="3" borderId="31" xfId="0" applyFill="1" applyBorder="1" applyAlignment="1" applyProtection="1">
      <alignment horizontal="left" shrinkToFit="1"/>
      <protection hidden="1"/>
    </xf>
    <xf numFmtId="0" fontId="1" fillId="3" borderId="29" xfId="0" applyNumberFormat="1" applyFont="1" applyFill="1" applyBorder="1" applyAlignment="1" applyProtection="1">
      <alignment horizontal="left" vertical="center"/>
      <protection hidden="1"/>
    </xf>
    <xf numFmtId="0" fontId="0" fillId="3" borderId="29" xfId="0" applyNumberFormat="1" applyFill="1" applyBorder="1" applyAlignment="1" applyProtection="1">
      <alignment horizontal="left" vertical="center"/>
      <protection hidden="1"/>
    </xf>
    <xf numFmtId="0" fontId="0" fillId="3" borderId="30" xfId="0" applyNumberFormat="1" applyFill="1" applyBorder="1" applyAlignment="1" applyProtection="1">
      <alignment horizontal="left" vertical="center"/>
      <protection hidden="1"/>
    </xf>
    <xf numFmtId="0" fontId="57" fillId="3" borderId="0" xfId="0" applyFont="1" applyFill="1" applyAlignment="1" applyProtection="1">
      <alignment horizontal="center" vertical="center" textRotation="180"/>
      <protection hidden="1"/>
    </xf>
    <xf numFmtId="0" fontId="11" fillId="3" borderId="16" xfId="0" applyFont="1" applyFill="1" applyBorder="1" applyAlignment="1" applyProtection="1">
      <alignment horizontal="justify" vertical="center" wrapText="1"/>
      <protection hidden="1"/>
    </xf>
    <xf numFmtId="0" fontId="11" fillId="3" borderId="0" xfId="0" applyFont="1" applyFill="1" applyBorder="1" applyAlignment="1" applyProtection="1">
      <alignment horizontal="justify" vertical="center" wrapText="1"/>
      <protection hidden="1"/>
    </xf>
    <xf numFmtId="0" fontId="11" fillId="3" borderId="17" xfId="0" applyFont="1" applyFill="1" applyBorder="1" applyAlignment="1" applyProtection="1">
      <alignment horizontal="justify" vertical="center" wrapText="1"/>
      <protection hidden="1"/>
    </xf>
    <xf numFmtId="0" fontId="6" fillId="3" borderId="0" xfId="0" applyFont="1" applyFill="1" applyAlignment="1" applyProtection="1">
      <alignment horizontal="left"/>
      <protection hidden="1"/>
    </xf>
    <xf numFmtId="0" fontId="1" fillId="11" borderId="9" xfId="0" applyFont="1" applyFill="1" applyBorder="1" applyAlignment="1" applyProtection="1">
      <alignment horizontal="center"/>
      <protection hidden="1"/>
    </xf>
    <xf numFmtId="0" fontId="100" fillId="3" borderId="0" xfId="0" applyFont="1" applyFill="1" applyAlignment="1" applyProtection="1">
      <alignment horizontal="right" vertical="center"/>
      <protection hidden="1"/>
    </xf>
    <xf numFmtId="4" fontId="0" fillId="11" borderId="0" xfId="0" applyNumberFormat="1" applyFill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left"/>
      <protection hidden="1"/>
    </xf>
    <xf numFmtId="0" fontId="15" fillId="2" borderId="4" xfId="3" applyFont="1" applyFill="1" applyBorder="1" applyAlignment="1" applyProtection="1">
      <alignment horizontal="center"/>
      <protection hidden="1"/>
    </xf>
    <xf numFmtId="0" fontId="15" fillId="2" borderId="6" xfId="3" applyFont="1" applyFill="1" applyBorder="1" applyAlignment="1" applyProtection="1">
      <alignment horizontal="center"/>
      <protection hidden="1"/>
    </xf>
    <xf numFmtId="0" fontId="8" fillId="0" borderId="23" xfId="0" applyFont="1" applyFill="1" applyBorder="1" applyAlignment="1" applyProtection="1">
      <alignment horizontal="center" vertical="center"/>
      <protection hidden="1"/>
    </xf>
    <xf numFmtId="0" fontId="8" fillId="0" borderId="24" xfId="0" applyFont="1" applyFill="1" applyBorder="1" applyAlignment="1" applyProtection="1">
      <alignment horizontal="center" vertical="center"/>
      <protection hidden="1"/>
    </xf>
    <xf numFmtId="0" fontId="1" fillId="14" borderId="8" xfId="0" applyFont="1" applyFill="1" applyBorder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horizontal="center"/>
      <protection hidden="1"/>
    </xf>
    <xf numFmtId="4" fontId="4" fillId="14" borderId="29" xfId="0" applyNumberFormat="1" applyFont="1" applyFill="1" applyBorder="1" applyAlignment="1" applyProtection="1">
      <alignment horizontal="right" vertical="center"/>
      <protection hidden="1"/>
    </xf>
    <xf numFmtId="4" fontId="4" fillId="14" borderId="30" xfId="0" applyNumberFormat="1" applyFont="1" applyFill="1" applyBorder="1" applyAlignment="1" applyProtection="1">
      <alignment horizontal="right" vertical="center"/>
      <protection hidden="1"/>
    </xf>
    <xf numFmtId="0" fontId="4" fillId="14" borderId="28" xfId="0" applyFont="1" applyFill="1" applyBorder="1" applyAlignment="1" applyProtection="1">
      <alignment horizontal="center" vertical="center"/>
      <protection hidden="1"/>
    </xf>
    <xf numFmtId="0" fontId="4" fillId="14" borderId="29" xfId="0" applyFont="1" applyFill="1" applyBorder="1" applyAlignment="1" applyProtection="1">
      <alignment horizontal="center" vertical="center"/>
      <protection hidden="1"/>
    </xf>
    <xf numFmtId="0" fontId="4" fillId="14" borderId="30" xfId="0" applyFont="1" applyFill="1" applyBorder="1" applyAlignment="1" applyProtection="1">
      <alignment horizontal="center" vertical="center"/>
      <protection hidden="1"/>
    </xf>
    <xf numFmtId="0" fontId="9" fillId="0" borderId="48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 applyProtection="1">
      <alignment horizontal="center" vertical="center"/>
      <protection hidden="1"/>
    </xf>
    <xf numFmtId="0" fontId="1" fillId="2" borderId="20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53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hidden="1"/>
    </xf>
    <xf numFmtId="0" fontId="8" fillId="0" borderId="53" xfId="0" applyFont="1" applyFill="1" applyBorder="1" applyAlignment="1" applyProtection="1">
      <alignment horizontal="center" vertical="center"/>
      <protection hidden="1"/>
    </xf>
    <xf numFmtId="0" fontId="8" fillId="0" borderId="58" xfId="0" applyFont="1" applyFill="1" applyBorder="1" applyAlignment="1" applyProtection="1">
      <alignment horizontal="center" vertical="center"/>
      <protection hidden="1"/>
    </xf>
    <xf numFmtId="0" fontId="96" fillId="13" borderId="29" xfId="0" applyFont="1" applyFill="1" applyBorder="1" applyAlignment="1" applyProtection="1">
      <alignment horizontal="center" vertical="center"/>
      <protection hidden="1"/>
    </xf>
    <xf numFmtId="0" fontId="8" fillId="14" borderId="29" xfId="0" applyFont="1" applyFill="1" applyBorder="1" applyAlignment="1" applyProtection="1">
      <alignment horizontal="center" vertical="center"/>
      <protection hidden="1"/>
    </xf>
    <xf numFmtId="0" fontId="8" fillId="14" borderId="28" xfId="0" applyFont="1" applyFill="1" applyBorder="1" applyAlignment="1" applyProtection="1">
      <alignment horizontal="center" vertical="center"/>
      <protection hidden="1"/>
    </xf>
    <xf numFmtId="0" fontId="8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75" xfId="0" applyFont="1" applyFill="1" applyBorder="1" applyAlignment="1" applyProtection="1">
      <alignment horizontal="center" vertical="center"/>
      <protection hidden="1"/>
    </xf>
    <xf numFmtId="0" fontId="9" fillId="0" borderId="72" xfId="0" applyFont="1" applyFill="1" applyBorder="1" applyAlignment="1" applyProtection="1">
      <alignment horizontal="center" vertical="center"/>
      <protection hidden="1"/>
    </xf>
    <xf numFmtId="0" fontId="9" fillId="0" borderId="73" xfId="0" applyFont="1" applyFill="1" applyBorder="1" applyAlignment="1" applyProtection="1">
      <alignment horizontal="center" vertical="center"/>
      <protection hidden="1"/>
    </xf>
    <xf numFmtId="0" fontId="9" fillId="0" borderId="68" xfId="0" applyFont="1" applyFill="1" applyBorder="1" applyAlignment="1" applyProtection="1">
      <alignment horizontal="center" vertical="center"/>
      <protection hidden="1"/>
    </xf>
    <xf numFmtId="0" fontId="9" fillId="0" borderId="69" xfId="0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/>
      <protection hidden="1"/>
    </xf>
    <xf numFmtId="0" fontId="9" fillId="2" borderId="53" xfId="0" applyFont="1" applyFill="1" applyBorder="1" applyAlignment="1" applyProtection="1">
      <alignment horizontal="center" vertical="center"/>
      <protection hidden="1"/>
    </xf>
    <xf numFmtId="0" fontId="9" fillId="2" borderId="58" xfId="0" applyFont="1" applyFill="1" applyBorder="1" applyAlignment="1" applyProtection="1">
      <alignment horizontal="center" vertical="center"/>
      <protection hidden="1"/>
    </xf>
    <xf numFmtId="49" fontId="9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58" xfId="0" applyNumberFormat="1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 shrinkToFit="1"/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1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9" fillId="0" borderId="23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9" fillId="0" borderId="25" xfId="0" applyFont="1" applyFill="1" applyBorder="1" applyAlignment="1" applyProtection="1">
      <alignment horizontal="center" vertical="center"/>
      <protection hidden="1"/>
    </xf>
    <xf numFmtId="0" fontId="87" fillId="0" borderId="23" xfId="0" applyFont="1" applyFill="1" applyBorder="1" applyAlignment="1" applyProtection="1">
      <alignment horizontal="center" vertical="center"/>
      <protection hidden="1"/>
    </xf>
    <xf numFmtId="0" fontId="87" fillId="0" borderId="24" xfId="0" applyFont="1" applyFill="1" applyBorder="1" applyAlignment="1" applyProtection="1">
      <alignment horizontal="center" vertical="center"/>
      <protection hidden="1"/>
    </xf>
    <xf numFmtId="0" fontId="107" fillId="11" borderId="0" xfId="0" applyFont="1" applyFill="1" applyAlignment="1">
      <alignment horizontal="justify" vertical="center"/>
    </xf>
    <xf numFmtId="0" fontId="114" fillId="11" borderId="0" xfId="0" applyFont="1" applyFill="1" applyAlignment="1">
      <alignment horizontal="center" vertical="center"/>
    </xf>
    <xf numFmtId="0" fontId="107" fillId="11" borderId="0" xfId="0" applyFont="1" applyFill="1" applyAlignment="1">
      <alignment horizontal="left" vertical="center" wrapText="1"/>
    </xf>
    <xf numFmtId="0" fontId="107" fillId="11" borderId="0" xfId="0" applyFont="1" applyFill="1" applyAlignment="1">
      <alignment horizontal="justify" vertical="center" wrapText="1"/>
    </xf>
    <xf numFmtId="0" fontId="107" fillId="11" borderId="0" xfId="0" applyFont="1" applyFill="1" applyAlignment="1">
      <alignment horizontal="justify" vertical="top" wrapText="1"/>
    </xf>
    <xf numFmtId="0" fontId="1" fillId="11" borderId="0" xfId="0" applyFont="1" applyFill="1" applyAlignment="1">
      <alignment horizontal="right" vertical="center"/>
    </xf>
    <xf numFmtId="0" fontId="107" fillId="11" borderId="0" xfId="0" applyFont="1" applyFill="1" applyAlignment="1">
      <alignment horizontal="left" vertical="center"/>
    </xf>
  </cellXfs>
  <cellStyles count="11">
    <cellStyle name="Hiperlink" xfId="1" builtinId="8"/>
    <cellStyle name="Moeda" xfId="2" builtinId="4"/>
    <cellStyle name="Normal" xfId="0" builtinId="0"/>
    <cellStyle name="Normal 15" xfId="10"/>
    <cellStyle name="Normal 2" xfId="9"/>
    <cellStyle name="Normal_MODELO I CADASTRO APM" xfId="3"/>
    <cellStyle name="Normal_Modelo III - com modificações" xfId="4"/>
    <cellStyle name="Normal_MODELO IV - CONCILIAÇÃO BANCÁRIA agosto 2007" xfId="5"/>
    <cellStyle name="Porcentagem 2" xfId="6"/>
    <cellStyle name="Título" xfId="7" builtinId="15"/>
    <cellStyle name="Vírgula" xfId="8" builtinId="3"/>
  </cellStyles>
  <dxfs count="503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b/>
        <i val="0"/>
        <color rgb="FFFF0000"/>
      </font>
    </dxf>
    <dxf>
      <numFmt numFmtId="191" formatCode="0000\-0\.000\.000\-0"/>
    </dxf>
    <dxf>
      <numFmt numFmtId="192" formatCode="0000\.0000\/0000000\-0"/>
    </dxf>
    <dxf>
      <font>
        <color theme="0"/>
      </font>
      <fill>
        <patternFill>
          <fgColor theme="0"/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9CC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FFFF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 patternType="solid">
          <bgColor rgb="FF558ED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color auto="1"/>
      </font>
      <fill>
        <patternFill>
          <bgColor rgb="FFFF33C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lor theme="0"/>
      </font>
    </dxf>
    <dxf>
      <font>
        <color theme="0"/>
      </font>
    </dxf>
    <dxf>
      <font>
        <condense val="0"/>
        <extend val="0"/>
        <color indexed="50"/>
      </font>
      <fill>
        <patternFill>
          <bgColor indexed="5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lor rgb="FF00B05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00FF"/>
      </font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7033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7030A0"/>
      </font>
    </dxf>
    <dxf>
      <font>
        <b/>
        <i/>
        <color rgb="FF00CC00"/>
      </font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</dxf>
    <dxf>
      <font>
        <b/>
        <i val="0"/>
        <color auto="1"/>
        <name val="Cambria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rgb="FF00B05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theme="0"/>
        <name val="Cambria"/>
        <scheme val="none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rgb="FF0070C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</dxfs>
  <tableStyles count="0" defaultTableStyle="TableStyleMedium9" defaultPivotStyle="PivotStyleLight16"/>
  <colors>
    <mruColors>
      <color rgb="FF00FF00"/>
      <color rgb="FF00B050"/>
      <color rgb="FF0000FF"/>
      <color rgb="FFFF0000"/>
      <color rgb="FF00CC00"/>
      <color rgb="FF7030A0"/>
      <color rgb="FFCC00FF"/>
      <color rgb="FFF79646"/>
      <color rgb="FF953735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200356</xdr:colOff>
      <xdr:row>10</xdr:row>
      <xdr:rowOff>15591</xdr:rowOff>
    </xdr:from>
    <xdr:to>
      <xdr:col>2</xdr:col>
      <xdr:colOff>1017075</xdr:colOff>
      <xdr:row>12</xdr:row>
      <xdr:rowOff>75060</xdr:rowOff>
    </xdr:to>
    <xdr:sp macro="[0]!dados_Click" textlink="">
      <xdr:nvSpPr>
        <xdr:cNvPr id="28" name="Retângulo de cantos arredondados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2105356" y="1444341"/>
          <a:ext cx="816719" cy="402369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Dados</a:t>
          </a:r>
        </a:p>
      </xdr:txBody>
    </xdr:sp>
    <xdr:clientData/>
  </xdr:twoCellAnchor>
  <xdr:twoCellAnchor editAs="oneCell">
    <xdr:from>
      <xdr:col>3</xdr:col>
      <xdr:colOff>40030</xdr:colOff>
      <xdr:row>13</xdr:row>
      <xdr:rowOff>97849</xdr:rowOff>
    </xdr:from>
    <xdr:to>
      <xdr:col>4</xdr:col>
      <xdr:colOff>637674</xdr:colOff>
      <xdr:row>15</xdr:row>
      <xdr:rowOff>159332</xdr:rowOff>
    </xdr:to>
    <xdr:sp macro="[0]!mod1_Click" textlink="">
      <xdr:nvSpPr>
        <xdr:cNvPr id="29" name="Retângulo de cantos arredondados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3021355" y="2040949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I</a:t>
          </a:r>
        </a:p>
      </xdr:txBody>
    </xdr:sp>
    <xdr:clientData/>
  </xdr:twoCellAnchor>
  <xdr:twoCellAnchor editAs="oneCell">
    <xdr:from>
      <xdr:col>4</xdr:col>
      <xdr:colOff>766163</xdr:colOff>
      <xdr:row>13</xdr:row>
      <xdr:rowOff>103044</xdr:rowOff>
    </xdr:from>
    <xdr:to>
      <xdr:col>6</xdr:col>
      <xdr:colOff>287482</xdr:colOff>
      <xdr:row>15</xdr:row>
      <xdr:rowOff>164527</xdr:rowOff>
    </xdr:to>
    <xdr:sp macro="[0]!mod5_Click" textlink="">
      <xdr:nvSpPr>
        <xdr:cNvPr id="30" name="Retângulo de cantos arredondados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3966563" y="204614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V</a:t>
          </a:r>
        </a:p>
      </xdr:txBody>
    </xdr:sp>
    <xdr:clientData/>
  </xdr:twoCellAnchor>
  <xdr:twoCellAnchor editAs="oneCell">
    <xdr:from>
      <xdr:col>2</xdr:col>
      <xdr:colOff>196028</xdr:colOff>
      <xdr:row>13</xdr:row>
      <xdr:rowOff>104773</xdr:rowOff>
    </xdr:from>
    <xdr:to>
      <xdr:col>2</xdr:col>
      <xdr:colOff>1012747</xdr:colOff>
      <xdr:row>15</xdr:row>
      <xdr:rowOff>166256</xdr:rowOff>
    </xdr:to>
    <xdr:sp macro="[0]!despesa_Click" textlink="">
      <xdr:nvSpPr>
        <xdr:cNvPr id="31" name="Retângulo de cantos arredondados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2101028" y="2047873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Despesas</a:t>
          </a:r>
        </a:p>
      </xdr:txBody>
    </xdr:sp>
    <xdr:clientData/>
  </xdr:twoCellAnchor>
  <xdr:twoCellAnchor editAs="oneCell">
    <xdr:from>
      <xdr:col>3</xdr:col>
      <xdr:colOff>45226</xdr:colOff>
      <xdr:row>17</xdr:row>
      <xdr:rowOff>24242</xdr:rowOff>
    </xdr:from>
    <xdr:to>
      <xdr:col>4</xdr:col>
      <xdr:colOff>642870</xdr:colOff>
      <xdr:row>19</xdr:row>
      <xdr:rowOff>85725</xdr:rowOff>
    </xdr:to>
    <xdr:sp macro="[0]!mod3_Click" textlink="">
      <xdr:nvSpPr>
        <xdr:cNvPr id="32" name="Retângulo de cantos arredondados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3026551" y="2653142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III</a:t>
          </a:r>
        </a:p>
      </xdr:txBody>
    </xdr:sp>
    <xdr:clientData/>
  </xdr:twoCellAnchor>
  <xdr:twoCellAnchor editAs="oneCell">
    <xdr:from>
      <xdr:col>2</xdr:col>
      <xdr:colOff>192566</xdr:colOff>
      <xdr:row>17</xdr:row>
      <xdr:rowOff>23374</xdr:rowOff>
    </xdr:from>
    <xdr:to>
      <xdr:col>2</xdr:col>
      <xdr:colOff>1009285</xdr:colOff>
      <xdr:row>19</xdr:row>
      <xdr:rowOff>84857</xdr:rowOff>
    </xdr:to>
    <xdr:sp macro="[0]!oficio_Click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2097566" y="265227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Ofício</a:t>
          </a:r>
        </a:p>
      </xdr:txBody>
    </xdr:sp>
    <xdr:clientData/>
  </xdr:twoCellAnchor>
  <xdr:twoCellAnchor editAs="oneCell">
    <xdr:from>
      <xdr:col>6</xdr:col>
      <xdr:colOff>441815</xdr:colOff>
      <xdr:row>9</xdr:row>
      <xdr:rowOff>152394</xdr:rowOff>
    </xdr:from>
    <xdr:to>
      <xdr:col>7</xdr:col>
      <xdr:colOff>182209</xdr:colOff>
      <xdr:row>12</xdr:row>
      <xdr:rowOff>42427</xdr:rowOff>
    </xdr:to>
    <xdr:sp macro="[0]!mod2_basico_Click" textlink="">
      <xdr:nvSpPr>
        <xdr:cNvPr id="35" name="Retângulo de cantos arredondados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4937615" y="140969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oneCell">
    <xdr:from>
      <xdr:col>4</xdr:col>
      <xdr:colOff>767897</xdr:colOff>
      <xdr:row>17</xdr:row>
      <xdr:rowOff>26144</xdr:rowOff>
    </xdr:from>
    <xdr:to>
      <xdr:col>6</xdr:col>
      <xdr:colOff>289216</xdr:colOff>
      <xdr:row>19</xdr:row>
      <xdr:rowOff>87627</xdr:rowOff>
    </xdr:to>
    <xdr:sp macro="[0]!solicita_Click" textlink="">
      <xdr:nvSpPr>
        <xdr:cNvPr id="36" name="Retângulo de cantos arredondados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/>
      </xdr:nvSpPr>
      <xdr:spPr>
        <a:xfrm>
          <a:off x="3968297" y="265504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Solic.</a:t>
          </a:r>
          <a:r>
            <a:rPr lang="pt-BR" sz="800" b="1" baseline="0"/>
            <a:t> Rep.</a:t>
          </a:r>
          <a:endParaRPr lang="pt-BR" sz="800" b="1"/>
        </a:p>
      </xdr:txBody>
    </xdr:sp>
    <xdr:clientData/>
  </xdr:twoCellAnchor>
  <xdr:twoCellAnchor editAs="oneCell">
    <xdr:from>
      <xdr:col>3</xdr:col>
      <xdr:colOff>46229</xdr:colOff>
      <xdr:row>10</xdr:row>
      <xdr:rowOff>16443</xdr:rowOff>
    </xdr:from>
    <xdr:to>
      <xdr:col>4</xdr:col>
      <xdr:colOff>643873</xdr:colOff>
      <xdr:row>12</xdr:row>
      <xdr:rowOff>77926</xdr:rowOff>
    </xdr:to>
    <xdr:sp macro="[0]!ata_Click" textlink="">
      <xdr:nvSpPr>
        <xdr:cNvPr id="37" name="Retângulo de cantos arredondados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/>
      </xdr:nvSpPr>
      <xdr:spPr>
        <a:xfrm>
          <a:off x="3027554" y="1445193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Ata</a:t>
          </a:r>
        </a:p>
      </xdr:txBody>
    </xdr:sp>
    <xdr:clientData/>
  </xdr:twoCellAnchor>
  <xdr:twoCellAnchor editAs="oneCell">
    <xdr:from>
      <xdr:col>4</xdr:col>
      <xdr:colOff>762203</xdr:colOff>
      <xdr:row>10</xdr:row>
      <xdr:rowOff>21638</xdr:rowOff>
    </xdr:from>
    <xdr:to>
      <xdr:col>6</xdr:col>
      <xdr:colOff>283522</xdr:colOff>
      <xdr:row>12</xdr:row>
      <xdr:rowOff>83121</xdr:rowOff>
    </xdr:to>
    <xdr:sp macro="[0]!mod4_Click" textlink="">
      <xdr:nvSpPr>
        <xdr:cNvPr id="38" name="Retângulo de cantos arredondados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/>
      </xdr:nvSpPr>
      <xdr:spPr>
        <a:xfrm>
          <a:off x="3962603" y="1450388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IV</a:t>
          </a:r>
        </a:p>
      </xdr:txBody>
    </xdr:sp>
    <xdr:clientData/>
  </xdr:twoCellAnchor>
  <xdr:twoCellAnchor>
    <xdr:from>
      <xdr:col>14</xdr:col>
      <xdr:colOff>8658</xdr:colOff>
      <xdr:row>5</xdr:row>
      <xdr:rowOff>43293</xdr:rowOff>
    </xdr:from>
    <xdr:to>
      <xdr:col>16</xdr:col>
      <xdr:colOff>0</xdr:colOff>
      <xdr:row>5</xdr:row>
      <xdr:rowOff>207816</xdr:rowOff>
    </xdr:to>
    <xdr:sp macro="[0]!base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 bwMode="auto">
        <a:xfrm>
          <a:off x="8797635" y="787975"/>
          <a:ext cx="1021774" cy="164523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/>
            <a:t>Base de Dados</a:t>
          </a:r>
        </a:p>
      </xdr:txBody>
    </xdr:sp>
    <xdr:clientData fPrintsWithSheet="0"/>
  </xdr:twoCellAnchor>
  <xdr:twoCellAnchor editAs="oneCell">
    <xdr:from>
      <xdr:col>8</xdr:col>
      <xdr:colOff>59583</xdr:colOff>
      <xdr:row>9</xdr:row>
      <xdr:rowOff>150835</xdr:rowOff>
    </xdr:from>
    <xdr:to>
      <xdr:col>8</xdr:col>
      <xdr:colOff>876302</xdr:colOff>
      <xdr:row>12</xdr:row>
      <xdr:rowOff>40868</xdr:rowOff>
    </xdr:to>
    <xdr:sp macro="[0]!mod2_volta_aula_Click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5850783" y="1408135"/>
          <a:ext cx="816719" cy="40438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Volta às Aulas</a:t>
          </a:r>
        </a:p>
      </xdr:txBody>
    </xdr:sp>
    <xdr:clientData/>
  </xdr:twoCellAnchor>
  <xdr:twoCellAnchor editAs="oneCell">
    <xdr:from>
      <xdr:col>6</xdr:col>
      <xdr:colOff>432290</xdr:colOff>
      <xdr:row>15</xdr:row>
      <xdr:rowOff>85719</xdr:rowOff>
    </xdr:from>
    <xdr:to>
      <xdr:col>7</xdr:col>
      <xdr:colOff>172684</xdr:colOff>
      <xdr:row>17</xdr:row>
      <xdr:rowOff>147202</xdr:rowOff>
    </xdr:to>
    <xdr:sp macro="[0]!mod2_imprensa_Click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4928090" y="2371719"/>
          <a:ext cx="816719" cy="404383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Imprensa Jovem</a:t>
          </a:r>
        </a:p>
      </xdr:txBody>
    </xdr:sp>
    <xdr:clientData/>
  </xdr:twoCellAnchor>
  <xdr:twoCellAnchor editAs="oneCell">
    <xdr:from>
      <xdr:col>8</xdr:col>
      <xdr:colOff>50058</xdr:colOff>
      <xdr:row>15</xdr:row>
      <xdr:rowOff>84160</xdr:rowOff>
    </xdr:from>
    <xdr:to>
      <xdr:col>8</xdr:col>
      <xdr:colOff>866777</xdr:colOff>
      <xdr:row>17</xdr:row>
      <xdr:rowOff>145643</xdr:rowOff>
    </xdr:to>
    <xdr:sp macro="[0]!mod2_gremio_Click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841258" y="2370160"/>
          <a:ext cx="816719" cy="404383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Grêmio</a:t>
          </a:r>
        </a:p>
      </xdr:txBody>
    </xdr:sp>
    <xdr:clientData/>
  </xdr:twoCellAnchor>
  <xdr:twoCellAnchor editAs="oneCell">
    <xdr:from>
      <xdr:col>6</xdr:col>
      <xdr:colOff>438149</xdr:colOff>
      <xdr:row>12</xdr:row>
      <xdr:rowOff>123823</xdr:rowOff>
    </xdr:from>
    <xdr:to>
      <xdr:col>7</xdr:col>
      <xdr:colOff>178543</xdr:colOff>
      <xdr:row>15</xdr:row>
      <xdr:rowOff>13856</xdr:rowOff>
    </xdr:to>
    <xdr:sp macro="[0]!mod2_futuro_Click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4933949" y="1895473"/>
          <a:ext cx="816719" cy="404383"/>
        </a:xfrm>
        <a:prstGeom prst="roundRect">
          <a:avLst/>
        </a:prstGeom>
        <a:solidFill>
          <a:srgbClr val="00FF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 Futuro</a:t>
          </a:r>
        </a:p>
      </xdr:txBody>
    </xdr:sp>
    <xdr:clientData/>
  </xdr:twoCellAnchor>
  <xdr:twoCellAnchor editAs="oneCell">
    <xdr:from>
      <xdr:col>8</xdr:col>
      <xdr:colOff>55917</xdr:colOff>
      <xdr:row>12</xdr:row>
      <xdr:rowOff>122264</xdr:rowOff>
    </xdr:from>
    <xdr:to>
      <xdr:col>8</xdr:col>
      <xdr:colOff>872636</xdr:colOff>
      <xdr:row>15</xdr:row>
      <xdr:rowOff>12297</xdr:rowOff>
    </xdr:to>
    <xdr:sp macro="[0]!mod2_transporte_Click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5847117" y="1893914"/>
          <a:ext cx="816719" cy="404383"/>
        </a:xfrm>
        <a:prstGeom prst="roundRect">
          <a:avLst/>
        </a:prstGeom>
        <a:solidFill>
          <a:schemeClr val="accent6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oneCell">
    <xdr:from>
      <xdr:col>6</xdr:col>
      <xdr:colOff>342900</xdr:colOff>
      <xdr:row>8</xdr:row>
      <xdr:rowOff>47624</xdr:rowOff>
    </xdr:from>
    <xdr:to>
      <xdr:col>8</xdr:col>
      <xdr:colOff>942975</xdr:colOff>
      <xdr:row>23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 bwMode="auto">
        <a:xfrm>
          <a:off x="4838700" y="1133474"/>
          <a:ext cx="1895475" cy="2638426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372669</xdr:colOff>
      <xdr:row>21</xdr:row>
      <xdr:rowOff>12423</xdr:rowOff>
    </xdr:from>
    <xdr:to>
      <xdr:col>2</xdr:col>
      <xdr:colOff>806415</xdr:colOff>
      <xdr:row>23</xdr:row>
      <xdr:rowOff>76612</xdr:rowOff>
    </xdr:to>
    <xdr:pic macro="[0]!salvar_como"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669" y="3375162"/>
          <a:ext cx="433746" cy="412059"/>
        </a:xfrm>
        <a:prstGeom prst="rect">
          <a:avLst/>
        </a:prstGeom>
      </xdr:spPr>
    </xdr:pic>
    <xdr:clientData/>
  </xdr:twoCellAnchor>
  <xdr:twoCellAnchor editAs="oneCell">
    <xdr:from>
      <xdr:col>4</xdr:col>
      <xdr:colOff>944630</xdr:colOff>
      <xdr:row>20</xdr:row>
      <xdr:rowOff>169153</xdr:rowOff>
    </xdr:from>
    <xdr:to>
      <xdr:col>6</xdr:col>
      <xdr:colOff>74957</xdr:colOff>
      <xdr:row>23</xdr:row>
      <xdr:rowOff>82826</xdr:rowOff>
    </xdr:to>
    <xdr:pic macro="[0]!ajuda_Click"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5030" y="3312403"/>
          <a:ext cx="425727" cy="428023"/>
        </a:xfrm>
        <a:prstGeom prst="rect">
          <a:avLst/>
        </a:prstGeom>
      </xdr:spPr>
    </xdr:pic>
    <xdr:clientData/>
  </xdr:twoCellAnchor>
  <xdr:twoCellAnchor editAs="oneCell">
    <xdr:from>
      <xdr:col>3</xdr:col>
      <xdr:colOff>49702</xdr:colOff>
      <xdr:row>21</xdr:row>
      <xdr:rowOff>7551</xdr:rowOff>
    </xdr:from>
    <xdr:to>
      <xdr:col>4</xdr:col>
      <xdr:colOff>623153</xdr:colOff>
      <xdr:row>23</xdr:row>
      <xdr:rowOff>77281</xdr:rowOff>
    </xdr:to>
    <xdr:pic macro="[0]!sair"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1441" y="3370290"/>
          <a:ext cx="788799" cy="417600"/>
        </a:xfrm>
        <a:prstGeom prst="rect">
          <a:avLst/>
        </a:prstGeom>
      </xdr:spPr>
    </xdr:pic>
    <xdr:clientData/>
  </xdr:twoCellAnchor>
  <xdr:twoCellAnchor editAs="oneCell">
    <xdr:from>
      <xdr:col>6</xdr:col>
      <xdr:colOff>428625</xdr:colOff>
      <xdr:row>18</xdr:row>
      <xdr:rowOff>47625</xdr:rowOff>
    </xdr:from>
    <xdr:to>
      <xdr:col>7</xdr:col>
      <xdr:colOff>169019</xdr:colOff>
      <xdr:row>20</xdr:row>
      <xdr:rowOff>109108</xdr:rowOff>
    </xdr:to>
    <xdr:sp macro="[0]!mod2_formacao_Click" textlink="">
      <xdr:nvSpPr>
        <xdr:cNvPr id="22" name="Retângulo de cantos arredondados 21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4924425" y="2847975"/>
          <a:ext cx="816719" cy="40438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Formação</a:t>
          </a:r>
        </a:p>
      </xdr:txBody>
    </xdr:sp>
    <xdr:clientData/>
  </xdr:twoCellAnchor>
  <xdr:twoCellAnchor editAs="oneCell">
    <xdr:from>
      <xdr:col>8</xdr:col>
      <xdr:colOff>38100</xdr:colOff>
      <xdr:row>18</xdr:row>
      <xdr:rowOff>47625</xdr:rowOff>
    </xdr:from>
    <xdr:to>
      <xdr:col>8</xdr:col>
      <xdr:colOff>854819</xdr:colOff>
      <xdr:row>20</xdr:row>
      <xdr:rowOff>109108</xdr:rowOff>
    </xdr:to>
    <xdr:sp macro="[0]!mod2_mais_escola_Click" textlink="">
      <xdr:nvSpPr>
        <xdr:cNvPr id="23" name="Retângulo de cantos arredondados 22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5829300" y="2847975"/>
          <a:ext cx="816719" cy="4043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Mais Escola</a:t>
          </a:r>
        </a:p>
      </xdr:txBody>
    </xdr:sp>
    <xdr:clientData/>
  </xdr:twoCellAnchor>
  <xdr:twoCellAnchor editAs="oneCell">
    <xdr:from>
      <xdr:col>6</xdr:col>
      <xdr:colOff>885825</xdr:colOff>
      <xdr:row>21</xdr:row>
      <xdr:rowOff>19050</xdr:rowOff>
    </xdr:from>
    <xdr:to>
      <xdr:col>8</xdr:col>
      <xdr:colOff>407144</xdr:colOff>
      <xdr:row>23</xdr:row>
      <xdr:rowOff>80533</xdr:rowOff>
    </xdr:to>
    <xdr:sp macro="[0]!mod2_livre_aplicacao_Click" textlink="">
      <xdr:nvSpPr>
        <xdr:cNvPr id="24" name="Retângulo de cantos arredondados 23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5381625" y="3333750"/>
          <a:ext cx="816719" cy="404383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Livre Aplicação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255270</xdr:colOff>
      <xdr:row>2</xdr:row>
      <xdr:rowOff>125730</xdr:rowOff>
    </xdr:from>
    <xdr:to>
      <xdr:col>2</xdr:col>
      <xdr:colOff>1041691</xdr:colOff>
      <xdr:row>2</xdr:row>
      <xdr:rowOff>457444</xdr:rowOff>
    </xdr:to>
    <xdr:sp macro="[0]!menu_1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038225" y="6477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142875</xdr:rowOff>
    </xdr:from>
    <xdr:to>
      <xdr:col>14</xdr:col>
      <xdr:colOff>10950</xdr:colOff>
      <xdr:row>0</xdr:row>
      <xdr:rowOff>466875</xdr:rowOff>
    </xdr:to>
    <xdr:sp macro="[0]!menu_7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905000" y="142875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46</xdr:col>
      <xdr:colOff>0</xdr:colOff>
      <xdr:row>0</xdr:row>
      <xdr:rowOff>142875</xdr:rowOff>
    </xdr:from>
    <xdr:to>
      <xdr:col>53</xdr:col>
      <xdr:colOff>88742</xdr:colOff>
      <xdr:row>0</xdr:row>
      <xdr:rowOff>466875</xdr:rowOff>
    </xdr:to>
    <xdr:sp macro="[0]!imprimir_oficio_Click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634365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7</xdr:col>
      <xdr:colOff>85724</xdr:colOff>
      <xdr:row>1</xdr:row>
      <xdr:rowOff>118938</xdr:rowOff>
    </xdr:from>
    <xdr:to>
      <xdr:col>13</xdr:col>
      <xdr:colOff>17684</xdr:colOff>
      <xdr:row>6</xdr:row>
      <xdr:rowOff>101313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49" y="709488"/>
          <a:ext cx="617760" cy="79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171450</xdr:rowOff>
    </xdr:from>
    <xdr:to>
      <xdr:col>12</xdr:col>
      <xdr:colOff>89060</xdr:colOff>
      <xdr:row>0</xdr:row>
      <xdr:rowOff>495450</xdr:rowOff>
    </xdr:to>
    <xdr:sp macro="[0]!menu_10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1762125" y="1714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48</xdr:col>
      <xdr:colOff>0</xdr:colOff>
      <xdr:row>0</xdr:row>
      <xdr:rowOff>171450</xdr:rowOff>
    </xdr:from>
    <xdr:to>
      <xdr:col>55</xdr:col>
      <xdr:colOff>39189</xdr:colOff>
      <xdr:row>0</xdr:row>
      <xdr:rowOff>495450</xdr:rowOff>
    </xdr:to>
    <xdr:sp macro="[0]!imprimir_ata_Click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6553200" y="17145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596265</xdr:colOff>
      <xdr:row>0</xdr:row>
      <xdr:rowOff>125730</xdr:rowOff>
    </xdr:from>
    <xdr:to>
      <xdr:col>3</xdr:col>
      <xdr:colOff>58731</xdr:colOff>
      <xdr:row>0</xdr:row>
      <xdr:rowOff>457444</xdr:rowOff>
    </xdr:to>
    <xdr:sp macro="[0]!menu_2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247775" y="1333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9</xdr:col>
      <xdr:colOff>0</xdr:colOff>
      <xdr:row>0</xdr:row>
      <xdr:rowOff>142875</xdr:rowOff>
    </xdr:from>
    <xdr:to>
      <xdr:col>10</xdr:col>
      <xdr:colOff>182064</xdr:colOff>
      <xdr:row>0</xdr:row>
      <xdr:rowOff>466875</xdr:rowOff>
    </xdr:to>
    <xdr:sp macro="[0]!imprimir_mod1_Click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594360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161925</xdr:colOff>
      <xdr:row>1</xdr:row>
      <xdr:rowOff>68138</xdr:rowOff>
    </xdr:from>
    <xdr:to>
      <xdr:col>1</xdr:col>
      <xdr:colOff>583125</xdr:colOff>
      <xdr:row>3</xdr:row>
      <xdr:rowOff>217613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706313"/>
          <a:ext cx="421200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5_Click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2304" y="140369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mod2_Intervalo_Click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837445" y="140369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mod2_Click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8143209" y="15240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667512</xdr:colOff>
      <xdr:row>7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38937" cy="819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3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5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6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7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8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9_Click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0_Click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1_Click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44</xdr:row>
      <xdr:rowOff>152400</xdr:rowOff>
    </xdr:from>
    <xdr:to>
      <xdr:col>2</xdr:col>
      <xdr:colOff>361950</xdr:colOff>
      <xdr:row>46</xdr:row>
      <xdr:rowOff>123825</xdr:rowOff>
    </xdr:to>
    <xdr:pic>
      <xdr:nvPicPr>
        <xdr:cNvPr id="67230" name="Picture 35" descr="brasao">
          <a:extLst>
            <a:ext uri="{FF2B5EF4-FFF2-40B4-BE49-F238E27FC236}">
              <a16:creationId xmlns:a16="http://schemas.microsoft.com/office/drawing/2014/main" xmlns="" id="{00000000-0008-0000-0B00-00009E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84</xdr:row>
      <xdr:rowOff>152400</xdr:rowOff>
    </xdr:from>
    <xdr:to>
      <xdr:col>2</xdr:col>
      <xdr:colOff>361950</xdr:colOff>
      <xdr:row>86</xdr:row>
      <xdr:rowOff>123825</xdr:rowOff>
    </xdr:to>
    <xdr:pic>
      <xdr:nvPicPr>
        <xdr:cNvPr id="67231" name="Picture 48" descr="brasao">
          <a:extLst>
            <a:ext uri="{FF2B5EF4-FFF2-40B4-BE49-F238E27FC236}">
              <a16:creationId xmlns:a16="http://schemas.microsoft.com/office/drawing/2014/main" xmlns="" id="{00000000-0008-0000-0B00-00009F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124</xdr:row>
      <xdr:rowOff>152400</xdr:rowOff>
    </xdr:from>
    <xdr:to>
      <xdr:col>2</xdr:col>
      <xdr:colOff>361950</xdr:colOff>
      <xdr:row>126</xdr:row>
      <xdr:rowOff>123825</xdr:rowOff>
    </xdr:to>
    <xdr:pic>
      <xdr:nvPicPr>
        <xdr:cNvPr id="67232" name="Picture 49" descr="brasao">
          <a:extLst>
            <a:ext uri="{FF2B5EF4-FFF2-40B4-BE49-F238E27FC236}">
              <a16:creationId xmlns:a16="http://schemas.microsoft.com/office/drawing/2014/main" xmlns="" id="{00000000-0008-0000-0B00-0000A0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164</xdr:row>
      <xdr:rowOff>152400</xdr:rowOff>
    </xdr:from>
    <xdr:to>
      <xdr:col>2</xdr:col>
      <xdr:colOff>361950</xdr:colOff>
      <xdr:row>166</xdr:row>
      <xdr:rowOff>123825</xdr:rowOff>
    </xdr:to>
    <xdr:pic>
      <xdr:nvPicPr>
        <xdr:cNvPr id="67233" name="Picture 50" descr="brasao">
          <a:extLst>
            <a:ext uri="{FF2B5EF4-FFF2-40B4-BE49-F238E27FC236}">
              <a16:creationId xmlns:a16="http://schemas.microsoft.com/office/drawing/2014/main" xmlns="" id="{00000000-0008-0000-0B00-0000A1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367889</xdr:colOff>
      <xdr:row>0</xdr:row>
      <xdr:rowOff>123264</xdr:rowOff>
    </xdr:from>
    <xdr:to>
      <xdr:col>3</xdr:col>
      <xdr:colOff>52510</xdr:colOff>
      <xdr:row>2</xdr:row>
      <xdr:rowOff>43852</xdr:rowOff>
    </xdr:to>
    <xdr:sp macro="[0]!menu_8_Click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560294" y="123264"/>
          <a:ext cx="792000" cy="35761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577211</xdr:colOff>
      <xdr:row>0</xdr:row>
      <xdr:rowOff>126850</xdr:rowOff>
    </xdr:from>
    <xdr:to>
      <xdr:col>6</xdr:col>
      <xdr:colOff>1115423</xdr:colOff>
      <xdr:row>2</xdr:row>
      <xdr:rowOff>29371</xdr:rowOff>
    </xdr:to>
    <xdr:sp macro="[0]!imprimir_mod3_intervalo_Click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2543731" y="13447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12</xdr:col>
      <xdr:colOff>38998</xdr:colOff>
      <xdr:row>0</xdr:row>
      <xdr:rowOff>127680</xdr:rowOff>
    </xdr:from>
    <xdr:to>
      <xdr:col>14</xdr:col>
      <xdr:colOff>108715</xdr:colOff>
      <xdr:row>2</xdr:row>
      <xdr:rowOff>30201</xdr:rowOff>
    </xdr:to>
    <xdr:sp macro="[0]!imprimir_mod3_Click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7401263" y="135300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1</xdr:col>
      <xdr:colOff>380999</xdr:colOff>
      <xdr:row>4</xdr:row>
      <xdr:rowOff>179917</xdr:rowOff>
    </xdr:from>
    <xdr:to>
      <xdr:col>2</xdr:col>
      <xdr:colOff>389254</xdr:colOff>
      <xdr:row>6</xdr:row>
      <xdr:rowOff>169333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9" y="857250"/>
          <a:ext cx="421005" cy="539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398629</xdr:colOff>
      <xdr:row>0</xdr:row>
      <xdr:rowOff>71436</xdr:rowOff>
    </xdr:from>
    <xdr:to>
      <xdr:col>2</xdr:col>
      <xdr:colOff>440535</xdr:colOff>
      <xdr:row>0</xdr:row>
      <xdr:rowOff>388072</xdr:rowOff>
    </xdr:to>
    <xdr:sp macro="[0]!menu_11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726289" y="7143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16</xdr:col>
      <xdr:colOff>0</xdr:colOff>
      <xdr:row>0</xdr:row>
      <xdr:rowOff>71436</xdr:rowOff>
    </xdr:from>
    <xdr:to>
      <xdr:col>17</xdr:col>
      <xdr:colOff>130141</xdr:colOff>
      <xdr:row>0</xdr:row>
      <xdr:rowOff>388072</xdr:rowOff>
    </xdr:to>
    <xdr:sp macro="[0]!imprimir_mod4_Click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9679781" y="71436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571500</xdr:colOff>
      <xdr:row>1</xdr:row>
      <xdr:rowOff>67235</xdr:rowOff>
    </xdr:from>
    <xdr:to>
      <xdr:col>2</xdr:col>
      <xdr:colOff>241905</xdr:colOff>
      <xdr:row>3</xdr:row>
      <xdr:rowOff>237441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676" y="549088"/>
          <a:ext cx="421200" cy="54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405765</xdr:colOff>
      <xdr:row>0</xdr:row>
      <xdr:rowOff>114300</xdr:rowOff>
    </xdr:from>
    <xdr:to>
      <xdr:col>3</xdr:col>
      <xdr:colOff>588299</xdr:colOff>
      <xdr:row>2</xdr:row>
      <xdr:rowOff>47775</xdr:rowOff>
    </xdr:to>
    <xdr:sp macro="[0]!menu_3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4095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512445</xdr:colOff>
      <xdr:row>0</xdr:row>
      <xdr:rowOff>123825</xdr:rowOff>
    </xdr:from>
    <xdr:to>
      <xdr:col>8</xdr:col>
      <xdr:colOff>815956</xdr:colOff>
      <xdr:row>2</xdr:row>
      <xdr:rowOff>57300</xdr:rowOff>
    </xdr:to>
    <xdr:sp macro="[0]!imprimir_mod5_intervalo_Click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2628900" y="123825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14</xdr:col>
      <xdr:colOff>28357</xdr:colOff>
      <xdr:row>0</xdr:row>
      <xdr:rowOff>124655</xdr:rowOff>
    </xdr:from>
    <xdr:to>
      <xdr:col>15</xdr:col>
      <xdr:colOff>855725</xdr:colOff>
      <xdr:row>2</xdr:row>
      <xdr:rowOff>58130</xdr:rowOff>
    </xdr:to>
    <xdr:sp macro="[0]!imprimir_mod5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7438807" y="12465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114300</xdr:rowOff>
    </xdr:from>
    <xdr:to>
      <xdr:col>10</xdr:col>
      <xdr:colOff>49050</xdr:colOff>
      <xdr:row>0</xdr:row>
      <xdr:rowOff>438300</xdr:rowOff>
    </xdr:to>
    <xdr:sp macro="[0]!menu_9_Click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62000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41</xdr:col>
      <xdr:colOff>85725</xdr:colOff>
      <xdr:row>0</xdr:row>
      <xdr:rowOff>114300</xdr:rowOff>
    </xdr:from>
    <xdr:to>
      <xdr:col>49</xdr:col>
      <xdr:colOff>67764</xdr:colOff>
      <xdr:row>0</xdr:row>
      <xdr:rowOff>438300</xdr:rowOff>
    </xdr:to>
    <xdr:sp macro="[0]!imprimir_solicita_Click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5133975" y="11430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3</xdr:col>
      <xdr:colOff>85725</xdr:colOff>
      <xdr:row>2</xdr:row>
      <xdr:rowOff>9525</xdr:rowOff>
    </xdr:from>
    <xdr:to>
      <xdr:col>8</xdr:col>
      <xdr:colOff>33705</xdr:colOff>
      <xdr:row>6</xdr:row>
      <xdr:rowOff>27825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657225"/>
          <a:ext cx="519480" cy="66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786421</xdr:colOff>
      <xdr:row>2</xdr:row>
      <xdr:rowOff>0</xdr:rowOff>
    </xdr:to>
    <xdr:sp macro="[0]!menu_12_Click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847725" y="0"/>
          <a:ext cx="79200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71424</xdr:colOff>
      <xdr:row>1</xdr:row>
      <xdr:rowOff>83336</xdr:rowOff>
    </xdr:from>
    <xdr:to>
      <xdr:col>1</xdr:col>
      <xdr:colOff>785799</xdr:colOff>
      <xdr:row>2</xdr:row>
      <xdr:rowOff>130970</xdr:rowOff>
    </xdr:to>
    <xdr:sp macro="[0]!menu_4_Click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SpPr/>
      </xdr:nvSpPr>
      <xdr:spPr>
        <a:xfrm>
          <a:off x="535768" y="380992"/>
          <a:ext cx="714375" cy="30957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219075</xdr:rowOff>
    </xdr:from>
    <xdr:to>
      <xdr:col>2</xdr:col>
      <xdr:colOff>381000</xdr:colOff>
      <xdr:row>0</xdr:row>
      <xdr:rowOff>533818</xdr:rowOff>
    </xdr:to>
    <xdr:sp macro="[0]!menu_14_Click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485775" y="219075"/>
          <a:ext cx="819150" cy="31474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19050</xdr:colOff>
      <xdr:row>55</xdr:row>
      <xdr:rowOff>152400</xdr:rowOff>
    </xdr:from>
    <xdr:to>
      <xdr:col>2</xdr:col>
      <xdr:colOff>556261</xdr:colOff>
      <xdr:row>57</xdr:row>
      <xdr:rowOff>28993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SpPr/>
      </xdr:nvSpPr>
      <xdr:spPr>
        <a:xfrm>
          <a:off x="1209675" y="691515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Despesas</a:t>
          </a:r>
        </a:p>
      </xdr:txBody>
    </xdr:sp>
    <xdr:clientData/>
  </xdr:twoCellAnchor>
  <xdr:oneCellAnchor>
    <xdr:from>
      <xdr:col>2</xdr:col>
      <xdr:colOff>19050</xdr:colOff>
      <xdr:row>60</xdr:row>
      <xdr:rowOff>19050</xdr:rowOff>
    </xdr:from>
    <xdr:ext cx="4086225" cy="1409700"/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7734300"/>
          <a:ext cx="4086225" cy="14097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oneCellAnchor>
  <xdr:twoCellAnchor>
    <xdr:from>
      <xdr:col>1</xdr:col>
      <xdr:colOff>28575</xdr:colOff>
      <xdr:row>195</xdr:row>
      <xdr:rowOff>9525</xdr:rowOff>
    </xdr:from>
    <xdr:to>
      <xdr:col>2</xdr:col>
      <xdr:colOff>565786</xdr:colOff>
      <xdr:row>195</xdr:row>
      <xdr:rowOff>324268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SpPr/>
      </xdr:nvSpPr>
      <xdr:spPr>
        <a:xfrm>
          <a:off x="1219200" y="3131820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I</a:t>
          </a:r>
        </a:p>
      </xdr:txBody>
    </xdr:sp>
    <xdr:clientData/>
  </xdr:twoCellAnchor>
  <xdr:twoCellAnchor>
    <xdr:from>
      <xdr:col>1</xdr:col>
      <xdr:colOff>28575</xdr:colOff>
      <xdr:row>2</xdr:row>
      <xdr:rowOff>266700</xdr:rowOff>
    </xdr:from>
    <xdr:to>
      <xdr:col>2</xdr:col>
      <xdr:colOff>565786</xdr:colOff>
      <xdr:row>4</xdr:row>
      <xdr:rowOff>28993</xdr:rowOff>
    </xdr:to>
    <xdr:sp macro="" textlink="">
      <xdr:nvSpPr>
        <xdr:cNvPr id="67" name="Retângulo de cantos arredondados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SpPr/>
      </xdr:nvSpPr>
      <xdr:spPr>
        <a:xfrm>
          <a:off x="1219200" y="126682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  <xdr:twoCellAnchor editAs="oneCell">
    <xdr:from>
      <xdr:col>1</xdr:col>
      <xdr:colOff>28575</xdr:colOff>
      <xdr:row>261</xdr:row>
      <xdr:rowOff>152400</xdr:rowOff>
    </xdr:from>
    <xdr:to>
      <xdr:col>2</xdr:col>
      <xdr:colOff>276225</xdr:colOff>
      <xdr:row>263</xdr:row>
      <xdr:rowOff>123825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56921400"/>
          <a:ext cx="5048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199</xdr:row>
      <xdr:rowOff>209550</xdr:rowOff>
    </xdr:from>
    <xdr:to>
      <xdr:col>2</xdr:col>
      <xdr:colOff>565786</xdr:colOff>
      <xdr:row>200</xdr:row>
      <xdr:rowOff>162343</xdr:rowOff>
    </xdr:to>
    <xdr:sp macro="" textlink="">
      <xdr:nvSpPr>
        <xdr:cNvPr id="48" name="Retângulo de cantos arredondados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SpPr/>
      </xdr:nvSpPr>
      <xdr:spPr>
        <a:xfrm>
          <a:off x="695325" y="480917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III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202</xdr:row>
      <xdr:rowOff>9525</xdr:rowOff>
    </xdr:from>
    <xdr:to>
      <xdr:col>2</xdr:col>
      <xdr:colOff>565786</xdr:colOff>
      <xdr:row>202</xdr:row>
      <xdr:rowOff>324268</xdr:rowOff>
    </xdr:to>
    <xdr:sp macro="" textlink="">
      <xdr:nvSpPr>
        <xdr:cNvPr id="65" name="Retângulo de cantos arredondados 64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SpPr/>
      </xdr:nvSpPr>
      <xdr:spPr>
        <a:xfrm>
          <a:off x="1219200" y="352710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204</xdr:row>
      <xdr:rowOff>9525</xdr:rowOff>
    </xdr:from>
    <xdr:to>
      <xdr:col>2</xdr:col>
      <xdr:colOff>565786</xdr:colOff>
      <xdr:row>204</xdr:row>
      <xdr:rowOff>324268</xdr:rowOff>
    </xdr:to>
    <xdr:sp macro="" textlink="">
      <xdr:nvSpPr>
        <xdr:cNvPr id="66" name="Retângulo de cantos arredondados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SpPr/>
      </xdr:nvSpPr>
      <xdr:spPr>
        <a:xfrm>
          <a:off x="1219200" y="360902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206</xdr:row>
      <xdr:rowOff>9525</xdr:rowOff>
    </xdr:from>
    <xdr:to>
      <xdr:col>2</xdr:col>
      <xdr:colOff>565786</xdr:colOff>
      <xdr:row>206</xdr:row>
      <xdr:rowOff>324268</xdr:rowOff>
    </xdr:to>
    <xdr:sp macro="" textlink="">
      <xdr:nvSpPr>
        <xdr:cNvPr id="68" name="Retângulo de cantos arredondados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SpPr/>
      </xdr:nvSpPr>
      <xdr:spPr>
        <a:xfrm>
          <a:off x="1219200" y="369093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>
    <xdr:from>
      <xdr:col>1</xdr:col>
      <xdr:colOff>28575</xdr:colOff>
      <xdr:row>213</xdr:row>
      <xdr:rowOff>9525</xdr:rowOff>
    </xdr:from>
    <xdr:to>
      <xdr:col>2</xdr:col>
      <xdr:colOff>565786</xdr:colOff>
      <xdr:row>213</xdr:row>
      <xdr:rowOff>324268</xdr:rowOff>
    </xdr:to>
    <xdr:sp macro="" textlink="">
      <xdr:nvSpPr>
        <xdr:cNvPr id="71" name="Retângulo de cantos arredondados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SpPr/>
      </xdr:nvSpPr>
      <xdr:spPr>
        <a:xfrm>
          <a:off x="1219200" y="377285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>
    <xdr:from>
      <xdr:col>1</xdr:col>
      <xdr:colOff>28575</xdr:colOff>
      <xdr:row>248</xdr:row>
      <xdr:rowOff>9525</xdr:rowOff>
    </xdr:from>
    <xdr:to>
      <xdr:col>2</xdr:col>
      <xdr:colOff>565786</xdr:colOff>
      <xdr:row>248</xdr:row>
      <xdr:rowOff>324268</xdr:rowOff>
    </xdr:to>
    <xdr:sp macro="" textlink="">
      <xdr:nvSpPr>
        <xdr:cNvPr id="72" name="Retângulo de cantos arredondados 71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SpPr/>
      </xdr:nvSpPr>
      <xdr:spPr>
        <a:xfrm>
          <a:off x="1219200" y="385476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Solic. Rep.</a:t>
          </a:r>
        </a:p>
      </xdr:txBody>
    </xdr:sp>
    <xdr:clientData/>
  </xdr:twoCellAnchor>
  <xdr:twoCellAnchor>
    <xdr:from>
      <xdr:col>1</xdr:col>
      <xdr:colOff>28575</xdr:colOff>
      <xdr:row>266</xdr:row>
      <xdr:rowOff>19050</xdr:rowOff>
    </xdr:from>
    <xdr:to>
      <xdr:col>2</xdr:col>
      <xdr:colOff>565786</xdr:colOff>
      <xdr:row>267</xdr:row>
      <xdr:rowOff>418</xdr:rowOff>
    </xdr:to>
    <xdr:sp macro="" textlink="">
      <xdr:nvSpPr>
        <xdr:cNvPr id="81" name="Retângulo de cantos arredondados 80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SpPr/>
      </xdr:nvSpPr>
      <xdr:spPr>
        <a:xfrm>
          <a:off x="1219200" y="5077777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>
    <xdr:from>
      <xdr:col>10</xdr:col>
      <xdr:colOff>276225</xdr:colOff>
      <xdr:row>0</xdr:row>
      <xdr:rowOff>209550</xdr:rowOff>
    </xdr:from>
    <xdr:to>
      <xdr:col>11</xdr:col>
      <xdr:colOff>555467</xdr:colOff>
      <xdr:row>0</xdr:row>
      <xdr:rowOff>533550</xdr:rowOff>
    </xdr:to>
    <xdr:sp macro="[0]!imprimir_manual_Click" textlink="">
      <xdr:nvSpPr>
        <xdr:cNvPr id="64" name="Retângulo de cantos arredondados 63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SpPr/>
      </xdr:nvSpPr>
      <xdr:spPr>
        <a:xfrm>
          <a:off x="6076950" y="209550"/>
          <a:ext cx="888842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247650</xdr:colOff>
      <xdr:row>83</xdr:row>
      <xdr:rowOff>114300</xdr:rowOff>
    </xdr:from>
    <xdr:to>
      <xdr:col>3</xdr:col>
      <xdr:colOff>314325</xdr:colOff>
      <xdr:row>83</xdr:row>
      <xdr:rowOff>552450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13658850"/>
          <a:ext cx="933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121</xdr:row>
      <xdr:rowOff>0</xdr:rowOff>
    </xdr:from>
    <xdr:to>
      <xdr:col>8</xdr:col>
      <xdr:colOff>347345</xdr:colOff>
      <xdr:row>128</xdr:row>
      <xdr:rowOff>147955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24003000"/>
          <a:ext cx="3976370" cy="206248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142875</xdr:colOff>
      <xdr:row>243</xdr:row>
      <xdr:rowOff>95250</xdr:rowOff>
    </xdr:from>
    <xdr:to>
      <xdr:col>11</xdr:col>
      <xdr:colOff>514350</xdr:colOff>
      <xdr:row>246</xdr:row>
      <xdr:rowOff>228600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52054125"/>
          <a:ext cx="6115050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117</xdr:row>
      <xdr:rowOff>114301</xdr:rowOff>
    </xdr:from>
    <xdr:to>
      <xdr:col>12</xdr:col>
      <xdr:colOff>190500</xdr:colOff>
      <xdr:row>117</xdr:row>
      <xdr:rowOff>1834407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8717876"/>
          <a:ext cx="6419850" cy="1720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47</xdr:row>
      <xdr:rowOff>0</xdr:rowOff>
    </xdr:from>
    <xdr:to>
      <xdr:col>2</xdr:col>
      <xdr:colOff>563245</xdr:colOff>
      <xdr:row>48</xdr:row>
      <xdr:rowOff>42545</xdr:rowOff>
    </xdr:to>
    <xdr:sp macro="" textlink="">
      <xdr:nvSpPr>
        <xdr:cNvPr id="35" name="Retângulo de cantos arredondados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SpPr/>
      </xdr:nvSpPr>
      <xdr:spPr>
        <a:xfrm>
          <a:off x="695325" y="8982075"/>
          <a:ext cx="791845" cy="31877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pt-BR" sz="1000" b="1">
              <a:solidFill>
                <a:srgbClr val="FFFFFF"/>
              </a:solidFill>
              <a:effectLst/>
              <a:ea typeface="Times New Roman"/>
              <a:cs typeface="Times New Roman"/>
            </a:rPr>
            <a:t>Dados</a:t>
          </a:r>
          <a:endParaRPr lang="pt-BR" sz="1200">
            <a:effectLst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9524</xdr:colOff>
      <xdr:row>4</xdr:row>
      <xdr:rowOff>208821</xdr:rowOff>
    </xdr:from>
    <xdr:to>
      <xdr:col>12</xdr:col>
      <xdr:colOff>69668</xdr:colOff>
      <xdr:row>25</xdr:row>
      <xdr:rowOff>19050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4" y="1789971"/>
          <a:ext cx="6413319" cy="3553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51</xdr:row>
      <xdr:rowOff>28575</xdr:rowOff>
    </xdr:from>
    <xdr:to>
      <xdr:col>11</xdr:col>
      <xdr:colOff>581025</xdr:colOff>
      <xdr:row>51</xdr:row>
      <xdr:rowOff>2247900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1191875"/>
          <a:ext cx="6257925" cy="2219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10</xdr:col>
      <xdr:colOff>488315</xdr:colOff>
      <xdr:row>97</xdr:row>
      <xdr:rowOff>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0574000"/>
          <a:ext cx="5365115" cy="200025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104775</xdr:colOff>
      <xdr:row>94</xdr:row>
      <xdr:rowOff>438150</xdr:rowOff>
    </xdr:from>
    <xdr:to>
      <xdr:col>7</xdr:col>
      <xdr:colOff>153035</xdr:colOff>
      <xdr:row>97</xdr:row>
      <xdr:rowOff>41275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CxnSpPr/>
      </xdr:nvCxnSpPr>
      <xdr:spPr>
        <a:xfrm flipH="1" flipV="1">
          <a:off x="3467100" y="218217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38100</xdr:colOff>
      <xdr:row>106</xdr:row>
      <xdr:rowOff>171449</xdr:rowOff>
    </xdr:from>
    <xdr:to>
      <xdr:col>8</xdr:col>
      <xdr:colOff>266700</xdr:colOff>
      <xdr:row>106</xdr:row>
      <xdr:rowOff>2505074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4374474"/>
          <a:ext cx="3886200" cy="2333625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571500</xdr:colOff>
      <xdr:row>117</xdr:row>
      <xdr:rowOff>571500</xdr:rowOff>
    </xdr:from>
    <xdr:to>
      <xdr:col>8</xdr:col>
      <xdr:colOff>10160</xdr:colOff>
      <xdr:row>117</xdr:row>
      <xdr:rowOff>1365250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CxnSpPr/>
      </xdr:nvCxnSpPr>
      <xdr:spPr>
        <a:xfrm flipH="1" flipV="1">
          <a:off x="3933825" y="291750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156</xdr:row>
      <xdr:rowOff>0</xdr:rowOff>
    </xdr:from>
    <xdr:to>
      <xdr:col>10</xdr:col>
      <xdr:colOff>445770</xdr:colOff>
      <xdr:row>159</xdr:row>
      <xdr:rowOff>730250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39023925"/>
          <a:ext cx="5322570" cy="12160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254635</xdr:colOff>
      <xdr:row>157</xdr:row>
      <xdr:rowOff>133350</xdr:rowOff>
    </xdr:from>
    <xdr:to>
      <xdr:col>8</xdr:col>
      <xdr:colOff>70485</xdr:colOff>
      <xdr:row>159</xdr:row>
      <xdr:rowOff>238125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GrpSpPr/>
      </xdr:nvGrpSpPr>
      <xdr:grpSpPr>
        <a:xfrm>
          <a:off x="4226560" y="39319200"/>
          <a:ext cx="425450" cy="428625"/>
          <a:chOff x="0" y="0"/>
          <a:chExt cx="426032" cy="429013"/>
        </a:xfrm>
      </xdr:grpSpPr>
      <xdr:sp macro="" textlink="">
        <xdr:nvSpPr>
          <xdr:cNvPr id="49" name="Caixa de texto 139">
            <a:extLst>
              <a:ext uri="{FF2B5EF4-FFF2-40B4-BE49-F238E27FC236}">
                <a16:creationId xmlns:a16="http://schemas.microsoft.com/office/drawing/2014/main" xmlns="" id="{00000000-0008-0000-1100-000031000000}"/>
              </a:ext>
            </a:extLst>
          </xdr:cNvPr>
          <xdr:cNvSpPr txBox="1"/>
        </xdr:nvSpPr>
        <xdr:spPr>
          <a:xfrm>
            <a:off x="51759" y="60385"/>
            <a:ext cx="344170" cy="342900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b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:a16="http://schemas.microsoft.com/office/drawing/2014/main" xmlns="" id="{00000000-0008-0000-1100-000033000000}"/>
              </a:ext>
            </a:extLst>
          </xdr:cNvPr>
          <xdr:cNvSpPr/>
        </xdr:nvSpPr>
        <xdr:spPr>
          <a:xfrm rot="10800000" flipH="1" flipV="1">
            <a:off x="0" y="0"/>
            <a:ext cx="426032" cy="429013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pt-BR"/>
          </a:p>
        </xdr:txBody>
      </xdr:sp>
    </xdr:grpSp>
    <xdr:clientData/>
  </xdr:twoCellAnchor>
  <xdr:twoCellAnchor>
    <xdr:from>
      <xdr:col>4</xdr:col>
      <xdr:colOff>371476</xdr:colOff>
      <xdr:row>159</xdr:row>
      <xdr:rowOff>52705</xdr:rowOff>
    </xdr:from>
    <xdr:to>
      <xdr:col>7</xdr:col>
      <xdr:colOff>250191</xdr:colOff>
      <xdr:row>159</xdr:row>
      <xdr:rowOff>457835</xdr:rowOff>
    </xdr:to>
    <xdr:cxnSp macro="">
      <xdr:nvCxnSpPr>
        <xdr:cNvPr id="46" name="Conector de seta reta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CxnSpPr/>
      </xdr:nvCxnSpPr>
      <xdr:spPr>
        <a:xfrm flipH="1">
          <a:off x="2514601" y="39562405"/>
          <a:ext cx="170751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78105</xdr:colOff>
      <xdr:row>159</xdr:row>
      <xdr:rowOff>71755</xdr:rowOff>
    </xdr:from>
    <xdr:to>
      <xdr:col>9</xdr:col>
      <xdr:colOff>381000</xdr:colOff>
      <xdr:row>159</xdr:row>
      <xdr:rowOff>476885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CxnSpPr/>
      </xdr:nvCxnSpPr>
      <xdr:spPr>
        <a:xfrm>
          <a:off x="4659630" y="39581455"/>
          <a:ext cx="91249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572770</xdr:colOff>
      <xdr:row>159</xdr:row>
      <xdr:rowOff>680720</xdr:rowOff>
    </xdr:from>
    <xdr:to>
      <xdr:col>9</xdr:col>
      <xdr:colOff>454025</xdr:colOff>
      <xdr:row>165</xdr:row>
      <xdr:rowOff>123825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GrpSpPr/>
      </xdr:nvGrpSpPr>
      <xdr:grpSpPr>
        <a:xfrm>
          <a:off x="5154295" y="40190420"/>
          <a:ext cx="490855" cy="681355"/>
          <a:chOff x="5154295" y="40190420"/>
          <a:chExt cx="490855" cy="681355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xmlns="" id="{00000000-0008-0000-1100-000003000000}"/>
              </a:ext>
            </a:extLst>
          </xdr:cNvPr>
          <xdr:cNvGrpSpPr/>
        </xdr:nvGrpSpPr>
        <xdr:grpSpPr>
          <a:xfrm>
            <a:off x="5154295" y="40190420"/>
            <a:ext cx="490855" cy="681355"/>
            <a:chOff x="5154295" y="40190420"/>
            <a:chExt cx="490855" cy="681355"/>
          </a:xfrm>
        </xdr:grpSpPr>
        <xdr:cxnSp macro="">
          <xdr:nvCxnSpPr>
            <xdr:cNvPr id="43" name="Conector de seta reta 42">
              <a:extLst>
                <a:ext uri="{FF2B5EF4-FFF2-40B4-BE49-F238E27FC236}">
                  <a16:creationId xmlns:a16="http://schemas.microsoft.com/office/drawing/2014/main" xmlns="" id="{00000000-0008-0000-1100-00002B000000}"/>
                </a:ext>
              </a:extLst>
            </xdr:cNvPr>
            <xdr:cNvCxnSpPr/>
          </xdr:nvCxnSpPr>
          <xdr:spPr>
            <a:xfrm flipH="1" flipV="1">
              <a:off x="5154295" y="40190420"/>
              <a:ext cx="189230" cy="284480"/>
            </a:xfrm>
            <a:prstGeom prst="straightConnector1">
              <a:avLst/>
            </a:prstGeom>
            <a:ln>
              <a:solidFill>
                <a:srgbClr val="FF0000"/>
              </a:solidFill>
              <a:tailEnd type="arrow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55" name="Elipse 54">
              <a:extLst>
                <a:ext uri="{FF2B5EF4-FFF2-40B4-BE49-F238E27FC236}">
                  <a16:creationId xmlns:a16="http://schemas.microsoft.com/office/drawing/2014/main" xmlns="" id="{00000000-0008-0000-1100-000037000000}"/>
                </a:ext>
              </a:extLst>
            </xdr:cNvPr>
            <xdr:cNvSpPr/>
          </xdr:nvSpPr>
          <xdr:spPr>
            <a:xfrm rot="10800000" flipH="1" flipV="1">
              <a:off x="5219700" y="40443150"/>
              <a:ext cx="425450" cy="428625"/>
            </a:xfrm>
            <a:prstGeom prst="ellipse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pt-BR"/>
            </a:p>
          </xdr:txBody>
        </xdr:sp>
      </xdr:grpSp>
      <xdr:sp macro="" textlink="">
        <xdr:nvSpPr>
          <xdr:cNvPr id="56" name="Caixa de texto 133">
            <a:extLst>
              <a:ext uri="{FF2B5EF4-FFF2-40B4-BE49-F238E27FC236}">
                <a16:creationId xmlns:a16="http://schemas.microsoft.com/office/drawing/2014/main" xmlns="" id="{00000000-0008-0000-1100-000038000000}"/>
              </a:ext>
            </a:extLst>
          </xdr:cNvPr>
          <xdr:cNvSpPr txBox="1"/>
        </xdr:nvSpPr>
        <xdr:spPr>
          <a:xfrm>
            <a:off x="5249545" y="40447595"/>
            <a:ext cx="343535" cy="338455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a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254</xdr:row>
          <xdr:rowOff>28575</xdr:rowOff>
        </xdr:from>
        <xdr:to>
          <xdr:col>2</xdr:col>
          <xdr:colOff>561975</xdr:colOff>
          <xdr:row>254</xdr:row>
          <xdr:rowOff>1181100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216</xdr:row>
      <xdr:rowOff>104775</xdr:rowOff>
    </xdr:from>
    <xdr:to>
      <xdr:col>8</xdr:col>
      <xdr:colOff>280670</xdr:colOff>
      <xdr:row>216</xdr:row>
      <xdr:rowOff>1477645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1968400"/>
          <a:ext cx="4157345" cy="137287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8</xdr:col>
      <xdr:colOff>285750</xdr:colOff>
      <xdr:row>218</xdr:row>
      <xdr:rowOff>1537970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53606700"/>
          <a:ext cx="4200525" cy="153797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47625</xdr:colOff>
      <xdr:row>231</xdr:row>
      <xdr:rowOff>104775</xdr:rowOff>
    </xdr:from>
    <xdr:to>
      <xdr:col>8</xdr:col>
      <xdr:colOff>118110</xdr:colOff>
      <xdr:row>233</xdr:row>
      <xdr:rowOff>123190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57531000"/>
          <a:ext cx="3985260" cy="305689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2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6.png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AP109"/>
  <sheetViews>
    <sheetView showGridLines="0" showRowColHeaders="0" tabSelected="1" topLeftCell="A2" zoomScaleNormal="100" workbookViewId="0">
      <selection activeCell="A4" sqref="A4"/>
    </sheetView>
  </sheetViews>
  <sheetFormatPr defaultColWidth="0" defaultRowHeight="12.75" zeroHeight="1" x14ac:dyDescent="0.2"/>
  <cols>
    <col min="1" max="1" width="4.7109375" customWidth="1"/>
    <col min="2" max="2" width="17.85546875" customWidth="1"/>
    <col min="3" max="3" width="16.140625" customWidth="1"/>
    <col min="4" max="4" width="3.28515625" customWidth="1"/>
    <col min="5" max="5" width="16.140625" customWidth="1"/>
    <col min="6" max="6" width="3.28515625" customWidth="1"/>
    <col min="7" max="7" width="16.140625" customWidth="1"/>
    <col min="8" max="8" width="3.28515625" customWidth="1"/>
    <col min="9" max="9" width="16.140625" customWidth="1"/>
    <col min="10" max="10" width="4.7109375" customWidth="1"/>
    <col min="11" max="11" width="5.5703125" hidden="1" customWidth="1"/>
    <col min="12" max="12" width="14.28515625" hidden="1" customWidth="1"/>
    <col min="13" max="13" width="9" hidden="1" customWidth="1"/>
    <col min="14" max="14" width="13.7109375" hidden="1" customWidth="1"/>
    <col min="15" max="15" width="7.28515625" hidden="1" customWidth="1"/>
    <col min="16" max="16" width="8.140625" hidden="1" customWidth="1"/>
    <col min="17" max="17" width="5.42578125" hidden="1" customWidth="1"/>
    <col min="18" max="18" width="7.5703125" hidden="1" customWidth="1"/>
    <col min="19" max="19" width="13.7109375" hidden="1" customWidth="1"/>
    <col min="20" max="20" width="4.28515625" hidden="1" customWidth="1"/>
    <col min="21" max="21" width="17.140625" customWidth="1"/>
    <col min="22" max="23" width="14" customWidth="1"/>
    <col min="24" max="24" width="14.5703125" customWidth="1"/>
    <col min="25" max="25" width="14" customWidth="1"/>
    <col min="26" max="26" width="16" customWidth="1"/>
    <col min="27" max="30" width="14" customWidth="1"/>
    <col min="31" max="31" width="15.140625" customWidth="1"/>
    <col min="32" max="32" width="4.7109375" customWidth="1"/>
    <col min="33" max="41" width="3.85546875" hidden="1" customWidth="1"/>
    <col min="42" max="16384" width="14.42578125" hidden="1"/>
  </cols>
  <sheetData>
    <row r="1" spans="1:41" s="57" customFormat="1" ht="30.75" hidden="1" customHeight="1" x14ac:dyDescent="0.2">
      <c r="A1" s="397">
        <v>3</v>
      </c>
      <c r="B1" s="397"/>
      <c r="C1" s="397"/>
      <c r="D1" s="397"/>
      <c r="E1" s="397"/>
      <c r="F1" s="397"/>
      <c r="G1" s="397"/>
      <c r="H1" s="397"/>
      <c r="I1" s="397"/>
      <c r="J1" s="397"/>
      <c r="T1" s="648"/>
      <c r="U1" s="648" t="str">
        <f>B47</f>
        <v/>
      </c>
      <c r="V1" s="648"/>
      <c r="W1" s="648"/>
      <c r="X1" s="648"/>
      <c r="Y1" s="648"/>
      <c r="Z1" s="648"/>
      <c r="AA1" s="648"/>
      <c r="AB1" s="648"/>
      <c r="AC1" s="648"/>
      <c r="AD1" s="648"/>
      <c r="AE1" s="648"/>
      <c r="AF1" s="648"/>
    </row>
    <row r="2" spans="1:41" s="57" customFormat="1" ht="9" customHeight="1" x14ac:dyDescent="0.2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48"/>
      <c r="U2" s="648"/>
      <c r="V2" s="648"/>
      <c r="W2" s="648"/>
      <c r="X2" s="648"/>
      <c r="Y2" s="648"/>
      <c r="Z2" s="648"/>
      <c r="AA2" s="648"/>
      <c r="AB2" s="648"/>
      <c r="AC2" s="648"/>
      <c r="AD2" s="648"/>
      <c r="AE2" s="648"/>
      <c r="AF2" s="648"/>
    </row>
    <row r="3" spans="1:41" s="57" customFormat="1" ht="9" customHeight="1" thickBot="1" x14ac:dyDescent="0.3">
      <c r="A3" s="630"/>
      <c r="B3" s="1092"/>
      <c r="C3" s="1092"/>
      <c r="D3" s="1092"/>
      <c r="E3" s="1092"/>
      <c r="F3" s="1092"/>
      <c r="G3" s="1092"/>
      <c r="H3" s="1092"/>
      <c r="I3" s="1092"/>
      <c r="J3" s="630"/>
      <c r="K3" s="630"/>
      <c r="L3" s="630"/>
      <c r="M3" s="630"/>
      <c r="N3" s="630"/>
      <c r="O3" s="630"/>
      <c r="P3" s="630"/>
      <c r="Q3" s="630"/>
      <c r="R3" s="630"/>
      <c r="S3" s="630" t="str">
        <f>Dados!$S$98</f>
        <v>Falta Saldo Bancário</v>
      </c>
      <c r="T3" s="630"/>
      <c r="U3" s="631"/>
      <c r="V3" s="631"/>
      <c r="W3" s="631"/>
      <c r="X3" s="631"/>
      <c r="Y3" s="630"/>
      <c r="Z3" s="630"/>
      <c r="AA3" s="630"/>
      <c r="AB3" s="630"/>
      <c r="AC3" s="630"/>
      <c r="AD3" s="630"/>
      <c r="AE3" s="630"/>
      <c r="AF3" s="630"/>
    </row>
    <row r="4" spans="1:41" s="57" customFormat="1" ht="13.5" customHeight="1" x14ac:dyDescent="0.2">
      <c r="A4" s="630"/>
      <c r="B4" s="1093" t="str">
        <f>$B$32</f>
        <v>PROGRAMA DE TRANSFERÊNCIA DE RECURSOS FINANCEIROS</v>
      </c>
      <c r="C4" s="1094"/>
      <c r="D4" s="1094"/>
      <c r="E4" s="1094"/>
      <c r="F4" s="1094"/>
      <c r="G4" s="1094"/>
      <c r="H4" s="1094"/>
      <c r="I4" s="1095"/>
      <c r="J4" s="630"/>
      <c r="K4" s="630"/>
      <c r="L4" s="634">
        <f>LEN(B8)</f>
        <v>0</v>
      </c>
      <c r="M4" s="635" t="b">
        <f>IF(L4=1,"00000",IF(L4=2,"0000",IF(L4=3,"000",IF(L4=4,"00",IF(L4=5,"0",IF(L4=6,""))))))</f>
        <v>0</v>
      </c>
      <c r="N4" s="635" t="str">
        <f>M4&amp;B8</f>
        <v>FALSO</v>
      </c>
      <c r="O4" s="630"/>
      <c r="P4" s="630"/>
      <c r="Q4" s="630"/>
      <c r="R4" s="630"/>
      <c r="S4" s="630" t="str">
        <f>Dados!$S$99</f>
        <v>Saldo Bancário Correto</v>
      </c>
      <c r="T4" s="636"/>
      <c r="U4" s="1123" t="s">
        <v>1330</v>
      </c>
      <c r="V4" s="1124"/>
      <c r="W4" s="1124"/>
      <c r="X4" s="1124"/>
      <c r="Y4" s="1124"/>
      <c r="Z4" s="1124"/>
      <c r="AA4" s="1124"/>
      <c r="AB4" s="1124"/>
      <c r="AC4" s="1124"/>
      <c r="AD4" s="1124"/>
      <c r="AE4" s="1125"/>
      <c r="AF4" s="630"/>
    </row>
    <row r="5" spans="1:41" s="57" customFormat="1" ht="13.5" customHeight="1" x14ac:dyDescent="0.2">
      <c r="A5" s="630"/>
      <c r="B5" s="1096"/>
      <c r="C5" s="1097"/>
      <c r="D5" s="1097"/>
      <c r="E5" s="1097"/>
      <c r="F5" s="1097"/>
      <c r="G5" s="1097"/>
      <c r="H5" s="1097"/>
      <c r="I5" s="1098"/>
      <c r="J5" s="630"/>
      <c r="K5" s="630"/>
      <c r="L5" s="635"/>
      <c r="M5" s="635"/>
      <c r="N5" s="635"/>
      <c r="O5" s="630"/>
      <c r="P5" s="630"/>
      <c r="Q5" s="630"/>
      <c r="R5" s="630"/>
      <c r="S5" s="630" t="str">
        <f>Dados!$S$100</f>
        <v>Saldo Bancário Incorreto</v>
      </c>
      <c r="T5" s="630"/>
      <c r="U5" s="936" t="str">
        <f>$U$12</f>
        <v>Tipo de Despesas</v>
      </c>
      <c r="V5" s="937" t="str">
        <f>$V$12</f>
        <v>Básico</v>
      </c>
      <c r="W5" s="938" t="str">
        <f>$W$12</f>
        <v>Volta às Aulas</v>
      </c>
      <c r="X5" s="939" t="str">
        <f>$X$12</f>
        <v>Fazendo Futuro</v>
      </c>
      <c r="Y5" s="940" t="str">
        <f>$Y$12</f>
        <v>Rolê Cultural</v>
      </c>
      <c r="Z5" s="941" t="str">
        <f>$Z$12</f>
        <v>Imprensa Jovem</v>
      </c>
      <c r="AA5" s="942" t="str">
        <f>$AA$12</f>
        <v>Grêmio</v>
      </c>
      <c r="AB5" s="981" t="str">
        <f>$AB$12</f>
        <v>Formação</v>
      </c>
      <c r="AC5" s="980" t="str">
        <f>$AC$12</f>
        <v>Mais Escola</v>
      </c>
      <c r="AD5" s="982" t="str">
        <f>$AD$12</f>
        <v>Livre Aplic.</v>
      </c>
      <c r="AE5" s="936" t="str">
        <f>$AE$12</f>
        <v>Total</v>
      </c>
      <c r="AF5" s="630"/>
    </row>
    <row r="6" spans="1:41" s="57" customFormat="1" ht="13.5" customHeight="1" x14ac:dyDescent="0.2">
      <c r="A6" s="630"/>
      <c r="B6" s="1096" t="str">
        <f>Dados!$C$128&amp;Dados!$E$128</f>
        <v/>
      </c>
      <c r="C6" s="1097"/>
      <c r="D6" s="1097"/>
      <c r="E6" s="1097"/>
      <c r="F6" s="1097"/>
      <c r="G6" s="1097"/>
      <c r="H6" s="1097"/>
      <c r="I6" s="1098"/>
      <c r="J6" s="630"/>
      <c r="K6" s="630"/>
      <c r="L6" s="635" t="str">
        <f>Dados!$E$7</f>
        <v/>
      </c>
      <c r="M6" s="635"/>
      <c r="N6" s="635"/>
      <c r="O6" s="630"/>
      <c r="P6" s="630"/>
      <c r="Q6" s="630"/>
      <c r="R6" s="630"/>
      <c r="S6" s="630"/>
      <c r="T6" s="630"/>
      <c r="U6" s="734" t="str">
        <f>$U$14</f>
        <v>R$ - Custeio</v>
      </c>
      <c r="V6" s="735" t="str">
        <f>IF(Dados!$E$3="","",IF(Dados!$F$14="","",Dados!$F$14))</f>
        <v/>
      </c>
      <c r="W6" s="735" t="str">
        <f>IF(Dados!$E$3="","",IF(Dados!$F$20="","",Dados!$F$20))</f>
        <v/>
      </c>
      <c r="X6" s="735" t="str">
        <f>IF(Dados!$E$3="","",IF(Dados!$F$26="","",Dados!$F$26))</f>
        <v/>
      </c>
      <c r="Y6" s="735" t="str">
        <f>IF(Dados!$E$3="","",IF(Dados!$F$32="","",Dados!$F$32))</f>
        <v/>
      </c>
      <c r="Z6" s="735" t="str">
        <f>IF(Dados!$E$3="","",IF(Dados!$F$38="","",Dados!$F$38))</f>
        <v/>
      </c>
      <c r="AA6" s="735" t="str">
        <f>IF(Dados!$E$3="","",IF(Dados!$F$44="","",Dados!$F$44))</f>
        <v/>
      </c>
      <c r="AB6" s="735" t="str">
        <f>IF(Dados!$E$3="","",IF(Dados!$F$50="","",Dados!$F$50))</f>
        <v/>
      </c>
      <c r="AC6" s="735" t="str">
        <f>IF(Dados!$E$3="","",IF(Dados!$F$56="","",Dados!$F$56))</f>
        <v/>
      </c>
      <c r="AD6" s="735" t="str">
        <f>IF(Dados!$E$3="","",IF(Dados!$F$62="","",Dados!$F$62))</f>
        <v/>
      </c>
      <c r="AE6" s="735" t="str">
        <f>IF(Dados!$E$3="","",SUM(V6:AD6))</f>
        <v/>
      </c>
      <c r="AF6" s="630"/>
    </row>
    <row r="7" spans="1:41" s="57" customFormat="1" ht="13.5" customHeight="1" thickBot="1" x14ac:dyDescent="0.25">
      <c r="A7" s="630"/>
      <c r="B7" s="1099" t="str">
        <f>IF(Dados!$E$3="","","DRE - "&amp;Dados!$E$7)</f>
        <v/>
      </c>
      <c r="C7" s="1100"/>
      <c r="D7" s="1100"/>
      <c r="E7" s="1100"/>
      <c r="F7" s="1100"/>
      <c r="G7" s="1100"/>
      <c r="H7" s="1100"/>
      <c r="I7" s="1101"/>
      <c r="J7" s="630"/>
      <c r="K7" s="630"/>
      <c r="L7" s="630"/>
      <c r="M7" s="630"/>
      <c r="N7" s="630" t="str">
        <f>IF(L6="JAÇANÃ / TREMEMBÉ","JT",IF(L6="SÃO MIGUEL","MP",IF(L6="PENHA","PE",IF(L6="PIRITUBA","PJ",IF(L6="SANTO AMARO","SA",IF(L6="SÃO MATEUS","SM",""))))))</f>
        <v/>
      </c>
      <c r="O7" s="630"/>
      <c r="P7" s="630"/>
      <c r="Q7" s="630"/>
      <c r="R7" s="630"/>
      <c r="S7" s="630"/>
      <c r="T7" s="630"/>
      <c r="U7" s="738" t="str">
        <f>$U$16</f>
        <v>R$ - Capital</v>
      </c>
      <c r="V7" s="737" t="str">
        <f>IF(Dados!$E$3="","",IF(Dados!$I$14="","",Dados!$I$14))</f>
        <v/>
      </c>
      <c r="W7" s="737" t="str">
        <f>IF(Dados!$E$3="","",IF(Dados!$I$20="","",Dados!$I$20))</f>
        <v/>
      </c>
      <c r="X7" s="737" t="str">
        <f>IF(Dados!$E$3="","",IF(Dados!$I$26="","",Dados!$I$26))</f>
        <v/>
      </c>
      <c r="Y7" s="737" t="str">
        <f>IF(Dados!$E$3="","",IF(Dados!$I$32="","",Dados!$I$32))</f>
        <v/>
      </c>
      <c r="Z7" s="737" t="str">
        <f>IF(Dados!$E$3="","",IF(Dados!$I$38="","",Dados!$I$38))</f>
        <v/>
      </c>
      <c r="AA7" s="737" t="str">
        <f>IF(Dados!$E$3="","",IF(Dados!$I$44="","",Dados!$I$44))</f>
        <v/>
      </c>
      <c r="AB7" s="737" t="str">
        <f>IF(Dados!$E$3="","",IF(Dados!$I$50="","",Dados!$I$50))</f>
        <v/>
      </c>
      <c r="AC7" s="737" t="str">
        <f>IF(Dados!$E$3="","",IF(Dados!$I$56="","",Dados!$I$56))</f>
        <v/>
      </c>
      <c r="AD7" s="737" t="str">
        <f>IF(Dados!$E$3="","",IF(Dados!$I$62="","",Dados!$I$62))</f>
        <v/>
      </c>
      <c r="AE7" s="737" t="str">
        <f>IF(Dados!$E$3="","",SUM(V7:AD7))</f>
        <v/>
      </c>
      <c r="AF7" s="630"/>
    </row>
    <row r="8" spans="1:41" s="57" customFormat="1" ht="13.5" customHeight="1" thickTop="1" thickBot="1" x14ac:dyDescent="0.25">
      <c r="A8" s="630"/>
      <c r="B8" s="610" t="str">
        <f>IF(Dados!$E$3="","",Dados!$E$3)</f>
        <v/>
      </c>
      <c r="C8" s="1134" t="str">
        <f>Dados!$E$69</f>
        <v/>
      </c>
      <c r="D8" s="1134"/>
      <c r="E8" s="1134"/>
      <c r="F8" s="1134"/>
      <c r="G8" s="1134"/>
      <c r="H8" s="1134"/>
      <c r="I8" s="1135"/>
      <c r="J8" s="630"/>
      <c r="K8" s="630"/>
      <c r="L8" s="630"/>
      <c r="M8" s="637"/>
      <c r="N8" s="637"/>
      <c r="O8" s="637"/>
      <c r="P8" s="637"/>
      <c r="Q8" s="630"/>
      <c r="R8" s="630"/>
      <c r="S8" s="630"/>
      <c r="T8" s="630"/>
      <c r="U8" s="743" t="str">
        <f>$U$17</f>
        <v>Total</v>
      </c>
      <c r="V8" s="744" t="str">
        <f>IF(Dados!$E$3="","",SUM(V6:V7))</f>
        <v/>
      </c>
      <c r="W8" s="744" t="str">
        <f>IF(Dados!$E$3="","",SUM(W6:W7))</f>
        <v/>
      </c>
      <c r="X8" s="744" t="str">
        <f>IF(Dados!$E$3="","",SUM(X6:X7))</f>
        <v/>
      </c>
      <c r="Y8" s="744" t="str">
        <f>IF(Dados!$E$3="","",SUM(Y6:Y7))</f>
        <v/>
      </c>
      <c r="Z8" s="744" t="str">
        <f>IF(Dados!$E$3="","",SUM(Z6:Z7))</f>
        <v/>
      </c>
      <c r="AA8" s="744" t="str">
        <f>IF(Dados!$E$3="","",SUM(AA6:AA7))</f>
        <v/>
      </c>
      <c r="AB8" s="744" t="str">
        <f>IF(Dados!$E$3="","",SUM(AB6:AB7))</f>
        <v/>
      </c>
      <c r="AC8" s="744" t="str">
        <f>IF(Dados!$E$3="","",SUM(AC6:AC7))</f>
        <v/>
      </c>
      <c r="AD8" s="744" t="str">
        <f>IF(Dados!$E$3="","",SUM(AD6:AD7))</f>
        <v/>
      </c>
      <c r="AE8" s="744" t="str">
        <f>IF(Dados!$E$3="","",SUM(AE6:AE7))</f>
        <v/>
      </c>
      <c r="AF8" s="630"/>
    </row>
    <row r="9" spans="1:41" s="57" customFormat="1" ht="13.7" customHeight="1" x14ac:dyDescent="0.2">
      <c r="A9" s="630"/>
      <c r="B9" s="725"/>
      <c r="C9" s="726"/>
      <c r="D9" s="726"/>
      <c r="E9" s="726"/>
      <c r="F9" s="726"/>
      <c r="G9" s="1129" t="s">
        <v>1081</v>
      </c>
      <c r="H9" s="1129"/>
      <c r="I9" s="1130"/>
      <c r="J9" s="630"/>
      <c r="K9" s="868"/>
      <c r="L9" s="630"/>
      <c r="M9" s="630"/>
      <c r="N9" s="630"/>
      <c r="O9" s="630"/>
      <c r="P9" s="630"/>
      <c r="Q9" s="630"/>
      <c r="R9" s="630"/>
      <c r="S9" s="630"/>
      <c r="T9" s="630"/>
      <c r="U9" s="630"/>
      <c r="V9" s="966" t="str">
        <f>IF(Dados!$E$3="","",SUM(V6+V14))</f>
        <v/>
      </c>
      <c r="W9" s="966" t="str">
        <f>IF(Dados!$E$3="","",SUM(W6+W14))</f>
        <v/>
      </c>
      <c r="X9" s="966" t="str">
        <f>IF(Dados!$E$3="","",SUM(X6+X14))</f>
        <v/>
      </c>
      <c r="Y9" s="966" t="str">
        <f>IF(Dados!$E$3="","",SUM(Y6+Y14))</f>
        <v/>
      </c>
      <c r="Z9" s="966" t="str">
        <f>IF(Dados!$E$3="","",SUM(Z6+Z14))</f>
        <v/>
      </c>
      <c r="AA9" s="966" t="str">
        <f>IF(Dados!$E$3="","",SUM(AA6+AA14))</f>
        <v/>
      </c>
      <c r="AB9" s="966" t="str">
        <f>IF(Dados!$E$3="","",SUM(AB6+AB14))</f>
        <v/>
      </c>
      <c r="AC9" s="966" t="str">
        <f>IF(Dados!$E$3="","",SUM(AC6+AC14))</f>
        <v/>
      </c>
      <c r="AD9" s="966" t="str">
        <f>IF(Dados!$E$3="","",SUM(AD6+AD14))</f>
        <v/>
      </c>
      <c r="AE9" s="630"/>
      <c r="AF9" s="630"/>
    </row>
    <row r="10" spans="1:41" s="57" customFormat="1" ht="13.7" customHeight="1" x14ac:dyDescent="0.2">
      <c r="A10" s="630"/>
      <c r="B10" s="616"/>
      <c r="C10" s="617"/>
      <c r="D10" s="617"/>
      <c r="E10" s="617"/>
      <c r="F10" s="617"/>
      <c r="G10" s="1131"/>
      <c r="H10" s="1131"/>
      <c r="I10" s="1132"/>
      <c r="J10" s="630"/>
      <c r="K10" s="868"/>
      <c r="L10" s="630"/>
      <c r="M10" s="638" t="str">
        <f>IF(Dados!$E$3="","",IF(SUM(M17+M15+M13)=0,"",SUM(M17+M15+M13)))</f>
        <v/>
      </c>
      <c r="N10" s="639" t="str">
        <f>IF(OR(M10="",M10=0),"",IF(M10=1,$U$42,IF(M10&gt;=2,$U$43)))</f>
        <v/>
      </c>
      <c r="O10" s="630" t="s">
        <v>1385</v>
      </c>
      <c r="P10" s="640" t="s">
        <v>1385</v>
      </c>
      <c r="Q10" s="630"/>
      <c r="R10" s="630"/>
      <c r="S10" s="640" t="s">
        <v>501</v>
      </c>
      <c r="T10" s="630"/>
      <c r="U10" s="630"/>
      <c r="V10" s="966" t="str">
        <f>IF(Dados!$E$3="","",SUM(V7+V16))</f>
        <v/>
      </c>
      <c r="W10" s="966" t="str">
        <f>IF(Dados!$E$3="","",SUM(W7+W16))</f>
        <v/>
      </c>
      <c r="X10" s="966" t="str">
        <f>IF(Dados!$E$3="","",SUM(X7+X16))</f>
        <v/>
      </c>
      <c r="Y10" s="966" t="str">
        <f>IF(Dados!$E$3="","",SUM(Y7+Y16))</f>
        <v/>
      </c>
      <c r="Z10" s="966" t="str">
        <f>IF(Dados!$E$3="","",SUM(Z7+Z16))</f>
        <v/>
      </c>
      <c r="AA10" s="966" t="str">
        <f>IF(Dados!$E$3="","",SUM(AA7+AA16))</f>
        <v/>
      </c>
      <c r="AB10" s="966" t="str">
        <f>IF(Dados!$E$3="","",SUM(AB7+AB16))</f>
        <v/>
      </c>
      <c r="AC10" s="966" t="str">
        <f>IF(Dados!$E$3="","",SUM(AC7+AC16))</f>
        <v/>
      </c>
      <c r="AD10" s="966" t="str">
        <f>IF(Dados!$E$3="","",SUM(AD7+AD16))</f>
        <v/>
      </c>
      <c r="AE10" s="630"/>
      <c r="AF10" s="630"/>
    </row>
    <row r="11" spans="1:41" s="57" customFormat="1" ht="13.7" customHeight="1" x14ac:dyDescent="0.2">
      <c r="A11" s="630"/>
      <c r="B11" s="620"/>
      <c r="C11" s="621"/>
      <c r="D11" s="621"/>
      <c r="E11" s="621"/>
      <c r="F11" s="621"/>
      <c r="G11" s="621"/>
      <c r="H11" s="618"/>
      <c r="I11" s="619"/>
      <c r="J11" s="630"/>
      <c r="K11" s="641" t="s">
        <v>352</v>
      </c>
      <c r="L11" s="630"/>
      <c r="M11" s="642"/>
      <c r="N11" s="642"/>
      <c r="O11" s="630"/>
      <c r="P11" s="630"/>
      <c r="Q11" s="630"/>
      <c r="R11" s="630"/>
      <c r="S11" s="640" t="s">
        <v>502</v>
      </c>
      <c r="T11" s="630"/>
      <c r="U11" s="1120" t="s">
        <v>1331</v>
      </c>
      <c r="V11" s="1121"/>
      <c r="W11" s="1121"/>
      <c r="X11" s="1121"/>
      <c r="Y11" s="1121"/>
      <c r="Z11" s="1121"/>
      <c r="AA11" s="1121"/>
      <c r="AB11" s="1121"/>
      <c r="AC11" s="1121"/>
      <c r="AD11" s="1121"/>
      <c r="AE11" s="1122"/>
      <c r="AF11" s="630"/>
    </row>
    <row r="12" spans="1:41" s="57" customFormat="1" ht="13.7" customHeight="1" x14ac:dyDescent="0.2">
      <c r="A12" s="630"/>
      <c r="B12" s="620"/>
      <c r="C12" s="621"/>
      <c r="D12" s="621"/>
      <c r="E12" s="621"/>
      <c r="F12" s="621"/>
      <c r="G12" s="621"/>
      <c r="H12" s="618"/>
      <c r="I12" s="619"/>
      <c r="J12" s="630"/>
      <c r="K12" s="641">
        <f>BASE!$AV$3</f>
        <v>2020</v>
      </c>
      <c r="L12" s="630"/>
      <c r="M12" s="638" t="str">
        <f>IF(Dados!$E$3="","",IF(Dados!$G$102="",1,0))</f>
        <v/>
      </c>
      <c r="N12" s="642" t="str">
        <f>IF(M13="","",$U$45)</f>
        <v/>
      </c>
      <c r="O12" s="630" t="s">
        <v>1385</v>
      </c>
      <c r="P12" s="630" t="s">
        <v>1385</v>
      </c>
      <c r="Q12" s="630"/>
      <c r="R12" s="630"/>
      <c r="S12" s="630" t="s">
        <v>503</v>
      </c>
      <c r="T12" s="630"/>
      <c r="U12" s="943" t="s">
        <v>1334</v>
      </c>
      <c r="V12" s="937" t="s">
        <v>713</v>
      </c>
      <c r="W12" s="944" t="s">
        <v>599</v>
      </c>
      <c r="X12" s="945" t="s">
        <v>727</v>
      </c>
      <c r="Y12" s="946" t="s">
        <v>1066</v>
      </c>
      <c r="Z12" s="947" t="s">
        <v>728</v>
      </c>
      <c r="AA12" s="942" t="s">
        <v>707</v>
      </c>
      <c r="AB12" s="981" t="s">
        <v>12267</v>
      </c>
      <c r="AC12" s="980" t="s">
        <v>12316</v>
      </c>
      <c r="AD12" s="982" t="s">
        <v>12268</v>
      </c>
      <c r="AE12" s="936" t="s">
        <v>440</v>
      </c>
      <c r="AF12" s="630"/>
      <c r="AG12" s="57" t="str">
        <f>IF(AND(V13="",AG13=1),"X","")</f>
        <v/>
      </c>
      <c r="AH12" s="57" t="str">
        <f t="shared" ref="AH12:AO12" si="0">IF(AND(W13="",AH13=1),"X","")</f>
        <v/>
      </c>
      <c r="AI12" s="57" t="str">
        <f t="shared" si="0"/>
        <v/>
      </c>
      <c r="AJ12" s="57" t="str">
        <f t="shared" si="0"/>
        <v/>
      </c>
      <c r="AK12" s="57" t="str">
        <f t="shared" si="0"/>
        <v/>
      </c>
      <c r="AL12" s="57" t="str">
        <f t="shared" si="0"/>
        <v/>
      </c>
      <c r="AM12" s="57" t="str">
        <f t="shared" si="0"/>
        <v/>
      </c>
      <c r="AN12" s="57" t="str">
        <f t="shared" si="0"/>
        <v/>
      </c>
      <c r="AO12" s="57" t="str">
        <f t="shared" si="0"/>
        <v/>
      </c>
    </row>
    <row r="13" spans="1:41" s="57" customFormat="1" ht="13.7" customHeight="1" x14ac:dyDescent="0.2">
      <c r="A13" s="630"/>
      <c r="B13" s="620"/>
      <c r="C13" s="621"/>
      <c r="D13" s="621"/>
      <c r="E13" s="621"/>
      <c r="F13" s="621"/>
      <c r="G13" s="621"/>
      <c r="H13" s="618"/>
      <c r="I13" s="619"/>
      <c r="J13" s="630"/>
      <c r="K13" s="641" t="str">
        <f>IF(L13="1º Repasse de ","01_REPASSE",IF(L13="2º Repasse de ","02_REPASSE",IF(L13="3º Repasse de ","03_REPASSE","")))</f>
        <v>01_REPASSE</v>
      </c>
      <c r="L13" s="630" t="str">
        <f>BASE!$AU$3</f>
        <v xml:space="preserve">1º Repasse de </v>
      </c>
      <c r="M13" s="638" t="str">
        <f>IF(Dados!$E$3="","",IF(N13=S4,0,IF(OR(N13=S3,N13=S5),1)))</f>
        <v/>
      </c>
      <c r="N13" s="642" t="str">
        <f>$G$99</f>
        <v/>
      </c>
      <c r="O13" s="630" t="s">
        <v>1385</v>
      </c>
      <c r="P13" s="640" t="s">
        <v>1385</v>
      </c>
      <c r="Q13" s="630"/>
      <c r="R13" s="630"/>
      <c r="S13" s="723">
        <f ca="1">NOW()</f>
        <v>44102.506203587996</v>
      </c>
      <c r="T13" s="630"/>
      <c r="U13" s="734" t="s">
        <v>1083</v>
      </c>
      <c r="V13" s="740"/>
      <c r="W13" s="740"/>
      <c r="X13" s="740"/>
      <c r="Y13" s="740"/>
      <c r="Z13" s="740"/>
      <c r="AA13" s="740"/>
      <c r="AB13" s="740"/>
      <c r="AC13" s="740"/>
      <c r="AD13" s="740"/>
      <c r="AE13" s="741"/>
      <c r="AF13" s="630"/>
      <c r="AG13" s="742">
        <f>IF(OR(Dados!$F$12="",Dados!$F$12=0),0,1)</f>
        <v>0</v>
      </c>
      <c r="AH13" s="742">
        <f>IF(OR(Dados!$F$18="",Dados!$F$18=0),0,1)</f>
        <v>0</v>
      </c>
      <c r="AI13" s="742">
        <f>IF(OR(Dados!$F$24="",Dados!$F$24=0),0,1)</f>
        <v>0</v>
      </c>
      <c r="AJ13" s="742">
        <f>IF(OR(Dados!$F$30="",Dados!$F$30=0),0,1)</f>
        <v>0</v>
      </c>
      <c r="AK13" s="742">
        <f>IF(OR(Dados!$F$36="",Dados!$F$36=0),0,1)</f>
        <v>0</v>
      </c>
      <c r="AL13" s="742">
        <f>IF(OR(Dados!$F$42="",Dados!$F$42=0),0,1)</f>
        <v>0</v>
      </c>
      <c r="AM13" s="742">
        <f>IF(OR(Dados!$F$48="",Dados!$F$48=0),0,1)</f>
        <v>0</v>
      </c>
      <c r="AN13" s="742">
        <f>IF(OR(Dados!$F$54="",Dados!$F$54=0),0,1)</f>
        <v>0</v>
      </c>
      <c r="AO13" s="742">
        <f>IF(OR(Dados!$F$60="",Dados!$F$60=0),0,1)</f>
        <v>0</v>
      </c>
    </row>
    <row r="14" spans="1:41" s="57" customFormat="1" ht="13.7" customHeight="1" x14ac:dyDescent="0.2">
      <c r="A14" s="630"/>
      <c r="B14" s="622" t="str">
        <f>IF(B16="","",IF(B21=S13,"",IF(B21&lt;S13,"EXPIROU",IF(B21&gt;S13,"ATENÇÃO"))))</f>
        <v/>
      </c>
      <c r="C14" s="621"/>
      <c r="D14" s="621"/>
      <c r="E14" s="621"/>
      <c r="F14" s="621"/>
      <c r="G14" s="621"/>
      <c r="H14" s="618"/>
      <c r="I14" s="619"/>
      <c r="J14" s="630"/>
      <c r="K14" s="641" t="str">
        <f>IF(L6="BUTANTÃ","BT",IF(L6="CAMPO LIMPO","CL",IF(L6="CAPELA DO SOCORRO","CS",IF(L6="FREGUESIA / BRASILÂNDIA","FO",IF(L6="GUAIANASES","G",IF(L6="IPIRANGA","IP",IF(L6="ITAQUERA","IQ",$N$7)))))))</f>
        <v/>
      </c>
      <c r="L14" s="630"/>
      <c r="M14" s="642"/>
      <c r="N14" s="639"/>
      <c r="O14" s="630"/>
      <c r="P14" s="630"/>
      <c r="Q14" s="630"/>
      <c r="R14" s="630"/>
      <c r="S14" s="630"/>
      <c r="T14" s="630"/>
      <c r="U14" s="739" t="s">
        <v>1084</v>
      </c>
      <c r="V14" s="860" t="str">
        <f>IF(Dados!$E$3="","",IF(Dados!$F$12="","",Dados!$F$12))</f>
        <v/>
      </c>
      <c r="W14" s="861" t="str">
        <f>IF(Dados!$E$3="","",IF(Dados!$F$18="","",Dados!$F$18))</f>
        <v/>
      </c>
      <c r="X14" s="861" t="str">
        <f>IF(Dados!$E$3="","",IF(Dados!$F$24="","",Dados!$F$24))</f>
        <v/>
      </c>
      <c r="Y14" s="861" t="str">
        <f>IF(Dados!$E$3="","",IF(Dados!$F$30="","",Dados!$F$30))</f>
        <v/>
      </c>
      <c r="Z14" s="861" t="str">
        <f>IF(Dados!$E$3="","",IF(Dados!$F$36="","",Dados!$F$36))</f>
        <v/>
      </c>
      <c r="AA14" s="861" t="str">
        <f>IF(Dados!$E$3="","",IF(Dados!$F$42="","",Dados!$F$42))</f>
        <v/>
      </c>
      <c r="AB14" s="861" t="str">
        <f>IF(Dados!$E$3="","",IF(Dados!$F$48="","",Dados!$F$48))</f>
        <v/>
      </c>
      <c r="AC14" s="861" t="str">
        <f>IF(Dados!$E$3="","",IF(Dados!$F$54="","",Dados!$F$54))</f>
        <v/>
      </c>
      <c r="AD14" s="861" t="str">
        <f>IF(Dados!$E$3="","",IF(Dados!$F$60="","",Dados!$F$60))</f>
        <v/>
      </c>
      <c r="AE14" s="858" t="str">
        <f>IF(Dados!$E$3="","",SUM(V14:AD14))</f>
        <v/>
      </c>
      <c r="AF14" s="630"/>
      <c r="AG14" s="192"/>
      <c r="AH14" s="192"/>
      <c r="AI14" s="192"/>
      <c r="AJ14" s="192"/>
      <c r="AK14" s="192"/>
      <c r="AL14" s="192"/>
      <c r="AM14" s="192"/>
      <c r="AN14" s="192"/>
      <c r="AO14" s="192"/>
    </row>
    <row r="15" spans="1:41" s="57" customFormat="1" ht="13.7" customHeight="1" x14ac:dyDescent="0.2">
      <c r="A15" s="630"/>
      <c r="B15" s="622" t="str">
        <f>IF(B16="","",IF(B21=S13,"",IF(B21&lt;S13,"SEU PRAZO EM",IF(AND(B14="ATENÇÃO",B16=1),"Falta",IF(B21&gt;S13,"Faltam")))))</f>
        <v/>
      </c>
      <c r="C15" s="621"/>
      <c r="D15" s="621"/>
      <c r="E15" s="621"/>
      <c r="F15" s="621"/>
      <c r="G15" s="621"/>
      <c r="H15" s="618"/>
      <c r="I15" s="619"/>
      <c r="J15" s="630"/>
      <c r="K15" s="630"/>
      <c r="L15" s="630"/>
      <c r="M15" s="638"/>
      <c r="N15" s="642"/>
      <c r="O15" s="630"/>
      <c r="P15" s="630"/>
      <c r="Q15" s="630"/>
      <c r="R15" s="630"/>
      <c r="S15" s="630"/>
      <c r="T15" s="630"/>
      <c r="U15" s="734" t="s">
        <v>1085</v>
      </c>
      <c r="V15" s="740"/>
      <c r="W15" s="740"/>
      <c r="X15" s="740"/>
      <c r="Y15" s="740"/>
      <c r="Z15" s="740"/>
      <c r="AA15" s="740"/>
      <c r="AB15" s="740"/>
      <c r="AC15" s="740"/>
      <c r="AD15" s="740"/>
      <c r="AE15" s="741"/>
      <c r="AF15" s="630"/>
      <c r="AG15" s="742">
        <f>IF(OR(Dados!$I$12="",Dados!$I$12=0),0,1)</f>
        <v>0</v>
      </c>
      <c r="AH15" s="742">
        <f>IF(OR(Dados!$I$18="",Dados!$I$18=0),0,1)</f>
        <v>0</v>
      </c>
      <c r="AI15" s="742">
        <f>IF(OR(Dados!$I$24="",Dados!$I$24=0),0,1)</f>
        <v>0</v>
      </c>
      <c r="AJ15" s="742">
        <f>IF(OR(Dados!$I$30="",Dados!$I$30=0),0,1)</f>
        <v>0</v>
      </c>
      <c r="AK15" s="742">
        <f>IF(OR(Dados!$I$36="",Dados!$I$36=0),0,1)</f>
        <v>0</v>
      </c>
      <c r="AL15" s="742">
        <f>IF(OR(Dados!$I$42="",Dados!$I$42=0),0,1)</f>
        <v>0</v>
      </c>
      <c r="AM15" s="742">
        <f>IF(OR(Dados!$I$48="",Dados!$I$48=0),0,1)</f>
        <v>0</v>
      </c>
      <c r="AN15" s="742">
        <f>IF(OR(Dados!$I$54="",Dados!$I$54=0),0,1)</f>
        <v>0</v>
      </c>
      <c r="AO15" s="742">
        <f>IF(OR(Dados!$I$60="",Dados!$I$60=0),0,1)</f>
        <v>0</v>
      </c>
    </row>
    <row r="16" spans="1:41" s="57" customFormat="1" ht="13.7" customHeight="1" thickBot="1" x14ac:dyDescent="0.25">
      <c r="A16" s="630"/>
      <c r="B16" s="1133" t="str">
        <f>IF(OR(B8="",B8=0),"",IF(B21=S13,"",IF(B21&gt;S13,(B21-S13),IF(B21&lt;S13,(S13-B21)))))</f>
        <v/>
      </c>
      <c r="C16" s="621"/>
      <c r="D16" s="621"/>
      <c r="E16" s="621"/>
      <c r="F16" s="621"/>
      <c r="G16" s="621"/>
      <c r="H16" s="618"/>
      <c r="I16" s="619"/>
      <c r="J16" s="630"/>
      <c r="K16" s="630"/>
      <c r="L16" s="630"/>
      <c r="M16" s="642"/>
      <c r="N16" s="642"/>
      <c r="O16" s="630"/>
      <c r="P16" s="640"/>
      <c r="Q16" s="630"/>
      <c r="R16" s="630"/>
      <c r="S16" s="630"/>
      <c r="T16" s="630"/>
      <c r="U16" s="738" t="s">
        <v>1086</v>
      </c>
      <c r="V16" s="862" t="str">
        <f>IF(Dados!$E$3="","",IF(Dados!$I$12="","",Dados!$I$12))</f>
        <v/>
      </c>
      <c r="W16" s="859" t="str">
        <f>IF(Dados!$E$3="","",IF(Dados!$I$18="","",Dados!$I$18))</f>
        <v/>
      </c>
      <c r="X16" s="859" t="str">
        <f>IF(Dados!$E$3="","",IF(Dados!$I$24="","",Dados!$I$24))</f>
        <v/>
      </c>
      <c r="Y16" s="859" t="str">
        <f>IF(Dados!$E$3="","",IF(Dados!$I$30="","",Dados!$I$30))</f>
        <v/>
      </c>
      <c r="Z16" s="859" t="str">
        <f>IF(Dados!$E$3="","",IF(Dados!$I$36="","",Dados!$I$36))</f>
        <v/>
      </c>
      <c r="AA16" s="859" t="str">
        <f>IF(Dados!$E$3="","",IF(Dados!$I$42="","",Dados!$I$42))</f>
        <v/>
      </c>
      <c r="AB16" s="859" t="str">
        <f>IF(Dados!$E$3="","",IF(Dados!$I$48="","",Dados!$I$48))</f>
        <v/>
      </c>
      <c r="AC16" s="859" t="str">
        <f>IF(Dados!$E$3="","",IF(Dados!$I$54="","",Dados!$I$54))</f>
        <v/>
      </c>
      <c r="AD16" s="859" t="str">
        <f>IF(Dados!$E$3="","",IF(Dados!$I$60="","",Dados!$I$60))</f>
        <v/>
      </c>
      <c r="AE16" s="859" t="str">
        <f>IF(Dados!$E$3="","",SUM(V16:AD16))</f>
        <v/>
      </c>
      <c r="AF16" s="630"/>
      <c r="AG16" s="57" t="str">
        <f>IF(AND(V15="",AG15=1),"X","")</f>
        <v/>
      </c>
      <c r="AH16" s="57" t="str">
        <f t="shared" ref="AH16:AO16" si="1">IF(AND(W15="",AH15=1),"X","")</f>
        <v/>
      </c>
      <c r="AI16" s="57" t="str">
        <f t="shared" si="1"/>
        <v/>
      </c>
      <c r="AJ16" s="57" t="str">
        <f t="shared" si="1"/>
        <v/>
      </c>
      <c r="AK16" s="57" t="str">
        <f t="shared" si="1"/>
        <v/>
      </c>
      <c r="AL16" s="57" t="str">
        <f t="shared" si="1"/>
        <v/>
      </c>
      <c r="AM16" s="57" t="str">
        <f t="shared" si="1"/>
        <v/>
      </c>
      <c r="AN16" s="57" t="str">
        <f t="shared" si="1"/>
        <v/>
      </c>
      <c r="AO16" s="57" t="str">
        <f t="shared" si="1"/>
        <v/>
      </c>
    </row>
    <row r="17" spans="1:32" s="57" customFormat="1" ht="13.7" customHeight="1" thickTop="1" x14ac:dyDescent="0.2">
      <c r="A17" s="630"/>
      <c r="B17" s="1133"/>
      <c r="C17" s="621"/>
      <c r="D17" s="621"/>
      <c r="E17" s="621"/>
      <c r="F17" s="621"/>
      <c r="G17" s="621"/>
      <c r="H17" s="618"/>
      <c r="I17" s="619"/>
      <c r="J17" s="630"/>
      <c r="K17" s="868" t="str">
        <f>RIGHT(K12,2)</f>
        <v>20</v>
      </c>
      <c r="L17" s="630"/>
      <c r="M17" s="638" t="str">
        <f>IF(Dados!$E$3="","",IF(SUM(M18:M45)=0,0,SUM(M18:M45)))</f>
        <v/>
      </c>
      <c r="N17" s="643" t="str">
        <f>IF(M17="","",$U$49)</f>
        <v/>
      </c>
      <c r="O17" s="630" t="s">
        <v>1385</v>
      </c>
      <c r="P17" s="630" t="s">
        <v>1385</v>
      </c>
      <c r="Q17" s="630" t="str">
        <f t="shared" ref="Q17:Q28" si="2">IF(O17=0,"",O17)</f>
        <v/>
      </c>
      <c r="R17" s="630" t="str">
        <f t="shared" ref="R17:R28" si="3">IF(P17=0,"",P17)</f>
        <v/>
      </c>
      <c r="S17" s="630"/>
      <c r="T17" s="630"/>
      <c r="U17" s="743" t="s">
        <v>440</v>
      </c>
      <c r="V17" s="744" t="str">
        <f>IF(Dados!$E$3="","",SUM(V14,V16))</f>
        <v/>
      </c>
      <c r="W17" s="744" t="str">
        <f>IF(Dados!$E$3="","",SUM(W14,W16))</f>
        <v/>
      </c>
      <c r="X17" s="744" t="str">
        <f>IF(Dados!$E$3="","",SUM(X14,X16))</f>
        <v/>
      </c>
      <c r="Y17" s="744" t="str">
        <f>IF(Dados!$E$3="","",SUM(Y14,Y16))</f>
        <v/>
      </c>
      <c r="Z17" s="744" t="str">
        <f>IF(Dados!$E$3="","",SUM(Z14,Z16))</f>
        <v/>
      </c>
      <c r="AA17" s="744" t="str">
        <f>IF(Dados!$E$3="","",SUM(AA14,AA16))</f>
        <v/>
      </c>
      <c r="AB17" s="744" t="str">
        <f>IF(Dados!$E$3="","",SUM(AB14,AB16))</f>
        <v/>
      </c>
      <c r="AC17" s="744" t="str">
        <f>IF(Dados!$E$3="","",SUM(AC14,AC16))</f>
        <v/>
      </c>
      <c r="AD17" s="744" t="str">
        <f>IF(Dados!$E$3="","",SUM(AD14,AD16))</f>
        <v/>
      </c>
      <c r="AE17" s="744" t="str">
        <f>IF(Dados!$E$3="","",SUM(AE14,AE16))</f>
        <v/>
      </c>
      <c r="AF17" s="630"/>
    </row>
    <row r="18" spans="1:32" s="57" customFormat="1" ht="13.7" customHeight="1" x14ac:dyDescent="0.2">
      <c r="A18" s="630"/>
      <c r="B18" s="622" t="str">
        <f>IF(B16="","",IF(B16=0,"",IF(B16=1,"Dia","Dias")))</f>
        <v/>
      </c>
      <c r="C18" s="621"/>
      <c r="D18" s="621"/>
      <c r="E18" s="621"/>
      <c r="F18" s="621"/>
      <c r="G18" s="621"/>
      <c r="H18" s="618"/>
      <c r="I18" s="619"/>
      <c r="J18" s="630"/>
      <c r="K18" s="868" t="str">
        <f>LEFT(K13,2)</f>
        <v>01</v>
      </c>
      <c r="L18" s="630"/>
      <c r="M18" s="638" t="str">
        <f>IF(Dados!$E$3="","",IF(Despesas!$KF6=0,0,Despesas!$KF6))</f>
        <v/>
      </c>
      <c r="N18" s="642" t="str">
        <f>IF(M18="","",$U$50)</f>
        <v/>
      </c>
      <c r="O18" s="632" t="s">
        <v>1385</v>
      </c>
      <c r="P18" s="632" t="s">
        <v>1385</v>
      </c>
      <c r="Q18" s="630" t="str">
        <f t="shared" si="2"/>
        <v/>
      </c>
      <c r="R18" s="630" t="str">
        <f t="shared" si="3"/>
        <v/>
      </c>
      <c r="S18" s="630"/>
      <c r="T18" s="630"/>
      <c r="U18" s="648"/>
      <c r="V18" s="648"/>
      <c r="W18" s="648"/>
      <c r="X18" s="648"/>
      <c r="Y18" s="648"/>
      <c r="Z18" s="648"/>
      <c r="AA18" s="648"/>
      <c r="AB18" s="648"/>
      <c r="AC18" s="648"/>
      <c r="AD18" s="648"/>
      <c r="AE18" s="648"/>
      <c r="AF18" s="630"/>
    </row>
    <row r="19" spans="1:32" s="57" customFormat="1" ht="13.7" customHeight="1" x14ac:dyDescent="0.2">
      <c r="A19" s="630"/>
      <c r="B19" s="622" t="str">
        <f>IF(B16="","",IF(B21&gt;S13,"para encerrar",IF(B21&lt;S13,"Contate sua DRE")))</f>
        <v/>
      </c>
      <c r="C19" s="621"/>
      <c r="D19" s="621"/>
      <c r="E19" s="621"/>
      <c r="F19" s="621"/>
      <c r="G19" s="621"/>
      <c r="H19" s="618"/>
      <c r="I19" s="619"/>
      <c r="J19" s="630"/>
      <c r="K19" s="868" t="s">
        <v>1379</v>
      </c>
      <c r="L19" s="630"/>
      <c r="M19" s="638" t="str">
        <f>IF(Dados!$E$3="","",IF(Despesas!$KF7=0,0,Despesas!$KF7))</f>
        <v/>
      </c>
      <c r="N19" s="642" t="str">
        <f>IF(M19="","",$U$51)</f>
        <v/>
      </c>
      <c r="O19" s="632" t="s">
        <v>1385</v>
      </c>
      <c r="P19" s="632" t="s">
        <v>1385</v>
      </c>
      <c r="Q19" s="630" t="str">
        <f t="shared" si="2"/>
        <v/>
      </c>
      <c r="R19" s="630" t="str">
        <f t="shared" si="3"/>
        <v/>
      </c>
      <c r="S19" s="630"/>
      <c r="T19" s="630"/>
      <c r="U19" s="648"/>
      <c r="V19" s="648"/>
      <c r="W19" s="648"/>
      <c r="X19" s="648"/>
      <c r="Y19" s="648"/>
      <c r="Z19" s="648"/>
      <c r="AA19" s="648"/>
      <c r="AB19" s="648"/>
      <c r="AC19" s="648"/>
      <c r="AD19" s="648"/>
      <c r="AE19" s="648"/>
      <c r="AF19" s="630"/>
    </row>
    <row r="20" spans="1:32" s="57" customFormat="1" ht="13.7" customHeight="1" x14ac:dyDescent="0.2">
      <c r="A20" s="630"/>
      <c r="B20" s="622" t="str">
        <f>IF(B16="","",IF(B21&gt;S13,"a prestação",IF(B21&lt;S13,"URGENTE")))</f>
        <v/>
      </c>
      <c r="C20" s="621"/>
      <c r="D20" s="621"/>
      <c r="E20" s="621"/>
      <c r="F20" s="621"/>
      <c r="G20" s="621"/>
      <c r="H20" s="618"/>
      <c r="I20" s="619"/>
      <c r="J20" s="630"/>
      <c r="K20" s="869" t="s">
        <v>1378</v>
      </c>
      <c r="L20" s="630"/>
      <c r="M20" s="638" t="str">
        <f>IF(Dados!$E$3="","",IF(Despesas!$KF8=0,0,Despesas!$KF8))</f>
        <v/>
      </c>
      <c r="N20" s="642" t="str">
        <f>IF(M20="","",$U$52)</f>
        <v/>
      </c>
      <c r="O20" s="630" t="s">
        <v>1385</v>
      </c>
      <c r="P20" s="630" t="s">
        <v>1385</v>
      </c>
      <c r="Q20" s="630" t="str">
        <f t="shared" si="2"/>
        <v/>
      </c>
      <c r="R20" s="630" t="str">
        <f t="shared" si="3"/>
        <v/>
      </c>
      <c r="S20" s="630"/>
      <c r="T20" s="630"/>
      <c r="U20" s="1126" t="s">
        <v>1082</v>
      </c>
      <c r="V20" s="1127"/>
      <c r="W20" s="1127"/>
      <c r="X20" s="1127"/>
      <c r="Y20" s="1127"/>
      <c r="Z20" s="1127"/>
      <c r="AA20" s="1127"/>
      <c r="AB20" s="1127"/>
      <c r="AC20" s="1127"/>
      <c r="AD20" s="1127"/>
      <c r="AE20" s="1128"/>
      <c r="AF20" s="630"/>
    </row>
    <row r="21" spans="1:32" s="57" customFormat="1" ht="13.7" customHeight="1" x14ac:dyDescent="0.2">
      <c r="A21" s="630"/>
      <c r="B21" s="624" t="str">
        <f>IF(Dados!I9="","",Dados!I9+7)</f>
        <v/>
      </c>
      <c r="C21" s="625"/>
      <c r="D21" s="625"/>
      <c r="E21" s="625"/>
      <c r="F21" s="621"/>
      <c r="G21" s="621"/>
      <c r="H21" s="618"/>
      <c r="I21" s="619"/>
      <c r="J21" s="630"/>
      <c r="K21" s="870">
        <f>K12</f>
        <v>2020</v>
      </c>
      <c r="L21" s="630"/>
      <c r="M21" s="638" t="str">
        <f>IF(Dados!$E$3="","",IF(Despesas!$KF9=0,0,Despesas!$KF9))</f>
        <v/>
      </c>
      <c r="N21" s="642" t="str">
        <f>IF(M21="","",$U$53)</f>
        <v/>
      </c>
      <c r="O21" s="632" t="s">
        <v>1385</v>
      </c>
      <c r="P21" s="632" t="s">
        <v>1385</v>
      </c>
      <c r="Q21" s="630" t="str">
        <f t="shared" si="2"/>
        <v/>
      </c>
      <c r="R21" s="630" t="str">
        <f t="shared" si="3"/>
        <v/>
      </c>
      <c r="S21" s="630"/>
      <c r="T21" s="630"/>
      <c r="U21" s="936" t="str">
        <f>$U$12</f>
        <v>Tipo de Despesas</v>
      </c>
      <c r="V21" s="937" t="str">
        <f>$V$12</f>
        <v>Básico</v>
      </c>
      <c r="W21" s="944" t="str">
        <f>$W$12</f>
        <v>Volta às Aulas</v>
      </c>
      <c r="X21" s="939" t="str">
        <f>$X$12</f>
        <v>Fazendo Futuro</v>
      </c>
      <c r="Y21" s="946" t="str">
        <f>$Y$12</f>
        <v>Rolê Cultural</v>
      </c>
      <c r="Z21" s="941" t="str">
        <f>$Z$12</f>
        <v>Imprensa Jovem</v>
      </c>
      <c r="AA21" s="942" t="str">
        <f>$AA$12</f>
        <v>Grêmio</v>
      </c>
      <c r="AB21" s="981" t="str">
        <f>$AB$12</f>
        <v>Formação</v>
      </c>
      <c r="AC21" s="980" t="str">
        <f>$AC$12</f>
        <v>Mais Escola</v>
      </c>
      <c r="AD21" s="982" t="str">
        <f>$AD$12</f>
        <v>Livre Aplic.</v>
      </c>
      <c r="AE21" s="936" t="str">
        <f>$AE$12</f>
        <v>Total</v>
      </c>
      <c r="AF21" s="630"/>
    </row>
    <row r="22" spans="1:32" s="57" customFormat="1" ht="13.7" customHeight="1" x14ac:dyDescent="0.2">
      <c r="A22" s="630"/>
      <c r="B22" s="626"/>
      <c r="C22" s="625"/>
      <c r="D22" s="625"/>
      <c r="E22" s="625"/>
      <c r="F22" s="621"/>
      <c r="G22" s="621"/>
      <c r="H22" s="618"/>
      <c r="I22" s="619"/>
      <c r="J22" s="630"/>
      <c r="K22" s="869" t="str">
        <f>K13</f>
        <v>01_REPASSE</v>
      </c>
      <c r="L22" s="630"/>
      <c r="M22" s="638" t="str">
        <f>IF(Dados!$E$3="","",IF(Despesas!$KF10=0,0,Despesas!$KF10))</f>
        <v/>
      </c>
      <c r="N22" s="642" t="str">
        <f>IF(M22="","",$U$54)</f>
        <v/>
      </c>
      <c r="O22" s="632" t="s">
        <v>1385</v>
      </c>
      <c r="P22" s="632" t="s">
        <v>1385</v>
      </c>
      <c r="Q22" s="630" t="str">
        <f t="shared" si="2"/>
        <v/>
      </c>
      <c r="R22" s="630" t="str">
        <f t="shared" si="3"/>
        <v/>
      </c>
      <c r="S22" s="630"/>
      <c r="T22" s="630"/>
      <c r="U22" s="734" t="str">
        <f>$U$14</f>
        <v>R$ - Custeio</v>
      </c>
      <c r="V22" s="735" t="str">
        <f>IF(Dados!$E$3="","",Despesas!$AL$18)</f>
        <v/>
      </c>
      <c r="W22" s="735" t="str">
        <f>IF(Dados!$E$3="","",Despesas!$AL$34)</f>
        <v/>
      </c>
      <c r="X22" s="735" t="str">
        <f>IF(Dados!$E$3="","",Despesas!$AL$50)</f>
        <v/>
      </c>
      <c r="Y22" s="735" t="str">
        <f>IF(Dados!$E$3="","",Despesas!$AL$66)</f>
        <v/>
      </c>
      <c r="Z22" s="735" t="str">
        <f>IF(Dados!$E$3="","",Despesas!$AL$82)</f>
        <v/>
      </c>
      <c r="AA22" s="735" t="str">
        <f>IF(Dados!$E$3="","",Despesas!$AL$98)</f>
        <v/>
      </c>
      <c r="AB22" s="735" t="str">
        <f>IF(Dados!$E$3="","",Despesas!$AL$114)</f>
        <v/>
      </c>
      <c r="AC22" s="735" t="str">
        <f>IF(Dados!$E$3="","",Despesas!$AL$130)</f>
        <v/>
      </c>
      <c r="AD22" s="735" t="str">
        <f>IF(Dados!$E$3="","",Despesas!$AL$146)</f>
        <v/>
      </c>
      <c r="AE22" s="735" t="str">
        <f>IF(Dados!$E$3="","",SUM(V22:AD22))</f>
        <v/>
      </c>
      <c r="AF22" s="630"/>
    </row>
    <row r="23" spans="1:32" s="57" customFormat="1" ht="13.5" customHeight="1" thickBot="1" x14ac:dyDescent="0.25">
      <c r="A23" s="650" t="str">
        <f>Dados!$G$9</f>
        <v/>
      </c>
      <c r="B23" s="627" t="s">
        <v>15078</v>
      </c>
      <c r="C23" s="628">
        <v>43617</v>
      </c>
      <c r="D23" s="629"/>
      <c r="E23" s="628">
        <v>43460</v>
      </c>
      <c r="F23" s="623"/>
      <c r="G23" s="623"/>
      <c r="H23" s="618"/>
      <c r="I23" s="619"/>
      <c r="J23" s="630"/>
      <c r="K23" s="869" t="str">
        <f>K14&amp;K19&amp;K18&amp;K19&amp;K17</f>
        <v>_01_20</v>
      </c>
      <c r="L23" s="630"/>
      <c r="M23" s="638" t="str">
        <f>IF(Dados!$E$3="","",IF(Despesas!$KF11=0,0,Despesas!$KF11))</f>
        <v/>
      </c>
      <c r="N23" s="642" t="str">
        <f>IF(M23="","",$U$55)</f>
        <v/>
      </c>
      <c r="O23" s="632" t="s">
        <v>1385</v>
      </c>
      <c r="P23" s="632" t="s">
        <v>1385</v>
      </c>
      <c r="Q23" s="630" t="str">
        <f t="shared" si="2"/>
        <v/>
      </c>
      <c r="R23" s="630" t="str">
        <f t="shared" si="3"/>
        <v/>
      </c>
      <c r="S23" s="724">
        <f>Dados!$K$3</f>
        <v>0</v>
      </c>
      <c r="T23" s="630"/>
      <c r="U23" s="738" t="str">
        <f>$U$16</f>
        <v>R$ - Capital</v>
      </c>
      <c r="V23" s="737" t="str">
        <f>IF(Dados!$E$3="","",Despesas!$AM$18)</f>
        <v/>
      </c>
      <c r="W23" s="737" t="str">
        <f>IF(Dados!$E$3="","",Despesas!$AM$34)</f>
        <v/>
      </c>
      <c r="X23" s="737" t="str">
        <f>IF(Dados!$E$3="","",Despesas!$AM$50)</f>
        <v/>
      </c>
      <c r="Y23" s="737" t="str">
        <f>IF(Dados!$E$3="","",Despesas!$AM$66)</f>
        <v/>
      </c>
      <c r="Z23" s="737" t="str">
        <f>IF(Dados!$E$3="","",Despesas!$AM$82)</f>
        <v/>
      </c>
      <c r="AA23" s="737" t="str">
        <f>IF(Dados!$E$3="","",Despesas!$AM$98)</f>
        <v/>
      </c>
      <c r="AB23" s="737" t="str">
        <f>IF(Dados!$E$3="","",Despesas!$AM$114)</f>
        <v/>
      </c>
      <c r="AC23" s="737" t="str">
        <f>IF(Dados!$E$3="","",Despesas!$AM$130)</f>
        <v/>
      </c>
      <c r="AD23" s="737" t="str">
        <f>IF(Dados!$E$3="","",Despesas!$AM$146)</f>
        <v/>
      </c>
      <c r="AE23" s="737" t="str">
        <f>IF(Dados!$E$3="","",SUM(V23:AD23))</f>
        <v/>
      </c>
      <c r="AF23" s="630"/>
    </row>
    <row r="24" spans="1:32" s="57" customFormat="1" ht="13.5" customHeight="1" thickTop="1" x14ac:dyDescent="0.2">
      <c r="A24" s="650" t="str">
        <f>Dados!$I$9</f>
        <v/>
      </c>
      <c r="B24" s="627" t="s">
        <v>15079</v>
      </c>
      <c r="C24" s="628">
        <v>43708</v>
      </c>
      <c r="D24" s="629"/>
      <c r="E24" s="629"/>
      <c r="F24" s="623"/>
      <c r="G24" s="623"/>
      <c r="H24" s="618"/>
      <c r="I24" s="619"/>
      <c r="J24" s="630"/>
      <c r="K24" s="869" t="str">
        <f>N4</f>
        <v>FALSO</v>
      </c>
      <c r="L24" s="630"/>
      <c r="M24" s="638" t="str">
        <f>IF(Dados!$E$3="","",IF(Despesas!$KF12=0,0,Despesas!$KF12))</f>
        <v/>
      </c>
      <c r="N24" s="642" t="str">
        <f>IF(M24="","",$U$56)</f>
        <v/>
      </c>
      <c r="O24" s="638" t="s">
        <v>1385</v>
      </c>
      <c r="P24" s="642" t="s">
        <v>1385</v>
      </c>
      <c r="Q24" s="630" t="str">
        <f t="shared" si="2"/>
        <v/>
      </c>
      <c r="R24" s="630" t="str">
        <f t="shared" si="3"/>
        <v/>
      </c>
      <c r="S24" s="630"/>
      <c r="T24" s="630"/>
      <c r="U24" s="743" t="str">
        <f>$U$17</f>
        <v>Total</v>
      </c>
      <c r="V24" s="744" t="str">
        <f>IF(Dados!$E$3="","",SUM(V22:V23))</f>
        <v/>
      </c>
      <c r="W24" s="744" t="str">
        <f>IF(Dados!$E$3="","",SUM(W22:W23))</f>
        <v/>
      </c>
      <c r="X24" s="744" t="str">
        <f>IF(Dados!$E$3="","",SUM(X22:X23))</f>
        <v/>
      </c>
      <c r="Y24" s="744" t="str">
        <f>IF(Dados!$E$3="","",SUM(Y22:Y23))</f>
        <v/>
      </c>
      <c r="Z24" s="744" t="str">
        <f>IF(Dados!$E$3="","",SUM(Z22:Z23))</f>
        <v/>
      </c>
      <c r="AA24" s="744" t="str">
        <f>IF(Dados!$E$3="","",SUM(AA22:AA23))</f>
        <v/>
      </c>
      <c r="AB24" s="744" t="str">
        <f>IF(Dados!$E$3="","",SUM(AB22:AB23))</f>
        <v/>
      </c>
      <c r="AC24" s="744" t="str">
        <f>IF(Dados!$E$3="","",SUM(AC22:AC23))</f>
        <v/>
      </c>
      <c r="AD24" s="744" t="str">
        <f>IF(Dados!$E$3="","",SUM(AD22:AD23))</f>
        <v/>
      </c>
      <c r="AE24" s="744" t="str">
        <f>IF(Dados!$E$3="","",SUM(AE22:AE23))</f>
        <v/>
      </c>
      <c r="AF24" s="630"/>
    </row>
    <row r="25" spans="1:32" s="57" customFormat="1" ht="26.25" customHeight="1" thickBot="1" x14ac:dyDescent="0.25">
      <c r="A25" s="630"/>
      <c r="B25" s="611" t="str">
        <f>IF(Dados!$H$2="","",Dados!$H$2)</f>
        <v/>
      </c>
      <c r="C25" s="612" t="str">
        <f>IF(Dados!$E$3="","","Período")</f>
        <v/>
      </c>
      <c r="D25" s="612" t="str">
        <f>IF(Dados!$E$3="","","de")</f>
        <v/>
      </c>
      <c r="E25" s="613" t="str">
        <f>Dados!$G$9</f>
        <v/>
      </c>
      <c r="F25" s="614" t="str">
        <f>IF(Dados!$E$3="","","a")</f>
        <v/>
      </c>
      <c r="G25" s="615" t="str">
        <f>Dados!$I$9</f>
        <v/>
      </c>
      <c r="H25" s="1105" t="s">
        <v>15217</v>
      </c>
      <c r="I25" s="1106"/>
      <c r="J25" s="630"/>
      <c r="K25" s="630"/>
      <c r="L25" s="630"/>
      <c r="M25" s="638" t="str">
        <f>IF(Dados!$E$3="","",IF(Despesas!$KF13=0,0,Despesas!$KF13))</f>
        <v/>
      </c>
      <c r="N25" s="642" t="str">
        <f>IF(M25="","",$U$57)</f>
        <v/>
      </c>
      <c r="O25" s="630" t="s">
        <v>1385</v>
      </c>
      <c r="P25" s="630" t="s">
        <v>1385</v>
      </c>
      <c r="Q25" s="630" t="str">
        <f t="shared" si="2"/>
        <v/>
      </c>
      <c r="R25" s="630" t="str">
        <f t="shared" si="3"/>
        <v/>
      </c>
      <c r="S25" s="630"/>
      <c r="T25" s="630"/>
      <c r="U25" s="648"/>
      <c r="V25" s="648"/>
      <c r="W25" s="648"/>
      <c r="X25" s="648"/>
      <c r="Y25" s="648"/>
      <c r="Z25" s="648"/>
      <c r="AA25" s="648"/>
      <c r="AB25" s="648"/>
      <c r="AC25" s="648"/>
      <c r="AD25" s="648"/>
      <c r="AE25" s="648"/>
      <c r="AF25" s="630"/>
    </row>
    <row r="26" spans="1:32" s="57" customFormat="1" ht="15" hidden="1" customHeight="1" x14ac:dyDescent="0.2">
      <c r="A26" s="630"/>
      <c r="B26" s="644"/>
      <c r="C26" s="1109"/>
      <c r="D26" s="1109"/>
      <c r="E26" s="1109"/>
      <c r="F26" s="1109"/>
      <c r="G26" s="1109"/>
      <c r="H26" s="1110"/>
      <c r="I26" s="1110"/>
      <c r="J26" s="630"/>
      <c r="K26" s="637" t="str">
        <f>IF(Dados!$E$3="","",IF(Despesas!$H$3=160,0,"BBB"))</f>
        <v/>
      </c>
      <c r="L26" s="630" t="str">
        <f>IF(Dados!$E$3="","",IF(M10="",0,IF(M10=0,0,"AAA")))</f>
        <v/>
      </c>
      <c r="M26" s="638" t="str">
        <f>IF(Dados!$E$3="","",IF(Despesas!$KF14=0,0,Despesas!$KF14))</f>
        <v/>
      </c>
      <c r="N26" s="642" t="str">
        <f>IF(M26="","",$U$58)</f>
        <v/>
      </c>
      <c r="O26" s="630" t="s">
        <v>1385</v>
      </c>
      <c r="P26" s="630" t="s">
        <v>1385</v>
      </c>
      <c r="Q26" s="630" t="str">
        <f t="shared" si="2"/>
        <v/>
      </c>
      <c r="R26" s="630" t="str">
        <f t="shared" si="3"/>
        <v/>
      </c>
      <c r="S26" s="630"/>
      <c r="T26" s="630"/>
      <c r="U26" s="648"/>
      <c r="V26" s="648"/>
      <c r="W26" s="648"/>
      <c r="X26" s="648"/>
      <c r="Y26" s="648"/>
      <c r="Z26" s="648"/>
      <c r="AA26" s="648"/>
      <c r="AB26" s="648"/>
      <c r="AC26" s="648"/>
      <c r="AD26" s="648"/>
      <c r="AE26" s="648"/>
      <c r="AF26" s="630"/>
    </row>
    <row r="27" spans="1:32" s="293" customFormat="1" ht="15" hidden="1" customHeight="1" x14ac:dyDescent="0.2">
      <c r="A27" s="632"/>
      <c r="B27" s="1107"/>
      <c r="C27" s="1107"/>
      <c r="D27" s="1107"/>
      <c r="E27" s="1107"/>
      <c r="F27" s="1107"/>
      <c r="G27" s="1107"/>
      <c r="H27" s="1107"/>
      <c r="I27" s="1107"/>
      <c r="J27" s="632"/>
      <c r="K27" s="632"/>
      <c r="L27" s="632"/>
      <c r="M27" s="638" t="str">
        <f>IF(Dados!$E$3="","",IF(Despesas!$KF15=0,0,Despesas!$KF15))</f>
        <v/>
      </c>
      <c r="N27" s="642" t="str">
        <f>IF(M27="","",$U$59)</f>
        <v/>
      </c>
      <c r="O27" s="630" t="s">
        <v>1385</v>
      </c>
      <c r="P27" s="630" t="s">
        <v>1385</v>
      </c>
      <c r="Q27" s="630" t="str">
        <f t="shared" si="2"/>
        <v/>
      </c>
      <c r="R27" s="630" t="str">
        <f t="shared" si="3"/>
        <v/>
      </c>
      <c r="S27" s="632"/>
      <c r="T27" s="632"/>
      <c r="U27" s="648"/>
      <c r="V27" s="648"/>
      <c r="W27" s="648"/>
      <c r="X27" s="648"/>
      <c r="Y27" s="648"/>
      <c r="Z27" s="648"/>
      <c r="AA27" s="648"/>
      <c r="AB27" s="648"/>
      <c r="AC27" s="648"/>
      <c r="AD27" s="648"/>
      <c r="AE27" s="648"/>
      <c r="AF27" s="630"/>
    </row>
    <row r="28" spans="1:32" s="293" customFormat="1" ht="22.5" hidden="1" customHeight="1" x14ac:dyDescent="0.2">
      <c r="A28" s="632"/>
      <c r="B28" s="1108"/>
      <c r="C28" s="1108"/>
      <c r="D28" s="1108"/>
      <c r="E28" s="1108"/>
      <c r="F28" s="1108"/>
      <c r="G28" s="1108"/>
      <c r="H28" s="1108"/>
      <c r="I28" s="1108"/>
      <c r="J28" s="632"/>
      <c r="K28" s="632"/>
      <c r="L28" s="632"/>
      <c r="M28" s="638" t="str">
        <f>IF(Dados!$E$3="","",IF(Despesas!$KF16=0,0,Despesas!$KF16))</f>
        <v/>
      </c>
      <c r="N28" s="642" t="str">
        <f>IF(M28="","",$U$60)</f>
        <v/>
      </c>
      <c r="O28" s="630" t="s">
        <v>1385</v>
      </c>
      <c r="P28" s="630" t="s">
        <v>1385</v>
      </c>
      <c r="Q28" s="630" t="str">
        <f t="shared" si="2"/>
        <v/>
      </c>
      <c r="R28" s="630" t="str">
        <f t="shared" si="3"/>
        <v/>
      </c>
      <c r="S28" s="632"/>
      <c r="T28" s="632"/>
      <c r="U28" s="630"/>
      <c r="V28" s="630"/>
      <c r="W28" s="630"/>
      <c r="X28" s="630"/>
      <c r="Y28" s="630"/>
      <c r="Z28" s="630"/>
      <c r="AA28" s="632"/>
      <c r="AB28" s="632"/>
      <c r="AC28" s="632"/>
      <c r="AD28" s="632"/>
      <c r="AE28" s="630"/>
      <c r="AF28" s="630"/>
    </row>
    <row r="29" spans="1:32" s="293" customFormat="1" hidden="1" x14ac:dyDescent="0.2">
      <c r="A29" s="633" t="s">
        <v>428</v>
      </c>
      <c r="B29" s="645">
        <f>Despesas!$DE$3+Despesas!$DI$3</f>
        <v>0</v>
      </c>
      <c r="C29" s="633" t="s">
        <v>431</v>
      </c>
      <c r="D29" s="633" t="s">
        <v>433</v>
      </c>
      <c r="E29" s="633" t="s">
        <v>435</v>
      </c>
      <c r="F29" s="632"/>
      <c r="G29" s="632"/>
      <c r="H29" s="632"/>
      <c r="I29" s="632"/>
      <c r="J29" s="632"/>
      <c r="K29" s="632"/>
      <c r="L29" s="632"/>
      <c r="M29" s="638" t="str">
        <f>IF(Dados!$E$3="","",IF(Despesas!$KF17=0,0,Despesas!$KF17))</f>
        <v/>
      </c>
      <c r="N29" s="642" t="str">
        <f>IF(M29="","",$U$61)</f>
        <v/>
      </c>
      <c r="O29" s="630" t="s">
        <v>1385</v>
      </c>
      <c r="P29" s="630" t="s">
        <v>1385</v>
      </c>
      <c r="Q29" s="630" t="str">
        <f t="shared" ref="Q29:Q45" si="4">IF(O29=0,"",O29)</f>
        <v/>
      </c>
      <c r="R29" s="630" t="str">
        <f t="shared" ref="R29:R45" si="5">IF(P29=0,"",P29)</f>
        <v/>
      </c>
      <c r="S29" s="632"/>
      <c r="T29" s="632"/>
      <c r="U29" s="632" t="s">
        <v>550</v>
      </c>
      <c r="V29" s="632"/>
      <c r="W29" s="632"/>
      <c r="X29" s="632"/>
      <c r="Y29" s="632"/>
      <c r="Z29" s="632"/>
      <c r="AA29" s="632"/>
      <c r="AB29" s="632"/>
      <c r="AC29" s="632"/>
      <c r="AD29" s="632"/>
      <c r="AE29" s="630"/>
      <c r="AF29" s="630"/>
    </row>
    <row r="30" spans="1:32" s="293" customFormat="1" hidden="1" x14ac:dyDescent="0.2">
      <c r="A30" s="633" t="s">
        <v>429</v>
      </c>
      <c r="B30" s="645">
        <f>Despesas!$DF$3+Despesas!$DJ$3</f>
        <v>0</v>
      </c>
      <c r="C30" s="633" t="s">
        <v>432</v>
      </c>
      <c r="D30" s="633" t="s">
        <v>434</v>
      </c>
      <c r="E30" s="632"/>
      <c r="F30" s="632"/>
      <c r="G30" s="632"/>
      <c r="H30" s="632"/>
      <c r="I30" s="632"/>
      <c r="J30" s="632"/>
      <c r="K30" s="632"/>
      <c r="L30" s="632"/>
      <c r="M30" s="638" t="str">
        <f>IF(Dados!$E$3="","",IF(Despesas!$KF18=0,0,Despesas!$KF18))</f>
        <v/>
      </c>
      <c r="N30" s="642" t="str">
        <f>IF(M30="","",$U$62)</f>
        <v/>
      </c>
      <c r="O30" s="630" t="s">
        <v>1385</v>
      </c>
      <c r="P30" s="630" t="s">
        <v>1385</v>
      </c>
      <c r="Q30" s="630" t="str">
        <f t="shared" si="4"/>
        <v/>
      </c>
      <c r="R30" s="630" t="str">
        <f t="shared" si="5"/>
        <v/>
      </c>
      <c r="S30" s="632"/>
      <c r="T30" s="632"/>
      <c r="U30" s="632" t="s">
        <v>551</v>
      </c>
      <c r="V30" s="632"/>
      <c r="W30" s="632"/>
      <c r="X30" s="632"/>
      <c r="Y30" s="632"/>
      <c r="Z30" s="632"/>
      <c r="AA30" s="632"/>
      <c r="AB30" s="632"/>
      <c r="AC30" s="632"/>
      <c r="AD30" s="632"/>
      <c r="AE30" s="630"/>
      <c r="AF30" s="630"/>
    </row>
    <row r="31" spans="1:32" s="293" customFormat="1" hidden="1" x14ac:dyDescent="0.2">
      <c r="A31" s="632"/>
      <c r="B31" s="645">
        <f>SUM(B29:B30)</f>
        <v>0</v>
      </c>
      <c r="C31" s="632"/>
      <c r="D31" s="632"/>
      <c r="E31" s="632"/>
      <c r="F31" s="632"/>
      <c r="G31" s="632"/>
      <c r="H31" s="632"/>
      <c r="I31" s="632"/>
      <c r="J31" s="632"/>
      <c r="K31" s="632"/>
      <c r="L31" s="632"/>
      <c r="M31" s="638" t="str">
        <f>IF(Dados!$E$3="","",IF(Despesas!$KF19=0,0,Despesas!$KF19))</f>
        <v/>
      </c>
      <c r="N31" s="642" t="str">
        <f>IF(M31="","",$U$63)</f>
        <v/>
      </c>
      <c r="O31" s="630" t="s">
        <v>1385</v>
      </c>
      <c r="P31" s="630" t="s">
        <v>1385</v>
      </c>
      <c r="Q31" s="630" t="str">
        <f t="shared" si="4"/>
        <v/>
      </c>
      <c r="R31" s="630" t="str">
        <f t="shared" si="5"/>
        <v/>
      </c>
      <c r="S31" s="632"/>
      <c r="T31" s="632"/>
      <c r="U31" s="632" t="s">
        <v>549</v>
      </c>
      <c r="V31" s="632"/>
      <c r="W31" s="632"/>
      <c r="X31" s="632"/>
      <c r="Y31" s="632"/>
      <c r="Z31" s="632"/>
      <c r="AA31" s="632"/>
      <c r="AB31" s="632"/>
      <c r="AC31" s="632"/>
      <c r="AD31" s="632"/>
      <c r="AE31" s="630"/>
      <c r="AF31" s="630"/>
    </row>
    <row r="32" spans="1:32" s="293" customFormat="1" hidden="1" x14ac:dyDescent="0.2">
      <c r="A32" s="632"/>
      <c r="B32" s="632" t="str">
        <f>IF(AND(B29=0,B30=0),"PROGRAMA DE TRANSFERÊNCIA DE RECURSOS FINANCEIROS",IF(AND(B29=0,B30=1),C30,IF(AND(B29=0,B30&gt;1),D30,IF(AND(B29=1,B30=0),C29,IF(AND(B29&gt;1,B30=0),D29,IF(AND(B29&gt;=1,B30&gt;=1),E29))))))</f>
        <v>PROGRAMA DE TRANSFERÊNCIA DE RECURSOS FINANCEIROS</v>
      </c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8" t="str">
        <f>IF(Dados!$E$3="","",IF(Despesas!$KF20=0,0,Despesas!$KF20))</f>
        <v/>
      </c>
      <c r="N32" s="642" t="str">
        <f>IF(M32="","",$U$64)</f>
        <v/>
      </c>
      <c r="O32" s="630" t="s">
        <v>1385</v>
      </c>
      <c r="P32" s="630" t="s">
        <v>1385</v>
      </c>
      <c r="Q32" s="630" t="str">
        <f t="shared" si="4"/>
        <v/>
      </c>
      <c r="R32" s="630" t="str">
        <f t="shared" si="5"/>
        <v/>
      </c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0"/>
      <c r="AF32" s="630"/>
    </row>
    <row r="33" spans="1:32" s="293" customFormat="1" hidden="1" x14ac:dyDescent="0.2">
      <c r="A33" s="632"/>
      <c r="B33" s="633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8" t="str">
        <f>IF(Dados!$E$3="","",IF(Despesas!$KF21=0,0,Despesas!$KF21))</f>
        <v/>
      </c>
      <c r="N33" s="642" t="str">
        <f>IF(M33="","",$U$65)</f>
        <v/>
      </c>
      <c r="O33" s="632" t="s">
        <v>1385</v>
      </c>
      <c r="P33" s="632" t="s">
        <v>1385</v>
      </c>
      <c r="Q33" s="630" t="str">
        <f t="shared" si="4"/>
        <v/>
      </c>
      <c r="R33" s="630" t="str">
        <f t="shared" si="5"/>
        <v/>
      </c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0"/>
      <c r="AF33" s="630"/>
    </row>
    <row r="34" spans="1:32" s="293" customFormat="1" hidden="1" x14ac:dyDescent="0.2">
      <c r="A34" s="632"/>
      <c r="B34" s="632"/>
      <c r="C34" s="632"/>
      <c r="D34" s="632"/>
      <c r="E34" s="632"/>
      <c r="F34" s="632"/>
      <c r="G34" s="632"/>
      <c r="H34" s="632"/>
      <c r="I34" s="632"/>
      <c r="J34" s="632"/>
      <c r="K34" s="632"/>
      <c r="L34" s="632"/>
      <c r="M34" s="638" t="str">
        <f>IF(Dados!$E$3="","",IF(Despesas!$KF22=0,0,Despesas!$KF22))</f>
        <v/>
      </c>
      <c r="N34" s="642" t="str">
        <f>IF(M34="","",$U$66)</f>
        <v/>
      </c>
      <c r="O34" s="632" t="s">
        <v>1385</v>
      </c>
      <c r="P34" s="632" t="s">
        <v>1385</v>
      </c>
      <c r="Q34" s="630" t="str">
        <f t="shared" si="4"/>
        <v/>
      </c>
      <c r="R34" s="630" t="str">
        <f t="shared" si="5"/>
        <v/>
      </c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0"/>
      <c r="AF34" s="630"/>
    </row>
    <row r="35" spans="1:32" s="293" customFormat="1" hidden="1" x14ac:dyDescent="0.2">
      <c r="A35" s="632"/>
      <c r="B35" s="632" t="s">
        <v>449</v>
      </c>
      <c r="C35" s="632" t="s">
        <v>181</v>
      </c>
      <c r="D35" s="632"/>
      <c r="E35" s="632"/>
      <c r="F35" s="632"/>
      <c r="G35" s="646"/>
      <c r="H35" s="632"/>
      <c r="I35" s="632"/>
      <c r="J35" s="632"/>
      <c r="K35" s="632"/>
      <c r="L35" s="632"/>
      <c r="M35" s="638" t="str">
        <f>IF(Dados!$E$3="","",IF(Despesas!$KF23=0,0,Despesas!$KF23))</f>
        <v/>
      </c>
      <c r="N35" s="642" t="str">
        <f>IF(M35="","",$U$67)</f>
        <v/>
      </c>
      <c r="O35" s="632" t="s">
        <v>1385</v>
      </c>
      <c r="P35" s="632" t="s">
        <v>1385</v>
      </c>
      <c r="Q35" s="630" t="str">
        <f t="shared" si="4"/>
        <v/>
      </c>
      <c r="R35" s="630" t="str">
        <f t="shared" si="5"/>
        <v/>
      </c>
      <c r="S35" s="632"/>
      <c r="T35" s="632"/>
      <c r="U35" s="632"/>
      <c r="V35" s="632"/>
      <c r="W35" s="632"/>
      <c r="X35" s="632"/>
      <c r="Y35" s="632"/>
      <c r="Z35" s="632"/>
      <c r="AA35" s="632"/>
      <c r="AB35" s="632"/>
      <c r="AC35" s="632"/>
      <c r="AD35" s="632"/>
      <c r="AE35" s="630"/>
      <c r="AF35" s="630"/>
    </row>
    <row r="36" spans="1:32" s="293" customFormat="1" hidden="1" x14ac:dyDescent="0.2">
      <c r="A36" s="632"/>
      <c r="B36" s="632"/>
      <c r="C36" s="632" t="s">
        <v>182</v>
      </c>
      <c r="D36" s="632"/>
      <c r="E36" s="632"/>
      <c r="F36" s="632"/>
      <c r="G36" s="632"/>
      <c r="H36" s="632"/>
      <c r="I36" s="632"/>
      <c r="J36" s="632"/>
      <c r="K36" s="632"/>
      <c r="L36" s="632"/>
      <c r="M36" s="638" t="str">
        <f>IF(Dados!$E$3="","",IF(Despesas!$KF24=0,0,Despesas!$KF24))</f>
        <v/>
      </c>
      <c r="N36" s="642" t="str">
        <f>IF(M36="","",$U$68)</f>
        <v/>
      </c>
      <c r="O36" s="632" t="s">
        <v>1385</v>
      </c>
      <c r="P36" s="632" t="s">
        <v>1385</v>
      </c>
      <c r="Q36" s="630" t="str">
        <f t="shared" si="4"/>
        <v/>
      </c>
      <c r="R36" s="630" t="str">
        <f t="shared" si="5"/>
        <v/>
      </c>
      <c r="S36" s="632"/>
      <c r="T36" s="632"/>
      <c r="U36" s="633" t="s">
        <v>578</v>
      </c>
      <c r="V36" s="632"/>
      <c r="W36" s="632"/>
      <c r="X36" s="632"/>
      <c r="Y36" s="632"/>
      <c r="Z36" s="632"/>
      <c r="AA36" s="632"/>
      <c r="AB36" s="632"/>
      <c r="AC36" s="632"/>
      <c r="AD36" s="632"/>
      <c r="AE36" s="630"/>
      <c r="AF36" s="630"/>
    </row>
    <row r="37" spans="1:32" s="293" customFormat="1" hidden="1" x14ac:dyDescent="0.2">
      <c r="A37" s="632"/>
      <c r="B37" s="632"/>
      <c r="C37" s="632" t="s">
        <v>450</v>
      </c>
      <c r="D37" s="632"/>
      <c r="E37" s="632"/>
      <c r="F37" s="632"/>
      <c r="G37" s="632"/>
      <c r="H37" s="632"/>
      <c r="I37" s="632"/>
      <c r="J37" s="632"/>
      <c r="K37" s="632"/>
      <c r="L37" s="632"/>
      <c r="M37" s="638" t="str">
        <f>IF(Dados!$E$3="","",IF(Despesas!$KF25=0,0,Despesas!$KF25))</f>
        <v/>
      </c>
      <c r="N37" s="642" t="str">
        <f>IF(M37="","",$U$69)</f>
        <v/>
      </c>
      <c r="O37" s="632" t="s">
        <v>1385</v>
      </c>
      <c r="P37" s="632" t="s">
        <v>1385</v>
      </c>
      <c r="Q37" s="630" t="str">
        <f t="shared" si="4"/>
        <v/>
      </c>
      <c r="R37" s="630" t="str">
        <f t="shared" si="5"/>
        <v/>
      </c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0"/>
      <c r="AF37" s="630"/>
    </row>
    <row r="38" spans="1:32" s="293" customFormat="1" hidden="1" x14ac:dyDescent="0.2">
      <c r="A38" s="632"/>
      <c r="B38" s="632"/>
      <c r="C38" s="632"/>
      <c r="D38" s="632"/>
      <c r="E38" s="632"/>
      <c r="F38" s="632"/>
      <c r="G38" s="632"/>
      <c r="H38" s="632"/>
      <c r="I38" s="632"/>
      <c r="J38" s="633" t="s">
        <v>491</v>
      </c>
      <c r="K38" s="632"/>
      <c r="L38" s="632"/>
      <c r="M38" s="638" t="str">
        <f>IF(Dados!$E$3="","",IF(Despesas!$KF26=0,0,Despesas!$KF26))</f>
        <v/>
      </c>
      <c r="N38" s="642" t="str">
        <f>IF(M38="","",$U$70)</f>
        <v/>
      </c>
      <c r="O38" s="632" t="s">
        <v>1385</v>
      </c>
      <c r="P38" s="632" t="s">
        <v>1385</v>
      </c>
      <c r="Q38" s="630" t="str">
        <f t="shared" si="4"/>
        <v/>
      </c>
      <c r="R38" s="630" t="str">
        <f t="shared" si="5"/>
        <v/>
      </c>
      <c r="S38" s="632"/>
      <c r="T38" s="632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0"/>
      <c r="AF38" s="630"/>
    </row>
    <row r="39" spans="1:32" s="293" customFormat="1" hidden="1" x14ac:dyDescent="0.2">
      <c r="A39" s="632"/>
      <c r="B39" s="633" t="s">
        <v>484</v>
      </c>
      <c r="C39" s="647">
        <f>A99</f>
        <v>0</v>
      </c>
      <c r="D39" s="632"/>
      <c r="E39" s="633" t="s">
        <v>483</v>
      </c>
      <c r="F39" s="632"/>
      <c r="G39" s="632"/>
      <c r="H39" s="632"/>
      <c r="I39" s="632"/>
      <c r="J39" s="633" t="s">
        <v>490</v>
      </c>
      <c r="K39" s="632"/>
      <c r="L39" s="632"/>
      <c r="M39" s="638" t="str">
        <f>IF(Dados!$E$3="","",IF(Despesas!$KF27=0,0,Despesas!$KF27))</f>
        <v/>
      </c>
      <c r="N39" s="642" t="str">
        <f>IF(M39="","",$U$71)</f>
        <v/>
      </c>
      <c r="O39" s="632" t="s">
        <v>1385</v>
      </c>
      <c r="P39" s="632" t="s">
        <v>1385</v>
      </c>
      <c r="Q39" s="630" t="str">
        <f t="shared" si="4"/>
        <v/>
      </c>
      <c r="R39" s="630" t="str">
        <f t="shared" si="5"/>
        <v/>
      </c>
      <c r="S39" s="632"/>
      <c r="T39" s="632"/>
      <c r="U39" s="633" t="s">
        <v>498</v>
      </c>
      <c r="V39" s="632"/>
      <c r="W39" s="632"/>
      <c r="X39" s="632"/>
      <c r="Y39" s="632"/>
      <c r="Z39" s="632"/>
      <c r="AA39" s="632"/>
      <c r="AB39" s="632"/>
      <c r="AC39" s="632"/>
      <c r="AD39" s="632"/>
      <c r="AE39" s="630"/>
      <c r="AF39" s="630"/>
    </row>
    <row r="40" spans="1:32" s="293" customFormat="1" hidden="1" x14ac:dyDescent="0.2">
      <c r="A40" s="632"/>
      <c r="B40" s="633" t="s">
        <v>485</v>
      </c>
      <c r="C40" s="647">
        <f>B99</f>
        <v>0</v>
      </c>
      <c r="D40" s="632"/>
      <c r="E40" s="633" t="str">
        <f>IF(G40=0,J38,IF(G40&gt;0,J39,IF(G40&lt;0,J40)))</f>
        <v>, portanto atingiu seu objetivo.</v>
      </c>
      <c r="F40" s="632"/>
      <c r="G40" s="647">
        <f>IF(C99=0,0,C99)</f>
        <v>0</v>
      </c>
      <c r="H40" s="633" t="s">
        <v>246</v>
      </c>
      <c r="I40" s="632"/>
      <c r="J40" s="633" t="s">
        <v>486</v>
      </c>
      <c r="K40" s="632"/>
      <c r="L40" s="632"/>
      <c r="M40" s="638" t="str">
        <f>IF(Dados!$E$3="","",IF(Despesas!$KF28=0,0,Despesas!$KF28))</f>
        <v/>
      </c>
      <c r="N40" s="642" t="str">
        <f>IF(M40="","",$U$72)</f>
        <v/>
      </c>
      <c r="O40" s="632" t="s">
        <v>1385</v>
      </c>
      <c r="P40" s="632" t="s">
        <v>1385</v>
      </c>
      <c r="Q40" s="630" t="str">
        <f t="shared" si="4"/>
        <v/>
      </c>
      <c r="R40" s="630" t="str">
        <f t="shared" si="5"/>
        <v/>
      </c>
      <c r="S40" s="632"/>
      <c r="T40" s="632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  <c r="AE40" s="630"/>
      <c r="AF40" s="630"/>
    </row>
    <row r="41" spans="1:32" s="293" customFormat="1" hidden="1" x14ac:dyDescent="0.2">
      <c r="A41" s="632"/>
      <c r="B41" s="633" t="s">
        <v>489</v>
      </c>
      <c r="C41" s="647">
        <f>C40-C39</f>
        <v>0</v>
      </c>
      <c r="D41" s="632">
        <v>0</v>
      </c>
      <c r="E41" s="633"/>
      <c r="F41" s="632"/>
      <c r="G41" s="632"/>
      <c r="H41" s="632"/>
      <c r="I41" s="632"/>
      <c r="J41" s="633"/>
      <c r="K41" s="632"/>
      <c r="L41" s="632"/>
      <c r="M41" s="638" t="str">
        <f>IF(Dados!$E$3="","",IF(Despesas!$KF29=0,0,Despesas!$KF29))</f>
        <v/>
      </c>
      <c r="N41" s="642" t="str">
        <f>IF(M41="","",$U$73)</f>
        <v/>
      </c>
      <c r="O41" s="632" t="s">
        <v>1385</v>
      </c>
      <c r="P41" s="632" t="s">
        <v>1385</v>
      </c>
      <c r="Q41" s="630" t="str">
        <f t="shared" si="4"/>
        <v/>
      </c>
      <c r="R41" s="630" t="str">
        <f t="shared" si="5"/>
        <v/>
      </c>
      <c r="S41" s="632"/>
      <c r="T41" s="633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0"/>
      <c r="AF41" s="630"/>
    </row>
    <row r="42" spans="1:32" s="293" customFormat="1" hidden="1" x14ac:dyDescent="0.2">
      <c r="A42" s="633"/>
      <c r="B42" s="633" t="s">
        <v>493</v>
      </c>
      <c r="C42" s="646">
        <v>42707</v>
      </c>
      <c r="D42" s="632"/>
      <c r="E42" s="632"/>
      <c r="F42" s="632"/>
      <c r="G42" s="632"/>
      <c r="H42" s="632"/>
      <c r="I42" s="632"/>
      <c r="J42" s="632"/>
      <c r="K42" s="632"/>
      <c r="L42" s="632"/>
      <c r="M42" s="638" t="str">
        <f>IF(Dados!$E$3="","",IF(Despesas!$KF30=0,0,Despesas!$KF30))</f>
        <v/>
      </c>
      <c r="N42" s="642" t="str">
        <f>IF(M42="","",$U$74)</f>
        <v/>
      </c>
      <c r="O42" s="632" t="s">
        <v>1385</v>
      </c>
      <c r="P42" s="632" t="s">
        <v>1385</v>
      </c>
      <c r="Q42" s="630" t="str">
        <f t="shared" si="4"/>
        <v/>
      </c>
      <c r="R42" s="630" t="str">
        <f t="shared" si="5"/>
        <v/>
      </c>
      <c r="S42" s="632"/>
      <c r="T42" s="632"/>
      <c r="U42" s="633" t="s">
        <v>1158</v>
      </c>
      <c r="V42" s="632"/>
      <c r="W42" s="632"/>
      <c r="X42" s="632"/>
      <c r="Y42" s="632"/>
      <c r="Z42" s="632"/>
      <c r="AA42" s="632"/>
      <c r="AB42" s="632"/>
      <c r="AC42" s="632"/>
      <c r="AD42" s="632"/>
      <c r="AE42" s="630"/>
      <c r="AF42" s="630"/>
    </row>
    <row r="43" spans="1:32" s="293" customFormat="1" hidden="1" x14ac:dyDescent="0.2">
      <c r="A43" s="633"/>
      <c r="B43" s="632" t="str">
        <f>IF(C41&lt;0,B39&amp;DOLLAR(C39)&amp;E39&amp;B40&amp;DOLLAR(C40)&amp;E40&amp;DOLLAR(G40)&amp;U39,IF(C41&gt;0,B39&amp;DOLLAR(C39)&amp;E39&amp;B40&amp;DOLLAR(C40)&amp;E40&amp;DOLLAR(C41)&amp;H40,IF(C41=0,B39&amp;DOLLAR(C39)&amp;E39&amp;B40&amp;DOLLAR(C40)&amp;E40)))</f>
        <v>De acordo com a Portaria SME 7850, dos R$ 0,00 informados de Capital a serem utilizados com Custeio, você utilizou R$ 0,00, portanto atingiu seu objetivo.</v>
      </c>
      <c r="C43" s="632"/>
      <c r="D43" s="632"/>
      <c r="E43" s="632"/>
      <c r="F43" s="632"/>
      <c r="G43" s="632"/>
      <c r="H43" s="632"/>
      <c r="I43" s="632"/>
      <c r="J43" s="632"/>
      <c r="K43" s="632"/>
      <c r="L43" s="632"/>
      <c r="M43" s="638" t="str">
        <f>IF(Dados!$E$3="","",IF(Despesas!$KF31=0,0,Despesas!$KF31))</f>
        <v/>
      </c>
      <c r="N43" s="642" t="str">
        <f>IF(M43="","",$U$75)</f>
        <v/>
      </c>
      <c r="O43" s="632" t="s">
        <v>1385</v>
      </c>
      <c r="P43" s="632" t="s">
        <v>1385</v>
      </c>
      <c r="Q43" s="630" t="str">
        <f t="shared" si="4"/>
        <v/>
      </c>
      <c r="R43" s="630" t="str">
        <f t="shared" si="5"/>
        <v/>
      </c>
      <c r="S43" s="632"/>
      <c r="T43" s="632"/>
      <c r="U43" s="633" t="s">
        <v>1159</v>
      </c>
      <c r="V43" s="632"/>
      <c r="W43" s="632"/>
      <c r="X43" s="632"/>
      <c r="Y43" s="632"/>
      <c r="Z43" s="632"/>
      <c r="AA43" s="632"/>
      <c r="AB43" s="632"/>
      <c r="AC43" s="632"/>
      <c r="AD43" s="632"/>
      <c r="AE43" s="630"/>
      <c r="AF43" s="630"/>
    </row>
    <row r="44" spans="1:32" s="293" customFormat="1" hidden="1" x14ac:dyDescent="0.2">
      <c r="A44" s="633"/>
      <c r="B44" s="632"/>
      <c r="C44" s="632"/>
      <c r="D44" s="632"/>
      <c r="E44" s="632"/>
      <c r="F44" s="632"/>
      <c r="G44" s="632"/>
      <c r="H44" s="632"/>
      <c r="I44" s="632"/>
      <c r="J44" s="632"/>
      <c r="K44" s="632"/>
      <c r="L44" s="632"/>
      <c r="M44" s="638" t="str">
        <f>IF(Dados!$E$3="","",IF(Despesas!$KF32=0,0,Despesas!$KF32))</f>
        <v/>
      </c>
      <c r="N44" s="642" t="str">
        <f>IF(M44="","",$U$76)</f>
        <v/>
      </c>
      <c r="O44" s="632" t="s">
        <v>1385</v>
      </c>
      <c r="P44" s="632" t="s">
        <v>1385</v>
      </c>
      <c r="Q44" s="630" t="str">
        <f t="shared" si="4"/>
        <v/>
      </c>
      <c r="R44" s="630" t="str">
        <f t="shared" si="5"/>
        <v/>
      </c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0"/>
      <c r="AF44" s="630"/>
    </row>
    <row r="45" spans="1:32" s="293" customFormat="1" hidden="1" x14ac:dyDescent="0.2">
      <c r="A45" s="632"/>
      <c r="B45" s="633" t="s">
        <v>487</v>
      </c>
      <c r="C45" s="633" t="s">
        <v>488</v>
      </c>
      <c r="D45" s="632"/>
      <c r="E45" s="632"/>
      <c r="F45" s="632"/>
      <c r="G45" s="632"/>
      <c r="H45" s="632"/>
      <c r="I45" s="632"/>
      <c r="J45" s="632"/>
      <c r="K45" s="632"/>
      <c r="L45" s="632"/>
      <c r="M45" s="638" t="str">
        <f>IF(Dados!$E$3="","",IF(Despesas!$KF33=0,0,Despesas!$KF33))</f>
        <v/>
      </c>
      <c r="N45" s="642" t="str">
        <f>IF(M45="","",$U$77)</f>
        <v/>
      </c>
      <c r="O45" s="632" t="s">
        <v>1385</v>
      </c>
      <c r="P45" s="632" t="s">
        <v>1385</v>
      </c>
      <c r="Q45" s="630" t="str">
        <f t="shared" si="4"/>
        <v/>
      </c>
      <c r="R45" s="630" t="str">
        <f t="shared" si="5"/>
        <v/>
      </c>
      <c r="S45" s="632"/>
      <c r="T45" s="632"/>
      <c r="U45" s="633" t="s">
        <v>552</v>
      </c>
      <c r="V45" s="632"/>
      <c r="W45" s="632"/>
      <c r="X45" s="632"/>
      <c r="Y45" s="632"/>
      <c r="Z45" s="632"/>
      <c r="AA45" s="632"/>
      <c r="AB45" s="632"/>
      <c r="AC45" s="632"/>
      <c r="AD45" s="632"/>
      <c r="AE45" s="630"/>
      <c r="AF45" s="630"/>
    </row>
    <row r="46" spans="1:32" s="293" customFormat="1" hidden="1" x14ac:dyDescent="0.2">
      <c r="A46" s="632"/>
      <c r="B46" s="632"/>
      <c r="C46" s="632"/>
      <c r="D46" s="632"/>
      <c r="E46" s="632"/>
      <c r="F46" s="632"/>
      <c r="G46" s="632"/>
      <c r="H46" s="632"/>
      <c r="I46" s="632"/>
      <c r="J46" s="632"/>
      <c r="K46" s="632"/>
      <c r="L46" s="632"/>
      <c r="M46" s="638" t="str">
        <f>IF(Dados!$E$3="","",IF(Despesas!$KF34=0,0,Despesas!$KF34))</f>
        <v/>
      </c>
      <c r="N46" s="64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0"/>
      <c r="AF46" s="630"/>
    </row>
    <row r="47" spans="1:32" s="293" customFormat="1" hidden="1" x14ac:dyDescent="0.2">
      <c r="A47" s="632"/>
      <c r="B47" s="632" t="str">
        <f>IF(OR(G40&gt;=0),"",IF(G40&lt;0,B49,B45&amp;DOLLAR(G40)&amp;C45))</f>
        <v/>
      </c>
      <c r="C47" s="632"/>
      <c r="D47" s="632"/>
      <c r="E47" s="632"/>
      <c r="F47" s="632"/>
      <c r="G47" s="632"/>
      <c r="H47" s="632"/>
      <c r="I47" s="632"/>
      <c r="J47" s="632"/>
      <c r="K47" s="632"/>
      <c r="L47" s="632"/>
      <c r="M47" s="638" t="str">
        <f>IF(Dados!$E$3="","",IF(Despesas!$KF35=0,0,Despesas!$KF35))</f>
        <v/>
      </c>
      <c r="N47" s="632"/>
      <c r="O47" s="632"/>
      <c r="P47" s="632"/>
      <c r="Q47" s="632"/>
      <c r="R47" s="632"/>
      <c r="S47" s="632"/>
      <c r="T47" s="632"/>
      <c r="U47" s="632" t="s">
        <v>543</v>
      </c>
      <c r="V47" s="632"/>
      <c r="W47" s="632"/>
      <c r="X47" s="632"/>
      <c r="Y47" s="632"/>
      <c r="Z47" s="632"/>
      <c r="AA47" s="632"/>
      <c r="AB47" s="632"/>
      <c r="AC47" s="632"/>
      <c r="AD47" s="632"/>
      <c r="AE47" s="630"/>
      <c r="AF47" s="630"/>
    </row>
    <row r="48" spans="1:32" s="293" customFormat="1" hidden="1" x14ac:dyDescent="0.2">
      <c r="A48" s="632"/>
      <c r="B48" s="632"/>
      <c r="C48" s="632"/>
      <c r="D48" s="632"/>
      <c r="E48" s="632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0"/>
      <c r="AF48" s="630"/>
    </row>
    <row r="49" spans="1:32" s="293" customFormat="1" hidden="1" x14ac:dyDescent="0.2">
      <c r="A49" s="632"/>
      <c r="B49" s="633" t="s">
        <v>499</v>
      </c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  <c r="O49" s="632" t="str">
        <f>IF(Dados!$E$3="","",IF(B31=0,0,B31))</f>
        <v/>
      </c>
      <c r="P49" s="632" t="str">
        <f>IF(O49="","",$U$36)</f>
        <v/>
      </c>
      <c r="Q49" s="632"/>
      <c r="R49" s="632"/>
      <c r="S49" s="632"/>
      <c r="T49" s="632"/>
      <c r="U49" s="632" t="s">
        <v>553</v>
      </c>
      <c r="V49" s="632"/>
      <c r="W49" s="632"/>
      <c r="X49" s="632"/>
      <c r="Y49" s="632"/>
      <c r="Z49" s="632"/>
      <c r="AA49" s="632"/>
      <c r="AB49" s="632"/>
      <c r="AC49" s="632"/>
      <c r="AD49" s="632"/>
      <c r="AE49" s="630"/>
      <c r="AF49" s="630"/>
    </row>
    <row r="50" spans="1:32" s="293" customFormat="1" hidden="1" x14ac:dyDescent="0.2">
      <c r="A50" s="632"/>
      <c r="B50" s="632"/>
      <c r="C50" s="632"/>
      <c r="D50" s="632"/>
      <c r="E50" s="632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 t="s">
        <v>554</v>
      </c>
      <c r="V50" s="632"/>
      <c r="W50" s="632"/>
      <c r="X50" s="632"/>
      <c r="Y50" s="632"/>
      <c r="Z50" s="632"/>
      <c r="AA50" s="632"/>
      <c r="AB50" s="632"/>
      <c r="AC50" s="632"/>
      <c r="AD50" s="632"/>
      <c r="AE50" s="630"/>
      <c r="AF50" s="630"/>
    </row>
    <row r="51" spans="1:32" s="293" customFormat="1" hidden="1" x14ac:dyDescent="0.2">
      <c r="A51" s="632"/>
      <c r="B51" s="632"/>
      <c r="C51" s="632"/>
      <c r="D51" s="632"/>
      <c r="E51" s="632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 t="s">
        <v>555</v>
      </c>
      <c r="V51" s="632"/>
      <c r="W51" s="632"/>
      <c r="X51" s="632"/>
      <c r="Y51" s="632"/>
      <c r="Z51" s="632"/>
      <c r="AA51" s="632"/>
      <c r="AB51" s="632"/>
      <c r="AC51" s="632"/>
      <c r="AD51" s="632"/>
      <c r="AE51" s="630"/>
      <c r="AF51" s="630"/>
    </row>
    <row r="52" spans="1:32" s="293" customFormat="1" hidden="1" x14ac:dyDescent="0.2">
      <c r="A52" s="632"/>
      <c r="B52" s="633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  <c r="O52" s="632"/>
      <c r="P52" s="632"/>
      <c r="Q52" s="632"/>
      <c r="R52" s="632"/>
      <c r="S52" s="632"/>
      <c r="T52" s="632"/>
      <c r="U52" s="632" t="s">
        <v>556</v>
      </c>
      <c r="V52" s="632"/>
      <c r="W52" s="632"/>
      <c r="X52" s="632"/>
      <c r="Y52" s="632"/>
      <c r="Z52" s="632"/>
      <c r="AA52" s="632"/>
      <c r="AB52" s="632"/>
      <c r="AC52" s="632"/>
      <c r="AD52" s="632"/>
      <c r="AE52" s="630"/>
      <c r="AF52" s="630"/>
    </row>
    <row r="53" spans="1:32" s="293" customFormat="1" hidden="1" x14ac:dyDescent="0.2">
      <c r="A53" s="632"/>
      <c r="B53" s="633" t="s">
        <v>492</v>
      </c>
      <c r="C53" s="632"/>
      <c r="D53" s="632"/>
      <c r="E53" s="632"/>
      <c r="F53" s="632"/>
      <c r="G53" s="632"/>
      <c r="H53" s="632"/>
      <c r="I53" s="632"/>
      <c r="J53" s="632"/>
      <c r="K53" s="632"/>
      <c r="L53" s="632"/>
      <c r="M53" s="632"/>
      <c r="N53" s="632"/>
      <c r="O53" s="632"/>
      <c r="P53" s="632"/>
      <c r="Q53" s="632"/>
      <c r="R53" s="632"/>
      <c r="S53" s="632"/>
      <c r="T53" s="632"/>
      <c r="U53" s="632" t="s">
        <v>557</v>
      </c>
      <c r="V53" s="632"/>
      <c r="W53" s="632"/>
      <c r="X53" s="632"/>
      <c r="Y53" s="632"/>
      <c r="Z53" s="632"/>
      <c r="AA53" s="632"/>
      <c r="AB53" s="632"/>
      <c r="AC53" s="632"/>
      <c r="AD53" s="632"/>
      <c r="AE53" s="630"/>
      <c r="AF53" s="630"/>
    </row>
    <row r="54" spans="1:32" s="293" customFormat="1" hidden="1" x14ac:dyDescent="0.2">
      <c r="A54" s="632"/>
      <c r="B54" s="632"/>
      <c r="C54" s="632"/>
      <c r="D54" s="632"/>
      <c r="E54" s="632"/>
      <c r="F54" s="632"/>
      <c r="G54" s="632"/>
      <c r="H54" s="632"/>
      <c r="I54" s="632"/>
      <c r="J54" s="632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 t="s">
        <v>558</v>
      </c>
      <c r="V54" s="632"/>
      <c r="W54" s="632"/>
      <c r="X54" s="632"/>
      <c r="Y54" s="632"/>
      <c r="Z54" s="632"/>
      <c r="AA54" s="632"/>
      <c r="AB54" s="632"/>
      <c r="AC54" s="632"/>
      <c r="AD54" s="632"/>
      <c r="AE54" s="630"/>
      <c r="AF54" s="630"/>
    </row>
    <row r="55" spans="1:32" s="293" customFormat="1" hidden="1" x14ac:dyDescent="0.2">
      <c r="A55" s="632"/>
      <c r="B55" s="632"/>
      <c r="C55" s="632"/>
      <c r="D55" s="632"/>
      <c r="E55" s="632"/>
      <c r="F55" s="632"/>
      <c r="G55" s="632"/>
      <c r="H55" s="632"/>
      <c r="I55" s="632"/>
      <c r="J55" s="632"/>
      <c r="K55" s="632"/>
      <c r="L55" s="632"/>
      <c r="M55" s="632"/>
      <c r="N55" s="632"/>
      <c r="O55" s="632"/>
      <c r="P55" s="632"/>
      <c r="Q55" s="632"/>
      <c r="R55" s="632"/>
      <c r="S55" s="632"/>
      <c r="T55" s="632"/>
      <c r="U55" s="632" t="s">
        <v>559</v>
      </c>
      <c r="V55" s="632"/>
      <c r="W55" s="632"/>
      <c r="X55" s="632"/>
      <c r="Y55" s="632"/>
      <c r="Z55" s="632"/>
      <c r="AA55" s="632"/>
      <c r="AB55" s="632"/>
      <c r="AC55" s="632"/>
      <c r="AD55" s="632"/>
      <c r="AE55" s="630"/>
      <c r="AF55" s="630"/>
    </row>
    <row r="56" spans="1:32" s="293" customFormat="1" hidden="1" x14ac:dyDescent="0.2">
      <c r="A56" s="632"/>
      <c r="B56" s="632"/>
      <c r="C56" s="632"/>
      <c r="D56" s="632"/>
      <c r="E56" s="632"/>
      <c r="F56" s="632"/>
      <c r="G56" s="632"/>
      <c r="H56" s="632"/>
      <c r="I56" s="632"/>
      <c r="J56" s="632"/>
      <c r="K56" s="632"/>
      <c r="L56" s="632"/>
      <c r="M56" s="632"/>
      <c r="N56" s="632"/>
      <c r="O56" s="632"/>
      <c r="P56" s="632"/>
      <c r="Q56" s="632"/>
      <c r="R56" s="632"/>
      <c r="S56" s="632"/>
      <c r="T56" s="632"/>
      <c r="U56" s="632" t="s">
        <v>181</v>
      </c>
      <c r="V56" s="632"/>
      <c r="W56" s="632"/>
      <c r="X56" s="632"/>
      <c r="Y56" s="632"/>
      <c r="Z56" s="632"/>
      <c r="AA56" s="632"/>
      <c r="AB56" s="632"/>
      <c r="AC56" s="632"/>
      <c r="AD56" s="632"/>
      <c r="AE56" s="630"/>
      <c r="AF56" s="630"/>
    </row>
    <row r="57" spans="1:32" s="293" customFormat="1" hidden="1" x14ac:dyDescent="0.2">
      <c r="A57" s="632"/>
      <c r="B57" s="632"/>
      <c r="C57" s="632"/>
      <c r="D57" s="632"/>
      <c r="E57" s="632"/>
      <c r="F57" s="632"/>
      <c r="G57" s="632"/>
      <c r="H57" s="632"/>
      <c r="I57" s="632"/>
      <c r="J57" s="632"/>
      <c r="K57" s="632"/>
      <c r="L57" s="632"/>
      <c r="M57" s="632"/>
      <c r="N57" s="632"/>
      <c r="O57" s="632"/>
      <c r="P57" s="632"/>
      <c r="Q57" s="632"/>
      <c r="R57" s="632"/>
      <c r="S57" s="632"/>
      <c r="T57" s="632"/>
      <c r="U57" s="632" t="s">
        <v>182</v>
      </c>
      <c r="V57" s="632"/>
      <c r="W57" s="632"/>
      <c r="X57" s="632"/>
      <c r="Y57" s="632"/>
      <c r="Z57" s="632"/>
      <c r="AA57" s="632"/>
      <c r="AB57" s="632"/>
      <c r="AC57" s="632"/>
      <c r="AD57" s="632"/>
      <c r="AE57" s="630"/>
      <c r="AF57" s="630"/>
    </row>
    <row r="58" spans="1:32" s="293" customFormat="1" hidden="1" x14ac:dyDescent="0.2">
      <c r="A58" s="632"/>
      <c r="B58" s="632"/>
      <c r="C58" s="632"/>
      <c r="D58" s="632"/>
      <c r="E58" s="632"/>
      <c r="F58" s="632"/>
      <c r="G58" s="632"/>
      <c r="H58" s="632"/>
      <c r="I58" s="632"/>
      <c r="J58" s="632"/>
      <c r="K58" s="632"/>
      <c r="L58" s="632"/>
      <c r="M58" s="632"/>
      <c r="N58" s="632"/>
      <c r="O58" s="632"/>
      <c r="P58" s="632"/>
      <c r="Q58" s="632"/>
      <c r="R58" s="632"/>
      <c r="S58" s="632"/>
      <c r="T58" s="632"/>
      <c r="U58" s="632" t="s">
        <v>442</v>
      </c>
      <c r="V58" s="632"/>
      <c r="W58" s="632"/>
      <c r="X58" s="632"/>
      <c r="Y58" s="632"/>
      <c r="Z58" s="632"/>
      <c r="AA58" s="632"/>
      <c r="AB58" s="632"/>
      <c r="AC58" s="632"/>
      <c r="AD58" s="632"/>
      <c r="AE58" s="630"/>
      <c r="AF58" s="630"/>
    </row>
    <row r="59" spans="1:32" s="293" customFormat="1" hidden="1" x14ac:dyDescent="0.2">
      <c r="A59" s="632"/>
      <c r="B59" s="632"/>
      <c r="C59" s="632"/>
      <c r="D59" s="632"/>
      <c r="E59" s="632"/>
      <c r="F59" s="632"/>
      <c r="G59" s="632"/>
      <c r="H59" s="632"/>
      <c r="I59" s="632"/>
      <c r="J59" s="632"/>
      <c r="K59" s="632"/>
      <c r="L59" s="632"/>
      <c r="M59" s="632"/>
      <c r="N59" s="632"/>
      <c r="O59" s="632"/>
      <c r="P59" s="632"/>
      <c r="Q59" s="632"/>
      <c r="R59" s="632"/>
      <c r="S59" s="632"/>
      <c r="T59" s="632"/>
      <c r="U59" s="632" t="s">
        <v>443</v>
      </c>
      <c r="V59" s="632"/>
      <c r="W59" s="632"/>
      <c r="X59" s="632"/>
      <c r="Y59" s="632"/>
      <c r="Z59" s="632"/>
      <c r="AA59" s="632"/>
      <c r="AB59" s="632"/>
      <c r="AC59" s="632"/>
      <c r="AD59" s="632"/>
      <c r="AE59" s="630"/>
      <c r="AF59" s="630"/>
    </row>
    <row r="60" spans="1:32" s="293" customFormat="1" hidden="1" x14ac:dyDescent="0.2">
      <c r="A60" s="632"/>
      <c r="B60" s="632"/>
      <c r="C60" s="632"/>
      <c r="D60" s="632"/>
      <c r="E60" s="632"/>
      <c r="F60" s="632"/>
      <c r="G60" s="632"/>
      <c r="H60" s="632"/>
      <c r="I60" s="632"/>
      <c r="J60" s="632"/>
      <c r="K60" s="632"/>
      <c r="L60" s="632"/>
      <c r="M60" s="632"/>
      <c r="N60" s="632"/>
      <c r="O60" s="632"/>
      <c r="P60" s="632"/>
      <c r="Q60" s="632"/>
      <c r="R60" s="632"/>
      <c r="S60" s="632"/>
      <c r="T60" s="632"/>
      <c r="U60" s="632" t="s">
        <v>560</v>
      </c>
      <c r="V60" s="632"/>
      <c r="W60" s="632"/>
      <c r="X60" s="632"/>
      <c r="Y60" s="632"/>
      <c r="Z60" s="632"/>
      <c r="AA60" s="632"/>
      <c r="AB60" s="632"/>
      <c r="AC60" s="632"/>
      <c r="AD60" s="632"/>
      <c r="AE60" s="630"/>
      <c r="AF60" s="630"/>
    </row>
    <row r="61" spans="1:32" s="293" customFormat="1" hidden="1" x14ac:dyDescent="0.2">
      <c r="A61" s="632"/>
      <c r="B61" s="632"/>
      <c r="C61" s="632"/>
      <c r="D61" s="632"/>
      <c r="E61" s="632"/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 t="s">
        <v>561</v>
      </c>
      <c r="V61" s="632"/>
      <c r="W61" s="632"/>
      <c r="X61" s="632"/>
      <c r="Y61" s="632"/>
      <c r="Z61" s="632"/>
      <c r="AA61" s="632"/>
      <c r="AB61" s="632"/>
      <c r="AC61" s="632"/>
      <c r="AD61" s="632"/>
      <c r="AE61" s="630"/>
      <c r="AF61" s="630"/>
    </row>
    <row r="62" spans="1:32" s="293" customFormat="1" hidden="1" x14ac:dyDescent="0.2">
      <c r="A62" s="632"/>
      <c r="B62" s="632"/>
      <c r="C62" s="632"/>
      <c r="D62" s="632"/>
      <c r="E62" s="632"/>
      <c r="F62" s="632"/>
      <c r="G62" s="632"/>
      <c r="H62" s="632"/>
      <c r="I62" s="632"/>
      <c r="J62" s="632"/>
      <c r="K62" s="632"/>
      <c r="L62" s="632"/>
      <c r="M62" s="632"/>
      <c r="N62" s="632"/>
      <c r="O62" s="632"/>
      <c r="P62" s="632"/>
      <c r="Q62" s="632"/>
      <c r="R62" s="632"/>
      <c r="S62" s="632"/>
      <c r="T62" s="632"/>
      <c r="U62" s="632" t="s">
        <v>562</v>
      </c>
      <c r="V62" s="632"/>
      <c r="W62" s="632"/>
      <c r="X62" s="632"/>
      <c r="Y62" s="632"/>
      <c r="Z62" s="632"/>
      <c r="AA62" s="632"/>
      <c r="AB62" s="632"/>
      <c r="AC62" s="632"/>
      <c r="AD62" s="632"/>
      <c r="AE62" s="630"/>
      <c r="AF62" s="630"/>
    </row>
    <row r="63" spans="1:32" s="293" customFormat="1" hidden="1" x14ac:dyDescent="0.2">
      <c r="A63" s="632"/>
      <c r="B63" s="632" t="s">
        <v>598</v>
      </c>
      <c r="C63" s="632"/>
      <c r="D63" s="632"/>
      <c r="E63" s="632"/>
      <c r="F63" s="632"/>
      <c r="G63" s="632"/>
      <c r="H63" s="632"/>
      <c r="I63" s="632"/>
      <c r="J63" s="632"/>
      <c r="K63" s="632"/>
      <c r="L63" s="632"/>
      <c r="M63" s="632"/>
      <c r="N63" s="632"/>
      <c r="O63" s="632"/>
      <c r="P63" s="632"/>
      <c r="Q63" s="632"/>
      <c r="R63" s="632"/>
      <c r="S63" s="632"/>
      <c r="T63" s="632"/>
      <c r="U63" s="632" t="s">
        <v>563</v>
      </c>
      <c r="V63" s="632"/>
      <c r="W63" s="632"/>
      <c r="X63" s="632"/>
      <c r="Y63" s="632"/>
      <c r="Z63" s="632"/>
      <c r="AA63" s="632"/>
      <c r="AB63" s="632"/>
      <c r="AC63" s="632"/>
      <c r="AD63" s="632"/>
      <c r="AE63" s="630"/>
      <c r="AF63" s="630"/>
    </row>
    <row r="64" spans="1:32" s="293" customFormat="1" hidden="1" x14ac:dyDescent="0.2">
      <c r="A64" s="632"/>
      <c r="B64" s="632" t="s">
        <v>181</v>
      </c>
      <c r="C64" s="632" t="str">
        <f>Dados!F12</f>
        <v/>
      </c>
      <c r="D64" s="632"/>
      <c r="E64" s="632"/>
      <c r="F64" s="632"/>
      <c r="G64" s="632"/>
      <c r="H64" s="632"/>
      <c r="I64" s="632"/>
      <c r="J64" s="632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 t="s">
        <v>564</v>
      </c>
      <c r="V64" s="632"/>
      <c r="W64" s="632"/>
      <c r="X64" s="632"/>
      <c r="Y64" s="632"/>
      <c r="Z64" s="632"/>
      <c r="AA64" s="632"/>
      <c r="AB64" s="632"/>
      <c r="AC64" s="632"/>
      <c r="AD64" s="632"/>
      <c r="AE64" s="630"/>
      <c r="AF64" s="630"/>
    </row>
    <row r="65" spans="1:42" s="293" customFormat="1" hidden="1" x14ac:dyDescent="0.2">
      <c r="A65" s="632"/>
      <c r="B65" s="632" t="s">
        <v>182</v>
      </c>
      <c r="C65" s="632" t="str">
        <f>Dados!I12</f>
        <v/>
      </c>
      <c r="D65" s="632"/>
      <c r="E65" s="632"/>
      <c r="F65" s="632"/>
      <c r="G65" s="632"/>
      <c r="H65" s="632"/>
      <c r="I65" s="632"/>
      <c r="J65" s="632"/>
      <c r="K65" s="632"/>
      <c r="L65" s="632"/>
      <c r="M65" s="632"/>
      <c r="N65" s="632"/>
      <c r="O65" s="632"/>
      <c r="P65" s="632"/>
      <c r="Q65" s="632"/>
      <c r="R65" s="632"/>
      <c r="S65" s="632"/>
      <c r="T65" s="632"/>
      <c r="U65" s="632" t="s">
        <v>565</v>
      </c>
      <c r="V65" s="632"/>
      <c r="W65" s="632"/>
      <c r="X65" s="632"/>
      <c r="Y65" s="632"/>
      <c r="Z65" s="632"/>
      <c r="AA65" s="632"/>
      <c r="AB65" s="632"/>
      <c r="AC65" s="632"/>
      <c r="AD65" s="632"/>
      <c r="AE65" s="630"/>
      <c r="AF65" s="630"/>
    </row>
    <row r="66" spans="1:42" s="293" customFormat="1" hidden="1" x14ac:dyDescent="0.2">
      <c r="A66" s="632"/>
      <c r="B66" s="632"/>
      <c r="C66" s="632"/>
      <c r="D66" s="632"/>
      <c r="E66" s="632"/>
      <c r="F66" s="632"/>
      <c r="G66" s="632"/>
      <c r="H66" s="632"/>
      <c r="I66" s="632"/>
      <c r="J66" s="632"/>
      <c r="K66" s="632"/>
      <c r="L66" s="632"/>
      <c r="M66" s="632"/>
      <c r="N66" s="632"/>
      <c r="O66" s="632"/>
      <c r="P66" s="632"/>
      <c r="Q66" s="632"/>
      <c r="R66" s="632"/>
      <c r="S66" s="632"/>
      <c r="T66" s="632"/>
      <c r="U66" s="632" t="s">
        <v>566</v>
      </c>
      <c r="V66" s="632"/>
      <c r="W66" s="632"/>
      <c r="X66" s="632"/>
      <c r="Y66" s="632"/>
      <c r="Z66" s="632"/>
      <c r="AA66" s="632"/>
      <c r="AB66" s="632"/>
      <c r="AC66" s="632"/>
      <c r="AD66" s="632"/>
      <c r="AE66" s="630"/>
      <c r="AF66" s="630"/>
    </row>
    <row r="67" spans="1:42" s="293" customFormat="1" hidden="1" x14ac:dyDescent="0.2">
      <c r="A67" s="632"/>
      <c r="B67" s="632"/>
      <c r="C67" s="632"/>
      <c r="D67" s="632"/>
      <c r="E67" s="632"/>
      <c r="F67" s="632"/>
      <c r="G67" s="632"/>
      <c r="H67" s="632"/>
      <c r="I67" s="632"/>
      <c r="J67" s="632"/>
      <c r="K67" s="632"/>
      <c r="L67" s="632"/>
      <c r="M67" s="632"/>
      <c r="N67" s="632"/>
      <c r="O67" s="632"/>
      <c r="P67" s="632"/>
      <c r="Q67" s="632"/>
      <c r="R67" s="632"/>
      <c r="S67" s="632"/>
      <c r="T67" s="632"/>
      <c r="U67" s="632" t="s">
        <v>567</v>
      </c>
      <c r="V67" s="632"/>
      <c r="W67" s="632"/>
      <c r="X67" s="632"/>
      <c r="Y67" s="632"/>
      <c r="Z67" s="632"/>
      <c r="AA67" s="632"/>
      <c r="AB67" s="632"/>
      <c r="AC67" s="632"/>
      <c r="AD67" s="632"/>
      <c r="AE67" s="630"/>
      <c r="AF67" s="630"/>
    </row>
    <row r="68" spans="1:42" s="293" customFormat="1" hidden="1" x14ac:dyDescent="0.2">
      <c r="A68" s="632"/>
      <c r="B68" s="632"/>
      <c r="C68" s="632"/>
      <c r="D68" s="632"/>
      <c r="E68" s="632"/>
      <c r="F68" s="632"/>
      <c r="G68" s="632"/>
      <c r="H68" s="632"/>
      <c r="I68" s="632"/>
      <c r="J68" s="632"/>
      <c r="K68" s="632"/>
      <c r="L68" s="632"/>
      <c r="M68" s="632"/>
      <c r="N68" s="632"/>
      <c r="O68" s="632"/>
      <c r="P68" s="632"/>
      <c r="Q68" s="632"/>
      <c r="R68" s="632"/>
      <c r="S68" s="632"/>
      <c r="T68" s="632"/>
      <c r="U68" s="632" t="s">
        <v>568</v>
      </c>
      <c r="V68" s="632"/>
      <c r="W68" s="632"/>
      <c r="X68" s="632"/>
      <c r="Y68" s="632"/>
      <c r="Z68" s="632"/>
      <c r="AA68" s="632"/>
      <c r="AB68" s="632"/>
      <c r="AC68" s="632"/>
      <c r="AD68" s="632"/>
      <c r="AE68" s="630"/>
      <c r="AF68" s="630"/>
    </row>
    <row r="69" spans="1:42" s="293" customFormat="1" hidden="1" x14ac:dyDescent="0.2">
      <c r="A69" s="632"/>
      <c r="B69" s="632"/>
      <c r="C69" s="632"/>
      <c r="D69" s="632"/>
      <c r="E69" s="632"/>
      <c r="F69" s="632"/>
      <c r="G69" s="632"/>
      <c r="H69" s="632"/>
      <c r="I69" s="632"/>
      <c r="J69" s="632"/>
      <c r="K69" s="632"/>
      <c r="L69" s="632"/>
      <c r="M69" s="632"/>
      <c r="N69" s="632"/>
      <c r="O69" s="632"/>
      <c r="P69" s="632"/>
      <c r="Q69" s="632"/>
      <c r="R69" s="632"/>
      <c r="S69" s="632"/>
      <c r="T69" s="632"/>
      <c r="U69" s="632" t="s">
        <v>569</v>
      </c>
      <c r="V69" s="632"/>
      <c r="W69" s="632"/>
      <c r="X69" s="632"/>
      <c r="Y69" s="632"/>
      <c r="Z69" s="632"/>
      <c r="AA69" s="632"/>
      <c r="AB69" s="632"/>
      <c r="AC69" s="632"/>
      <c r="AD69" s="632"/>
      <c r="AE69" s="630"/>
      <c r="AF69" s="630"/>
    </row>
    <row r="70" spans="1:42" s="293" customFormat="1" hidden="1" x14ac:dyDescent="0.2">
      <c r="A70" s="632"/>
      <c r="B70" s="632"/>
      <c r="C70" s="632"/>
      <c r="D70" s="632"/>
      <c r="E70" s="632"/>
      <c r="F70" s="632"/>
      <c r="G70" s="632"/>
      <c r="H70" s="632"/>
      <c r="I70" s="632"/>
      <c r="J70" s="632"/>
      <c r="K70" s="632"/>
      <c r="L70" s="632"/>
      <c r="M70" s="632"/>
      <c r="N70" s="632"/>
      <c r="O70" s="632"/>
      <c r="P70" s="632"/>
      <c r="Q70" s="632"/>
      <c r="R70" s="632"/>
      <c r="S70" s="632"/>
      <c r="T70" s="632"/>
      <c r="U70" s="632" t="s">
        <v>570</v>
      </c>
      <c r="V70" s="632"/>
      <c r="W70" s="632"/>
      <c r="X70" s="632"/>
      <c r="Y70" s="632"/>
      <c r="Z70" s="632"/>
      <c r="AA70" s="632"/>
      <c r="AB70" s="632"/>
      <c r="AC70" s="632"/>
      <c r="AD70" s="632"/>
      <c r="AE70" s="630"/>
      <c r="AF70" s="630"/>
    </row>
    <row r="71" spans="1:42" s="293" customFormat="1" hidden="1" x14ac:dyDescent="0.2">
      <c r="A71" s="632"/>
      <c r="B71" s="632"/>
      <c r="C71" s="632"/>
      <c r="D71" s="632"/>
      <c r="E71" s="632"/>
      <c r="F71" s="632"/>
      <c r="G71" s="632"/>
      <c r="H71" s="632"/>
      <c r="I71" s="632"/>
      <c r="J71" s="632"/>
      <c r="K71" s="632"/>
      <c r="L71" s="632"/>
      <c r="M71" s="632"/>
      <c r="N71" s="632"/>
      <c r="O71" s="632"/>
      <c r="P71" s="632"/>
      <c r="Q71" s="632"/>
      <c r="R71" s="632"/>
      <c r="S71" s="632"/>
      <c r="T71" s="632"/>
      <c r="U71" s="632" t="s">
        <v>571</v>
      </c>
      <c r="V71" s="632"/>
      <c r="W71" s="632"/>
      <c r="X71" s="632"/>
      <c r="Y71" s="632"/>
      <c r="Z71" s="632"/>
      <c r="AA71" s="632"/>
      <c r="AB71" s="632"/>
      <c r="AC71" s="632"/>
      <c r="AD71" s="632"/>
      <c r="AE71" s="630"/>
      <c r="AF71" s="630"/>
    </row>
    <row r="72" spans="1:42" s="293" customFormat="1" hidden="1" x14ac:dyDescent="0.2">
      <c r="A72" s="632"/>
      <c r="B72" s="632"/>
      <c r="C72" s="632"/>
      <c r="D72" s="632"/>
      <c r="E72" s="632"/>
      <c r="F72" s="632"/>
      <c r="G72" s="632"/>
      <c r="H72" s="632"/>
      <c r="I72" s="632"/>
      <c r="J72" s="632"/>
      <c r="K72" s="632"/>
      <c r="L72" s="632"/>
      <c r="M72" s="632"/>
      <c r="N72" s="632"/>
      <c r="O72" s="632"/>
      <c r="P72" s="632"/>
      <c r="Q72" s="632"/>
      <c r="R72" s="632"/>
      <c r="S72" s="632"/>
      <c r="T72" s="632"/>
      <c r="U72" s="632" t="s">
        <v>572</v>
      </c>
      <c r="V72" s="632"/>
      <c r="W72" s="632"/>
      <c r="X72" s="632"/>
      <c r="Y72" s="632"/>
      <c r="Z72" s="632"/>
      <c r="AA72" s="632"/>
      <c r="AB72" s="632"/>
      <c r="AC72" s="632"/>
      <c r="AD72" s="632"/>
      <c r="AE72" s="630"/>
      <c r="AF72" s="630"/>
    </row>
    <row r="73" spans="1:42" s="293" customFormat="1" hidden="1" x14ac:dyDescent="0.2">
      <c r="A73" s="632"/>
      <c r="B73" s="632"/>
      <c r="C73" s="632"/>
      <c r="D73" s="632"/>
      <c r="E73" s="632"/>
      <c r="F73" s="632"/>
      <c r="G73" s="632"/>
      <c r="H73" s="632"/>
      <c r="I73" s="632"/>
      <c r="J73" s="632"/>
      <c r="K73" s="632"/>
      <c r="L73" s="632"/>
      <c r="M73" s="632"/>
      <c r="N73" s="632"/>
      <c r="O73" s="632"/>
      <c r="P73" s="632"/>
      <c r="Q73" s="632"/>
      <c r="R73" s="632"/>
      <c r="S73" s="632"/>
      <c r="T73" s="632"/>
      <c r="U73" s="632" t="s">
        <v>573</v>
      </c>
      <c r="V73" s="632"/>
      <c r="W73" s="632"/>
      <c r="X73" s="632"/>
      <c r="Y73" s="632"/>
      <c r="Z73" s="632"/>
      <c r="AA73" s="632"/>
      <c r="AB73" s="632"/>
      <c r="AC73" s="632"/>
      <c r="AD73" s="632"/>
      <c r="AE73" s="630"/>
      <c r="AF73" s="630"/>
    </row>
    <row r="74" spans="1:42" s="293" customFormat="1" hidden="1" x14ac:dyDescent="0.2">
      <c r="A74" s="632"/>
      <c r="B74" s="632"/>
      <c r="C74" s="632"/>
      <c r="D74" s="632"/>
      <c r="E74" s="632"/>
      <c r="F74" s="632"/>
      <c r="G74" s="632"/>
      <c r="H74" s="632"/>
      <c r="I74" s="632"/>
      <c r="J74" s="632"/>
      <c r="K74" s="632"/>
      <c r="L74" s="632"/>
      <c r="M74" s="632"/>
      <c r="N74" s="632"/>
      <c r="O74" s="632"/>
      <c r="P74" s="632"/>
      <c r="Q74" s="632"/>
      <c r="R74" s="632"/>
      <c r="S74" s="632"/>
      <c r="T74" s="632"/>
      <c r="U74" s="632" t="s">
        <v>574</v>
      </c>
      <c r="V74" s="632"/>
      <c r="W74" s="632"/>
      <c r="X74" s="632"/>
      <c r="Y74" s="632"/>
      <c r="Z74" s="632"/>
      <c r="AA74" s="632"/>
      <c r="AB74" s="632"/>
      <c r="AC74" s="632"/>
      <c r="AD74" s="632"/>
      <c r="AE74" s="630"/>
      <c r="AF74" s="630"/>
    </row>
    <row r="75" spans="1:42" s="293" customFormat="1" hidden="1" x14ac:dyDescent="0.2">
      <c r="A75" s="632"/>
      <c r="B75" s="632"/>
      <c r="C75" s="632"/>
      <c r="D75" s="632"/>
      <c r="E75" s="632"/>
      <c r="F75" s="632"/>
      <c r="G75" s="632"/>
      <c r="H75" s="632"/>
      <c r="I75" s="632"/>
      <c r="J75" s="632"/>
      <c r="K75" s="632"/>
      <c r="L75" s="632"/>
      <c r="M75" s="632"/>
      <c r="N75" s="632"/>
      <c r="O75" s="632"/>
      <c r="P75" s="632"/>
      <c r="Q75" s="632"/>
      <c r="R75" s="632"/>
      <c r="S75" s="632"/>
      <c r="T75" s="632"/>
      <c r="U75" s="632" t="s">
        <v>575</v>
      </c>
      <c r="V75" s="632"/>
      <c r="W75" s="632"/>
      <c r="X75" s="632"/>
      <c r="Y75" s="632"/>
      <c r="Z75" s="632"/>
      <c r="AA75" s="632"/>
      <c r="AB75" s="632"/>
      <c r="AC75" s="632"/>
      <c r="AD75" s="632"/>
      <c r="AE75" s="630"/>
      <c r="AF75" s="630"/>
    </row>
    <row r="76" spans="1:42" s="293" customFormat="1" hidden="1" x14ac:dyDescent="0.2">
      <c r="A76" s="632"/>
      <c r="B76" s="632"/>
      <c r="C76" s="632"/>
      <c r="D76" s="632"/>
      <c r="E76" s="632"/>
      <c r="F76" s="632"/>
      <c r="G76" s="632"/>
      <c r="H76" s="632"/>
      <c r="I76" s="632"/>
      <c r="J76" s="632"/>
      <c r="K76" s="632"/>
      <c r="L76" s="632"/>
      <c r="M76" s="632"/>
      <c r="N76" s="632"/>
      <c r="O76" s="632"/>
      <c r="P76" s="632"/>
      <c r="Q76" s="632"/>
      <c r="R76" s="632"/>
      <c r="S76" s="632"/>
      <c r="T76" s="632"/>
      <c r="U76" s="632" t="s">
        <v>576</v>
      </c>
      <c r="V76" s="632"/>
      <c r="W76" s="632"/>
      <c r="X76" s="632"/>
      <c r="Y76" s="632"/>
      <c r="Z76" s="632"/>
      <c r="AA76" s="632"/>
      <c r="AB76" s="632"/>
      <c r="AC76" s="632"/>
      <c r="AD76" s="632"/>
      <c r="AE76" s="630"/>
      <c r="AF76" s="630"/>
    </row>
    <row r="77" spans="1:42" s="293" customFormat="1" hidden="1" x14ac:dyDescent="0.2">
      <c r="A77" s="632"/>
      <c r="B77" s="632"/>
      <c r="C77" s="632"/>
      <c r="D77" s="632"/>
      <c r="E77" s="632"/>
      <c r="F77" s="632"/>
      <c r="G77" s="632"/>
      <c r="H77" s="632"/>
      <c r="I77" s="632"/>
      <c r="J77" s="632"/>
      <c r="K77" s="632"/>
      <c r="L77" s="632"/>
      <c r="M77" s="632"/>
      <c r="N77" s="632"/>
      <c r="O77" s="632"/>
      <c r="P77" s="632"/>
      <c r="Q77" s="632"/>
      <c r="R77" s="632"/>
      <c r="S77" s="632"/>
      <c r="T77" s="632"/>
      <c r="U77" s="632" t="s">
        <v>577</v>
      </c>
      <c r="V77" s="632"/>
      <c r="W77" s="632"/>
      <c r="X77" s="632"/>
      <c r="Y77" s="632"/>
      <c r="Z77" s="632"/>
      <c r="AA77" s="632"/>
      <c r="AB77" s="632"/>
      <c r="AC77" s="632"/>
      <c r="AD77" s="632"/>
      <c r="AE77" s="630"/>
      <c r="AF77" s="630"/>
    </row>
    <row r="78" spans="1:42" s="293" customFormat="1" hidden="1" x14ac:dyDescent="0.2">
      <c r="A78" s="632"/>
      <c r="B78" s="632"/>
      <c r="C78" s="632"/>
      <c r="D78" s="632"/>
      <c r="E78" s="632"/>
      <c r="F78" s="632"/>
      <c r="G78" s="632"/>
      <c r="H78" s="632"/>
      <c r="I78" s="632"/>
      <c r="J78" s="632"/>
      <c r="K78" s="632"/>
      <c r="L78" s="632"/>
      <c r="M78" s="632"/>
      <c r="N78" s="632"/>
      <c r="O78" s="632"/>
      <c r="P78" s="632"/>
      <c r="Q78" s="632"/>
      <c r="R78" s="632"/>
      <c r="S78" s="632"/>
      <c r="T78" s="632"/>
      <c r="U78" s="632"/>
      <c r="V78" s="632"/>
      <c r="W78" s="632"/>
      <c r="X78" s="632"/>
      <c r="Y78" s="632"/>
      <c r="Z78" s="632"/>
      <c r="AA78" s="632"/>
      <c r="AB78" s="632"/>
      <c r="AC78" s="632"/>
      <c r="AD78" s="632"/>
      <c r="AE78" s="630"/>
      <c r="AF78" s="630"/>
    </row>
    <row r="79" spans="1:42" s="293" customFormat="1" x14ac:dyDescent="0.2">
      <c r="A79" s="632"/>
      <c r="B79" s="632"/>
      <c r="C79" s="632"/>
      <c r="D79" s="632"/>
      <c r="E79" s="632"/>
      <c r="F79" s="632"/>
      <c r="G79" s="632"/>
      <c r="H79" s="632"/>
      <c r="I79" s="632"/>
      <c r="J79" s="632"/>
      <c r="K79" s="632"/>
      <c r="L79" s="632"/>
      <c r="M79" s="632"/>
      <c r="N79" s="632"/>
      <c r="O79" s="632"/>
      <c r="P79" s="632"/>
      <c r="Q79" s="632"/>
      <c r="R79" s="632"/>
      <c r="S79" s="632"/>
      <c r="T79" s="632"/>
      <c r="U79" s="1112" t="s">
        <v>1332</v>
      </c>
      <c r="V79" s="1113"/>
      <c r="W79" s="1113"/>
      <c r="X79" s="1113"/>
      <c r="Y79" s="1113"/>
      <c r="Z79" s="1113"/>
      <c r="AA79" s="1113"/>
      <c r="AB79" s="1113"/>
      <c r="AC79" s="1113"/>
      <c r="AD79" s="1113"/>
      <c r="AE79" s="1114"/>
      <c r="AF79" s="630"/>
    </row>
    <row r="80" spans="1:42" s="293" customFormat="1" ht="13.5" customHeight="1" x14ac:dyDescent="0.2">
      <c r="A80" s="632"/>
      <c r="B80" s="632"/>
      <c r="C80" s="632"/>
      <c r="D80" s="632"/>
      <c r="E80" s="632"/>
      <c r="F80" s="632"/>
      <c r="G80" s="632"/>
      <c r="H80" s="632"/>
      <c r="I80" s="632"/>
      <c r="J80" s="632"/>
      <c r="K80" s="632"/>
      <c r="L80" s="632"/>
      <c r="M80" s="632"/>
      <c r="N80" s="632"/>
      <c r="O80" s="632"/>
      <c r="P80" s="632"/>
      <c r="Q80" s="632"/>
      <c r="R80" s="632"/>
      <c r="S80" s="632"/>
      <c r="T80" s="632"/>
      <c r="U80" s="936" t="str">
        <f>$U$12</f>
        <v>Tipo de Despesas</v>
      </c>
      <c r="V80" s="937" t="str">
        <f>$V$12</f>
        <v>Básico</v>
      </c>
      <c r="W80" s="944" t="str">
        <f>$W$12</f>
        <v>Volta às Aulas</v>
      </c>
      <c r="X80" s="939" t="str">
        <f>$X$12</f>
        <v>Fazendo Futuro</v>
      </c>
      <c r="Y80" s="946" t="str">
        <f>$Y$12</f>
        <v>Rolê Cultural</v>
      </c>
      <c r="Z80" s="941" t="str">
        <f>$Z$12</f>
        <v>Imprensa Jovem</v>
      </c>
      <c r="AA80" s="942" t="str">
        <f>$AA$12</f>
        <v>Grêmio</v>
      </c>
      <c r="AB80" s="981" t="str">
        <f>$AB$12</f>
        <v>Formação</v>
      </c>
      <c r="AC80" s="980" t="str">
        <f>$AC$12</f>
        <v>Mais Escola</v>
      </c>
      <c r="AD80" s="982" t="str">
        <f>$AD$12</f>
        <v>Livre Aplic.</v>
      </c>
      <c r="AE80" s="936" t="str">
        <f>$AE$12</f>
        <v>Total</v>
      </c>
      <c r="AF80" s="630"/>
      <c r="AI80" s="57"/>
      <c r="AJ80" s="57"/>
      <c r="AK80" s="57"/>
      <c r="AL80" s="57"/>
      <c r="AM80" s="57"/>
      <c r="AN80" s="57"/>
      <c r="AO80" s="57"/>
      <c r="AP80" s="57"/>
    </row>
    <row r="81" spans="1:42" s="293" customFormat="1" ht="13.5" customHeight="1" x14ac:dyDescent="0.2">
      <c r="A81" s="632"/>
      <c r="B81" s="632"/>
      <c r="C81" s="764" t="str">
        <f>IF(D81="","",O10)</f>
        <v/>
      </c>
      <c r="D81" s="1118" t="str">
        <f>IF(N10="","",N10)</f>
        <v/>
      </c>
      <c r="E81" s="1118"/>
      <c r="F81" s="632"/>
      <c r="G81" s="632"/>
      <c r="H81" s="632"/>
      <c r="I81" s="632"/>
      <c r="J81" s="632"/>
      <c r="K81" s="632"/>
      <c r="L81" s="632"/>
      <c r="M81" s="632"/>
      <c r="N81" s="632"/>
      <c r="O81" s="632"/>
      <c r="P81" s="632"/>
      <c r="Q81" s="632"/>
      <c r="R81" s="632"/>
      <c r="S81" s="632"/>
      <c r="T81" s="632"/>
      <c r="U81" s="734" t="str">
        <f>$U$14</f>
        <v>R$ - Custeio</v>
      </c>
      <c r="V81" s="735" t="str">
        <f>IF(Dados!$E$3="","",IF(Ata!$BG$64="",0,Ata!$BG$64))</f>
        <v/>
      </c>
      <c r="W81" s="735" t="str">
        <f>IF(Dados!$E$3="","",IF(Ata!$BI$64="",0,Ata!$BI$64))</f>
        <v/>
      </c>
      <c r="X81" s="735" t="str">
        <f>IF(Dados!$E$3="","",IF(Ata!$BK$64="",0,Ata!$BK$64))</f>
        <v/>
      </c>
      <c r="Y81" s="735" t="str">
        <f>IF(Dados!$E$3="","",IF(Ata!$BM$64="",0,Ata!$BM$64))</f>
        <v/>
      </c>
      <c r="Z81" s="735" t="str">
        <f>IF(Dados!$E$3="","",IF(Ata!$BO$64="",0,Ata!$BO$64))</f>
        <v/>
      </c>
      <c r="AA81" s="735" t="str">
        <f>IF(Dados!$E$3="","",IF(Ata!$BQ$64="",0,Ata!$BQ$64))</f>
        <v/>
      </c>
      <c r="AB81" s="735" t="str">
        <f>IF(Dados!$E$3="","",IF(Ata!$BS$64="",0,Ata!$BS$64))</f>
        <v/>
      </c>
      <c r="AC81" s="735" t="str">
        <f>IF(Dados!$E$3="","",IF(Ata!$BU$64="",0,Ata!$BU$64))</f>
        <v/>
      </c>
      <c r="AD81" s="735" t="str">
        <f>IF(Dados!$E$3="","",IF(Ata!$BW$64="",0,Ata!$BW$64))</f>
        <v/>
      </c>
      <c r="AE81" s="735" t="str">
        <f>IF(Dados!$E$3="","",SUM(V81:AD81))</f>
        <v/>
      </c>
      <c r="AF81" s="630"/>
      <c r="AI81" s="57"/>
      <c r="AJ81" s="57"/>
      <c r="AK81" s="57"/>
      <c r="AL81" s="57"/>
      <c r="AM81" s="57"/>
      <c r="AN81" s="57"/>
      <c r="AO81" s="57"/>
      <c r="AP81" s="57"/>
    </row>
    <row r="82" spans="1:42" s="293" customFormat="1" ht="13.5" customHeight="1" thickBot="1" x14ac:dyDescent="0.25">
      <c r="A82" s="632"/>
      <c r="B82" s="632"/>
      <c r="C82" s="648"/>
      <c r="D82" s="649"/>
      <c r="E82" s="649"/>
      <c r="F82" s="632"/>
      <c r="G82" s="632"/>
      <c r="H82" s="632"/>
      <c r="I82" s="632"/>
      <c r="J82" s="648"/>
      <c r="K82" s="648"/>
      <c r="L82" s="648"/>
      <c r="M82" s="648"/>
      <c r="N82" s="633"/>
      <c r="O82" s="648"/>
      <c r="P82" s="648"/>
      <c r="Q82" s="648"/>
      <c r="R82" s="648"/>
      <c r="S82" s="648"/>
      <c r="T82" s="648"/>
      <c r="U82" s="738" t="str">
        <f>$U$16</f>
        <v>R$ - Capital</v>
      </c>
      <c r="V82" s="737" t="str">
        <f>IF(Dados!$E$3="","",IF(Ata!$BH$64="",0,Ata!$BH$64))</f>
        <v/>
      </c>
      <c r="W82" s="737" t="str">
        <f>IF(Dados!$E$3="","",IF(Ata!$BJ$64="",0,Ata!$BJ$64))</f>
        <v/>
      </c>
      <c r="X82" s="737" t="str">
        <f>IF(Dados!$E$3="","",IF(Ata!$BL$64="",0,Ata!$BL$64))</f>
        <v/>
      </c>
      <c r="Y82" s="737" t="str">
        <f>IF(Dados!$E$3="","",IF(Ata!$BN$64="",0,Ata!$BN$64))</f>
        <v/>
      </c>
      <c r="Z82" s="737" t="str">
        <f>IF(Dados!$E$3="","",IF(Ata!$BP$64="",0,Ata!$BP$64))</f>
        <v/>
      </c>
      <c r="AA82" s="737" t="str">
        <f>IF(Dados!$E$3="","",IF(Ata!$BR$64="",0,Ata!$BR$64))</f>
        <v/>
      </c>
      <c r="AB82" s="737" t="str">
        <f>IF(Dados!$E$3="","",IF(Ata!$BT$64="",0,Ata!$BT$64))</f>
        <v/>
      </c>
      <c r="AC82" s="737" t="str">
        <f>IF(Dados!$E$3="","",IF(Ata!$BV$64="",0,Ata!$BV$64))</f>
        <v/>
      </c>
      <c r="AD82" s="737" t="str">
        <f>IF(Dados!$E$3="","",IF(Ata!$BX$64="",0,Ata!$BX$64))</f>
        <v/>
      </c>
      <c r="AE82" s="737" t="str">
        <f>IF(Dados!$E$3="","",SUM(V82:AD82))</f>
        <v/>
      </c>
      <c r="AF82" s="630"/>
      <c r="AI82" s="57"/>
      <c r="AJ82" s="57"/>
      <c r="AK82" s="57"/>
      <c r="AL82" s="57"/>
      <c r="AM82" s="57"/>
      <c r="AN82" s="57"/>
      <c r="AO82" s="57"/>
      <c r="AP82" s="57"/>
    </row>
    <row r="83" spans="1:42" s="293" customFormat="1" ht="13.5" customHeight="1" thickTop="1" x14ac:dyDescent="0.2">
      <c r="A83" s="632"/>
      <c r="B83" s="632"/>
      <c r="C83" s="648"/>
      <c r="D83" s="1111" t="str">
        <f>IF(P12="","",P12)</f>
        <v/>
      </c>
      <c r="E83" s="1111"/>
      <c r="F83" s="1111"/>
      <c r="G83" s="632"/>
      <c r="H83" s="632"/>
      <c r="I83" s="632"/>
      <c r="J83" s="648"/>
      <c r="K83" s="648"/>
      <c r="L83" s="648"/>
      <c r="M83" s="648"/>
      <c r="N83" s="633"/>
      <c r="O83" s="648"/>
      <c r="P83" s="648"/>
      <c r="Q83" s="648"/>
      <c r="R83" s="648"/>
      <c r="S83" s="648"/>
      <c r="T83" s="648"/>
      <c r="U83" s="743" t="str">
        <f>$U$17</f>
        <v>Total</v>
      </c>
      <c r="V83" s="744" t="str">
        <f>IF(Dados!$E$3="","",SUM(V81:V82))</f>
        <v/>
      </c>
      <c r="W83" s="744" t="str">
        <f>IF(Dados!$E$3="","",SUM(W81:W82))</f>
        <v/>
      </c>
      <c r="X83" s="744" t="str">
        <f>IF(Dados!$E$3="","",SUM(X81:X82))</f>
        <v/>
      </c>
      <c r="Y83" s="744" t="str">
        <f>IF(Dados!$E$3="","",SUM(Y81:Y82))</f>
        <v/>
      </c>
      <c r="Z83" s="744" t="str">
        <f>IF(Dados!$E$3="","",SUM(Z81:Z82))</f>
        <v/>
      </c>
      <c r="AA83" s="744" t="str">
        <f>IF(Dados!$E$3="","",SUM(AA81:AA82))</f>
        <v/>
      </c>
      <c r="AB83" s="744" t="str">
        <f>IF(Dados!$E$3="","",SUM(AB81:AB82))</f>
        <v/>
      </c>
      <c r="AC83" s="744" t="str">
        <f>IF(Dados!$E$3="","",SUM(AC81:AC82))</f>
        <v/>
      </c>
      <c r="AD83" s="744" t="str">
        <f>IF(Dados!$E$3="","",SUM(AD81:AD82))</f>
        <v/>
      </c>
      <c r="AE83" s="744" t="str">
        <f>IF(Dados!$E$3="","",SUM(AE81:AE82))</f>
        <v/>
      </c>
      <c r="AF83" s="630"/>
      <c r="AI83" s="57"/>
      <c r="AJ83" s="57"/>
      <c r="AK83" s="57"/>
      <c r="AL83" s="57"/>
      <c r="AM83" s="57"/>
      <c r="AN83" s="57"/>
      <c r="AO83" s="57"/>
      <c r="AP83" s="57"/>
    </row>
    <row r="84" spans="1:42" s="293" customFormat="1" ht="13.5" customHeight="1" x14ac:dyDescent="0.2">
      <c r="A84" s="632"/>
      <c r="B84" s="632"/>
      <c r="C84" s="648"/>
      <c r="D84" s="649"/>
      <c r="E84" s="649"/>
      <c r="F84" s="632"/>
      <c r="G84" s="632"/>
      <c r="H84" s="632"/>
      <c r="I84" s="632"/>
      <c r="J84" s="648"/>
      <c r="K84" s="648"/>
      <c r="L84" s="648"/>
      <c r="M84" s="648"/>
      <c r="N84" s="633"/>
      <c r="O84" s="648"/>
      <c r="P84" s="648"/>
      <c r="Q84" s="648"/>
      <c r="R84" s="648"/>
      <c r="S84" s="648"/>
      <c r="T84" s="648"/>
      <c r="U84" s="648"/>
      <c r="V84" s="648"/>
      <c r="W84" s="648"/>
      <c r="X84" s="648"/>
      <c r="Y84" s="648"/>
      <c r="Z84" s="648"/>
      <c r="AA84" s="648"/>
      <c r="AB84" s="648"/>
      <c r="AC84" s="648"/>
      <c r="AD84" s="648"/>
      <c r="AE84" s="648"/>
      <c r="AF84" s="630"/>
      <c r="AI84" s="57"/>
      <c r="AJ84" s="57"/>
      <c r="AK84" s="57"/>
      <c r="AL84" s="57"/>
      <c r="AM84" s="57"/>
      <c r="AN84" s="57"/>
      <c r="AO84" s="57"/>
      <c r="AP84" s="57"/>
    </row>
    <row r="85" spans="1:42" s="293" customFormat="1" ht="13.5" customHeight="1" x14ac:dyDescent="0.2">
      <c r="A85" s="632"/>
      <c r="B85" s="632"/>
      <c r="C85" s="722"/>
      <c r="D85" s="649"/>
      <c r="E85" s="649"/>
      <c r="F85" s="632"/>
      <c r="G85" s="632"/>
      <c r="H85" s="632"/>
      <c r="I85" s="632"/>
      <c r="J85" s="648"/>
      <c r="K85" s="648"/>
      <c r="L85" s="648"/>
      <c r="M85" s="648"/>
      <c r="N85" s="633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648"/>
      <c r="AE85" s="648"/>
      <c r="AF85" s="630"/>
      <c r="AI85" s="57"/>
      <c r="AJ85" s="57"/>
      <c r="AK85" s="57"/>
      <c r="AL85" s="57"/>
      <c r="AM85" s="57"/>
      <c r="AN85" s="57"/>
      <c r="AO85" s="57"/>
      <c r="AP85" s="57"/>
    </row>
    <row r="86" spans="1:42" s="293" customFormat="1" ht="13.5" customHeight="1" x14ac:dyDescent="0.2">
      <c r="A86" s="632"/>
      <c r="B86" s="632"/>
      <c r="C86" s="648"/>
      <c r="D86" s="649"/>
      <c r="E86" s="649"/>
      <c r="F86" s="632"/>
      <c r="G86" s="632"/>
      <c r="H86" s="632"/>
      <c r="I86" s="632"/>
      <c r="J86" s="648"/>
      <c r="K86" s="648"/>
      <c r="L86" s="648"/>
      <c r="M86" s="648"/>
      <c r="N86" s="677"/>
      <c r="O86" s="648"/>
      <c r="P86" s="648"/>
      <c r="Q86" s="648"/>
      <c r="R86" s="648"/>
      <c r="S86" s="648"/>
      <c r="T86" s="648"/>
      <c r="U86" s="1115" t="str">
        <f>UPPER("Reprogramados para o próximo repasse")</f>
        <v>REPROGRAMADOS PARA O PRÓXIMO REPASSE</v>
      </c>
      <c r="V86" s="1116"/>
      <c r="W86" s="1116"/>
      <c r="X86" s="1116"/>
      <c r="Y86" s="1116"/>
      <c r="Z86" s="1116"/>
      <c r="AA86" s="1116"/>
      <c r="AB86" s="1116"/>
      <c r="AC86" s="1116"/>
      <c r="AD86" s="1116"/>
      <c r="AE86" s="1117"/>
      <c r="AF86" s="630"/>
      <c r="AI86" s="57"/>
      <c r="AJ86" s="57"/>
      <c r="AK86" s="57"/>
      <c r="AL86" s="57"/>
      <c r="AM86" s="57"/>
      <c r="AN86" s="57"/>
      <c r="AO86" s="57"/>
      <c r="AP86" s="57"/>
    </row>
    <row r="87" spans="1:42" s="293" customFormat="1" ht="13.5" customHeight="1" x14ac:dyDescent="0.2">
      <c r="A87" s="632"/>
      <c r="B87" s="632"/>
      <c r="C87" s="722" t="str">
        <f t="shared" ref="C87:C94" si="6">IF(D87="","",O17)</f>
        <v/>
      </c>
      <c r="D87" s="1111" t="str">
        <f t="shared" ref="D87:D94" si="7">IF(P17="","",P17)</f>
        <v/>
      </c>
      <c r="E87" s="1111"/>
      <c r="F87" s="632"/>
      <c r="G87" s="632"/>
      <c r="H87" s="632"/>
      <c r="I87" s="632"/>
      <c r="J87" s="648"/>
      <c r="K87" s="648"/>
      <c r="L87" s="648"/>
      <c r="M87" s="648"/>
      <c r="N87" s="677"/>
      <c r="O87" s="648"/>
      <c r="P87" s="648"/>
      <c r="Q87" s="648"/>
      <c r="R87" s="648"/>
      <c r="S87" s="648"/>
      <c r="T87" s="648"/>
      <c r="U87" s="936" t="str">
        <f>$U$12</f>
        <v>Tipo de Despesas</v>
      </c>
      <c r="V87" s="937" t="str">
        <f>$V$12</f>
        <v>Básico</v>
      </c>
      <c r="W87" s="944" t="str">
        <f>$W$12</f>
        <v>Volta às Aulas</v>
      </c>
      <c r="X87" s="939" t="str">
        <f>$X$12</f>
        <v>Fazendo Futuro</v>
      </c>
      <c r="Y87" s="946" t="str">
        <f>$Y$12</f>
        <v>Rolê Cultural</v>
      </c>
      <c r="Z87" s="941" t="str">
        <f>$Z$12</f>
        <v>Imprensa Jovem</v>
      </c>
      <c r="AA87" s="942" t="str">
        <f>$AA$12</f>
        <v>Grêmio</v>
      </c>
      <c r="AB87" s="981" t="str">
        <f>$AB$12</f>
        <v>Formação</v>
      </c>
      <c r="AC87" s="980" t="str">
        <f>$AC$12</f>
        <v>Mais Escola</v>
      </c>
      <c r="AD87" s="982" t="str">
        <f>$AD$12</f>
        <v>Livre Aplic.</v>
      </c>
      <c r="AE87" s="936" t="str">
        <f>$AE$12</f>
        <v>Total</v>
      </c>
      <c r="AF87" s="630"/>
      <c r="AI87" s="57"/>
      <c r="AJ87" s="57"/>
      <c r="AK87" s="57"/>
      <c r="AL87" s="57"/>
      <c r="AM87" s="57"/>
      <c r="AN87" s="57"/>
      <c r="AO87" s="57"/>
      <c r="AP87" s="57"/>
    </row>
    <row r="88" spans="1:42" s="293" customFormat="1" ht="13.5" customHeight="1" x14ac:dyDescent="0.2">
      <c r="A88" s="632"/>
      <c r="B88" s="632"/>
      <c r="C88" s="722" t="str">
        <f t="shared" si="6"/>
        <v/>
      </c>
      <c r="D88" s="1111" t="str">
        <f t="shared" si="7"/>
        <v/>
      </c>
      <c r="E88" s="1111"/>
      <c r="F88" s="632"/>
      <c r="G88" s="632"/>
      <c r="H88" s="632"/>
      <c r="I88" s="632"/>
      <c r="J88" s="648"/>
      <c r="K88" s="648"/>
      <c r="L88" s="648"/>
      <c r="M88" s="648"/>
      <c r="N88" s="677"/>
      <c r="O88" s="648"/>
      <c r="P88" s="648"/>
      <c r="Q88" s="648"/>
      <c r="R88" s="648"/>
      <c r="S88" s="648"/>
      <c r="T88" s="648"/>
      <c r="U88" s="734" t="str">
        <f>$U$14</f>
        <v>R$ - Custeio</v>
      </c>
      <c r="V88" s="735" t="str">
        <f>IF(Dados!$E$3="","",MOD_2!$T$15)</f>
        <v/>
      </c>
      <c r="W88" s="735" t="str">
        <f>IF(Dados!$E$3="","",MOD_2_volta_aulas!$T$15)</f>
        <v/>
      </c>
      <c r="X88" s="735" t="str">
        <f>IF(Dados!$E$3="","",MOD_2_futuro!$T$15)</f>
        <v/>
      </c>
      <c r="Y88" s="735" t="str">
        <f>IF(Dados!$E$3="","",MOD_2_transporte!$T$15)</f>
        <v/>
      </c>
      <c r="Z88" s="735" t="str">
        <f>IF(Dados!$E$3="","",MOD_2_imprensa!$T$15)</f>
        <v/>
      </c>
      <c r="AA88" s="735" t="str">
        <f>IF(Dados!$E$3="","",MOD_2_gremio!$T$15)</f>
        <v/>
      </c>
      <c r="AB88" s="735" t="str">
        <f>IF(Dados!$E$3="","",MOD_2_formacao!$T$15)</f>
        <v/>
      </c>
      <c r="AC88" s="735" t="str">
        <f>IF(Dados!$E$3="","",MOD_2_mais_escola!$T$15)</f>
        <v/>
      </c>
      <c r="AD88" s="735" t="str">
        <f>IF(Dados!$E$3="","",MOD_2_livre_aplicacao!$T$15)</f>
        <v/>
      </c>
      <c r="AE88" s="735" t="str">
        <f>IF(Dados!$E$3="","",SUM(V88:AD88))</f>
        <v/>
      </c>
      <c r="AF88" s="630"/>
      <c r="AI88" s="57"/>
      <c r="AJ88" s="57"/>
      <c r="AK88" s="57"/>
      <c r="AL88" s="57"/>
      <c r="AM88" s="57"/>
      <c r="AN88" s="57"/>
      <c r="AO88" s="57"/>
      <c r="AP88" s="57"/>
    </row>
    <row r="89" spans="1:42" s="293" customFormat="1" ht="13.5" customHeight="1" thickBot="1" x14ac:dyDescent="0.25">
      <c r="A89" s="632"/>
      <c r="B89" s="632"/>
      <c r="C89" s="722" t="str">
        <f t="shared" si="6"/>
        <v/>
      </c>
      <c r="D89" s="1111" t="str">
        <f t="shared" si="7"/>
        <v/>
      </c>
      <c r="E89" s="1111"/>
      <c r="F89" s="632"/>
      <c r="G89" s="632"/>
      <c r="H89" s="632"/>
      <c r="I89" s="632"/>
      <c r="J89" s="648"/>
      <c r="K89" s="648"/>
      <c r="L89" s="648"/>
      <c r="M89" s="648"/>
      <c r="N89" s="648"/>
      <c r="O89" s="648"/>
      <c r="P89" s="648"/>
      <c r="Q89" s="648"/>
      <c r="R89" s="648"/>
      <c r="S89" s="648"/>
      <c r="T89" s="648"/>
      <c r="U89" s="738" t="str">
        <f>$U$16</f>
        <v>R$ - Capital</v>
      </c>
      <c r="V89" s="737" t="str">
        <f>IF(Dados!$E$3="","",MOD_2!$T$16)</f>
        <v/>
      </c>
      <c r="W89" s="737" t="str">
        <f>IF(Dados!$E$3="","",MOD_2_volta_aulas!$T$16)</f>
        <v/>
      </c>
      <c r="X89" s="737" t="str">
        <f>IF(Dados!$E$3="","",MOD_2_futuro!$T$16)</f>
        <v/>
      </c>
      <c r="Y89" s="737" t="str">
        <f>IF(Dados!$E$3="","",MOD_2_transporte!$T$16)</f>
        <v/>
      </c>
      <c r="Z89" s="737" t="str">
        <f>IF(Dados!$E$3="","",MOD_2_imprensa!$T$16)</f>
        <v/>
      </c>
      <c r="AA89" s="737" t="str">
        <f>IF(Dados!$E$3="","",MOD_2_gremio!$T$16)</f>
        <v/>
      </c>
      <c r="AB89" s="737" t="str">
        <f>IF(Dados!$E$3="","",MOD_2_formacao!$T$16)</f>
        <v/>
      </c>
      <c r="AC89" s="737" t="str">
        <f>IF(Dados!$E$3="","",MOD_2_mais_escola!$T$16)</f>
        <v/>
      </c>
      <c r="AD89" s="737" t="str">
        <f>IF(Dados!$E$3="","",MOD_2_livre_aplicacao!$T$16)</f>
        <v/>
      </c>
      <c r="AE89" s="737" t="str">
        <f>IF(Dados!$E$3="","",SUM(V89:AD89))</f>
        <v/>
      </c>
      <c r="AF89" s="630"/>
      <c r="AI89" s="57"/>
      <c r="AJ89" s="57"/>
      <c r="AK89" s="57"/>
      <c r="AL89" s="57"/>
      <c r="AM89" s="57"/>
      <c r="AN89" s="57"/>
      <c r="AO89" s="57"/>
      <c r="AP89" s="57"/>
    </row>
    <row r="90" spans="1:42" s="293" customFormat="1" ht="13.5" customHeight="1" thickTop="1" x14ac:dyDescent="0.2">
      <c r="A90" s="632"/>
      <c r="B90" s="632"/>
      <c r="C90" s="722" t="str">
        <f t="shared" si="6"/>
        <v/>
      </c>
      <c r="D90" s="1111" t="str">
        <f t="shared" si="7"/>
        <v/>
      </c>
      <c r="E90" s="1111"/>
      <c r="F90" s="632"/>
      <c r="G90" s="1119" t="str">
        <f>IF(AND($I$93="",$I$95="",$I$97=""),"Preencha os campos                     Data do Extrato - Rendimento - Saldo",IF(AND($I$93="",$I$95=""),"Preencha os campos                     Data do Extrato - Rendimento",IF(AND($I$93="",$I$97=""),"Preencha os campos                     Data do Extrato - Saldo",IF(AND($I$95="",$I$97=""),"Preencha os campos                     Rendimento - Saldo",IF($I$93="","Preencha o campo Data do Extrato",IF($I$95="","Preencha o campo Rendimento, mesmo que seja 0 (zero)",IF($I$97="","Preencha o campo Saldo","")))))))</f>
        <v>Preencha os campos                     Data do Extrato - Rendimento - Saldo</v>
      </c>
      <c r="H90" s="1119"/>
      <c r="I90" s="1119"/>
      <c r="J90" s="648"/>
      <c r="K90" s="648"/>
      <c r="L90" s="648"/>
      <c r="M90" s="648"/>
      <c r="N90" s="648"/>
      <c r="O90" s="648"/>
      <c r="P90" s="648"/>
      <c r="Q90" s="648"/>
      <c r="R90" s="648"/>
      <c r="S90" s="648"/>
      <c r="T90" s="648"/>
      <c r="U90" s="743" t="str">
        <f>$U$17</f>
        <v>Total</v>
      </c>
      <c r="V90" s="744" t="str">
        <f>IF(Dados!$E$3="","",SUM(V88:V89))</f>
        <v/>
      </c>
      <c r="W90" s="744" t="str">
        <f>IF(Dados!$E$3="","",SUM(W88:W89))</f>
        <v/>
      </c>
      <c r="X90" s="744" t="str">
        <f>IF(Dados!$E$3="","",SUM(X88:X89))</f>
        <v/>
      </c>
      <c r="Y90" s="744" t="str">
        <f>IF(Dados!$E$3="","",SUM(Y88:Y89))</f>
        <v/>
      </c>
      <c r="Z90" s="744" t="str">
        <f>IF(Dados!$E$3="","",SUM(Z88:Z89))</f>
        <v/>
      </c>
      <c r="AA90" s="744" t="str">
        <f>IF(Dados!$E$3="","",SUM(AA88:AA89))</f>
        <v/>
      </c>
      <c r="AB90" s="744" t="str">
        <f>IF(Dados!$E$3="","",SUM(AB88:AB89))</f>
        <v/>
      </c>
      <c r="AC90" s="744" t="str">
        <f>IF(Dados!$E$3="","",SUM(AC88:AC89))</f>
        <v/>
      </c>
      <c r="AD90" s="744" t="str">
        <f>IF(Dados!$E$3="","",SUM(AD88:AD89))</f>
        <v/>
      </c>
      <c r="AE90" s="744" t="str">
        <f>IF(Dados!$E$3="","",SUM(AE88:AE89))</f>
        <v/>
      </c>
      <c r="AF90" s="630"/>
      <c r="AI90" s="57"/>
      <c r="AJ90" s="57"/>
      <c r="AK90" s="57"/>
      <c r="AL90" s="57"/>
      <c r="AM90" s="57"/>
      <c r="AN90" s="57"/>
      <c r="AO90" s="57"/>
      <c r="AP90" s="57"/>
    </row>
    <row r="91" spans="1:42" s="293" customFormat="1" ht="13.5" customHeight="1" x14ac:dyDescent="0.2">
      <c r="A91" s="632"/>
      <c r="B91" s="632"/>
      <c r="C91" s="722" t="str">
        <f t="shared" si="6"/>
        <v/>
      </c>
      <c r="D91" s="1111" t="str">
        <f t="shared" si="7"/>
        <v/>
      </c>
      <c r="E91" s="1111"/>
      <c r="F91" s="632"/>
      <c r="G91" s="1119"/>
      <c r="H91" s="1119"/>
      <c r="I91" s="1119"/>
      <c r="J91" s="648"/>
      <c r="K91" s="648"/>
      <c r="L91" s="648"/>
      <c r="M91" s="648"/>
      <c r="N91" s="648"/>
      <c r="O91" s="648"/>
      <c r="P91" s="648"/>
      <c r="Q91" s="648"/>
      <c r="R91" s="648"/>
      <c r="S91" s="648"/>
      <c r="T91" s="648"/>
      <c r="U91" s="648"/>
      <c r="V91" s="648"/>
      <c r="W91" s="648"/>
      <c r="X91" s="648"/>
      <c r="Y91" s="648"/>
      <c r="Z91" s="648"/>
      <c r="AA91" s="648"/>
      <c r="AB91" s="648"/>
      <c r="AC91" s="648"/>
      <c r="AD91" s="648"/>
      <c r="AE91" s="648"/>
      <c r="AF91" s="630"/>
      <c r="AI91" s="57"/>
      <c r="AJ91" s="57"/>
      <c r="AK91" s="57"/>
      <c r="AL91" s="57"/>
      <c r="AM91" s="57"/>
      <c r="AN91" s="57"/>
      <c r="AO91" s="57"/>
      <c r="AP91" s="57"/>
    </row>
    <row r="92" spans="1:42" s="293" customFormat="1" ht="13.5" customHeight="1" thickBot="1" x14ac:dyDescent="0.25">
      <c r="A92" s="632"/>
      <c r="B92" s="632"/>
      <c r="C92" s="722" t="str">
        <f t="shared" si="6"/>
        <v/>
      </c>
      <c r="D92" s="1111" t="str">
        <f t="shared" si="7"/>
        <v/>
      </c>
      <c r="E92" s="1111"/>
      <c r="F92" s="632"/>
      <c r="G92" s="1119"/>
      <c r="H92" s="1119"/>
      <c r="I92" s="1119"/>
      <c r="J92" s="648"/>
      <c r="K92" s="648"/>
      <c r="L92" s="648"/>
      <c r="M92" s="648"/>
      <c r="N92" s="648"/>
      <c r="O92" s="648"/>
      <c r="P92" s="648"/>
      <c r="Q92" s="648"/>
      <c r="R92" s="648"/>
      <c r="S92" s="648"/>
      <c r="T92" s="648"/>
      <c r="U92" s="648"/>
      <c r="V92" s="648"/>
      <c r="W92" s="648"/>
      <c r="X92" s="648"/>
      <c r="Y92" s="648"/>
      <c r="Z92" s="648"/>
      <c r="AA92" s="648"/>
      <c r="AB92" s="648"/>
      <c r="AC92" s="648"/>
      <c r="AD92" s="648"/>
      <c r="AE92" s="648"/>
      <c r="AF92" s="630"/>
      <c r="AI92" s="57"/>
      <c r="AJ92" s="57"/>
      <c r="AK92" s="57"/>
      <c r="AL92" s="57"/>
      <c r="AM92" s="57"/>
      <c r="AN92" s="57"/>
      <c r="AO92" s="57"/>
      <c r="AP92" s="57"/>
    </row>
    <row r="93" spans="1:42" s="293" customFormat="1" ht="13.5" customHeight="1" x14ac:dyDescent="0.2">
      <c r="A93" s="632"/>
      <c r="B93" s="632"/>
      <c r="C93" s="722" t="str">
        <f t="shared" si="6"/>
        <v/>
      </c>
      <c r="D93" s="1111" t="str">
        <f t="shared" si="7"/>
        <v/>
      </c>
      <c r="E93" s="1111"/>
      <c r="F93" s="632"/>
      <c r="G93" s="1148" t="s">
        <v>15215</v>
      </c>
      <c r="H93" s="1149"/>
      <c r="I93" s="1063"/>
      <c r="J93" s="648"/>
      <c r="K93" s="648"/>
      <c r="L93" s="648"/>
      <c r="M93" s="648"/>
      <c r="N93" s="648"/>
      <c r="O93" s="648"/>
      <c r="P93" s="648"/>
      <c r="Q93" s="648"/>
      <c r="R93" s="648"/>
      <c r="S93" s="648"/>
      <c r="T93" s="648"/>
      <c r="U93" s="1102" t="s">
        <v>1333</v>
      </c>
      <c r="V93" s="1103"/>
      <c r="W93" s="1103"/>
      <c r="X93" s="1103"/>
      <c r="Y93" s="1103"/>
      <c r="Z93" s="1103"/>
      <c r="AA93" s="1103"/>
      <c r="AB93" s="1103"/>
      <c r="AC93" s="1103"/>
      <c r="AD93" s="1103"/>
      <c r="AE93" s="1104"/>
      <c r="AF93" s="630"/>
      <c r="AI93" s="57"/>
      <c r="AJ93" s="57"/>
      <c r="AK93" s="57"/>
      <c r="AL93" s="57"/>
      <c r="AM93" s="57"/>
      <c r="AN93" s="57"/>
      <c r="AO93" s="57"/>
      <c r="AP93" s="57"/>
    </row>
    <row r="94" spans="1:42" s="293" customFormat="1" ht="13.5" customHeight="1" x14ac:dyDescent="0.2">
      <c r="A94" s="632"/>
      <c r="B94" s="633"/>
      <c r="C94" s="950" t="str">
        <f t="shared" si="6"/>
        <v/>
      </c>
      <c r="D94" s="1111" t="str">
        <f t="shared" si="7"/>
        <v/>
      </c>
      <c r="E94" s="1111"/>
      <c r="F94" s="632"/>
      <c r="G94" s="1145"/>
      <c r="H94" s="1146"/>
      <c r="I94" s="1147"/>
      <c r="J94" s="648"/>
      <c r="K94" s="648"/>
      <c r="L94" s="648"/>
      <c r="M94" s="648"/>
      <c r="N94" s="648"/>
      <c r="O94" s="648"/>
      <c r="P94" s="648"/>
      <c r="Q94" s="648"/>
      <c r="R94" s="648"/>
      <c r="S94" s="648"/>
      <c r="T94" s="648"/>
      <c r="U94" s="936" t="str">
        <f>$U$12</f>
        <v>Tipo de Despesas</v>
      </c>
      <c r="V94" s="937" t="str">
        <f>$V$12</f>
        <v>Básico</v>
      </c>
      <c r="W94" s="944" t="str">
        <f>$W$12</f>
        <v>Volta às Aulas</v>
      </c>
      <c r="X94" s="939" t="str">
        <f>$X$12</f>
        <v>Fazendo Futuro</v>
      </c>
      <c r="Y94" s="946" t="str">
        <f>$Y$12</f>
        <v>Rolê Cultural</v>
      </c>
      <c r="Z94" s="941" t="str">
        <f>$Z$12</f>
        <v>Imprensa Jovem</v>
      </c>
      <c r="AA94" s="942" t="str">
        <f>$AA$12</f>
        <v>Grêmio</v>
      </c>
      <c r="AB94" s="973" t="str">
        <f>$AB$12</f>
        <v>Formação</v>
      </c>
      <c r="AC94" s="973" t="str">
        <f>$AC$12</f>
        <v>Mais Escola</v>
      </c>
      <c r="AD94" s="973" t="str">
        <f>$AD$12</f>
        <v>Livre Aplic.</v>
      </c>
      <c r="AE94" s="936" t="str">
        <f>$AE$12</f>
        <v>Total</v>
      </c>
      <c r="AF94" s="630"/>
      <c r="AI94" s="57"/>
      <c r="AJ94" s="57"/>
      <c r="AK94" s="57"/>
      <c r="AL94" s="57"/>
      <c r="AM94" s="57"/>
      <c r="AN94" s="57"/>
      <c r="AO94" s="57"/>
      <c r="AP94" s="57"/>
    </row>
    <row r="95" spans="1:42" s="293" customFormat="1" ht="13.5" customHeight="1" thickBot="1" x14ac:dyDescent="0.25">
      <c r="A95" s="632"/>
      <c r="B95" s="632"/>
      <c r="C95" s="632"/>
      <c r="D95" s="632"/>
      <c r="E95" s="632"/>
      <c r="F95" s="632"/>
      <c r="G95" s="1140" t="s">
        <v>1160</v>
      </c>
      <c r="H95" s="1141"/>
      <c r="I95" s="1090"/>
      <c r="J95" s="648"/>
      <c r="K95" s="648"/>
      <c r="L95" s="648"/>
      <c r="M95" s="648"/>
      <c r="N95" s="648"/>
      <c r="O95" s="648"/>
      <c r="P95" s="648"/>
      <c r="Q95" s="648"/>
      <c r="R95" s="648"/>
      <c r="S95" s="633">
        <v>-1</v>
      </c>
      <c r="T95" s="648"/>
      <c r="U95" s="734" t="str">
        <f>"Reprog: "&amp;$U$14</f>
        <v>Reprog: R$ - Custeio</v>
      </c>
      <c r="V95" s="735" t="str">
        <f>IF(Dados!$E$3="","",IF(Despesas!$HE$165&lt;0,Despesas!$HE$165*$S$95,IF(Despesas!$HE$165&gt;=0,Despesas!$HE$165)))</f>
        <v/>
      </c>
      <c r="W95" s="735" t="str">
        <f>IF(Dados!$E$3="","",IF(Despesas!$HM$165&lt;0,Despesas!$HM$165*$S$95,IF(Despesas!$HM$165&gt;=0,Despesas!$HM$165)))</f>
        <v/>
      </c>
      <c r="X95" s="735" t="str">
        <f>IF(Dados!$E$3="","",IF(Despesas!$HU$165&lt;0,Despesas!$HU$165*$S$95,IF(Despesas!$HU$165&gt;=0,Despesas!$HU$165)))</f>
        <v/>
      </c>
      <c r="Y95" s="735" t="str">
        <f>IF(Dados!$E$3="","",IF(Despesas!$IC$165&lt;0,Despesas!$IC$165*$S$95,IF(Despesas!$IC$165&gt;=0,Despesas!$IC$165)))</f>
        <v/>
      </c>
      <c r="Z95" s="735" t="str">
        <f>IF(Dados!$E$3="","",IF(Despesas!$IK$165&lt;0,Despesas!$IK$165*$S$95,IF(Despesas!$IK$165&gt;=0,Despesas!$IK$165)))</f>
        <v/>
      </c>
      <c r="AA95" s="735" t="str">
        <f>IF(Dados!$E$3="","",IF(Despesas!$IS$165&lt;0,Despesas!$IS$165*$S$95,IF(Despesas!$IS$165&gt;=0,Despesas!$IS$165)))</f>
        <v/>
      </c>
      <c r="AB95" s="735" t="str">
        <f>IF(Dados!$E$3="","",IF(Despesas!$JA$165&lt;0,Despesas!$JA$165*$S$95,IF(Despesas!$JA$165&gt;=0,Despesas!$JA$165)))</f>
        <v/>
      </c>
      <c r="AC95" s="735" t="str">
        <f>IF(Dados!$E$3="","",IF(Despesas!$JI$165&lt;0,Despesas!$JI$165*$S$95,IF(Despesas!$JI$165&gt;=0,Despesas!$JI$165)))</f>
        <v/>
      </c>
      <c r="AD95" s="735" t="str">
        <f>IF(Dados!$E$3="","",IF(Despesas!$JQ$165&lt;0,Despesas!$JQ$165*$S$95,IF(Despesas!$JQ$165&gt;=0,Despesas!$JQ$165)))</f>
        <v/>
      </c>
      <c r="AE95" s="735" t="str">
        <f>IF(Dados!$E$3="","",SUM(V95:AD95))</f>
        <v/>
      </c>
      <c r="AF95" s="630"/>
      <c r="AI95" s="57"/>
      <c r="AJ95" s="57"/>
      <c r="AK95" s="57"/>
      <c r="AL95" s="57"/>
      <c r="AM95" s="57"/>
      <c r="AN95" s="57"/>
      <c r="AO95" s="57"/>
      <c r="AP95" s="57"/>
    </row>
    <row r="96" spans="1:42" s="293" customFormat="1" ht="13.5" customHeight="1" thickBot="1" x14ac:dyDescent="0.25">
      <c r="A96" s="951"/>
      <c r="B96" s="1138" t="str">
        <f>IF(Dados!$E$3="","",IF($C$98=0,"","RESSARCIMENTO"))</f>
        <v/>
      </c>
      <c r="C96" s="1139"/>
      <c r="D96" s="632"/>
      <c r="E96" s="632"/>
      <c r="F96" s="632"/>
      <c r="G96" s="745"/>
      <c r="H96" s="746"/>
      <c r="I96" s="1005"/>
      <c r="J96" s="648"/>
      <c r="K96" s="648"/>
      <c r="L96" s="648"/>
      <c r="M96" s="648"/>
      <c r="N96" s="648"/>
      <c r="O96" s="648"/>
      <c r="P96" s="648"/>
      <c r="Q96" s="648"/>
      <c r="R96" s="648"/>
      <c r="S96" s="648"/>
      <c r="T96" s="648"/>
      <c r="U96" s="780" t="str">
        <f>"Receb: "&amp;$U$14</f>
        <v>Receb: R$ - Custeio</v>
      </c>
      <c r="V96" s="781" t="str">
        <f>IF(Dados!$E$3="","",IF(Despesas!$HG$165&lt;0,Despesas!$HG$165*$S$95,IF(Despesas!$HG$165&gt;=0,Despesas!$HG$165)))</f>
        <v/>
      </c>
      <c r="W96" s="781" t="str">
        <f>IF(Dados!$E$3="","",IF(Despesas!$HO$165&lt;0,Despesas!$HO$165*$S$95,IF(Despesas!$HO$165&gt;=0,Despesas!$HO$165)))</f>
        <v/>
      </c>
      <c r="X96" s="781" t="str">
        <f>IF(Dados!$E$3="","",IF(Despesas!$HW$165&lt;0,Despesas!$HW$165*$S$95,IF(Despesas!$HW$165&gt;=0,Despesas!$HW$165)))</f>
        <v/>
      </c>
      <c r="Y96" s="781" t="str">
        <f>IF(Dados!$E$3="","",IF(Despesas!$IE$165&lt;0,Despesas!$IE$165*$S$95,IF(Despesas!$IE$165&gt;=0,Despesas!$IE$165)))</f>
        <v/>
      </c>
      <c r="Z96" s="781" t="str">
        <f>IF(Dados!$E$3="","",IF(Despesas!$IM$165&lt;0,Despesas!$IM$165*$S$95,IF(Despesas!$IM$165&gt;=0,Despesas!$IM$165)))</f>
        <v/>
      </c>
      <c r="AA96" s="781" t="str">
        <f>IF(Dados!$E$3="","",IF(Despesas!$IU$165&lt;0,Despesas!$IU$165*$S$95,IF(Despesas!$IU$165&gt;=0,Despesas!$IU$165)))</f>
        <v/>
      </c>
      <c r="AB96" s="781" t="str">
        <f>IF(Dados!$E$3="","",IF(Despesas!$JC$165&lt;0,Despesas!$JC$165*$S$95,IF(Despesas!$JC$165&gt;=0,Despesas!$JC$165)))</f>
        <v/>
      </c>
      <c r="AC96" s="781" t="str">
        <f>IF(Dados!$E$3="","",IF(Despesas!$JK$165&lt;0,Despesas!$JK$165*$S$95,IF(Despesas!$JK$165&gt;=0,Despesas!$JK$165)))</f>
        <v/>
      </c>
      <c r="AD96" s="781" t="str">
        <f>IF(Dados!$E$3="","",IF(Despesas!$JS$165&lt;0,Despesas!$JS$165*$S$95,IF(Despesas!$JS$165&gt;=0,Despesas!$JS$165)))</f>
        <v/>
      </c>
      <c r="AE96" s="781" t="str">
        <f>IF(Dados!$E$3="","",SUM(V96:AD96))</f>
        <v/>
      </c>
      <c r="AF96" s="630"/>
      <c r="AI96" s="57"/>
      <c r="AJ96" s="57"/>
      <c r="AK96" s="57"/>
      <c r="AL96" s="57"/>
      <c r="AM96" s="57"/>
      <c r="AN96" s="57"/>
      <c r="AO96" s="57"/>
      <c r="AP96" s="57"/>
    </row>
    <row r="97" spans="1:42" s="293" customFormat="1" ht="13.5" customHeight="1" thickBot="1" x14ac:dyDescent="0.25">
      <c r="A97" s="951"/>
      <c r="B97" s="952"/>
      <c r="C97" s="953"/>
      <c r="D97" s="632"/>
      <c r="E97" s="632"/>
      <c r="F97" s="632"/>
      <c r="G97" s="1140" t="s">
        <v>503</v>
      </c>
      <c r="H97" s="1141"/>
      <c r="I97" s="1090"/>
      <c r="J97" s="648"/>
      <c r="K97" s="648"/>
      <c r="L97" s="648"/>
      <c r="M97" s="648"/>
      <c r="N97" s="648"/>
      <c r="O97" s="648"/>
      <c r="P97" s="648"/>
      <c r="Q97" s="648"/>
      <c r="R97" s="648"/>
      <c r="S97" s="648"/>
      <c r="T97" s="648"/>
      <c r="U97" s="734" t="str">
        <f>"Reprog: "&amp;$U$16</f>
        <v>Reprog: R$ - Capital</v>
      </c>
      <c r="V97" s="736" t="str">
        <f>IF(Dados!$E$3="","",IF(Despesas!$HI$165&lt;0,Despesas!$HI$165*$S$95,IF(Despesas!$HI$165&gt;=0,Despesas!$HI$165)))</f>
        <v/>
      </c>
      <c r="W97" s="736" t="str">
        <f>IF(Dados!$E$3="","",IF(Despesas!$HQ$165&lt;0,Despesas!$HQ$165*$S$95,IF(Despesas!$HQ$165&gt;=0,Despesas!$HQ$165)))</f>
        <v/>
      </c>
      <c r="X97" s="736" t="str">
        <f>IF(Dados!$E$3="","",IF(Despesas!$HY$165&lt;0,Despesas!$HY$165*$S$95,IF(Despesas!$HY$165&gt;=0,Despesas!$HY$165)))</f>
        <v/>
      </c>
      <c r="Y97" s="736" t="str">
        <f>IF(Dados!$E$3="","",IF(Despesas!$IG$165&lt;0,Despesas!$IG$165*$S$95,IF(Despesas!$IG$165&gt;=0,Despesas!$IG$165)))</f>
        <v/>
      </c>
      <c r="Z97" s="736" t="str">
        <f>IF(Dados!$E$3="","",IF(Despesas!$IO$165&lt;0,Despesas!$IO$165*$S$95,IF(Despesas!$IO$165&gt;=0,Despesas!$IO$165)))</f>
        <v/>
      </c>
      <c r="AA97" s="736" t="str">
        <f>IF(Dados!$E$3="","",IF(Despesas!$IW$165&lt;0,Despesas!$IW$165*$S$95,IF(Despesas!$IW$165&gt;=0,Despesas!$IW$165)))</f>
        <v/>
      </c>
      <c r="AB97" s="736" t="str">
        <f>IF(Dados!$E$3="","",IF(Despesas!$JE$165&lt;0,Despesas!$JE$165*$S$95,IF(Despesas!$JE$165&gt;=0,Despesas!$JE$165)))</f>
        <v/>
      </c>
      <c r="AC97" s="736" t="str">
        <f>IF(Dados!$E$3="","",IF(Despesas!$JM$165&lt;0,Despesas!$JM$165*$S$95,IF(Despesas!$JM$165&gt;=0,Despesas!$JM$165)))</f>
        <v/>
      </c>
      <c r="AD97" s="736" t="str">
        <f>IF(Dados!$E$3="","",IF(Despesas!$JU$165&lt;0,Despesas!$JU$165*$S$95,IF(Despesas!$JU$165&gt;=0,Despesas!$JU$165)))</f>
        <v/>
      </c>
      <c r="AE97" s="736" t="str">
        <f>IF(Dados!$E$3="","",SUM(V97:AD97))</f>
        <v/>
      </c>
      <c r="AF97" s="630"/>
      <c r="AI97" s="57"/>
      <c r="AJ97" s="57"/>
      <c r="AK97" s="57"/>
      <c r="AL97" s="57"/>
      <c r="AM97" s="57"/>
      <c r="AN97" s="57"/>
      <c r="AO97" s="57"/>
      <c r="AP97" s="57"/>
    </row>
    <row r="98" spans="1:42" s="293" customFormat="1" ht="13.5" customHeight="1" thickBot="1" x14ac:dyDescent="0.25">
      <c r="A98" s="951"/>
      <c r="B98" s="963" t="str">
        <f>IF(Dados!$E$3="","",IF($C$98=0,"","Custeio"))</f>
        <v/>
      </c>
      <c r="C98" s="964" t="str">
        <f>IF(Dados!$E$3="","",IF(Dados!$F$16="","",Dados!$F$16))</f>
        <v/>
      </c>
      <c r="D98" s="632"/>
      <c r="E98" s="632"/>
      <c r="F98" s="632"/>
      <c r="G98" s="745"/>
      <c r="H98" s="746"/>
      <c r="I98" s="1006"/>
      <c r="J98" s="648"/>
      <c r="K98" s="648"/>
      <c r="L98" s="648"/>
      <c r="M98" s="648"/>
      <c r="N98" s="648"/>
      <c r="O98" s="648"/>
      <c r="P98" s="648"/>
      <c r="Q98" s="648"/>
      <c r="R98" s="648"/>
      <c r="S98" s="648"/>
      <c r="T98" s="648"/>
      <c r="U98" s="738" t="str">
        <f>"Receb: "&amp;$U$16</f>
        <v>Receb: R$ - Capital</v>
      </c>
      <c r="V98" s="737" t="str">
        <f>IF(Dados!$E$3="","",IF(Despesas!$HK$165&lt;0,Despesas!$HK$165*$S$95,IF(Despesas!$HK$165&gt;=0,Despesas!$HK$165)))</f>
        <v/>
      </c>
      <c r="W98" s="737" t="str">
        <f>IF(Dados!$E$3="","",IF(Despesas!$HS$165&lt;0,Despesas!$HS$165*$S$95,IF(Despesas!$HS$165&gt;=0,Despesas!$HS$165)))</f>
        <v/>
      </c>
      <c r="X98" s="737" t="str">
        <f>IF(Dados!$E$3="","",IF(Despesas!$IA$165&lt;0,Despesas!$IA$165*$S$95,IF(Despesas!$IA$165&gt;=0,Despesas!$IA$165)))</f>
        <v/>
      </c>
      <c r="Y98" s="737" t="str">
        <f>IF(Dados!$E$3="","",IF(Despesas!$II$165&lt;0,Despesas!$II$165*$S$95,IF(Despesas!$II$165&gt;=0,Despesas!$II$165)))</f>
        <v/>
      </c>
      <c r="Z98" s="737" t="str">
        <f>IF(Dados!$E$3="","",IF(Despesas!$IQ$165&lt;0,Despesas!$IQ$165*$S$95,IF(Despesas!$IQ$165&gt;=0,Despesas!$IQ$165)))</f>
        <v/>
      </c>
      <c r="AA98" s="737" t="str">
        <f>IF(Dados!$E$3="","",IF(Despesas!$IY$165&lt;0,Despesas!$IY$165*$S$95,IF(Despesas!$IY$165&gt;=0,Despesas!$IY$165)))</f>
        <v/>
      </c>
      <c r="AB98" s="737" t="str">
        <f>IF(Dados!$E$3="","",IF(Despesas!$JG$165&lt;0,Despesas!$JG$165*$S$95,IF(Despesas!$JG$165&gt;=0,Despesas!$JG$165)))</f>
        <v/>
      </c>
      <c r="AC98" s="737" t="str">
        <f>IF(Dados!$E$3="","",IF(Despesas!$JO$165&lt;0,Despesas!$JO$165*$S$95,IF(Despesas!$JO$165&gt;=0,Despesas!$JO$165)))</f>
        <v/>
      </c>
      <c r="AD98" s="737" t="str">
        <f>IF(Dados!$E$3="","",IF(Despesas!$JW$165&lt;0,Despesas!$JW$165*$S$95,IF(Despesas!$JW$165&gt;=0,Despesas!$JW$165)))</f>
        <v/>
      </c>
      <c r="AE98" s="737" t="str">
        <f>IF(Dados!$E$3="","",SUM(V98:AD98))</f>
        <v/>
      </c>
      <c r="AF98" s="630"/>
      <c r="AI98" s="57"/>
      <c r="AJ98" s="57"/>
      <c r="AK98" s="57"/>
      <c r="AL98" s="57"/>
      <c r="AM98" s="57"/>
      <c r="AN98" s="57"/>
      <c r="AO98" s="57"/>
      <c r="AP98" s="57"/>
    </row>
    <row r="99" spans="1:42" s="293" customFormat="1" ht="13.5" customHeight="1" thickTop="1" thickBot="1" x14ac:dyDescent="0.25">
      <c r="A99" s="951"/>
      <c r="B99" s="951"/>
      <c r="C99" s="951"/>
      <c r="D99" s="632"/>
      <c r="E99" s="632"/>
      <c r="F99" s="632"/>
      <c r="G99" s="1142" t="str">
        <f>IF($B$8="","",IF(AND($B$8="",$I$97=""),"",IF(AND($B$8&lt;&gt;"",$I$97=""),$I$107,IF(SUM(Despesas!P1+Despesas!T1)=MOD_4!$Q$35,$I$108,$I$109))))</f>
        <v/>
      </c>
      <c r="H99" s="1143"/>
      <c r="I99" s="1144"/>
      <c r="J99" s="648"/>
      <c r="K99" s="648"/>
      <c r="L99" s="648"/>
      <c r="M99" s="648"/>
      <c r="N99" s="648"/>
      <c r="O99" s="648"/>
      <c r="P99" s="648"/>
      <c r="Q99" s="648"/>
      <c r="R99" s="648"/>
      <c r="S99" s="648"/>
      <c r="T99" s="648"/>
      <c r="U99" s="743" t="str">
        <f>$U$17</f>
        <v>Total</v>
      </c>
      <c r="V99" s="744" t="str">
        <f>IF(Dados!$E$3="","",SUM(V95:V98))</f>
        <v/>
      </c>
      <c r="W99" s="744" t="str">
        <f>IF(Dados!$E$3="","",SUM(W95:W98))</f>
        <v/>
      </c>
      <c r="X99" s="744" t="str">
        <f>IF(Dados!$E$3="","",SUM(X95:X98))</f>
        <v/>
      </c>
      <c r="Y99" s="744" t="str">
        <f>IF(Dados!$E$3="","",SUM(Y95:Y98))</f>
        <v/>
      </c>
      <c r="Z99" s="744" t="str">
        <f>IF(Dados!$E$3="","",SUM(Z95:Z98))</f>
        <v/>
      </c>
      <c r="AA99" s="744" t="str">
        <f>IF(Dados!$E$3="","",SUM(AA95:AA98))</f>
        <v/>
      </c>
      <c r="AB99" s="744" t="str">
        <f>IF(Dados!$E$3="","",SUM(AB95:AB98))</f>
        <v/>
      </c>
      <c r="AC99" s="744" t="str">
        <f>IF(Dados!$E$3="","",SUM(AC95:AC98))</f>
        <v/>
      </c>
      <c r="AD99" s="744" t="str">
        <f>IF(Dados!$E$3="","",SUM(AD95:AD98))</f>
        <v/>
      </c>
      <c r="AE99" s="744" t="str">
        <f>IF(Dados!$E$3="","",SUM(AE95:AE98))</f>
        <v/>
      </c>
      <c r="AF99" s="630"/>
      <c r="AI99" s="57"/>
      <c r="AJ99" s="57"/>
      <c r="AK99" s="57"/>
      <c r="AL99" s="57"/>
      <c r="AM99" s="57"/>
      <c r="AN99" s="57"/>
      <c r="AO99" s="57"/>
      <c r="AP99" s="57"/>
    </row>
    <row r="100" spans="1:42" s="293" customFormat="1" ht="13.5" customHeight="1" x14ac:dyDescent="0.2">
      <c r="A100" s="951"/>
      <c r="B100" s="951"/>
      <c r="C100" s="951"/>
      <c r="D100" s="632"/>
      <c r="E100" s="632"/>
      <c r="F100" s="632"/>
      <c r="G100" s="632"/>
      <c r="H100" s="632"/>
      <c r="I100" s="632"/>
      <c r="J100" s="648"/>
      <c r="K100" s="648"/>
      <c r="L100" s="648"/>
      <c r="M100" s="648"/>
      <c r="N100" s="648"/>
      <c r="O100" s="648"/>
      <c r="P100" s="648"/>
      <c r="Q100" s="648"/>
      <c r="R100" s="648"/>
      <c r="S100" s="648"/>
      <c r="T100" s="648"/>
      <c r="U100" s="648"/>
      <c r="V100" s="648"/>
      <c r="W100" s="648"/>
      <c r="X100" s="648"/>
      <c r="Y100" s="648"/>
      <c r="Z100" s="648"/>
      <c r="AA100" s="648"/>
      <c r="AB100" s="648"/>
      <c r="AC100" s="648"/>
      <c r="AD100" s="648"/>
      <c r="AE100" s="648"/>
      <c r="AF100" s="630"/>
      <c r="AI100" s="57"/>
      <c r="AJ100" s="57"/>
      <c r="AK100" s="57"/>
      <c r="AL100" s="57"/>
      <c r="AM100" s="57"/>
      <c r="AN100" s="57"/>
      <c r="AO100" s="57"/>
      <c r="AP100" s="57"/>
    </row>
    <row r="101" spans="1:42" s="293" customFormat="1" ht="13.5" customHeight="1" x14ac:dyDescent="0.2">
      <c r="A101" s="632"/>
      <c r="B101" s="632"/>
      <c r="C101" s="632"/>
      <c r="D101" s="632"/>
      <c r="E101" s="632"/>
      <c r="F101" s="632"/>
      <c r="G101" s="632"/>
      <c r="H101" s="632"/>
      <c r="I101" s="632"/>
      <c r="J101" s="648"/>
      <c r="K101" s="648"/>
      <c r="L101" s="648"/>
      <c r="M101" s="648"/>
      <c r="N101" s="648"/>
      <c r="O101" s="648"/>
      <c r="P101" s="648"/>
      <c r="Q101" s="648"/>
      <c r="R101" s="648"/>
      <c r="S101" s="648"/>
      <c r="T101" s="648"/>
      <c r="U101" s="648"/>
      <c r="V101" s="648"/>
      <c r="W101" s="648"/>
      <c r="X101" s="648"/>
      <c r="Y101" s="648"/>
      <c r="Z101" s="648"/>
      <c r="AA101" s="648"/>
      <c r="AB101" s="648"/>
      <c r="AC101" s="648"/>
      <c r="AD101" s="648"/>
      <c r="AE101" s="648"/>
      <c r="AF101" s="630"/>
      <c r="AI101" s="57"/>
      <c r="AJ101" s="57"/>
      <c r="AK101" s="57"/>
      <c r="AL101" s="57"/>
      <c r="AM101" s="57"/>
      <c r="AN101" s="57"/>
      <c r="AO101" s="57"/>
      <c r="AP101" s="57"/>
    </row>
    <row r="102" spans="1:42" s="293" customFormat="1" ht="13.5" hidden="1" customHeight="1" x14ac:dyDescent="0.2">
      <c r="A102" s="1137" t="str">
        <f>IF(OR(C98="",C98=0),"","Ressarcimento é Somente para os CEU's : - Corte de mato ou desinsetização ou desratização")</f>
        <v/>
      </c>
      <c r="B102" s="1137"/>
      <c r="C102" s="1137"/>
      <c r="D102" s="1137"/>
      <c r="E102" s="1137"/>
      <c r="F102" s="1137"/>
      <c r="G102" s="1137"/>
      <c r="H102" s="1137"/>
      <c r="I102" s="1137"/>
      <c r="J102" s="648"/>
      <c r="K102" s="648"/>
      <c r="L102" s="648"/>
      <c r="M102" s="648"/>
      <c r="N102" s="648"/>
      <c r="O102" s="648"/>
      <c r="P102" s="648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630"/>
      <c r="AI102" s="57"/>
      <c r="AJ102" s="57"/>
      <c r="AK102" s="57"/>
      <c r="AL102" s="57"/>
      <c r="AM102" s="57"/>
      <c r="AN102" s="57"/>
      <c r="AO102" s="57"/>
      <c r="AP102" s="57"/>
    </row>
    <row r="103" spans="1:42" s="293" customFormat="1" ht="13.5" hidden="1" customHeight="1" x14ac:dyDescent="0.2">
      <c r="A103" s="632"/>
      <c r="B103" s="632"/>
      <c r="C103" s="632"/>
      <c r="D103" s="1136"/>
      <c r="E103" s="1136"/>
      <c r="F103" s="632"/>
      <c r="G103" s="632"/>
      <c r="H103" s="632"/>
      <c r="I103" s="632"/>
      <c r="J103" s="648"/>
      <c r="K103" s="648"/>
      <c r="L103" s="648"/>
      <c r="M103" s="648"/>
      <c r="N103" s="648"/>
      <c r="O103" s="648"/>
      <c r="P103" s="648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630"/>
      <c r="AI103" s="57"/>
      <c r="AJ103" s="57"/>
      <c r="AK103" s="57"/>
      <c r="AL103" s="57"/>
      <c r="AM103" s="57"/>
      <c r="AN103" s="57"/>
      <c r="AO103" s="57"/>
      <c r="AP103" s="57"/>
    </row>
    <row r="104" spans="1:42" s="293" customFormat="1" ht="13.5" hidden="1" customHeight="1" x14ac:dyDescent="0.2">
      <c r="A104" s="632"/>
      <c r="B104" s="632"/>
      <c r="C104" s="632"/>
      <c r="D104" s="632"/>
      <c r="E104" s="632"/>
      <c r="F104" s="632"/>
      <c r="G104" s="632"/>
      <c r="H104" s="632"/>
      <c r="I104" s="632"/>
      <c r="J104" s="648"/>
      <c r="K104" s="648"/>
      <c r="L104" s="648"/>
      <c r="M104" s="648"/>
      <c r="N104" s="648"/>
      <c r="O104" s="648"/>
      <c r="P104" s="648"/>
      <c r="Q104" s="648"/>
      <c r="R104" s="648"/>
      <c r="S104" s="648"/>
      <c r="T104" s="648"/>
      <c r="U104" s="648"/>
      <c r="V104" s="648"/>
      <c r="W104" s="648"/>
      <c r="X104" s="648"/>
      <c r="Y104" s="648"/>
      <c r="Z104" s="648"/>
      <c r="AA104" s="648"/>
      <c r="AB104" s="648"/>
      <c r="AC104" s="648"/>
      <c r="AD104" s="648"/>
      <c r="AE104" s="648"/>
      <c r="AF104" s="630"/>
      <c r="AI104" s="57"/>
      <c r="AJ104" s="57"/>
      <c r="AK104" s="57"/>
      <c r="AL104" s="57"/>
      <c r="AM104" s="57"/>
      <c r="AN104" s="57"/>
      <c r="AO104" s="57"/>
      <c r="AP104" s="57"/>
    </row>
    <row r="105" spans="1:42" ht="13.5" hidden="1" customHeight="1" x14ac:dyDescent="0.2">
      <c r="A105" s="632"/>
      <c r="B105" s="632"/>
      <c r="C105" s="632"/>
      <c r="D105" s="648"/>
      <c r="E105" s="648"/>
      <c r="F105" s="648"/>
      <c r="G105" s="648"/>
      <c r="H105" s="648"/>
      <c r="I105" s="648"/>
      <c r="J105" s="648"/>
      <c r="K105" s="648"/>
      <c r="L105" s="648"/>
      <c r="M105" s="648"/>
      <c r="N105" s="648"/>
      <c r="O105" s="648"/>
      <c r="P105" s="648"/>
      <c r="Q105" s="648"/>
      <c r="R105" s="648"/>
      <c r="S105" s="648"/>
      <c r="T105" s="648"/>
      <c r="U105" s="648"/>
      <c r="V105" s="648"/>
      <c r="W105" s="648"/>
      <c r="X105" s="648"/>
      <c r="Y105" s="648"/>
      <c r="Z105" s="648"/>
      <c r="AA105" s="648"/>
      <c r="AB105" s="648"/>
      <c r="AC105" s="648"/>
      <c r="AD105" s="648"/>
      <c r="AE105" s="630"/>
      <c r="AF105" s="630"/>
      <c r="AI105" s="57"/>
      <c r="AJ105" s="57"/>
      <c r="AK105" s="57"/>
      <c r="AL105" s="57"/>
      <c r="AM105" s="57"/>
      <c r="AN105" s="57"/>
      <c r="AO105" s="57"/>
      <c r="AP105" s="57"/>
    </row>
    <row r="106" spans="1:42" hidden="1" x14ac:dyDescent="0.2"/>
    <row r="107" spans="1:42" hidden="1" x14ac:dyDescent="0.2">
      <c r="I107" s="366" t="s">
        <v>597</v>
      </c>
    </row>
    <row r="108" spans="1:42" hidden="1" x14ac:dyDescent="0.2">
      <c r="I108" s="366" t="s">
        <v>548</v>
      </c>
    </row>
    <row r="109" spans="1:42" hidden="1" x14ac:dyDescent="0.2">
      <c r="I109" s="366" t="s">
        <v>547</v>
      </c>
    </row>
  </sheetData>
  <sheetProtection password="F261" sheet="1" objects="1" scenarios="1"/>
  <sortState ref="O18:P25">
    <sortCondition ref="O18"/>
  </sortState>
  <mergeCells count="37">
    <mergeCell ref="D103:E103"/>
    <mergeCell ref="D88:E88"/>
    <mergeCell ref="D89:E89"/>
    <mergeCell ref="D90:E90"/>
    <mergeCell ref="D91:E91"/>
    <mergeCell ref="D92:E92"/>
    <mergeCell ref="D93:E93"/>
    <mergeCell ref="D94:E94"/>
    <mergeCell ref="A102:I102"/>
    <mergeCell ref="B96:C96"/>
    <mergeCell ref="G97:H97"/>
    <mergeCell ref="G99:I99"/>
    <mergeCell ref="G95:H95"/>
    <mergeCell ref="G94:I94"/>
    <mergeCell ref="G93:H93"/>
    <mergeCell ref="U11:AE11"/>
    <mergeCell ref="U4:AE4"/>
    <mergeCell ref="U20:AE20"/>
    <mergeCell ref="G9:I10"/>
    <mergeCell ref="B16:B17"/>
    <mergeCell ref="C8:I8"/>
    <mergeCell ref="U93:AE93"/>
    <mergeCell ref="H25:I25"/>
    <mergeCell ref="B27:I27"/>
    <mergeCell ref="B28:I28"/>
    <mergeCell ref="C26:I26"/>
    <mergeCell ref="D83:F83"/>
    <mergeCell ref="U79:AE79"/>
    <mergeCell ref="U86:AE86"/>
    <mergeCell ref="D81:E81"/>
    <mergeCell ref="D87:E87"/>
    <mergeCell ref="G90:I92"/>
    <mergeCell ref="B3:I3"/>
    <mergeCell ref="B4:I4"/>
    <mergeCell ref="B5:I5"/>
    <mergeCell ref="B6:I6"/>
    <mergeCell ref="B7:I7"/>
  </mergeCells>
  <phoneticPr fontId="16" type="noConversion"/>
  <conditionalFormatting sqref="B8">
    <cfRule type="cellIs" dxfId="502" priority="365" stopIfTrue="1" operator="equal">
      <formula>0</formula>
    </cfRule>
  </conditionalFormatting>
  <conditionalFormatting sqref="C25:G25">
    <cfRule type="expression" dxfId="501" priority="366" stopIfTrue="1">
      <formula>$B$8=0</formula>
    </cfRule>
  </conditionalFormatting>
  <conditionalFormatting sqref="B7">
    <cfRule type="expression" dxfId="500" priority="367" stopIfTrue="1">
      <formula>$B$6=""</formula>
    </cfRule>
  </conditionalFormatting>
  <conditionalFormatting sqref="B14">
    <cfRule type="cellIs" dxfId="499" priority="363" operator="equal">
      <formula>"ATENÇÃO"</formula>
    </cfRule>
    <cfRule type="cellIs" dxfId="498" priority="364" operator="equal">
      <formula>"EXPIROU"</formula>
    </cfRule>
    <cfRule type="expression" dxfId="497" priority="374" stopIfTrue="1">
      <formula>$B$16=""</formula>
    </cfRule>
  </conditionalFormatting>
  <conditionalFormatting sqref="B17">
    <cfRule type="expression" dxfId="496" priority="358">
      <formula>IF(B22&lt;B14,TRUE)</formula>
    </cfRule>
    <cfRule type="cellIs" dxfId="495" priority="375" stopIfTrue="1" operator="equal">
      <formula>""</formula>
    </cfRule>
    <cfRule type="expression" dxfId="494" priority="376" stopIfTrue="1">
      <formula>IF(B22&gt;B14,TRUE)</formula>
    </cfRule>
  </conditionalFormatting>
  <conditionalFormatting sqref="B19">
    <cfRule type="cellIs" dxfId="493" priority="355" operator="equal">
      <formula>"para encerrar"</formula>
    </cfRule>
    <cfRule type="expression" dxfId="492" priority="378" stopIfTrue="1">
      <formula>$B$16=""</formula>
    </cfRule>
    <cfRule type="cellIs" dxfId="491" priority="379" stopIfTrue="1" operator="equal">
      <formula>"Contate sua DRE"</formula>
    </cfRule>
  </conditionalFormatting>
  <conditionalFormatting sqref="B20">
    <cfRule type="cellIs" dxfId="490" priority="354" operator="equal">
      <formula>"a prestação"</formula>
    </cfRule>
    <cfRule type="expression" dxfId="489" priority="380" stopIfTrue="1">
      <formula>$B$16=""</formula>
    </cfRule>
    <cfRule type="cellIs" dxfId="488" priority="381" stopIfTrue="1" operator="equal">
      <formula>"URGENTE"</formula>
    </cfRule>
  </conditionalFormatting>
  <conditionalFormatting sqref="B15">
    <cfRule type="cellIs" dxfId="487" priority="359" operator="equal">
      <formula>"Falta"</formula>
    </cfRule>
    <cfRule type="cellIs" dxfId="486" priority="360" operator="equal">
      <formula>"Faltam"</formula>
    </cfRule>
    <cfRule type="cellIs" dxfId="485" priority="361" operator="equal">
      <formula>"SEU PRAZO EM"</formula>
    </cfRule>
    <cfRule type="expression" dxfId="484" priority="362" stopIfTrue="1">
      <formula>$B$16=""</formula>
    </cfRule>
  </conditionalFormatting>
  <conditionalFormatting sqref="B4:I4">
    <cfRule type="cellIs" dxfId="483" priority="348" stopIfTrue="1" operator="notEqual">
      <formula>"PROGRAMA DE TRANSFERÊNCIA DE RECURSOS FINANCEIROS"</formula>
    </cfRule>
    <cfRule type="cellIs" dxfId="482" priority="350" stopIfTrue="1" operator="equal">
      <formula>"PROGRAMA DE TRANSFERÊNCIA DE RECURSOS FINANCEIROS"</formula>
    </cfRule>
  </conditionalFormatting>
  <conditionalFormatting sqref="D83 H14:I16 C87:D94 C85 G99">
    <cfRule type="cellIs" dxfId="481" priority="340" stopIfTrue="1" operator="notEqual">
      <formula>""</formula>
    </cfRule>
  </conditionalFormatting>
  <conditionalFormatting sqref="D83 C81:D81">
    <cfRule type="cellIs" dxfId="480" priority="339" stopIfTrue="1" operator="notEqual">
      <formula>""</formula>
    </cfRule>
  </conditionalFormatting>
  <conditionalFormatting sqref="I15">
    <cfRule type="cellIs" dxfId="479" priority="338" stopIfTrue="1" operator="notEqual">
      <formula>""</formula>
    </cfRule>
  </conditionalFormatting>
  <conditionalFormatting sqref="D87">
    <cfRule type="cellIs" dxfId="478" priority="337" stopIfTrue="1" operator="notEqual">
      <formula>""</formula>
    </cfRule>
  </conditionalFormatting>
  <conditionalFormatting sqref="B16">
    <cfRule type="expression" dxfId="477" priority="497">
      <formula>IF(B21&lt;S13,TRUE)</formula>
    </cfRule>
    <cfRule type="cellIs" dxfId="476" priority="498" stopIfTrue="1" operator="equal">
      <formula>""</formula>
    </cfRule>
    <cfRule type="expression" dxfId="475" priority="499" stopIfTrue="1">
      <formula>IF(B21&gt;S13,TRUE)</formula>
    </cfRule>
  </conditionalFormatting>
  <conditionalFormatting sqref="B18">
    <cfRule type="expression" dxfId="474" priority="500" stopIfTrue="1">
      <formula>$B$16=""</formula>
    </cfRule>
    <cfRule type="expression" dxfId="473" priority="501">
      <formula>IF(B21&gt;S13,TRUE)</formula>
    </cfRule>
    <cfRule type="expression" dxfId="472" priority="502">
      <formula>IF(B21&lt;S13,TRUE)</formula>
    </cfRule>
  </conditionalFormatting>
  <conditionalFormatting sqref="B3:I3">
    <cfRule type="expression" dxfId="471" priority="332">
      <formula>IF($G$40=0,TRUE)</formula>
    </cfRule>
    <cfRule type="expression" dxfId="470" priority="333">
      <formula>IF($G$40&lt;0,TRUE)</formula>
    </cfRule>
    <cfRule type="expression" dxfId="469" priority="334">
      <formula>IF($G$40&gt;0,TRUE)</formula>
    </cfRule>
  </conditionalFormatting>
  <conditionalFormatting sqref="G99">
    <cfRule type="cellIs" dxfId="468" priority="309" operator="equal">
      <formula>$S$4</formula>
    </cfRule>
    <cfRule type="cellIs" dxfId="467" priority="310" operator="equal">
      <formula>$S$5</formula>
    </cfRule>
    <cfRule type="cellIs" dxfId="466" priority="311" operator="equal">
      <formula>$S$3</formula>
    </cfRule>
  </conditionalFormatting>
  <conditionalFormatting sqref="H17:I24">
    <cfRule type="cellIs" dxfId="465" priority="264" stopIfTrue="1" operator="notEqual">
      <formula>""</formula>
    </cfRule>
  </conditionalFormatting>
  <conditionalFormatting sqref="H11:I13">
    <cfRule type="cellIs" dxfId="464" priority="263" stopIfTrue="1" operator="notEqual">
      <formula>""</formula>
    </cfRule>
  </conditionalFormatting>
  <conditionalFormatting sqref="I11:I13">
    <cfRule type="cellIs" dxfId="463" priority="262" stopIfTrue="1" operator="notEqual">
      <formula>""</formula>
    </cfRule>
  </conditionalFormatting>
  <conditionalFormatting sqref="V88:AE90">
    <cfRule type="cellIs" dxfId="462" priority="1" operator="lessThan">
      <formula>0</formula>
    </cfRule>
    <cfRule type="cellIs" dxfId="461" priority="27" operator="notEqual">
      <formula>0</formula>
    </cfRule>
  </conditionalFormatting>
  <conditionalFormatting sqref="V81:AE83">
    <cfRule type="cellIs" dxfId="460" priority="26" operator="notEqual">
      <formula>0</formula>
    </cfRule>
  </conditionalFormatting>
  <conditionalFormatting sqref="V22:AE24">
    <cfRule type="cellIs" dxfId="459" priority="24" operator="notEqual">
      <formula>0</formula>
    </cfRule>
  </conditionalFormatting>
  <conditionalFormatting sqref="V95:AE99">
    <cfRule type="cellIs" dxfId="458" priority="23" operator="notEqual">
      <formula>0</formula>
    </cfRule>
  </conditionalFormatting>
  <conditionalFormatting sqref="V6:AE8">
    <cfRule type="cellIs" dxfId="457" priority="21" operator="notEqual">
      <formula>0</formula>
    </cfRule>
  </conditionalFormatting>
  <conditionalFormatting sqref="AE14 AE16">
    <cfRule type="cellIs" dxfId="456" priority="16" operator="greaterThan">
      <formula>0</formula>
    </cfRule>
  </conditionalFormatting>
  <conditionalFormatting sqref="V17:AE17">
    <cfRule type="cellIs" dxfId="455" priority="15" operator="notEqual">
      <formula>0</formula>
    </cfRule>
  </conditionalFormatting>
  <conditionalFormatting sqref="V14:AD14 V16:AD16">
    <cfRule type="cellIs" dxfId="454" priority="8" operator="greaterThan">
      <formula>0</formula>
    </cfRule>
  </conditionalFormatting>
  <conditionalFormatting sqref="V13:AD13">
    <cfRule type="expression" dxfId="453" priority="5">
      <formula>IF(V14=0,TRUE)</formula>
    </cfRule>
    <cfRule type="expression" dxfId="452" priority="6">
      <formula>IF(V14&gt;0,TRUE)</formula>
    </cfRule>
  </conditionalFormatting>
  <conditionalFormatting sqref="V15:AD15">
    <cfRule type="expression" dxfId="451" priority="3">
      <formula>IF(V16=0,TRUE)</formula>
    </cfRule>
    <cfRule type="expression" dxfId="450" priority="4">
      <formula>IF(V16&gt;0,TRUE)</formula>
    </cfRule>
  </conditionalFormatting>
  <conditionalFormatting sqref="B96:C98">
    <cfRule type="expression" dxfId="449" priority="2">
      <formula>IF(OR($C$98=0,$C$98=""),TRUE)</formula>
    </cfRule>
  </conditionalFormatting>
  <conditionalFormatting sqref="G90">
    <cfRule type="expression" dxfId="448" priority="2728">
      <formula>IF(OR($I$93="",$I$95="",$I$97=""),TRUE)</formula>
    </cfRule>
  </conditionalFormatting>
  <dataValidations count="1">
    <dataValidation type="date" allowBlank="1" showInputMessage="1" showErrorMessage="1" errorTitle="Data Errada" error="Data fora do período_x000a__x000a_ou_x000a__x000a_Digitou errado" sqref="V13:AD13 V15 W15 X15 Y15 Z15 AA15 AB15 AC15 AD15">
      <formula1>43800</formula1>
      <formula2>44135</formula2>
    </dataValidation>
  </dataValidations>
  <printOptions horizontalCentered="1" headings="1"/>
  <pageMargins left="0.19685039370078741" right="0.15748031496062992" top="0.98425196850393704" bottom="0.98425196850393704" header="0.51181102362204722" footer="0.51181102362204722"/>
  <pageSetup scale="6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2520"/>
  <sheetViews>
    <sheetView showGridLines="0" showRowColHeaders="0" zoomScaleNormal="100" zoomScaleSheetLayoutView="100" workbookViewId="0">
      <pane ySplit="5" topLeftCell="A6" activePane="bottomLeft" state="frozen"/>
      <selection activeCell="B1" sqref="B1"/>
      <selection pane="bottomLeft" activeCell="E3" sqref="E3"/>
    </sheetView>
  </sheetViews>
  <sheetFormatPr defaultColWidth="0" defaultRowHeight="12.75" customHeight="1" zeroHeight="1" x14ac:dyDescent="0.2"/>
  <cols>
    <col min="1" max="1" width="4.7109375" style="18" customWidth="1"/>
    <col min="2" max="2" width="2.7109375" style="18" customWidth="1"/>
    <col min="3" max="3" width="23" style="21" customWidth="1"/>
    <col min="4" max="4" width="1" style="21" customWidth="1"/>
    <col min="5" max="5" width="13.28515625" style="24" customWidth="1"/>
    <col min="6" max="6" width="11.7109375" style="18" customWidth="1"/>
    <col min="7" max="8" width="12.140625" style="18" customWidth="1"/>
    <col min="9" max="9" width="12.42578125" style="18" customWidth="1"/>
    <col min="10" max="10" width="11" style="18" customWidth="1"/>
    <col min="11" max="11" width="2.7109375" style="18" customWidth="1"/>
    <col min="12" max="12" width="2.7109375" style="131" customWidth="1"/>
    <col min="13" max="13" width="4.28515625" style="131" customWidth="1"/>
    <col min="14" max="15" width="9.85546875" style="18" hidden="1" customWidth="1"/>
    <col min="16" max="22" width="9.140625" style="18" hidden="1" customWidth="1"/>
    <col min="23" max="23" width="16.140625" style="18" hidden="1" customWidth="1"/>
    <col min="24" max="16384" width="9.140625" style="18" hidden="1"/>
  </cols>
  <sheetData>
    <row r="1" spans="1:23" ht="12.75" customHeight="1" x14ac:dyDescent="0.2">
      <c r="A1" s="27"/>
      <c r="B1" s="41"/>
      <c r="C1" s="38"/>
      <c r="D1" s="38"/>
      <c r="E1" s="39"/>
      <c r="F1" s="40"/>
      <c r="G1" s="40"/>
      <c r="H1" s="41"/>
      <c r="I1" s="41"/>
      <c r="J1" s="41"/>
      <c r="K1" s="41"/>
      <c r="L1" s="81"/>
      <c r="M1" s="82"/>
    </row>
    <row r="2" spans="1:23" ht="27.75" customHeight="1" x14ac:dyDescent="0.2">
      <c r="A2" s="27"/>
      <c r="B2" s="41"/>
      <c r="C2" s="1156" t="str">
        <f>IF($E$3="","",VLOOKUP($E$3,base,15))</f>
        <v/>
      </c>
      <c r="D2" s="1156"/>
      <c r="E2" s="1156"/>
      <c r="F2" s="1156"/>
      <c r="G2" s="1156"/>
      <c r="H2" s="1156"/>
      <c r="I2" s="1156"/>
      <c r="J2" s="1156"/>
      <c r="K2" s="291"/>
      <c r="L2" s="81"/>
      <c r="M2" s="82"/>
    </row>
    <row r="3" spans="1:23" ht="50.25" customHeight="1" x14ac:dyDescent="0.2">
      <c r="A3" s="27"/>
      <c r="B3" s="41"/>
      <c r="C3" s="154"/>
      <c r="D3" s="18"/>
      <c r="E3" s="833"/>
      <c r="F3" s="228" t="str">
        <f>IF(E3="","","FASE")</f>
        <v/>
      </c>
      <c r="G3" s="229" t="str">
        <f>IF($E$3="","",VLOOKUP($E$3,base,43))</f>
        <v/>
      </c>
      <c r="H3" s="1204" t="str">
        <f>IF(G3="","",IF(G3="DRE","LIBERADO SOMENTE PARA LANÇAMENTO DE DESPESAS",IF(G3="U.E.","LIBERADO PARA PRESTAÇÃO DE CONTAS",IF(G3="SME","BLOQUEADO"))))</f>
        <v/>
      </c>
      <c r="I3" s="1205"/>
      <c r="J3" s="1206"/>
      <c r="K3" s="291"/>
      <c r="L3" s="81" t="s">
        <v>280</v>
      </c>
      <c r="M3" s="82" t="s">
        <v>280</v>
      </c>
      <c r="S3" s="18" t="str">
        <f>IF($E$3="","",VLOOKUP($E$3,base,16))</f>
        <v/>
      </c>
      <c r="T3" s="18" t="str">
        <f>IF($E$3="","",VLOOKUP($E$7,dres,2,FALSE))</f>
        <v/>
      </c>
    </row>
    <row r="4" spans="1:23" ht="3.75" customHeight="1" x14ac:dyDescent="0.2">
      <c r="A4" s="27"/>
      <c r="B4" s="41"/>
      <c r="L4" s="81"/>
      <c r="M4" s="82"/>
    </row>
    <row r="5" spans="1:23" ht="6" customHeight="1" x14ac:dyDescent="0.2">
      <c r="A5" s="27"/>
      <c r="B5" s="41"/>
      <c r="C5" s="38"/>
      <c r="D5" s="38"/>
      <c r="E5" s="39"/>
      <c r="F5" s="40"/>
      <c r="G5" s="40"/>
      <c r="H5" s="41"/>
      <c r="I5" s="41"/>
      <c r="J5" s="41"/>
      <c r="K5" s="41"/>
      <c r="L5" s="81"/>
      <c r="M5" s="82"/>
    </row>
    <row r="6" spans="1:23" ht="3.75" customHeight="1" x14ac:dyDescent="0.2">
      <c r="A6" s="27"/>
      <c r="B6" s="41"/>
      <c r="L6" s="81"/>
      <c r="M6" s="82"/>
    </row>
    <row r="7" spans="1:23" ht="12.75" customHeight="1" x14ac:dyDescent="0.2">
      <c r="A7" s="27"/>
      <c r="B7" s="41"/>
      <c r="C7" s="21" t="s">
        <v>170</v>
      </c>
      <c r="D7" s="18"/>
      <c r="E7" s="1169" t="str">
        <f>IF($E$3="","",VLOOKUP($E$3,base,5))</f>
        <v/>
      </c>
      <c r="F7" s="1170"/>
      <c r="G7" s="1214" t="s">
        <v>265</v>
      </c>
      <c r="H7" s="1166"/>
      <c r="I7" s="1169" t="str">
        <f>IF($E$3="","",TEXT(S3,"000")&amp;T3&amp;E9)</f>
        <v/>
      </c>
      <c r="J7" s="1170"/>
      <c r="L7" s="81"/>
      <c r="M7" s="82"/>
      <c r="N7" s="389">
        <v>43466</v>
      </c>
      <c r="O7" s="389" t="str">
        <f>I9</f>
        <v/>
      </c>
      <c r="P7" s="18" t="s">
        <v>599</v>
      </c>
      <c r="S7" s="18" t="s">
        <v>519</v>
      </c>
      <c r="T7" s="18" t="s">
        <v>530</v>
      </c>
    </row>
    <row r="8" spans="1:23" ht="6" customHeight="1" x14ac:dyDescent="0.2">
      <c r="A8" s="27"/>
      <c r="B8" s="41"/>
      <c r="L8" s="81"/>
      <c r="M8" s="82"/>
      <c r="S8" s="18" t="s">
        <v>520</v>
      </c>
      <c r="T8" s="18" t="s">
        <v>531</v>
      </c>
    </row>
    <row r="9" spans="1:23" ht="12.75" customHeight="1" x14ac:dyDescent="0.2">
      <c r="A9" s="27"/>
      <c r="B9" s="41"/>
      <c r="C9" s="21" t="s">
        <v>137</v>
      </c>
      <c r="E9" s="828" t="str">
        <f>IF($E$3="","",VLOOKUP($E$3,base,47))</f>
        <v/>
      </c>
      <c r="F9" s="21" t="s">
        <v>264</v>
      </c>
      <c r="G9" s="829" t="str">
        <f>IF($E$3="","",VLOOKUP($E$3,base,48))</f>
        <v/>
      </c>
      <c r="H9" s="25" t="s">
        <v>292</v>
      </c>
      <c r="I9" s="829" t="str">
        <f>IF($E$3="","",VLOOKUP($E$3,base,49))</f>
        <v/>
      </c>
      <c r="J9" s="390">
        <v>43460</v>
      </c>
      <c r="K9" s="28"/>
      <c r="L9" s="132"/>
      <c r="M9" s="82"/>
      <c r="N9" s="18">
        <v>2019</v>
      </c>
      <c r="S9" s="18" t="s">
        <v>521</v>
      </c>
      <c r="T9" s="18" t="s">
        <v>532</v>
      </c>
    </row>
    <row r="10" spans="1:23" ht="13.5" customHeight="1" thickBot="1" x14ac:dyDescent="0.25">
      <c r="A10" s="27"/>
      <c r="B10" s="41"/>
      <c r="D10" s="37"/>
      <c r="E10" s="42"/>
      <c r="F10" s="31"/>
      <c r="G10" s="31"/>
      <c r="H10" s="31"/>
      <c r="I10" s="31"/>
      <c r="J10" s="31"/>
      <c r="K10" s="30"/>
      <c r="L10" s="133"/>
      <c r="M10" s="82"/>
      <c r="S10" s="18" t="s">
        <v>522</v>
      </c>
      <c r="T10" s="18" t="s">
        <v>533</v>
      </c>
    </row>
    <row r="11" spans="1:23" ht="3" customHeight="1" x14ac:dyDescent="0.2">
      <c r="A11" s="27"/>
      <c r="B11" s="41"/>
      <c r="C11" s="700"/>
      <c r="D11" s="701"/>
      <c r="E11" s="702"/>
      <c r="F11" s="703"/>
      <c r="G11" s="703"/>
      <c r="H11" s="703"/>
      <c r="I11" s="703"/>
      <c r="J11" s="703"/>
      <c r="K11" s="694"/>
      <c r="L11" s="133"/>
      <c r="M11" s="82"/>
      <c r="S11" s="18" t="s">
        <v>523</v>
      </c>
      <c r="T11" s="18" t="s">
        <v>534</v>
      </c>
    </row>
    <row r="12" spans="1:23" ht="12" customHeight="1" x14ac:dyDescent="0.2">
      <c r="A12" s="27"/>
      <c r="B12" s="41"/>
      <c r="C12" s="1017" t="s">
        <v>703</v>
      </c>
      <c r="D12" s="1018"/>
      <c r="E12" s="1019" t="s">
        <v>39</v>
      </c>
      <c r="F12" s="1212" t="str">
        <f>IF($E$3="","",VLOOKUP($E$3,base,24))</f>
        <v/>
      </c>
      <c r="G12" s="1213"/>
      <c r="H12" s="1019" t="s">
        <v>266</v>
      </c>
      <c r="I12" s="1212" t="str">
        <f>IF($E$3="","",VLOOKUP($E$3,base,29))</f>
        <v/>
      </c>
      <c r="J12" s="1213"/>
      <c r="K12" s="695"/>
      <c r="L12" s="133"/>
      <c r="M12" s="82"/>
      <c r="N12" s="18" t="s">
        <v>15</v>
      </c>
      <c r="S12" s="18" t="s">
        <v>524</v>
      </c>
      <c r="T12" s="18" t="s">
        <v>535</v>
      </c>
    </row>
    <row r="13" spans="1:23" ht="3" customHeight="1" x14ac:dyDescent="0.2">
      <c r="A13" s="27"/>
      <c r="B13" s="41"/>
      <c r="C13" s="1020"/>
      <c r="D13" s="1021"/>
      <c r="E13" s="687"/>
      <c r="F13" s="688"/>
      <c r="G13" s="688"/>
      <c r="H13" s="688"/>
      <c r="I13" s="693"/>
      <c r="J13" s="693"/>
      <c r="K13" s="695"/>
      <c r="L13" s="133"/>
      <c r="M13" s="82"/>
      <c r="S13" s="18" t="s">
        <v>518</v>
      </c>
      <c r="T13" s="18" t="s">
        <v>536</v>
      </c>
    </row>
    <row r="14" spans="1:23" ht="12" customHeight="1" x14ac:dyDescent="0.2">
      <c r="A14" s="27"/>
      <c r="B14" s="41"/>
      <c r="C14" s="1022" t="s">
        <v>704</v>
      </c>
      <c r="D14" s="1023"/>
      <c r="E14" s="1024" t="s">
        <v>39</v>
      </c>
      <c r="F14" s="1151" t="str">
        <f>IF($E$3="","",VLOOKUP($E$3,base,33))</f>
        <v/>
      </c>
      <c r="G14" s="1152"/>
      <c r="H14" s="1024" t="s">
        <v>266</v>
      </c>
      <c r="I14" s="1151" t="str">
        <f>IF($E$3="","",VLOOKUP($E$3,base,34))</f>
        <v/>
      </c>
      <c r="J14" s="1152"/>
      <c r="K14" s="695"/>
      <c r="L14" s="133"/>
      <c r="M14" s="82"/>
      <c r="S14" s="18" t="s">
        <v>525</v>
      </c>
      <c r="T14" s="18" t="s">
        <v>537</v>
      </c>
      <c r="W14" s="817">
        <f>SUM(F12,I12,F14,I14)</f>
        <v>0</v>
      </c>
    </row>
    <row r="15" spans="1:23" ht="3" customHeight="1" thickBot="1" x14ac:dyDescent="0.25">
      <c r="A15" s="27"/>
      <c r="B15" s="41"/>
      <c r="C15" s="1025"/>
      <c r="D15" s="1026"/>
      <c r="E15" s="1027"/>
      <c r="F15" s="692"/>
      <c r="G15" s="692"/>
      <c r="H15" s="1046"/>
      <c r="I15" s="705"/>
      <c r="J15" s="705"/>
      <c r="K15" s="698"/>
      <c r="L15" s="133"/>
      <c r="M15" s="82"/>
      <c r="S15" s="18" t="s">
        <v>527</v>
      </c>
      <c r="T15" s="18" t="s">
        <v>539</v>
      </c>
    </row>
    <row r="16" spans="1:23" ht="3" customHeight="1" thickBot="1" x14ac:dyDescent="0.25">
      <c r="A16" s="27" t="str">
        <f>IF(F16&gt;0,"","OK")</f>
        <v/>
      </c>
      <c r="B16" s="41"/>
      <c r="C16" s="1028" t="s">
        <v>1382</v>
      </c>
      <c r="D16" s="1029"/>
      <c r="E16" s="1029" t="s">
        <v>1383</v>
      </c>
      <c r="F16" s="1154" t="str">
        <f>IF($E$3="","",VLOOKUP($E$3,base,74))</f>
        <v/>
      </c>
      <c r="G16" s="1154"/>
      <c r="H16" s="1155" t="s">
        <v>1384</v>
      </c>
      <c r="I16" s="1155"/>
      <c r="J16" s="1155"/>
      <c r="K16" s="955"/>
      <c r="L16" s="133"/>
      <c r="M16" s="82"/>
      <c r="S16" s="18" t="s">
        <v>528</v>
      </c>
      <c r="T16" s="18" t="s">
        <v>540</v>
      </c>
    </row>
    <row r="17" spans="1:23" ht="3" customHeight="1" x14ac:dyDescent="0.2">
      <c r="A17" s="27"/>
      <c r="B17" s="41"/>
      <c r="C17" s="1030"/>
      <c r="D17" s="1031"/>
      <c r="E17" s="1031"/>
      <c r="F17" s="690"/>
      <c r="G17" s="690"/>
      <c r="H17" s="1052"/>
      <c r="I17" s="709"/>
      <c r="J17" s="709"/>
      <c r="K17" s="694"/>
      <c r="L17" s="133"/>
      <c r="M17" s="82"/>
      <c r="S17" s="18" t="s">
        <v>529</v>
      </c>
      <c r="T17" s="18" t="s">
        <v>541</v>
      </c>
    </row>
    <row r="18" spans="1:23" ht="12" customHeight="1" x14ac:dyDescent="0.2">
      <c r="A18" s="27"/>
      <c r="B18" s="41"/>
      <c r="C18" s="1032" t="s">
        <v>600</v>
      </c>
      <c r="D18" s="1033"/>
      <c r="E18" s="1033" t="s">
        <v>39</v>
      </c>
      <c r="F18" s="1215" t="str">
        <f>IF($E$3="","",VLOOKUP($E$3,base,60))</f>
        <v/>
      </c>
      <c r="G18" s="1215"/>
      <c r="H18" s="1053" t="s">
        <v>266</v>
      </c>
      <c r="I18" s="1216" t="str">
        <f>IF($E$3="","",0)</f>
        <v/>
      </c>
      <c r="J18" s="1216"/>
      <c r="K18" s="695"/>
      <c r="L18" s="133"/>
      <c r="M18" s="82"/>
      <c r="S18" s="18" t="s">
        <v>513</v>
      </c>
      <c r="T18" s="18" t="s">
        <v>542</v>
      </c>
    </row>
    <row r="19" spans="1:23" ht="3" customHeight="1" x14ac:dyDescent="0.2">
      <c r="A19" s="27"/>
      <c r="B19" s="41"/>
      <c r="C19" s="1020"/>
      <c r="D19" s="1021"/>
      <c r="E19" s="687"/>
      <c r="F19" s="688"/>
      <c r="G19" s="688"/>
      <c r="H19" s="688"/>
      <c r="I19" s="688"/>
      <c r="J19" s="688"/>
      <c r="K19" s="695"/>
      <c r="L19" s="133"/>
      <c r="M19" s="82"/>
      <c r="S19" s="18" t="s">
        <v>526</v>
      </c>
      <c r="T19" s="18" t="s">
        <v>538</v>
      </c>
    </row>
    <row r="20" spans="1:23" ht="12" customHeight="1" x14ac:dyDescent="0.2">
      <c r="A20" s="27"/>
      <c r="B20" s="41"/>
      <c r="C20" s="1022" t="s">
        <v>654</v>
      </c>
      <c r="D20" s="1023"/>
      <c r="E20" s="1023" t="s">
        <v>39</v>
      </c>
      <c r="F20" s="1151" t="str">
        <f>IF($E$3="","",VLOOKUP($E$3,base,61))</f>
        <v/>
      </c>
      <c r="G20" s="1152"/>
      <c r="H20" s="1024" t="s">
        <v>266</v>
      </c>
      <c r="I20" s="1151" t="str">
        <f>IF($E$3="","",0)</f>
        <v/>
      </c>
      <c r="J20" s="1152"/>
      <c r="K20" s="695"/>
      <c r="L20" s="133"/>
      <c r="M20" s="82"/>
      <c r="N20" s="18" t="s">
        <v>476</v>
      </c>
      <c r="W20" s="817">
        <f>SUM(F18,I18,F20,I20)</f>
        <v>0</v>
      </c>
    </row>
    <row r="21" spans="1:23" ht="3" customHeight="1" thickBot="1" x14ac:dyDescent="0.25">
      <c r="A21" s="27"/>
      <c r="B21" s="41"/>
      <c r="C21" s="1025"/>
      <c r="D21" s="1026"/>
      <c r="E21" s="1026"/>
      <c r="F21" s="706"/>
      <c r="G21" s="706"/>
      <c r="H21" s="1046"/>
      <c r="I21" s="707"/>
      <c r="J21" s="707"/>
      <c r="K21" s="698"/>
      <c r="L21" s="133"/>
      <c r="M21" s="82"/>
    </row>
    <row r="22" spans="1:23" ht="3" customHeight="1" thickBot="1" x14ac:dyDescent="0.25">
      <c r="A22" s="27"/>
      <c r="B22" s="41"/>
      <c r="C22" s="1024"/>
      <c r="D22" s="1023"/>
      <c r="E22" s="1023"/>
      <c r="F22" s="690"/>
      <c r="G22" s="690"/>
      <c r="H22" s="1047"/>
      <c r="I22" s="691"/>
      <c r="J22" s="691"/>
      <c r="K22" s="30"/>
      <c r="L22" s="133"/>
      <c r="M22" s="82"/>
    </row>
    <row r="23" spans="1:23" ht="3" customHeight="1" x14ac:dyDescent="0.2">
      <c r="A23" s="27"/>
      <c r="B23" s="41"/>
      <c r="C23" s="1034"/>
      <c r="D23" s="1035"/>
      <c r="E23" s="1036"/>
      <c r="F23" s="710"/>
      <c r="G23" s="710"/>
      <c r="H23" s="1054"/>
      <c r="I23" s="711"/>
      <c r="J23" s="711"/>
      <c r="K23" s="694"/>
      <c r="L23" s="133"/>
      <c r="M23" s="82"/>
      <c r="S23" s="18" t="s">
        <v>526</v>
      </c>
      <c r="T23" s="18" t="s">
        <v>538</v>
      </c>
    </row>
    <row r="24" spans="1:23" ht="12" customHeight="1" x14ac:dyDescent="0.2">
      <c r="A24" s="27"/>
      <c r="B24" s="41"/>
      <c r="C24" s="1037" t="s">
        <v>701</v>
      </c>
      <c r="D24" s="1038"/>
      <c r="E24" s="1038" t="s">
        <v>39</v>
      </c>
      <c r="F24" s="1217" t="str">
        <f>IF($E$3="","",VLOOKUP($E$3,base,62))</f>
        <v/>
      </c>
      <c r="G24" s="1217"/>
      <c r="H24" s="1038" t="s">
        <v>266</v>
      </c>
      <c r="I24" s="1217" t="str">
        <f>IF($E$3="","",0)</f>
        <v/>
      </c>
      <c r="J24" s="1217"/>
      <c r="K24" s="695"/>
      <c r="L24" s="133"/>
      <c r="M24" s="82"/>
    </row>
    <row r="25" spans="1:23" ht="3" customHeight="1" x14ac:dyDescent="0.2">
      <c r="A25" s="27"/>
      <c r="B25" s="41"/>
      <c r="C25" s="1039"/>
      <c r="D25" s="1040"/>
      <c r="E25" s="1040"/>
      <c r="F25" s="690"/>
      <c r="G25" s="690"/>
      <c r="H25" s="1040"/>
      <c r="I25" s="691"/>
      <c r="J25" s="691"/>
      <c r="K25" s="695"/>
      <c r="L25" s="133"/>
      <c r="M25" s="82"/>
    </row>
    <row r="26" spans="1:23" ht="12.75" customHeight="1" x14ac:dyDescent="0.2">
      <c r="A26" s="27"/>
      <c r="B26" s="41"/>
      <c r="C26" s="1022" t="s">
        <v>702</v>
      </c>
      <c r="D26" s="1023"/>
      <c r="E26" s="1023" t="s">
        <v>39</v>
      </c>
      <c r="F26" s="1151" t="str">
        <f>IF($E$3="","",VLOOKUP($E$3,base,63))</f>
        <v/>
      </c>
      <c r="G26" s="1152"/>
      <c r="H26" s="1023" t="s">
        <v>266</v>
      </c>
      <c r="I26" s="1151" t="str">
        <f>IF($E$3="","",0)</f>
        <v/>
      </c>
      <c r="J26" s="1152"/>
      <c r="K26" s="695"/>
      <c r="L26" s="133"/>
      <c r="M26" s="82"/>
      <c r="W26" s="817">
        <f>SUM(F24,I24,F26,I26)</f>
        <v>0</v>
      </c>
    </row>
    <row r="27" spans="1:23" ht="3" customHeight="1" thickBot="1" x14ac:dyDescent="0.25">
      <c r="A27" s="27"/>
      <c r="B27" s="41"/>
      <c r="C27" s="1025"/>
      <c r="D27" s="1026"/>
      <c r="E27" s="1026"/>
      <c r="F27" s="706"/>
      <c r="G27" s="706"/>
      <c r="H27" s="1046"/>
      <c r="I27" s="707"/>
      <c r="J27" s="707"/>
      <c r="K27" s="698"/>
      <c r="L27" s="133"/>
      <c r="M27" s="82"/>
    </row>
    <row r="28" spans="1:23" ht="3" customHeight="1" thickBot="1" x14ac:dyDescent="0.25">
      <c r="A28" s="27"/>
      <c r="B28" s="41"/>
      <c r="C28" s="1024"/>
      <c r="D28" s="1023"/>
      <c r="E28" s="1023"/>
      <c r="F28" s="690"/>
      <c r="G28" s="690"/>
      <c r="H28" s="1047"/>
      <c r="I28" s="691"/>
      <c r="J28" s="691"/>
      <c r="K28" s="30"/>
      <c r="L28" s="133"/>
      <c r="M28" s="82"/>
    </row>
    <row r="29" spans="1:23" ht="3" customHeight="1" x14ac:dyDescent="0.2">
      <c r="A29" s="27"/>
      <c r="B29" s="41"/>
      <c r="C29" s="1030"/>
      <c r="D29" s="1031"/>
      <c r="E29" s="1031"/>
      <c r="F29" s="708"/>
      <c r="G29" s="708"/>
      <c r="H29" s="1052"/>
      <c r="I29" s="709"/>
      <c r="J29" s="709"/>
      <c r="K29" s="694"/>
      <c r="L29" s="133"/>
      <c r="M29" s="82"/>
    </row>
    <row r="30" spans="1:23" ht="12.75" customHeight="1" x14ac:dyDescent="0.2">
      <c r="A30" s="27"/>
      <c r="B30" s="41"/>
      <c r="C30" s="1041" t="s">
        <v>698</v>
      </c>
      <c r="D30" s="1042"/>
      <c r="E30" s="1042" t="s">
        <v>39</v>
      </c>
      <c r="F30" s="1218" t="str">
        <f>IF($E$3="","",VLOOKUP($E$3,base,64))</f>
        <v/>
      </c>
      <c r="G30" s="1218"/>
      <c r="H30" s="1055" t="s">
        <v>266</v>
      </c>
      <c r="I30" s="1218" t="str">
        <f>IF($E$3="","",0)</f>
        <v/>
      </c>
      <c r="J30" s="1218"/>
      <c r="K30" s="695"/>
      <c r="L30" s="133"/>
      <c r="M30" s="82"/>
    </row>
    <row r="31" spans="1:23" ht="3" customHeight="1" x14ac:dyDescent="0.2">
      <c r="A31" s="27"/>
      <c r="B31" s="41"/>
      <c r="C31" s="1039"/>
      <c r="D31" s="1040"/>
      <c r="E31" s="1040"/>
      <c r="F31" s="690"/>
      <c r="G31" s="690"/>
      <c r="H31" s="1056"/>
      <c r="I31" s="691"/>
      <c r="J31" s="691"/>
      <c r="K31" s="695"/>
      <c r="L31" s="133"/>
      <c r="M31" s="82"/>
    </row>
    <row r="32" spans="1:23" ht="12.75" customHeight="1" x14ac:dyDescent="0.2">
      <c r="A32" s="27"/>
      <c r="B32" s="41"/>
      <c r="C32" s="1022" t="s">
        <v>699</v>
      </c>
      <c r="D32" s="1023"/>
      <c r="E32" s="1023" t="s">
        <v>39</v>
      </c>
      <c r="F32" s="1151" t="str">
        <f>IF($E$3="","",VLOOKUP($E$3,base,65))</f>
        <v/>
      </c>
      <c r="G32" s="1152"/>
      <c r="H32" s="1024" t="s">
        <v>266</v>
      </c>
      <c r="I32" s="1151" t="str">
        <f>IF($E$3="","",0)</f>
        <v/>
      </c>
      <c r="J32" s="1152"/>
      <c r="K32" s="695"/>
      <c r="L32" s="133"/>
      <c r="M32" s="82"/>
      <c r="W32" s="817">
        <f>SUM(F30,I30,F32,I32)</f>
        <v>0</v>
      </c>
    </row>
    <row r="33" spans="1:23" ht="3" customHeight="1" thickBot="1" x14ac:dyDescent="0.25">
      <c r="A33" s="27"/>
      <c r="B33" s="41"/>
      <c r="C33" s="1025"/>
      <c r="D33" s="1026"/>
      <c r="E33" s="1026"/>
      <c r="F33" s="706"/>
      <c r="G33" s="706"/>
      <c r="H33" s="1046"/>
      <c r="I33" s="707"/>
      <c r="J33" s="707"/>
      <c r="K33" s="698"/>
      <c r="L33" s="133"/>
      <c r="M33" s="82"/>
    </row>
    <row r="34" spans="1:23" ht="3" customHeight="1" thickBot="1" x14ac:dyDescent="0.25">
      <c r="A34" s="27"/>
      <c r="B34" s="41"/>
      <c r="C34" s="1024"/>
      <c r="D34" s="1023"/>
      <c r="E34" s="1023"/>
      <c r="F34" s="690"/>
      <c r="G34" s="690"/>
      <c r="H34" s="1047"/>
      <c r="I34" s="691"/>
      <c r="J34" s="691"/>
      <c r="K34" s="30"/>
      <c r="L34" s="133"/>
      <c r="M34" s="82"/>
    </row>
    <row r="35" spans="1:23" ht="3" customHeight="1" x14ac:dyDescent="0.2">
      <c r="A35" s="27"/>
      <c r="B35" s="41"/>
      <c r="C35" s="1034"/>
      <c r="D35" s="1035"/>
      <c r="E35" s="1036"/>
      <c r="F35" s="710"/>
      <c r="G35" s="710"/>
      <c r="H35" s="1054"/>
      <c r="I35" s="711"/>
      <c r="J35" s="711"/>
      <c r="K35" s="694"/>
      <c r="L35" s="133"/>
      <c r="M35" s="82"/>
    </row>
    <row r="36" spans="1:23" ht="12.75" customHeight="1" x14ac:dyDescent="0.2">
      <c r="A36" s="27"/>
      <c r="B36" s="41"/>
      <c r="C36" s="1043" t="s">
        <v>696</v>
      </c>
      <c r="D36" s="1044"/>
      <c r="E36" s="1045" t="s">
        <v>39</v>
      </c>
      <c r="F36" s="1219" t="str">
        <f>IF($E$3="","",VLOOKUP($E$3,base,66))</f>
        <v/>
      </c>
      <c r="G36" s="1219"/>
      <c r="H36" s="1057" t="s">
        <v>266</v>
      </c>
      <c r="I36" s="1219" t="str">
        <f>IF($E$3="","",VLOOKUP($E$3,base,67))</f>
        <v/>
      </c>
      <c r="J36" s="1219"/>
      <c r="K36" s="695"/>
      <c r="L36" s="133"/>
      <c r="M36" s="82"/>
    </row>
    <row r="37" spans="1:23" ht="3" customHeight="1" x14ac:dyDescent="0.2">
      <c r="A37" s="27"/>
      <c r="B37" s="41"/>
      <c r="C37" s="1039"/>
      <c r="D37" s="1040"/>
      <c r="E37" s="1040"/>
      <c r="F37" s="690"/>
      <c r="G37" s="690"/>
      <c r="H37" s="1056"/>
      <c r="I37" s="691"/>
      <c r="J37" s="691"/>
      <c r="K37" s="695"/>
      <c r="L37" s="133"/>
      <c r="M37" s="82"/>
    </row>
    <row r="38" spans="1:23" ht="12.75" customHeight="1" x14ac:dyDescent="0.2">
      <c r="A38" s="27"/>
      <c r="B38" s="41"/>
      <c r="C38" s="1022" t="s">
        <v>700</v>
      </c>
      <c r="D38" s="1023"/>
      <c r="E38" s="1023" t="s">
        <v>39</v>
      </c>
      <c r="F38" s="1151" t="str">
        <f>IF($E$3="","",VLOOKUP($E$3,base,68))</f>
        <v/>
      </c>
      <c r="G38" s="1152"/>
      <c r="H38" s="1024" t="s">
        <v>266</v>
      </c>
      <c r="I38" s="1151" t="str">
        <f>IF($E$3="","",VLOOKUP($E$3,base,69))</f>
        <v/>
      </c>
      <c r="J38" s="1152"/>
      <c r="K38" s="695"/>
      <c r="L38" s="133"/>
      <c r="M38" s="82"/>
      <c r="W38" s="817">
        <f>SUM(F36,I36,F38,I38)</f>
        <v>0</v>
      </c>
    </row>
    <row r="39" spans="1:23" ht="3" customHeight="1" thickBot="1" x14ac:dyDescent="0.25">
      <c r="A39" s="27"/>
      <c r="B39" s="41"/>
      <c r="C39" s="1025"/>
      <c r="D39" s="1026"/>
      <c r="E39" s="1046"/>
      <c r="F39" s="706"/>
      <c r="G39" s="706"/>
      <c r="H39" s="1046"/>
      <c r="I39" s="707"/>
      <c r="J39" s="707"/>
      <c r="K39" s="698"/>
      <c r="L39" s="133"/>
      <c r="M39" s="82"/>
    </row>
    <row r="40" spans="1:23" ht="3" customHeight="1" thickBot="1" x14ac:dyDescent="0.25">
      <c r="A40" s="27"/>
      <c r="B40" s="41"/>
      <c r="C40" s="1024"/>
      <c r="D40" s="1023"/>
      <c r="E40" s="1047"/>
      <c r="F40" s="690"/>
      <c r="G40" s="690"/>
      <c r="H40" s="1047"/>
      <c r="I40" s="691"/>
      <c r="J40" s="691"/>
      <c r="K40" s="30"/>
      <c r="L40" s="133"/>
      <c r="M40" s="82"/>
    </row>
    <row r="41" spans="1:23" ht="3" customHeight="1" x14ac:dyDescent="0.2">
      <c r="A41" s="27"/>
      <c r="B41" s="41"/>
      <c r="C41" s="1034"/>
      <c r="D41" s="1035"/>
      <c r="E41" s="1036"/>
      <c r="F41" s="710"/>
      <c r="G41" s="710"/>
      <c r="H41" s="1054"/>
      <c r="I41" s="711"/>
      <c r="J41" s="711"/>
      <c r="K41" s="694"/>
      <c r="L41" s="133"/>
      <c r="M41" s="82"/>
    </row>
    <row r="42" spans="1:23" ht="12.75" customHeight="1" x14ac:dyDescent="0.2">
      <c r="A42" s="27"/>
      <c r="B42" s="41"/>
      <c r="C42" s="1048" t="s">
        <v>697</v>
      </c>
      <c r="D42" s="1049"/>
      <c r="E42" s="1049" t="s">
        <v>39</v>
      </c>
      <c r="F42" s="1150" t="str">
        <f>IF($E$3="","",VLOOKUP($E$3,base,70))</f>
        <v/>
      </c>
      <c r="G42" s="1150"/>
      <c r="H42" s="1058" t="s">
        <v>266</v>
      </c>
      <c r="I42" s="1150" t="str">
        <f>IF($E$3="","",VLOOKUP($E$3,base,71))</f>
        <v/>
      </c>
      <c r="J42" s="1150"/>
      <c r="K42" s="695"/>
      <c r="L42" s="133"/>
      <c r="M42" s="82"/>
    </row>
    <row r="43" spans="1:23" ht="3" customHeight="1" x14ac:dyDescent="0.2">
      <c r="A43" s="27"/>
      <c r="B43" s="41"/>
      <c r="C43" s="1039"/>
      <c r="D43" s="1040"/>
      <c r="E43" s="1040"/>
      <c r="F43" s="690"/>
      <c r="G43" s="690"/>
      <c r="H43" s="1056"/>
      <c r="I43" s="691"/>
      <c r="J43" s="691"/>
      <c r="K43" s="695"/>
      <c r="L43" s="133"/>
      <c r="M43" s="82"/>
    </row>
    <row r="44" spans="1:23" ht="12" x14ac:dyDescent="0.2">
      <c r="A44" s="27"/>
      <c r="B44" s="41"/>
      <c r="C44" s="1022" t="s">
        <v>705</v>
      </c>
      <c r="D44" s="1023"/>
      <c r="E44" s="1023" t="s">
        <v>39</v>
      </c>
      <c r="F44" s="1151" t="str">
        <f>IF($E$3="","",VLOOKUP($E$3,base,72))</f>
        <v/>
      </c>
      <c r="G44" s="1152"/>
      <c r="H44" s="1024" t="s">
        <v>266</v>
      </c>
      <c r="I44" s="1151" t="str">
        <f>IF($E$3="","",VLOOKUP($E$3,base,73))</f>
        <v/>
      </c>
      <c r="J44" s="1152"/>
      <c r="K44" s="695"/>
      <c r="L44" s="133"/>
      <c r="M44" s="82"/>
      <c r="W44" s="817">
        <f>SUM(F42,I42,F44,I44)</f>
        <v>0</v>
      </c>
    </row>
    <row r="45" spans="1:23" ht="3" customHeight="1" thickBot="1" x14ac:dyDescent="0.25">
      <c r="A45" s="27"/>
      <c r="B45" s="41"/>
      <c r="C45" s="1025"/>
      <c r="D45" s="1026"/>
      <c r="E45" s="1046"/>
      <c r="F45" s="706"/>
      <c r="G45" s="706"/>
      <c r="H45" s="1046"/>
      <c r="I45" s="707"/>
      <c r="J45" s="707"/>
      <c r="K45" s="698"/>
      <c r="L45" s="133"/>
      <c r="M45" s="82"/>
    </row>
    <row r="46" spans="1:23" ht="3" customHeight="1" thickBot="1" x14ac:dyDescent="0.25">
      <c r="A46" s="27"/>
      <c r="B46" s="41"/>
      <c r="C46" s="1024"/>
      <c r="D46" s="1023"/>
      <c r="E46" s="1047"/>
      <c r="F46" s="690"/>
      <c r="G46" s="690"/>
      <c r="H46" s="1047"/>
      <c r="I46" s="691"/>
      <c r="J46" s="691"/>
      <c r="K46" s="30"/>
      <c r="L46" s="133"/>
      <c r="M46" s="82"/>
    </row>
    <row r="47" spans="1:23" ht="3" customHeight="1" x14ac:dyDescent="0.2">
      <c r="A47" s="27"/>
      <c r="B47" s="41"/>
      <c r="C47" s="1034"/>
      <c r="D47" s="1035"/>
      <c r="E47" s="1036"/>
      <c r="F47" s="710"/>
      <c r="G47" s="710"/>
      <c r="H47" s="1054"/>
      <c r="I47" s="711"/>
      <c r="J47" s="711"/>
      <c r="K47" s="694"/>
      <c r="L47" s="133"/>
      <c r="M47" s="82"/>
    </row>
    <row r="48" spans="1:23" ht="12.75" customHeight="1" x14ac:dyDescent="0.2">
      <c r="A48" s="27"/>
      <c r="B48" s="41"/>
      <c r="C48" s="1050" t="s">
        <v>12262</v>
      </c>
      <c r="D48" s="1051"/>
      <c r="E48" s="1051" t="s">
        <v>39</v>
      </c>
      <c r="F48" s="1153" t="str">
        <f>IF($E$3="","",VLOOKUP($E$3,base,75))</f>
        <v/>
      </c>
      <c r="G48" s="1153"/>
      <c r="H48" s="1059" t="s">
        <v>266</v>
      </c>
      <c r="I48" s="1153" t="str">
        <f>IF($E$3="","",VLOOKUP($E$3,base,76))</f>
        <v/>
      </c>
      <c r="J48" s="1153"/>
      <c r="K48" s="695"/>
      <c r="L48" s="133"/>
      <c r="M48" s="82"/>
    </row>
    <row r="49" spans="1:23" ht="3" customHeight="1" x14ac:dyDescent="0.2">
      <c r="A49" s="27"/>
      <c r="B49" s="41"/>
      <c r="C49" s="1039"/>
      <c r="D49" s="1040"/>
      <c r="E49" s="1040"/>
      <c r="F49" s="690"/>
      <c r="G49" s="690"/>
      <c r="H49" s="1056"/>
      <c r="I49" s="691"/>
      <c r="J49" s="691"/>
      <c r="K49" s="695"/>
      <c r="L49" s="133"/>
      <c r="M49" s="82"/>
    </row>
    <row r="50" spans="1:23" ht="12" x14ac:dyDescent="0.2">
      <c r="A50" s="27"/>
      <c r="B50" s="41"/>
      <c r="C50" s="1022" t="s">
        <v>12264</v>
      </c>
      <c r="D50" s="1023"/>
      <c r="E50" s="1023" t="s">
        <v>39</v>
      </c>
      <c r="F50" s="1151" t="str">
        <f>IF($E$3="","",VLOOKUP($E$3,base,77))</f>
        <v/>
      </c>
      <c r="G50" s="1152"/>
      <c r="H50" s="1024" t="s">
        <v>266</v>
      </c>
      <c r="I50" s="1151" t="str">
        <f>IF($E$3="","",VLOOKUP($E$3,base,78))</f>
        <v/>
      </c>
      <c r="J50" s="1152"/>
      <c r="K50" s="695"/>
      <c r="L50" s="133"/>
      <c r="M50" s="82"/>
      <c r="W50" s="817">
        <f>SUM(F48,I48,F50,I50)</f>
        <v>0</v>
      </c>
    </row>
    <row r="51" spans="1:23" ht="3" customHeight="1" thickBot="1" x14ac:dyDescent="0.25">
      <c r="A51" s="27"/>
      <c r="B51" s="41"/>
      <c r="C51" s="1025"/>
      <c r="D51" s="1026"/>
      <c r="E51" s="1046"/>
      <c r="F51" s="706"/>
      <c r="G51" s="706"/>
      <c r="H51" s="1046"/>
      <c r="I51" s="707"/>
      <c r="J51" s="707"/>
      <c r="K51" s="698"/>
      <c r="L51" s="133"/>
      <c r="M51" s="82"/>
    </row>
    <row r="52" spans="1:23" ht="3" customHeight="1" thickBot="1" x14ac:dyDescent="0.25">
      <c r="A52" s="27"/>
      <c r="B52" s="41"/>
      <c r="C52" s="1024"/>
      <c r="D52" s="1023"/>
      <c r="E52" s="1047"/>
      <c r="F52" s="690"/>
      <c r="G52" s="690"/>
      <c r="H52" s="1047"/>
      <c r="I52" s="691"/>
      <c r="J52" s="691"/>
      <c r="K52" s="30"/>
      <c r="L52" s="133"/>
      <c r="M52" s="82"/>
    </row>
    <row r="53" spans="1:23" ht="3" customHeight="1" x14ac:dyDescent="0.2">
      <c r="A53" s="27"/>
      <c r="B53" s="41"/>
      <c r="C53" s="1034"/>
      <c r="D53" s="1035"/>
      <c r="E53" s="1036"/>
      <c r="F53" s="710"/>
      <c r="G53" s="710"/>
      <c r="H53" s="1054"/>
      <c r="I53" s="711"/>
      <c r="J53" s="711"/>
      <c r="K53" s="694"/>
      <c r="L53" s="133"/>
      <c r="M53" s="82"/>
    </row>
    <row r="54" spans="1:23" ht="12.75" customHeight="1" x14ac:dyDescent="0.2">
      <c r="A54" s="27"/>
      <c r="B54" s="41"/>
      <c r="C54" s="1039" t="s">
        <v>12317</v>
      </c>
      <c r="D54" s="1040"/>
      <c r="E54" s="1040" t="s">
        <v>39</v>
      </c>
      <c r="F54" s="1150" t="str">
        <f>IF($E$3="","",VLOOKUP($E$3,base,79))</f>
        <v/>
      </c>
      <c r="G54" s="1150"/>
      <c r="H54" s="1060" t="s">
        <v>266</v>
      </c>
      <c r="I54" s="1150" t="str">
        <f>IF($E$3="","",VLOOKUP($E$3,base,80))</f>
        <v/>
      </c>
      <c r="J54" s="1150"/>
      <c r="K54" s="695"/>
      <c r="L54" s="133"/>
      <c r="M54" s="82"/>
    </row>
    <row r="55" spans="1:23" ht="3" customHeight="1" x14ac:dyDescent="0.2">
      <c r="A55" s="27"/>
      <c r="B55" s="41"/>
      <c r="C55" s="1039"/>
      <c r="D55" s="1040"/>
      <c r="E55" s="1040"/>
      <c r="F55" s="690"/>
      <c r="G55" s="690"/>
      <c r="H55" s="1056"/>
      <c r="I55" s="691"/>
      <c r="J55" s="691"/>
      <c r="K55" s="695"/>
      <c r="L55" s="133"/>
      <c r="M55" s="82"/>
    </row>
    <row r="56" spans="1:23" ht="12" x14ac:dyDescent="0.2">
      <c r="A56" s="27"/>
      <c r="B56" s="41"/>
      <c r="C56" s="1022" t="s">
        <v>12265</v>
      </c>
      <c r="D56" s="1023"/>
      <c r="E56" s="1023" t="s">
        <v>39</v>
      </c>
      <c r="F56" s="1151" t="str">
        <f>IF($E$3="","",VLOOKUP($E$3,base,81))</f>
        <v/>
      </c>
      <c r="G56" s="1152"/>
      <c r="H56" s="1024" t="s">
        <v>266</v>
      </c>
      <c r="I56" s="1151" t="str">
        <f>IF($E$3="","",VLOOKUP($E$3,base,82))</f>
        <v/>
      </c>
      <c r="J56" s="1152"/>
      <c r="K56" s="695"/>
      <c r="L56" s="133"/>
      <c r="M56" s="82"/>
      <c r="W56" s="817">
        <f>SUM(F54,I54,F56,I56)</f>
        <v>0</v>
      </c>
    </row>
    <row r="57" spans="1:23" ht="3" customHeight="1" thickBot="1" x14ac:dyDescent="0.25">
      <c r="A57" s="27"/>
      <c r="B57" s="41"/>
      <c r="C57" s="1025"/>
      <c r="D57" s="1026"/>
      <c r="E57" s="1046"/>
      <c r="F57" s="706"/>
      <c r="G57" s="706"/>
      <c r="H57" s="1046"/>
      <c r="I57" s="707"/>
      <c r="J57" s="707"/>
      <c r="K57" s="698"/>
      <c r="L57" s="133"/>
      <c r="M57" s="82"/>
    </row>
    <row r="58" spans="1:23" ht="3" customHeight="1" thickBot="1" x14ac:dyDescent="0.25">
      <c r="A58" s="27"/>
      <c r="B58" s="41"/>
      <c r="C58" s="1024"/>
      <c r="D58" s="1023"/>
      <c r="E58" s="1047"/>
      <c r="F58" s="690"/>
      <c r="G58" s="690"/>
      <c r="H58" s="1047"/>
      <c r="I58" s="691"/>
      <c r="J58" s="691"/>
      <c r="K58" s="30"/>
      <c r="L58" s="133"/>
      <c r="M58" s="82"/>
    </row>
    <row r="59" spans="1:23" ht="3" customHeight="1" x14ac:dyDescent="0.2">
      <c r="A59" s="27"/>
      <c r="B59" s="41"/>
      <c r="C59" s="1034"/>
      <c r="D59" s="1035"/>
      <c r="E59" s="1036"/>
      <c r="F59" s="710"/>
      <c r="G59" s="710"/>
      <c r="H59" s="1054"/>
      <c r="I59" s="711"/>
      <c r="J59" s="711"/>
      <c r="K59" s="694"/>
      <c r="L59" s="133"/>
      <c r="M59" s="82"/>
    </row>
    <row r="60" spans="1:23" ht="12.75" customHeight="1" x14ac:dyDescent="0.2">
      <c r="A60" s="27"/>
      <c r="B60" s="41"/>
      <c r="C60" s="1017" t="s">
        <v>12263</v>
      </c>
      <c r="D60" s="1018"/>
      <c r="E60" s="1018" t="s">
        <v>39</v>
      </c>
      <c r="F60" s="1150" t="str">
        <f>IF($E$3="","",VLOOKUP($E$3,base,83))</f>
        <v/>
      </c>
      <c r="G60" s="1150"/>
      <c r="H60" s="1019" t="s">
        <v>266</v>
      </c>
      <c r="I60" s="1150" t="str">
        <f>IF($E$3="","",VLOOKUP($E$3,base,84))</f>
        <v/>
      </c>
      <c r="J60" s="1150"/>
      <c r="K60" s="695"/>
      <c r="L60" s="133"/>
      <c r="M60" s="82"/>
    </row>
    <row r="61" spans="1:23" ht="3" customHeight="1" x14ac:dyDescent="0.2">
      <c r="A61" s="27"/>
      <c r="B61" s="41"/>
      <c r="C61" s="1039"/>
      <c r="D61" s="1040"/>
      <c r="E61" s="1040"/>
      <c r="F61" s="690"/>
      <c r="G61" s="690"/>
      <c r="H61" s="1056"/>
      <c r="I61" s="691"/>
      <c r="J61" s="691"/>
      <c r="K61" s="695"/>
      <c r="L61" s="133"/>
      <c r="M61" s="82"/>
    </row>
    <row r="62" spans="1:23" ht="12" x14ac:dyDescent="0.2">
      <c r="A62" s="27"/>
      <c r="B62" s="41"/>
      <c r="C62" s="1022" t="s">
        <v>12266</v>
      </c>
      <c r="D62" s="1023"/>
      <c r="E62" s="1023" t="s">
        <v>39</v>
      </c>
      <c r="F62" s="1151" t="str">
        <f>IF($E$3="","",VLOOKUP($E$3,base,85))</f>
        <v/>
      </c>
      <c r="G62" s="1152"/>
      <c r="H62" s="1024" t="s">
        <v>266</v>
      </c>
      <c r="I62" s="1151" t="str">
        <f>IF($E$3="","",VLOOKUP($E$3,base,86))</f>
        <v/>
      </c>
      <c r="J62" s="1152"/>
      <c r="K62" s="695"/>
      <c r="L62" s="133"/>
      <c r="M62" s="82"/>
      <c r="W62" s="817">
        <f>SUM(F60,I60,F62,I62)</f>
        <v>0</v>
      </c>
    </row>
    <row r="63" spans="1:23" ht="3" customHeight="1" thickBot="1" x14ac:dyDescent="0.25">
      <c r="A63" s="27"/>
      <c r="B63" s="41"/>
      <c r="C63" s="696"/>
      <c r="D63" s="697"/>
      <c r="E63" s="704"/>
      <c r="F63" s="706"/>
      <c r="G63" s="706"/>
      <c r="H63" s="704"/>
      <c r="I63" s="707"/>
      <c r="J63" s="707"/>
      <c r="K63" s="698"/>
      <c r="L63" s="133"/>
      <c r="M63" s="82"/>
    </row>
    <row r="64" spans="1:23" ht="3" customHeight="1" x14ac:dyDescent="0.2">
      <c r="A64" s="27"/>
      <c r="B64" s="41"/>
      <c r="C64" s="699"/>
      <c r="D64" s="689"/>
      <c r="E64" s="689"/>
      <c r="F64" s="954"/>
      <c r="G64" s="954"/>
      <c r="H64" s="954"/>
      <c r="I64" s="954"/>
      <c r="J64" s="954"/>
      <c r="K64" s="30"/>
      <c r="L64" s="133"/>
      <c r="M64" s="82"/>
    </row>
    <row r="65" spans="1:14" ht="12" x14ac:dyDescent="0.2">
      <c r="A65" s="27"/>
      <c r="B65" s="41"/>
      <c r="C65" s="38"/>
      <c r="D65" s="38"/>
      <c r="E65" s="39"/>
      <c r="F65" s="39"/>
      <c r="G65" s="40"/>
      <c r="H65" s="41"/>
      <c r="I65" s="41"/>
      <c r="J65" s="41"/>
      <c r="K65" s="41"/>
      <c r="L65" s="81"/>
      <c r="M65" s="82"/>
    </row>
    <row r="66" spans="1:14" ht="12" x14ac:dyDescent="0.2">
      <c r="A66" s="27"/>
      <c r="B66" s="41"/>
      <c r="C66" s="815"/>
      <c r="D66" s="24"/>
      <c r="E66" s="23"/>
      <c r="F66" s="23"/>
      <c r="K66" s="30"/>
      <c r="L66" s="133"/>
      <c r="M66" s="82"/>
    </row>
    <row r="67" spans="1:14" ht="12.75" customHeight="1" x14ac:dyDescent="0.2">
      <c r="A67" s="27"/>
      <c r="B67" s="41"/>
      <c r="C67" s="21" t="str">
        <f>IF(J71="CEU",N20,N12)</f>
        <v>APM da(o):</v>
      </c>
      <c r="E67" s="1211" t="str">
        <f>IF($E$3="","",VLOOKUP($E$3,base,4))</f>
        <v/>
      </c>
      <c r="F67" s="1211"/>
      <c r="G67" s="1211"/>
      <c r="H67" s="1211"/>
      <c r="I67" s="1211"/>
      <c r="J67" s="1211"/>
      <c r="K67" s="34"/>
      <c r="L67" s="134"/>
      <c r="M67" s="82"/>
    </row>
    <row r="68" spans="1:14" ht="3" customHeight="1" x14ac:dyDescent="0.2">
      <c r="A68" s="27"/>
      <c r="B68" s="41"/>
      <c r="D68" s="37"/>
      <c r="E68" s="32"/>
      <c r="F68" s="32"/>
      <c r="G68" s="32"/>
      <c r="H68" s="32"/>
      <c r="I68" s="32"/>
      <c r="J68" s="32"/>
      <c r="K68" s="34"/>
      <c r="L68" s="134"/>
      <c r="M68" s="82"/>
    </row>
    <row r="69" spans="1:14" ht="12.75" customHeight="1" x14ac:dyDescent="0.2">
      <c r="A69" s="27"/>
      <c r="B69" s="41"/>
      <c r="C69" s="21" t="s">
        <v>138</v>
      </c>
      <c r="E69" s="1207" t="str">
        <f>IF($E$3="","",VLOOKUP($E$3,base,2))</f>
        <v/>
      </c>
      <c r="F69" s="1208"/>
      <c r="G69" s="1208"/>
      <c r="H69" s="1208"/>
      <c r="I69" s="1208"/>
      <c r="J69" s="1208"/>
      <c r="K69" s="34"/>
      <c r="L69" s="134"/>
      <c r="M69" s="82"/>
    </row>
    <row r="70" spans="1:14" ht="3" customHeight="1" x14ac:dyDescent="0.2">
      <c r="A70" s="27"/>
      <c r="B70" s="41"/>
      <c r="D70" s="37"/>
      <c r="E70" s="32"/>
      <c r="F70" s="32"/>
      <c r="G70" s="32"/>
      <c r="H70" s="32"/>
      <c r="I70" s="32"/>
      <c r="J70" s="32"/>
      <c r="K70" s="34"/>
      <c r="L70" s="134"/>
      <c r="M70" s="82"/>
    </row>
    <row r="71" spans="1:14" ht="12.75" customHeight="1" x14ac:dyDescent="0.2">
      <c r="A71" s="27"/>
      <c r="B71" s="41"/>
      <c r="C71" s="21" t="s">
        <v>139</v>
      </c>
      <c r="E71" s="1209" t="str">
        <f>IF($E$3="","",VLOOKUP($E$3,base,7))</f>
        <v/>
      </c>
      <c r="F71" s="1210"/>
      <c r="G71" s="21" t="s">
        <v>267</v>
      </c>
      <c r="H71" s="1200" t="str">
        <f>IF($E$3="","",VLOOKUP($E$3,base,9))</f>
        <v/>
      </c>
      <c r="I71" s="1201"/>
      <c r="J71" s="178" t="str">
        <f>IF($E$3="","",VLOOKUP($E$3,base,3))</f>
        <v/>
      </c>
      <c r="K71" s="28"/>
      <c r="L71" s="132"/>
      <c r="M71" s="82"/>
      <c r="N71" s="18" t="s">
        <v>452</v>
      </c>
    </row>
    <row r="72" spans="1:14" ht="3" customHeight="1" x14ac:dyDescent="0.2">
      <c r="A72" s="27"/>
      <c r="B72" s="41"/>
      <c r="D72" s="37"/>
      <c r="E72" s="32"/>
      <c r="F72" s="32"/>
      <c r="G72" s="29"/>
      <c r="H72" s="29"/>
      <c r="I72" s="29"/>
      <c r="J72" s="29"/>
      <c r="K72" s="28"/>
      <c r="L72" s="132"/>
      <c r="M72" s="82"/>
    </row>
    <row r="73" spans="1:14" ht="12.75" customHeight="1" x14ac:dyDescent="0.2">
      <c r="A73" s="27"/>
      <c r="B73" s="41"/>
      <c r="C73" s="21" t="s">
        <v>140</v>
      </c>
      <c r="E73" s="1194" t="str">
        <f>IF($E$3="","",VLOOKUP($E$3,base,10))</f>
        <v/>
      </c>
      <c r="F73" s="1195"/>
      <c r="G73" s="1195"/>
      <c r="H73" s="1196"/>
      <c r="I73" s="21" t="s">
        <v>338</v>
      </c>
      <c r="J73" s="830" t="str">
        <f>IF($E$3="","",VLOOKUP($E$3,base,11))</f>
        <v/>
      </c>
      <c r="K73" s="33"/>
      <c r="L73" s="135"/>
      <c r="M73" s="82"/>
      <c r="N73" s="18" t="s">
        <v>453</v>
      </c>
    </row>
    <row r="74" spans="1:14" ht="3" customHeight="1" x14ac:dyDescent="0.2">
      <c r="A74" s="27"/>
      <c r="B74" s="41"/>
      <c r="E74" s="33"/>
      <c r="F74" s="33"/>
      <c r="G74" s="33"/>
      <c r="H74" s="33"/>
      <c r="I74" s="33"/>
      <c r="J74" s="33"/>
      <c r="K74" s="33"/>
      <c r="L74" s="135"/>
      <c r="M74" s="82"/>
    </row>
    <row r="75" spans="1:14" ht="13.5" customHeight="1" x14ac:dyDescent="0.2">
      <c r="A75" s="27"/>
      <c r="B75" s="41"/>
      <c r="C75" s="21" t="s">
        <v>135</v>
      </c>
      <c r="E75" s="1197"/>
      <c r="F75" s="1198"/>
      <c r="G75" s="1199"/>
      <c r="H75" s="1202" t="str">
        <f>IF($E$3="","",VLOOKUP($E$3,base,41))</f>
        <v/>
      </c>
      <c r="I75" s="1203"/>
      <c r="J75" s="1203"/>
      <c r="K75" s="34"/>
      <c r="L75" s="134"/>
      <c r="M75" s="82"/>
    </row>
    <row r="76" spans="1:14" ht="3" customHeight="1" x14ac:dyDescent="0.2">
      <c r="A76" s="27"/>
      <c r="B76" s="41"/>
      <c r="E76" s="34"/>
      <c r="F76" s="34"/>
      <c r="G76" s="34"/>
      <c r="H76" s="34"/>
      <c r="I76" s="34"/>
      <c r="J76" s="34"/>
      <c r="K76" s="34"/>
      <c r="L76" s="134"/>
      <c r="M76" s="82"/>
    </row>
    <row r="77" spans="1:14" ht="12.75" customHeight="1" x14ac:dyDescent="0.2">
      <c r="A77" s="27"/>
      <c r="B77" s="41"/>
      <c r="C77" s="21" t="s">
        <v>136</v>
      </c>
      <c r="E77" s="1174" t="str">
        <f>IF($E$3="","",VLOOKUP($E$3,base,12))</f>
        <v/>
      </c>
      <c r="F77" s="1175"/>
      <c r="G77" s="1175"/>
      <c r="H77" s="1176"/>
      <c r="I77" s="34"/>
      <c r="J77" s="34"/>
      <c r="K77" s="34"/>
      <c r="L77" s="134"/>
      <c r="M77" s="82"/>
      <c r="N77" s="18" t="str">
        <f>IF($J$71="","",IF($J$71="CEU",$N$73,$N$71))</f>
        <v/>
      </c>
    </row>
    <row r="78" spans="1:14" ht="3" customHeight="1" x14ac:dyDescent="0.2">
      <c r="A78" s="27"/>
      <c r="B78" s="41"/>
      <c r="E78" s="26"/>
      <c r="F78" s="26"/>
      <c r="G78" s="26"/>
      <c r="H78" s="26"/>
      <c r="I78" s="26"/>
      <c r="J78" s="26"/>
      <c r="K78" s="26"/>
      <c r="L78" s="136"/>
      <c r="M78" s="82"/>
    </row>
    <row r="79" spans="1:14" ht="12.75" customHeight="1" x14ac:dyDescent="0.2">
      <c r="A79" s="27"/>
      <c r="B79" s="41"/>
      <c r="C79" s="21" t="s">
        <v>141</v>
      </c>
      <c r="E79" s="1174" t="s">
        <v>111</v>
      </c>
      <c r="F79" s="1176"/>
      <c r="G79" s="21" t="s">
        <v>268</v>
      </c>
      <c r="H79" s="828" t="s">
        <v>110</v>
      </c>
      <c r="I79" s="21" t="s">
        <v>269</v>
      </c>
      <c r="J79" s="832" t="str">
        <f>IF($E$3="","",VLOOKUP($E$3,base,13))</f>
        <v/>
      </c>
      <c r="K79" s="35"/>
      <c r="L79" s="137"/>
      <c r="M79" s="82"/>
    </row>
    <row r="80" spans="1:14" ht="3" customHeight="1" x14ac:dyDescent="0.2">
      <c r="A80" s="27"/>
      <c r="B80" s="41"/>
      <c r="E80" s="26"/>
      <c r="F80" s="26"/>
      <c r="G80" s="21"/>
      <c r="H80" s="23"/>
      <c r="I80" s="21"/>
      <c r="J80" s="23"/>
      <c r="K80" s="23"/>
      <c r="L80" s="138"/>
      <c r="M80" s="82"/>
    </row>
    <row r="81" spans="1:14" ht="12.75" customHeight="1" x14ac:dyDescent="0.2">
      <c r="A81" s="27"/>
      <c r="B81" s="41"/>
      <c r="C81" s="21" t="s">
        <v>143</v>
      </c>
      <c r="E81" s="828">
        <v>11</v>
      </c>
      <c r="F81" s="21" t="s">
        <v>270</v>
      </c>
      <c r="G81" s="831" t="str">
        <f>IF($E$3="","",VLOOKUP($E$3,base,14))</f>
        <v/>
      </c>
      <c r="H81" s="21" t="s">
        <v>271</v>
      </c>
      <c r="I81" s="831"/>
      <c r="J81" s="19"/>
      <c r="K81" s="19"/>
      <c r="L81" s="139"/>
      <c r="M81" s="82"/>
    </row>
    <row r="82" spans="1:14" ht="3" customHeight="1" x14ac:dyDescent="0.2">
      <c r="A82" s="27"/>
      <c r="B82" s="41"/>
      <c r="E82" s="385"/>
      <c r="F82" s="21"/>
      <c r="G82" s="23"/>
      <c r="H82" s="21"/>
      <c r="I82" s="23"/>
      <c r="J82" s="19"/>
      <c r="K82" s="19"/>
      <c r="L82" s="139"/>
      <c r="M82" s="82"/>
    </row>
    <row r="83" spans="1:14" ht="12.75" customHeight="1" x14ac:dyDescent="0.2">
      <c r="A83" s="27"/>
      <c r="B83" s="41"/>
      <c r="C83" s="21" t="s">
        <v>142</v>
      </c>
      <c r="E83" s="1191" t="str">
        <f>IF($E$3="","",VLOOKUP($E$3,base,6))</f>
        <v/>
      </c>
      <c r="F83" s="1192"/>
      <c r="G83" s="1192"/>
      <c r="H83" s="1193"/>
      <c r="I83" s="21" t="s">
        <v>272</v>
      </c>
      <c r="J83" s="832"/>
      <c r="K83" s="22"/>
      <c r="L83" s="140"/>
      <c r="M83" s="82"/>
    </row>
    <row r="84" spans="1:14" ht="3" customHeight="1" x14ac:dyDescent="0.2">
      <c r="A84" s="27"/>
      <c r="B84" s="41"/>
      <c r="E84" s="26"/>
      <c r="F84" s="26"/>
      <c r="G84" s="26"/>
      <c r="H84" s="21"/>
      <c r="I84" s="385"/>
      <c r="J84" s="22"/>
      <c r="K84" s="22"/>
      <c r="L84" s="140"/>
      <c r="M84" s="82"/>
    </row>
    <row r="85" spans="1:14" ht="6" customHeight="1" x14ac:dyDescent="0.2">
      <c r="A85" s="27"/>
      <c r="B85" s="41"/>
      <c r="C85" s="38"/>
      <c r="D85" s="38"/>
      <c r="E85" s="39"/>
      <c r="F85" s="40"/>
      <c r="G85" s="40"/>
      <c r="H85" s="41"/>
      <c r="I85" s="41"/>
      <c r="J85" s="41"/>
      <c r="K85" s="41"/>
      <c r="L85" s="81"/>
      <c r="M85" s="82"/>
    </row>
    <row r="86" spans="1:14" ht="3" customHeight="1" x14ac:dyDescent="0.2">
      <c r="A86" s="27"/>
      <c r="B86" s="41"/>
      <c r="F86" s="23"/>
      <c r="G86" s="23"/>
      <c r="L86" s="81"/>
      <c r="M86" s="82"/>
    </row>
    <row r="87" spans="1:14" ht="12.75" customHeight="1" x14ac:dyDescent="0.2">
      <c r="A87" s="27"/>
      <c r="B87" s="41"/>
      <c r="C87" s="172" t="s">
        <v>359</v>
      </c>
      <c r="D87" s="19"/>
      <c r="E87" s="1171" t="str">
        <f>$N$87&amp;$N$77</f>
        <v xml:space="preserve">Presidente da Diretoria Executiva da </v>
      </c>
      <c r="F87" s="1171"/>
      <c r="G87" s="1171"/>
      <c r="H87" s="1171"/>
      <c r="I87" s="1171"/>
      <c r="J87" s="19"/>
      <c r="K87" s="19"/>
      <c r="L87" s="81"/>
      <c r="M87" s="82"/>
      <c r="N87" s="18" t="s">
        <v>468</v>
      </c>
    </row>
    <row r="88" spans="1:14" ht="12.75" customHeight="1" x14ac:dyDescent="0.2">
      <c r="A88" s="27"/>
      <c r="B88" s="41"/>
      <c r="C88" s="292" t="str">
        <f>IF($E$3="","",VLOOKUP($E$3,base,18))</f>
        <v/>
      </c>
      <c r="D88" s="25"/>
      <c r="E88" s="1168" t="str">
        <f>IF($E$3="","",VLOOKUP($E$3,base,38))</f>
        <v/>
      </c>
      <c r="F88" s="1162"/>
      <c r="G88" s="1162"/>
      <c r="H88" s="1162"/>
      <c r="I88" s="1163"/>
      <c r="J88" s="25"/>
      <c r="K88" s="25"/>
      <c r="L88" s="81"/>
      <c r="M88" s="82"/>
      <c r="N88" s="18" t="s">
        <v>473</v>
      </c>
    </row>
    <row r="89" spans="1:14" ht="3" customHeight="1" x14ac:dyDescent="0.2">
      <c r="A89" s="27"/>
      <c r="B89" s="41"/>
      <c r="C89" s="289"/>
      <c r="D89" s="25"/>
      <c r="E89" s="1167"/>
      <c r="F89" s="1167"/>
      <c r="G89" s="1167"/>
      <c r="H89" s="1167"/>
      <c r="I89" s="1167"/>
      <c r="J89" s="25"/>
      <c r="K89" s="25"/>
      <c r="L89" s="81"/>
      <c r="M89" s="82"/>
    </row>
    <row r="90" spans="1:14" ht="12.75" customHeight="1" x14ac:dyDescent="0.2">
      <c r="A90" s="27"/>
      <c r="B90" s="41"/>
      <c r="C90" s="25"/>
      <c r="D90" s="25"/>
      <c r="E90" s="1171" t="str">
        <f>$N$88&amp;$N$77</f>
        <v xml:space="preserve">Presidente do Conselho Fiscal da </v>
      </c>
      <c r="F90" s="1171"/>
      <c r="G90" s="1171"/>
      <c r="H90" s="1171"/>
      <c r="I90" s="1171"/>
      <c r="J90" s="25"/>
      <c r="K90" s="25"/>
      <c r="L90" s="81"/>
      <c r="M90" s="82"/>
    </row>
    <row r="91" spans="1:14" ht="12.75" customHeight="1" x14ac:dyDescent="0.2">
      <c r="A91" s="27"/>
      <c r="B91" s="41"/>
      <c r="C91" s="25"/>
      <c r="D91" s="25"/>
      <c r="E91" s="1168" t="str">
        <f>IF($E$3="","",VLOOKUP($E$3,base,40))</f>
        <v/>
      </c>
      <c r="F91" s="1162"/>
      <c r="G91" s="1162"/>
      <c r="H91" s="1162"/>
      <c r="I91" s="1163"/>
      <c r="J91" s="25"/>
      <c r="K91" s="25"/>
      <c r="L91" s="81"/>
      <c r="M91" s="82"/>
    </row>
    <row r="92" spans="1:14" ht="3" customHeight="1" x14ac:dyDescent="0.2">
      <c r="A92" s="27"/>
      <c r="B92" s="41"/>
      <c r="C92" s="25"/>
      <c r="D92" s="25"/>
      <c r="E92" s="1167"/>
      <c r="F92" s="1167"/>
      <c r="G92" s="1167"/>
      <c r="H92" s="1167"/>
      <c r="I92" s="1167"/>
      <c r="J92" s="25"/>
      <c r="K92" s="25"/>
      <c r="L92" s="81"/>
      <c r="M92" s="82"/>
    </row>
    <row r="93" spans="1:14" ht="6" customHeight="1" x14ac:dyDescent="0.2">
      <c r="A93" s="27"/>
      <c r="B93" s="41"/>
      <c r="C93" s="38"/>
      <c r="D93" s="38"/>
      <c r="E93" s="39"/>
      <c r="F93" s="40"/>
      <c r="G93" s="40"/>
      <c r="H93" s="41"/>
      <c r="I93" s="41"/>
      <c r="J93" s="41"/>
      <c r="K93" s="41"/>
      <c r="L93" s="81"/>
      <c r="M93" s="82"/>
    </row>
    <row r="94" spans="1:14" ht="15.75" customHeight="1" x14ac:dyDescent="0.2">
      <c r="A94" s="27"/>
      <c r="B94" s="41"/>
      <c r="C94" s="25"/>
      <c r="D94" s="25"/>
      <c r="E94" s="25"/>
      <c r="F94" s="25"/>
      <c r="G94" s="25"/>
      <c r="H94" s="25"/>
      <c r="I94" s="25"/>
      <c r="J94" s="25"/>
      <c r="K94" s="25"/>
      <c r="L94" s="81"/>
      <c r="M94" s="82"/>
    </row>
    <row r="95" spans="1:14" ht="3" customHeight="1" x14ac:dyDescent="0.2">
      <c r="A95" s="27"/>
      <c r="B95" s="41"/>
      <c r="F95" s="23"/>
      <c r="G95" s="23"/>
      <c r="L95" s="81"/>
      <c r="M95" s="82"/>
    </row>
    <row r="96" spans="1:14" ht="12.75" customHeight="1" x14ac:dyDescent="0.2">
      <c r="A96" s="27"/>
      <c r="B96" s="41"/>
      <c r="C96" s="21" t="s">
        <v>145</v>
      </c>
      <c r="E96" s="834" t="str">
        <f>IF($E$3="","",VLOOKUP($E$3,base,35))</f>
        <v/>
      </c>
      <c r="F96" s="21" t="s">
        <v>274</v>
      </c>
      <c r="G96" s="834" t="str">
        <f>IF($E$3="","",VLOOKUP($E$3,base,37))</f>
        <v/>
      </c>
      <c r="H96" s="1186" t="s">
        <v>41</v>
      </c>
      <c r="I96" s="1187"/>
      <c r="J96" s="1188"/>
      <c r="K96" s="19"/>
      <c r="L96" s="81"/>
      <c r="M96" s="82"/>
    </row>
    <row r="97" spans="1:19" ht="3" customHeight="1" x14ac:dyDescent="0.2">
      <c r="A97" s="27"/>
      <c r="B97" s="41"/>
      <c r="E97" s="385"/>
      <c r="F97" s="21"/>
      <c r="G97" s="26"/>
      <c r="H97" s="160"/>
      <c r="I97" s="159"/>
      <c r="J97" s="161"/>
      <c r="L97" s="81"/>
      <c r="M97" s="82"/>
    </row>
    <row r="98" spans="1:19" ht="12.75" customHeight="1" x14ac:dyDescent="0.2">
      <c r="A98" s="27"/>
      <c r="B98" s="41"/>
      <c r="C98" s="21" t="s">
        <v>195</v>
      </c>
      <c r="E98" s="1174" t="str">
        <f>IF($E$3="","",VLOOKUP($E$3,base,36))</f>
        <v/>
      </c>
      <c r="F98" s="1175"/>
      <c r="G98" s="1176"/>
      <c r="H98" s="162" t="s">
        <v>230</v>
      </c>
      <c r="I98" s="1180">
        <f>MENU!$I$95</f>
        <v>0</v>
      </c>
      <c r="J98" s="1181"/>
      <c r="K98" s="19"/>
      <c r="L98" s="139"/>
      <c r="M98" s="82"/>
      <c r="S98" s="18" t="s">
        <v>597</v>
      </c>
    </row>
    <row r="99" spans="1:19" ht="3" customHeight="1" x14ac:dyDescent="0.2">
      <c r="A99" s="27"/>
      <c r="B99" s="41"/>
      <c r="E99" s="385"/>
      <c r="F99" s="21"/>
      <c r="G99" s="26"/>
      <c r="H99" s="19"/>
      <c r="I99" s="19"/>
      <c r="J99" s="19"/>
      <c r="K99" s="19"/>
      <c r="L99" s="139"/>
      <c r="M99" s="82"/>
      <c r="S99" s="18" t="s">
        <v>548</v>
      </c>
    </row>
    <row r="100" spans="1:19" ht="12.75" customHeight="1" x14ac:dyDescent="0.2">
      <c r="A100" s="27"/>
      <c r="B100" s="41"/>
      <c r="C100" s="21" t="s">
        <v>273</v>
      </c>
      <c r="E100" s="1189" t="s">
        <v>111</v>
      </c>
      <c r="F100" s="1190"/>
      <c r="G100" s="828" t="str">
        <f>IF(E96="","","SP")</f>
        <v/>
      </c>
      <c r="H100" s="835" t="str">
        <f>IF(E96="","",1)</f>
        <v/>
      </c>
      <c r="I100" s="1169" t="str">
        <f>IF(E96="","","BANCO DO BRASIL")</f>
        <v/>
      </c>
      <c r="J100" s="1170"/>
      <c r="K100" s="35"/>
      <c r="L100" s="137"/>
      <c r="M100" s="82"/>
      <c r="S100" s="18" t="s">
        <v>547</v>
      </c>
    </row>
    <row r="101" spans="1:19" ht="3" customHeight="1" x14ac:dyDescent="0.2">
      <c r="A101" s="27"/>
      <c r="B101" s="41"/>
      <c r="E101" s="385"/>
      <c r="F101" s="21"/>
      <c r="G101" s="26"/>
      <c r="H101" s="19"/>
      <c r="I101" s="19"/>
      <c r="J101" s="19"/>
      <c r="K101" s="35"/>
      <c r="L101" s="137"/>
      <c r="M101" s="82"/>
    </row>
    <row r="102" spans="1:19" ht="12.75" customHeight="1" x14ac:dyDescent="0.2">
      <c r="A102" s="27"/>
      <c r="B102" s="41"/>
      <c r="C102" s="21" t="s">
        <v>50</v>
      </c>
      <c r="E102" s="185" t="str">
        <f>IF($E$3="","",VLOOKUP($E$3,base,49))</f>
        <v/>
      </c>
      <c r="F102" s="21" t="s">
        <v>339</v>
      </c>
      <c r="G102" s="1180">
        <f>MENU!$I$97</f>
        <v>0</v>
      </c>
      <c r="H102" s="1181"/>
      <c r="I102" s="1184" t="str">
        <f>MENU!$G$99</f>
        <v/>
      </c>
      <c r="J102" s="1185"/>
      <c r="K102" s="35"/>
      <c r="L102" s="137"/>
      <c r="M102" s="82"/>
    </row>
    <row r="103" spans="1:19" ht="3" customHeight="1" x14ac:dyDescent="0.2">
      <c r="A103" s="27"/>
      <c r="B103" s="41"/>
      <c r="L103" s="81"/>
      <c r="M103" s="82"/>
    </row>
    <row r="104" spans="1:19" ht="6" customHeight="1" x14ac:dyDescent="0.2">
      <c r="A104" s="27"/>
      <c r="B104" s="41"/>
      <c r="C104" s="38"/>
      <c r="D104" s="38"/>
      <c r="E104" s="39"/>
      <c r="F104" s="41"/>
      <c r="G104" s="41"/>
      <c r="H104" s="41"/>
      <c r="I104" s="41"/>
      <c r="J104" s="41"/>
      <c r="K104" s="41"/>
      <c r="L104" s="81"/>
      <c r="M104" s="82"/>
    </row>
    <row r="105" spans="1:19" ht="3" customHeight="1" x14ac:dyDescent="0.2">
      <c r="A105" s="27"/>
      <c r="B105" s="41"/>
      <c r="L105" s="81"/>
      <c r="M105" s="82"/>
    </row>
    <row r="106" spans="1:19" ht="12.75" customHeight="1" x14ac:dyDescent="0.2">
      <c r="A106" s="27"/>
      <c r="B106" s="41"/>
      <c r="C106" s="1173" t="s">
        <v>342</v>
      </c>
      <c r="D106" s="1173"/>
      <c r="E106" s="1173"/>
      <c r="F106" s="1173"/>
      <c r="G106" s="20"/>
      <c r="H106" s="20"/>
      <c r="I106" s="20"/>
      <c r="J106" s="20"/>
      <c r="K106" s="20"/>
      <c r="L106" s="141"/>
      <c r="M106" s="82"/>
    </row>
    <row r="107" spans="1:19" ht="12.75" customHeight="1" x14ac:dyDescent="0.2">
      <c r="A107" s="27"/>
      <c r="B107" s="41"/>
      <c r="C107" s="21" t="s">
        <v>146</v>
      </c>
      <c r="E107" s="1182"/>
      <c r="F107" s="1183"/>
      <c r="G107" s="19" t="str">
        <f>Verificarcpf(E107)</f>
        <v/>
      </c>
      <c r="H107" s="19"/>
      <c r="I107" s="19"/>
      <c r="J107" s="19"/>
      <c r="K107" s="19"/>
      <c r="L107" s="139"/>
      <c r="M107" s="82"/>
    </row>
    <row r="108" spans="1:19" ht="3" customHeight="1" x14ac:dyDescent="0.2">
      <c r="A108" s="27"/>
      <c r="B108" s="41"/>
      <c r="E108" s="23"/>
      <c r="F108" s="19"/>
      <c r="G108" s="19"/>
      <c r="H108" s="19"/>
      <c r="I108" s="19"/>
      <c r="J108" s="19"/>
      <c r="K108" s="19"/>
      <c r="L108" s="139"/>
      <c r="M108" s="82"/>
    </row>
    <row r="109" spans="1:19" ht="12.75" customHeight="1" x14ac:dyDescent="0.2">
      <c r="A109" s="27"/>
      <c r="B109" s="41"/>
      <c r="C109" s="21" t="s">
        <v>86</v>
      </c>
      <c r="E109" s="1177" t="str">
        <f>E88</f>
        <v/>
      </c>
      <c r="F109" s="1178"/>
      <c r="G109" s="1178"/>
      <c r="H109" s="1178"/>
      <c r="I109" s="1179"/>
      <c r="J109" s="20"/>
      <c r="K109" s="20"/>
      <c r="L109" s="141"/>
      <c r="M109" s="82"/>
    </row>
    <row r="110" spans="1:19" ht="3" customHeight="1" x14ac:dyDescent="0.2">
      <c r="A110" s="27"/>
      <c r="B110" s="41"/>
      <c r="E110" s="23"/>
      <c r="F110" s="20"/>
      <c r="G110" s="20"/>
      <c r="H110" s="20"/>
      <c r="I110" s="20"/>
      <c r="J110" s="20"/>
      <c r="K110" s="20"/>
      <c r="L110" s="141"/>
      <c r="M110" s="82"/>
    </row>
    <row r="111" spans="1:19" ht="12.75" customHeight="1" x14ac:dyDescent="0.2">
      <c r="A111" s="27"/>
      <c r="B111" s="41"/>
      <c r="C111" s="21" t="s">
        <v>140</v>
      </c>
      <c r="E111" s="1161"/>
      <c r="F111" s="1162"/>
      <c r="G111" s="1162"/>
      <c r="H111" s="1162"/>
      <c r="I111" s="1163"/>
      <c r="J111" s="20"/>
      <c r="K111" s="20"/>
      <c r="L111" s="141"/>
      <c r="M111" s="82"/>
    </row>
    <row r="112" spans="1:19" ht="3" customHeight="1" x14ac:dyDescent="0.2">
      <c r="A112" s="27"/>
      <c r="B112" s="41"/>
      <c r="E112" s="26"/>
      <c r="F112" s="26"/>
      <c r="G112" s="26"/>
      <c r="H112" s="26"/>
      <c r="I112" s="26"/>
      <c r="J112" s="26"/>
      <c r="K112" s="26"/>
      <c r="L112" s="136"/>
      <c r="M112" s="82"/>
    </row>
    <row r="113" spans="1:16" ht="12.75" customHeight="1" x14ac:dyDescent="0.2">
      <c r="A113" s="27"/>
      <c r="B113" s="41"/>
      <c r="C113" s="21" t="s">
        <v>135</v>
      </c>
      <c r="E113" s="840"/>
      <c r="F113" s="19"/>
      <c r="G113" s="19"/>
      <c r="H113" s="19"/>
      <c r="I113" s="19"/>
      <c r="J113" s="19"/>
      <c r="K113" s="19"/>
      <c r="L113" s="139"/>
      <c r="M113" s="82"/>
    </row>
    <row r="114" spans="1:16" ht="3" customHeight="1" x14ac:dyDescent="0.2">
      <c r="A114" s="27"/>
      <c r="B114" s="41"/>
      <c r="E114" s="23"/>
      <c r="F114" s="19"/>
      <c r="G114" s="19"/>
      <c r="H114" s="19"/>
      <c r="I114" s="19"/>
      <c r="J114" s="19"/>
      <c r="K114" s="19"/>
      <c r="L114" s="139"/>
      <c r="M114" s="82"/>
    </row>
    <row r="115" spans="1:16" ht="12.75" customHeight="1" x14ac:dyDescent="0.2">
      <c r="A115" s="27"/>
      <c r="B115" s="41"/>
      <c r="C115" s="21" t="s">
        <v>136</v>
      </c>
      <c r="E115" s="1161"/>
      <c r="F115" s="1162"/>
      <c r="G115" s="1163"/>
      <c r="H115" s="21" t="s">
        <v>268</v>
      </c>
      <c r="I115" s="837"/>
      <c r="J115" s="20"/>
      <c r="K115" s="20"/>
      <c r="L115" s="141"/>
      <c r="M115" s="82"/>
    </row>
    <row r="116" spans="1:16" ht="3" customHeight="1" x14ac:dyDescent="0.2">
      <c r="A116" s="27"/>
      <c r="B116" s="41"/>
      <c r="E116" s="26"/>
      <c r="F116" s="26"/>
      <c r="G116" s="26"/>
      <c r="H116" s="21"/>
      <c r="I116" s="36"/>
      <c r="J116" s="20"/>
      <c r="K116" s="20"/>
      <c r="L116" s="141"/>
      <c r="M116" s="82"/>
    </row>
    <row r="117" spans="1:16" ht="13.5" customHeight="1" x14ac:dyDescent="0.2">
      <c r="A117" s="27"/>
      <c r="B117" s="41"/>
      <c r="C117" s="21" t="s">
        <v>144</v>
      </c>
      <c r="E117" s="1161" t="s">
        <v>111</v>
      </c>
      <c r="F117" s="1162"/>
      <c r="G117" s="1163"/>
      <c r="H117" s="21" t="s">
        <v>269</v>
      </c>
      <c r="I117" s="843"/>
      <c r="L117" s="81"/>
      <c r="M117" s="82"/>
    </row>
    <row r="118" spans="1:16" ht="3" customHeight="1" x14ac:dyDescent="0.2">
      <c r="A118" s="27"/>
      <c r="B118" s="41"/>
      <c r="E118" s="26"/>
      <c r="F118" s="26"/>
      <c r="G118" s="26"/>
      <c r="H118" s="21"/>
      <c r="I118" s="23"/>
      <c r="L118" s="81"/>
      <c r="M118" s="82"/>
    </row>
    <row r="119" spans="1:16" ht="12.75" customHeight="1" x14ac:dyDescent="0.2">
      <c r="A119" s="27"/>
      <c r="B119" s="41"/>
      <c r="C119" s="21" t="s">
        <v>143</v>
      </c>
      <c r="E119" s="836">
        <v>11</v>
      </c>
      <c r="F119" s="21" t="s">
        <v>270</v>
      </c>
      <c r="G119" s="841"/>
      <c r="H119" s="21" t="s">
        <v>271</v>
      </c>
      <c r="I119" s="831" t="s">
        <v>280</v>
      </c>
      <c r="J119" s="20"/>
      <c r="K119" s="20"/>
      <c r="L119" s="141"/>
      <c r="M119" s="82"/>
    </row>
    <row r="120" spans="1:16" ht="3" customHeight="1" x14ac:dyDescent="0.2">
      <c r="A120" s="27"/>
      <c r="B120" s="41"/>
      <c r="F120" s="21"/>
      <c r="G120" s="23"/>
      <c r="H120" s="21"/>
      <c r="I120" s="23"/>
      <c r="J120" s="20"/>
      <c r="K120" s="20"/>
      <c r="L120" s="141"/>
      <c r="M120" s="82"/>
    </row>
    <row r="121" spans="1:16" ht="12.75" customHeight="1" x14ac:dyDescent="0.2">
      <c r="A121" s="27"/>
      <c r="B121" s="41"/>
      <c r="C121" s="21" t="s">
        <v>142</v>
      </c>
      <c r="E121" s="1164"/>
      <c r="F121" s="1162"/>
      <c r="G121" s="1162"/>
      <c r="H121" s="1163"/>
      <c r="I121" s="19"/>
      <c r="J121" s="19"/>
      <c r="K121" s="19"/>
      <c r="L121" s="139"/>
      <c r="M121" s="82"/>
    </row>
    <row r="122" spans="1:16" ht="3" customHeight="1" x14ac:dyDescent="0.2">
      <c r="A122" s="27"/>
      <c r="B122" s="41"/>
      <c r="E122" s="26"/>
      <c r="F122" s="26"/>
      <c r="G122" s="26"/>
      <c r="H122" s="19"/>
      <c r="I122" s="19"/>
      <c r="J122" s="19"/>
      <c r="K122" s="19"/>
      <c r="L122" s="139"/>
      <c r="M122" s="82"/>
    </row>
    <row r="123" spans="1:16" ht="12.75" customHeight="1" x14ac:dyDescent="0.2">
      <c r="A123" s="27"/>
      <c r="B123" s="41"/>
      <c r="C123" s="21" t="s">
        <v>42</v>
      </c>
      <c r="E123" s="1161"/>
      <c r="F123" s="1162"/>
      <c r="G123" s="1163"/>
      <c r="H123" s="20"/>
      <c r="I123" s="20"/>
      <c r="J123" s="20"/>
      <c r="K123" s="20"/>
      <c r="L123" s="141"/>
      <c r="M123" s="82"/>
    </row>
    <row r="124" spans="1:16" ht="3" customHeight="1" x14ac:dyDescent="0.2">
      <c r="A124" s="27"/>
      <c r="B124" s="41"/>
      <c r="E124" s="26"/>
      <c r="F124" s="26"/>
      <c r="G124" s="26"/>
      <c r="H124" s="20"/>
      <c r="I124" s="20"/>
      <c r="J124" s="20"/>
      <c r="K124" s="20"/>
      <c r="L124" s="141"/>
      <c r="M124" s="82"/>
    </row>
    <row r="125" spans="1:16" ht="12.75" customHeight="1" x14ac:dyDescent="0.2">
      <c r="A125" s="27"/>
      <c r="B125" s="41"/>
      <c r="C125" s="21" t="s">
        <v>147</v>
      </c>
      <c r="E125" s="842"/>
      <c r="F125" s="21" t="s">
        <v>275</v>
      </c>
      <c r="G125" s="838"/>
      <c r="H125" s="1165" t="s">
        <v>276</v>
      </c>
      <c r="I125" s="1166"/>
      <c r="J125" s="838" t="s">
        <v>242</v>
      </c>
      <c r="L125" s="81"/>
      <c r="M125" s="82"/>
    </row>
    <row r="126" spans="1:16" ht="3" customHeight="1" x14ac:dyDescent="0.2">
      <c r="A126" s="27"/>
      <c r="B126" s="41"/>
      <c r="F126" s="19"/>
      <c r="G126" s="19"/>
      <c r="H126" s="19"/>
      <c r="I126" s="19"/>
      <c r="J126" s="19"/>
      <c r="K126" s="19"/>
      <c r="L126" s="139"/>
      <c r="M126" s="82"/>
    </row>
    <row r="127" spans="1:16" ht="12.75" customHeight="1" thickBot="1" x14ac:dyDescent="0.25">
      <c r="A127" s="27"/>
      <c r="B127" s="41"/>
      <c r="C127" s="384"/>
      <c r="F127" s="20"/>
      <c r="G127" s="20"/>
      <c r="H127" s="20"/>
      <c r="I127" s="20"/>
      <c r="J127" s="20"/>
      <c r="K127" s="20"/>
      <c r="L127" s="141"/>
      <c r="M127" s="82"/>
      <c r="O127" s="18" t="str">
        <f>IF(C130="","",
IF(AND(C130=N130,C128=O130),O130,
IF(AND(C130=N131,C128=O130),O131,
IF(AND(C130=N131,C128=O131),O130,
IF(AND(C130=N132,C128=O130),O131,
IF(AND(C130=N132,C128=O131),O132,
IF(AND(C130=N132,C128=O132),O130,
IF(AND(C130=N133,C128=O130),O131,
IF(AND(C130=N133,C128=O131),O132,
IF(AND(C130=N133,C128=O132),O133,
IF(AND(C130=N133,C128=O133),O130
)))))))))))</f>
        <v/>
      </c>
      <c r="P127" s="18" t="str">
        <f>IF(C130="","",IF(O127&gt;C128,E128,IF(O127=C128,(E128+1),"")))</f>
        <v/>
      </c>
    </row>
    <row r="128" spans="1:16" ht="15.75" customHeight="1" thickBot="1" x14ac:dyDescent="0.25">
      <c r="A128" s="27"/>
      <c r="B128" s="41"/>
      <c r="C128" s="186" t="str">
        <f>IF($E$3="","","Repasse de ")</f>
        <v/>
      </c>
      <c r="D128" s="187"/>
      <c r="E128" s="188" t="str">
        <f>IF($E$3="","",VLOOKUP($E$3,base,47))</f>
        <v/>
      </c>
      <c r="F128" s="193" t="s">
        <v>217</v>
      </c>
      <c r="G128" s="1062" t="str">
        <f>IF($E$3="","",IF(MENU!$I$93="","",MENU!$I$93))</f>
        <v/>
      </c>
      <c r="H128" s="21" t="s">
        <v>218</v>
      </c>
      <c r="I128" s="1159"/>
      <c r="J128" s="1160"/>
      <c r="K128" s="155"/>
      <c r="L128" s="81"/>
      <c r="M128" s="82"/>
    </row>
    <row r="129" spans="1:15" ht="3.75" customHeight="1" x14ac:dyDescent="0.2">
      <c r="A129" s="27"/>
      <c r="B129" s="41"/>
      <c r="L129" s="81"/>
      <c r="M129" s="82"/>
    </row>
    <row r="130" spans="1:15" ht="12" customHeight="1" x14ac:dyDescent="0.2">
      <c r="A130" s="27"/>
      <c r="B130" s="41"/>
      <c r="C130" s="818" t="str">
        <f>IF($E$3="","",VLOOKUP($E$3,base,50))</f>
        <v/>
      </c>
      <c r="D130" s="37"/>
      <c r="E130" s="203"/>
      <c r="F130" s="204"/>
      <c r="G130" s="204"/>
      <c r="H130" s="204"/>
      <c r="I130" s="204"/>
      <c r="J130" s="204"/>
      <c r="K130" s="204"/>
      <c r="L130" s="81"/>
      <c r="M130" s="130"/>
      <c r="N130" s="25">
        <v>1</v>
      </c>
      <c r="O130" s="18" t="s">
        <v>420</v>
      </c>
    </row>
    <row r="131" spans="1:15" ht="15" customHeight="1" x14ac:dyDescent="0.2">
      <c r="A131" s="27"/>
      <c r="B131" s="41"/>
      <c r="C131" s="1172" t="s">
        <v>184</v>
      </c>
      <c r="D131" s="1172"/>
      <c r="E131" s="1172"/>
      <c r="F131" s="1172"/>
      <c r="G131" s="1172"/>
      <c r="H131" s="1172"/>
      <c r="I131" s="1172"/>
      <c r="J131" s="1172"/>
      <c r="K131" s="1172"/>
      <c r="L131" s="81"/>
      <c r="M131" s="299"/>
      <c r="N131" s="25">
        <v>2</v>
      </c>
      <c r="O131" s="18" t="s">
        <v>421</v>
      </c>
    </row>
    <row r="132" spans="1:15" ht="12" customHeight="1" thickBot="1" x14ac:dyDescent="0.25">
      <c r="A132" s="27"/>
      <c r="B132" s="41"/>
      <c r="C132" s="826"/>
      <c r="D132" s="826"/>
      <c r="E132" s="826"/>
      <c r="F132" s="826"/>
      <c r="G132" s="826"/>
      <c r="H132" s="826"/>
      <c r="I132" s="826"/>
      <c r="J132" s="826"/>
      <c r="K132" s="826"/>
      <c r="L132" s="81"/>
      <c r="M132" s="299"/>
      <c r="N132" s="25">
        <v>3</v>
      </c>
      <c r="O132" s="18" t="s">
        <v>422</v>
      </c>
    </row>
    <row r="133" spans="1:15" ht="15" customHeight="1" thickBot="1" x14ac:dyDescent="0.25">
      <c r="A133" s="27"/>
      <c r="B133" s="41"/>
      <c r="C133" s="815"/>
      <c r="D133" s="205"/>
      <c r="E133" s="839" t="s">
        <v>105</v>
      </c>
      <c r="F133" s="839" t="s">
        <v>106</v>
      </c>
      <c r="G133" s="839" t="s">
        <v>107</v>
      </c>
      <c r="H133" s="37"/>
      <c r="I133" s="1157" t="str">
        <f>IF(SUM(G134:G139)=0,"",SUM(G134:G139))</f>
        <v/>
      </c>
      <c r="J133" s="1158"/>
      <c r="K133" s="204"/>
      <c r="L133" s="81"/>
      <c r="M133" s="299"/>
      <c r="N133" s="25">
        <v>4</v>
      </c>
      <c r="O133" s="18" t="s">
        <v>509</v>
      </c>
    </row>
    <row r="134" spans="1:15" ht="10.5" customHeight="1" x14ac:dyDescent="0.2">
      <c r="A134" s="27"/>
      <c r="B134" s="41"/>
      <c r="C134" s="815"/>
      <c r="E134" s="386"/>
      <c r="F134" s="387"/>
      <c r="G134" s="388"/>
      <c r="L134" s="81"/>
      <c r="M134" s="299"/>
    </row>
    <row r="135" spans="1:15" ht="10.5" customHeight="1" x14ac:dyDescent="0.2">
      <c r="A135" s="27"/>
      <c r="B135" s="41"/>
      <c r="C135" s="815"/>
      <c r="E135" s="386"/>
      <c r="F135" s="387"/>
      <c r="G135" s="388"/>
      <c r="L135" s="81"/>
      <c r="M135" s="299"/>
    </row>
    <row r="136" spans="1:15" ht="10.5" customHeight="1" x14ac:dyDescent="0.2">
      <c r="A136" s="27"/>
      <c r="B136" s="41"/>
      <c r="C136" s="815"/>
      <c r="E136" s="386"/>
      <c r="F136" s="387"/>
      <c r="G136" s="388"/>
      <c r="L136" s="81"/>
      <c r="M136" s="299"/>
    </row>
    <row r="137" spans="1:15" ht="10.5" customHeight="1" x14ac:dyDescent="0.2">
      <c r="A137" s="27"/>
      <c r="B137" s="41"/>
      <c r="C137" s="815"/>
      <c r="E137" s="386"/>
      <c r="F137" s="387"/>
      <c r="G137" s="388"/>
      <c r="I137" s="389"/>
      <c r="J137" s="390" t="str">
        <f>G9</f>
        <v/>
      </c>
      <c r="L137" s="81"/>
      <c r="M137" s="299"/>
    </row>
    <row r="138" spans="1:15" ht="10.5" customHeight="1" x14ac:dyDescent="0.2">
      <c r="A138" s="27"/>
      <c r="B138" s="41"/>
      <c r="C138" s="815"/>
      <c r="E138" s="386"/>
      <c r="F138" s="387"/>
      <c r="G138" s="388"/>
      <c r="I138" s="389"/>
      <c r="J138" s="390" t="str">
        <f>I9</f>
        <v/>
      </c>
      <c r="L138" s="81"/>
      <c r="M138" s="299"/>
    </row>
    <row r="139" spans="1:15" ht="10.5" customHeight="1" x14ac:dyDescent="0.2">
      <c r="A139" s="27"/>
      <c r="B139" s="41"/>
      <c r="C139" s="815"/>
      <c r="E139" s="386"/>
      <c r="F139" s="387"/>
      <c r="G139" s="388"/>
      <c r="L139" s="81"/>
      <c r="M139" s="299"/>
    </row>
    <row r="140" spans="1:15" ht="6" customHeight="1" x14ac:dyDescent="0.2">
      <c r="A140" s="27"/>
      <c r="B140" s="41"/>
      <c r="C140" s="815"/>
      <c r="D140" s="206"/>
      <c r="E140" s="206"/>
      <c r="F140" s="206"/>
      <c r="G140" s="206"/>
      <c r="H140" s="206"/>
      <c r="I140" s="206"/>
      <c r="J140" s="206"/>
      <c r="K140" s="206"/>
      <c r="L140" s="81"/>
      <c r="M140" s="299"/>
    </row>
    <row r="141" spans="1:15" ht="12.75" customHeight="1" x14ac:dyDescent="0.2">
      <c r="A141" s="27"/>
      <c r="B141" s="41"/>
      <c r="C141" s="38"/>
      <c r="D141" s="38"/>
      <c r="E141" s="39"/>
      <c r="F141" s="41"/>
      <c r="G141" s="41"/>
      <c r="H141" s="41"/>
      <c r="I141" s="41"/>
      <c r="J141" s="41"/>
      <c r="K141" s="41"/>
      <c r="L141" s="81"/>
      <c r="M141" s="299"/>
    </row>
    <row r="142" spans="1:15" ht="12.75" customHeight="1" x14ac:dyDescent="0.2">
      <c r="A142" s="27"/>
      <c r="B142" s="27"/>
      <c r="C142" s="210"/>
      <c r="D142" s="210"/>
      <c r="E142" s="211"/>
      <c r="F142" s="27"/>
      <c r="G142" s="27"/>
      <c r="H142" s="27"/>
      <c r="I142" s="27"/>
      <c r="J142" s="27"/>
      <c r="K142" s="27"/>
      <c r="L142" s="82"/>
      <c r="M142" s="299"/>
    </row>
    <row r="143" spans="1:15" ht="12.75" hidden="1" customHeight="1" x14ac:dyDescent="0.2"/>
    <row r="144" spans="1:15" ht="12.75" hidden="1" customHeight="1" x14ac:dyDescent="0.2">
      <c r="E144" s="25" t="s">
        <v>67</v>
      </c>
    </row>
    <row r="145" spans="5:5" ht="12.75" hidden="1" customHeight="1" x14ac:dyDescent="0.2">
      <c r="E145" s="219">
        <f>BASE!B3</f>
        <v>86</v>
      </c>
    </row>
    <row r="146" spans="5:5" ht="12.75" hidden="1" customHeight="1" x14ac:dyDescent="0.2">
      <c r="E146" s="219">
        <f>BASE!B4</f>
        <v>94</v>
      </c>
    </row>
    <row r="147" spans="5:5" ht="12.75" hidden="1" customHeight="1" x14ac:dyDescent="0.2">
      <c r="E147" s="219">
        <f>BASE!B5</f>
        <v>108</v>
      </c>
    </row>
    <row r="148" spans="5:5" ht="12.75" hidden="1" customHeight="1" x14ac:dyDescent="0.2">
      <c r="E148" s="219">
        <f>BASE!B6</f>
        <v>191</v>
      </c>
    </row>
    <row r="149" spans="5:5" ht="12.75" hidden="1" customHeight="1" x14ac:dyDescent="0.2">
      <c r="E149" s="219">
        <f>BASE!B7</f>
        <v>205</v>
      </c>
    </row>
    <row r="150" spans="5:5" ht="12.75" hidden="1" customHeight="1" x14ac:dyDescent="0.2">
      <c r="E150" s="219">
        <f>BASE!B8</f>
        <v>213</v>
      </c>
    </row>
    <row r="151" spans="5:5" ht="12.75" hidden="1" customHeight="1" x14ac:dyDescent="0.2">
      <c r="E151" s="219">
        <f>BASE!B9</f>
        <v>221</v>
      </c>
    </row>
    <row r="152" spans="5:5" ht="12.75" hidden="1" customHeight="1" x14ac:dyDescent="0.2">
      <c r="E152" s="219">
        <f>BASE!B10</f>
        <v>230</v>
      </c>
    </row>
    <row r="153" spans="5:5" ht="12.75" hidden="1" customHeight="1" x14ac:dyDescent="0.2">
      <c r="E153" s="219">
        <f>BASE!B11</f>
        <v>248</v>
      </c>
    </row>
    <row r="154" spans="5:5" ht="12.75" hidden="1" customHeight="1" x14ac:dyDescent="0.2">
      <c r="E154" s="219">
        <f>BASE!B12</f>
        <v>256</v>
      </c>
    </row>
    <row r="155" spans="5:5" ht="12.75" hidden="1" customHeight="1" x14ac:dyDescent="0.2">
      <c r="E155" s="219">
        <f>BASE!B13</f>
        <v>264</v>
      </c>
    </row>
    <row r="156" spans="5:5" ht="12.75" hidden="1" customHeight="1" x14ac:dyDescent="0.2">
      <c r="E156" s="219">
        <f>BASE!B14</f>
        <v>281</v>
      </c>
    </row>
    <row r="157" spans="5:5" ht="12.75" hidden="1" customHeight="1" x14ac:dyDescent="0.2">
      <c r="E157" s="219">
        <f>BASE!B15</f>
        <v>299</v>
      </c>
    </row>
    <row r="158" spans="5:5" ht="12.75" hidden="1" customHeight="1" x14ac:dyDescent="0.2">
      <c r="E158" s="219">
        <f>BASE!B16</f>
        <v>302</v>
      </c>
    </row>
    <row r="159" spans="5:5" ht="12.75" hidden="1" customHeight="1" x14ac:dyDescent="0.2">
      <c r="E159" s="219">
        <f>BASE!B17</f>
        <v>311</v>
      </c>
    </row>
    <row r="160" spans="5:5" ht="12.75" hidden="1" customHeight="1" x14ac:dyDescent="0.2">
      <c r="E160" s="219">
        <f>BASE!B18</f>
        <v>329</v>
      </c>
    </row>
    <row r="161" spans="5:5" ht="12.75" hidden="1" customHeight="1" x14ac:dyDescent="0.2">
      <c r="E161" s="219">
        <f>BASE!B19</f>
        <v>337</v>
      </c>
    </row>
    <row r="162" spans="5:5" ht="12.75" hidden="1" customHeight="1" x14ac:dyDescent="0.2">
      <c r="E162" s="219">
        <f>BASE!B20</f>
        <v>388</v>
      </c>
    </row>
    <row r="163" spans="5:5" ht="12.75" hidden="1" customHeight="1" x14ac:dyDescent="0.2">
      <c r="E163" s="219">
        <f>BASE!B21</f>
        <v>418</v>
      </c>
    </row>
    <row r="164" spans="5:5" ht="12.75" hidden="1" customHeight="1" x14ac:dyDescent="0.2">
      <c r="E164" s="219">
        <f>BASE!B22</f>
        <v>426</v>
      </c>
    </row>
    <row r="165" spans="5:5" ht="12.75" hidden="1" customHeight="1" x14ac:dyDescent="0.2">
      <c r="E165" s="219">
        <f>BASE!B23</f>
        <v>434</v>
      </c>
    </row>
    <row r="166" spans="5:5" ht="12.75" hidden="1" customHeight="1" x14ac:dyDescent="0.2">
      <c r="E166" s="219">
        <f>BASE!B24</f>
        <v>442</v>
      </c>
    </row>
    <row r="167" spans="5:5" ht="12.75" hidden="1" customHeight="1" x14ac:dyDescent="0.2">
      <c r="E167" s="219">
        <f>BASE!B25</f>
        <v>451</v>
      </c>
    </row>
    <row r="168" spans="5:5" ht="12.75" hidden="1" customHeight="1" x14ac:dyDescent="0.2">
      <c r="E168" s="219">
        <f>BASE!B26</f>
        <v>469</v>
      </c>
    </row>
    <row r="169" spans="5:5" ht="12.75" hidden="1" customHeight="1" x14ac:dyDescent="0.2">
      <c r="E169" s="219">
        <f>BASE!B27</f>
        <v>477</v>
      </c>
    </row>
    <row r="170" spans="5:5" ht="12.75" hidden="1" customHeight="1" x14ac:dyDescent="0.2">
      <c r="E170" s="219">
        <f>BASE!B28</f>
        <v>485</v>
      </c>
    </row>
    <row r="171" spans="5:5" ht="12.75" hidden="1" customHeight="1" x14ac:dyDescent="0.2">
      <c r="E171" s="219">
        <f>BASE!B29</f>
        <v>493</v>
      </c>
    </row>
    <row r="172" spans="5:5" ht="12.75" hidden="1" customHeight="1" x14ac:dyDescent="0.2">
      <c r="E172" s="219">
        <f>BASE!B30</f>
        <v>531</v>
      </c>
    </row>
    <row r="173" spans="5:5" ht="12.75" hidden="1" customHeight="1" x14ac:dyDescent="0.2">
      <c r="E173" s="219">
        <f>BASE!B31</f>
        <v>540</v>
      </c>
    </row>
    <row r="174" spans="5:5" ht="12.75" hidden="1" customHeight="1" x14ac:dyDescent="0.2">
      <c r="E174" s="219">
        <f>BASE!B32</f>
        <v>558</v>
      </c>
    </row>
    <row r="175" spans="5:5" ht="12.75" hidden="1" customHeight="1" x14ac:dyDescent="0.2">
      <c r="E175" s="219">
        <f>BASE!B33</f>
        <v>566</v>
      </c>
    </row>
    <row r="176" spans="5:5" ht="12.75" hidden="1" customHeight="1" x14ac:dyDescent="0.2">
      <c r="E176" s="219">
        <f>BASE!B34</f>
        <v>574</v>
      </c>
    </row>
    <row r="177" spans="5:5" ht="12.75" hidden="1" customHeight="1" x14ac:dyDescent="0.2">
      <c r="E177" s="219">
        <f>BASE!B35</f>
        <v>892</v>
      </c>
    </row>
    <row r="178" spans="5:5" ht="12.75" hidden="1" customHeight="1" x14ac:dyDescent="0.2">
      <c r="E178" s="219">
        <f>BASE!B36</f>
        <v>8834</v>
      </c>
    </row>
    <row r="179" spans="5:5" ht="12.75" hidden="1" customHeight="1" x14ac:dyDescent="0.2">
      <c r="E179" s="219">
        <f>BASE!B37</f>
        <v>8842</v>
      </c>
    </row>
    <row r="180" spans="5:5" ht="12.75" hidden="1" customHeight="1" x14ac:dyDescent="0.2">
      <c r="E180" s="219">
        <f>BASE!B38</f>
        <v>9130</v>
      </c>
    </row>
    <row r="181" spans="5:5" ht="12.75" hidden="1" customHeight="1" x14ac:dyDescent="0.2">
      <c r="E181" s="219">
        <f>BASE!B39</f>
        <v>9148</v>
      </c>
    </row>
    <row r="182" spans="5:5" ht="12.75" hidden="1" customHeight="1" x14ac:dyDescent="0.2">
      <c r="E182" s="219">
        <f>BASE!B40</f>
        <v>9156</v>
      </c>
    </row>
    <row r="183" spans="5:5" ht="12.75" hidden="1" customHeight="1" x14ac:dyDescent="0.2">
      <c r="E183" s="219">
        <f>BASE!B41</f>
        <v>9270</v>
      </c>
    </row>
    <row r="184" spans="5:5" ht="12.75" hidden="1" customHeight="1" x14ac:dyDescent="0.2">
      <c r="E184" s="219">
        <f>BASE!B42</f>
        <v>9326</v>
      </c>
    </row>
    <row r="185" spans="5:5" ht="12.75" hidden="1" customHeight="1" x14ac:dyDescent="0.2">
      <c r="E185" s="219">
        <f>BASE!B43</f>
        <v>9911</v>
      </c>
    </row>
    <row r="186" spans="5:5" ht="12.75" hidden="1" customHeight="1" x14ac:dyDescent="0.2">
      <c r="E186" s="219">
        <f>BASE!B44</f>
        <v>9971</v>
      </c>
    </row>
    <row r="187" spans="5:5" ht="12.75" hidden="1" customHeight="1" x14ac:dyDescent="0.2">
      <c r="E187" s="219">
        <f>BASE!B45</f>
        <v>9989</v>
      </c>
    </row>
    <row r="188" spans="5:5" ht="12.75" hidden="1" customHeight="1" x14ac:dyDescent="0.2">
      <c r="E188" s="219">
        <f>BASE!B46</f>
        <v>10049</v>
      </c>
    </row>
    <row r="189" spans="5:5" ht="12.75" hidden="1" customHeight="1" x14ac:dyDescent="0.2">
      <c r="E189" s="219">
        <f>BASE!B47</f>
        <v>10103</v>
      </c>
    </row>
    <row r="190" spans="5:5" ht="12.75" hidden="1" customHeight="1" x14ac:dyDescent="0.2">
      <c r="E190" s="219">
        <f>BASE!B48</f>
        <v>10111</v>
      </c>
    </row>
    <row r="191" spans="5:5" ht="12.75" hidden="1" customHeight="1" x14ac:dyDescent="0.2">
      <c r="E191" s="219">
        <f>BASE!B49</f>
        <v>10120</v>
      </c>
    </row>
    <row r="192" spans="5:5" ht="12.75" hidden="1" customHeight="1" x14ac:dyDescent="0.2">
      <c r="E192" s="219">
        <f>BASE!B50</f>
        <v>10138</v>
      </c>
    </row>
    <row r="193" spans="5:5" ht="12.75" hidden="1" customHeight="1" x14ac:dyDescent="0.2">
      <c r="E193" s="219">
        <f>BASE!B51</f>
        <v>10146</v>
      </c>
    </row>
    <row r="194" spans="5:5" ht="12.75" hidden="1" customHeight="1" x14ac:dyDescent="0.2">
      <c r="E194" s="219">
        <f>BASE!B52</f>
        <v>10154</v>
      </c>
    </row>
    <row r="195" spans="5:5" ht="12.75" hidden="1" customHeight="1" x14ac:dyDescent="0.2">
      <c r="E195" s="219">
        <f>BASE!B53</f>
        <v>10162</v>
      </c>
    </row>
    <row r="196" spans="5:5" ht="12.75" hidden="1" customHeight="1" x14ac:dyDescent="0.2">
      <c r="E196" s="219">
        <f>BASE!B54</f>
        <v>10171</v>
      </c>
    </row>
    <row r="197" spans="5:5" ht="12.75" hidden="1" customHeight="1" x14ac:dyDescent="0.2">
      <c r="E197" s="219">
        <f>BASE!B55</f>
        <v>10405</v>
      </c>
    </row>
    <row r="198" spans="5:5" ht="12.75" hidden="1" customHeight="1" x14ac:dyDescent="0.2">
      <c r="E198" s="219">
        <f>BASE!B56</f>
        <v>10413</v>
      </c>
    </row>
    <row r="199" spans="5:5" ht="12.75" hidden="1" customHeight="1" x14ac:dyDescent="0.2">
      <c r="E199" s="219">
        <f>BASE!B57</f>
        <v>10421</v>
      </c>
    </row>
    <row r="200" spans="5:5" ht="12.75" hidden="1" customHeight="1" x14ac:dyDescent="0.2">
      <c r="E200" s="219">
        <f>BASE!B58</f>
        <v>10839</v>
      </c>
    </row>
    <row r="201" spans="5:5" ht="12.75" hidden="1" customHeight="1" x14ac:dyDescent="0.2">
      <c r="E201" s="219">
        <f>BASE!B59</f>
        <v>10910</v>
      </c>
    </row>
    <row r="202" spans="5:5" ht="12.75" hidden="1" customHeight="1" x14ac:dyDescent="0.2">
      <c r="E202" s="219">
        <f>BASE!B60</f>
        <v>11045</v>
      </c>
    </row>
    <row r="203" spans="5:5" ht="12.75" hidden="1" customHeight="1" x14ac:dyDescent="0.2">
      <c r="E203" s="219">
        <f>BASE!B61</f>
        <v>11380</v>
      </c>
    </row>
    <row r="204" spans="5:5" ht="12.75" hidden="1" customHeight="1" x14ac:dyDescent="0.2">
      <c r="E204" s="219">
        <f>BASE!B62</f>
        <v>11533</v>
      </c>
    </row>
    <row r="205" spans="5:5" ht="12.75" hidden="1" customHeight="1" x14ac:dyDescent="0.2">
      <c r="E205" s="219">
        <f>BASE!B63</f>
        <v>11541</v>
      </c>
    </row>
    <row r="206" spans="5:5" ht="12.75" hidden="1" customHeight="1" x14ac:dyDescent="0.2">
      <c r="E206" s="219">
        <f>BASE!B64</f>
        <v>11550</v>
      </c>
    </row>
    <row r="207" spans="5:5" ht="12.75" hidden="1" customHeight="1" x14ac:dyDescent="0.2">
      <c r="E207" s="219">
        <f>BASE!B65</f>
        <v>11568</v>
      </c>
    </row>
    <row r="208" spans="5:5" ht="12.75" hidden="1" customHeight="1" x14ac:dyDescent="0.2">
      <c r="E208" s="219">
        <f>BASE!B66</f>
        <v>11851</v>
      </c>
    </row>
    <row r="209" spans="5:5" ht="12.75" hidden="1" customHeight="1" x14ac:dyDescent="0.2">
      <c r="E209" s="219">
        <f>BASE!B67</f>
        <v>11886</v>
      </c>
    </row>
    <row r="210" spans="5:5" ht="12.75" hidden="1" customHeight="1" x14ac:dyDescent="0.2">
      <c r="E210" s="219">
        <f>BASE!B68</f>
        <v>11924</v>
      </c>
    </row>
    <row r="211" spans="5:5" ht="12.75" hidden="1" customHeight="1" x14ac:dyDescent="0.2">
      <c r="E211" s="219">
        <f>BASE!B69</f>
        <v>12157</v>
      </c>
    </row>
    <row r="212" spans="5:5" ht="12.75" hidden="1" customHeight="1" x14ac:dyDescent="0.2">
      <c r="E212" s="219">
        <f>BASE!B70</f>
        <v>12246</v>
      </c>
    </row>
    <row r="213" spans="5:5" ht="12.75" hidden="1" customHeight="1" x14ac:dyDescent="0.2">
      <c r="E213" s="219">
        <f>BASE!B71</f>
        <v>12688</v>
      </c>
    </row>
    <row r="214" spans="5:5" ht="12.75" hidden="1" customHeight="1" x14ac:dyDescent="0.2">
      <c r="E214" s="219">
        <f>BASE!B72</f>
        <v>12874</v>
      </c>
    </row>
    <row r="215" spans="5:5" ht="12.75" hidden="1" customHeight="1" x14ac:dyDescent="0.2">
      <c r="E215" s="219">
        <f>BASE!B73</f>
        <v>12939</v>
      </c>
    </row>
    <row r="216" spans="5:5" ht="12.75" hidden="1" customHeight="1" x14ac:dyDescent="0.2">
      <c r="E216" s="219">
        <f>BASE!B74</f>
        <v>13111</v>
      </c>
    </row>
    <row r="217" spans="5:5" ht="12.75" hidden="1" customHeight="1" x14ac:dyDescent="0.2">
      <c r="E217" s="219">
        <f>BASE!B75</f>
        <v>13218</v>
      </c>
    </row>
    <row r="218" spans="5:5" ht="12.75" hidden="1" customHeight="1" x14ac:dyDescent="0.2">
      <c r="E218" s="219">
        <f>BASE!B76</f>
        <v>13226</v>
      </c>
    </row>
    <row r="219" spans="5:5" ht="12.75" hidden="1" customHeight="1" x14ac:dyDescent="0.2">
      <c r="E219" s="219">
        <f>BASE!B77</f>
        <v>13315</v>
      </c>
    </row>
    <row r="220" spans="5:5" ht="12.75" hidden="1" customHeight="1" x14ac:dyDescent="0.2">
      <c r="E220" s="219">
        <f>BASE!B78</f>
        <v>13358</v>
      </c>
    </row>
    <row r="221" spans="5:5" ht="12.75" hidden="1" customHeight="1" x14ac:dyDescent="0.2">
      <c r="E221" s="219">
        <f>BASE!B79</f>
        <v>13447</v>
      </c>
    </row>
    <row r="222" spans="5:5" ht="12.75" hidden="1" customHeight="1" x14ac:dyDescent="0.2">
      <c r="E222" s="219">
        <f>BASE!B80</f>
        <v>13471</v>
      </c>
    </row>
    <row r="223" spans="5:5" ht="12.75" hidden="1" customHeight="1" x14ac:dyDescent="0.2">
      <c r="E223" s="219">
        <f>BASE!B81</f>
        <v>13498</v>
      </c>
    </row>
    <row r="224" spans="5:5" ht="12.75" hidden="1" customHeight="1" x14ac:dyDescent="0.2">
      <c r="E224" s="219">
        <f>BASE!B82</f>
        <v>13501</v>
      </c>
    </row>
    <row r="225" spans="5:5" ht="12.75" hidden="1" customHeight="1" x14ac:dyDescent="0.2">
      <c r="E225" s="219">
        <f>BASE!B83</f>
        <v>13510</v>
      </c>
    </row>
    <row r="226" spans="5:5" ht="12.75" hidden="1" customHeight="1" x14ac:dyDescent="0.2">
      <c r="E226" s="219">
        <f>BASE!B84</f>
        <v>13528</v>
      </c>
    </row>
    <row r="227" spans="5:5" ht="12.75" hidden="1" customHeight="1" x14ac:dyDescent="0.2">
      <c r="E227" s="219">
        <f>BASE!B85</f>
        <v>13692</v>
      </c>
    </row>
    <row r="228" spans="5:5" ht="12.75" hidden="1" customHeight="1" x14ac:dyDescent="0.2">
      <c r="E228" s="219">
        <f>BASE!B86</f>
        <v>13803</v>
      </c>
    </row>
    <row r="229" spans="5:5" ht="12.75" hidden="1" customHeight="1" x14ac:dyDescent="0.2">
      <c r="E229" s="219">
        <f>BASE!B87</f>
        <v>14117</v>
      </c>
    </row>
    <row r="230" spans="5:5" ht="12.75" hidden="1" customHeight="1" x14ac:dyDescent="0.2">
      <c r="E230" s="219">
        <f>BASE!B88</f>
        <v>14125</v>
      </c>
    </row>
    <row r="231" spans="5:5" ht="12.75" hidden="1" customHeight="1" x14ac:dyDescent="0.2">
      <c r="E231" s="219">
        <f>BASE!B89</f>
        <v>14176</v>
      </c>
    </row>
    <row r="232" spans="5:5" ht="12.75" hidden="1" customHeight="1" x14ac:dyDescent="0.2">
      <c r="E232" s="219">
        <f>BASE!B90</f>
        <v>14249</v>
      </c>
    </row>
    <row r="233" spans="5:5" ht="12.75" hidden="1" customHeight="1" x14ac:dyDescent="0.2">
      <c r="E233" s="219">
        <f>BASE!B91</f>
        <v>14567</v>
      </c>
    </row>
    <row r="234" spans="5:5" ht="12.75" hidden="1" customHeight="1" x14ac:dyDescent="0.2">
      <c r="E234" s="219">
        <f>BASE!B92</f>
        <v>14575</v>
      </c>
    </row>
    <row r="235" spans="5:5" ht="12.75" hidden="1" customHeight="1" x14ac:dyDescent="0.2">
      <c r="E235" s="219">
        <f>BASE!B93</f>
        <v>14583</v>
      </c>
    </row>
    <row r="236" spans="5:5" ht="12.75" hidden="1" customHeight="1" x14ac:dyDescent="0.2">
      <c r="E236" s="219">
        <f>BASE!B94</f>
        <v>14591</v>
      </c>
    </row>
    <row r="237" spans="5:5" ht="12.75" hidden="1" customHeight="1" x14ac:dyDescent="0.2">
      <c r="E237" s="219">
        <f>BASE!B95</f>
        <v>14672</v>
      </c>
    </row>
    <row r="238" spans="5:5" ht="12.75" hidden="1" customHeight="1" x14ac:dyDescent="0.2">
      <c r="E238" s="219">
        <f>BASE!B96</f>
        <v>14681</v>
      </c>
    </row>
    <row r="239" spans="5:5" ht="12.75" hidden="1" customHeight="1" x14ac:dyDescent="0.2">
      <c r="E239" s="219">
        <f>BASE!B97</f>
        <v>14699</v>
      </c>
    </row>
    <row r="240" spans="5:5" ht="12.75" hidden="1" customHeight="1" x14ac:dyDescent="0.2">
      <c r="E240" s="219">
        <f>BASE!B98</f>
        <v>14893</v>
      </c>
    </row>
    <row r="241" spans="5:5" ht="12.75" hidden="1" customHeight="1" x14ac:dyDescent="0.2">
      <c r="E241" s="219">
        <f>BASE!B99</f>
        <v>15024</v>
      </c>
    </row>
    <row r="242" spans="5:5" ht="12.75" hidden="1" customHeight="1" x14ac:dyDescent="0.2">
      <c r="E242" s="219">
        <f>BASE!B100</f>
        <v>15121</v>
      </c>
    </row>
    <row r="243" spans="5:5" ht="12.75" hidden="1" customHeight="1" x14ac:dyDescent="0.2">
      <c r="E243" s="219">
        <f>BASE!B101</f>
        <v>15130</v>
      </c>
    </row>
    <row r="244" spans="5:5" ht="12.75" hidden="1" customHeight="1" x14ac:dyDescent="0.2">
      <c r="E244" s="219">
        <f>BASE!B102</f>
        <v>15296</v>
      </c>
    </row>
    <row r="245" spans="5:5" ht="12.75" hidden="1" customHeight="1" x14ac:dyDescent="0.2">
      <c r="E245" s="219">
        <f>BASE!B103</f>
        <v>15423</v>
      </c>
    </row>
    <row r="246" spans="5:5" ht="12.75" hidden="1" customHeight="1" x14ac:dyDescent="0.2">
      <c r="E246" s="219">
        <f>BASE!B104</f>
        <v>15431</v>
      </c>
    </row>
    <row r="247" spans="5:5" ht="12.75" hidden="1" customHeight="1" x14ac:dyDescent="0.2">
      <c r="E247" s="219">
        <f>BASE!B105</f>
        <v>15440</v>
      </c>
    </row>
    <row r="248" spans="5:5" ht="12.75" hidden="1" customHeight="1" x14ac:dyDescent="0.2">
      <c r="E248" s="219">
        <f>BASE!B106</f>
        <v>16497</v>
      </c>
    </row>
    <row r="249" spans="5:5" ht="12.75" hidden="1" customHeight="1" x14ac:dyDescent="0.2">
      <c r="E249" s="219">
        <f>BASE!B107</f>
        <v>16501</v>
      </c>
    </row>
    <row r="250" spans="5:5" ht="12.75" hidden="1" customHeight="1" x14ac:dyDescent="0.2">
      <c r="E250" s="219">
        <f>BASE!B108</f>
        <v>16519</v>
      </c>
    </row>
    <row r="251" spans="5:5" ht="12.75" hidden="1" customHeight="1" x14ac:dyDescent="0.2">
      <c r="E251" s="219">
        <f>BASE!B109</f>
        <v>16527</v>
      </c>
    </row>
    <row r="252" spans="5:5" ht="12.75" hidden="1" customHeight="1" x14ac:dyDescent="0.2">
      <c r="E252" s="219">
        <f>BASE!B110</f>
        <v>16713</v>
      </c>
    </row>
    <row r="253" spans="5:5" ht="12.75" hidden="1" customHeight="1" x14ac:dyDescent="0.2">
      <c r="E253" s="219">
        <f>BASE!B111</f>
        <v>16721</v>
      </c>
    </row>
    <row r="254" spans="5:5" ht="12.75" hidden="1" customHeight="1" x14ac:dyDescent="0.2">
      <c r="E254" s="219">
        <f>BASE!B112</f>
        <v>16993</v>
      </c>
    </row>
    <row r="255" spans="5:5" ht="12.75" hidden="1" customHeight="1" x14ac:dyDescent="0.2">
      <c r="E255" s="219">
        <f>BASE!B113</f>
        <v>17272</v>
      </c>
    </row>
    <row r="256" spans="5:5" ht="12.75" hidden="1" customHeight="1" x14ac:dyDescent="0.2">
      <c r="E256" s="219">
        <f>BASE!B114</f>
        <v>17281</v>
      </c>
    </row>
    <row r="257" spans="5:5" ht="12.75" hidden="1" customHeight="1" x14ac:dyDescent="0.2">
      <c r="E257" s="219">
        <f>BASE!B115</f>
        <v>17329</v>
      </c>
    </row>
    <row r="258" spans="5:5" ht="12.75" hidden="1" customHeight="1" x14ac:dyDescent="0.2">
      <c r="E258" s="219">
        <f>BASE!B116</f>
        <v>17337</v>
      </c>
    </row>
    <row r="259" spans="5:5" ht="12.75" hidden="1" customHeight="1" x14ac:dyDescent="0.2">
      <c r="E259" s="219">
        <f>BASE!B117</f>
        <v>17442</v>
      </c>
    </row>
    <row r="260" spans="5:5" ht="12.75" hidden="1" customHeight="1" x14ac:dyDescent="0.2">
      <c r="E260" s="219">
        <f>BASE!B118</f>
        <v>17451</v>
      </c>
    </row>
    <row r="261" spans="5:5" ht="12.75" hidden="1" customHeight="1" x14ac:dyDescent="0.2">
      <c r="E261" s="219">
        <f>BASE!B119</f>
        <v>17515</v>
      </c>
    </row>
    <row r="262" spans="5:5" ht="12.75" hidden="1" customHeight="1" x14ac:dyDescent="0.2">
      <c r="E262" s="219">
        <f>BASE!B120</f>
        <v>17523</v>
      </c>
    </row>
    <row r="263" spans="5:5" ht="12.75" hidden="1" customHeight="1" x14ac:dyDescent="0.2">
      <c r="E263" s="219">
        <f>BASE!B121</f>
        <v>17531</v>
      </c>
    </row>
    <row r="264" spans="5:5" ht="12.75" hidden="1" customHeight="1" x14ac:dyDescent="0.2">
      <c r="E264" s="219">
        <f>BASE!B122</f>
        <v>17655</v>
      </c>
    </row>
    <row r="265" spans="5:5" ht="12.75" hidden="1" customHeight="1" x14ac:dyDescent="0.2">
      <c r="E265" s="219">
        <f>BASE!B123</f>
        <v>17710</v>
      </c>
    </row>
    <row r="266" spans="5:5" ht="12.75" hidden="1" customHeight="1" x14ac:dyDescent="0.2">
      <c r="E266" s="219">
        <f>BASE!B124</f>
        <v>17728</v>
      </c>
    </row>
    <row r="267" spans="5:5" ht="12.75" hidden="1" customHeight="1" x14ac:dyDescent="0.2">
      <c r="E267" s="219">
        <f>BASE!B125</f>
        <v>17736</v>
      </c>
    </row>
    <row r="268" spans="5:5" ht="12.75" hidden="1" customHeight="1" x14ac:dyDescent="0.2">
      <c r="E268" s="219">
        <f>BASE!B126</f>
        <v>17973</v>
      </c>
    </row>
    <row r="269" spans="5:5" ht="12.75" hidden="1" customHeight="1" x14ac:dyDescent="0.2">
      <c r="E269" s="219">
        <f>BASE!B127</f>
        <v>17981</v>
      </c>
    </row>
    <row r="270" spans="5:5" ht="12.75" hidden="1" customHeight="1" x14ac:dyDescent="0.2">
      <c r="E270" s="219">
        <f>BASE!B128</f>
        <v>18201</v>
      </c>
    </row>
    <row r="271" spans="5:5" ht="12.75" hidden="1" customHeight="1" x14ac:dyDescent="0.2">
      <c r="E271" s="219">
        <f>BASE!B129</f>
        <v>18210</v>
      </c>
    </row>
    <row r="272" spans="5:5" ht="12.75" hidden="1" customHeight="1" x14ac:dyDescent="0.2">
      <c r="E272" s="219">
        <f>BASE!B130</f>
        <v>18228</v>
      </c>
    </row>
    <row r="273" spans="5:5" ht="12.75" hidden="1" customHeight="1" x14ac:dyDescent="0.2">
      <c r="E273" s="219">
        <f>BASE!B131</f>
        <v>18236</v>
      </c>
    </row>
    <row r="274" spans="5:5" ht="12.75" hidden="1" customHeight="1" x14ac:dyDescent="0.2">
      <c r="E274" s="219">
        <f>BASE!B132</f>
        <v>18244</v>
      </c>
    </row>
    <row r="275" spans="5:5" ht="12.75" hidden="1" customHeight="1" x14ac:dyDescent="0.2">
      <c r="E275" s="219">
        <f>BASE!B133</f>
        <v>18261</v>
      </c>
    </row>
    <row r="276" spans="5:5" ht="12.75" hidden="1" customHeight="1" x14ac:dyDescent="0.2">
      <c r="E276" s="219">
        <f>BASE!B134</f>
        <v>18279</v>
      </c>
    </row>
    <row r="277" spans="5:5" ht="12.75" hidden="1" customHeight="1" x14ac:dyDescent="0.2">
      <c r="E277" s="219">
        <f>BASE!B135</f>
        <v>18287</v>
      </c>
    </row>
    <row r="278" spans="5:5" ht="12.75" hidden="1" customHeight="1" x14ac:dyDescent="0.2">
      <c r="E278" s="219">
        <f>BASE!B136</f>
        <v>18295</v>
      </c>
    </row>
    <row r="279" spans="5:5" ht="12.75" hidden="1" customHeight="1" x14ac:dyDescent="0.2">
      <c r="E279" s="219">
        <f>BASE!B137</f>
        <v>18309</v>
      </c>
    </row>
    <row r="280" spans="5:5" ht="12.75" hidden="1" customHeight="1" x14ac:dyDescent="0.2">
      <c r="E280" s="219">
        <f>BASE!B138</f>
        <v>18350</v>
      </c>
    </row>
    <row r="281" spans="5:5" ht="12.75" hidden="1" customHeight="1" x14ac:dyDescent="0.2">
      <c r="E281" s="219">
        <f>BASE!B139</f>
        <v>18384</v>
      </c>
    </row>
    <row r="282" spans="5:5" ht="12.75" hidden="1" customHeight="1" x14ac:dyDescent="0.2">
      <c r="E282" s="219">
        <f>BASE!B140</f>
        <v>18503</v>
      </c>
    </row>
    <row r="283" spans="5:5" ht="12.75" hidden="1" customHeight="1" x14ac:dyDescent="0.2">
      <c r="E283" s="219">
        <f>BASE!B141</f>
        <v>18511</v>
      </c>
    </row>
    <row r="284" spans="5:5" ht="12.75" hidden="1" customHeight="1" x14ac:dyDescent="0.2">
      <c r="E284" s="219">
        <f>BASE!B142</f>
        <v>18520</v>
      </c>
    </row>
    <row r="285" spans="5:5" ht="12.75" hidden="1" customHeight="1" x14ac:dyDescent="0.2">
      <c r="E285" s="219">
        <f>BASE!B143</f>
        <v>18538</v>
      </c>
    </row>
    <row r="286" spans="5:5" ht="12.75" hidden="1" customHeight="1" x14ac:dyDescent="0.2">
      <c r="E286" s="219">
        <f>BASE!B144</f>
        <v>18546</v>
      </c>
    </row>
    <row r="287" spans="5:5" ht="12.75" hidden="1" customHeight="1" x14ac:dyDescent="0.2">
      <c r="E287" s="219">
        <f>BASE!B145</f>
        <v>18554</v>
      </c>
    </row>
    <row r="288" spans="5:5" ht="12.75" hidden="1" customHeight="1" x14ac:dyDescent="0.2">
      <c r="E288" s="219">
        <f>BASE!B146</f>
        <v>18830</v>
      </c>
    </row>
    <row r="289" spans="5:5" ht="12.75" hidden="1" customHeight="1" x14ac:dyDescent="0.2">
      <c r="E289" s="219">
        <f>BASE!B147</f>
        <v>19011</v>
      </c>
    </row>
    <row r="290" spans="5:5" ht="12.75" hidden="1" customHeight="1" x14ac:dyDescent="0.2">
      <c r="E290" s="219">
        <f>BASE!B148</f>
        <v>19020</v>
      </c>
    </row>
    <row r="291" spans="5:5" ht="12.75" hidden="1" customHeight="1" x14ac:dyDescent="0.2">
      <c r="E291" s="219">
        <f>BASE!B149</f>
        <v>19038</v>
      </c>
    </row>
    <row r="292" spans="5:5" ht="12.75" hidden="1" customHeight="1" x14ac:dyDescent="0.2">
      <c r="E292" s="219">
        <f>BASE!B150</f>
        <v>19046</v>
      </c>
    </row>
    <row r="293" spans="5:5" ht="12.75" hidden="1" customHeight="1" x14ac:dyDescent="0.2">
      <c r="E293" s="219">
        <f>BASE!B151</f>
        <v>19054</v>
      </c>
    </row>
    <row r="294" spans="5:5" ht="12.75" hidden="1" customHeight="1" x14ac:dyDescent="0.2">
      <c r="E294" s="219">
        <f>BASE!B152</f>
        <v>19062</v>
      </c>
    </row>
    <row r="295" spans="5:5" ht="12.75" hidden="1" customHeight="1" x14ac:dyDescent="0.2">
      <c r="E295" s="219">
        <f>BASE!B153</f>
        <v>19071</v>
      </c>
    </row>
    <row r="296" spans="5:5" ht="12.75" hidden="1" customHeight="1" x14ac:dyDescent="0.2">
      <c r="E296" s="219">
        <f>BASE!B154</f>
        <v>19089</v>
      </c>
    </row>
    <row r="297" spans="5:5" ht="12.75" hidden="1" customHeight="1" x14ac:dyDescent="0.2">
      <c r="E297" s="219">
        <f>BASE!B155</f>
        <v>19097</v>
      </c>
    </row>
    <row r="298" spans="5:5" ht="12.75" hidden="1" customHeight="1" x14ac:dyDescent="0.2">
      <c r="E298" s="219">
        <f>BASE!B156</f>
        <v>19101</v>
      </c>
    </row>
    <row r="299" spans="5:5" ht="12.75" hidden="1" customHeight="1" x14ac:dyDescent="0.2">
      <c r="E299" s="219">
        <f>BASE!B157</f>
        <v>19119</v>
      </c>
    </row>
    <row r="300" spans="5:5" ht="12.75" hidden="1" customHeight="1" x14ac:dyDescent="0.2">
      <c r="E300" s="219">
        <f>BASE!B158</f>
        <v>19127</v>
      </c>
    </row>
    <row r="301" spans="5:5" ht="12.75" hidden="1" customHeight="1" x14ac:dyDescent="0.2">
      <c r="E301" s="219">
        <f>BASE!B159</f>
        <v>19135</v>
      </c>
    </row>
    <row r="302" spans="5:5" ht="12.75" hidden="1" customHeight="1" x14ac:dyDescent="0.2">
      <c r="E302" s="219">
        <f>BASE!B160</f>
        <v>19143</v>
      </c>
    </row>
    <row r="303" spans="5:5" ht="12.75" hidden="1" customHeight="1" x14ac:dyDescent="0.2">
      <c r="E303" s="219">
        <f>BASE!B161</f>
        <v>19151</v>
      </c>
    </row>
    <row r="304" spans="5:5" ht="12.75" hidden="1" customHeight="1" x14ac:dyDescent="0.2">
      <c r="E304" s="219">
        <f>BASE!B162</f>
        <v>19160</v>
      </c>
    </row>
    <row r="305" spans="5:5" ht="12.75" hidden="1" customHeight="1" x14ac:dyDescent="0.2">
      <c r="E305" s="219">
        <f>BASE!B163</f>
        <v>19178</v>
      </c>
    </row>
    <row r="306" spans="5:5" ht="12.75" hidden="1" customHeight="1" x14ac:dyDescent="0.2">
      <c r="E306" s="219">
        <f>BASE!B164</f>
        <v>19186</v>
      </c>
    </row>
    <row r="307" spans="5:5" ht="12.75" hidden="1" customHeight="1" x14ac:dyDescent="0.2">
      <c r="E307" s="219">
        <f>BASE!B165</f>
        <v>19194</v>
      </c>
    </row>
    <row r="308" spans="5:5" ht="12.75" hidden="1" customHeight="1" x14ac:dyDescent="0.2">
      <c r="E308" s="219">
        <f>BASE!B166</f>
        <v>19195</v>
      </c>
    </row>
    <row r="309" spans="5:5" ht="12.75" hidden="1" customHeight="1" x14ac:dyDescent="0.2">
      <c r="E309" s="219">
        <f>BASE!B167</f>
        <v>19196</v>
      </c>
    </row>
    <row r="310" spans="5:5" ht="12.75" hidden="1" customHeight="1" x14ac:dyDescent="0.2">
      <c r="E310" s="219">
        <f>BASE!B168</f>
        <v>19197</v>
      </c>
    </row>
    <row r="311" spans="5:5" ht="12.75" hidden="1" customHeight="1" x14ac:dyDescent="0.2">
      <c r="E311" s="219">
        <f>BASE!B169</f>
        <v>19198</v>
      </c>
    </row>
    <row r="312" spans="5:5" ht="12.75" hidden="1" customHeight="1" x14ac:dyDescent="0.2">
      <c r="E312" s="219">
        <f>BASE!B170</f>
        <v>19199</v>
      </c>
    </row>
    <row r="313" spans="5:5" ht="12.75" hidden="1" customHeight="1" x14ac:dyDescent="0.2">
      <c r="E313" s="219">
        <f>BASE!B171</f>
        <v>19200</v>
      </c>
    </row>
    <row r="314" spans="5:5" ht="12.75" hidden="1" customHeight="1" x14ac:dyDescent="0.2">
      <c r="E314" s="219">
        <f>BASE!B172</f>
        <v>19201</v>
      </c>
    </row>
    <row r="315" spans="5:5" ht="12.75" hidden="1" customHeight="1" x14ac:dyDescent="0.2">
      <c r="E315" s="219">
        <f>BASE!B173</f>
        <v>19202</v>
      </c>
    </row>
    <row r="316" spans="5:5" ht="12.75" hidden="1" customHeight="1" x14ac:dyDescent="0.2">
      <c r="E316" s="219">
        <f>BASE!B174</f>
        <v>19203</v>
      </c>
    </row>
    <row r="317" spans="5:5" ht="12.75" hidden="1" customHeight="1" x14ac:dyDescent="0.2">
      <c r="E317" s="219">
        <f>BASE!B175</f>
        <v>19204</v>
      </c>
    </row>
    <row r="318" spans="5:5" ht="12.75" hidden="1" customHeight="1" x14ac:dyDescent="0.2">
      <c r="E318" s="219">
        <f>BASE!B176</f>
        <v>19205</v>
      </c>
    </row>
    <row r="319" spans="5:5" ht="12.75" hidden="1" customHeight="1" x14ac:dyDescent="0.2">
      <c r="E319" s="219">
        <f>BASE!B177</f>
        <v>19206</v>
      </c>
    </row>
    <row r="320" spans="5:5" ht="12.75" hidden="1" customHeight="1" x14ac:dyDescent="0.2">
      <c r="E320" s="219">
        <f>BASE!B178</f>
        <v>19207</v>
      </c>
    </row>
    <row r="321" spans="5:5" ht="12.75" hidden="1" customHeight="1" x14ac:dyDescent="0.2">
      <c r="E321" s="219">
        <f>BASE!B179</f>
        <v>19208</v>
      </c>
    </row>
    <row r="322" spans="5:5" ht="12.75" hidden="1" customHeight="1" x14ac:dyDescent="0.2">
      <c r="E322" s="219">
        <f>BASE!B180</f>
        <v>19209</v>
      </c>
    </row>
    <row r="323" spans="5:5" ht="12.75" hidden="1" customHeight="1" x14ac:dyDescent="0.2">
      <c r="E323" s="219">
        <f>BASE!B181</f>
        <v>19210</v>
      </c>
    </row>
    <row r="324" spans="5:5" ht="12.75" hidden="1" customHeight="1" x14ac:dyDescent="0.2">
      <c r="E324" s="219">
        <f>BASE!B182</f>
        <v>19211</v>
      </c>
    </row>
    <row r="325" spans="5:5" ht="12.75" hidden="1" customHeight="1" x14ac:dyDescent="0.2">
      <c r="E325" s="219">
        <f>BASE!B183</f>
        <v>19212</v>
      </c>
    </row>
    <row r="326" spans="5:5" ht="12.75" hidden="1" customHeight="1" x14ac:dyDescent="0.2">
      <c r="E326" s="219">
        <f>BASE!B184</f>
        <v>19213</v>
      </c>
    </row>
    <row r="327" spans="5:5" ht="12.75" hidden="1" customHeight="1" x14ac:dyDescent="0.2">
      <c r="E327" s="219">
        <f>BASE!B185</f>
        <v>19214</v>
      </c>
    </row>
    <row r="328" spans="5:5" ht="12.75" hidden="1" customHeight="1" x14ac:dyDescent="0.2">
      <c r="E328" s="219">
        <f>BASE!B186</f>
        <v>19215</v>
      </c>
    </row>
    <row r="329" spans="5:5" ht="12.75" hidden="1" customHeight="1" x14ac:dyDescent="0.2">
      <c r="E329" s="219">
        <f>BASE!B187</f>
        <v>19216</v>
      </c>
    </row>
    <row r="330" spans="5:5" ht="12.75" hidden="1" customHeight="1" x14ac:dyDescent="0.2">
      <c r="E330" s="219">
        <f>BASE!B188</f>
        <v>19217</v>
      </c>
    </row>
    <row r="331" spans="5:5" ht="12.75" hidden="1" customHeight="1" x14ac:dyDescent="0.2">
      <c r="E331" s="219">
        <f>BASE!B189</f>
        <v>19218</v>
      </c>
    </row>
    <row r="332" spans="5:5" ht="12.75" hidden="1" customHeight="1" x14ac:dyDescent="0.2">
      <c r="E332" s="219">
        <f>BASE!B190</f>
        <v>19219</v>
      </c>
    </row>
    <row r="333" spans="5:5" ht="12.75" hidden="1" customHeight="1" x14ac:dyDescent="0.2">
      <c r="E333" s="219">
        <f>BASE!B191</f>
        <v>19220</v>
      </c>
    </row>
    <row r="334" spans="5:5" ht="12.75" hidden="1" customHeight="1" x14ac:dyDescent="0.2">
      <c r="E334" s="219">
        <f>BASE!B192</f>
        <v>19221</v>
      </c>
    </row>
    <row r="335" spans="5:5" ht="12.75" hidden="1" customHeight="1" x14ac:dyDescent="0.2">
      <c r="E335" s="219">
        <f>BASE!B193</f>
        <v>19222</v>
      </c>
    </row>
    <row r="336" spans="5:5" ht="12.75" hidden="1" customHeight="1" x14ac:dyDescent="0.2">
      <c r="E336" s="219">
        <f>BASE!B194</f>
        <v>19223</v>
      </c>
    </row>
    <row r="337" spans="5:5" ht="12.75" hidden="1" customHeight="1" x14ac:dyDescent="0.2">
      <c r="E337" s="219">
        <f>BASE!B195</f>
        <v>19224</v>
      </c>
    </row>
    <row r="338" spans="5:5" ht="12.75" hidden="1" customHeight="1" x14ac:dyDescent="0.2">
      <c r="E338" s="219">
        <f>BASE!B196</f>
        <v>19225</v>
      </c>
    </row>
    <row r="339" spans="5:5" ht="12.75" hidden="1" customHeight="1" x14ac:dyDescent="0.2">
      <c r="E339" s="219">
        <f>BASE!B197</f>
        <v>19226</v>
      </c>
    </row>
    <row r="340" spans="5:5" ht="12.75" hidden="1" customHeight="1" x14ac:dyDescent="0.2">
      <c r="E340" s="219">
        <f>BASE!B198</f>
        <v>19227</v>
      </c>
    </row>
    <row r="341" spans="5:5" ht="12.75" hidden="1" customHeight="1" x14ac:dyDescent="0.2">
      <c r="E341" s="219">
        <f>BASE!B199</f>
        <v>19228</v>
      </c>
    </row>
    <row r="342" spans="5:5" ht="12.75" hidden="1" customHeight="1" x14ac:dyDescent="0.2">
      <c r="E342" s="219">
        <f>BASE!B200</f>
        <v>19229</v>
      </c>
    </row>
    <row r="343" spans="5:5" ht="12.75" hidden="1" customHeight="1" x14ac:dyDescent="0.2">
      <c r="E343" s="219">
        <f>BASE!B201</f>
        <v>19230</v>
      </c>
    </row>
    <row r="344" spans="5:5" ht="12.75" hidden="1" customHeight="1" x14ac:dyDescent="0.2">
      <c r="E344" s="219">
        <f>BASE!B202</f>
        <v>19231</v>
      </c>
    </row>
    <row r="345" spans="5:5" ht="12.75" hidden="1" customHeight="1" x14ac:dyDescent="0.2">
      <c r="E345" s="219">
        <f>BASE!B203</f>
        <v>19232</v>
      </c>
    </row>
    <row r="346" spans="5:5" ht="12.75" hidden="1" customHeight="1" x14ac:dyDescent="0.2">
      <c r="E346" s="219">
        <f>BASE!B204</f>
        <v>19233</v>
      </c>
    </row>
    <row r="347" spans="5:5" ht="12.75" hidden="1" customHeight="1" x14ac:dyDescent="0.2">
      <c r="E347" s="219">
        <f>BASE!B205</f>
        <v>19234</v>
      </c>
    </row>
    <row r="348" spans="5:5" ht="12.75" hidden="1" customHeight="1" x14ac:dyDescent="0.2">
      <c r="E348" s="219">
        <f>BASE!B206</f>
        <v>19235</v>
      </c>
    </row>
    <row r="349" spans="5:5" ht="12.75" hidden="1" customHeight="1" x14ac:dyDescent="0.2">
      <c r="E349" s="219">
        <f>BASE!B207</f>
        <v>19236</v>
      </c>
    </row>
    <row r="350" spans="5:5" ht="12.75" hidden="1" customHeight="1" x14ac:dyDescent="0.2">
      <c r="E350" s="219">
        <f>BASE!B208</f>
        <v>19237</v>
      </c>
    </row>
    <row r="351" spans="5:5" ht="12.75" hidden="1" customHeight="1" x14ac:dyDescent="0.2">
      <c r="E351" s="219">
        <f>BASE!B209</f>
        <v>19238</v>
      </c>
    </row>
    <row r="352" spans="5:5" ht="12.75" hidden="1" customHeight="1" x14ac:dyDescent="0.2">
      <c r="E352" s="219">
        <f>BASE!B210</f>
        <v>19239</v>
      </c>
    </row>
    <row r="353" spans="5:5" ht="12.75" hidden="1" customHeight="1" x14ac:dyDescent="0.2">
      <c r="E353" s="219">
        <f>BASE!B211</f>
        <v>19240</v>
      </c>
    </row>
    <row r="354" spans="5:5" ht="12.75" hidden="1" customHeight="1" x14ac:dyDescent="0.2">
      <c r="E354" s="219">
        <f>BASE!B212</f>
        <v>19241</v>
      </c>
    </row>
    <row r="355" spans="5:5" ht="12.75" hidden="1" customHeight="1" x14ac:dyDescent="0.2">
      <c r="E355" s="219">
        <f>BASE!B213</f>
        <v>19242</v>
      </c>
    </row>
    <row r="356" spans="5:5" ht="12.75" hidden="1" customHeight="1" x14ac:dyDescent="0.2">
      <c r="E356" s="219">
        <f>BASE!B214</f>
        <v>19243</v>
      </c>
    </row>
    <row r="357" spans="5:5" ht="12.75" hidden="1" customHeight="1" x14ac:dyDescent="0.2">
      <c r="E357" s="219">
        <f>BASE!B215</f>
        <v>19244</v>
      </c>
    </row>
    <row r="358" spans="5:5" ht="12.75" hidden="1" customHeight="1" x14ac:dyDescent="0.2">
      <c r="E358" s="219">
        <f>BASE!B216</f>
        <v>19245</v>
      </c>
    </row>
    <row r="359" spans="5:5" ht="12.75" hidden="1" customHeight="1" x14ac:dyDescent="0.2">
      <c r="E359" s="219">
        <f>BASE!B217</f>
        <v>19246</v>
      </c>
    </row>
    <row r="360" spans="5:5" ht="12.75" hidden="1" customHeight="1" x14ac:dyDescent="0.2">
      <c r="E360" s="219">
        <f>BASE!B218</f>
        <v>19247</v>
      </c>
    </row>
    <row r="361" spans="5:5" ht="12.75" hidden="1" customHeight="1" x14ac:dyDescent="0.2">
      <c r="E361" s="219">
        <f>BASE!B219</f>
        <v>19248</v>
      </c>
    </row>
    <row r="362" spans="5:5" ht="12.75" hidden="1" customHeight="1" x14ac:dyDescent="0.2">
      <c r="E362" s="219">
        <f>BASE!B220</f>
        <v>19249</v>
      </c>
    </row>
    <row r="363" spans="5:5" ht="12.75" hidden="1" customHeight="1" x14ac:dyDescent="0.2">
      <c r="E363" s="219">
        <f>BASE!B221</f>
        <v>19250</v>
      </c>
    </row>
    <row r="364" spans="5:5" ht="12.75" hidden="1" customHeight="1" x14ac:dyDescent="0.2">
      <c r="E364" s="219">
        <f>BASE!B222</f>
        <v>19252</v>
      </c>
    </row>
    <row r="365" spans="5:5" ht="12.75" hidden="1" customHeight="1" x14ac:dyDescent="0.2">
      <c r="E365" s="219">
        <f>BASE!B223</f>
        <v>19253</v>
      </c>
    </row>
    <row r="366" spans="5:5" ht="12.75" hidden="1" customHeight="1" x14ac:dyDescent="0.2">
      <c r="E366" s="219">
        <f>BASE!B224</f>
        <v>19254</v>
      </c>
    </row>
    <row r="367" spans="5:5" ht="12.75" hidden="1" customHeight="1" x14ac:dyDescent="0.2">
      <c r="E367" s="219">
        <f>BASE!B225</f>
        <v>19255</v>
      </c>
    </row>
    <row r="368" spans="5:5" ht="12.75" hidden="1" customHeight="1" x14ac:dyDescent="0.2">
      <c r="E368" s="219">
        <f>BASE!B226</f>
        <v>19256</v>
      </c>
    </row>
    <row r="369" spans="5:5" ht="12.75" hidden="1" customHeight="1" x14ac:dyDescent="0.2">
      <c r="E369" s="219">
        <f>BASE!B227</f>
        <v>19257</v>
      </c>
    </row>
    <row r="370" spans="5:5" ht="12.75" hidden="1" customHeight="1" x14ac:dyDescent="0.2">
      <c r="E370" s="219">
        <f>BASE!B228</f>
        <v>19258</v>
      </c>
    </row>
    <row r="371" spans="5:5" ht="12.75" hidden="1" customHeight="1" x14ac:dyDescent="0.2">
      <c r="E371" s="219">
        <f>BASE!B229</f>
        <v>19259</v>
      </c>
    </row>
    <row r="372" spans="5:5" ht="12.75" hidden="1" customHeight="1" x14ac:dyDescent="0.2">
      <c r="E372" s="219">
        <f>BASE!B230</f>
        <v>19260</v>
      </c>
    </row>
    <row r="373" spans="5:5" ht="12.75" hidden="1" customHeight="1" x14ac:dyDescent="0.2">
      <c r="E373" s="219">
        <f>BASE!B231</f>
        <v>19261</v>
      </c>
    </row>
    <row r="374" spans="5:5" ht="12.75" hidden="1" customHeight="1" x14ac:dyDescent="0.2">
      <c r="E374" s="219">
        <f>BASE!B232</f>
        <v>19262</v>
      </c>
    </row>
    <row r="375" spans="5:5" ht="12.75" hidden="1" customHeight="1" x14ac:dyDescent="0.2">
      <c r="E375" s="219">
        <f>BASE!B233</f>
        <v>19263</v>
      </c>
    </row>
    <row r="376" spans="5:5" ht="12.75" hidden="1" customHeight="1" x14ac:dyDescent="0.2">
      <c r="E376" s="219">
        <f>BASE!B234</f>
        <v>19264</v>
      </c>
    </row>
    <row r="377" spans="5:5" ht="12.75" hidden="1" customHeight="1" x14ac:dyDescent="0.2">
      <c r="E377" s="219">
        <f>BASE!B235</f>
        <v>19265</v>
      </c>
    </row>
    <row r="378" spans="5:5" ht="12.75" hidden="1" customHeight="1" x14ac:dyDescent="0.2">
      <c r="E378" s="219">
        <f>BASE!B236</f>
        <v>19266</v>
      </c>
    </row>
    <row r="379" spans="5:5" ht="12.75" hidden="1" customHeight="1" x14ac:dyDescent="0.2">
      <c r="E379" s="219">
        <f>BASE!B237</f>
        <v>19267</v>
      </c>
    </row>
    <row r="380" spans="5:5" ht="12.75" hidden="1" customHeight="1" x14ac:dyDescent="0.2">
      <c r="E380" s="219">
        <f>BASE!B238</f>
        <v>19269</v>
      </c>
    </row>
    <row r="381" spans="5:5" ht="12.75" hidden="1" customHeight="1" x14ac:dyDescent="0.2">
      <c r="E381" s="219">
        <f>BASE!B239</f>
        <v>19271</v>
      </c>
    </row>
    <row r="382" spans="5:5" ht="12.75" hidden="1" customHeight="1" x14ac:dyDescent="0.2">
      <c r="E382" s="219">
        <f>BASE!B240</f>
        <v>19272</v>
      </c>
    </row>
    <row r="383" spans="5:5" ht="12.75" hidden="1" customHeight="1" x14ac:dyDescent="0.2">
      <c r="E383" s="219">
        <f>BASE!B241</f>
        <v>19274</v>
      </c>
    </row>
    <row r="384" spans="5:5" ht="12.75" hidden="1" customHeight="1" x14ac:dyDescent="0.2">
      <c r="E384" s="219">
        <f>BASE!B242</f>
        <v>19275</v>
      </c>
    </row>
    <row r="385" spans="5:5" ht="12.75" hidden="1" customHeight="1" x14ac:dyDescent="0.2">
      <c r="E385" s="219">
        <f>BASE!B243</f>
        <v>19276</v>
      </c>
    </row>
    <row r="386" spans="5:5" ht="12.75" hidden="1" customHeight="1" x14ac:dyDescent="0.2">
      <c r="E386" s="219">
        <f>BASE!B244</f>
        <v>19277</v>
      </c>
    </row>
    <row r="387" spans="5:5" ht="12.75" hidden="1" customHeight="1" x14ac:dyDescent="0.2">
      <c r="E387" s="219">
        <f>BASE!B245</f>
        <v>19278</v>
      </c>
    </row>
    <row r="388" spans="5:5" ht="12.75" hidden="1" customHeight="1" x14ac:dyDescent="0.2">
      <c r="E388" s="219">
        <f>BASE!B246</f>
        <v>19279</v>
      </c>
    </row>
    <row r="389" spans="5:5" ht="12.75" hidden="1" customHeight="1" x14ac:dyDescent="0.2">
      <c r="E389" s="219">
        <f>BASE!B247</f>
        <v>19280</v>
      </c>
    </row>
    <row r="390" spans="5:5" ht="12.75" hidden="1" customHeight="1" x14ac:dyDescent="0.2">
      <c r="E390" s="219">
        <f>BASE!B248</f>
        <v>19281</v>
      </c>
    </row>
    <row r="391" spans="5:5" ht="12.75" hidden="1" customHeight="1" x14ac:dyDescent="0.2">
      <c r="E391" s="219">
        <f>BASE!B249</f>
        <v>19283</v>
      </c>
    </row>
    <row r="392" spans="5:5" ht="12.75" hidden="1" customHeight="1" x14ac:dyDescent="0.2">
      <c r="E392" s="219">
        <f>BASE!B250</f>
        <v>19284</v>
      </c>
    </row>
    <row r="393" spans="5:5" ht="12.75" hidden="1" customHeight="1" x14ac:dyDescent="0.2">
      <c r="E393" s="219">
        <f>BASE!B251</f>
        <v>19285</v>
      </c>
    </row>
    <row r="394" spans="5:5" ht="12.75" hidden="1" customHeight="1" x14ac:dyDescent="0.2">
      <c r="E394" s="219">
        <f>BASE!B252</f>
        <v>19287</v>
      </c>
    </row>
    <row r="395" spans="5:5" ht="12.75" hidden="1" customHeight="1" x14ac:dyDescent="0.2">
      <c r="E395" s="219">
        <f>BASE!B253</f>
        <v>19289</v>
      </c>
    </row>
    <row r="396" spans="5:5" ht="12.75" hidden="1" customHeight="1" x14ac:dyDescent="0.2">
      <c r="E396" s="219">
        <f>BASE!B254</f>
        <v>19290</v>
      </c>
    </row>
    <row r="397" spans="5:5" ht="12.75" hidden="1" customHeight="1" x14ac:dyDescent="0.2">
      <c r="E397" s="219">
        <f>BASE!B255</f>
        <v>19291</v>
      </c>
    </row>
    <row r="398" spans="5:5" ht="12.75" hidden="1" customHeight="1" x14ac:dyDescent="0.2">
      <c r="E398" s="219">
        <f>BASE!B256</f>
        <v>19293</v>
      </c>
    </row>
    <row r="399" spans="5:5" ht="12.75" hidden="1" customHeight="1" x14ac:dyDescent="0.2">
      <c r="E399" s="219">
        <f>BASE!B257</f>
        <v>19295</v>
      </c>
    </row>
    <row r="400" spans="5:5" ht="12.75" hidden="1" customHeight="1" x14ac:dyDescent="0.2">
      <c r="E400" s="219">
        <f>BASE!B258</f>
        <v>19296</v>
      </c>
    </row>
    <row r="401" spans="5:5" ht="12.75" hidden="1" customHeight="1" x14ac:dyDescent="0.2">
      <c r="E401" s="219">
        <f>BASE!B259</f>
        <v>19297</v>
      </c>
    </row>
    <row r="402" spans="5:5" ht="12.75" hidden="1" customHeight="1" x14ac:dyDescent="0.2">
      <c r="E402" s="219">
        <f>BASE!B260</f>
        <v>19299</v>
      </c>
    </row>
    <row r="403" spans="5:5" ht="12.75" hidden="1" customHeight="1" x14ac:dyDescent="0.2">
      <c r="E403" s="219">
        <f>BASE!B261</f>
        <v>19300</v>
      </c>
    </row>
    <row r="404" spans="5:5" ht="12.75" hidden="1" customHeight="1" x14ac:dyDescent="0.2">
      <c r="E404" s="219">
        <f>BASE!B262</f>
        <v>19301</v>
      </c>
    </row>
    <row r="405" spans="5:5" ht="12.75" hidden="1" customHeight="1" x14ac:dyDescent="0.2">
      <c r="E405" s="219">
        <f>BASE!B263</f>
        <v>19302</v>
      </c>
    </row>
    <row r="406" spans="5:5" ht="12.75" hidden="1" customHeight="1" x14ac:dyDescent="0.2">
      <c r="E406" s="219">
        <f>BASE!B264</f>
        <v>19303</v>
      </c>
    </row>
    <row r="407" spans="5:5" ht="12.75" hidden="1" customHeight="1" x14ac:dyDescent="0.2">
      <c r="E407" s="219">
        <f>BASE!B265</f>
        <v>19304</v>
      </c>
    </row>
    <row r="408" spans="5:5" ht="12.75" hidden="1" customHeight="1" x14ac:dyDescent="0.2">
      <c r="E408" s="219">
        <f>BASE!B266</f>
        <v>19305</v>
      </c>
    </row>
    <row r="409" spans="5:5" ht="12.75" hidden="1" customHeight="1" x14ac:dyDescent="0.2">
      <c r="E409" s="219">
        <f>BASE!B267</f>
        <v>19307</v>
      </c>
    </row>
    <row r="410" spans="5:5" ht="12.75" hidden="1" customHeight="1" x14ac:dyDescent="0.2">
      <c r="E410" s="219">
        <f>BASE!B268</f>
        <v>19308</v>
      </c>
    </row>
    <row r="411" spans="5:5" ht="12.75" hidden="1" customHeight="1" x14ac:dyDescent="0.2">
      <c r="E411" s="219">
        <f>BASE!B269</f>
        <v>19309</v>
      </c>
    </row>
    <row r="412" spans="5:5" ht="12.75" hidden="1" customHeight="1" x14ac:dyDescent="0.2">
      <c r="E412" s="219">
        <f>BASE!B270</f>
        <v>19310</v>
      </c>
    </row>
    <row r="413" spans="5:5" ht="12.75" hidden="1" customHeight="1" x14ac:dyDescent="0.2">
      <c r="E413" s="219">
        <f>BASE!B271</f>
        <v>19311</v>
      </c>
    </row>
    <row r="414" spans="5:5" ht="12.75" hidden="1" customHeight="1" x14ac:dyDescent="0.2">
      <c r="E414" s="219">
        <f>BASE!B272</f>
        <v>19312</v>
      </c>
    </row>
    <row r="415" spans="5:5" ht="12.75" hidden="1" customHeight="1" x14ac:dyDescent="0.2">
      <c r="E415" s="219">
        <f>BASE!B273</f>
        <v>19313</v>
      </c>
    </row>
    <row r="416" spans="5:5" ht="12.75" hidden="1" customHeight="1" x14ac:dyDescent="0.2">
      <c r="E416" s="219">
        <f>BASE!B274</f>
        <v>19314</v>
      </c>
    </row>
    <row r="417" spans="5:5" ht="12.75" hidden="1" customHeight="1" x14ac:dyDescent="0.2">
      <c r="E417" s="219">
        <f>BASE!B275</f>
        <v>19315</v>
      </c>
    </row>
    <row r="418" spans="5:5" ht="12.75" hidden="1" customHeight="1" x14ac:dyDescent="0.2">
      <c r="E418" s="219">
        <f>BASE!B276</f>
        <v>19316</v>
      </c>
    </row>
    <row r="419" spans="5:5" ht="12.75" hidden="1" customHeight="1" x14ac:dyDescent="0.2">
      <c r="E419" s="219">
        <f>BASE!B277</f>
        <v>19318</v>
      </c>
    </row>
    <row r="420" spans="5:5" ht="12.75" hidden="1" customHeight="1" x14ac:dyDescent="0.2">
      <c r="E420" s="219">
        <f>BASE!B278</f>
        <v>19319</v>
      </c>
    </row>
    <row r="421" spans="5:5" ht="12.75" hidden="1" customHeight="1" x14ac:dyDescent="0.2">
      <c r="E421" s="219">
        <f>BASE!B279</f>
        <v>19320</v>
      </c>
    </row>
    <row r="422" spans="5:5" ht="12.75" hidden="1" customHeight="1" x14ac:dyDescent="0.2">
      <c r="E422" s="219">
        <f>BASE!B280</f>
        <v>19321</v>
      </c>
    </row>
    <row r="423" spans="5:5" ht="12.75" hidden="1" customHeight="1" x14ac:dyDescent="0.2">
      <c r="E423" s="219">
        <f>BASE!B281</f>
        <v>19322</v>
      </c>
    </row>
    <row r="424" spans="5:5" ht="12.75" hidden="1" customHeight="1" x14ac:dyDescent="0.2">
      <c r="E424" s="219">
        <f>BASE!B282</f>
        <v>19323</v>
      </c>
    </row>
    <row r="425" spans="5:5" ht="12.75" hidden="1" customHeight="1" x14ac:dyDescent="0.2">
      <c r="E425" s="219">
        <f>BASE!B283</f>
        <v>19324</v>
      </c>
    </row>
    <row r="426" spans="5:5" ht="12.75" hidden="1" customHeight="1" x14ac:dyDescent="0.2">
      <c r="E426" s="219">
        <f>BASE!B284</f>
        <v>19325</v>
      </c>
    </row>
    <row r="427" spans="5:5" ht="12.75" hidden="1" customHeight="1" x14ac:dyDescent="0.2">
      <c r="E427" s="219">
        <f>BASE!B285</f>
        <v>19326</v>
      </c>
    </row>
    <row r="428" spans="5:5" ht="12.75" hidden="1" customHeight="1" x14ac:dyDescent="0.2">
      <c r="E428" s="219">
        <f>BASE!B286</f>
        <v>19327</v>
      </c>
    </row>
    <row r="429" spans="5:5" ht="12.75" hidden="1" customHeight="1" x14ac:dyDescent="0.2">
      <c r="E429" s="219">
        <f>BASE!B287</f>
        <v>19328</v>
      </c>
    </row>
    <row r="430" spans="5:5" ht="12.75" hidden="1" customHeight="1" x14ac:dyDescent="0.2">
      <c r="E430" s="219">
        <f>BASE!B288</f>
        <v>19330</v>
      </c>
    </row>
    <row r="431" spans="5:5" ht="12.75" hidden="1" customHeight="1" x14ac:dyDescent="0.2">
      <c r="E431" s="219">
        <f>BASE!B289</f>
        <v>19331</v>
      </c>
    </row>
    <row r="432" spans="5:5" ht="12.75" hidden="1" customHeight="1" x14ac:dyDescent="0.2">
      <c r="E432" s="219">
        <f>BASE!B290</f>
        <v>19332</v>
      </c>
    </row>
    <row r="433" spans="5:5" ht="12.75" hidden="1" customHeight="1" x14ac:dyDescent="0.2">
      <c r="E433" s="219">
        <f>BASE!B291</f>
        <v>19333</v>
      </c>
    </row>
    <row r="434" spans="5:5" ht="12.75" hidden="1" customHeight="1" x14ac:dyDescent="0.2">
      <c r="E434" s="219">
        <f>BASE!B292</f>
        <v>19335</v>
      </c>
    </row>
    <row r="435" spans="5:5" ht="12.75" hidden="1" customHeight="1" x14ac:dyDescent="0.2">
      <c r="E435" s="219">
        <f>BASE!B293</f>
        <v>19336</v>
      </c>
    </row>
    <row r="436" spans="5:5" ht="12.75" hidden="1" customHeight="1" x14ac:dyDescent="0.2">
      <c r="E436" s="219">
        <f>BASE!B294</f>
        <v>19337</v>
      </c>
    </row>
    <row r="437" spans="5:5" ht="12.75" hidden="1" customHeight="1" x14ac:dyDescent="0.2">
      <c r="E437" s="219">
        <f>BASE!B295</f>
        <v>19338</v>
      </c>
    </row>
    <row r="438" spans="5:5" ht="12.75" hidden="1" customHeight="1" x14ac:dyDescent="0.2">
      <c r="E438" s="219">
        <f>BASE!B296</f>
        <v>19339</v>
      </c>
    </row>
    <row r="439" spans="5:5" ht="12.75" hidden="1" customHeight="1" x14ac:dyDescent="0.2">
      <c r="E439" s="219">
        <f>BASE!B297</f>
        <v>19340</v>
      </c>
    </row>
    <row r="440" spans="5:5" ht="12.75" hidden="1" customHeight="1" x14ac:dyDescent="0.2">
      <c r="E440" s="219">
        <f>BASE!B298</f>
        <v>19341</v>
      </c>
    </row>
    <row r="441" spans="5:5" ht="12.75" hidden="1" customHeight="1" x14ac:dyDescent="0.2">
      <c r="E441" s="219">
        <f>BASE!B299</f>
        <v>19342</v>
      </c>
    </row>
    <row r="442" spans="5:5" ht="12.75" hidden="1" customHeight="1" x14ac:dyDescent="0.2">
      <c r="E442" s="219">
        <f>BASE!B300</f>
        <v>19344</v>
      </c>
    </row>
    <row r="443" spans="5:5" ht="12.75" hidden="1" customHeight="1" x14ac:dyDescent="0.2">
      <c r="E443" s="219">
        <f>BASE!B301</f>
        <v>19345</v>
      </c>
    </row>
    <row r="444" spans="5:5" ht="12.75" hidden="1" customHeight="1" x14ac:dyDescent="0.2">
      <c r="E444" s="219">
        <f>BASE!B302</f>
        <v>19346</v>
      </c>
    </row>
    <row r="445" spans="5:5" ht="12.75" hidden="1" customHeight="1" x14ac:dyDescent="0.2">
      <c r="E445" s="219">
        <f>BASE!B303</f>
        <v>19347</v>
      </c>
    </row>
    <row r="446" spans="5:5" ht="12.75" hidden="1" customHeight="1" x14ac:dyDescent="0.2">
      <c r="E446" s="219">
        <f>BASE!B304</f>
        <v>19348</v>
      </c>
    </row>
    <row r="447" spans="5:5" ht="12.75" hidden="1" customHeight="1" x14ac:dyDescent="0.2">
      <c r="E447" s="219">
        <f>BASE!B305</f>
        <v>19349</v>
      </c>
    </row>
    <row r="448" spans="5:5" ht="12.75" hidden="1" customHeight="1" x14ac:dyDescent="0.2">
      <c r="E448" s="219">
        <f>BASE!B306</f>
        <v>19350</v>
      </c>
    </row>
    <row r="449" spans="5:5" ht="12.75" hidden="1" customHeight="1" x14ac:dyDescent="0.2">
      <c r="E449" s="219">
        <f>BASE!B307</f>
        <v>19351</v>
      </c>
    </row>
    <row r="450" spans="5:5" ht="12.75" hidden="1" customHeight="1" x14ac:dyDescent="0.2">
      <c r="E450" s="219">
        <f>BASE!B308</f>
        <v>19352</v>
      </c>
    </row>
    <row r="451" spans="5:5" ht="12.75" hidden="1" customHeight="1" x14ac:dyDescent="0.2">
      <c r="E451" s="219">
        <f>BASE!B309</f>
        <v>19353</v>
      </c>
    </row>
    <row r="452" spans="5:5" ht="12.75" hidden="1" customHeight="1" x14ac:dyDescent="0.2">
      <c r="E452" s="219">
        <f>BASE!B310</f>
        <v>19354</v>
      </c>
    </row>
    <row r="453" spans="5:5" ht="12.75" hidden="1" customHeight="1" x14ac:dyDescent="0.2">
      <c r="E453" s="219">
        <f>BASE!B311</f>
        <v>19355</v>
      </c>
    </row>
    <row r="454" spans="5:5" ht="12.75" hidden="1" customHeight="1" x14ac:dyDescent="0.2">
      <c r="E454" s="219">
        <f>BASE!B312</f>
        <v>19357</v>
      </c>
    </row>
    <row r="455" spans="5:5" ht="12.75" hidden="1" customHeight="1" x14ac:dyDescent="0.2">
      <c r="E455" s="219">
        <f>BASE!B313</f>
        <v>19358</v>
      </c>
    </row>
    <row r="456" spans="5:5" ht="12.75" hidden="1" customHeight="1" x14ac:dyDescent="0.2">
      <c r="E456" s="219">
        <f>BASE!B314</f>
        <v>19359</v>
      </c>
    </row>
    <row r="457" spans="5:5" ht="12.75" hidden="1" customHeight="1" x14ac:dyDescent="0.2">
      <c r="E457" s="219">
        <f>BASE!B315</f>
        <v>19360</v>
      </c>
    </row>
    <row r="458" spans="5:5" ht="12.75" hidden="1" customHeight="1" x14ac:dyDescent="0.2">
      <c r="E458" s="219">
        <f>BASE!B316</f>
        <v>19361</v>
      </c>
    </row>
    <row r="459" spans="5:5" ht="12.75" hidden="1" customHeight="1" x14ac:dyDescent="0.2">
      <c r="E459" s="219">
        <f>BASE!B317</f>
        <v>19362</v>
      </c>
    </row>
    <row r="460" spans="5:5" ht="12.75" hidden="1" customHeight="1" x14ac:dyDescent="0.2">
      <c r="E460" s="219">
        <f>BASE!B318</f>
        <v>19363</v>
      </c>
    </row>
    <row r="461" spans="5:5" ht="12.75" hidden="1" customHeight="1" x14ac:dyDescent="0.2">
      <c r="E461" s="219">
        <f>BASE!B319</f>
        <v>19364</v>
      </c>
    </row>
    <row r="462" spans="5:5" ht="12.75" hidden="1" customHeight="1" x14ac:dyDescent="0.2">
      <c r="E462" s="219">
        <f>BASE!B320</f>
        <v>19365</v>
      </c>
    </row>
    <row r="463" spans="5:5" ht="12.75" hidden="1" customHeight="1" x14ac:dyDescent="0.2">
      <c r="E463" s="219">
        <f>BASE!B321</f>
        <v>19366</v>
      </c>
    </row>
    <row r="464" spans="5:5" ht="12.75" hidden="1" customHeight="1" x14ac:dyDescent="0.2">
      <c r="E464" s="219">
        <f>BASE!B322</f>
        <v>19367</v>
      </c>
    </row>
    <row r="465" spans="5:5" ht="12.75" hidden="1" customHeight="1" x14ac:dyDescent="0.2">
      <c r="E465" s="219">
        <f>BASE!B323</f>
        <v>19369</v>
      </c>
    </row>
    <row r="466" spans="5:5" ht="12.75" hidden="1" customHeight="1" x14ac:dyDescent="0.2">
      <c r="E466" s="219">
        <f>BASE!B324</f>
        <v>19370</v>
      </c>
    </row>
    <row r="467" spans="5:5" ht="12.75" hidden="1" customHeight="1" x14ac:dyDescent="0.2">
      <c r="E467" s="219">
        <f>BASE!B325</f>
        <v>19371</v>
      </c>
    </row>
    <row r="468" spans="5:5" ht="12.75" hidden="1" customHeight="1" x14ac:dyDescent="0.2">
      <c r="E468" s="219">
        <f>BASE!B326</f>
        <v>19372</v>
      </c>
    </row>
    <row r="469" spans="5:5" ht="12.75" hidden="1" customHeight="1" x14ac:dyDescent="0.2">
      <c r="E469" s="219">
        <f>BASE!B327</f>
        <v>19373</v>
      </c>
    </row>
    <row r="470" spans="5:5" ht="12.75" hidden="1" customHeight="1" x14ac:dyDescent="0.2">
      <c r="E470" s="219">
        <f>BASE!B328</f>
        <v>19374</v>
      </c>
    </row>
    <row r="471" spans="5:5" ht="12.75" hidden="1" customHeight="1" x14ac:dyDescent="0.2">
      <c r="E471" s="219">
        <f>BASE!B329</f>
        <v>19375</v>
      </c>
    </row>
    <row r="472" spans="5:5" ht="12.75" hidden="1" customHeight="1" x14ac:dyDescent="0.2">
      <c r="E472" s="219">
        <f>BASE!B330</f>
        <v>19376</v>
      </c>
    </row>
    <row r="473" spans="5:5" ht="12.75" hidden="1" customHeight="1" x14ac:dyDescent="0.2">
      <c r="E473" s="219">
        <f>BASE!B331</f>
        <v>19377</v>
      </c>
    </row>
    <row r="474" spans="5:5" ht="12.75" hidden="1" customHeight="1" x14ac:dyDescent="0.2">
      <c r="E474" s="219">
        <f>BASE!B332</f>
        <v>19378</v>
      </c>
    </row>
    <row r="475" spans="5:5" ht="12.75" hidden="1" customHeight="1" x14ac:dyDescent="0.2">
      <c r="E475" s="219">
        <f>BASE!B333</f>
        <v>19380</v>
      </c>
    </row>
    <row r="476" spans="5:5" ht="12.75" hidden="1" customHeight="1" x14ac:dyDescent="0.2">
      <c r="E476" s="219">
        <f>BASE!B334</f>
        <v>19381</v>
      </c>
    </row>
    <row r="477" spans="5:5" ht="12.75" hidden="1" customHeight="1" x14ac:dyDescent="0.2">
      <c r="E477" s="219">
        <f>BASE!B335</f>
        <v>19382</v>
      </c>
    </row>
    <row r="478" spans="5:5" ht="12.75" hidden="1" customHeight="1" x14ac:dyDescent="0.2">
      <c r="E478" s="219">
        <f>BASE!B336</f>
        <v>19383</v>
      </c>
    </row>
    <row r="479" spans="5:5" ht="12.75" hidden="1" customHeight="1" x14ac:dyDescent="0.2">
      <c r="E479" s="219">
        <f>BASE!B337</f>
        <v>19384</v>
      </c>
    </row>
    <row r="480" spans="5:5" ht="12.75" hidden="1" customHeight="1" x14ac:dyDescent="0.2">
      <c r="E480" s="219">
        <f>BASE!B338</f>
        <v>19385</v>
      </c>
    </row>
    <row r="481" spans="5:5" ht="12.75" hidden="1" customHeight="1" x14ac:dyDescent="0.2">
      <c r="E481" s="219">
        <f>BASE!B339</f>
        <v>19386</v>
      </c>
    </row>
    <row r="482" spans="5:5" ht="12.75" hidden="1" customHeight="1" x14ac:dyDescent="0.2">
      <c r="E482" s="219">
        <f>BASE!B340</f>
        <v>19388</v>
      </c>
    </row>
    <row r="483" spans="5:5" ht="12.75" hidden="1" customHeight="1" x14ac:dyDescent="0.2">
      <c r="E483" s="219">
        <f>BASE!B341</f>
        <v>19389</v>
      </c>
    </row>
    <row r="484" spans="5:5" ht="12.75" hidden="1" customHeight="1" x14ac:dyDescent="0.2">
      <c r="E484" s="219">
        <f>BASE!B342</f>
        <v>19390</v>
      </c>
    </row>
    <row r="485" spans="5:5" ht="12.75" hidden="1" customHeight="1" x14ac:dyDescent="0.2">
      <c r="E485" s="219">
        <f>BASE!B343</f>
        <v>19391</v>
      </c>
    </row>
    <row r="486" spans="5:5" ht="12.75" hidden="1" customHeight="1" x14ac:dyDescent="0.2">
      <c r="E486" s="219">
        <f>BASE!B344</f>
        <v>19392</v>
      </c>
    </row>
    <row r="487" spans="5:5" ht="12.75" hidden="1" customHeight="1" x14ac:dyDescent="0.2">
      <c r="E487" s="219">
        <f>BASE!B345</f>
        <v>19393</v>
      </c>
    </row>
    <row r="488" spans="5:5" ht="12.75" hidden="1" customHeight="1" x14ac:dyDescent="0.2">
      <c r="E488" s="219">
        <f>BASE!B346</f>
        <v>19394</v>
      </c>
    </row>
    <row r="489" spans="5:5" ht="12.75" hidden="1" customHeight="1" x14ac:dyDescent="0.2">
      <c r="E489" s="219">
        <f>BASE!B347</f>
        <v>19395</v>
      </c>
    </row>
    <row r="490" spans="5:5" ht="12.75" hidden="1" customHeight="1" x14ac:dyDescent="0.2">
      <c r="E490" s="219">
        <f>BASE!B348</f>
        <v>19396</v>
      </c>
    </row>
    <row r="491" spans="5:5" ht="12.75" hidden="1" customHeight="1" x14ac:dyDescent="0.2">
      <c r="E491" s="219">
        <f>BASE!B349</f>
        <v>19397</v>
      </c>
    </row>
    <row r="492" spans="5:5" ht="12.75" hidden="1" customHeight="1" x14ac:dyDescent="0.2">
      <c r="E492" s="219">
        <f>BASE!B350</f>
        <v>19398</v>
      </c>
    </row>
    <row r="493" spans="5:5" ht="12.75" hidden="1" customHeight="1" x14ac:dyDescent="0.2">
      <c r="E493" s="219">
        <f>BASE!B351</f>
        <v>19399</v>
      </c>
    </row>
    <row r="494" spans="5:5" ht="12.75" hidden="1" customHeight="1" x14ac:dyDescent="0.2">
      <c r="E494" s="219">
        <f>BASE!B352</f>
        <v>19400</v>
      </c>
    </row>
    <row r="495" spans="5:5" ht="12.75" hidden="1" customHeight="1" x14ac:dyDescent="0.2">
      <c r="E495" s="219">
        <f>BASE!B353</f>
        <v>19401</v>
      </c>
    </row>
    <row r="496" spans="5:5" ht="12.75" hidden="1" customHeight="1" x14ac:dyDescent="0.2">
      <c r="E496" s="219">
        <f>BASE!B354</f>
        <v>19402</v>
      </c>
    </row>
    <row r="497" spans="5:5" ht="12.75" hidden="1" customHeight="1" x14ac:dyDescent="0.2">
      <c r="E497" s="219">
        <f>BASE!B355</f>
        <v>19403</v>
      </c>
    </row>
    <row r="498" spans="5:5" ht="12.75" hidden="1" customHeight="1" x14ac:dyDescent="0.2">
      <c r="E498" s="219">
        <f>BASE!B356</f>
        <v>19404</v>
      </c>
    </row>
    <row r="499" spans="5:5" ht="12.75" hidden="1" customHeight="1" x14ac:dyDescent="0.2">
      <c r="E499" s="219">
        <f>BASE!B357</f>
        <v>19405</v>
      </c>
    </row>
    <row r="500" spans="5:5" ht="12.75" hidden="1" customHeight="1" x14ac:dyDescent="0.2">
      <c r="E500" s="219">
        <f>BASE!B358</f>
        <v>19406</v>
      </c>
    </row>
    <row r="501" spans="5:5" ht="12.75" hidden="1" customHeight="1" x14ac:dyDescent="0.2">
      <c r="E501" s="219">
        <f>BASE!B359</f>
        <v>19407</v>
      </c>
    </row>
    <row r="502" spans="5:5" ht="12.75" hidden="1" customHeight="1" x14ac:dyDescent="0.2">
      <c r="E502" s="219">
        <f>BASE!B360</f>
        <v>19408</v>
      </c>
    </row>
    <row r="503" spans="5:5" ht="12.75" hidden="1" customHeight="1" x14ac:dyDescent="0.2">
      <c r="E503" s="219">
        <f>BASE!B361</f>
        <v>19409</v>
      </c>
    </row>
    <row r="504" spans="5:5" ht="12.75" hidden="1" customHeight="1" x14ac:dyDescent="0.2">
      <c r="E504" s="219">
        <f>BASE!B362</f>
        <v>19410</v>
      </c>
    </row>
    <row r="505" spans="5:5" ht="12.75" hidden="1" customHeight="1" x14ac:dyDescent="0.2">
      <c r="E505" s="219">
        <f>BASE!B363</f>
        <v>19412</v>
      </c>
    </row>
    <row r="506" spans="5:5" ht="12.75" hidden="1" customHeight="1" x14ac:dyDescent="0.2">
      <c r="E506" s="219">
        <f>BASE!B364</f>
        <v>19413</v>
      </c>
    </row>
    <row r="507" spans="5:5" ht="12.75" hidden="1" customHeight="1" x14ac:dyDescent="0.2">
      <c r="E507" s="219">
        <f>BASE!B365</f>
        <v>19414</v>
      </c>
    </row>
    <row r="508" spans="5:5" ht="12.75" hidden="1" customHeight="1" x14ac:dyDescent="0.2">
      <c r="E508" s="219">
        <f>BASE!B366</f>
        <v>19415</v>
      </c>
    </row>
    <row r="509" spans="5:5" ht="12.75" hidden="1" customHeight="1" x14ac:dyDescent="0.2">
      <c r="E509" s="219">
        <f>BASE!B367</f>
        <v>19416</v>
      </c>
    </row>
    <row r="510" spans="5:5" ht="12.75" hidden="1" customHeight="1" x14ac:dyDescent="0.2">
      <c r="E510" s="219">
        <f>BASE!B368</f>
        <v>19417</v>
      </c>
    </row>
    <row r="511" spans="5:5" ht="12.75" hidden="1" customHeight="1" x14ac:dyDescent="0.2">
      <c r="E511" s="219">
        <f>BASE!B369</f>
        <v>19418</v>
      </c>
    </row>
    <row r="512" spans="5:5" ht="12.75" hidden="1" customHeight="1" x14ac:dyDescent="0.2">
      <c r="E512" s="219">
        <f>BASE!B370</f>
        <v>19419</v>
      </c>
    </row>
    <row r="513" spans="5:5" ht="12.75" hidden="1" customHeight="1" x14ac:dyDescent="0.2">
      <c r="E513" s="219">
        <f>BASE!B371</f>
        <v>19420</v>
      </c>
    </row>
    <row r="514" spans="5:5" ht="12.75" hidden="1" customHeight="1" x14ac:dyDescent="0.2">
      <c r="E514" s="219">
        <f>BASE!B372</f>
        <v>19421</v>
      </c>
    </row>
    <row r="515" spans="5:5" ht="12.75" hidden="1" customHeight="1" x14ac:dyDescent="0.2">
      <c r="E515" s="219">
        <f>BASE!B373</f>
        <v>19422</v>
      </c>
    </row>
    <row r="516" spans="5:5" ht="12.75" hidden="1" customHeight="1" x14ac:dyDescent="0.2">
      <c r="E516" s="219">
        <f>BASE!B374</f>
        <v>19423</v>
      </c>
    </row>
    <row r="517" spans="5:5" ht="12.75" hidden="1" customHeight="1" x14ac:dyDescent="0.2">
      <c r="E517" s="219">
        <f>BASE!B375</f>
        <v>19424</v>
      </c>
    </row>
    <row r="518" spans="5:5" ht="12.75" hidden="1" customHeight="1" x14ac:dyDescent="0.2">
      <c r="E518" s="219">
        <f>BASE!B376</f>
        <v>19425</v>
      </c>
    </row>
    <row r="519" spans="5:5" ht="12.75" hidden="1" customHeight="1" x14ac:dyDescent="0.2">
      <c r="E519" s="219">
        <f>BASE!B377</f>
        <v>19426</v>
      </c>
    </row>
    <row r="520" spans="5:5" ht="12.75" hidden="1" customHeight="1" x14ac:dyDescent="0.2">
      <c r="E520" s="219">
        <f>BASE!B378</f>
        <v>19427</v>
      </c>
    </row>
    <row r="521" spans="5:5" ht="12.75" hidden="1" customHeight="1" x14ac:dyDescent="0.2">
      <c r="E521" s="219">
        <f>BASE!B379</f>
        <v>19428</v>
      </c>
    </row>
    <row r="522" spans="5:5" ht="12.75" hidden="1" customHeight="1" x14ac:dyDescent="0.2">
      <c r="E522" s="219">
        <f>BASE!B380</f>
        <v>19429</v>
      </c>
    </row>
    <row r="523" spans="5:5" ht="12.75" hidden="1" customHeight="1" x14ac:dyDescent="0.2">
      <c r="E523" s="219">
        <f>BASE!B381</f>
        <v>19430</v>
      </c>
    </row>
    <row r="524" spans="5:5" ht="12.75" hidden="1" customHeight="1" x14ac:dyDescent="0.2">
      <c r="E524" s="219">
        <f>BASE!B382</f>
        <v>19431</v>
      </c>
    </row>
    <row r="525" spans="5:5" ht="12.75" hidden="1" customHeight="1" x14ac:dyDescent="0.2">
      <c r="E525" s="219">
        <f>BASE!B383</f>
        <v>19432</v>
      </c>
    </row>
    <row r="526" spans="5:5" ht="12.75" hidden="1" customHeight="1" x14ac:dyDescent="0.2">
      <c r="E526" s="219">
        <f>BASE!B384</f>
        <v>19433</v>
      </c>
    </row>
    <row r="527" spans="5:5" ht="12.75" hidden="1" customHeight="1" x14ac:dyDescent="0.2">
      <c r="E527" s="219">
        <f>BASE!B385</f>
        <v>19434</v>
      </c>
    </row>
    <row r="528" spans="5:5" ht="12.75" hidden="1" customHeight="1" x14ac:dyDescent="0.2">
      <c r="E528" s="219">
        <f>BASE!B386</f>
        <v>19436</v>
      </c>
    </row>
    <row r="529" spans="5:5" ht="12.75" hidden="1" customHeight="1" x14ac:dyDescent="0.2">
      <c r="E529" s="219">
        <f>BASE!B387</f>
        <v>19437</v>
      </c>
    </row>
    <row r="530" spans="5:5" ht="12.75" hidden="1" customHeight="1" x14ac:dyDescent="0.2">
      <c r="E530" s="219">
        <f>BASE!B388</f>
        <v>19439</v>
      </c>
    </row>
    <row r="531" spans="5:5" ht="12.75" hidden="1" customHeight="1" x14ac:dyDescent="0.2">
      <c r="E531" s="219">
        <f>BASE!B389</f>
        <v>19440</v>
      </c>
    </row>
    <row r="532" spans="5:5" ht="12.75" hidden="1" customHeight="1" x14ac:dyDescent="0.2">
      <c r="E532" s="219">
        <f>BASE!B390</f>
        <v>19441</v>
      </c>
    </row>
    <row r="533" spans="5:5" ht="12.75" hidden="1" customHeight="1" x14ac:dyDescent="0.2">
      <c r="E533" s="219">
        <f>BASE!B391</f>
        <v>19443</v>
      </c>
    </row>
    <row r="534" spans="5:5" ht="12.75" hidden="1" customHeight="1" x14ac:dyDescent="0.2">
      <c r="E534" s="219">
        <f>BASE!B392</f>
        <v>19444</v>
      </c>
    </row>
    <row r="535" spans="5:5" ht="12.75" hidden="1" customHeight="1" x14ac:dyDescent="0.2">
      <c r="E535" s="219">
        <f>BASE!B393</f>
        <v>19445</v>
      </c>
    </row>
    <row r="536" spans="5:5" ht="12.75" hidden="1" customHeight="1" x14ac:dyDescent="0.2">
      <c r="E536" s="219">
        <f>BASE!B394</f>
        <v>19446</v>
      </c>
    </row>
    <row r="537" spans="5:5" ht="12.75" hidden="1" customHeight="1" x14ac:dyDescent="0.2">
      <c r="E537" s="219">
        <f>BASE!B395</f>
        <v>19447</v>
      </c>
    </row>
    <row r="538" spans="5:5" ht="12.75" hidden="1" customHeight="1" x14ac:dyDescent="0.2">
      <c r="E538" s="219">
        <f>BASE!B396</f>
        <v>19448</v>
      </c>
    </row>
    <row r="539" spans="5:5" ht="12.75" hidden="1" customHeight="1" x14ac:dyDescent="0.2">
      <c r="E539" s="219">
        <f>BASE!B397</f>
        <v>19449</v>
      </c>
    </row>
    <row r="540" spans="5:5" ht="12.75" hidden="1" customHeight="1" x14ac:dyDescent="0.2">
      <c r="E540" s="219">
        <f>BASE!B398</f>
        <v>19450</v>
      </c>
    </row>
    <row r="541" spans="5:5" ht="12.75" hidden="1" customHeight="1" x14ac:dyDescent="0.2">
      <c r="E541" s="219">
        <f>BASE!B399</f>
        <v>19451</v>
      </c>
    </row>
    <row r="542" spans="5:5" ht="12.75" hidden="1" customHeight="1" x14ac:dyDescent="0.2">
      <c r="E542" s="219">
        <f>BASE!B400</f>
        <v>19452</v>
      </c>
    </row>
    <row r="543" spans="5:5" ht="12.75" hidden="1" customHeight="1" x14ac:dyDescent="0.2">
      <c r="E543" s="219">
        <f>BASE!B401</f>
        <v>19453</v>
      </c>
    </row>
    <row r="544" spans="5:5" ht="12.75" hidden="1" customHeight="1" x14ac:dyDescent="0.2">
      <c r="E544" s="219">
        <f>BASE!B402</f>
        <v>19454</v>
      </c>
    </row>
    <row r="545" spans="5:5" ht="12.75" hidden="1" customHeight="1" x14ac:dyDescent="0.2">
      <c r="E545" s="219">
        <f>BASE!B403</f>
        <v>19455</v>
      </c>
    </row>
    <row r="546" spans="5:5" ht="12.75" hidden="1" customHeight="1" x14ac:dyDescent="0.2">
      <c r="E546" s="219">
        <f>BASE!B404</f>
        <v>19456</v>
      </c>
    </row>
    <row r="547" spans="5:5" ht="12.75" hidden="1" customHeight="1" x14ac:dyDescent="0.2">
      <c r="E547" s="219">
        <f>BASE!B405</f>
        <v>19457</v>
      </c>
    </row>
    <row r="548" spans="5:5" ht="12.75" hidden="1" customHeight="1" x14ac:dyDescent="0.2">
      <c r="E548" s="219">
        <f>BASE!B406</f>
        <v>19458</v>
      </c>
    </row>
    <row r="549" spans="5:5" ht="12.75" hidden="1" customHeight="1" x14ac:dyDescent="0.2">
      <c r="E549" s="219">
        <f>BASE!B407</f>
        <v>19459</v>
      </c>
    </row>
    <row r="550" spans="5:5" ht="12.75" hidden="1" customHeight="1" x14ac:dyDescent="0.2">
      <c r="E550" s="219">
        <f>BASE!B408</f>
        <v>19460</v>
      </c>
    </row>
    <row r="551" spans="5:5" ht="12.75" hidden="1" customHeight="1" x14ac:dyDescent="0.2">
      <c r="E551" s="219">
        <f>BASE!B409</f>
        <v>19461</v>
      </c>
    </row>
    <row r="552" spans="5:5" ht="12.75" hidden="1" customHeight="1" x14ac:dyDescent="0.2">
      <c r="E552" s="219">
        <f>BASE!B410</f>
        <v>19462</v>
      </c>
    </row>
    <row r="553" spans="5:5" ht="12.75" hidden="1" customHeight="1" x14ac:dyDescent="0.2">
      <c r="E553" s="219">
        <f>BASE!B411</f>
        <v>19463</v>
      </c>
    </row>
    <row r="554" spans="5:5" ht="12.75" hidden="1" customHeight="1" x14ac:dyDescent="0.2">
      <c r="E554" s="219">
        <f>BASE!B412</f>
        <v>19465</v>
      </c>
    </row>
    <row r="555" spans="5:5" ht="12.75" hidden="1" customHeight="1" x14ac:dyDescent="0.2">
      <c r="E555" s="219">
        <f>BASE!B413</f>
        <v>19466</v>
      </c>
    </row>
    <row r="556" spans="5:5" ht="12.75" hidden="1" customHeight="1" x14ac:dyDescent="0.2">
      <c r="E556" s="219">
        <f>BASE!B414</f>
        <v>19467</v>
      </c>
    </row>
    <row r="557" spans="5:5" ht="12.75" hidden="1" customHeight="1" x14ac:dyDescent="0.2">
      <c r="E557" s="219">
        <f>BASE!B415</f>
        <v>19468</v>
      </c>
    </row>
    <row r="558" spans="5:5" ht="12.75" hidden="1" customHeight="1" x14ac:dyDescent="0.2">
      <c r="E558" s="219">
        <f>BASE!B416</f>
        <v>19469</v>
      </c>
    </row>
    <row r="559" spans="5:5" ht="12.75" hidden="1" customHeight="1" x14ac:dyDescent="0.2">
      <c r="E559" s="219">
        <f>BASE!B417</f>
        <v>19470</v>
      </c>
    </row>
    <row r="560" spans="5:5" ht="12.75" hidden="1" customHeight="1" x14ac:dyDescent="0.2">
      <c r="E560" s="219">
        <f>BASE!B418</f>
        <v>19471</v>
      </c>
    </row>
    <row r="561" spans="5:5" ht="12.75" hidden="1" customHeight="1" x14ac:dyDescent="0.2">
      <c r="E561" s="219">
        <f>BASE!B419</f>
        <v>19472</v>
      </c>
    </row>
    <row r="562" spans="5:5" ht="12.75" hidden="1" customHeight="1" x14ac:dyDescent="0.2">
      <c r="E562" s="219">
        <f>BASE!B420</f>
        <v>19473</v>
      </c>
    </row>
    <row r="563" spans="5:5" ht="12.75" hidden="1" customHeight="1" x14ac:dyDescent="0.2">
      <c r="E563" s="219">
        <f>BASE!B421</f>
        <v>19474</v>
      </c>
    </row>
    <row r="564" spans="5:5" ht="12.75" hidden="1" customHeight="1" x14ac:dyDescent="0.2">
      <c r="E564" s="219">
        <f>BASE!B422</f>
        <v>19475</v>
      </c>
    </row>
    <row r="565" spans="5:5" ht="12.75" hidden="1" customHeight="1" x14ac:dyDescent="0.2">
      <c r="E565" s="219">
        <f>BASE!B423</f>
        <v>19476</v>
      </c>
    </row>
    <row r="566" spans="5:5" ht="12.75" hidden="1" customHeight="1" x14ac:dyDescent="0.2">
      <c r="E566" s="219">
        <f>BASE!B424</f>
        <v>19477</v>
      </c>
    </row>
    <row r="567" spans="5:5" ht="12.75" hidden="1" customHeight="1" x14ac:dyDescent="0.2">
      <c r="E567" s="219">
        <f>BASE!B425</f>
        <v>19478</v>
      </c>
    </row>
    <row r="568" spans="5:5" ht="12.75" hidden="1" customHeight="1" x14ac:dyDescent="0.2">
      <c r="E568" s="219">
        <f>BASE!B426</f>
        <v>19479</v>
      </c>
    </row>
    <row r="569" spans="5:5" ht="12.75" hidden="1" customHeight="1" x14ac:dyDescent="0.2">
      <c r="E569" s="219">
        <f>BASE!B427</f>
        <v>19480</v>
      </c>
    </row>
    <row r="570" spans="5:5" ht="12.75" hidden="1" customHeight="1" x14ac:dyDescent="0.2">
      <c r="E570" s="219">
        <f>BASE!B428</f>
        <v>19481</v>
      </c>
    </row>
    <row r="571" spans="5:5" ht="12.75" hidden="1" customHeight="1" x14ac:dyDescent="0.2">
      <c r="E571" s="219">
        <f>BASE!B429</f>
        <v>19482</v>
      </c>
    </row>
    <row r="572" spans="5:5" ht="12.75" hidden="1" customHeight="1" x14ac:dyDescent="0.2">
      <c r="E572" s="219">
        <f>BASE!B430</f>
        <v>19483</v>
      </c>
    </row>
    <row r="573" spans="5:5" ht="12.75" hidden="1" customHeight="1" x14ac:dyDescent="0.2">
      <c r="E573" s="219">
        <f>BASE!B431</f>
        <v>19484</v>
      </c>
    </row>
    <row r="574" spans="5:5" ht="12.75" hidden="1" customHeight="1" x14ac:dyDescent="0.2">
      <c r="E574" s="219">
        <f>BASE!B432</f>
        <v>19485</v>
      </c>
    </row>
    <row r="575" spans="5:5" ht="12.75" hidden="1" customHeight="1" x14ac:dyDescent="0.2">
      <c r="E575" s="219">
        <f>BASE!B433</f>
        <v>19486</v>
      </c>
    </row>
    <row r="576" spans="5:5" ht="12.75" hidden="1" customHeight="1" x14ac:dyDescent="0.2">
      <c r="E576" s="219">
        <f>BASE!B434</f>
        <v>19487</v>
      </c>
    </row>
    <row r="577" spans="5:5" ht="12.75" hidden="1" customHeight="1" x14ac:dyDescent="0.2">
      <c r="E577" s="219">
        <f>BASE!B435</f>
        <v>19488</v>
      </c>
    </row>
    <row r="578" spans="5:5" ht="12.75" hidden="1" customHeight="1" x14ac:dyDescent="0.2">
      <c r="E578" s="219">
        <f>BASE!B436</f>
        <v>19489</v>
      </c>
    </row>
    <row r="579" spans="5:5" ht="12.75" hidden="1" customHeight="1" x14ac:dyDescent="0.2">
      <c r="E579" s="219">
        <f>BASE!B437</f>
        <v>19490</v>
      </c>
    </row>
    <row r="580" spans="5:5" ht="12.75" hidden="1" customHeight="1" x14ac:dyDescent="0.2">
      <c r="E580" s="219">
        <f>BASE!B438</f>
        <v>19492</v>
      </c>
    </row>
    <row r="581" spans="5:5" ht="12.75" hidden="1" customHeight="1" x14ac:dyDescent="0.2">
      <c r="E581" s="219">
        <f>BASE!B439</f>
        <v>19493</v>
      </c>
    </row>
    <row r="582" spans="5:5" ht="12.75" hidden="1" customHeight="1" x14ac:dyDescent="0.2">
      <c r="E582" s="219">
        <f>BASE!B440</f>
        <v>19494</v>
      </c>
    </row>
    <row r="583" spans="5:5" ht="12.75" hidden="1" customHeight="1" x14ac:dyDescent="0.2">
      <c r="E583" s="219">
        <f>BASE!B441</f>
        <v>19495</v>
      </c>
    </row>
    <row r="584" spans="5:5" ht="12.75" hidden="1" customHeight="1" x14ac:dyDescent="0.2">
      <c r="E584" s="219">
        <f>BASE!B442</f>
        <v>19496</v>
      </c>
    </row>
    <row r="585" spans="5:5" ht="12.75" hidden="1" customHeight="1" x14ac:dyDescent="0.2">
      <c r="E585" s="219">
        <f>BASE!B443</f>
        <v>19497</v>
      </c>
    </row>
    <row r="586" spans="5:5" ht="12.75" hidden="1" customHeight="1" x14ac:dyDescent="0.2">
      <c r="E586" s="219">
        <f>BASE!B444</f>
        <v>19498</v>
      </c>
    </row>
    <row r="587" spans="5:5" ht="12.75" hidden="1" customHeight="1" x14ac:dyDescent="0.2">
      <c r="E587" s="219">
        <f>BASE!B445</f>
        <v>19499</v>
      </c>
    </row>
    <row r="588" spans="5:5" ht="12.75" hidden="1" customHeight="1" x14ac:dyDescent="0.2">
      <c r="E588" s="219">
        <f>BASE!B446</f>
        <v>19500</v>
      </c>
    </row>
    <row r="589" spans="5:5" ht="12.75" hidden="1" customHeight="1" x14ac:dyDescent="0.2">
      <c r="E589" s="219">
        <f>BASE!B447</f>
        <v>19501</v>
      </c>
    </row>
    <row r="590" spans="5:5" ht="12.75" hidden="1" customHeight="1" x14ac:dyDescent="0.2">
      <c r="E590" s="219">
        <f>BASE!B448</f>
        <v>19502</v>
      </c>
    </row>
    <row r="591" spans="5:5" ht="12.75" hidden="1" customHeight="1" x14ac:dyDescent="0.2">
      <c r="E591" s="219">
        <f>BASE!B449</f>
        <v>19503</v>
      </c>
    </row>
    <row r="592" spans="5:5" ht="12.75" hidden="1" customHeight="1" x14ac:dyDescent="0.2">
      <c r="E592" s="219">
        <f>BASE!B450</f>
        <v>19504</v>
      </c>
    </row>
    <row r="593" spans="5:5" ht="12.75" hidden="1" customHeight="1" x14ac:dyDescent="0.2">
      <c r="E593" s="219">
        <f>BASE!B451</f>
        <v>19505</v>
      </c>
    </row>
    <row r="594" spans="5:5" ht="12.75" hidden="1" customHeight="1" x14ac:dyDescent="0.2">
      <c r="E594" s="219">
        <f>BASE!B452</f>
        <v>19506</v>
      </c>
    </row>
    <row r="595" spans="5:5" ht="12.75" hidden="1" customHeight="1" x14ac:dyDescent="0.2">
      <c r="E595" s="219">
        <f>BASE!B453</f>
        <v>19507</v>
      </c>
    </row>
    <row r="596" spans="5:5" ht="12.75" hidden="1" customHeight="1" x14ac:dyDescent="0.2">
      <c r="E596" s="219">
        <f>BASE!B454</f>
        <v>19508</v>
      </c>
    </row>
    <row r="597" spans="5:5" ht="12.75" hidden="1" customHeight="1" x14ac:dyDescent="0.2">
      <c r="E597" s="219">
        <f>BASE!B455</f>
        <v>19509</v>
      </c>
    </row>
    <row r="598" spans="5:5" ht="12.75" hidden="1" customHeight="1" x14ac:dyDescent="0.2">
      <c r="E598" s="219">
        <f>BASE!B456</f>
        <v>19510</v>
      </c>
    </row>
    <row r="599" spans="5:5" ht="12.75" hidden="1" customHeight="1" x14ac:dyDescent="0.2">
      <c r="E599" s="219">
        <f>BASE!B457</f>
        <v>19511</v>
      </c>
    </row>
    <row r="600" spans="5:5" ht="12.75" hidden="1" customHeight="1" x14ac:dyDescent="0.2">
      <c r="E600" s="219">
        <f>BASE!B458</f>
        <v>19512</v>
      </c>
    </row>
    <row r="601" spans="5:5" ht="12.75" hidden="1" customHeight="1" x14ac:dyDescent="0.2">
      <c r="E601" s="219">
        <f>BASE!B459</f>
        <v>19513</v>
      </c>
    </row>
    <row r="602" spans="5:5" ht="12.75" hidden="1" customHeight="1" x14ac:dyDescent="0.2">
      <c r="E602" s="219">
        <f>BASE!B460</f>
        <v>19514</v>
      </c>
    </row>
    <row r="603" spans="5:5" ht="12.75" hidden="1" customHeight="1" x14ac:dyDescent="0.2">
      <c r="E603" s="219">
        <f>BASE!B461</f>
        <v>19515</v>
      </c>
    </row>
    <row r="604" spans="5:5" ht="12.75" hidden="1" customHeight="1" x14ac:dyDescent="0.2">
      <c r="E604" s="219">
        <f>BASE!B462</f>
        <v>19516</v>
      </c>
    </row>
    <row r="605" spans="5:5" ht="12.75" hidden="1" customHeight="1" x14ac:dyDescent="0.2">
      <c r="E605" s="219">
        <f>BASE!B463</f>
        <v>19517</v>
      </c>
    </row>
    <row r="606" spans="5:5" ht="12.75" hidden="1" customHeight="1" x14ac:dyDescent="0.2">
      <c r="E606" s="219">
        <f>BASE!B464</f>
        <v>19518</v>
      </c>
    </row>
    <row r="607" spans="5:5" ht="12.75" hidden="1" customHeight="1" x14ac:dyDescent="0.2">
      <c r="E607" s="219">
        <f>BASE!B465</f>
        <v>19519</v>
      </c>
    </row>
    <row r="608" spans="5:5" ht="12.75" hidden="1" customHeight="1" x14ac:dyDescent="0.2">
      <c r="E608" s="219">
        <f>BASE!B466</f>
        <v>19520</v>
      </c>
    </row>
    <row r="609" spans="5:5" ht="12.75" hidden="1" customHeight="1" x14ac:dyDescent="0.2">
      <c r="E609" s="219">
        <f>BASE!B467</f>
        <v>19521</v>
      </c>
    </row>
    <row r="610" spans="5:5" ht="12.75" hidden="1" customHeight="1" x14ac:dyDescent="0.2">
      <c r="E610" s="219">
        <f>BASE!B468</f>
        <v>19522</v>
      </c>
    </row>
    <row r="611" spans="5:5" ht="12.75" hidden="1" customHeight="1" x14ac:dyDescent="0.2">
      <c r="E611" s="219">
        <f>BASE!B469</f>
        <v>19523</v>
      </c>
    </row>
    <row r="612" spans="5:5" ht="12.75" hidden="1" customHeight="1" x14ac:dyDescent="0.2">
      <c r="E612" s="219">
        <f>BASE!B470</f>
        <v>19524</v>
      </c>
    </row>
    <row r="613" spans="5:5" ht="12.75" hidden="1" customHeight="1" x14ac:dyDescent="0.2">
      <c r="E613" s="219">
        <f>BASE!B471</f>
        <v>19525</v>
      </c>
    </row>
    <row r="614" spans="5:5" ht="12.75" hidden="1" customHeight="1" x14ac:dyDescent="0.2">
      <c r="E614" s="219">
        <f>BASE!B472</f>
        <v>19526</v>
      </c>
    </row>
    <row r="615" spans="5:5" ht="12.75" hidden="1" customHeight="1" x14ac:dyDescent="0.2">
      <c r="E615" s="219">
        <f>BASE!B473</f>
        <v>19527</v>
      </c>
    </row>
    <row r="616" spans="5:5" ht="12.75" hidden="1" customHeight="1" x14ac:dyDescent="0.2">
      <c r="E616" s="219">
        <f>BASE!B474</f>
        <v>19528</v>
      </c>
    </row>
    <row r="617" spans="5:5" ht="12.75" hidden="1" customHeight="1" x14ac:dyDescent="0.2">
      <c r="E617" s="219">
        <f>BASE!B475</f>
        <v>19529</v>
      </c>
    </row>
    <row r="618" spans="5:5" ht="12.75" hidden="1" customHeight="1" x14ac:dyDescent="0.2">
      <c r="E618" s="219">
        <f>BASE!B476</f>
        <v>19530</v>
      </c>
    </row>
    <row r="619" spans="5:5" ht="12.75" hidden="1" customHeight="1" x14ac:dyDescent="0.2">
      <c r="E619" s="219">
        <f>BASE!B477</f>
        <v>19531</v>
      </c>
    </row>
    <row r="620" spans="5:5" ht="12.75" hidden="1" customHeight="1" x14ac:dyDescent="0.2">
      <c r="E620" s="219">
        <f>BASE!B478</f>
        <v>19532</v>
      </c>
    </row>
    <row r="621" spans="5:5" ht="12.75" hidden="1" customHeight="1" x14ac:dyDescent="0.2">
      <c r="E621" s="219">
        <f>BASE!B479</f>
        <v>19533</v>
      </c>
    </row>
    <row r="622" spans="5:5" ht="12.75" hidden="1" customHeight="1" x14ac:dyDescent="0.2">
      <c r="E622" s="219">
        <f>BASE!B480</f>
        <v>19534</v>
      </c>
    </row>
    <row r="623" spans="5:5" ht="12.75" hidden="1" customHeight="1" x14ac:dyDescent="0.2">
      <c r="E623" s="219">
        <f>BASE!B481</f>
        <v>19535</v>
      </c>
    </row>
    <row r="624" spans="5:5" ht="12.75" hidden="1" customHeight="1" x14ac:dyDescent="0.2">
      <c r="E624" s="219">
        <f>BASE!B482</f>
        <v>19536</v>
      </c>
    </row>
    <row r="625" spans="5:5" ht="12.75" hidden="1" customHeight="1" x14ac:dyDescent="0.2">
      <c r="E625" s="219">
        <f>BASE!B483</f>
        <v>19542</v>
      </c>
    </row>
    <row r="626" spans="5:5" ht="12.75" hidden="1" customHeight="1" x14ac:dyDescent="0.2">
      <c r="E626" s="219">
        <f>BASE!B484</f>
        <v>19551</v>
      </c>
    </row>
    <row r="627" spans="5:5" ht="12.75" hidden="1" customHeight="1" x14ac:dyDescent="0.2">
      <c r="E627" s="219">
        <f>BASE!B485</f>
        <v>19569</v>
      </c>
    </row>
    <row r="628" spans="5:5" ht="12.75" hidden="1" customHeight="1" x14ac:dyDescent="0.2">
      <c r="E628" s="219">
        <f>BASE!B486</f>
        <v>19577</v>
      </c>
    </row>
    <row r="629" spans="5:5" ht="12.75" hidden="1" customHeight="1" x14ac:dyDescent="0.2">
      <c r="E629" s="219">
        <f>BASE!B487</f>
        <v>19585</v>
      </c>
    </row>
    <row r="630" spans="5:5" ht="12.75" hidden="1" customHeight="1" x14ac:dyDescent="0.2">
      <c r="E630" s="219">
        <f>BASE!B488</f>
        <v>19593</v>
      </c>
    </row>
    <row r="631" spans="5:5" ht="12.75" hidden="1" customHeight="1" x14ac:dyDescent="0.2">
      <c r="E631" s="219">
        <f>BASE!B489</f>
        <v>19607</v>
      </c>
    </row>
    <row r="632" spans="5:5" ht="12.75" hidden="1" customHeight="1" x14ac:dyDescent="0.2">
      <c r="E632" s="219">
        <f>BASE!B490</f>
        <v>19615</v>
      </c>
    </row>
    <row r="633" spans="5:5" ht="12.75" hidden="1" customHeight="1" x14ac:dyDescent="0.2">
      <c r="E633" s="219">
        <f>BASE!B491</f>
        <v>19623</v>
      </c>
    </row>
    <row r="634" spans="5:5" ht="12.75" hidden="1" customHeight="1" x14ac:dyDescent="0.2">
      <c r="E634" s="219">
        <f>BASE!B492</f>
        <v>19631</v>
      </c>
    </row>
    <row r="635" spans="5:5" ht="12.75" hidden="1" customHeight="1" x14ac:dyDescent="0.2">
      <c r="E635" s="219">
        <f>BASE!B493</f>
        <v>19640</v>
      </c>
    </row>
    <row r="636" spans="5:5" ht="12.75" hidden="1" customHeight="1" x14ac:dyDescent="0.2">
      <c r="E636" s="219">
        <f>BASE!B494</f>
        <v>19641</v>
      </c>
    </row>
    <row r="637" spans="5:5" ht="12.75" hidden="1" customHeight="1" x14ac:dyDescent="0.2">
      <c r="E637" s="219">
        <f>BASE!B495</f>
        <v>19642</v>
      </c>
    </row>
    <row r="638" spans="5:5" ht="12.75" hidden="1" customHeight="1" x14ac:dyDescent="0.2">
      <c r="E638" s="219">
        <f>BASE!B496</f>
        <v>19643</v>
      </c>
    </row>
    <row r="639" spans="5:5" ht="12.75" hidden="1" customHeight="1" x14ac:dyDescent="0.2">
      <c r="E639" s="219">
        <f>BASE!B497</f>
        <v>19644</v>
      </c>
    </row>
    <row r="640" spans="5:5" ht="12.75" hidden="1" customHeight="1" x14ac:dyDescent="0.2">
      <c r="E640" s="219">
        <f>BASE!B498</f>
        <v>19645</v>
      </c>
    </row>
    <row r="641" spans="5:5" ht="12.75" hidden="1" customHeight="1" x14ac:dyDescent="0.2">
      <c r="E641" s="219">
        <f>BASE!B499</f>
        <v>19646</v>
      </c>
    </row>
    <row r="642" spans="5:5" ht="12.75" hidden="1" customHeight="1" x14ac:dyDescent="0.2">
      <c r="E642" s="219">
        <f>BASE!B500</f>
        <v>19647</v>
      </c>
    </row>
    <row r="643" spans="5:5" ht="12.75" hidden="1" customHeight="1" x14ac:dyDescent="0.2">
      <c r="E643" s="219">
        <f>BASE!B501</f>
        <v>19648</v>
      </c>
    </row>
    <row r="644" spans="5:5" ht="12.75" hidden="1" customHeight="1" x14ac:dyDescent="0.2">
      <c r="E644" s="219">
        <f>BASE!B502</f>
        <v>19649</v>
      </c>
    </row>
    <row r="645" spans="5:5" ht="12.75" hidden="1" customHeight="1" x14ac:dyDescent="0.2">
      <c r="E645" s="219">
        <f>BASE!B503</f>
        <v>19650</v>
      </c>
    </row>
    <row r="646" spans="5:5" ht="12.75" hidden="1" customHeight="1" x14ac:dyDescent="0.2">
      <c r="E646" s="219">
        <f>BASE!B504</f>
        <v>19651</v>
      </c>
    </row>
    <row r="647" spans="5:5" ht="12.75" hidden="1" customHeight="1" x14ac:dyDescent="0.2">
      <c r="E647" s="219">
        <f>BASE!B505</f>
        <v>19652</v>
      </c>
    </row>
    <row r="648" spans="5:5" ht="12.75" hidden="1" customHeight="1" x14ac:dyDescent="0.2">
      <c r="E648" s="219">
        <f>BASE!B506</f>
        <v>19658</v>
      </c>
    </row>
    <row r="649" spans="5:5" ht="12.75" hidden="1" customHeight="1" x14ac:dyDescent="0.2">
      <c r="E649" s="219">
        <f>BASE!B507</f>
        <v>19666</v>
      </c>
    </row>
    <row r="650" spans="5:5" ht="12.75" hidden="1" customHeight="1" x14ac:dyDescent="0.2">
      <c r="E650" s="219">
        <f>BASE!B508</f>
        <v>19674</v>
      </c>
    </row>
    <row r="651" spans="5:5" ht="12.75" hidden="1" customHeight="1" x14ac:dyDescent="0.2">
      <c r="E651" s="219">
        <f>BASE!B509</f>
        <v>19682</v>
      </c>
    </row>
    <row r="652" spans="5:5" ht="12.75" hidden="1" customHeight="1" x14ac:dyDescent="0.2">
      <c r="E652" s="219">
        <f>BASE!B510</f>
        <v>19691</v>
      </c>
    </row>
    <row r="653" spans="5:5" ht="12.75" hidden="1" customHeight="1" x14ac:dyDescent="0.2">
      <c r="E653" s="219">
        <f>BASE!B511</f>
        <v>19704</v>
      </c>
    </row>
    <row r="654" spans="5:5" ht="12.75" hidden="1" customHeight="1" x14ac:dyDescent="0.2">
      <c r="E654" s="219">
        <f>BASE!B512</f>
        <v>19712</v>
      </c>
    </row>
    <row r="655" spans="5:5" ht="12.75" hidden="1" customHeight="1" x14ac:dyDescent="0.2">
      <c r="E655" s="219">
        <f>BASE!B513</f>
        <v>87319</v>
      </c>
    </row>
    <row r="656" spans="5:5" ht="12.75" hidden="1" customHeight="1" x14ac:dyDescent="0.2">
      <c r="E656" s="219">
        <f>BASE!B514</f>
        <v>90018</v>
      </c>
    </row>
    <row r="657" spans="5:5" ht="12.75" hidden="1" customHeight="1" x14ac:dyDescent="0.2">
      <c r="E657" s="219">
        <f>BASE!B515</f>
        <v>90026</v>
      </c>
    </row>
    <row r="658" spans="5:5" ht="12.75" hidden="1" customHeight="1" x14ac:dyDescent="0.2">
      <c r="E658" s="219">
        <f>BASE!B516</f>
        <v>90034</v>
      </c>
    </row>
    <row r="659" spans="5:5" ht="12.75" hidden="1" customHeight="1" x14ac:dyDescent="0.2">
      <c r="E659" s="219">
        <f>BASE!B517</f>
        <v>90042</v>
      </c>
    </row>
    <row r="660" spans="5:5" ht="12.75" hidden="1" customHeight="1" x14ac:dyDescent="0.2">
      <c r="E660" s="219">
        <f>BASE!B518</f>
        <v>90051</v>
      </c>
    </row>
    <row r="661" spans="5:5" ht="12.75" hidden="1" customHeight="1" x14ac:dyDescent="0.2">
      <c r="E661" s="219">
        <f>BASE!B519</f>
        <v>90069</v>
      </c>
    </row>
    <row r="662" spans="5:5" ht="12.75" hidden="1" customHeight="1" x14ac:dyDescent="0.2">
      <c r="E662" s="219">
        <f>BASE!B520</f>
        <v>90077</v>
      </c>
    </row>
    <row r="663" spans="5:5" ht="12.75" hidden="1" customHeight="1" x14ac:dyDescent="0.2">
      <c r="E663" s="219">
        <f>BASE!B521</f>
        <v>90085</v>
      </c>
    </row>
    <row r="664" spans="5:5" ht="12.75" hidden="1" customHeight="1" x14ac:dyDescent="0.2">
      <c r="E664" s="219">
        <f>BASE!B522</f>
        <v>90093</v>
      </c>
    </row>
    <row r="665" spans="5:5" ht="12.75" hidden="1" customHeight="1" x14ac:dyDescent="0.2">
      <c r="E665" s="219">
        <f>BASE!B523</f>
        <v>90107</v>
      </c>
    </row>
    <row r="666" spans="5:5" ht="12.75" hidden="1" customHeight="1" x14ac:dyDescent="0.2">
      <c r="E666" s="219">
        <f>BASE!B524</f>
        <v>90115</v>
      </c>
    </row>
    <row r="667" spans="5:5" ht="12.75" hidden="1" customHeight="1" x14ac:dyDescent="0.2">
      <c r="E667" s="219">
        <f>BASE!B525</f>
        <v>90123</v>
      </c>
    </row>
    <row r="668" spans="5:5" ht="12.75" hidden="1" customHeight="1" x14ac:dyDescent="0.2">
      <c r="E668" s="219">
        <f>BASE!B526</f>
        <v>90131</v>
      </c>
    </row>
    <row r="669" spans="5:5" ht="12.75" hidden="1" customHeight="1" x14ac:dyDescent="0.2">
      <c r="E669" s="219">
        <f>BASE!B527</f>
        <v>90140</v>
      </c>
    </row>
    <row r="670" spans="5:5" ht="12.75" hidden="1" customHeight="1" x14ac:dyDescent="0.2">
      <c r="E670" s="219">
        <f>BASE!B528</f>
        <v>90158</v>
      </c>
    </row>
    <row r="671" spans="5:5" ht="12.75" hidden="1" customHeight="1" x14ac:dyDescent="0.2">
      <c r="E671" s="219">
        <f>BASE!B529</f>
        <v>90166</v>
      </c>
    </row>
    <row r="672" spans="5:5" ht="12.75" hidden="1" customHeight="1" x14ac:dyDescent="0.2">
      <c r="E672" s="219">
        <f>BASE!B530</f>
        <v>90174</v>
      </c>
    </row>
    <row r="673" spans="5:5" ht="12.75" hidden="1" customHeight="1" x14ac:dyDescent="0.2">
      <c r="E673" s="219">
        <f>BASE!B531</f>
        <v>90182</v>
      </c>
    </row>
    <row r="674" spans="5:5" ht="12.75" hidden="1" customHeight="1" x14ac:dyDescent="0.2">
      <c r="E674" s="219">
        <f>BASE!B532</f>
        <v>90191</v>
      </c>
    </row>
    <row r="675" spans="5:5" ht="12.75" hidden="1" customHeight="1" x14ac:dyDescent="0.2">
      <c r="E675" s="219">
        <f>BASE!B533</f>
        <v>90204</v>
      </c>
    </row>
    <row r="676" spans="5:5" ht="12.75" hidden="1" customHeight="1" x14ac:dyDescent="0.2">
      <c r="E676" s="219">
        <f>BASE!B534</f>
        <v>90212</v>
      </c>
    </row>
    <row r="677" spans="5:5" ht="12.75" hidden="1" customHeight="1" x14ac:dyDescent="0.2">
      <c r="E677" s="219">
        <f>BASE!B535</f>
        <v>90221</v>
      </c>
    </row>
    <row r="678" spans="5:5" ht="12.75" hidden="1" customHeight="1" x14ac:dyDescent="0.2">
      <c r="E678" s="219">
        <f>BASE!B536</f>
        <v>90239</v>
      </c>
    </row>
    <row r="679" spans="5:5" ht="12.75" hidden="1" customHeight="1" x14ac:dyDescent="0.2">
      <c r="E679" s="219">
        <f>BASE!B537</f>
        <v>90247</v>
      </c>
    </row>
    <row r="680" spans="5:5" ht="12.75" hidden="1" customHeight="1" x14ac:dyDescent="0.2">
      <c r="E680" s="219">
        <f>BASE!B538</f>
        <v>90255</v>
      </c>
    </row>
    <row r="681" spans="5:5" ht="12.75" hidden="1" customHeight="1" x14ac:dyDescent="0.2">
      <c r="E681" s="219">
        <f>BASE!B539</f>
        <v>90263</v>
      </c>
    </row>
    <row r="682" spans="5:5" ht="12.75" hidden="1" customHeight="1" x14ac:dyDescent="0.2">
      <c r="E682" s="219">
        <f>BASE!B540</f>
        <v>90271</v>
      </c>
    </row>
    <row r="683" spans="5:5" ht="12.75" hidden="1" customHeight="1" x14ac:dyDescent="0.2">
      <c r="E683" s="219">
        <f>BASE!B541</f>
        <v>90280</v>
      </c>
    </row>
    <row r="684" spans="5:5" ht="12.75" hidden="1" customHeight="1" x14ac:dyDescent="0.2">
      <c r="E684" s="219">
        <f>BASE!B542</f>
        <v>90298</v>
      </c>
    </row>
    <row r="685" spans="5:5" ht="12.75" hidden="1" customHeight="1" x14ac:dyDescent="0.2">
      <c r="E685" s="219">
        <f>BASE!B543</f>
        <v>90301</v>
      </c>
    </row>
    <row r="686" spans="5:5" ht="12.75" hidden="1" customHeight="1" x14ac:dyDescent="0.2">
      <c r="E686" s="219">
        <f>BASE!B544</f>
        <v>90310</v>
      </c>
    </row>
    <row r="687" spans="5:5" ht="12.75" hidden="1" customHeight="1" x14ac:dyDescent="0.2">
      <c r="E687" s="219">
        <f>BASE!B545</f>
        <v>90328</v>
      </c>
    </row>
    <row r="688" spans="5:5" ht="12.75" hidden="1" customHeight="1" x14ac:dyDescent="0.2">
      <c r="E688" s="219">
        <f>BASE!B546</f>
        <v>90336</v>
      </c>
    </row>
    <row r="689" spans="5:5" ht="12.75" hidden="1" customHeight="1" x14ac:dyDescent="0.2">
      <c r="E689" s="219">
        <f>BASE!B547</f>
        <v>90344</v>
      </c>
    </row>
    <row r="690" spans="5:5" ht="12.75" hidden="1" customHeight="1" x14ac:dyDescent="0.2">
      <c r="E690" s="219">
        <f>BASE!B548</f>
        <v>90352</v>
      </c>
    </row>
    <row r="691" spans="5:5" ht="12.75" hidden="1" customHeight="1" x14ac:dyDescent="0.2">
      <c r="E691" s="219">
        <f>BASE!B549</f>
        <v>90361</v>
      </c>
    </row>
    <row r="692" spans="5:5" ht="12.75" hidden="1" customHeight="1" x14ac:dyDescent="0.2">
      <c r="E692" s="219">
        <f>BASE!B550</f>
        <v>90379</v>
      </c>
    </row>
    <row r="693" spans="5:5" ht="12.75" hidden="1" customHeight="1" x14ac:dyDescent="0.2">
      <c r="E693" s="219">
        <f>BASE!B551</f>
        <v>90387</v>
      </c>
    </row>
    <row r="694" spans="5:5" ht="12.75" hidden="1" customHeight="1" x14ac:dyDescent="0.2">
      <c r="E694" s="219">
        <f>BASE!B552</f>
        <v>90395</v>
      </c>
    </row>
    <row r="695" spans="5:5" ht="12.75" hidden="1" customHeight="1" x14ac:dyDescent="0.2">
      <c r="E695" s="219">
        <f>BASE!B553</f>
        <v>90409</v>
      </c>
    </row>
    <row r="696" spans="5:5" ht="12.75" hidden="1" customHeight="1" x14ac:dyDescent="0.2">
      <c r="E696" s="219">
        <f>BASE!B554</f>
        <v>90417</v>
      </c>
    </row>
    <row r="697" spans="5:5" ht="12.75" hidden="1" customHeight="1" x14ac:dyDescent="0.2">
      <c r="E697" s="219">
        <f>BASE!B555</f>
        <v>90425</v>
      </c>
    </row>
    <row r="698" spans="5:5" ht="12.75" hidden="1" customHeight="1" x14ac:dyDescent="0.2">
      <c r="E698" s="219">
        <f>BASE!B556</f>
        <v>90433</v>
      </c>
    </row>
    <row r="699" spans="5:5" ht="12.75" hidden="1" customHeight="1" x14ac:dyDescent="0.2">
      <c r="E699" s="219">
        <f>BASE!B557</f>
        <v>90441</v>
      </c>
    </row>
    <row r="700" spans="5:5" ht="12.75" hidden="1" customHeight="1" x14ac:dyDescent="0.2">
      <c r="E700" s="219">
        <f>BASE!B558</f>
        <v>90450</v>
      </c>
    </row>
    <row r="701" spans="5:5" ht="12.75" hidden="1" customHeight="1" x14ac:dyDescent="0.2">
      <c r="E701" s="219">
        <f>BASE!B559</f>
        <v>90468</v>
      </c>
    </row>
    <row r="702" spans="5:5" ht="12.75" hidden="1" customHeight="1" x14ac:dyDescent="0.2">
      <c r="E702" s="219">
        <f>BASE!B560</f>
        <v>90476</v>
      </c>
    </row>
    <row r="703" spans="5:5" ht="12.75" hidden="1" customHeight="1" x14ac:dyDescent="0.2">
      <c r="E703" s="219">
        <f>BASE!B561</f>
        <v>90484</v>
      </c>
    </row>
    <row r="704" spans="5:5" ht="12.75" hidden="1" customHeight="1" x14ac:dyDescent="0.2">
      <c r="E704" s="219">
        <f>BASE!B562</f>
        <v>90492</v>
      </c>
    </row>
    <row r="705" spans="5:5" ht="12.75" hidden="1" customHeight="1" x14ac:dyDescent="0.2">
      <c r="E705" s="219">
        <f>BASE!B563</f>
        <v>90506</v>
      </c>
    </row>
    <row r="706" spans="5:5" ht="12.75" hidden="1" customHeight="1" x14ac:dyDescent="0.2">
      <c r="E706" s="219">
        <f>BASE!B564</f>
        <v>90514</v>
      </c>
    </row>
    <row r="707" spans="5:5" ht="12.75" hidden="1" customHeight="1" x14ac:dyDescent="0.2">
      <c r="E707" s="219">
        <f>BASE!B565</f>
        <v>90522</v>
      </c>
    </row>
    <row r="708" spans="5:5" ht="12.75" hidden="1" customHeight="1" x14ac:dyDescent="0.2">
      <c r="E708" s="219">
        <f>BASE!B566</f>
        <v>90531</v>
      </c>
    </row>
    <row r="709" spans="5:5" ht="12.75" hidden="1" customHeight="1" x14ac:dyDescent="0.2">
      <c r="E709" s="219">
        <f>BASE!B567</f>
        <v>90549</v>
      </c>
    </row>
    <row r="710" spans="5:5" ht="12.75" hidden="1" customHeight="1" x14ac:dyDescent="0.2">
      <c r="E710" s="219">
        <f>BASE!B568</f>
        <v>90557</v>
      </c>
    </row>
    <row r="711" spans="5:5" ht="12.75" hidden="1" customHeight="1" x14ac:dyDescent="0.2">
      <c r="E711" s="219">
        <f>BASE!B569</f>
        <v>90565</v>
      </c>
    </row>
    <row r="712" spans="5:5" ht="12.75" hidden="1" customHeight="1" x14ac:dyDescent="0.2">
      <c r="E712" s="219">
        <f>BASE!B570</f>
        <v>90573</v>
      </c>
    </row>
    <row r="713" spans="5:5" ht="12.75" hidden="1" customHeight="1" x14ac:dyDescent="0.2">
      <c r="E713" s="219">
        <f>BASE!B571</f>
        <v>90581</v>
      </c>
    </row>
    <row r="714" spans="5:5" ht="12.75" hidden="1" customHeight="1" x14ac:dyDescent="0.2">
      <c r="E714" s="219">
        <f>BASE!B572</f>
        <v>90590</v>
      </c>
    </row>
    <row r="715" spans="5:5" ht="12.75" hidden="1" customHeight="1" x14ac:dyDescent="0.2">
      <c r="E715" s="219">
        <f>BASE!B573</f>
        <v>90603</v>
      </c>
    </row>
    <row r="716" spans="5:5" ht="12.75" hidden="1" customHeight="1" x14ac:dyDescent="0.2">
      <c r="E716" s="219">
        <f>BASE!B574</f>
        <v>90611</v>
      </c>
    </row>
    <row r="717" spans="5:5" ht="12.75" hidden="1" customHeight="1" x14ac:dyDescent="0.2">
      <c r="E717" s="219">
        <f>BASE!B575</f>
        <v>90620</v>
      </c>
    </row>
    <row r="718" spans="5:5" ht="12.75" hidden="1" customHeight="1" x14ac:dyDescent="0.2">
      <c r="E718" s="219">
        <f>BASE!B576</f>
        <v>90638</v>
      </c>
    </row>
    <row r="719" spans="5:5" ht="12.75" hidden="1" customHeight="1" x14ac:dyDescent="0.2">
      <c r="E719" s="219">
        <f>BASE!B577</f>
        <v>90646</v>
      </c>
    </row>
    <row r="720" spans="5:5" ht="12.75" hidden="1" customHeight="1" x14ac:dyDescent="0.2">
      <c r="E720" s="219">
        <f>BASE!B578</f>
        <v>90654</v>
      </c>
    </row>
    <row r="721" spans="5:5" ht="12.75" hidden="1" customHeight="1" x14ac:dyDescent="0.2">
      <c r="E721" s="219">
        <f>BASE!B579</f>
        <v>90662</v>
      </c>
    </row>
    <row r="722" spans="5:5" ht="12.75" hidden="1" customHeight="1" x14ac:dyDescent="0.2">
      <c r="E722" s="219">
        <f>BASE!B580</f>
        <v>90671</v>
      </c>
    </row>
    <row r="723" spans="5:5" ht="12.75" hidden="1" customHeight="1" x14ac:dyDescent="0.2">
      <c r="E723" s="219">
        <f>BASE!B581</f>
        <v>90689</v>
      </c>
    </row>
    <row r="724" spans="5:5" ht="12.75" hidden="1" customHeight="1" x14ac:dyDescent="0.2">
      <c r="E724" s="219">
        <f>BASE!B582</f>
        <v>90697</v>
      </c>
    </row>
    <row r="725" spans="5:5" ht="12.75" hidden="1" customHeight="1" x14ac:dyDescent="0.2">
      <c r="E725" s="219">
        <f>BASE!B583</f>
        <v>90701</v>
      </c>
    </row>
    <row r="726" spans="5:5" ht="12.75" hidden="1" customHeight="1" x14ac:dyDescent="0.2">
      <c r="E726" s="219">
        <f>BASE!B584</f>
        <v>90719</v>
      </c>
    </row>
    <row r="727" spans="5:5" ht="12.75" hidden="1" customHeight="1" x14ac:dyDescent="0.2">
      <c r="E727" s="219">
        <f>BASE!B585</f>
        <v>90727</v>
      </c>
    </row>
    <row r="728" spans="5:5" ht="12.75" hidden="1" customHeight="1" x14ac:dyDescent="0.2">
      <c r="E728" s="219">
        <f>BASE!B586</f>
        <v>90735</v>
      </c>
    </row>
    <row r="729" spans="5:5" ht="12.75" hidden="1" customHeight="1" x14ac:dyDescent="0.2">
      <c r="E729" s="219">
        <f>BASE!B587</f>
        <v>90743</v>
      </c>
    </row>
    <row r="730" spans="5:5" ht="12.75" hidden="1" customHeight="1" x14ac:dyDescent="0.2">
      <c r="E730" s="219">
        <f>BASE!B588</f>
        <v>90751</v>
      </c>
    </row>
    <row r="731" spans="5:5" ht="12.75" hidden="1" customHeight="1" x14ac:dyDescent="0.2">
      <c r="E731" s="219">
        <f>BASE!B589</f>
        <v>90760</v>
      </c>
    </row>
    <row r="732" spans="5:5" ht="12.75" hidden="1" customHeight="1" x14ac:dyDescent="0.2">
      <c r="E732" s="219">
        <f>BASE!B590</f>
        <v>90778</v>
      </c>
    </row>
    <row r="733" spans="5:5" ht="12.75" hidden="1" customHeight="1" x14ac:dyDescent="0.2">
      <c r="E733" s="219">
        <f>BASE!B591</f>
        <v>90786</v>
      </c>
    </row>
    <row r="734" spans="5:5" ht="12.75" hidden="1" customHeight="1" x14ac:dyDescent="0.2">
      <c r="E734" s="219">
        <f>BASE!B592</f>
        <v>90794</v>
      </c>
    </row>
    <row r="735" spans="5:5" ht="12.75" hidden="1" customHeight="1" x14ac:dyDescent="0.2">
      <c r="E735" s="219">
        <f>BASE!B593</f>
        <v>90808</v>
      </c>
    </row>
    <row r="736" spans="5:5" ht="12.75" hidden="1" customHeight="1" x14ac:dyDescent="0.2">
      <c r="E736" s="219">
        <f>BASE!B594</f>
        <v>90816</v>
      </c>
    </row>
    <row r="737" spans="5:5" ht="12.75" hidden="1" customHeight="1" x14ac:dyDescent="0.2">
      <c r="E737" s="219">
        <f>BASE!B595</f>
        <v>90824</v>
      </c>
    </row>
    <row r="738" spans="5:5" ht="12.75" hidden="1" customHeight="1" x14ac:dyDescent="0.2">
      <c r="E738" s="219">
        <f>BASE!B596</f>
        <v>90832</v>
      </c>
    </row>
    <row r="739" spans="5:5" ht="12.75" hidden="1" customHeight="1" x14ac:dyDescent="0.2">
      <c r="E739" s="219">
        <f>BASE!B597</f>
        <v>90841</v>
      </c>
    </row>
    <row r="740" spans="5:5" ht="12.75" hidden="1" customHeight="1" x14ac:dyDescent="0.2">
      <c r="E740" s="219">
        <f>BASE!B598</f>
        <v>90859</v>
      </c>
    </row>
    <row r="741" spans="5:5" ht="12.75" hidden="1" customHeight="1" x14ac:dyDescent="0.2">
      <c r="E741" s="219">
        <f>BASE!B599</f>
        <v>90867</v>
      </c>
    </row>
    <row r="742" spans="5:5" ht="12.75" hidden="1" customHeight="1" x14ac:dyDescent="0.2">
      <c r="E742" s="219">
        <f>BASE!B600</f>
        <v>90875</v>
      </c>
    </row>
    <row r="743" spans="5:5" ht="12.75" hidden="1" customHeight="1" x14ac:dyDescent="0.2">
      <c r="E743" s="219">
        <f>BASE!B601</f>
        <v>90883</v>
      </c>
    </row>
    <row r="744" spans="5:5" ht="12.75" hidden="1" customHeight="1" x14ac:dyDescent="0.2">
      <c r="E744" s="219">
        <f>BASE!B602</f>
        <v>90891</v>
      </c>
    </row>
    <row r="745" spans="5:5" ht="12.75" hidden="1" customHeight="1" x14ac:dyDescent="0.2">
      <c r="E745" s="219">
        <f>BASE!B603</f>
        <v>90905</v>
      </c>
    </row>
    <row r="746" spans="5:5" ht="12.75" hidden="1" customHeight="1" x14ac:dyDescent="0.2">
      <c r="E746" s="219">
        <f>BASE!B604</f>
        <v>90913</v>
      </c>
    </row>
    <row r="747" spans="5:5" ht="12.75" hidden="1" customHeight="1" x14ac:dyDescent="0.2">
      <c r="E747" s="219">
        <f>BASE!B605</f>
        <v>90921</v>
      </c>
    </row>
    <row r="748" spans="5:5" ht="12.75" hidden="1" customHeight="1" x14ac:dyDescent="0.2">
      <c r="E748" s="219">
        <f>BASE!B606</f>
        <v>90930</v>
      </c>
    </row>
    <row r="749" spans="5:5" ht="12.75" hidden="1" customHeight="1" x14ac:dyDescent="0.2">
      <c r="E749" s="219">
        <f>BASE!B607</f>
        <v>90948</v>
      </c>
    </row>
    <row r="750" spans="5:5" ht="12.75" hidden="1" customHeight="1" x14ac:dyDescent="0.2">
      <c r="E750" s="219">
        <f>BASE!B608</f>
        <v>90956</v>
      </c>
    </row>
    <row r="751" spans="5:5" ht="12.75" hidden="1" customHeight="1" x14ac:dyDescent="0.2">
      <c r="E751" s="219">
        <f>BASE!B609</f>
        <v>90964</v>
      </c>
    </row>
    <row r="752" spans="5:5" ht="12.75" hidden="1" customHeight="1" x14ac:dyDescent="0.2">
      <c r="E752" s="219">
        <f>BASE!B610</f>
        <v>90972</v>
      </c>
    </row>
    <row r="753" spans="5:5" ht="12.75" hidden="1" customHeight="1" x14ac:dyDescent="0.2">
      <c r="E753" s="219">
        <f>BASE!B611</f>
        <v>90981</v>
      </c>
    </row>
    <row r="754" spans="5:5" ht="12.75" hidden="1" customHeight="1" x14ac:dyDescent="0.2">
      <c r="E754" s="219">
        <f>BASE!B612</f>
        <v>90999</v>
      </c>
    </row>
    <row r="755" spans="5:5" ht="12.75" hidden="1" customHeight="1" x14ac:dyDescent="0.2">
      <c r="E755" s="219">
        <f>BASE!B613</f>
        <v>91006</v>
      </c>
    </row>
    <row r="756" spans="5:5" ht="12.75" hidden="1" customHeight="1" x14ac:dyDescent="0.2">
      <c r="E756" s="219">
        <f>BASE!B614</f>
        <v>91014</v>
      </c>
    </row>
    <row r="757" spans="5:5" ht="12.75" hidden="1" customHeight="1" x14ac:dyDescent="0.2">
      <c r="E757" s="219">
        <f>BASE!B615</f>
        <v>91022</v>
      </c>
    </row>
    <row r="758" spans="5:5" ht="12.75" hidden="1" customHeight="1" x14ac:dyDescent="0.2">
      <c r="E758" s="219">
        <f>BASE!B616</f>
        <v>91031</v>
      </c>
    </row>
    <row r="759" spans="5:5" ht="12.75" hidden="1" customHeight="1" x14ac:dyDescent="0.2">
      <c r="E759" s="219">
        <f>BASE!B617</f>
        <v>91057</v>
      </c>
    </row>
    <row r="760" spans="5:5" ht="12.75" hidden="1" customHeight="1" x14ac:dyDescent="0.2">
      <c r="E760" s="219">
        <f>BASE!B618</f>
        <v>91065</v>
      </c>
    </row>
    <row r="761" spans="5:5" ht="12.75" hidden="1" customHeight="1" x14ac:dyDescent="0.2">
      <c r="E761" s="219">
        <f>BASE!B619</f>
        <v>91073</v>
      </c>
    </row>
    <row r="762" spans="5:5" ht="12.75" hidden="1" customHeight="1" x14ac:dyDescent="0.2">
      <c r="E762" s="219">
        <f>BASE!B620</f>
        <v>91081</v>
      </c>
    </row>
    <row r="763" spans="5:5" ht="12.75" hidden="1" customHeight="1" x14ac:dyDescent="0.2">
      <c r="E763" s="219">
        <f>BASE!B621</f>
        <v>91090</v>
      </c>
    </row>
    <row r="764" spans="5:5" ht="12.75" hidden="1" customHeight="1" x14ac:dyDescent="0.2">
      <c r="E764" s="219">
        <f>BASE!B622</f>
        <v>91103</v>
      </c>
    </row>
    <row r="765" spans="5:5" ht="12.75" hidden="1" customHeight="1" x14ac:dyDescent="0.2">
      <c r="E765" s="219">
        <f>BASE!B623</f>
        <v>91111</v>
      </c>
    </row>
    <row r="766" spans="5:5" ht="12.75" hidden="1" customHeight="1" x14ac:dyDescent="0.2">
      <c r="E766" s="219">
        <f>BASE!B624</f>
        <v>91120</v>
      </c>
    </row>
    <row r="767" spans="5:5" ht="12.75" hidden="1" customHeight="1" x14ac:dyDescent="0.2">
      <c r="E767" s="219">
        <f>BASE!B625</f>
        <v>91138</v>
      </c>
    </row>
    <row r="768" spans="5:5" ht="12.75" hidden="1" customHeight="1" x14ac:dyDescent="0.2">
      <c r="E768" s="219">
        <f>BASE!B626</f>
        <v>91146</v>
      </c>
    </row>
    <row r="769" spans="5:5" ht="12.75" hidden="1" customHeight="1" x14ac:dyDescent="0.2">
      <c r="E769" s="219">
        <f>BASE!B627</f>
        <v>91154</v>
      </c>
    </row>
    <row r="770" spans="5:5" ht="12.75" hidden="1" customHeight="1" x14ac:dyDescent="0.2">
      <c r="E770" s="219">
        <f>BASE!B628</f>
        <v>91162</v>
      </c>
    </row>
    <row r="771" spans="5:5" ht="12.75" hidden="1" customHeight="1" x14ac:dyDescent="0.2">
      <c r="E771" s="219">
        <f>BASE!B629</f>
        <v>91171</v>
      </c>
    </row>
    <row r="772" spans="5:5" ht="12.75" hidden="1" customHeight="1" x14ac:dyDescent="0.2">
      <c r="E772" s="219">
        <f>BASE!B630</f>
        <v>91189</v>
      </c>
    </row>
    <row r="773" spans="5:5" ht="12.75" hidden="1" customHeight="1" x14ac:dyDescent="0.2">
      <c r="E773" s="219">
        <f>BASE!B631</f>
        <v>91197</v>
      </c>
    </row>
    <row r="774" spans="5:5" ht="12.75" hidden="1" customHeight="1" x14ac:dyDescent="0.2">
      <c r="E774" s="219">
        <f>BASE!B632</f>
        <v>91201</v>
      </c>
    </row>
    <row r="775" spans="5:5" ht="12.75" hidden="1" customHeight="1" x14ac:dyDescent="0.2">
      <c r="E775" s="219">
        <f>BASE!B633</f>
        <v>91219</v>
      </c>
    </row>
    <row r="776" spans="5:5" ht="12.75" hidden="1" customHeight="1" x14ac:dyDescent="0.2">
      <c r="E776" s="219">
        <f>BASE!B634</f>
        <v>91227</v>
      </c>
    </row>
    <row r="777" spans="5:5" ht="12.75" hidden="1" customHeight="1" x14ac:dyDescent="0.2">
      <c r="E777" s="219">
        <f>BASE!B635</f>
        <v>91235</v>
      </c>
    </row>
    <row r="778" spans="5:5" ht="12.75" hidden="1" customHeight="1" x14ac:dyDescent="0.2">
      <c r="E778" s="219">
        <f>BASE!B636</f>
        <v>91243</v>
      </c>
    </row>
    <row r="779" spans="5:5" ht="12.75" hidden="1" customHeight="1" x14ac:dyDescent="0.2">
      <c r="E779" s="219">
        <f>BASE!B637</f>
        <v>91251</v>
      </c>
    </row>
    <row r="780" spans="5:5" ht="12.75" hidden="1" customHeight="1" x14ac:dyDescent="0.2">
      <c r="E780" s="219">
        <f>BASE!B638</f>
        <v>91260</v>
      </c>
    </row>
    <row r="781" spans="5:5" ht="12.75" hidden="1" customHeight="1" x14ac:dyDescent="0.2">
      <c r="E781" s="219">
        <f>BASE!B639</f>
        <v>91278</v>
      </c>
    </row>
    <row r="782" spans="5:5" ht="12.75" hidden="1" customHeight="1" x14ac:dyDescent="0.2">
      <c r="E782" s="219">
        <f>BASE!B640</f>
        <v>91286</v>
      </c>
    </row>
    <row r="783" spans="5:5" ht="12.75" hidden="1" customHeight="1" x14ac:dyDescent="0.2">
      <c r="E783" s="219">
        <f>BASE!B641</f>
        <v>91294</v>
      </c>
    </row>
    <row r="784" spans="5:5" ht="12.75" hidden="1" customHeight="1" x14ac:dyDescent="0.2">
      <c r="E784" s="219">
        <f>BASE!B642</f>
        <v>91308</v>
      </c>
    </row>
    <row r="785" spans="5:5" ht="12.75" hidden="1" customHeight="1" x14ac:dyDescent="0.2">
      <c r="E785" s="219">
        <f>BASE!B643</f>
        <v>91316</v>
      </c>
    </row>
    <row r="786" spans="5:5" ht="12.75" hidden="1" customHeight="1" x14ac:dyDescent="0.2">
      <c r="E786" s="219">
        <f>BASE!B644</f>
        <v>91324</v>
      </c>
    </row>
    <row r="787" spans="5:5" ht="12.75" hidden="1" customHeight="1" x14ac:dyDescent="0.2">
      <c r="E787" s="219">
        <f>BASE!B645</f>
        <v>91332</v>
      </c>
    </row>
    <row r="788" spans="5:5" ht="12.75" hidden="1" customHeight="1" x14ac:dyDescent="0.2">
      <c r="E788" s="219">
        <f>BASE!B646</f>
        <v>91341</v>
      </c>
    </row>
    <row r="789" spans="5:5" ht="12.75" hidden="1" customHeight="1" x14ac:dyDescent="0.2">
      <c r="E789" s="219">
        <f>BASE!B647</f>
        <v>91359</v>
      </c>
    </row>
    <row r="790" spans="5:5" ht="12.75" hidden="1" customHeight="1" x14ac:dyDescent="0.2">
      <c r="E790" s="219">
        <f>BASE!B648</f>
        <v>91367</v>
      </c>
    </row>
    <row r="791" spans="5:5" ht="12.75" hidden="1" customHeight="1" x14ac:dyDescent="0.2">
      <c r="E791" s="219">
        <f>BASE!B649</f>
        <v>91375</v>
      </c>
    </row>
    <row r="792" spans="5:5" ht="12.75" hidden="1" customHeight="1" x14ac:dyDescent="0.2">
      <c r="E792" s="219">
        <f>BASE!B650</f>
        <v>91383</v>
      </c>
    </row>
    <row r="793" spans="5:5" ht="12.75" hidden="1" customHeight="1" x14ac:dyDescent="0.2">
      <c r="E793" s="219">
        <f>BASE!B651</f>
        <v>91391</v>
      </c>
    </row>
    <row r="794" spans="5:5" ht="12.75" hidden="1" customHeight="1" x14ac:dyDescent="0.2">
      <c r="E794" s="219">
        <f>BASE!B652</f>
        <v>91405</v>
      </c>
    </row>
    <row r="795" spans="5:5" ht="12.75" hidden="1" customHeight="1" x14ac:dyDescent="0.2">
      <c r="E795" s="219">
        <f>BASE!B653</f>
        <v>91413</v>
      </c>
    </row>
    <row r="796" spans="5:5" ht="12.75" hidden="1" customHeight="1" x14ac:dyDescent="0.2">
      <c r="E796" s="219">
        <f>BASE!B654</f>
        <v>91421</v>
      </c>
    </row>
    <row r="797" spans="5:5" ht="12.75" hidden="1" customHeight="1" x14ac:dyDescent="0.2">
      <c r="E797" s="219">
        <f>BASE!B655</f>
        <v>91430</v>
      </c>
    </row>
    <row r="798" spans="5:5" ht="12.75" hidden="1" customHeight="1" x14ac:dyDescent="0.2">
      <c r="E798" s="219">
        <f>BASE!B656</f>
        <v>91448</v>
      </c>
    </row>
    <row r="799" spans="5:5" ht="12.75" hidden="1" customHeight="1" x14ac:dyDescent="0.2">
      <c r="E799" s="219">
        <f>BASE!B657</f>
        <v>91456</v>
      </c>
    </row>
    <row r="800" spans="5:5" ht="12.75" hidden="1" customHeight="1" x14ac:dyDescent="0.2">
      <c r="E800" s="219">
        <f>BASE!B658</f>
        <v>91464</v>
      </c>
    </row>
    <row r="801" spans="5:5" ht="12.75" hidden="1" customHeight="1" x14ac:dyDescent="0.2">
      <c r="E801" s="219">
        <f>BASE!B659</f>
        <v>91472</v>
      </c>
    </row>
    <row r="802" spans="5:5" ht="12.75" hidden="1" customHeight="1" x14ac:dyDescent="0.2">
      <c r="E802" s="219">
        <f>BASE!B660</f>
        <v>91481</v>
      </c>
    </row>
    <row r="803" spans="5:5" ht="12.75" hidden="1" customHeight="1" x14ac:dyDescent="0.2">
      <c r="E803" s="219">
        <f>BASE!B661</f>
        <v>91499</v>
      </c>
    </row>
    <row r="804" spans="5:5" ht="12.75" hidden="1" customHeight="1" x14ac:dyDescent="0.2">
      <c r="E804" s="219">
        <f>BASE!B662</f>
        <v>91502</v>
      </c>
    </row>
    <row r="805" spans="5:5" ht="12.75" hidden="1" customHeight="1" x14ac:dyDescent="0.2">
      <c r="E805" s="219">
        <f>BASE!B663</f>
        <v>91511</v>
      </c>
    </row>
    <row r="806" spans="5:5" ht="12.75" hidden="1" customHeight="1" x14ac:dyDescent="0.2">
      <c r="E806" s="219">
        <f>BASE!B664</f>
        <v>91529</v>
      </c>
    </row>
    <row r="807" spans="5:5" ht="12.75" hidden="1" customHeight="1" x14ac:dyDescent="0.2">
      <c r="E807" s="219">
        <f>BASE!B665</f>
        <v>91537</v>
      </c>
    </row>
    <row r="808" spans="5:5" ht="12.75" hidden="1" customHeight="1" x14ac:dyDescent="0.2">
      <c r="E808" s="219">
        <f>BASE!B666</f>
        <v>91545</v>
      </c>
    </row>
    <row r="809" spans="5:5" ht="12.75" hidden="1" customHeight="1" x14ac:dyDescent="0.2">
      <c r="E809" s="219">
        <f>BASE!B667</f>
        <v>91553</v>
      </c>
    </row>
    <row r="810" spans="5:5" ht="12.75" hidden="1" customHeight="1" x14ac:dyDescent="0.2">
      <c r="E810" s="219">
        <f>BASE!B668</f>
        <v>91561</v>
      </c>
    </row>
    <row r="811" spans="5:5" ht="12.75" hidden="1" customHeight="1" x14ac:dyDescent="0.2">
      <c r="E811" s="219">
        <f>BASE!B669</f>
        <v>91570</v>
      </c>
    </row>
    <row r="812" spans="5:5" ht="12.75" hidden="1" customHeight="1" x14ac:dyDescent="0.2">
      <c r="E812" s="219">
        <f>BASE!B670</f>
        <v>91588</v>
      </c>
    </row>
    <row r="813" spans="5:5" ht="12.75" hidden="1" customHeight="1" x14ac:dyDescent="0.2">
      <c r="E813" s="219">
        <f>BASE!B671</f>
        <v>91596</v>
      </c>
    </row>
    <row r="814" spans="5:5" ht="12.75" hidden="1" customHeight="1" x14ac:dyDescent="0.2">
      <c r="E814" s="219">
        <f>BASE!B672</f>
        <v>91600</v>
      </c>
    </row>
    <row r="815" spans="5:5" ht="12.75" hidden="1" customHeight="1" x14ac:dyDescent="0.2">
      <c r="E815" s="219">
        <f>BASE!B673</f>
        <v>91618</v>
      </c>
    </row>
    <row r="816" spans="5:5" ht="12.75" hidden="1" customHeight="1" x14ac:dyDescent="0.2">
      <c r="E816" s="219">
        <f>BASE!B674</f>
        <v>91626</v>
      </c>
    </row>
    <row r="817" spans="5:5" ht="12.75" hidden="1" customHeight="1" x14ac:dyDescent="0.2">
      <c r="E817" s="219">
        <f>BASE!B675</f>
        <v>91634</v>
      </c>
    </row>
    <row r="818" spans="5:5" ht="12.75" hidden="1" customHeight="1" x14ac:dyDescent="0.2">
      <c r="E818" s="219">
        <f>BASE!B676</f>
        <v>91642</v>
      </c>
    </row>
    <row r="819" spans="5:5" ht="12.75" hidden="1" customHeight="1" x14ac:dyDescent="0.2">
      <c r="E819" s="219">
        <f>BASE!B677</f>
        <v>91651</v>
      </c>
    </row>
    <row r="820" spans="5:5" ht="12.75" hidden="1" customHeight="1" x14ac:dyDescent="0.2">
      <c r="E820" s="219">
        <f>BASE!B678</f>
        <v>91669</v>
      </c>
    </row>
    <row r="821" spans="5:5" ht="12.75" hidden="1" customHeight="1" x14ac:dyDescent="0.2">
      <c r="E821" s="219">
        <f>BASE!B679</f>
        <v>91677</v>
      </c>
    </row>
    <row r="822" spans="5:5" ht="12.75" hidden="1" customHeight="1" x14ac:dyDescent="0.2">
      <c r="E822" s="219">
        <f>BASE!B680</f>
        <v>91685</v>
      </c>
    </row>
    <row r="823" spans="5:5" ht="12.75" hidden="1" customHeight="1" x14ac:dyDescent="0.2">
      <c r="E823" s="219">
        <f>BASE!B681</f>
        <v>91693</v>
      </c>
    </row>
    <row r="824" spans="5:5" ht="12.75" hidden="1" customHeight="1" x14ac:dyDescent="0.2">
      <c r="E824" s="219">
        <f>BASE!B682</f>
        <v>91707</v>
      </c>
    </row>
    <row r="825" spans="5:5" ht="12.75" hidden="1" customHeight="1" x14ac:dyDescent="0.2">
      <c r="E825" s="219">
        <f>BASE!B683</f>
        <v>91715</v>
      </c>
    </row>
    <row r="826" spans="5:5" ht="12.75" hidden="1" customHeight="1" x14ac:dyDescent="0.2">
      <c r="E826" s="219">
        <f>BASE!B684</f>
        <v>91723</v>
      </c>
    </row>
    <row r="827" spans="5:5" ht="12.75" hidden="1" customHeight="1" x14ac:dyDescent="0.2">
      <c r="E827" s="219">
        <f>BASE!B685</f>
        <v>91731</v>
      </c>
    </row>
    <row r="828" spans="5:5" ht="12.75" hidden="1" customHeight="1" x14ac:dyDescent="0.2">
      <c r="E828" s="219">
        <f>BASE!B686</f>
        <v>91740</v>
      </c>
    </row>
    <row r="829" spans="5:5" ht="12.75" hidden="1" customHeight="1" x14ac:dyDescent="0.2">
      <c r="E829" s="219">
        <f>BASE!B687</f>
        <v>91758</v>
      </c>
    </row>
    <row r="830" spans="5:5" ht="12.75" hidden="1" customHeight="1" x14ac:dyDescent="0.2">
      <c r="E830" s="219">
        <f>BASE!B688</f>
        <v>91766</v>
      </c>
    </row>
    <row r="831" spans="5:5" ht="12.75" hidden="1" customHeight="1" x14ac:dyDescent="0.2">
      <c r="E831" s="219">
        <f>BASE!B689</f>
        <v>91774</v>
      </c>
    </row>
    <row r="832" spans="5:5" ht="12.75" hidden="1" customHeight="1" x14ac:dyDescent="0.2">
      <c r="E832" s="219">
        <f>BASE!B690</f>
        <v>91782</v>
      </c>
    </row>
    <row r="833" spans="5:5" ht="12.75" hidden="1" customHeight="1" x14ac:dyDescent="0.2">
      <c r="E833" s="219">
        <f>BASE!B691</f>
        <v>91791</v>
      </c>
    </row>
    <row r="834" spans="5:5" ht="12.75" hidden="1" customHeight="1" x14ac:dyDescent="0.2">
      <c r="E834" s="219">
        <f>BASE!B692</f>
        <v>91804</v>
      </c>
    </row>
    <row r="835" spans="5:5" ht="12.75" hidden="1" customHeight="1" x14ac:dyDescent="0.2">
      <c r="E835" s="219">
        <f>BASE!B693</f>
        <v>91812</v>
      </c>
    </row>
    <row r="836" spans="5:5" ht="12.75" hidden="1" customHeight="1" x14ac:dyDescent="0.2">
      <c r="E836" s="219">
        <f>BASE!B694</f>
        <v>91821</v>
      </c>
    </row>
    <row r="837" spans="5:5" ht="12.75" hidden="1" customHeight="1" x14ac:dyDescent="0.2">
      <c r="E837" s="219">
        <f>BASE!B695</f>
        <v>91839</v>
      </c>
    </row>
    <row r="838" spans="5:5" ht="12.75" hidden="1" customHeight="1" x14ac:dyDescent="0.2">
      <c r="E838" s="219">
        <f>BASE!B696</f>
        <v>91847</v>
      </c>
    </row>
    <row r="839" spans="5:5" ht="12.75" hidden="1" customHeight="1" x14ac:dyDescent="0.2">
      <c r="E839" s="219">
        <f>BASE!B697</f>
        <v>91855</v>
      </c>
    </row>
    <row r="840" spans="5:5" ht="12.75" hidden="1" customHeight="1" x14ac:dyDescent="0.2">
      <c r="E840" s="219">
        <f>BASE!B698</f>
        <v>91863</v>
      </c>
    </row>
    <row r="841" spans="5:5" ht="12.75" hidden="1" customHeight="1" x14ac:dyDescent="0.2">
      <c r="E841" s="219">
        <f>BASE!B699</f>
        <v>91871</v>
      </c>
    </row>
    <row r="842" spans="5:5" ht="12.75" hidden="1" customHeight="1" x14ac:dyDescent="0.2">
      <c r="E842" s="219">
        <f>BASE!B700</f>
        <v>91880</v>
      </c>
    </row>
    <row r="843" spans="5:5" ht="12.75" hidden="1" customHeight="1" x14ac:dyDescent="0.2">
      <c r="E843" s="219">
        <f>BASE!B701</f>
        <v>91898</v>
      </c>
    </row>
    <row r="844" spans="5:5" ht="12.75" hidden="1" customHeight="1" x14ac:dyDescent="0.2">
      <c r="E844" s="219">
        <f>BASE!B702</f>
        <v>91901</v>
      </c>
    </row>
    <row r="845" spans="5:5" ht="12.75" hidden="1" customHeight="1" x14ac:dyDescent="0.2">
      <c r="E845" s="219">
        <f>BASE!B703</f>
        <v>91910</v>
      </c>
    </row>
    <row r="846" spans="5:5" ht="12.75" hidden="1" customHeight="1" x14ac:dyDescent="0.2">
      <c r="E846" s="219">
        <f>BASE!B704</f>
        <v>91928</v>
      </c>
    </row>
    <row r="847" spans="5:5" ht="12.75" hidden="1" customHeight="1" x14ac:dyDescent="0.2">
      <c r="E847" s="219">
        <f>BASE!B705</f>
        <v>91936</v>
      </c>
    </row>
    <row r="848" spans="5:5" ht="12.75" hidden="1" customHeight="1" x14ac:dyDescent="0.2">
      <c r="E848" s="219">
        <f>BASE!B706</f>
        <v>91944</v>
      </c>
    </row>
    <row r="849" spans="5:5" ht="12.75" hidden="1" customHeight="1" x14ac:dyDescent="0.2">
      <c r="E849" s="219">
        <f>BASE!B707</f>
        <v>91952</v>
      </c>
    </row>
    <row r="850" spans="5:5" ht="12.75" hidden="1" customHeight="1" x14ac:dyDescent="0.2">
      <c r="E850" s="219">
        <f>BASE!B708</f>
        <v>91961</v>
      </c>
    </row>
    <row r="851" spans="5:5" ht="12.75" hidden="1" customHeight="1" x14ac:dyDescent="0.2">
      <c r="E851" s="219">
        <f>BASE!B709</f>
        <v>91979</v>
      </c>
    </row>
    <row r="852" spans="5:5" ht="12.75" hidden="1" customHeight="1" x14ac:dyDescent="0.2">
      <c r="E852" s="219">
        <f>BASE!B710</f>
        <v>91987</v>
      </c>
    </row>
    <row r="853" spans="5:5" ht="12.75" hidden="1" customHeight="1" x14ac:dyDescent="0.2">
      <c r="E853" s="219">
        <f>BASE!B711</f>
        <v>91995</v>
      </c>
    </row>
    <row r="854" spans="5:5" ht="12.75" hidden="1" customHeight="1" x14ac:dyDescent="0.2">
      <c r="E854" s="219">
        <f>BASE!B712</f>
        <v>92002</v>
      </c>
    </row>
    <row r="855" spans="5:5" ht="12.75" hidden="1" customHeight="1" x14ac:dyDescent="0.2">
      <c r="E855" s="219">
        <f>BASE!B713</f>
        <v>92011</v>
      </c>
    </row>
    <row r="856" spans="5:5" ht="12.75" hidden="1" customHeight="1" x14ac:dyDescent="0.2">
      <c r="E856" s="219">
        <f>BASE!B714</f>
        <v>92029</v>
      </c>
    </row>
    <row r="857" spans="5:5" ht="12.75" hidden="1" customHeight="1" x14ac:dyDescent="0.2">
      <c r="E857" s="219">
        <f>BASE!B715</f>
        <v>92037</v>
      </c>
    </row>
    <row r="858" spans="5:5" ht="12.75" hidden="1" customHeight="1" x14ac:dyDescent="0.2">
      <c r="E858" s="219">
        <f>BASE!B716</f>
        <v>92045</v>
      </c>
    </row>
    <row r="859" spans="5:5" ht="12.75" hidden="1" customHeight="1" x14ac:dyDescent="0.2">
      <c r="E859" s="219">
        <f>BASE!B717</f>
        <v>92053</v>
      </c>
    </row>
    <row r="860" spans="5:5" ht="12.75" hidden="1" customHeight="1" x14ac:dyDescent="0.2">
      <c r="E860" s="219">
        <f>BASE!B718</f>
        <v>92061</v>
      </c>
    </row>
    <row r="861" spans="5:5" ht="12.75" hidden="1" customHeight="1" x14ac:dyDescent="0.2">
      <c r="E861" s="219">
        <f>BASE!B719</f>
        <v>92070</v>
      </c>
    </row>
    <row r="862" spans="5:5" ht="12.75" hidden="1" customHeight="1" x14ac:dyDescent="0.2">
      <c r="E862" s="219">
        <f>BASE!B720</f>
        <v>92088</v>
      </c>
    </row>
    <row r="863" spans="5:5" ht="12.75" hidden="1" customHeight="1" x14ac:dyDescent="0.2">
      <c r="E863" s="219">
        <f>BASE!B721</f>
        <v>92096</v>
      </c>
    </row>
    <row r="864" spans="5:5" ht="12.75" hidden="1" customHeight="1" x14ac:dyDescent="0.2">
      <c r="E864" s="219">
        <f>BASE!B722</f>
        <v>92100</v>
      </c>
    </row>
    <row r="865" spans="5:5" ht="12.75" hidden="1" customHeight="1" x14ac:dyDescent="0.2">
      <c r="E865" s="219">
        <f>BASE!B723</f>
        <v>92118</v>
      </c>
    </row>
    <row r="866" spans="5:5" ht="12.75" hidden="1" customHeight="1" x14ac:dyDescent="0.2">
      <c r="E866" s="219">
        <f>BASE!B724</f>
        <v>92126</v>
      </c>
    </row>
    <row r="867" spans="5:5" ht="12.75" hidden="1" customHeight="1" x14ac:dyDescent="0.2">
      <c r="E867" s="219">
        <f>BASE!B725</f>
        <v>92134</v>
      </c>
    </row>
    <row r="868" spans="5:5" ht="12.75" hidden="1" customHeight="1" x14ac:dyDescent="0.2">
      <c r="E868" s="219">
        <f>BASE!B726</f>
        <v>92142</v>
      </c>
    </row>
    <row r="869" spans="5:5" ht="12.75" hidden="1" customHeight="1" x14ac:dyDescent="0.2">
      <c r="E869" s="219">
        <f>BASE!B727</f>
        <v>92151</v>
      </c>
    </row>
    <row r="870" spans="5:5" ht="12.75" hidden="1" customHeight="1" x14ac:dyDescent="0.2">
      <c r="E870" s="219">
        <f>BASE!B728</f>
        <v>92169</v>
      </c>
    </row>
    <row r="871" spans="5:5" ht="12.75" hidden="1" customHeight="1" x14ac:dyDescent="0.2">
      <c r="E871" s="219">
        <f>BASE!B729</f>
        <v>92177</v>
      </c>
    </row>
    <row r="872" spans="5:5" ht="12.75" hidden="1" customHeight="1" x14ac:dyDescent="0.2">
      <c r="E872" s="219">
        <f>BASE!B730</f>
        <v>92185</v>
      </c>
    </row>
    <row r="873" spans="5:5" ht="12.75" hidden="1" customHeight="1" x14ac:dyDescent="0.2">
      <c r="E873" s="219">
        <f>BASE!B731</f>
        <v>92193</v>
      </c>
    </row>
    <row r="874" spans="5:5" ht="12.75" hidden="1" customHeight="1" x14ac:dyDescent="0.2">
      <c r="E874" s="219">
        <f>BASE!B732</f>
        <v>92207</v>
      </c>
    </row>
    <row r="875" spans="5:5" ht="12.75" hidden="1" customHeight="1" x14ac:dyDescent="0.2">
      <c r="E875" s="219">
        <f>BASE!B733</f>
        <v>92215</v>
      </c>
    </row>
    <row r="876" spans="5:5" ht="12.75" hidden="1" customHeight="1" x14ac:dyDescent="0.2">
      <c r="E876" s="219">
        <f>BASE!B734</f>
        <v>92223</v>
      </c>
    </row>
    <row r="877" spans="5:5" ht="12.75" hidden="1" customHeight="1" x14ac:dyDescent="0.2">
      <c r="E877" s="219">
        <f>BASE!B735</f>
        <v>92231</v>
      </c>
    </row>
    <row r="878" spans="5:5" ht="12.75" hidden="1" customHeight="1" x14ac:dyDescent="0.2">
      <c r="E878" s="219">
        <f>BASE!B736</f>
        <v>92240</v>
      </c>
    </row>
    <row r="879" spans="5:5" ht="12.75" hidden="1" customHeight="1" x14ac:dyDescent="0.2">
      <c r="E879" s="219">
        <f>BASE!B737</f>
        <v>92258</v>
      </c>
    </row>
    <row r="880" spans="5:5" ht="12.75" hidden="1" customHeight="1" x14ac:dyDescent="0.2">
      <c r="E880" s="219">
        <f>BASE!B738</f>
        <v>92266</v>
      </c>
    </row>
    <row r="881" spans="5:5" ht="12.75" hidden="1" customHeight="1" x14ac:dyDescent="0.2">
      <c r="E881" s="219">
        <f>BASE!B739</f>
        <v>92274</v>
      </c>
    </row>
    <row r="882" spans="5:5" ht="12.75" hidden="1" customHeight="1" x14ac:dyDescent="0.2">
      <c r="E882" s="219">
        <f>BASE!B740</f>
        <v>92282</v>
      </c>
    </row>
    <row r="883" spans="5:5" ht="12.75" hidden="1" customHeight="1" x14ac:dyDescent="0.2">
      <c r="E883" s="219">
        <f>BASE!B741</f>
        <v>92291</v>
      </c>
    </row>
    <row r="884" spans="5:5" ht="12.75" hidden="1" customHeight="1" x14ac:dyDescent="0.2">
      <c r="E884" s="219">
        <f>BASE!B742</f>
        <v>92304</v>
      </c>
    </row>
    <row r="885" spans="5:5" ht="12.75" hidden="1" customHeight="1" x14ac:dyDescent="0.2">
      <c r="E885" s="219">
        <f>BASE!B743</f>
        <v>92312</v>
      </c>
    </row>
    <row r="886" spans="5:5" ht="12.75" hidden="1" customHeight="1" x14ac:dyDescent="0.2">
      <c r="E886" s="219">
        <f>BASE!B744</f>
        <v>92321</v>
      </c>
    </row>
    <row r="887" spans="5:5" ht="12.75" hidden="1" customHeight="1" x14ac:dyDescent="0.2">
      <c r="E887" s="219">
        <f>BASE!B745</f>
        <v>92339</v>
      </c>
    </row>
    <row r="888" spans="5:5" ht="12.75" hidden="1" customHeight="1" x14ac:dyDescent="0.2">
      <c r="E888" s="219">
        <f>BASE!B746</f>
        <v>92347</v>
      </c>
    </row>
    <row r="889" spans="5:5" ht="12.75" hidden="1" customHeight="1" x14ac:dyDescent="0.2">
      <c r="E889" s="219">
        <f>BASE!B747</f>
        <v>92355</v>
      </c>
    </row>
    <row r="890" spans="5:5" ht="12.75" hidden="1" customHeight="1" x14ac:dyDescent="0.2">
      <c r="E890" s="219">
        <f>BASE!B748</f>
        <v>92363</v>
      </c>
    </row>
    <row r="891" spans="5:5" ht="12.75" hidden="1" customHeight="1" x14ac:dyDescent="0.2">
      <c r="E891" s="219">
        <f>BASE!B749</f>
        <v>92371</v>
      </c>
    </row>
    <row r="892" spans="5:5" ht="12.75" hidden="1" customHeight="1" x14ac:dyDescent="0.2">
      <c r="E892" s="219">
        <f>BASE!B750</f>
        <v>92380</v>
      </c>
    </row>
    <row r="893" spans="5:5" ht="12.75" hidden="1" customHeight="1" x14ac:dyDescent="0.2">
      <c r="E893" s="219">
        <f>BASE!B751</f>
        <v>92398</v>
      </c>
    </row>
    <row r="894" spans="5:5" ht="12.75" hidden="1" customHeight="1" x14ac:dyDescent="0.2">
      <c r="E894" s="219">
        <f>BASE!B752</f>
        <v>92401</v>
      </c>
    </row>
    <row r="895" spans="5:5" ht="12.75" hidden="1" customHeight="1" x14ac:dyDescent="0.2">
      <c r="E895" s="219">
        <f>BASE!B753</f>
        <v>92410</v>
      </c>
    </row>
    <row r="896" spans="5:5" ht="12.75" hidden="1" customHeight="1" x14ac:dyDescent="0.2">
      <c r="E896" s="219">
        <f>BASE!B754</f>
        <v>92428</v>
      </c>
    </row>
    <row r="897" spans="5:5" ht="12.75" hidden="1" customHeight="1" x14ac:dyDescent="0.2">
      <c r="E897" s="219">
        <f>BASE!B755</f>
        <v>92436</v>
      </c>
    </row>
    <row r="898" spans="5:5" ht="12.75" hidden="1" customHeight="1" x14ac:dyDescent="0.2">
      <c r="E898" s="219">
        <f>BASE!B756</f>
        <v>92444</v>
      </c>
    </row>
    <row r="899" spans="5:5" ht="12.75" hidden="1" customHeight="1" x14ac:dyDescent="0.2">
      <c r="E899" s="219">
        <f>BASE!B757</f>
        <v>92452</v>
      </c>
    </row>
    <row r="900" spans="5:5" ht="12.75" hidden="1" customHeight="1" x14ac:dyDescent="0.2">
      <c r="E900" s="219">
        <f>BASE!B758</f>
        <v>92461</v>
      </c>
    </row>
    <row r="901" spans="5:5" ht="12.75" hidden="1" customHeight="1" x14ac:dyDescent="0.2">
      <c r="E901" s="219">
        <f>BASE!B759</f>
        <v>92479</v>
      </c>
    </row>
    <row r="902" spans="5:5" ht="12.75" hidden="1" customHeight="1" x14ac:dyDescent="0.2">
      <c r="E902" s="219">
        <f>BASE!B760</f>
        <v>92487</v>
      </c>
    </row>
    <row r="903" spans="5:5" ht="12.75" hidden="1" customHeight="1" x14ac:dyDescent="0.2">
      <c r="E903" s="219">
        <f>BASE!B761</f>
        <v>92495</v>
      </c>
    </row>
    <row r="904" spans="5:5" ht="12.75" hidden="1" customHeight="1" x14ac:dyDescent="0.2">
      <c r="E904" s="219">
        <f>BASE!B762</f>
        <v>92509</v>
      </c>
    </row>
    <row r="905" spans="5:5" ht="12.75" hidden="1" customHeight="1" x14ac:dyDescent="0.2">
      <c r="E905" s="219">
        <f>BASE!B763</f>
        <v>92517</v>
      </c>
    </row>
    <row r="906" spans="5:5" ht="12.75" hidden="1" customHeight="1" x14ac:dyDescent="0.2">
      <c r="E906" s="219">
        <f>BASE!B764</f>
        <v>92525</v>
      </c>
    </row>
    <row r="907" spans="5:5" ht="12.75" hidden="1" customHeight="1" x14ac:dyDescent="0.2">
      <c r="E907" s="219">
        <f>BASE!B765</f>
        <v>92533</v>
      </c>
    </row>
    <row r="908" spans="5:5" ht="12.75" hidden="1" customHeight="1" x14ac:dyDescent="0.2">
      <c r="E908" s="219">
        <f>BASE!B766</f>
        <v>92541</v>
      </c>
    </row>
    <row r="909" spans="5:5" ht="12.75" hidden="1" customHeight="1" x14ac:dyDescent="0.2">
      <c r="E909" s="219">
        <f>BASE!B767</f>
        <v>92550</v>
      </c>
    </row>
    <row r="910" spans="5:5" ht="12.75" hidden="1" customHeight="1" x14ac:dyDescent="0.2">
      <c r="E910" s="219">
        <f>BASE!B768</f>
        <v>92568</v>
      </c>
    </row>
    <row r="911" spans="5:5" ht="12.75" hidden="1" customHeight="1" x14ac:dyDescent="0.2">
      <c r="E911" s="219">
        <f>BASE!B769</f>
        <v>92576</v>
      </c>
    </row>
    <row r="912" spans="5:5" ht="12.75" hidden="1" customHeight="1" x14ac:dyDescent="0.2">
      <c r="E912" s="219">
        <f>BASE!B770</f>
        <v>92584</v>
      </c>
    </row>
    <row r="913" spans="5:5" ht="12.75" hidden="1" customHeight="1" x14ac:dyDescent="0.2">
      <c r="E913" s="219">
        <f>BASE!B771</f>
        <v>92592</v>
      </c>
    </row>
    <row r="914" spans="5:5" ht="12.75" hidden="1" customHeight="1" x14ac:dyDescent="0.2">
      <c r="E914" s="219">
        <f>BASE!B772</f>
        <v>92606</v>
      </c>
    </row>
    <row r="915" spans="5:5" ht="12.75" hidden="1" customHeight="1" x14ac:dyDescent="0.2">
      <c r="E915" s="219">
        <f>BASE!B773</f>
        <v>92614</v>
      </c>
    </row>
    <row r="916" spans="5:5" ht="12.75" hidden="1" customHeight="1" x14ac:dyDescent="0.2">
      <c r="E916" s="219">
        <f>BASE!B774</f>
        <v>92622</v>
      </c>
    </row>
    <row r="917" spans="5:5" ht="12.75" hidden="1" customHeight="1" x14ac:dyDescent="0.2">
      <c r="E917" s="219">
        <f>BASE!B775</f>
        <v>92631</v>
      </c>
    </row>
    <row r="918" spans="5:5" ht="12.75" hidden="1" customHeight="1" x14ac:dyDescent="0.2">
      <c r="E918" s="219">
        <f>BASE!B776</f>
        <v>92649</v>
      </c>
    </row>
    <row r="919" spans="5:5" ht="12.75" hidden="1" customHeight="1" x14ac:dyDescent="0.2">
      <c r="E919" s="219">
        <f>BASE!B777</f>
        <v>92657</v>
      </c>
    </row>
    <row r="920" spans="5:5" ht="12.75" hidden="1" customHeight="1" x14ac:dyDescent="0.2">
      <c r="E920" s="219">
        <f>BASE!B778</f>
        <v>92665</v>
      </c>
    </row>
    <row r="921" spans="5:5" ht="12.75" hidden="1" customHeight="1" x14ac:dyDescent="0.2">
      <c r="E921" s="219">
        <f>BASE!B779</f>
        <v>92673</v>
      </c>
    </row>
    <row r="922" spans="5:5" ht="12.75" hidden="1" customHeight="1" x14ac:dyDescent="0.2">
      <c r="E922" s="219">
        <f>BASE!B780</f>
        <v>92681</v>
      </c>
    </row>
    <row r="923" spans="5:5" ht="12.75" hidden="1" customHeight="1" x14ac:dyDescent="0.2">
      <c r="E923" s="219">
        <f>BASE!B781</f>
        <v>92690</v>
      </c>
    </row>
    <row r="924" spans="5:5" ht="12.75" hidden="1" customHeight="1" x14ac:dyDescent="0.2">
      <c r="E924" s="219">
        <f>BASE!B782</f>
        <v>92703</v>
      </c>
    </row>
    <row r="925" spans="5:5" ht="12.75" hidden="1" customHeight="1" x14ac:dyDescent="0.2">
      <c r="E925" s="219">
        <f>BASE!B783</f>
        <v>92711</v>
      </c>
    </row>
    <row r="926" spans="5:5" ht="12.75" hidden="1" customHeight="1" x14ac:dyDescent="0.2">
      <c r="E926" s="219">
        <f>BASE!B784</f>
        <v>92720</v>
      </c>
    </row>
    <row r="927" spans="5:5" ht="12.75" hidden="1" customHeight="1" x14ac:dyDescent="0.2">
      <c r="E927" s="219">
        <f>BASE!B785</f>
        <v>92738</v>
      </c>
    </row>
    <row r="928" spans="5:5" ht="12.75" hidden="1" customHeight="1" x14ac:dyDescent="0.2">
      <c r="E928" s="219">
        <f>BASE!B786</f>
        <v>92746</v>
      </c>
    </row>
    <row r="929" spans="5:5" ht="12.75" hidden="1" customHeight="1" x14ac:dyDescent="0.2">
      <c r="E929" s="219">
        <f>BASE!B787</f>
        <v>92754</v>
      </c>
    </row>
    <row r="930" spans="5:5" ht="12.75" hidden="1" customHeight="1" x14ac:dyDescent="0.2">
      <c r="E930" s="219">
        <f>BASE!B788</f>
        <v>92762</v>
      </c>
    </row>
    <row r="931" spans="5:5" ht="12.75" hidden="1" customHeight="1" x14ac:dyDescent="0.2">
      <c r="E931" s="219">
        <f>BASE!B789</f>
        <v>92771</v>
      </c>
    </row>
    <row r="932" spans="5:5" ht="12.75" hidden="1" customHeight="1" x14ac:dyDescent="0.2">
      <c r="E932" s="219">
        <f>BASE!B790</f>
        <v>92789</v>
      </c>
    </row>
    <row r="933" spans="5:5" ht="12.75" hidden="1" customHeight="1" x14ac:dyDescent="0.2">
      <c r="E933" s="219">
        <f>BASE!B791</f>
        <v>92797</v>
      </c>
    </row>
    <row r="934" spans="5:5" ht="12.75" hidden="1" customHeight="1" x14ac:dyDescent="0.2">
      <c r="E934" s="219">
        <f>BASE!B792</f>
        <v>92801</v>
      </c>
    </row>
    <row r="935" spans="5:5" ht="12.75" hidden="1" customHeight="1" x14ac:dyDescent="0.2">
      <c r="E935" s="219">
        <f>BASE!B793</f>
        <v>92819</v>
      </c>
    </row>
    <row r="936" spans="5:5" ht="12.75" hidden="1" customHeight="1" x14ac:dyDescent="0.2">
      <c r="E936" s="219">
        <f>BASE!B794</f>
        <v>92827</v>
      </c>
    </row>
    <row r="937" spans="5:5" ht="12.75" hidden="1" customHeight="1" x14ac:dyDescent="0.2">
      <c r="E937" s="219">
        <f>BASE!B795</f>
        <v>92835</v>
      </c>
    </row>
    <row r="938" spans="5:5" ht="12.75" hidden="1" customHeight="1" x14ac:dyDescent="0.2">
      <c r="E938" s="219">
        <f>BASE!B796</f>
        <v>92843</v>
      </c>
    </row>
    <row r="939" spans="5:5" ht="12.75" hidden="1" customHeight="1" x14ac:dyDescent="0.2">
      <c r="E939" s="219">
        <f>BASE!B797</f>
        <v>92851</v>
      </c>
    </row>
    <row r="940" spans="5:5" ht="12.75" hidden="1" customHeight="1" x14ac:dyDescent="0.2">
      <c r="E940" s="219">
        <f>BASE!B798</f>
        <v>92860</v>
      </c>
    </row>
    <row r="941" spans="5:5" ht="12.75" hidden="1" customHeight="1" x14ac:dyDescent="0.2">
      <c r="E941" s="219">
        <f>BASE!B799</f>
        <v>92878</v>
      </c>
    </row>
    <row r="942" spans="5:5" ht="12.75" hidden="1" customHeight="1" x14ac:dyDescent="0.2">
      <c r="E942" s="219">
        <f>BASE!B800</f>
        <v>92886</v>
      </c>
    </row>
    <row r="943" spans="5:5" ht="12.75" hidden="1" customHeight="1" x14ac:dyDescent="0.2">
      <c r="E943" s="219">
        <f>BASE!B801</f>
        <v>92894</v>
      </c>
    </row>
    <row r="944" spans="5:5" ht="12.75" hidden="1" customHeight="1" x14ac:dyDescent="0.2">
      <c r="E944" s="219">
        <f>BASE!B802</f>
        <v>92908</v>
      </c>
    </row>
    <row r="945" spans="5:5" ht="12.75" hidden="1" customHeight="1" x14ac:dyDescent="0.2">
      <c r="E945" s="219">
        <f>BASE!B803</f>
        <v>92916</v>
      </c>
    </row>
    <row r="946" spans="5:5" ht="12.75" hidden="1" customHeight="1" x14ac:dyDescent="0.2">
      <c r="E946" s="219">
        <f>BASE!B804</f>
        <v>92924</v>
      </c>
    </row>
    <row r="947" spans="5:5" ht="12.75" hidden="1" customHeight="1" x14ac:dyDescent="0.2">
      <c r="E947" s="219">
        <f>BASE!B805</f>
        <v>92932</v>
      </c>
    </row>
    <row r="948" spans="5:5" ht="12.75" hidden="1" customHeight="1" x14ac:dyDescent="0.2">
      <c r="E948" s="219">
        <f>BASE!B806</f>
        <v>92941</v>
      </c>
    </row>
    <row r="949" spans="5:5" ht="12.75" hidden="1" customHeight="1" x14ac:dyDescent="0.2">
      <c r="E949" s="219">
        <f>BASE!B807</f>
        <v>92959</v>
      </c>
    </row>
    <row r="950" spans="5:5" ht="12.75" hidden="1" customHeight="1" x14ac:dyDescent="0.2">
      <c r="E950" s="219">
        <f>BASE!B808</f>
        <v>92967</v>
      </c>
    </row>
    <row r="951" spans="5:5" ht="12.75" hidden="1" customHeight="1" x14ac:dyDescent="0.2">
      <c r="E951" s="219">
        <f>BASE!B809</f>
        <v>92975</v>
      </c>
    </row>
    <row r="952" spans="5:5" ht="12.75" hidden="1" customHeight="1" x14ac:dyDescent="0.2">
      <c r="E952" s="219">
        <f>BASE!B810</f>
        <v>92983</v>
      </c>
    </row>
    <row r="953" spans="5:5" ht="12.75" hidden="1" customHeight="1" x14ac:dyDescent="0.2">
      <c r="E953" s="219">
        <f>BASE!B811</f>
        <v>92991</v>
      </c>
    </row>
    <row r="954" spans="5:5" ht="12.75" hidden="1" customHeight="1" x14ac:dyDescent="0.2">
      <c r="E954" s="219">
        <f>BASE!B812</f>
        <v>93009</v>
      </c>
    </row>
    <row r="955" spans="5:5" ht="12.75" hidden="1" customHeight="1" x14ac:dyDescent="0.2">
      <c r="E955" s="219">
        <f>BASE!B813</f>
        <v>93017</v>
      </c>
    </row>
    <row r="956" spans="5:5" ht="12.75" hidden="1" customHeight="1" x14ac:dyDescent="0.2">
      <c r="E956" s="219">
        <f>BASE!B814</f>
        <v>93025</v>
      </c>
    </row>
    <row r="957" spans="5:5" ht="12.75" hidden="1" customHeight="1" x14ac:dyDescent="0.2">
      <c r="E957" s="219">
        <f>BASE!B815</f>
        <v>93033</v>
      </c>
    </row>
    <row r="958" spans="5:5" ht="12.75" hidden="1" customHeight="1" x14ac:dyDescent="0.2">
      <c r="E958" s="219">
        <f>BASE!B816</f>
        <v>93041</v>
      </c>
    </row>
    <row r="959" spans="5:5" ht="12.75" hidden="1" customHeight="1" x14ac:dyDescent="0.2">
      <c r="E959" s="219">
        <f>BASE!B817</f>
        <v>93050</v>
      </c>
    </row>
    <row r="960" spans="5:5" ht="12.75" hidden="1" customHeight="1" x14ac:dyDescent="0.2">
      <c r="E960" s="219">
        <f>BASE!B818</f>
        <v>93068</v>
      </c>
    </row>
    <row r="961" spans="5:5" ht="12.75" hidden="1" customHeight="1" x14ac:dyDescent="0.2">
      <c r="E961" s="219">
        <f>BASE!B819</f>
        <v>93076</v>
      </c>
    </row>
    <row r="962" spans="5:5" ht="12.75" hidden="1" customHeight="1" x14ac:dyDescent="0.2">
      <c r="E962" s="219">
        <f>BASE!B820</f>
        <v>93084</v>
      </c>
    </row>
    <row r="963" spans="5:5" ht="12.75" hidden="1" customHeight="1" x14ac:dyDescent="0.2">
      <c r="E963" s="219">
        <f>BASE!B821</f>
        <v>93092</v>
      </c>
    </row>
    <row r="964" spans="5:5" ht="12.75" hidden="1" customHeight="1" x14ac:dyDescent="0.2">
      <c r="E964" s="219">
        <f>BASE!B822</f>
        <v>93106</v>
      </c>
    </row>
    <row r="965" spans="5:5" ht="12.75" hidden="1" customHeight="1" x14ac:dyDescent="0.2">
      <c r="E965" s="219">
        <f>BASE!B823</f>
        <v>93114</v>
      </c>
    </row>
    <row r="966" spans="5:5" ht="12.75" hidden="1" customHeight="1" x14ac:dyDescent="0.2">
      <c r="E966" s="219">
        <f>BASE!B824</f>
        <v>93122</v>
      </c>
    </row>
    <row r="967" spans="5:5" ht="12.75" hidden="1" customHeight="1" x14ac:dyDescent="0.2">
      <c r="E967" s="219">
        <f>BASE!B825</f>
        <v>93131</v>
      </c>
    </row>
    <row r="968" spans="5:5" ht="12.75" hidden="1" customHeight="1" x14ac:dyDescent="0.2">
      <c r="E968" s="219">
        <f>BASE!B826</f>
        <v>93149</v>
      </c>
    </row>
    <row r="969" spans="5:5" ht="12.75" hidden="1" customHeight="1" x14ac:dyDescent="0.2">
      <c r="E969" s="219">
        <f>BASE!B827</f>
        <v>93157</v>
      </c>
    </row>
    <row r="970" spans="5:5" ht="12.75" hidden="1" customHeight="1" x14ac:dyDescent="0.2">
      <c r="E970" s="219">
        <f>BASE!B828</f>
        <v>93165</v>
      </c>
    </row>
    <row r="971" spans="5:5" ht="12.75" hidden="1" customHeight="1" x14ac:dyDescent="0.2">
      <c r="E971" s="219">
        <f>BASE!B829</f>
        <v>93173</v>
      </c>
    </row>
    <row r="972" spans="5:5" ht="12.75" hidden="1" customHeight="1" x14ac:dyDescent="0.2">
      <c r="E972" s="219">
        <f>BASE!B830</f>
        <v>93181</v>
      </c>
    </row>
    <row r="973" spans="5:5" ht="12.75" hidden="1" customHeight="1" x14ac:dyDescent="0.2">
      <c r="E973" s="219">
        <f>BASE!B831</f>
        <v>93190</v>
      </c>
    </row>
    <row r="974" spans="5:5" ht="12.75" hidden="1" customHeight="1" x14ac:dyDescent="0.2">
      <c r="E974" s="219">
        <f>BASE!B832</f>
        <v>93203</v>
      </c>
    </row>
    <row r="975" spans="5:5" ht="12.75" hidden="1" customHeight="1" x14ac:dyDescent="0.2">
      <c r="E975" s="219">
        <f>BASE!B833</f>
        <v>93211</v>
      </c>
    </row>
    <row r="976" spans="5:5" ht="12.75" hidden="1" customHeight="1" x14ac:dyDescent="0.2">
      <c r="E976" s="219">
        <f>BASE!B834</f>
        <v>93220</v>
      </c>
    </row>
    <row r="977" spans="5:5" ht="12.75" hidden="1" customHeight="1" x14ac:dyDescent="0.2">
      <c r="E977" s="219">
        <f>BASE!B835</f>
        <v>93238</v>
      </c>
    </row>
    <row r="978" spans="5:5" ht="12.75" hidden="1" customHeight="1" x14ac:dyDescent="0.2">
      <c r="E978" s="219">
        <f>BASE!B836</f>
        <v>93246</v>
      </c>
    </row>
    <row r="979" spans="5:5" ht="12.75" hidden="1" customHeight="1" x14ac:dyDescent="0.2">
      <c r="E979" s="219">
        <f>BASE!B837</f>
        <v>93254</v>
      </c>
    </row>
    <row r="980" spans="5:5" ht="12.75" hidden="1" customHeight="1" x14ac:dyDescent="0.2">
      <c r="E980" s="219">
        <f>BASE!B838</f>
        <v>93262</v>
      </c>
    </row>
    <row r="981" spans="5:5" ht="12.75" hidden="1" customHeight="1" x14ac:dyDescent="0.2">
      <c r="E981" s="219">
        <f>BASE!B839</f>
        <v>93271</v>
      </c>
    </row>
    <row r="982" spans="5:5" ht="12.75" hidden="1" customHeight="1" x14ac:dyDescent="0.2">
      <c r="E982" s="219">
        <f>BASE!B840</f>
        <v>93289</v>
      </c>
    </row>
    <row r="983" spans="5:5" ht="12.75" hidden="1" customHeight="1" x14ac:dyDescent="0.2">
      <c r="E983" s="219">
        <f>BASE!B841</f>
        <v>93297</v>
      </c>
    </row>
    <row r="984" spans="5:5" ht="12.75" hidden="1" customHeight="1" x14ac:dyDescent="0.2">
      <c r="E984" s="219">
        <f>BASE!B842</f>
        <v>93301</v>
      </c>
    </row>
    <row r="985" spans="5:5" ht="12.75" hidden="1" customHeight="1" x14ac:dyDescent="0.2">
      <c r="E985" s="219">
        <f>BASE!B843</f>
        <v>93319</v>
      </c>
    </row>
    <row r="986" spans="5:5" ht="12.75" hidden="1" customHeight="1" x14ac:dyDescent="0.2">
      <c r="E986" s="219">
        <f>BASE!B844</f>
        <v>93327</v>
      </c>
    </row>
    <row r="987" spans="5:5" ht="12.75" hidden="1" customHeight="1" x14ac:dyDescent="0.2">
      <c r="E987" s="219">
        <f>BASE!B845</f>
        <v>93335</v>
      </c>
    </row>
    <row r="988" spans="5:5" ht="12.75" hidden="1" customHeight="1" x14ac:dyDescent="0.2">
      <c r="E988" s="219">
        <f>BASE!B846</f>
        <v>93343</v>
      </c>
    </row>
    <row r="989" spans="5:5" ht="12.75" hidden="1" customHeight="1" x14ac:dyDescent="0.2">
      <c r="E989" s="219">
        <f>BASE!B847</f>
        <v>93351</v>
      </c>
    </row>
    <row r="990" spans="5:5" ht="12.75" hidden="1" customHeight="1" x14ac:dyDescent="0.2">
      <c r="E990" s="219">
        <f>BASE!B848</f>
        <v>93360</v>
      </c>
    </row>
    <row r="991" spans="5:5" ht="12.75" hidden="1" customHeight="1" x14ac:dyDescent="0.2">
      <c r="E991" s="219">
        <f>BASE!B849</f>
        <v>93378</v>
      </c>
    </row>
    <row r="992" spans="5:5" ht="12.75" hidden="1" customHeight="1" x14ac:dyDescent="0.2">
      <c r="E992" s="219">
        <f>BASE!B850</f>
        <v>93386</v>
      </c>
    </row>
    <row r="993" spans="5:5" ht="12.75" hidden="1" customHeight="1" x14ac:dyDescent="0.2">
      <c r="E993" s="219">
        <f>BASE!B851</f>
        <v>93394</v>
      </c>
    </row>
    <row r="994" spans="5:5" ht="12.75" hidden="1" customHeight="1" x14ac:dyDescent="0.2">
      <c r="E994" s="219">
        <f>BASE!B852</f>
        <v>93408</v>
      </c>
    </row>
    <row r="995" spans="5:5" ht="12.75" hidden="1" customHeight="1" x14ac:dyDescent="0.2">
      <c r="E995" s="219">
        <f>BASE!B853</f>
        <v>93416</v>
      </c>
    </row>
    <row r="996" spans="5:5" ht="12.75" hidden="1" customHeight="1" x14ac:dyDescent="0.2">
      <c r="E996" s="219">
        <f>BASE!B854</f>
        <v>93424</v>
      </c>
    </row>
    <row r="997" spans="5:5" ht="12.75" hidden="1" customHeight="1" x14ac:dyDescent="0.2">
      <c r="E997" s="219">
        <f>BASE!B855</f>
        <v>93432</v>
      </c>
    </row>
    <row r="998" spans="5:5" ht="12.75" hidden="1" customHeight="1" x14ac:dyDescent="0.2">
      <c r="E998" s="219">
        <f>BASE!B856</f>
        <v>93441</v>
      </c>
    </row>
    <row r="999" spans="5:5" ht="12.75" hidden="1" customHeight="1" x14ac:dyDescent="0.2">
      <c r="E999" s="219">
        <f>BASE!B857</f>
        <v>93459</v>
      </c>
    </row>
    <row r="1000" spans="5:5" ht="12.75" hidden="1" customHeight="1" x14ac:dyDescent="0.2">
      <c r="E1000" s="219">
        <f>BASE!B858</f>
        <v>93467</v>
      </c>
    </row>
    <row r="1001" spans="5:5" ht="12.75" hidden="1" customHeight="1" x14ac:dyDescent="0.2">
      <c r="E1001" s="219">
        <f>BASE!B859</f>
        <v>93475</v>
      </c>
    </row>
    <row r="1002" spans="5:5" ht="12.75" hidden="1" customHeight="1" x14ac:dyDescent="0.2">
      <c r="E1002" s="219">
        <f>BASE!B860</f>
        <v>93483</v>
      </c>
    </row>
    <row r="1003" spans="5:5" ht="12.75" hidden="1" customHeight="1" x14ac:dyDescent="0.2">
      <c r="E1003" s="219">
        <f>BASE!B861</f>
        <v>93491</v>
      </c>
    </row>
    <row r="1004" spans="5:5" ht="12.75" hidden="1" customHeight="1" x14ac:dyDescent="0.2">
      <c r="E1004" s="219">
        <f>BASE!B862</f>
        <v>93505</v>
      </c>
    </row>
    <row r="1005" spans="5:5" ht="12.75" hidden="1" customHeight="1" x14ac:dyDescent="0.2">
      <c r="E1005" s="219">
        <f>BASE!B863</f>
        <v>93513</v>
      </c>
    </row>
    <row r="1006" spans="5:5" ht="12.75" hidden="1" customHeight="1" x14ac:dyDescent="0.2">
      <c r="E1006" s="219">
        <f>BASE!B864</f>
        <v>93521</v>
      </c>
    </row>
    <row r="1007" spans="5:5" ht="12.75" hidden="1" customHeight="1" x14ac:dyDescent="0.2">
      <c r="E1007" s="219">
        <f>BASE!B865</f>
        <v>93530</v>
      </c>
    </row>
    <row r="1008" spans="5:5" ht="12.75" hidden="1" customHeight="1" x14ac:dyDescent="0.2">
      <c r="E1008" s="219">
        <f>BASE!B866</f>
        <v>93548</v>
      </c>
    </row>
    <row r="1009" spans="5:5" ht="12.75" hidden="1" customHeight="1" x14ac:dyDescent="0.2">
      <c r="E1009" s="219">
        <f>BASE!B867</f>
        <v>93556</v>
      </c>
    </row>
    <row r="1010" spans="5:5" ht="12.75" hidden="1" customHeight="1" x14ac:dyDescent="0.2">
      <c r="E1010" s="219">
        <f>BASE!B868</f>
        <v>93564</v>
      </c>
    </row>
    <row r="1011" spans="5:5" ht="12.75" hidden="1" customHeight="1" x14ac:dyDescent="0.2">
      <c r="E1011" s="219">
        <f>BASE!B869</f>
        <v>93572</v>
      </c>
    </row>
    <row r="1012" spans="5:5" ht="12.75" hidden="1" customHeight="1" x14ac:dyDescent="0.2">
      <c r="E1012" s="219">
        <f>BASE!B870</f>
        <v>93581</v>
      </c>
    </row>
    <row r="1013" spans="5:5" ht="12.75" hidden="1" customHeight="1" x14ac:dyDescent="0.2">
      <c r="E1013" s="219">
        <f>BASE!B871</f>
        <v>93599</v>
      </c>
    </row>
    <row r="1014" spans="5:5" ht="12.75" hidden="1" customHeight="1" x14ac:dyDescent="0.2">
      <c r="E1014" s="219">
        <f>BASE!B872</f>
        <v>93602</v>
      </c>
    </row>
    <row r="1015" spans="5:5" ht="12.75" hidden="1" customHeight="1" x14ac:dyDescent="0.2">
      <c r="E1015" s="219">
        <f>BASE!B873</f>
        <v>93611</v>
      </c>
    </row>
    <row r="1016" spans="5:5" ht="12.75" hidden="1" customHeight="1" x14ac:dyDescent="0.2">
      <c r="E1016" s="219">
        <f>BASE!B874</f>
        <v>93629</v>
      </c>
    </row>
    <row r="1017" spans="5:5" ht="12.75" hidden="1" customHeight="1" x14ac:dyDescent="0.2">
      <c r="E1017" s="219">
        <f>BASE!B875</f>
        <v>93637</v>
      </c>
    </row>
    <row r="1018" spans="5:5" ht="12.75" hidden="1" customHeight="1" x14ac:dyDescent="0.2">
      <c r="E1018" s="219">
        <f>BASE!B876</f>
        <v>93645</v>
      </c>
    </row>
    <row r="1019" spans="5:5" ht="12.75" hidden="1" customHeight="1" x14ac:dyDescent="0.2">
      <c r="E1019" s="219">
        <f>BASE!B877</f>
        <v>93653</v>
      </c>
    </row>
    <row r="1020" spans="5:5" ht="12.75" hidden="1" customHeight="1" x14ac:dyDescent="0.2">
      <c r="E1020" s="219">
        <f>BASE!B878</f>
        <v>93661</v>
      </c>
    </row>
    <row r="1021" spans="5:5" ht="12.75" hidden="1" customHeight="1" x14ac:dyDescent="0.2">
      <c r="E1021" s="219">
        <f>BASE!B879</f>
        <v>93670</v>
      </c>
    </row>
    <row r="1022" spans="5:5" ht="12.75" hidden="1" customHeight="1" x14ac:dyDescent="0.2">
      <c r="E1022" s="219">
        <f>BASE!B880</f>
        <v>93688</v>
      </c>
    </row>
    <row r="1023" spans="5:5" ht="12.75" hidden="1" customHeight="1" x14ac:dyDescent="0.2">
      <c r="E1023" s="219">
        <f>BASE!B881</f>
        <v>93696</v>
      </c>
    </row>
    <row r="1024" spans="5:5" ht="12.75" hidden="1" customHeight="1" x14ac:dyDescent="0.2">
      <c r="E1024" s="219">
        <f>BASE!B882</f>
        <v>93700</v>
      </c>
    </row>
    <row r="1025" spans="5:5" ht="12.75" hidden="1" customHeight="1" x14ac:dyDescent="0.2">
      <c r="E1025" s="219">
        <f>BASE!B883</f>
        <v>93718</v>
      </c>
    </row>
    <row r="1026" spans="5:5" ht="12.75" hidden="1" customHeight="1" x14ac:dyDescent="0.2">
      <c r="E1026" s="219">
        <f>BASE!B884</f>
        <v>93726</v>
      </c>
    </row>
    <row r="1027" spans="5:5" ht="12.75" hidden="1" customHeight="1" x14ac:dyDescent="0.2">
      <c r="E1027" s="219">
        <f>BASE!B885</f>
        <v>93734</v>
      </c>
    </row>
    <row r="1028" spans="5:5" ht="12.75" hidden="1" customHeight="1" x14ac:dyDescent="0.2">
      <c r="E1028" s="219">
        <f>BASE!B886</f>
        <v>93742</v>
      </c>
    </row>
    <row r="1029" spans="5:5" ht="12.75" hidden="1" customHeight="1" x14ac:dyDescent="0.2">
      <c r="E1029" s="219">
        <f>BASE!B887</f>
        <v>93751</v>
      </c>
    </row>
    <row r="1030" spans="5:5" ht="12.75" hidden="1" customHeight="1" x14ac:dyDescent="0.2">
      <c r="E1030" s="219">
        <f>BASE!B888</f>
        <v>93769</v>
      </c>
    </row>
    <row r="1031" spans="5:5" ht="12.75" hidden="1" customHeight="1" x14ac:dyDescent="0.2">
      <c r="E1031" s="219">
        <f>BASE!B889</f>
        <v>93777</v>
      </c>
    </row>
    <row r="1032" spans="5:5" ht="12.75" hidden="1" customHeight="1" x14ac:dyDescent="0.2">
      <c r="E1032" s="219">
        <f>BASE!B890</f>
        <v>93785</v>
      </c>
    </row>
    <row r="1033" spans="5:5" ht="12.75" hidden="1" customHeight="1" x14ac:dyDescent="0.2">
      <c r="E1033" s="219">
        <f>BASE!B891</f>
        <v>93793</v>
      </c>
    </row>
    <row r="1034" spans="5:5" ht="12.75" hidden="1" customHeight="1" x14ac:dyDescent="0.2">
      <c r="E1034" s="219">
        <f>BASE!B892</f>
        <v>93807</v>
      </c>
    </row>
    <row r="1035" spans="5:5" ht="12.75" hidden="1" customHeight="1" x14ac:dyDescent="0.2">
      <c r="E1035" s="219">
        <f>BASE!B893</f>
        <v>93815</v>
      </c>
    </row>
    <row r="1036" spans="5:5" ht="12.75" hidden="1" customHeight="1" x14ac:dyDescent="0.2">
      <c r="E1036" s="219">
        <f>BASE!B894</f>
        <v>93823</v>
      </c>
    </row>
    <row r="1037" spans="5:5" ht="12.75" hidden="1" customHeight="1" x14ac:dyDescent="0.2">
      <c r="E1037" s="219">
        <f>BASE!B895</f>
        <v>93831</v>
      </c>
    </row>
    <row r="1038" spans="5:5" ht="12.75" hidden="1" customHeight="1" x14ac:dyDescent="0.2">
      <c r="E1038" s="219">
        <f>BASE!B896</f>
        <v>93840</v>
      </c>
    </row>
    <row r="1039" spans="5:5" ht="12.75" hidden="1" customHeight="1" x14ac:dyDescent="0.2">
      <c r="E1039" s="219">
        <f>BASE!B897</f>
        <v>93858</v>
      </c>
    </row>
    <row r="1040" spans="5:5" ht="12.75" hidden="1" customHeight="1" x14ac:dyDescent="0.2">
      <c r="E1040" s="219">
        <f>BASE!B898</f>
        <v>93866</v>
      </c>
    </row>
    <row r="1041" spans="5:5" ht="12.75" hidden="1" customHeight="1" x14ac:dyDescent="0.2">
      <c r="E1041" s="219">
        <f>BASE!B899</f>
        <v>93874</v>
      </c>
    </row>
    <row r="1042" spans="5:5" ht="12.75" hidden="1" customHeight="1" x14ac:dyDescent="0.2">
      <c r="E1042" s="219">
        <f>BASE!B900</f>
        <v>93882</v>
      </c>
    </row>
    <row r="1043" spans="5:5" ht="12.75" hidden="1" customHeight="1" x14ac:dyDescent="0.2">
      <c r="E1043" s="219">
        <f>BASE!B901</f>
        <v>93891</v>
      </c>
    </row>
    <row r="1044" spans="5:5" ht="12.75" hidden="1" customHeight="1" x14ac:dyDescent="0.2">
      <c r="E1044" s="219">
        <f>BASE!B902</f>
        <v>93904</v>
      </c>
    </row>
    <row r="1045" spans="5:5" ht="12.75" hidden="1" customHeight="1" x14ac:dyDescent="0.2">
      <c r="E1045" s="219">
        <f>BASE!B903</f>
        <v>93912</v>
      </c>
    </row>
    <row r="1046" spans="5:5" ht="12.75" hidden="1" customHeight="1" x14ac:dyDescent="0.2">
      <c r="E1046" s="219">
        <f>BASE!B904</f>
        <v>93921</v>
      </c>
    </row>
    <row r="1047" spans="5:5" ht="12.75" hidden="1" customHeight="1" x14ac:dyDescent="0.2">
      <c r="E1047" s="219">
        <f>BASE!B905</f>
        <v>93939</v>
      </c>
    </row>
    <row r="1048" spans="5:5" ht="12.75" hidden="1" customHeight="1" x14ac:dyDescent="0.2">
      <c r="E1048" s="219">
        <f>BASE!B906</f>
        <v>93947</v>
      </c>
    </row>
    <row r="1049" spans="5:5" ht="12.75" hidden="1" customHeight="1" x14ac:dyDescent="0.2">
      <c r="E1049" s="219">
        <f>BASE!B907</f>
        <v>93955</v>
      </c>
    </row>
    <row r="1050" spans="5:5" ht="12.75" hidden="1" customHeight="1" x14ac:dyDescent="0.2">
      <c r="E1050" s="219">
        <f>BASE!B908</f>
        <v>93963</v>
      </c>
    </row>
    <row r="1051" spans="5:5" ht="12.75" hidden="1" customHeight="1" x14ac:dyDescent="0.2">
      <c r="E1051" s="219">
        <f>BASE!B909</f>
        <v>93971</v>
      </c>
    </row>
    <row r="1052" spans="5:5" ht="12.75" hidden="1" customHeight="1" x14ac:dyDescent="0.2">
      <c r="E1052" s="219">
        <f>BASE!B910</f>
        <v>93980</v>
      </c>
    </row>
    <row r="1053" spans="5:5" ht="12.75" hidden="1" customHeight="1" x14ac:dyDescent="0.2">
      <c r="E1053" s="219">
        <f>BASE!B911</f>
        <v>93998</v>
      </c>
    </row>
    <row r="1054" spans="5:5" ht="12.75" hidden="1" customHeight="1" x14ac:dyDescent="0.2">
      <c r="E1054" s="219">
        <f>BASE!B912</f>
        <v>94005</v>
      </c>
    </row>
    <row r="1055" spans="5:5" ht="12.75" hidden="1" customHeight="1" x14ac:dyDescent="0.2">
      <c r="E1055" s="219">
        <f>BASE!B913</f>
        <v>94013</v>
      </c>
    </row>
    <row r="1056" spans="5:5" ht="12.75" hidden="1" customHeight="1" x14ac:dyDescent="0.2">
      <c r="E1056" s="219">
        <f>BASE!B914</f>
        <v>94021</v>
      </c>
    </row>
    <row r="1057" spans="5:5" ht="12.75" hidden="1" customHeight="1" x14ac:dyDescent="0.2">
      <c r="E1057" s="219">
        <f>BASE!B915</f>
        <v>94030</v>
      </c>
    </row>
    <row r="1058" spans="5:5" ht="12.75" hidden="1" customHeight="1" x14ac:dyDescent="0.2">
      <c r="E1058" s="219">
        <f>BASE!B916</f>
        <v>94048</v>
      </c>
    </row>
    <row r="1059" spans="5:5" ht="12.75" hidden="1" customHeight="1" x14ac:dyDescent="0.2">
      <c r="E1059" s="219">
        <f>BASE!B917</f>
        <v>94056</v>
      </c>
    </row>
    <row r="1060" spans="5:5" ht="12.75" hidden="1" customHeight="1" x14ac:dyDescent="0.2">
      <c r="E1060" s="219">
        <f>BASE!B918</f>
        <v>94064</v>
      </c>
    </row>
    <row r="1061" spans="5:5" ht="12.75" hidden="1" customHeight="1" x14ac:dyDescent="0.2">
      <c r="E1061" s="219">
        <f>BASE!B919</f>
        <v>94072</v>
      </c>
    </row>
    <row r="1062" spans="5:5" ht="12.75" hidden="1" customHeight="1" x14ac:dyDescent="0.2">
      <c r="E1062" s="219">
        <f>BASE!B920</f>
        <v>94081</v>
      </c>
    </row>
    <row r="1063" spans="5:5" ht="12.75" hidden="1" customHeight="1" x14ac:dyDescent="0.2">
      <c r="E1063" s="219">
        <f>BASE!B921</f>
        <v>94099</v>
      </c>
    </row>
    <row r="1064" spans="5:5" ht="12.75" hidden="1" customHeight="1" x14ac:dyDescent="0.2">
      <c r="E1064" s="219">
        <f>BASE!B922</f>
        <v>94102</v>
      </c>
    </row>
    <row r="1065" spans="5:5" ht="12.75" hidden="1" customHeight="1" x14ac:dyDescent="0.2">
      <c r="E1065" s="219">
        <f>BASE!B923</f>
        <v>94111</v>
      </c>
    </row>
    <row r="1066" spans="5:5" ht="12.75" hidden="1" customHeight="1" x14ac:dyDescent="0.2">
      <c r="E1066" s="219">
        <f>BASE!B924</f>
        <v>94129</v>
      </c>
    </row>
    <row r="1067" spans="5:5" ht="12.75" hidden="1" customHeight="1" x14ac:dyDescent="0.2">
      <c r="E1067" s="219">
        <f>BASE!B925</f>
        <v>94137</v>
      </c>
    </row>
    <row r="1068" spans="5:5" ht="12.75" hidden="1" customHeight="1" x14ac:dyDescent="0.2">
      <c r="E1068" s="219">
        <f>BASE!B926</f>
        <v>94145</v>
      </c>
    </row>
    <row r="1069" spans="5:5" ht="12.75" hidden="1" customHeight="1" x14ac:dyDescent="0.2">
      <c r="E1069" s="219">
        <f>BASE!B927</f>
        <v>94153</v>
      </c>
    </row>
    <row r="1070" spans="5:5" ht="12.75" hidden="1" customHeight="1" x14ac:dyDescent="0.2">
      <c r="E1070" s="219">
        <f>BASE!B928</f>
        <v>94161</v>
      </c>
    </row>
    <row r="1071" spans="5:5" ht="12.75" hidden="1" customHeight="1" x14ac:dyDescent="0.2">
      <c r="E1071" s="219">
        <f>BASE!B929</f>
        <v>94170</v>
      </c>
    </row>
    <row r="1072" spans="5:5" ht="12.75" hidden="1" customHeight="1" x14ac:dyDescent="0.2">
      <c r="E1072" s="219">
        <f>BASE!B930</f>
        <v>94188</v>
      </c>
    </row>
    <row r="1073" spans="5:5" ht="12.75" hidden="1" customHeight="1" x14ac:dyDescent="0.2">
      <c r="E1073" s="219">
        <f>BASE!B931</f>
        <v>94196</v>
      </c>
    </row>
    <row r="1074" spans="5:5" ht="12.75" hidden="1" customHeight="1" x14ac:dyDescent="0.2">
      <c r="E1074" s="219">
        <f>BASE!B932</f>
        <v>94200</v>
      </c>
    </row>
    <row r="1075" spans="5:5" ht="12.75" hidden="1" customHeight="1" x14ac:dyDescent="0.2">
      <c r="E1075" s="219">
        <f>BASE!B933</f>
        <v>94218</v>
      </c>
    </row>
    <row r="1076" spans="5:5" ht="12.75" hidden="1" customHeight="1" x14ac:dyDescent="0.2">
      <c r="E1076" s="219">
        <f>BASE!B934</f>
        <v>94226</v>
      </c>
    </row>
    <row r="1077" spans="5:5" ht="12.75" hidden="1" customHeight="1" x14ac:dyDescent="0.2">
      <c r="E1077" s="219">
        <f>BASE!B935</f>
        <v>94234</v>
      </c>
    </row>
    <row r="1078" spans="5:5" ht="12.75" hidden="1" customHeight="1" x14ac:dyDescent="0.2">
      <c r="E1078" s="219">
        <f>BASE!B936</f>
        <v>94242</v>
      </c>
    </row>
    <row r="1079" spans="5:5" ht="12.75" hidden="1" customHeight="1" x14ac:dyDescent="0.2">
      <c r="E1079" s="219">
        <f>BASE!B937</f>
        <v>94251</v>
      </c>
    </row>
    <row r="1080" spans="5:5" ht="12.75" hidden="1" customHeight="1" x14ac:dyDescent="0.2">
      <c r="E1080" s="219">
        <f>BASE!B938</f>
        <v>94269</v>
      </c>
    </row>
    <row r="1081" spans="5:5" ht="12.75" hidden="1" customHeight="1" x14ac:dyDescent="0.2">
      <c r="E1081" s="219">
        <f>BASE!B939</f>
        <v>94277</v>
      </c>
    </row>
    <row r="1082" spans="5:5" ht="12.75" hidden="1" customHeight="1" x14ac:dyDescent="0.2">
      <c r="E1082" s="219">
        <f>BASE!B940</f>
        <v>94285</v>
      </c>
    </row>
    <row r="1083" spans="5:5" ht="12.75" hidden="1" customHeight="1" x14ac:dyDescent="0.2">
      <c r="E1083" s="219">
        <f>BASE!B941</f>
        <v>94293</v>
      </c>
    </row>
    <row r="1084" spans="5:5" ht="12.75" hidden="1" customHeight="1" x14ac:dyDescent="0.2">
      <c r="E1084" s="219">
        <f>BASE!B942</f>
        <v>94307</v>
      </c>
    </row>
    <row r="1085" spans="5:5" ht="12.75" hidden="1" customHeight="1" x14ac:dyDescent="0.2">
      <c r="E1085" s="219">
        <f>BASE!B943</f>
        <v>94315</v>
      </c>
    </row>
    <row r="1086" spans="5:5" ht="12.75" hidden="1" customHeight="1" x14ac:dyDescent="0.2">
      <c r="E1086" s="219">
        <f>BASE!B944</f>
        <v>94323</v>
      </c>
    </row>
    <row r="1087" spans="5:5" ht="12.75" hidden="1" customHeight="1" x14ac:dyDescent="0.2">
      <c r="E1087" s="219">
        <f>BASE!B945</f>
        <v>94331</v>
      </c>
    </row>
    <row r="1088" spans="5:5" ht="12.75" hidden="1" customHeight="1" x14ac:dyDescent="0.2">
      <c r="E1088" s="219">
        <f>BASE!B946</f>
        <v>94340</v>
      </c>
    </row>
    <row r="1089" spans="5:5" ht="12.75" hidden="1" customHeight="1" x14ac:dyDescent="0.2">
      <c r="E1089" s="219">
        <f>BASE!B947</f>
        <v>94358</v>
      </c>
    </row>
    <row r="1090" spans="5:5" ht="12.75" hidden="1" customHeight="1" x14ac:dyDescent="0.2">
      <c r="E1090" s="219">
        <f>BASE!B948</f>
        <v>94366</v>
      </c>
    </row>
    <row r="1091" spans="5:5" ht="12.75" hidden="1" customHeight="1" x14ac:dyDescent="0.2">
      <c r="E1091" s="219">
        <f>BASE!B949</f>
        <v>94374</v>
      </c>
    </row>
    <row r="1092" spans="5:5" ht="12.75" hidden="1" customHeight="1" x14ac:dyDescent="0.2">
      <c r="E1092" s="219">
        <f>BASE!B950</f>
        <v>94382</v>
      </c>
    </row>
    <row r="1093" spans="5:5" ht="12.75" hidden="1" customHeight="1" x14ac:dyDescent="0.2">
      <c r="E1093" s="219">
        <f>BASE!B951</f>
        <v>94391</v>
      </c>
    </row>
    <row r="1094" spans="5:5" ht="12.75" hidden="1" customHeight="1" x14ac:dyDescent="0.2">
      <c r="E1094" s="219">
        <f>BASE!B952</f>
        <v>94404</v>
      </c>
    </row>
    <row r="1095" spans="5:5" ht="12.75" hidden="1" customHeight="1" x14ac:dyDescent="0.2">
      <c r="E1095" s="219">
        <f>BASE!B953</f>
        <v>94412</v>
      </c>
    </row>
    <row r="1096" spans="5:5" ht="12.75" hidden="1" customHeight="1" x14ac:dyDescent="0.2">
      <c r="E1096" s="219">
        <f>BASE!B954</f>
        <v>94421</v>
      </c>
    </row>
    <row r="1097" spans="5:5" ht="12.75" hidden="1" customHeight="1" x14ac:dyDescent="0.2">
      <c r="E1097" s="219">
        <f>BASE!B955</f>
        <v>94439</v>
      </c>
    </row>
    <row r="1098" spans="5:5" ht="12.75" hidden="1" customHeight="1" x14ac:dyDescent="0.2">
      <c r="E1098" s="219">
        <f>BASE!B956</f>
        <v>94447</v>
      </c>
    </row>
    <row r="1099" spans="5:5" ht="12.75" hidden="1" customHeight="1" x14ac:dyDescent="0.2">
      <c r="E1099" s="219">
        <f>BASE!B957</f>
        <v>94455</v>
      </c>
    </row>
    <row r="1100" spans="5:5" ht="12.75" hidden="1" customHeight="1" x14ac:dyDescent="0.2">
      <c r="E1100" s="219">
        <f>BASE!B958</f>
        <v>94463</v>
      </c>
    </row>
    <row r="1101" spans="5:5" ht="12.75" hidden="1" customHeight="1" x14ac:dyDescent="0.2">
      <c r="E1101" s="219">
        <f>BASE!B959</f>
        <v>94471</v>
      </c>
    </row>
    <row r="1102" spans="5:5" ht="12.75" hidden="1" customHeight="1" x14ac:dyDescent="0.2">
      <c r="E1102" s="219">
        <f>BASE!B960</f>
        <v>94480</v>
      </c>
    </row>
    <row r="1103" spans="5:5" ht="12.75" hidden="1" customHeight="1" x14ac:dyDescent="0.2">
      <c r="E1103" s="219">
        <f>BASE!B961</f>
        <v>94498</v>
      </c>
    </row>
    <row r="1104" spans="5:5" ht="12.75" hidden="1" customHeight="1" x14ac:dyDescent="0.2">
      <c r="E1104" s="219">
        <f>BASE!B962</f>
        <v>94501</v>
      </c>
    </row>
    <row r="1105" spans="5:5" ht="12.75" hidden="1" customHeight="1" x14ac:dyDescent="0.2">
      <c r="E1105" s="219">
        <f>BASE!B963</f>
        <v>94510</v>
      </c>
    </row>
    <row r="1106" spans="5:5" ht="12.75" hidden="1" customHeight="1" x14ac:dyDescent="0.2">
      <c r="E1106" s="219">
        <f>BASE!B964</f>
        <v>94528</v>
      </c>
    </row>
    <row r="1107" spans="5:5" ht="12.75" hidden="1" customHeight="1" x14ac:dyDescent="0.2">
      <c r="E1107" s="219">
        <f>BASE!B965</f>
        <v>94536</v>
      </c>
    </row>
    <row r="1108" spans="5:5" ht="12.75" hidden="1" customHeight="1" x14ac:dyDescent="0.2">
      <c r="E1108" s="219">
        <f>BASE!B966</f>
        <v>94544</v>
      </c>
    </row>
    <row r="1109" spans="5:5" ht="12.75" hidden="1" customHeight="1" x14ac:dyDescent="0.2">
      <c r="E1109" s="219">
        <f>BASE!B967</f>
        <v>94552</v>
      </c>
    </row>
    <row r="1110" spans="5:5" ht="12.75" hidden="1" customHeight="1" x14ac:dyDescent="0.2">
      <c r="E1110" s="219">
        <f>BASE!B968</f>
        <v>94561</v>
      </c>
    </row>
    <row r="1111" spans="5:5" ht="12.75" hidden="1" customHeight="1" x14ac:dyDescent="0.2">
      <c r="E1111" s="219">
        <f>BASE!B969</f>
        <v>94579</v>
      </c>
    </row>
    <row r="1112" spans="5:5" ht="12.75" hidden="1" customHeight="1" x14ac:dyDescent="0.2">
      <c r="E1112" s="219">
        <f>BASE!B970</f>
        <v>94587</v>
      </c>
    </row>
    <row r="1113" spans="5:5" ht="12.75" hidden="1" customHeight="1" x14ac:dyDescent="0.2">
      <c r="E1113" s="219">
        <f>BASE!B971</f>
        <v>94595</v>
      </c>
    </row>
    <row r="1114" spans="5:5" ht="12.75" hidden="1" customHeight="1" x14ac:dyDescent="0.2">
      <c r="E1114" s="219">
        <f>BASE!B972</f>
        <v>94609</v>
      </c>
    </row>
    <row r="1115" spans="5:5" ht="12.75" hidden="1" customHeight="1" x14ac:dyDescent="0.2">
      <c r="E1115" s="219">
        <f>BASE!B973</f>
        <v>94617</v>
      </c>
    </row>
    <row r="1116" spans="5:5" ht="12.75" hidden="1" customHeight="1" x14ac:dyDescent="0.2">
      <c r="E1116" s="219">
        <f>BASE!B974</f>
        <v>94625</v>
      </c>
    </row>
    <row r="1117" spans="5:5" ht="12.75" hidden="1" customHeight="1" x14ac:dyDescent="0.2">
      <c r="E1117" s="219">
        <f>BASE!B975</f>
        <v>94633</v>
      </c>
    </row>
    <row r="1118" spans="5:5" ht="12.75" hidden="1" customHeight="1" x14ac:dyDescent="0.2">
      <c r="E1118" s="219">
        <f>BASE!B976</f>
        <v>94641</v>
      </c>
    </row>
    <row r="1119" spans="5:5" ht="12.75" hidden="1" customHeight="1" x14ac:dyDescent="0.2">
      <c r="E1119" s="219">
        <f>BASE!B977</f>
        <v>94668</v>
      </c>
    </row>
    <row r="1120" spans="5:5" ht="12.75" hidden="1" customHeight="1" x14ac:dyDescent="0.2">
      <c r="E1120" s="219">
        <f>BASE!B978</f>
        <v>94676</v>
      </c>
    </row>
    <row r="1121" spans="5:5" ht="12.75" hidden="1" customHeight="1" x14ac:dyDescent="0.2">
      <c r="E1121" s="219">
        <f>BASE!B979</f>
        <v>94684</v>
      </c>
    </row>
    <row r="1122" spans="5:5" ht="12.75" hidden="1" customHeight="1" x14ac:dyDescent="0.2">
      <c r="E1122" s="219">
        <f>BASE!B980</f>
        <v>94692</v>
      </c>
    </row>
    <row r="1123" spans="5:5" ht="12.75" hidden="1" customHeight="1" x14ac:dyDescent="0.2">
      <c r="E1123" s="219">
        <f>BASE!B981</f>
        <v>94706</v>
      </c>
    </row>
    <row r="1124" spans="5:5" ht="12.75" hidden="1" customHeight="1" x14ac:dyDescent="0.2">
      <c r="E1124" s="219">
        <f>BASE!B982</f>
        <v>94714</v>
      </c>
    </row>
    <row r="1125" spans="5:5" ht="12.75" hidden="1" customHeight="1" x14ac:dyDescent="0.2">
      <c r="E1125" s="219">
        <f>BASE!B983</f>
        <v>94722</v>
      </c>
    </row>
    <row r="1126" spans="5:5" ht="12.75" hidden="1" customHeight="1" x14ac:dyDescent="0.2">
      <c r="E1126" s="219">
        <f>BASE!B984</f>
        <v>94731</v>
      </c>
    </row>
    <row r="1127" spans="5:5" ht="12.75" hidden="1" customHeight="1" x14ac:dyDescent="0.2">
      <c r="E1127" s="219">
        <f>BASE!B985</f>
        <v>94749</v>
      </c>
    </row>
    <row r="1128" spans="5:5" ht="12.75" hidden="1" customHeight="1" x14ac:dyDescent="0.2">
      <c r="E1128" s="219">
        <f>BASE!B986</f>
        <v>94757</v>
      </c>
    </row>
    <row r="1129" spans="5:5" ht="12.75" hidden="1" customHeight="1" x14ac:dyDescent="0.2">
      <c r="E1129" s="219">
        <f>BASE!B987</f>
        <v>94765</v>
      </c>
    </row>
    <row r="1130" spans="5:5" ht="12.75" hidden="1" customHeight="1" x14ac:dyDescent="0.2">
      <c r="E1130" s="219">
        <f>BASE!B988</f>
        <v>94773</v>
      </c>
    </row>
    <row r="1131" spans="5:5" ht="12.75" hidden="1" customHeight="1" x14ac:dyDescent="0.2">
      <c r="E1131" s="219">
        <f>BASE!B989</f>
        <v>94781</v>
      </c>
    </row>
    <row r="1132" spans="5:5" ht="12.75" hidden="1" customHeight="1" x14ac:dyDescent="0.2">
      <c r="E1132" s="219">
        <f>BASE!B990</f>
        <v>94790</v>
      </c>
    </row>
    <row r="1133" spans="5:5" ht="12.75" hidden="1" customHeight="1" x14ac:dyDescent="0.2">
      <c r="E1133" s="219">
        <f>BASE!B991</f>
        <v>94803</v>
      </c>
    </row>
    <row r="1134" spans="5:5" ht="12.75" hidden="1" customHeight="1" x14ac:dyDescent="0.2">
      <c r="E1134" s="219">
        <f>BASE!B992</f>
        <v>94811</v>
      </c>
    </row>
    <row r="1135" spans="5:5" ht="12.75" hidden="1" customHeight="1" x14ac:dyDescent="0.2">
      <c r="E1135" s="219">
        <f>BASE!B993</f>
        <v>94820</v>
      </c>
    </row>
    <row r="1136" spans="5:5" ht="12.75" hidden="1" customHeight="1" x14ac:dyDescent="0.2">
      <c r="E1136" s="219">
        <f>BASE!B994</f>
        <v>94838</v>
      </c>
    </row>
    <row r="1137" spans="5:5" ht="12.75" hidden="1" customHeight="1" x14ac:dyDescent="0.2">
      <c r="E1137" s="219">
        <f>BASE!B995</f>
        <v>94846</v>
      </c>
    </row>
    <row r="1138" spans="5:5" ht="12.75" hidden="1" customHeight="1" x14ac:dyDescent="0.2">
      <c r="E1138" s="219">
        <f>BASE!B996</f>
        <v>94854</v>
      </c>
    </row>
    <row r="1139" spans="5:5" ht="12.75" hidden="1" customHeight="1" x14ac:dyDescent="0.2">
      <c r="E1139" s="219">
        <f>BASE!B997</f>
        <v>94862</v>
      </c>
    </row>
    <row r="1140" spans="5:5" ht="12.75" hidden="1" customHeight="1" x14ac:dyDescent="0.2">
      <c r="E1140" s="219">
        <f>BASE!B998</f>
        <v>94871</v>
      </c>
    </row>
    <row r="1141" spans="5:5" ht="12.75" hidden="1" customHeight="1" x14ac:dyDescent="0.2">
      <c r="E1141" s="219">
        <f>BASE!B999</f>
        <v>94889</v>
      </c>
    </row>
    <row r="1142" spans="5:5" ht="12.75" hidden="1" customHeight="1" x14ac:dyDescent="0.2">
      <c r="E1142" s="219">
        <f>BASE!B1000</f>
        <v>94897</v>
      </c>
    </row>
    <row r="1143" spans="5:5" ht="12.75" hidden="1" customHeight="1" x14ac:dyDescent="0.2">
      <c r="E1143" s="219">
        <f>BASE!B1001</f>
        <v>94901</v>
      </c>
    </row>
    <row r="1144" spans="5:5" ht="12.75" hidden="1" customHeight="1" x14ac:dyDescent="0.2">
      <c r="E1144" s="219">
        <f>BASE!B1002</f>
        <v>94919</v>
      </c>
    </row>
    <row r="1145" spans="5:5" ht="12.75" hidden="1" customHeight="1" x14ac:dyDescent="0.2">
      <c r="E1145" s="219">
        <f>BASE!B1003</f>
        <v>94927</v>
      </c>
    </row>
    <row r="1146" spans="5:5" ht="12.75" hidden="1" customHeight="1" x14ac:dyDescent="0.2">
      <c r="E1146" s="219">
        <f>BASE!B1004</f>
        <v>94935</v>
      </c>
    </row>
    <row r="1147" spans="5:5" ht="12.75" hidden="1" customHeight="1" x14ac:dyDescent="0.2">
      <c r="E1147" s="219">
        <f>BASE!B1005</f>
        <v>94943</v>
      </c>
    </row>
    <row r="1148" spans="5:5" ht="12.75" hidden="1" customHeight="1" x14ac:dyDescent="0.2">
      <c r="E1148" s="219">
        <f>BASE!B1006</f>
        <v>94951</v>
      </c>
    </row>
    <row r="1149" spans="5:5" ht="12.75" hidden="1" customHeight="1" x14ac:dyDescent="0.2">
      <c r="E1149" s="219">
        <f>BASE!B1007</f>
        <v>94960</v>
      </c>
    </row>
    <row r="1150" spans="5:5" ht="12.75" hidden="1" customHeight="1" x14ac:dyDescent="0.2">
      <c r="E1150" s="219">
        <f>BASE!B1008</f>
        <v>94978</v>
      </c>
    </row>
    <row r="1151" spans="5:5" ht="12.75" hidden="1" customHeight="1" x14ac:dyDescent="0.2">
      <c r="E1151" s="219">
        <f>BASE!B1009</f>
        <v>94986</v>
      </c>
    </row>
    <row r="1152" spans="5:5" ht="12.75" hidden="1" customHeight="1" x14ac:dyDescent="0.2">
      <c r="E1152" s="219">
        <f>BASE!B1010</f>
        <v>94994</v>
      </c>
    </row>
    <row r="1153" spans="5:5" ht="12.75" hidden="1" customHeight="1" x14ac:dyDescent="0.2">
      <c r="E1153" s="219">
        <f>BASE!B1011</f>
        <v>95001</v>
      </c>
    </row>
    <row r="1154" spans="5:5" ht="12.75" hidden="1" customHeight="1" x14ac:dyDescent="0.2">
      <c r="E1154" s="219">
        <f>BASE!B1012</f>
        <v>95010</v>
      </c>
    </row>
    <row r="1155" spans="5:5" ht="12.75" hidden="1" customHeight="1" x14ac:dyDescent="0.2">
      <c r="E1155" s="219">
        <f>BASE!B1013</f>
        <v>95028</v>
      </c>
    </row>
    <row r="1156" spans="5:5" ht="12.75" hidden="1" customHeight="1" x14ac:dyDescent="0.2">
      <c r="E1156" s="219">
        <f>BASE!B1014</f>
        <v>95036</v>
      </c>
    </row>
    <row r="1157" spans="5:5" ht="12.75" hidden="1" customHeight="1" x14ac:dyDescent="0.2">
      <c r="E1157" s="219">
        <f>BASE!B1015</f>
        <v>95044</v>
      </c>
    </row>
    <row r="1158" spans="5:5" ht="12.75" hidden="1" customHeight="1" x14ac:dyDescent="0.2">
      <c r="E1158" s="219">
        <f>BASE!B1016</f>
        <v>95052</v>
      </c>
    </row>
    <row r="1159" spans="5:5" ht="12.75" hidden="1" customHeight="1" x14ac:dyDescent="0.2">
      <c r="E1159" s="219">
        <f>BASE!B1017</f>
        <v>95061</v>
      </c>
    </row>
    <row r="1160" spans="5:5" ht="12.75" hidden="1" customHeight="1" x14ac:dyDescent="0.2">
      <c r="E1160" s="219">
        <f>BASE!B1018</f>
        <v>95079</v>
      </c>
    </row>
    <row r="1161" spans="5:5" ht="12.75" hidden="1" customHeight="1" x14ac:dyDescent="0.2">
      <c r="E1161" s="219">
        <f>BASE!B1019</f>
        <v>95087</v>
      </c>
    </row>
    <row r="1162" spans="5:5" ht="12.75" hidden="1" customHeight="1" x14ac:dyDescent="0.2">
      <c r="E1162" s="219">
        <f>BASE!B1020</f>
        <v>95095</v>
      </c>
    </row>
    <row r="1163" spans="5:5" ht="12.75" hidden="1" customHeight="1" x14ac:dyDescent="0.2">
      <c r="E1163" s="219">
        <f>BASE!B1021</f>
        <v>95109</v>
      </c>
    </row>
    <row r="1164" spans="5:5" ht="12.75" hidden="1" customHeight="1" x14ac:dyDescent="0.2">
      <c r="E1164" s="219">
        <f>BASE!B1022</f>
        <v>95117</v>
      </c>
    </row>
    <row r="1165" spans="5:5" ht="12.75" hidden="1" customHeight="1" x14ac:dyDescent="0.2">
      <c r="E1165" s="219">
        <f>BASE!B1023</f>
        <v>95125</v>
      </c>
    </row>
    <row r="1166" spans="5:5" ht="12.75" hidden="1" customHeight="1" x14ac:dyDescent="0.2">
      <c r="E1166" s="219">
        <f>BASE!B1024</f>
        <v>95133</v>
      </c>
    </row>
    <row r="1167" spans="5:5" ht="12.75" hidden="1" customHeight="1" x14ac:dyDescent="0.2">
      <c r="E1167" s="219">
        <f>BASE!B1025</f>
        <v>95141</v>
      </c>
    </row>
    <row r="1168" spans="5:5" ht="12.75" hidden="1" customHeight="1" x14ac:dyDescent="0.2">
      <c r="E1168" s="219">
        <f>BASE!B1026</f>
        <v>95150</v>
      </c>
    </row>
    <row r="1169" spans="5:5" ht="12.75" hidden="1" customHeight="1" x14ac:dyDescent="0.2">
      <c r="E1169" s="219">
        <f>BASE!B1027</f>
        <v>95168</v>
      </c>
    </row>
    <row r="1170" spans="5:5" ht="12.75" hidden="1" customHeight="1" x14ac:dyDescent="0.2">
      <c r="E1170" s="219">
        <f>BASE!B1028</f>
        <v>95176</v>
      </c>
    </row>
    <row r="1171" spans="5:5" ht="12.75" hidden="1" customHeight="1" x14ac:dyDescent="0.2">
      <c r="E1171" s="219">
        <f>BASE!B1029</f>
        <v>95184</v>
      </c>
    </row>
    <row r="1172" spans="5:5" ht="12.75" hidden="1" customHeight="1" x14ac:dyDescent="0.2">
      <c r="E1172" s="219">
        <f>BASE!B1030</f>
        <v>95192</v>
      </c>
    </row>
    <row r="1173" spans="5:5" ht="12.75" hidden="1" customHeight="1" x14ac:dyDescent="0.2">
      <c r="E1173" s="219">
        <f>BASE!B1031</f>
        <v>95206</v>
      </c>
    </row>
    <row r="1174" spans="5:5" ht="12.75" hidden="1" customHeight="1" x14ac:dyDescent="0.2">
      <c r="E1174" s="219">
        <f>BASE!B1032</f>
        <v>95214</v>
      </c>
    </row>
    <row r="1175" spans="5:5" ht="12.75" hidden="1" customHeight="1" x14ac:dyDescent="0.2">
      <c r="E1175" s="219">
        <f>BASE!B1033</f>
        <v>95222</v>
      </c>
    </row>
    <row r="1176" spans="5:5" ht="12.75" hidden="1" customHeight="1" x14ac:dyDescent="0.2">
      <c r="E1176" s="219">
        <f>BASE!B1034</f>
        <v>95231</v>
      </c>
    </row>
    <row r="1177" spans="5:5" ht="12.75" hidden="1" customHeight="1" x14ac:dyDescent="0.2">
      <c r="E1177" s="219">
        <f>BASE!B1035</f>
        <v>95249</v>
      </c>
    </row>
    <row r="1178" spans="5:5" ht="12.75" hidden="1" customHeight="1" x14ac:dyDescent="0.2">
      <c r="E1178" s="219">
        <f>BASE!B1036</f>
        <v>95257</v>
      </c>
    </row>
    <row r="1179" spans="5:5" ht="12.75" hidden="1" customHeight="1" x14ac:dyDescent="0.2">
      <c r="E1179" s="219">
        <f>BASE!B1037</f>
        <v>95265</v>
      </c>
    </row>
    <row r="1180" spans="5:5" ht="12.75" hidden="1" customHeight="1" x14ac:dyDescent="0.2">
      <c r="E1180" s="219">
        <f>BASE!B1038</f>
        <v>95273</v>
      </c>
    </row>
    <row r="1181" spans="5:5" ht="12.75" hidden="1" customHeight="1" x14ac:dyDescent="0.2">
      <c r="E1181" s="219">
        <f>BASE!B1039</f>
        <v>95281</v>
      </c>
    </row>
    <row r="1182" spans="5:5" ht="12.75" hidden="1" customHeight="1" x14ac:dyDescent="0.2">
      <c r="E1182" s="219">
        <f>BASE!B1040</f>
        <v>95290</v>
      </c>
    </row>
    <row r="1183" spans="5:5" ht="12.75" hidden="1" customHeight="1" x14ac:dyDescent="0.2">
      <c r="E1183" s="219">
        <f>BASE!B1041</f>
        <v>95303</v>
      </c>
    </row>
    <row r="1184" spans="5:5" ht="12.75" hidden="1" customHeight="1" x14ac:dyDescent="0.2">
      <c r="E1184" s="219">
        <f>BASE!B1042</f>
        <v>95311</v>
      </c>
    </row>
    <row r="1185" spans="5:5" ht="12.75" hidden="1" customHeight="1" x14ac:dyDescent="0.2">
      <c r="E1185" s="219">
        <f>BASE!B1043</f>
        <v>95320</v>
      </c>
    </row>
    <row r="1186" spans="5:5" ht="12.75" hidden="1" customHeight="1" x14ac:dyDescent="0.2">
      <c r="E1186" s="219">
        <f>BASE!B1044</f>
        <v>95338</v>
      </c>
    </row>
    <row r="1187" spans="5:5" ht="12.75" hidden="1" customHeight="1" x14ac:dyDescent="0.2">
      <c r="E1187" s="219">
        <f>BASE!B1045</f>
        <v>95346</v>
      </c>
    </row>
    <row r="1188" spans="5:5" ht="12.75" hidden="1" customHeight="1" x14ac:dyDescent="0.2">
      <c r="E1188" s="219">
        <f>BASE!B1046</f>
        <v>95354</v>
      </c>
    </row>
    <row r="1189" spans="5:5" ht="12.75" hidden="1" customHeight="1" x14ac:dyDescent="0.2">
      <c r="E1189" s="219">
        <f>BASE!B1047</f>
        <v>95362</v>
      </c>
    </row>
    <row r="1190" spans="5:5" ht="12.75" hidden="1" customHeight="1" x14ac:dyDescent="0.2">
      <c r="E1190" s="219">
        <f>BASE!B1048</f>
        <v>95371</v>
      </c>
    </row>
    <row r="1191" spans="5:5" ht="12.75" hidden="1" customHeight="1" x14ac:dyDescent="0.2">
      <c r="E1191" s="219">
        <f>BASE!B1049</f>
        <v>95389</v>
      </c>
    </row>
    <row r="1192" spans="5:5" ht="12.75" hidden="1" customHeight="1" x14ac:dyDescent="0.2">
      <c r="E1192" s="219">
        <f>BASE!B1050</f>
        <v>95397</v>
      </c>
    </row>
    <row r="1193" spans="5:5" ht="12.75" hidden="1" customHeight="1" x14ac:dyDescent="0.2">
      <c r="E1193" s="219">
        <f>BASE!B1051</f>
        <v>95401</v>
      </c>
    </row>
    <row r="1194" spans="5:5" ht="12.75" hidden="1" customHeight="1" x14ac:dyDescent="0.2">
      <c r="E1194" s="219">
        <f>BASE!B1052</f>
        <v>95419</v>
      </c>
    </row>
    <row r="1195" spans="5:5" ht="12.75" hidden="1" customHeight="1" x14ac:dyDescent="0.2">
      <c r="E1195" s="219">
        <f>BASE!B1053</f>
        <v>95427</v>
      </c>
    </row>
    <row r="1196" spans="5:5" ht="12.75" hidden="1" customHeight="1" x14ac:dyDescent="0.2">
      <c r="E1196" s="219">
        <f>BASE!B1054</f>
        <v>95435</v>
      </c>
    </row>
    <row r="1197" spans="5:5" ht="12.75" hidden="1" customHeight="1" x14ac:dyDescent="0.2">
      <c r="E1197" s="219">
        <f>BASE!B1055</f>
        <v>95443</v>
      </c>
    </row>
    <row r="1198" spans="5:5" ht="12.75" hidden="1" customHeight="1" x14ac:dyDescent="0.2">
      <c r="E1198" s="219">
        <f>BASE!B1056</f>
        <v>95460</v>
      </c>
    </row>
    <row r="1199" spans="5:5" ht="12.75" hidden="1" customHeight="1" x14ac:dyDescent="0.2">
      <c r="E1199" s="219">
        <f>BASE!B1057</f>
        <v>95478</v>
      </c>
    </row>
    <row r="1200" spans="5:5" ht="12.75" hidden="1" customHeight="1" x14ac:dyDescent="0.2">
      <c r="E1200" s="219">
        <f>BASE!B1058</f>
        <v>95494</v>
      </c>
    </row>
    <row r="1201" spans="5:5" ht="12.75" hidden="1" customHeight="1" x14ac:dyDescent="0.2">
      <c r="E1201" s="219">
        <f>BASE!B1059</f>
        <v>95508</v>
      </c>
    </row>
    <row r="1202" spans="5:5" ht="12.75" hidden="1" customHeight="1" x14ac:dyDescent="0.2">
      <c r="E1202" s="219">
        <f>BASE!B1060</f>
        <v>95516</v>
      </c>
    </row>
    <row r="1203" spans="5:5" ht="12.75" hidden="1" customHeight="1" x14ac:dyDescent="0.2">
      <c r="E1203" s="219">
        <f>BASE!B1061</f>
        <v>95524</v>
      </c>
    </row>
    <row r="1204" spans="5:5" ht="12.75" hidden="1" customHeight="1" x14ac:dyDescent="0.2">
      <c r="E1204" s="219">
        <f>BASE!B1062</f>
        <v>95532</v>
      </c>
    </row>
    <row r="1205" spans="5:5" ht="12.75" hidden="1" customHeight="1" x14ac:dyDescent="0.2">
      <c r="E1205" s="219">
        <f>BASE!B1063</f>
        <v>95541</v>
      </c>
    </row>
    <row r="1206" spans="5:5" ht="12.75" hidden="1" customHeight="1" x14ac:dyDescent="0.2">
      <c r="E1206" s="219">
        <f>BASE!B1064</f>
        <v>95559</v>
      </c>
    </row>
    <row r="1207" spans="5:5" ht="12.75" hidden="1" customHeight="1" x14ac:dyDescent="0.2">
      <c r="E1207" s="219">
        <f>BASE!B1065</f>
        <v>95567</v>
      </c>
    </row>
    <row r="1208" spans="5:5" ht="12.75" hidden="1" customHeight="1" x14ac:dyDescent="0.2">
      <c r="E1208" s="219">
        <f>BASE!B1066</f>
        <v>95575</v>
      </c>
    </row>
    <row r="1209" spans="5:5" ht="12.75" hidden="1" customHeight="1" x14ac:dyDescent="0.2">
      <c r="E1209" s="219">
        <f>BASE!B1067</f>
        <v>95583</v>
      </c>
    </row>
    <row r="1210" spans="5:5" ht="12.75" hidden="1" customHeight="1" x14ac:dyDescent="0.2">
      <c r="E1210" s="219">
        <f>BASE!B1068</f>
        <v>95591</v>
      </c>
    </row>
    <row r="1211" spans="5:5" ht="12.75" hidden="1" customHeight="1" x14ac:dyDescent="0.2">
      <c r="E1211" s="219">
        <f>BASE!B1069</f>
        <v>95605</v>
      </c>
    </row>
    <row r="1212" spans="5:5" ht="12.75" hidden="1" customHeight="1" x14ac:dyDescent="0.2">
      <c r="E1212" s="219">
        <f>BASE!B1070</f>
        <v>95613</v>
      </c>
    </row>
    <row r="1213" spans="5:5" ht="12.75" hidden="1" customHeight="1" x14ac:dyDescent="0.2">
      <c r="E1213" s="219">
        <f>BASE!B1071</f>
        <v>97047</v>
      </c>
    </row>
    <row r="1214" spans="5:5" ht="12.75" hidden="1" customHeight="1" x14ac:dyDescent="0.2">
      <c r="E1214" s="219">
        <f>BASE!B1072</f>
        <v>97055</v>
      </c>
    </row>
    <row r="1215" spans="5:5" ht="12.75" hidden="1" customHeight="1" x14ac:dyDescent="0.2">
      <c r="E1215" s="219">
        <f>BASE!B1073</f>
        <v>97063</v>
      </c>
    </row>
    <row r="1216" spans="5:5" ht="12.75" hidden="1" customHeight="1" x14ac:dyDescent="0.2">
      <c r="E1216" s="219">
        <f>BASE!B1074</f>
        <v>97071</v>
      </c>
    </row>
    <row r="1217" spans="5:5" ht="12.75" hidden="1" customHeight="1" x14ac:dyDescent="0.2">
      <c r="E1217" s="219">
        <f>BASE!B1075</f>
        <v>97080</v>
      </c>
    </row>
    <row r="1218" spans="5:5" ht="12.75" hidden="1" customHeight="1" x14ac:dyDescent="0.2">
      <c r="E1218" s="219">
        <f>BASE!B1076</f>
        <v>97098</v>
      </c>
    </row>
    <row r="1219" spans="5:5" ht="12.75" hidden="1" customHeight="1" x14ac:dyDescent="0.2">
      <c r="E1219" s="219">
        <f>BASE!B1077</f>
        <v>97101</v>
      </c>
    </row>
    <row r="1220" spans="5:5" ht="12.75" hidden="1" customHeight="1" x14ac:dyDescent="0.2">
      <c r="E1220" s="219">
        <f>BASE!B1078</f>
        <v>97144</v>
      </c>
    </row>
    <row r="1221" spans="5:5" ht="12.75" hidden="1" customHeight="1" x14ac:dyDescent="0.2">
      <c r="E1221" s="219">
        <f>BASE!B1079</f>
        <v>97152</v>
      </c>
    </row>
    <row r="1222" spans="5:5" ht="12.75" hidden="1" customHeight="1" x14ac:dyDescent="0.2">
      <c r="E1222" s="219">
        <f>BASE!B1080</f>
        <v>97161</v>
      </c>
    </row>
    <row r="1223" spans="5:5" ht="12.75" hidden="1" customHeight="1" x14ac:dyDescent="0.2">
      <c r="E1223" s="219">
        <f>BASE!B1081</f>
        <v>97691</v>
      </c>
    </row>
    <row r="1224" spans="5:5" ht="12.75" hidden="1" customHeight="1" x14ac:dyDescent="0.2">
      <c r="E1224" s="219">
        <f>BASE!B1082</f>
        <v>97705</v>
      </c>
    </row>
    <row r="1225" spans="5:5" ht="12.75" hidden="1" customHeight="1" x14ac:dyDescent="0.2">
      <c r="E1225" s="219">
        <f>BASE!B1083</f>
        <v>97713</v>
      </c>
    </row>
    <row r="1226" spans="5:5" ht="12.75" hidden="1" customHeight="1" x14ac:dyDescent="0.2">
      <c r="E1226" s="219">
        <f>BASE!B1084</f>
        <v>97721</v>
      </c>
    </row>
    <row r="1227" spans="5:5" ht="12.75" hidden="1" customHeight="1" x14ac:dyDescent="0.2">
      <c r="E1227" s="219">
        <f>BASE!B1085</f>
        <v>98515</v>
      </c>
    </row>
    <row r="1228" spans="5:5" ht="12.75" hidden="1" customHeight="1" x14ac:dyDescent="0.2">
      <c r="E1228" s="219">
        <f>BASE!B1086</f>
        <v>98604</v>
      </c>
    </row>
    <row r="1229" spans="5:5" ht="12.75" hidden="1" customHeight="1" x14ac:dyDescent="0.2">
      <c r="E1229" s="219">
        <f>BASE!B1087</f>
        <v>98884</v>
      </c>
    </row>
    <row r="1230" spans="5:5" ht="12.75" hidden="1" customHeight="1" x14ac:dyDescent="0.2">
      <c r="E1230" s="219">
        <f>BASE!B1088</f>
        <v>98931</v>
      </c>
    </row>
    <row r="1231" spans="5:5" ht="12.75" hidden="1" customHeight="1" x14ac:dyDescent="0.2">
      <c r="E1231" s="219">
        <f>BASE!B1089</f>
        <v>98949</v>
      </c>
    </row>
    <row r="1232" spans="5:5" ht="12.75" hidden="1" customHeight="1" x14ac:dyDescent="0.2">
      <c r="E1232" s="219">
        <f>BASE!B1090</f>
        <v>98957</v>
      </c>
    </row>
    <row r="1233" spans="5:5" ht="12.75" hidden="1" customHeight="1" x14ac:dyDescent="0.2">
      <c r="E1233" s="219">
        <f>BASE!B1091</f>
        <v>98965</v>
      </c>
    </row>
    <row r="1234" spans="5:5" ht="12.75" hidden="1" customHeight="1" x14ac:dyDescent="0.2">
      <c r="E1234" s="219">
        <f>BASE!B1092</f>
        <v>98973</v>
      </c>
    </row>
    <row r="1235" spans="5:5" ht="12.75" hidden="1" customHeight="1" x14ac:dyDescent="0.2">
      <c r="E1235" s="219">
        <f>BASE!B1093</f>
        <v>98981</v>
      </c>
    </row>
    <row r="1236" spans="5:5" ht="12.75" hidden="1" customHeight="1" x14ac:dyDescent="0.2">
      <c r="E1236" s="219">
        <f>BASE!B1094</f>
        <v>98990</v>
      </c>
    </row>
    <row r="1237" spans="5:5" ht="12.75" hidden="1" customHeight="1" x14ac:dyDescent="0.2">
      <c r="E1237" s="219">
        <f>BASE!B1095</f>
        <v>99007</v>
      </c>
    </row>
    <row r="1238" spans="5:5" ht="12.75" hidden="1" customHeight="1" x14ac:dyDescent="0.2">
      <c r="E1238" s="219">
        <f>BASE!B1096</f>
        <v>99015</v>
      </c>
    </row>
    <row r="1239" spans="5:5" ht="12.75" hidden="1" customHeight="1" x14ac:dyDescent="0.2">
      <c r="E1239" s="219">
        <f>BASE!B1097</f>
        <v>99023</v>
      </c>
    </row>
    <row r="1240" spans="5:5" ht="12.75" hidden="1" customHeight="1" x14ac:dyDescent="0.2">
      <c r="E1240" s="219">
        <f>BASE!B1098</f>
        <v>99031</v>
      </c>
    </row>
    <row r="1241" spans="5:5" ht="12.75" hidden="1" customHeight="1" x14ac:dyDescent="0.2">
      <c r="E1241" s="219">
        <f>BASE!B1099</f>
        <v>99040</v>
      </c>
    </row>
    <row r="1242" spans="5:5" ht="12.75" hidden="1" customHeight="1" x14ac:dyDescent="0.2">
      <c r="E1242" s="219">
        <f>BASE!B1100</f>
        <v>99058</v>
      </c>
    </row>
    <row r="1243" spans="5:5" ht="12.75" hidden="1" customHeight="1" x14ac:dyDescent="0.2">
      <c r="E1243" s="219">
        <f>BASE!B1101</f>
        <v>99066</v>
      </c>
    </row>
    <row r="1244" spans="5:5" ht="12.75" hidden="1" customHeight="1" x14ac:dyDescent="0.2">
      <c r="E1244" s="219">
        <f>BASE!B1102</f>
        <v>99074</v>
      </c>
    </row>
    <row r="1245" spans="5:5" ht="12.75" hidden="1" customHeight="1" x14ac:dyDescent="0.2">
      <c r="E1245" s="219">
        <f>BASE!B1103</f>
        <v>99082</v>
      </c>
    </row>
    <row r="1246" spans="5:5" ht="12.75" hidden="1" customHeight="1" x14ac:dyDescent="0.2">
      <c r="E1246" s="219">
        <f>BASE!B1104</f>
        <v>99091</v>
      </c>
    </row>
    <row r="1247" spans="5:5" ht="12.75" hidden="1" customHeight="1" x14ac:dyDescent="0.2">
      <c r="E1247" s="219">
        <f>BASE!B1105</f>
        <v>99104</v>
      </c>
    </row>
    <row r="1248" spans="5:5" ht="12.75" hidden="1" customHeight="1" x14ac:dyDescent="0.2">
      <c r="E1248" s="219">
        <f>BASE!B1106</f>
        <v>99112</v>
      </c>
    </row>
    <row r="1249" spans="5:5" ht="12.75" hidden="1" customHeight="1" x14ac:dyDescent="0.2">
      <c r="E1249" s="219">
        <f>BASE!B1107</f>
        <v>99121</v>
      </c>
    </row>
    <row r="1250" spans="5:5" ht="12.75" hidden="1" customHeight="1" x14ac:dyDescent="0.2">
      <c r="E1250" s="219">
        <f>BASE!B1108</f>
        <v>99139</v>
      </c>
    </row>
    <row r="1251" spans="5:5" ht="12.75" hidden="1" customHeight="1" x14ac:dyDescent="0.2">
      <c r="E1251" s="219">
        <f>BASE!B1109</f>
        <v>99180</v>
      </c>
    </row>
    <row r="1252" spans="5:5" ht="12.75" hidden="1" customHeight="1" x14ac:dyDescent="0.2">
      <c r="E1252" s="219">
        <f>BASE!B1110</f>
        <v>99210</v>
      </c>
    </row>
    <row r="1253" spans="5:5" ht="12.75" hidden="1" customHeight="1" x14ac:dyDescent="0.2">
      <c r="E1253" s="219">
        <f>BASE!B1111</f>
        <v>99228</v>
      </c>
    </row>
    <row r="1254" spans="5:5" ht="12.75" hidden="1" customHeight="1" x14ac:dyDescent="0.2">
      <c r="E1254" s="219">
        <f>BASE!B1112</f>
        <v>99236</v>
      </c>
    </row>
    <row r="1255" spans="5:5" ht="12.75" hidden="1" customHeight="1" x14ac:dyDescent="0.2">
      <c r="E1255" s="219">
        <f>BASE!B1113</f>
        <v>99244</v>
      </c>
    </row>
    <row r="1256" spans="5:5" ht="12.75" hidden="1" customHeight="1" x14ac:dyDescent="0.2">
      <c r="E1256" s="219">
        <f>BASE!B1114</f>
        <v>99252</v>
      </c>
    </row>
    <row r="1257" spans="5:5" ht="12.75" hidden="1" customHeight="1" x14ac:dyDescent="0.2">
      <c r="E1257" s="219">
        <f>BASE!B1115</f>
        <v>99261</v>
      </c>
    </row>
    <row r="1258" spans="5:5" ht="12.75" hidden="1" customHeight="1" x14ac:dyDescent="0.2">
      <c r="E1258" s="219">
        <f>BASE!B1116</f>
        <v>99279</v>
      </c>
    </row>
    <row r="1259" spans="5:5" ht="12.75" hidden="1" customHeight="1" x14ac:dyDescent="0.2">
      <c r="E1259" s="219">
        <f>BASE!B1117</f>
        <v>99287</v>
      </c>
    </row>
    <row r="1260" spans="5:5" ht="12.75" hidden="1" customHeight="1" x14ac:dyDescent="0.2">
      <c r="E1260" s="219">
        <f>BASE!B1118</f>
        <v>99325</v>
      </c>
    </row>
    <row r="1261" spans="5:5" ht="12.75" hidden="1" customHeight="1" x14ac:dyDescent="0.2">
      <c r="E1261" s="219">
        <f>BASE!B1119</f>
        <v>99333</v>
      </c>
    </row>
    <row r="1262" spans="5:5" ht="12.75" hidden="1" customHeight="1" x14ac:dyDescent="0.2">
      <c r="E1262" s="219">
        <f>BASE!B1120</f>
        <v>99341</v>
      </c>
    </row>
    <row r="1263" spans="5:5" ht="12.75" hidden="1" customHeight="1" x14ac:dyDescent="0.2">
      <c r="E1263" s="219">
        <f>BASE!B1121</f>
        <v>99350</v>
      </c>
    </row>
    <row r="1264" spans="5:5" ht="12.75" hidden="1" customHeight="1" x14ac:dyDescent="0.2">
      <c r="E1264" s="219">
        <f>BASE!B1122</f>
        <v>99538</v>
      </c>
    </row>
    <row r="1265" spans="5:5" ht="12.75" hidden="1" customHeight="1" x14ac:dyDescent="0.2">
      <c r="E1265" s="219">
        <f>BASE!B1123</f>
        <v>99589</v>
      </c>
    </row>
    <row r="1266" spans="5:5" ht="12.75" hidden="1" customHeight="1" x14ac:dyDescent="0.2">
      <c r="E1266" s="219">
        <f>BASE!B1124</f>
        <v>99643</v>
      </c>
    </row>
    <row r="1267" spans="5:5" ht="12.75" hidden="1" customHeight="1" x14ac:dyDescent="0.2">
      <c r="E1267" s="219">
        <f>BASE!B1125</f>
        <v>99651</v>
      </c>
    </row>
    <row r="1268" spans="5:5" ht="12.75" hidden="1" customHeight="1" x14ac:dyDescent="0.2">
      <c r="E1268" s="219">
        <f>BASE!B1126</f>
        <v>99660</v>
      </c>
    </row>
    <row r="1269" spans="5:5" ht="12.75" hidden="1" customHeight="1" x14ac:dyDescent="0.2">
      <c r="E1269" s="219">
        <f>BASE!B1127</f>
        <v>99678</v>
      </c>
    </row>
    <row r="1270" spans="5:5" ht="12.75" hidden="1" customHeight="1" x14ac:dyDescent="0.2">
      <c r="E1270" s="219">
        <f>BASE!B1128</f>
        <v>99686</v>
      </c>
    </row>
    <row r="1271" spans="5:5" ht="12.75" hidden="1" customHeight="1" x14ac:dyDescent="0.2">
      <c r="E1271" s="219">
        <f>BASE!B1129</f>
        <v>99783</v>
      </c>
    </row>
    <row r="1272" spans="5:5" ht="12.75" hidden="1" customHeight="1" x14ac:dyDescent="0.2">
      <c r="E1272" s="219">
        <f>BASE!B1130</f>
        <v>99791</v>
      </c>
    </row>
    <row r="1273" spans="5:5" ht="12.75" hidden="1" customHeight="1" x14ac:dyDescent="0.2">
      <c r="E1273" s="219">
        <f>BASE!B1131</f>
        <v>99792</v>
      </c>
    </row>
    <row r="1274" spans="5:5" ht="12.75" hidden="1" customHeight="1" x14ac:dyDescent="0.2">
      <c r="E1274" s="219">
        <f>BASE!B1132</f>
        <v>99805</v>
      </c>
    </row>
    <row r="1275" spans="5:5" ht="12.75" hidden="1" customHeight="1" x14ac:dyDescent="0.2">
      <c r="E1275" s="219">
        <f>BASE!B1133</f>
        <v>99988</v>
      </c>
    </row>
    <row r="1276" spans="5:5" ht="12.75" hidden="1" customHeight="1" x14ac:dyDescent="0.2">
      <c r="E1276" s="219">
        <f>BASE!B1134</f>
        <v>200042</v>
      </c>
    </row>
    <row r="1277" spans="5:5" ht="12.75" hidden="1" customHeight="1" x14ac:dyDescent="0.2">
      <c r="E1277" s="219">
        <f>BASE!B1135</f>
        <v>200043</v>
      </c>
    </row>
    <row r="1278" spans="5:5" ht="12.75" hidden="1" customHeight="1" x14ac:dyDescent="0.2">
      <c r="E1278" s="219">
        <f>BASE!B1136</f>
        <v>200044</v>
      </c>
    </row>
    <row r="1279" spans="5:5" ht="12.75" hidden="1" customHeight="1" x14ac:dyDescent="0.2">
      <c r="E1279" s="219">
        <f>BASE!B1137</f>
        <v>200050</v>
      </c>
    </row>
    <row r="1280" spans="5:5" ht="12.75" hidden="1" customHeight="1" x14ac:dyDescent="0.2">
      <c r="E1280" s="219">
        <f>BASE!B1138</f>
        <v>200069</v>
      </c>
    </row>
    <row r="1281" spans="5:5" ht="12.75" hidden="1" customHeight="1" x14ac:dyDescent="0.2">
      <c r="E1281" s="219">
        <f>BASE!B1139</f>
        <v>200077</v>
      </c>
    </row>
    <row r="1282" spans="5:5" ht="12.75" hidden="1" customHeight="1" x14ac:dyDescent="0.2">
      <c r="E1282" s="219">
        <f>BASE!B1140</f>
        <v>200085</v>
      </c>
    </row>
    <row r="1283" spans="5:5" ht="12.75" hidden="1" customHeight="1" x14ac:dyDescent="0.2">
      <c r="E1283" s="219">
        <f>BASE!B1141</f>
        <v>200093</v>
      </c>
    </row>
    <row r="1284" spans="5:5" ht="12.75" hidden="1" customHeight="1" x14ac:dyDescent="0.2">
      <c r="E1284" s="219">
        <f>BASE!B1142</f>
        <v>200115</v>
      </c>
    </row>
    <row r="1285" spans="5:5" ht="12.75" hidden="1" customHeight="1" x14ac:dyDescent="0.2">
      <c r="E1285" s="219">
        <f>BASE!B1143</f>
        <v>200131</v>
      </c>
    </row>
    <row r="1286" spans="5:5" ht="12.75" hidden="1" customHeight="1" x14ac:dyDescent="0.2">
      <c r="E1286" s="219">
        <f>BASE!B1144</f>
        <v>200140</v>
      </c>
    </row>
    <row r="1287" spans="5:5" ht="12.75" hidden="1" customHeight="1" x14ac:dyDescent="0.2">
      <c r="E1287" s="219">
        <f>BASE!B1145</f>
        <v>200158</v>
      </c>
    </row>
    <row r="1288" spans="5:5" ht="12.75" hidden="1" customHeight="1" x14ac:dyDescent="0.2">
      <c r="E1288" s="219">
        <f>BASE!B1146</f>
        <v>200166</v>
      </c>
    </row>
    <row r="1289" spans="5:5" ht="12.75" hidden="1" customHeight="1" x14ac:dyDescent="0.2">
      <c r="E1289" s="219">
        <f>BASE!B1147</f>
        <v>200174</v>
      </c>
    </row>
    <row r="1290" spans="5:5" ht="12.75" hidden="1" customHeight="1" x14ac:dyDescent="0.2">
      <c r="E1290" s="219">
        <f>BASE!B1148</f>
        <v>200182</v>
      </c>
    </row>
    <row r="1291" spans="5:5" ht="12.75" hidden="1" customHeight="1" x14ac:dyDescent="0.2">
      <c r="E1291" s="219">
        <f>BASE!B1149</f>
        <v>200183</v>
      </c>
    </row>
    <row r="1292" spans="5:5" ht="12.75" hidden="1" customHeight="1" x14ac:dyDescent="0.2">
      <c r="E1292" s="219">
        <f>BASE!B1150</f>
        <v>200184</v>
      </c>
    </row>
    <row r="1293" spans="5:5" ht="12.75" hidden="1" customHeight="1" x14ac:dyDescent="0.2">
      <c r="E1293" s="219">
        <f>BASE!B1151</f>
        <v>200185</v>
      </c>
    </row>
    <row r="1294" spans="5:5" ht="12.75" hidden="1" customHeight="1" x14ac:dyDescent="0.2">
      <c r="E1294" s="219">
        <f>BASE!B1152</f>
        <v>200186</v>
      </c>
    </row>
    <row r="1295" spans="5:5" ht="12.75" hidden="1" customHeight="1" x14ac:dyDescent="0.2">
      <c r="E1295" s="219">
        <f>BASE!B1153</f>
        <v>200187</v>
      </c>
    </row>
    <row r="1296" spans="5:5" ht="12.75" hidden="1" customHeight="1" x14ac:dyDescent="0.2">
      <c r="E1296" s="219">
        <f>BASE!B1154</f>
        <v>200188</v>
      </c>
    </row>
    <row r="1297" spans="5:5" ht="12.75" hidden="1" customHeight="1" x14ac:dyDescent="0.2">
      <c r="E1297" s="219">
        <f>BASE!B1155</f>
        <v>200189</v>
      </c>
    </row>
    <row r="1298" spans="5:5" ht="12.75" hidden="1" customHeight="1" x14ac:dyDescent="0.2">
      <c r="E1298" s="219">
        <f>BASE!B1156</f>
        <v>200190</v>
      </c>
    </row>
    <row r="1299" spans="5:5" ht="12.75" hidden="1" customHeight="1" x14ac:dyDescent="0.2">
      <c r="E1299" s="219">
        <f>BASE!B1157</f>
        <v>200191</v>
      </c>
    </row>
    <row r="1300" spans="5:5" ht="12.75" hidden="1" customHeight="1" x14ac:dyDescent="0.2">
      <c r="E1300" s="219">
        <f>BASE!B1158</f>
        <v>200192</v>
      </c>
    </row>
    <row r="1301" spans="5:5" ht="12.75" hidden="1" customHeight="1" x14ac:dyDescent="0.2">
      <c r="E1301" s="219">
        <f>BASE!B1159</f>
        <v>200193</v>
      </c>
    </row>
    <row r="1302" spans="5:5" ht="12.75" hidden="1" customHeight="1" x14ac:dyDescent="0.2">
      <c r="E1302" s="219">
        <f>BASE!B1160</f>
        <v>200194</v>
      </c>
    </row>
    <row r="1303" spans="5:5" ht="12.75" hidden="1" customHeight="1" x14ac:dyDescent="0.2">
      <c r="E1303" s="219">
        <f>BASE!B1161</f>
        <v>200195</v>
      </c>
    </row>
    <row r="1304" spans="5:5" ht="12.75" hidden="1" customHeight="1" x14ac:dyDescent="0.2">
      <c r="E1304" s="219">
        <f>BASE!B1162</f>
        <v>200196</v>
      </c>
    </row>
    <row r="1305" spans="5:5" ht="12.75" hidden="1" customHeight="1" x14ac:dyDescent="0.2">
      <c r="E1305" s="219">
        <f>BASE!B1163</f>
        <v>200197</v>
      </c>
    </row>
    <row r="1306" spans="5:5" ht="12.75" hidden="1" customHeight="1" x14ac:dyDescent="0.2">
      <c r="E1306" s="219">
        <f>BASE!B1164</f>
        <v>200198</v>
      </c>
    </row>
    <row r="1307" spans="5:5" ht="12.75" hidden="1" customHeight="1" x14ac:dyDescent="0.2">
      <c r="E1307" s="219">
        <f>BASE!B1165</f>
        <v>200199</v>
      </c>
    </row>
    <row r="1308" spans="5:5" ht="12.75" hidden="1" customHeight="1" x14ac:dyDescent="0.2">
      <c r="E1308" s="219">
        <f>BASE!B1166</f>
        <v>200200</v>
      </c>
    </row>
    <row r="1309" spans="5:5" ht="12.75" hidden="1" customHeight="1" x14ac:dyDescent="0.2">
      <c r="E1309" s="219">
        <f>BASE!B1167</f>
        <v>200201</v>
      </c>
    </row>
    <row r="1310" spans="5:5" ht="12.75" hidden="1" customHeight="1" x14ac:dyDescent="0.2">
      <c r="E1310" s="219">
        <f>BASE!B1168</f>
        <v>200202</v>
      </c>
    </row>
    <row r="1311" spans="5:5" ht="12.75" hidden="1" customHeight="1" x14ac:dyDescent="0.2">
      <c r="E1311" s="219">
        <f>BASE!B1169</f>
        <v>200203</v>
      </c>
    </row>
    <row r="1312" spans="5:5" ht="12.75" hidden="1" customHeight="1" x14ac:dyDescent="0.2">
      <c r="E1312" s="219">
        <f>BASE!B1170</f>
        <v>200204</v>
      </c>
    </row>
    <row r="1313" spans="5:5" ht="12.75" hidden="1" customHeight="1" x14ac:dyDescent="0.2">
      <c r="E1313" s="219">
        <f>BASE!B1171</f>
        <v>200205</v>
      </c>
    </row>
    <row r="1314" spans="5:5" ht="12.75" hidden="1" customHeight="1" x14ac:dyDescent="0.2">
      <c r="E1314" s="219">
        <f>BASE!B1172</f>
        <v>200206</v>
      </c>
    </row>
    <row r="1315" spans="5:5" ht="12.75" hidden="1" customHeight="1" x14ac:dyDescent="0.2">
      <c r="E1315" s="219">
        <f>BASE!B1173</f>
        <v>200207</v>
      </c>
    </row>
    <row r="1316" spans="5:5" ht="12.75" hidden="1" customHeight="1" x14ac:dyDescent="0.2">
      <c r="E1316" s="219">
        <f>BASE!B1174</f>
        <v>200237</v>
      </c>
    </row>
    <row r="1317" spans="5:5" ht="12.75" hidden="1" customHeight="1" x14ac:dyDescent="0.2">
      <c r="E1317" s="219">
        <f>BASE!B1175</f>
        <v>200238</v>
      </c>
    </row>
    <row r="1318" spans="5:5" ht="12.75" hidden="1" customHeight="1" x14ac:dyDescent="0.2">
      <c r="E1318" s="219">
        <f>BASE!B1176</f>
        <v>200239</v>
      </c>
    </row>
    <row r="1319" spans="5:5" ht="12.75" hidden="1" customHeight="1" x14ac:dyDescent="0.2">
      <c r="E1319" s="219">
        <f>BASE!B1177</f>
        <v>200240</v>
      </c>
    </row>
    <row r="1320" spans="5:5" ht="12.75" hidden="1" customHeight="1" x14ac:dyDescent="0.2">
      <c r="E1320" s="219">
        <f>BASE!B1178</f>
        <v>200241</v>
      </c>
    </row>
    <row r="1321" spans="5:5" ht="12.75" hidden="1" customHeight="1" x14ac:dyDescent="0.2">
      <c r="E1321" s="219">
        <f>BASE!B1179</f>
        <v>200243</v>
      </c>
    </row>
    <row r="1322" spans="5:5" ht="12.75" hidden="1" customHeight="1" x14ac:dyDescent="0.2">
      <c r="E1322" s="219">
        <f>BASE!B1180</f>
        <v>200244</v>
      </c>
    </row>
    <row r="1323" spans="5:5" ht="12.75" hidden="1" customHeight="1" x14ac:dyDescent="0.2">
      <c r="E1323" s="219">
        <f>BASE!B1181</f>
        <v>200245</v>
      </c>
    </row>
    <row r="1324" spans="5:5" ht="12.75" hidden="1" customHeight="1" x14ac:dyDescent="0.2">
      <c r="E1324" s="219">
        <f>BASE!B1182</f>
        <v>200246</v>
      </c>
    </row>
    <row r="1325" spans="5:5" ht="12.75" hidden="1" customHeight="1" x14ac:dyDescent="0.2">
      <c r="E1325" s="219">
        <f>BASE!B1183</f>
        <v>200247</v>
      </c>
    </row>
    <row r="1326" spans="5:5" ht="12.75" hidden="1" customHeight="1" x14ac:dyDescent="0.2">
      <c r="E1326" s="219">
        <f>BASE!B1184</f>
        <v>200248</v>
      </c>
    </row>
    <row r="1327" spans="5:5" ht="12.75" hidden="1" customHeight="1" x14ac:dyDescent="0.2">
      <c r="E1327" s="219">
        <f>BASE!B1185</f>
        <v>200249</v>
      </c>
    </row>
    <row r="1328" spans="5:5" ht="12.75" hidden="1" customHeight="1" x14ac:dyDescent="0.2">
      <c r="E1328" s="219">
        <f>BASE!B1186</f>
        <v>200250</v>
      </c>
    </row>
    <row r="1329" spans="5:5" ht="12.75" hidden="1" customHeight="1" x14ac:dyDescent="0.2">
      <c r="E1329" s="219">
        <f>BASE!B1187</f>
        <v>200251</v>
      </c>
    </row>
    <row r="1330" spans="5:5" ht="12.75" hidden="1" customHeight="1" x14ac:dyDescent="0.2">
      <c r="E1330" s="219">
        <f>BASE!B1188</f>
        <v>200252</v>
      </c>
    </row>
    <row r="1331" spans="5:5" ht="12.75" hidden="1" customHeight="1" x14ac:dyDescent="0.2">
      <c r="E1331" s="219">
        <f>BASE!B1189</f>
        <v>200253</v>
      </c>
    </row>
    <row r="1332" spans="5:5" ht="12.75" hidden="1" customHeight="1" x14ac:dyDescent="0.2">
      <c r="E1332" s="219">
        <f>BASE!B1190</f>
        <v>200254</v>
      </c>
    </row>
    <row r="1333" spans="5:5" ht="12.75" hidden="1" customHeight="1" x14ac:dyDescent="0.2">
      <c r="E1333" s="219">
        <f>BASE!B1191</f>
        <v>200255</v>
      </c>
    </row>
    <row r="1334" spans="5:5" ht="12.75" hidden="1" customHeight="1" x14ac:dyDescent="0.2">
      <c r="E1334" s="219">
        <f>BASE!B1192</f>
        <v>200256</v>
      </c>
    </row>
    <row r="1335" spans="5:5" ht="12.75" hidden="1" customHeight="1" x14ac:dyDescent="0.2">
      <c r="E1335" s="219">
        <f>BASE!B1193</f>
        <v>200257</v>
      </c>
    </row>
    <row r="1336" spans="5:5" ht="12.75" hidden="1" customHeight="1" x14ac:dyDescent="0.2">
      <c r="E1336" s="219">
        <f>BASE!B1194</f>
        <v>200258</v>
      </c>
    </row>
    <row r="1337" spans="5:5" ht="12.75" hidden="1" customHeight="1" x14ac:dyDescent="0.2">
      <c r="E1337" s="219">
        <f>BASE!B1195</f>
        <v>200259</v>
      </c>
    </row>
    <row r="1338" spans="5:5" ht="12.75" hidden="1" customHeight="1" x14ac:dyDescent="0.2">
      <c r="E1338" s="219">
        <f>BASE!B1196</f>
        <v>200260</v>
      </c>
    </row>
    <row r="1339" spans="5:5" ht="12.75" hidden="1" customHeight="1" x14ac:dyDescent="0.2">
      <c r="E1339" s="219">
        <f>BASE!B1197</f>
        <v>200261</v>
      </c>
    </row>
    <row r="1340" spans="5:5" ht="12.75" hidden="1" customHeight="1" x14ac:dyDescent="0.2">
      <c r="E1340" s="219">
        <f>BASE!B1198</f>
        <v>200262</v>
      </c>
    </row>
    <row r="1341" spans="5:5" ht="12.75" hidden="1" customHeight="1" x14ac:dyDescent="0.2">
      <c r="E1341" s="219">
        <f>BASE!B1199</f>
        <v>400001</v>
      </c>
    </row>
    <row r="1342" spans="5:5" ht="12.75" hidden="1" customHeight="1" x14ac:dyDescent="0.2">
      <c r="E1342" s="219">
        <f>BASE!B1200</f>
        <v>400002</v>
      </c>
    </row>
    <row r="1343" spans="5:5" ht="12.75" hidden="1" customHeight="1" x14ac:dyDescent="0.2">
      <c r="E1343" s="219">
        <f>BASE!B1201</f>
        <v>400003</v>
      </c>
    </row>
    <row r="1344" spans="5:5" ht="12.75" hidden="1" customHeight="1" x14ac:dyDescent="0.2">
      <c r="E1344" s="219">
        <f>BASE!B1202</f>
        <v>400004</v>
      </c>
    </row>
    <row r="1345" spans="5:5" ht="12.75" hidden="1" customHeight="1" x14ac:dyDescent="0.2">
      <c r="E1345" s="219">
        <f>BASE!B1203</f>
        <v>400005</v>
      </c>
    </row>
    <row r="1346" spans="5:5" ht="12.75" hidden="1" customHeight="1" x14ac:dyDescent="0.2">
      <c r="E1346" s="219">
        <f>BASE!B1204</f>
        <v>400006</v>
      </c>
    </row>
    <row r="1347" spans="5:5" ht="12.75" hidden="1" customHeight="1" x14ac:dyDescent="0.2">
      <c r="E1347" s="219">
        <f>BASE!B1205</f>
        <v>400007</v>
      </c>
    </row>
    <row r="1348" spans="5:5" ht="12.75" hidden="1" customHeight="1" x14ac:dyDescent="0.2">
      <c r="E1348" s="219">
        <f>BASE!B1206</f>
        <v>400008</v>
      </c>
    </row>
    <row r="1349" spans="5:5" ht="12.75" hidden="1" customHeight="1" x14ac:dyDescent="0.2">
      <c r="E1349" s="219">
        <f>BASE!B1207</f>
        <v>400009</v>
      </c>
    </row>
    <row r="1350" spans="5:5" ht="12.75" hidden="1" customHeight="1" x14ac:dyDescent="0.2">
      <c r="E1350" s="219">
        <f>BASE!B1208</f>
        <v>400010</v>
      </c>
    </row>
    <row r="1351" spans="5:5" ht="12.75" hidden="1" customHeight="1" x14ac:dyDescent="0.2">
      <c r="E1351" s="219">
        <f>BASE!B1209</f>
        <v>400011</v>
      </c>
    </row>
    <row r="1352" spans="5:5" ht="12.75" hidden="1" customHeight="1" x14ac:dyDescent="0.2">
      <c r="E1352" s="219">
        <f>BASE!B1210</f>
        <v>400012</v>
      </c>
    </row>
    <row r="1353" spans="5:5" ht="12.75" hidden="1" customHeight="1" x14ac:dyDescent="0.2">
      <c r="E1353" s="219">
        <f>BASE!B1211</f>
        <v>400013</v>
      </c>
    </row>
    <row r="1354" spans="5:5" ht="12.75" hidden="1" customHeight="1" x14ac:dyDescent="0.2">
      <c r="E1354" s="219">
        <f>BASE!B1212</f>
        <v>400014</v>
      </c>
    </row>
    <row r="1355" spans="5:5" ht="12.75" hidden="1" customHeight="1" x14ac:dyDescent="0.2">
      <c r="E1355" s="219">
        <f>BASE!B1213</f>
        <v>400015</v>
      </c>
    </row>
    <row r="1356" spans="5:5" ht="12.75" hidden="1" customHeight="1" x14ac:dyDescent="0.2">
      <c r="E1356" s="219">
        <f>BASE!B1214</f>
        <v>400016</v>
      </c>
    </row>
    <row r="1357" spans="5:5" ht="12.75" hidden="1" customHeight="1" x14ac:dyDescent="0.2">
      <c r="E1357" s="219">
        <f>BASE!B1215</f>
        <v>400017</v>
      </c>
    </row>
    <row r="1358" spans="5:5" ht="12.75" hidden="1" customHeight="1" x14ac:dyDescent="0.2">
      <c r="E1358" s="219">
        <f>BASE!B1216</f>
        <v>400018</v>
      </c>
    </row>
    <row r="1359" spans="5:5" ht="12.75" hidden="1" customHeight="1" x14ac:dyDescent="0.2">
      <c r="E1359" s="219">
        <f>BASE!B1217</f>
        <v>400019</v>
      </c>
    </row>
    <row r="1360" spans="5:5" ht="12.75" hidden="1" customHeight="1" x14ac:dyDescent="0.2">
      <c r="E1360" s="219">
        <f>BASE!B1218</f>
        <v>400020</v>
      </c>
    </row>
    <row r="1361" spans="5:5" ht="12.75" hidden="1" customHeight="1" x14ac:dyDescent="0.2">
      <c r="E1361" s="219">
        <f>BASE!B1219</f>
        <v>400021</v>
      </c>
    </row>
    <row r="1362" spans="5:5" ht="12.75" hidden="1" customHeight="1" x14ac:dyDescent="0.2">
      <c r="E1362" s="219">
        <f>BASE!B1220</f>
        <v>400022</v>
      </c>
    </row>
    <row r="1363" spans="5:5" ht="12.75" hidden="1" customHeight="1" x14ac:dyDescent="0.2">
      <c r="E1363" s="219">
        <f>BASE!B1221</f>
        <v>400023</v>
      </c>
    </row>
    <row r="1364" spans="5:5" ht="12.75" hidden="1" customHeight="1" x14ac:dyDescent="0.2">
      <c r="E1364" s="219">
        <f>BASE!B1222</f>
        <v>400024</v>
      </c>
    </row>
    <row r="1365" spans="5:5" ht="12.75" hidden="1" customHeight="1" x14ac:dyDescent="0.2">
      <c r="E1365" s="219">
        <f>BASE!B1223</f>
        <v>400025</v>
      </c>
    </row>
    <row r="1366" spans="5:5" ht="12.75" hidden="1" customHeight="1" x14ac:dyDescent="0.2">
      <c r="E1366" s="219">
        <f>BASE!B1224</f>
        <v>400026</v>
      </c>
    </row>
    <row r="1367" spans="5:5" ht="12.75" hidden="1" customHeight="1" x14ac:dyDescent="0.2">
      <c r="E1367" s="219">
        <f>BASE!B1225</f>
        <v>400027</v>
      </c>
    </row>
    <row r="1368" spans="5:5" ht="12.75" hidden="1" customHeight="1" x14ac:dyDescent="0.2">
      <c r="E1368" s="219">
        <f>BASE!B1226</f>
        <v>400028</v>
      </c>
    </row>
    <row r="1369" spans="5:5" ht="12.75" hidden="1" customHeight="1" x14ac:dyDescent="0.2">
      <c r="E1369" s="219">
        <f>BASE!B1227</f>
        <v>400029</v>
      </c>
    </row>
    <row r="1370" spans="5:5" ht="12.75" hidden="1" customHeight="1" x14ac:dyDescent="0.2">
      <c r="E1370" s="219">
        <f>BASE!B1228</f>
        <v>400030</v>
      </c>
    </row>
    <row r="1371" spans="5:5" ht="12.75" hidden="1" customHeight="1" x14ac:dyDescent="0.2">
      <c r="E1371" s="219">
        <f>BASE!B1229</f>
        <v>400031</v>
      </c>
    </row>
    <row r="1372" spans="5:5" ht="12.75" hidden="1" customHeight="1" x14ac:dyDescent="0.2">
      <c r="E1372" s="219">
        <f>BASE!B1230</f>
        <v>400032</v>
      </c>
    </row>
    <row r="1373" spans="5:5" ht="12.75" hidden="1" customHeight="1" x14ac:dyDescent="0.2">
      <c r="E1373" s="219">
        <f>BASE!B1231</f>
        <v>400033</v>
      </c>
    </row>
    <row r="1374" spans="5:5" ht="12.75" hidden="1" customHeight="1" x14ac:dyDescent="0.2">
      <c r="E1374" s="219">
        <f>BASE!B1232</f>
        <v>400034</v>
      </c>
    </row>
    <row r="1375" spans="5:5" ht="12.75" hidden="1" customHeight="1" x14ac:dyDescent="0.2">
      <c r="E1375" s="219">
        <f>BASE!B1233</f>
        <v>400035</v>
      </c>
    </row>
    <row r="1376" spans="5:5" ht="12.75" hidden="1" customHeight="1" x14ac:dyDescent="0.2">
      <c r="E1376" s="219">
        <f>BASE!B1234</f>
        <v>400036</v>
      </c>
    </row>
    <row r="1377" spans="5:5" ht="12.75" hidden="1" customHeight="1" x14ac:dyDescent="0.2">
      <c r="E1377" s="219">
        <f>BASE!B1235</f>
        <v>400037</v>
      </c>
    </row>
    <row r="1378" spans="5:5" ht="12.75" hidden="1" customHeight="1" x14ac:dyDescent="0.2">
      <c r="E1378" s="219">
        <f>BASE!B1236</f>
        <v>400038</v>
      </c>
    </row>
    <row r="1379" spans="5:5" ht="12.75" hidden="1" customHeight="1" x14ac:dyDescent="0.2">
      <c r="E1379" s="219">
        <f>BASE!B1237</f>
        <v>400039</v>
      </c>
    </row>
    <row r="1380" spans="5:5" ht="12.75" hidden="1" customHeight="1" x14ac:dyDescent="0.2">
      <c r="E1380" s="219">
        <f>BASE!B1238</f>
        <v>400040</v>
      </c>
    </row>
    <row r="1381" spans="5:5" ht="12.75" hidden="1" customHeight="1" x14ac:dyDescent="0.2">
      <c r="E1381" s="219">
        <f>BASE!B1239</f>
        <v>400041</v>
      </c>
    </row>
    <row r="1382" spans="5:5" ht="12.75" hidden="1" customHeight="1" x14ac:dyDescent="0.2">
      <c r="E1382" s="219">
        <f>BASE!B1240</f>
        <v>400042</v>
      </c>
    </row>
    <row r="1383" spans="5:5" ht="12.75" hidden="1" customHeight="1" x14ac:dyDescent="0.2">
      <c r="E1383" s="219">
        <f>BASE!B1241</f>
        <v>400043</v>
      </c>
    </row>
    <row r="1384" spans="5:5" ht="12.75" hidden="1" customHeight="1" x14ac:dyDescent="0.2">
      <c r="E1384" s="219">
        <f>BASE!B1242</f>
        <v>400044</v>
      </c>
    </row>
    <row r="1385" spans="5:5" ht="12.75" hidden="1" customHeight="1" x14ac:dyDescent="0.2">
      <c r="E1385" s="219">
        <f>BASE!B1243</f>
        <v>400045</v>
      </c>
    </row>
    <row r="1386" spans="5:5" ht="12.75" hidden="1" customHeight="1" x14ac:dyDescent="0.2">
      <c r="E1386" s="219">
        <f>BASE!B1244</f>
        <v>400046</v>
      </c>
    </row>
    <row r="1387" spans="5:5" ht="12.75" hidden="1" customHeight="1" x14ac:dyDescent="0.2">
      <c r="E1387" s="219">
        <f>BASE!B1245</f>
        <v>400047</v>
      </c>
    </row>
    <row r="1388" spans="5:5" ht="12.75" hidden="1" customHeight="1" x14ac:dyDescent="0.2">
      <c r="E1388" s="219">
        <f>BASE!B1246</f>
        <v>400048</v>
      </c>
    </row>
    <row r="1389" spans="5:5" ht="12.75" hidden="1" customHeight="1" x14ac:dyDescent="0.2">
      <c r="E1389" s="219">
        <f>BASE!B1247</f>
        <v>400049</v>
      </c>
    </row>
    <row r="1390" spans="5:5" ht="12.75" hidden="1" customHeight="1" x14ac:dyDescent="0.2">
      <c r="E1390" s="219">
        <f>BASE!B1248</f>
        <v>400050</v>
      </c>
    </row>
    <row r="1391" spans="5:5" ht="12.75" hidden="1" customHeight="1" x14ac:dyDescent="0.2">
      <c r="E1391" s="219">
        <f>BASE!B1249</f>
        <v>400051</v>
      </c>
    </row>
    <row r="1392" spans="5:5" ht="12.75" hidden="1" customHeight="1" x14ac:dyDescent="0.2">
      <c r="E1392" s="219">
        <f>BASE!B1250</f>
        <v>400052</v>
      </c>
    </row>
    <row r="1393" spans="5:5" ht="12.75" hidden="1" customHeight="1" x14ac:dyDescent="0.2">
      <c r="E1393" s="219">
        <f>BASE!B1251</f>
        <v>400053</v>
      </c>
    </row>
    <row r="1394" spans="5:5" ht="12.75" hidden="1" customHeight="1" x14ac:dyDescent="0.2">
      <c r="E1394" s="219">
        <f>BASE!B1252</f>
        <v>400054</v>
      </c>
    </row>
    <row r="1395" spans="5:5" ht="12.75" hidden="1" customHeight="1" x14ac:dyDescent="0.2">
      <c r="E1395" s="219">
        <f>BASE!B1253</f>
        <v>400055</v>
      </c>
    </row>
    <row r="1396" spans="5:5" ht="12.75" hidden="1" customHeight="1" x14ac:dyDescent="0.2">
      <c r="E1396" s="219">
        <f>BASE!B1254</f>
        <v>400056</v>
      </c>
    </row>
    <row r="1397" spans="5:5" ht="12.75" hidden="1" customHeight="1" x14ac:dyDescent="0.2">
      <c r="E1397" s="219">
        <f>BASE!B1255</f>
        <v>400057</v>
      </c>
    </row>
    <row r="1398" spans="5:5" ht="12.75" hidden="1" customHeight="1" x14ac:dyDescent="0.2">
      <c r="E1398" s="219">
        <f>BASE!B1256</f>
        <v>400058</v>
      </c>
    </row>
    <row r="1399" spans="5:5" ht="12.75" hidden="1" customHeight="1" x14ac:dyDescent="0.2">
      <c r="E1399" s="219">
        <f>BASE!B1257</f>
        <v>400059</v>
      </c>
    </row>
    <row r="1400" spans="5:5" ht="12.75" hidden="1" customHeight="1" x14ac:dyDescent="0.2">
      <c r="E1400" s="219">
        <f>BASE!B1258</f>
        <v>400060</v>
      </c>
    </row>
    <row r="1401" spans="5:5" ht="12.75" hidden="1" customHeight="1" x14ac:dyDescent="0.2">
      <c r="E1401" s="219">
        <f>BASE!B1259</f>
        <v>400061</v>
      </c>
    </row>
    <row r="1402" spans="5:5" ht="12.75" hidden="1" customHeight="1" x14ac:dyDescent="0.2">
      <c r="E1402" s="219">
        <f>BASE!B1260</f>
        <v>400062</v>
      </c>
    </row>
    <row r="1403" spans="5:5" ht="12.75" hidden="1" customHeight="1" x14ac:dyDescent="0.2">
      <c r="E1403" s="219">
        <f>BASE!B1261</f>
        <v>400063</v>
      </c>
    </row>
    <row r="1404" spans="5:5" ht="12.75" hidden="1" customHeight="1" x14ac:dyDescent="0.2">
      <c r="E1404" s="219">
        <f>BASE!B1262</f>
        <v>400064</v>
      </c>
    </row>
    <row r="1405" spans="5:5" ht="12.75" hidden="1" customHeight="1" x14ac:dyDescent="0.2">
      <c r="E1405" s="219">
        <f>BASE!B1263</f>
        <v>400065</v>
      </c>
    </row>
    <row r="1406" spans="5:5" ht="12.75" hidden="1" customHeight="1" x14ac:dyDescent="0.2">
      <c r="E1406" s="219">
        <f>BASE!B1264</f>
        <v>400066</v>
      </c>
    </row>
    <row r="1407" spans="5:5" ht="12.75" hidden="1" customHeight="1" x14ac:dyDescent="0.2">
      <c r="E1407" s="219">
        <f>BASE!B1265</f>
        <v>400067</v>
      </c>
    </row>
    <row r="1408" spans="5:5" ht="12.75" hidden="1" customHeight="1" x14ac:dyDescent="0.2">
      <c r="E1408" s="219">
        <f>BASE!B1266</f>
        <v>400068</v>
      </c>
    </row>
    <row r="1409" spans="5:5" ht="12.75" hidden="1" customHeight="1" x14ac:dyDescent="0.2">
      <c r="E1409" s="219">
        <f>BASE!B1267</f>
        <v>400069</v>
      </c>
    </row>
    <row r="1410" spans="5:5" ht="12.75" hidden="1" customHeight="1" x14ac:dyDescent="0.2">
      <c r="E1410" s="219">
        <f>BASE!B1268</f>
        <v>400070</v>
      </c>
    </row>
    <row r="1411" spans="5:5" ht="12.75" hidden="1" customHeight="1" x14ac:dyDescent="0.2">
      <c r="E1411" s="219">
        <f>BASE!B1269</f>
        <v>400071</v>
      </c>
    </row>
    <row r="1412" spans="5:5" ht="12.75" hidden="1" customHeight="1" x14ac:dyDescent="0.2">
      <c r="E1412" s="219">
        <f>BASE!B1270</f>
        <v>400072</v>
      </c>
    </row>
    <row r="1413" spans="5:5" ht="12.75" hidden="1" customHeight="1" x14ac:dyDescent="0.2">
      <c r="E1413" s="219">
        <f>BASE!B1271</f>
        <v>400073</v>
      </c>
    </row>
    <row r="1414" spans="5:5" ht="12.75" hidden="1" customHeight="1" x14ac:dyDescent="0.2">
      <c r="E1414" s="219">
        <f>BASE!B1272</f>
        <v>400074</v>
      </c>
    </row>
    <row r="1415" spans="5:5" ht="12.75" hidden="1" customHeight="1" x14ac:dyDescent="0.2">
      <c r="E1415" s="219">
        <f>BASE!B1273</f>
        <v>400075</v>
      </c>
    </row>
    <row r="1416" spans="5:5" ht="12.75" hidden="1" customHeight="1" x14ac:dyDescent="0.2">
      <c r="E1416" s="219">
        <f>BASE!B1274</f>
        <v>400076</v>
      </c>
    </row>
    <row r="1417" spans="5:5" ht="12.75" hidden="1" customHeight="1" x14ac:dyDescent="0.2">
      <c r="E1417" s="219">
        <f>BASE!B1275</f>
        <v>400077</v>
      </c>
    </row>
    <row r="1418" spans="5:5" ht="12.75" hidden="1" customHeight="1" x14ac:dyDescent="0.2">
      <c r="E1418" s="219">
        <f>BASE!B1276</f>
        <v>400078</v>
      </c>
    </row>
    <row r="1419" spans="5:5" ht="12.75" hidden="1" customHeight="1" x14ac:dyDescent="0.2">
      <c r="E1419" s="219">
        <f>BASE!B1277</f>
        <v>400079</v>
      </c>
    </row>
    <row r="1420" spans="5:5" ht="12.75" hidden="1" customHeight="1" x14ac:dyDescent="0.2">
      <c r="E1420" s="219">
        <f>BASE!B1278</f>
        <v>400080</v>
      </c>
    </row>
    <row r="1421" spans="5:5" ht="12.75" hidden="1" customHeight="1" x14ac:dyDescent="0.2">
      <c r="E1421" s="219">
        <f>BASE!B1279</f>
        <v>400081</v>
      </c>
    </row>
    <row r="1422" spans="5:5" ht="12.75" hidden="1" customHeight="1" x14ac:dyDescent="0.2">
      <c r="E1422" s="219">
        <f>BASE!B1280</f>
        <v>400082</v>
      </c>
    </row>
    <row r="1423" spans="5:5" ht="12.75" hidden="1" customHeight="1" x14ac:dyDescent="0.2">
      <c r="E1423" s="219">
        <f>BASE!B1281</f>
        <v>400083</v>
      </c>
    </row>
    <row r="1424" spans="5:5" ht="12.75" hidden="1" customHeight="1" x14ac:dyDescent="0.2">
      <c r="E1424" s="219">
        <f>BASE!B1282</f>
        <v>400084</v>
      </c>
    </row>
    <row r="1425" spans="5:5" ht="12.75" hidden="1" customHeight="1" x14ac:dyDescent="0.2">
      <c r="E1425" s="219">
        <f>BASE!B1283</f>
        <v>400085</v>
      </c>
    </row>
    <row r="1426" spans="5:5" ht="12.75" hidden="1" customHeight="1" x14ac:dyDescent="0.2">
      <c r="E1426" s="219">
        <f>BASE!B1284</f>
        <v>400086</v>
      </c>
    </row>
    <row r="1427" spans="5:5" ht="12.75" hidden="1" customHeight="1" x14ac:dyDescent="0.2">
      <c r="E1427" s="219">
        <f>BASE!B1285</f>
        <v>400087</v>
      </c>
    </row>
    <row r="1428" spans="5:5" ht="12.75" hidden="1" customHeight="1" x14ac:dyDescent="0.2">
      <c r="E1428" s="219">
        <f>BASE!B1286</f>
        <v>400088</v>
      </c>
    </row>
    <row r="1429" spans="5:5" ht="12.75" hidden="1" customHeight="1" x14ac:dyDescent="0.2">
      <c r="E1429" s="219">
        <f>BASE!B1287</f>
        <v>400089</v>
      </c>
    </row>
    <row r="1430" spans="5:5" ht="12.75" hidden="1" customHeight="1" x14ac:dyDescent="0.2">
      <c r="E1430" s="219">
        <f>BASE!B1288</f>
        <v>400090</v>
      </c>
    </row>
    <row r="1431" spans="5:5" ht="12.75" hidden="1" customHeight="1" x14ac:dyDescent="0.2">
      <c r="E1431" s="219">
        <f>BASE!B1289</f>
        <v>400091</v>
      </c>
    </row>
    <row r="1432" spans="5:5" ht="12.75" hidden="1" customHeight="1" x14ac:dyDescent="0.2">
      <c r="E1432" s="219">
        <f>BASE!B1290</f>
        <v>400092</v>
      </c>
    </row>
    <row r="1433" spans="5:5" ht="12.75" hidden="1" customHeight="1" x14ac:dyDescent="0.2">
      <c r="E1433" s="219">
        <f>BASE!B1291</f>
        <v>400093</v>
      </c>
    </row>
    <row r="1434" spans="5:5" ht="12.75" hidden="1" customHeight="1" x14ac:dyDescent="0.2">
      <c r="E1434" s="219">
        <f>BASE!B1292</f>
        <v>400094</v>
      </c>
    </row>
    <row r="1435" spans="5:5" ht="12.75" hidden="1" customHeight="1" x14ac:dyDescent="0.2">
      <c r="E1435" s="219">
        <f>BASE!B1293</f>
        <v>400095</v>
      </c>
    </row>
    <row r="1436" spans="5:5" ht="12.75" hidden="1" customHeight="1" x14ac:dyDescent="0.2">
      <c r="E1436" s="219">
        <f>BASE!B1294</f>
        <v>400096</v>
      </c>
    </row>
    <row r="1437" spans="5:5" ht="12.75" hidden="1" customHeight="1" x14ac:dyDescent="0.2">
      <c r="E1437" s="219">
        <f>BASE!B1295</f>
        <v>400097</v>
      </c>
    </row>
    <row r="1438" spans="5:5" ht="12.75" hidden="1" customHeight="1" x14ac:dyDescent="0.2">
      <c r="E1438" s="219">
        <f>BASE!B1296</f>
        <v>400098</v>
      </c>
    </row>
    <row r="1439" spans="5:5" ht="12.75" hidden="1" customHeight="1" x14ac:dyDescent="0.2">
      <c r="E1439" s="219">
        <f>BASE!B1297</f>
        <v>400099</v>
      </c>
    </row>
    <row r="1440" spans="5:5" ht="12.75" hidden="1" customHeight="1" x14ac:dyDescent="0.2">
      <c r="E1440" s="219">
        <f>BASE!B1298</f>
        <v>400100</v>
      </c>
    </row>
    <row r="1441" spans="5:5" ht="12.75" hidden="1" customHeight="1" x14ac:dyDescent="0.2">
      <c r="E1441" s="219">
        <f>BASE!B1299</f>
        <v>400101</v>
      </c>
    </row>
    <row r="1442" spans="5:5" ht="12.75" hidden="1" customHeight="1" x14ac:dyDescent="0.2">
      <c r="E1442" s="219">
        <f>BASE!B1300</f>
        <v>400102</v>
      </c>
    </row>
    <row r="1443" spans="5:5" ht="12.75" hidden="1" customHeight="1" x14ac:dyDescent="0.2">
      <c r="E1443" s="219">
        <f>BASE!B1301</f>
        <v>400103</v>
      </c>
    </row>
    <row r="1444" spans="5:5" ht="12.75" hidden="1" customHeight="1" x14ac:dyDescent="0.2">
      <c r="E1444" s="219">
        <f>BASE!B1302</f>
        <v>400104</v>
      </c>
    </row>
    <row r="1445" spans="5:5" ht="12.75" hidden="1" customHeight="1" x14ac:dyDescent="0.2">
      <c r="E1445" s="219">
        <f>BASE!B1303</f>
        <v>400105</v>
      </c>
    </row>
    <row r="1446" spans="5:5" ht="12.75" hidden="1" customHeight="1" x14ac:dyDescent="0.2">
      <c r="E1446" s="219">
        <f>BASE!B1304</f>
        <v>400106</v>
      </c>
    </row>
    <row r="1447" spans="5:5" ht="12.75" hidden="1" customHeight="1" x14ac:dyDescent="0.2">
      <c r="E1447" s="219">
        <f>BASE!B1305</f>
        <v>400107</v>
      </c>
    </row>
    <row r="1448" spans="5:5" ht="12.75" hidden="1" customHeight="1" x14ac:dyDescent="0.2">
      <c r="E1448" s="219">
        <f>BASE!B1306</f>
        <v>400108</v>
      </c>
    </row>
    <row r="1449" spans="5:5" ht="12.75" hidden="1" customHeight="1" x14ac:dyDescent="0.2">
      <c r="E1449" s="219">
        <f>BASE!B1307</f>
        <v>400109</v>
      </c>
    </row>
    <row r="1450" spans="5:5" ht="12.75" hidden="1" customHeight="1" x14ac:dyDescent="0.2">
      <c r="E1450" s="219">
        <f>BASE!B1308</f>
        <v>400110</v>
      </c>
    </row>
    <row r="1451" spans="5:5" ht="12.75" hidden="1" customHeight="1" x14ac:dyDescent="0.2">
      <c r="E1451" s="219">
        <f>BASE!B1309</f>
        <v>400111</v>
      </c>
    </row>
    <row r="1452" spans="5:5" ht="12.75" hidden="1" customHeight="1" x14ac:dyDescent="0.2">
      <c r="E1452" s="219">
        <f>BASE!B1310</f>
        <v>400112</v>
      </c>
    </row>
    <row r="1453" spans="5:5" ht="12.75" hidden="1" customHeight="1" x14ac:dyDescent="0.2">
      <c r="E1453" s="219">
        <f>BASE!B1311</f>
        <v>400113</v>
      </c>
    </row>
    <row r="1454" spans="5:5" ht="12.75" hidden="1" customHeight="1" x14ac:dyDescent="0.2">
      <c r="E1454" s="219">
        <f>BASE!B1312</f>
        <v>400114</v>
      </c>
    </row>
    <row r="1455" spans="5:5" ht="12.75" hidden="1" customHeight="1" x14ac:dyDescent="0.2">
      <c r="E1455" s="219">
        <f>BASE!B1313</f>
        <v>400115</v>
      </c>
    </row>
    <row r="1456" spans="5:5" ht="12.75" hidden="1" customHeight="1" x14ac:dyDescent="0.2">
      <c r="E1456" s="219">
        <f>BASE!B1314</f>
        <v>400116</v>
      </c>
    </row>
    <row r="1457" spans="5:5" ht="12.75" hidden="1" customHeight="1" x14ac:dyDescent="0.2">
      <c r="E1457" s="219">
        <f>BASE!B1315</f>
        <v>400117</v>
      </c>
    </row>
    <row r="1458" spans="5:5" ht="12.75" hidden="1" customHeight="1" x14ac:dyDescent="0.2">
      <c r="E1458" s="219">
        <f>BASE!B1316</f>
        <v>400118</v>
      </c>
    </row>
    <row r="1459" spans="5:5" ht="12.75" hidden="1" customHeight="1" x14ac:dyDescent="0.2">
      <c r="E1459" s="219">
        <f>BASE!B1317</f>
        <v>400119</v>
      </c>
    </row>
    <row r="1460" spans="5:5" ht="12.75" hidden="1" customHeight="1" x14ac:dyDescent="0.2">
      <c r="E1460" s="219">
        <f>BASE!B1318</f>
        <v>400120</v>
      </c>
    </row>
    <row r="1461" spans="5:5" ht="12.75" hidden="1" customHeight="1" x14ac:dyDescent="0.2">
      <c r="E1461" s="219">
        <f>BASE!B1319</f>
        <v>400121</v>
      </c>
    </row>
    <row r="1462" spans="5:5" ht="12.75" hidden="1" customHeight="1" x14ac:dyDescent="0.2">
      <c r="E1462" s="219">
        <f>BASE!B1320</f>
        <v>400122</v>
      </c>
    </row>
    <row r="1463" spans="5:5" ht="12.75" hidden="1" customHeight="1" x14ac:dyDescent="0.2">
      <c r="E1463" s="219">
        <f>BASE!B1321</f>
        <v>400123</v>
      </c>
    </row>
    <row r="1464" spans="5:5" ht="12.75" hidden="1" customHeight="1" x14ac:dyDescent="0.2">
      <c r="E1464" s="219">
        <f>BASE!B1322</f>
        <v>400124</v>
      </c>
    </row>
    <row r="1465" spans="5:5" ht="12.75" hidden="1" customHeight="1" x14ac:dyDescent="0.2">
      <c r="E1465" s="219">
        <f>BASE!B1323</f>
        <v>400125</v>
      </c>
    </row>
    <row r="1466" spans="5:5" ht="12.75" hidden="1" customHeight="1" x14ac:dyDescent="0.2">
      <c r="E1466" s="219">
        <f>BASE!B1324</f>
        <v>400126</v>
      </c>
    </row>
    <row r="1467" spans="5:5" ht="12.75" hidden="1" customHeight="1" x14ac:dyDescent="0.2">
      <c r="E1467" s="219">
        <f>BASE!B1325</f>
        <v>400127</v>
      </c>
    </row>
    <row r="1468" spans="5:5" ht="12.75" hidden="1" customHeight="1" x14ac:dyDescent="0.2">
      <c r="E1468" s="219">
        <f>BASE!B1326</f>
        <v>400128</v>
      </c>
    </row>
    <row r="1469" spans="5:5" ht="12.75" hidden="1" customHeight="1" x14ac:dyDescent="0.2">
      <c r="E1469" s="219">
        <f>BASE!B1327</f>
        <v>400129</v>
      </c>
    </row>
    <row r="1470" spans="5:5" ht="12.75" hidden="1" customHeight="1" x14ac:dyDescent="0.2">
      <c r="E1470" s="219">
        <f>BASE!B1328</f>
        <v>400130</v>
      </c>
    </row>
    <row r="1471" spans="5:5" ht="12.75" hidden="1" customHeight="1" x14ac:dyDescent="0.2">
      <c r="E1471" s="219">
        <f>BASE!B1329</f>
        <v>400132</v>
      </c>
    </row>
    <row r="1472" spans="5:5" ht="12.75" hidden="1" customHeight="1" x14ac:dyDescent="0.2">
      <c r="E1472" s="219">
        <f>BASE!B1330</f>
        <v>400133</v>
      </c>
    </row>
    <row r="1473" spans="5:5" ht="12.75" hidden="1" customHeight="1" x14ac:dyDescent="0.2">
      <c r="E1473" s="219">
        <f>BASE!B1331</f>
        <v>400134</v>
      </c>
    </row>
    <row r="1474" spans="5:5" ht="12.75" hidden="1" customHeight="1" x14ac:dyDescent="0.2">
      <c r="E1474" s="219">
        <f>BASE!B1332</f>
        <v>400135</v>
      </c>
    </row>
    <row r="1475" spans="5:5" ht="12.75" hidden="1" customHeight="1" x14ac:dyDescent="0.2">
      <c r="E1475" s="219">
        <f>BASE!B1333</f>
        <v>400136</v>
      </c>
    </row>
    <row r="1476" spans="5:5" ht="12.75" hidden="1" customHeight="1" x14ac:dyDescent="0.2">
      <c r="E1476" s="219">
        <f>BASE!B1334</f>
        <v>400137</v>
      </c>
    </row>
    <row r="1477" spans="5:5" ht="12.75" hidden="1" customHeight="1" x14ac:dyDescent="0.2">
      <c r="E1477" s="219">
        <f>BASE!B1335</f>
        <v>400138</v>
      </c>
    </row>
    <row r="1478" spans="5:5" ht="12.75" hidden="1" customHeight="1" x14ac:dyDescent="0.2">
      <c r="E1478" s="219">
        <f>BASE!B1336</f>
        <v>400139</v>
      </c>
    </row>
    <row r="1479" spans="5:5" ht="12.75" hidden="1" customHeight="1" x14ac:dyDescent="0.2">
      <c r="E1479" s="219">
        <f>BASE!B1337</f>
        <v>400140</v>
      </c>
    </row>
    <row r="1480" spans="5:5" ht="12.75" hidden="1" customHeight="1" x14ac:dyDescent="0.2">
      <c r="E1480" s="219">
        <f>BASE!B1338</f>
        <v>400141</v>
      </c>
    </row>
    <row r="1481" spans="5:5" ht="12.75" hidden="1" customHeight="1" x14ac:dyDescent="0.2">
      <c r="E1481" s="219">
        <f>BASE!B1339</f>
        <v>400142</v>
      </c>
    </row>
    <row r="1482" spans="5:5" ht="12.75" hidden="1" customHeight="1" x14ac:dyDescent="0.2">
      <c r="E1482" s="219">
        <f>BASE!B1340</f>
        <v>400143</v>
      </c>
    </row>
    <row r="1483" spans="5:5" ht="12.75" hidden="1" customHeight="1" x14ac:dyDescent="0.2">
      <c r="E1483" s="219">
        <f>BASE!B1341</f>
        <v>400144</v>
      </c>
    </row>
    <row r="1484" spans="5:5" ht="12.75" hidden="1" customHeight="1" x14ac:dyDescent="0.2">
      <c r="E1484" s="219">
        <f>BASE!B1342</f>
        <v>400145</v>
      </c>
    </row>
    <row r="1485" spans="5:5" ht="12.75" hidden="1" customHeight="1" x14ac:dyDescent="0.2">
      <c r="E1485" s="219">
        <f>BASE!B1343</f>
        <v>400146</v>
      </c>
    </row>
    <row r="1486" spans="5:5" ht="12.75" hidden="1" customHeight="1" x14ac:dyDescent="0.2">
      <c r="E1486" s="219">
        <f>BASE!B1344</f>
        <v>400147</v>
      </c>
    </row>
    <row r="1487" spans="5:5" ht="12.75" hidden="1" customHeight="1" x14ac:dyDescent="0.2">
      <c r="E1487" s="219">
        <f>BASE!B1345</f>
        <v>400148</v>
      </c>
    </row>
    <row r="1488" spans="5:5" ht="12.75" hidden="1" customHeight="1" x14ac:dyDescent="0.2">
      <c r="E1488" s="219">
        <f>BASE!B1346</f>
        <v>400149</v>
      </c>
    </row>
    <row r="1489" spans="5:5" ht="12.75" hidden="1" customHeight="1" x14ac:dyDescent="0.2">
      <c r="E1489" s="219">
        <f>BASE!B1347</f>
        <v>400150</v>
      </c>
    </row>
    <row r="1490" spans="5:5" ht="12.75" hidden="1" customHeight="1" x14ac:dyDescent="0.2">
      <c r="E1490" s="219">
        <f>BASE!B1348</f>
        <v>400151</v>
      </c>
    </row>
    <row r="1491" spans="5:5" ht="12.75" hidden="1" customHeight="1" x14ac:dyDescent="0.2">
      <c r="E1491" s="219">
        <f>BASE!B1349</f>
        <v>400152</v>
      </c>
    </row>
    <row r="1492" spans="5:5" ht="12.75" hidden="1" customHeight="1" x14ac:dyDescent="0.2">
      <c r="E1492" s="219">
        <f>BASE!B1350</f>
        <v>400153</v>
      </c>
    </row>
    <row r="1493" spans="5:5" ht="12.75" hidden="1" customHeight="1" x14ac:dyDescent="0.2">
      <c r="E1493" s="219">
        <f>BASE!B1351</f>
        <v>400154</v>
      </c>
    </row>
    <row r="1494" spans="5:5" ht="12.75" hidden="1" customHeight="1" x14ac:dyDescent="0.2">
      <c r="E1494" s="219">
        <f>BASE!B1352</f>
        <v>400155</v>
      </c>
    </row>
    <row r="1495" spans="5:5" ht="12.75" hidden="1" customHeight="1" x14ac:dyDescent="0.2">
      <c r="E1495" s="219">
        <f>BASE!B1353</f>
        <v>400156</v>
      </c>
    </row>
    <row r="1496" spans="5:5" ht="12.75" hidden="1" customHeight="1" x14ac:dyDescent="0.2">
      <c r="E1496" s="219">
        <f>BASE!B1354</f>
        <v>400157</v>
      </c>
    </row>
    <row r="1497" spans="5:5" ht="12.75" hidden="1" customHeight="1" x14ac:dyDescent="0.2">
      <c r="E1497" s="219">
        <f>BASE!B1355</f>
        <v>400158</v>
      </c>
    </row>
    <row r="1498" spans="5:5" ht="12.75" hidden="1" customHeight="1" x14ac:dyDescent="0.2">
      <c r="E1498" s="219">
        <f>BASE!B1356</f>
        <v>400159</v>
      </c>
    </row>
    <row r="1499" spans="5:5" ht="12.75" hidden="1" customHeight="1" x14ac:dyDescent="0.2">
      <c r="E1499" s="219">
        <f>BASE!B1357</f>
        <v>400160</v>
      </c>
    </row>
    <row r="1500" spans="5:5" ht="12.75" hidden="1" customHeight="1" x14ac:dyDescent="0.2">
      <c r="E1500" s="219">
        <f>BASE!B1358</f>
        <v>400161</v>
      </c>
    </row>
    <row r="1501" spans="5:5" ht="12.75" hidden="1" customHeight="1" x14ac:dyDescent="0.2">
      <c r="E1501" s="219">
        <f>BASE!B1359</f>
        <v>400162</v>
      </c>
    </row>
    <row r="1502" spans="5:5" ht="12.75" hidden="1" customHeight="1" x14ac:dyDescent="0.2">
      <c r="E1502" s="219">
        <f>BASE!B1360</f>
        <v>400163</v>
      </c>
    </row>
    <row r="1503" spans="5:5" ht="12.75" hidden="1" customHeight="1" x14ac:dyDescent="0.2">
      <c r="E1503" s="219">
        <f>BASE!B1361</f>
        <v>400164</v>
      </c>
    </row>
    <row r="1504" spans="5:5" ht="12.75" hidden="1" customHeight="1" x14ac:dyDescent="0.2">
      <c r="E1504" s="219">
        <f>BASE!B1362</f>
        <v>400165</v>
      </c>
    </row>
    <row r="1505" spans="5:5" ht="12.75" hidden="1" customHeight="1" x14ac:dyDescent="0.2">
      <c r="E1505" s="219">
        <f>BASE!B1363</f>
        <v>400166</v>
      </c>
    </row>
    <row r="1506" spans="5:5" ht="12.75" hidden="1" customHeight="1" x14ac:dyDescent="0.2">
      <c r="E1506" s="219">
        <f>BASE!B1364</f>
        <v>400167</v>
      </c>
    </row>
    <row r="1507" spans="5:5" ht="12.75" hidden="1" customHeight="1" x14ac:dyDescent="0.2">
      <c r="E1507" s="219">
        <f>BASE!B1365</f>
        <v>400168</v>
      </c>
    </row>
    <row r="1508" spans="5:5" ht="12.75" hidden="1" customHeight="1" x14ac:dyDescent="0.2">
      <c r="E1508" s="219">
        <f>BASE!B1366</f>
        <v>400169</v>
      </c>
    </row>
    <row r="1509" spans="5:5" ht="12.75" hidden="1" customHeight="1" x14ac:dyDescent="0.2">
      <c r="E1509" s="219">
        <f>BASE!B1367</f>
        <v>400170</v>
      </c>
    </row>
    <row r="1510" spans="5:5" ht="12.75" hidden="1" customHeight="1" x14ac:dyDescent="0.2">
      <c r="E1510" s="219">
        <f>BASE!B1368</f>
        <v>400171</v>
      </c>
    </row>
    <row r="1511" spans="5:5" ht="12.75" hidden="1" customHeight="1" x14ac:dyDescent="0.2">
      <c r="E1511" s="219">
        <f>BASE!B1369</f>
        <v>400172</v>
      </c>
    </row>
    <row r="1512" spans="5:5" ht="12.75" hidden="1" customHeight="1" x14ac:dyDescent="0.2">
      <c r="E1512" s="219">
        <f>BASE!B1370</f>
        <v>400173</v>
      </c>
    </row>
    <row r="1513" spans="5:5" ht="12.75" hidden="1" customHeight="1" x14ac:dyDescent="0.2">
      <c r="E1513" s="219">
        <f>BASE!B1371</f>
        <v>400174</v>
      </c>
    </row>
    <row r="1514" spans="5:5" ht="12.75" hidden="1" customHeight="1" x14ac:dyDescent="0.2">
      <c r="E1514" s="219">
        <f>BASE!B1372</f>
        <v>400175</v>
      </c>
    </row>
    <row r="1515" spans="5:5" ht="12.75" hidden="1" customHeight="1" x14ac:dyDescent="0.2">
      <c r="E1515" s="219">
        <f>BASE!B1373</f>
        <v>400176</v>
      </c>
    </row>
    <row r="1516" spans="5:5" ht="12.75" hidden="1" customHeight="1" x14ac:dyDescent="0.2">
      <c r="E1516" s="219">
        <f>BASE!B1374</f>
        <v>400177</v>
      </c>
    </row>
    <row r="1517" spans="5:5" ht="12.75" hidden="1" customHeight="1" x14ac:dyDescent="0.2">
      <c r="E1517" s="219">
        <f>BASE!B1375</f>
        <v>400178</v>
      </c>
    </row>
    <row r="1518" spans="5:5" ht="12.75" hidden="1" customHeight="1" x14ac:dyDescent="0.2">
      <c r="E1518" s="219">
        <f>BASE!B1376</f>
        <v>400179</v>
      </c>
    </row>
    <row r="1519" spans="5:5" ht="12.75" hidden="1" customHeight="1" x14ac:dyDescent="0.2">
      <c r="E1519" s="219">
        <f>BASE!B1377</f>
        <v>400180</v>
      </c>
    </row>
    <row r="1520" spans="5:5" ht="12.75" hidden="1" customHeight="1" x14ac:dyDescent="0.2">
      <c r="E1520" s="219">
        <f>BASE!B1378</f>
        <v>400181</v>
      </c>
    </row>
    <row r="1521" spans="5:5" ht="12.75" hidden="1" customHeight="1" x14ac:dyDescent="0.2">
      <c r="E1521" s="219">
        <f>BASE!B1379</f>
        <v>400182</v>
      </c>
    </row>
    <row r="1522" spans="5:5" ht="12.75" hidden="1" customHeight="1" x14ac:dyDescent="0.2">
      <c r="E1522" s="219">
        <f>BASE!B1380</f>
        <v>400183</v>
      </c>
    </row>
    <row r="1523" spans="5:5" ht="12.75" hidden="1" customHeight="1" x14ac:dyDescent="0.2">
      <c r="E1523" s="219">
        <f>BASE!B1381</f>
        <v>400184</v>
      </c>
    </row>
    <row r="1524" spans="5:5" ht="12.75" hidden="1" customHeight="1" x14ac:dyDescent="0.2">
      <c r="E1524" s="219">
        <f>BASE!B1382</f>
        <v>400185</v>
      </c>
    </row>
    <row r="1525" spans="5:5" ht="12.75" hidden="1" customHeight="1" x14ac:dyDescent="0.2">
      <c r="E1525" s="219">
        <f>BASE!B1383</f>
        <v>400186</v>
      </c>
    </row>
    <row r="1526" spans="5:5" ht="12.75" hidden="1" customHeight="1" x14ac:dyDescent="0.2">
      <c r="E1526" s="219">
        <f>BASE!B1384</f>
        <v>400187</v>
      </c>
    </row>
    <row r="1527" spans="5:5" ht="12.75" hidden="1" customHeight="1" x14ac:dyDescent="0.2">
      <c r="E1527" s="219">
        <f>BASE!B1385</f>
        <v>400188</v>
      </c>
    </row>
    <row r="1528" spans="5:5" ht="12.75" hidden="1" customHeight="1" x14ac:dyDescent="0.2">
      <c r="E1528" s="219">
        <f>BASE!B1386</f>
        <v>400189</v>
      </c>
    </row>
    <row r="1529" spans="5:5" ht="12.75" hidden="1" customHeight="1" x14ac:dyDescent="0.2">
      <c r="E1529" s="219">
        <f>BASE!B1387</f>
        <v>400190</v>
      </c>
    </row>
    <row r="1530" spans="5:5" ht="12.75" hidden="1" customHeight="1" x14ac:dyDescent="0.2">
      <c r="E1530" s="219">
        <f>BASE!B1388</f>
        <v>400191</v>
      </c>
    </row>
    <row r="1531" spans="5:5" ht="12.75" hidden="1" customHeight="1" x14ac:dyDescent="0.2">
      <c r="E1531" s="219">
        <f>BASE!B1389</f>
        <v>400192</v>
      </c>
    </row>
    <row r="1532" spans="5:5" ht="12.75" hidden="1" customHeight="1" x14ac:dyDescent="0.2">
      <c r="E1532" s="219">
        <f>BASE!B1390</f>
        <v>400193</v>
      </c>
    </row>
    <row r="1533" spans="5:5" ht="12.75" hidden="1" customHeight="1" x14ac:dyDescent="0.2">
      <c r="E1533" s="219">
        <f>BASE!B1391</f>
        <v>400194</v>
      </c>
    </row>
    <row r="1534" spans="5:5" ht="12.75" hidden="1" customHeight="1" x14ac:dyDescent="0.2">
      <c r="E1534" s="219">
        <f>BASE!B1392</f>
        <v>400195</v>
      </c>
    </row>
    <row r="1535" spans="5:5" ht="12.75" hidden="1" customHeight="1" x14ac:dyDescent="0.2">
      <c r="E1535" s="219">
        <f>BASE!B1393</f>
        <v>400196</v>
      </c>
    </row>
    <row r="1536" spans="5:5" ht="12.75" hidden="1" customHeight="1" x14ac:dyDescent="0.2">
      <c r="E1536" s="219">
        <f>BASE!B1394</f>
        <v>400197</v>
      </c>
    </row>
    <row r="1537" spans="5:5" ht="12.75" hidden="1" customHeight="1" x14ac:dyDescent="0.2">
      <c r="E1537" s="219">
        <f>BASE!B1395</f>
        <v>400198</v>
      </c>
    </row>
    <row r="1538" spans="5:5" ht="12.75" hidden="1" customHeight="1" x14ac:dyDescent="0.2">
      <c r="E1538" s="219">
        <f>BASE!B1396</f>
        <v>400199</v>
      </c>
    </row>
    <row r="1539" spans="5:5" ht="12.75" hidden="1" customHeight="1" x14ac:dyDescent="0.2">
      <c r="E1539" s="219">
        <f>BASE!B1397</f>
        <v>400200</v>
      </c>
    </row>
    <row r="1540" spans="5:5" ht="12.75" hidden="1" customHeight="1" x14ac:dyDescent="0.2">
      <c r="E1540" s="219">
        <f>BASE!B1398</f>
        <v>400201</v>
      </c>
    </row>
    <row r="1541" spans="5:5" ht="12.75" hidden="1" customHeight="1" x14ac:dyDescent="0.2">
      <c r="E1541" s="219">
        <f>BASE!B1399</f>
        <v>400202</v>
      </c>
    </row>
    <row r="1542" spans="5:5" ht="12.75" hidden="1" customHeight="1" x14ac:dyDescent="0.2">
      <c r="E1542" s="219">
        <f>BASE!B1400</f>
        <v>400203</v>
      </c>
    </row>
    <row r="1543" spans="5:5" ht="12.75" hidden="1" customHeight="1" x14ac:dyDescent="0.2">
      <c r="E1543" s="219">
        <f>BASE!B1401</f>
        <v>400204</v>
      </c>
    </row>
    <row r="1544" spans="5:5" ht="12.75" hidden="1" customHeight="1" x14ac:dyDescent="0.2">
      <c r="E1544" s="219">
        <f>BASE!B1402</f>
        <v>400205</v>
      </c>
    </row>
    <row r="1545" spans="5:5" ht="12.75" hidden="1" customHeight="1" x14ac:dyDescent="0.2">
      <c r="E1545" s="219">
        <f>BASE!B1403</f>
        <v>400206</v>
      </c>
    </row>
    <row r="1546" spans="5:5" ht="12.75" hidden="1" customHeight="1" x14ac:dyDescent="0.2">
      <c r="E1546" s="219">
        <f>BASE!B1404</f>
        <v>400207</v>
      </c>
    </row>
    <row r="1547" spans="5:5" ht="12.75" hidden="1" customHeight="1" x14ac:dyDescent="0.2">
      <c r="E1547" s="219">
        <f>BASE!B1405</f>
        <v>400208</v>
      </c>
    </row>
    <row r="1548" spans="5:5" ht="12.75" hidden="1" customHeight="1" x14ac:dyDescent="0.2">
      <c r="E1548" s="219">
        <f>BASE!B1406</f>
        <v>400209</v>
      </c>
    </row>
    <row r="1549" spans="5:5" ht="12.75" hidden="1" customHeight="1" x14ac:dyDescent="0.2">
      <c r="E1549" s="219">
        <f>BASE!B1407</f>
        <v>400210</v>
      </c>
    </row>
    <row r="1550" spans="5:5" ht="12.75" hidden="1" customHeight="1" x14ac:dyDescent="0.2">
      <c r="E1550" s="219">
        <f>BASE!B1408</f>
        <v>400211</v>
      </c>
    </row>
    <row r="1551" spans="5:5" ht="12.75" hidden="1" customHeight="1" x14ac:dyDescent="0.2">
      <c r="E1551" s="219">
        <f>BASE!B1409</f>
        <v>400212</v>
      </c>
    </row>
    <row r="1552" spans="5:5" ht="12.75" hidden="1" customHeight="1" x14ac:dyDescent="0.2">
      <c r="E1552" s="219">
        <f>BASE!B1410</f>
        <v>400213</v>
      </c>
    </row>
    <row r="1553" spans="5:5" ht="12.75" hidden="1" customHeight="1" x14ac:dyDescent="0.2">
      <c r="E1553" s="219">
        <f>BASE!B1411</f>
        <v>400214</v>
      </c>
    </row>
    <row r="1554" spans="5:5" ht="12.75" hidden="1" customHeight="1" x14ac:dyDescent="0.2">
      <c r="E1554" s="219">
        <f>BASE!B1412</f>
        <v>400215</v>
      </c>
    </row>
    <row r="1555" spans="5:5" ht="12.75" hidden="1" customHeight="1" x14ac:dyDescent="0.2">
      <c r="E1555" s="219">
        <f>BASE!B1413</f>
        <v>400216</v>
      </c>
    </row>
    <row r="1556" spans="5:5" ht="12.75" hidden="1" customHeight="1" x14ac:dyDescent="0.2">
      <c r="E1556" s="219">
        <f>BASE!B1414</f>
        <v>400217</v>
      </c>
    </row>
    <row r="1557" spans="5:5" ht="12.75" hidden="1" customHeight="1" x14ac:dyDescent="0.2">
      <c r="E1557" s="219">
        <f>BASE!B1415</f>
        <v>400218</v>
      </c>
    </row>
    <row r="1558" spans="5:5" ht="12.75" hidden="1" customHeight="1" x14ac:dyDescent="0.2">
      <c r="E1558" s="219">
        <f>BASE!B1416</f>
        <v>400219</v>
      </c>
    </row>
    <row r="1559" spans="5:5" ht="12.75" hidden="1" customHeight="1" x14ac:dyDescent="0.2">
      <c r="E1559" s="219">
        <f>BASE!B1417</f>
        <v>400220</v>
      </c>
    </row>
    <row r="1560" spans="5:5" ht="12.75" hidden="1" customHeight="1" x14ac:dyDescent="0.2">
      <c r="E1560" s="219">
        <f>BASE!B1418</f>
        <v>400221</v>
      </c>
    </row>
    <row r="1561" spans="5:5" ht="12.75" hidden="1" customHeight="1" x14ac:dyDescent="0.2">
      <c r="E1561" s="219">
        <f>BASE!B1419</f>
        <v>400222</v>
      </c>
    </row>
    <row r="1562" spans="5:5" ht="12.75" hidden="1" customHeight="1" x14ac:dyDescent="0.2">
      <c r="E1562" s="219">
        <f>BASE!B1420</f>
        <v>400223</v>
      </c>
    </row>
    <row r="1563" spans="5:5" ht="12.75" hidden="1" customHeight="1" x14ac:dyDescent="0.2">
      <c r="E1563" s="219">
        <f>BASE!B1421</f>
        <v>400224</v>
      </c>
    </row>
    <row r="1564" spans="5:5" ht="12.75" hidden="1" customHeight="1" x14ac:dyDescent="0.2">
      <c r="E1564" s="219">
        <f>BASE!B1422</f>
        <v>400225</v>
      </c>
    </row>
    <row r="1565" spans="5:5" ht="12.75" hidden="1" customHeight="1" x14ac:dyDescent="0.2">
      <c r="E1565" s="219">
        <f>BASE!B1423</f>
        <v>400226</v>
      </c>
    </row>
    <row r="1566" spans="5:5" ht="12.75" hidden="1" customHeight="1" x14ac:dyDescent="0.2">
      <c r="E1566" s="219">
        <f>BASE!B1424</f>
        <v>400227</v>
      </c>
    </row>
    <row r="1567" spans="5:5" ht="12.75" hidden="1" customHeight="1" x14ac:dyDescent="0.2">
      <c r="E1567" s="219">
        <f>BASE!B1425</f>
        <v>400228</v>
      </c>
    </row>
    <row r="1568" spans="5:5" ht="12.75" hidden="1" customHeight="1" x14ac:dyDescent="0.2">
      <c r="E1568" s="219">
        <f>BASE!B1426</f>
        <v>400229</v>
      </c>
    </row>
    <row r="1569" spans="5:5" ht="12.75" hidden="1" customHeight="1" x14ac:dyDescent="0.2">
      <c r="E1569" s="219">
        <f>BASE!B1427</f>
        <v>400230</v>
      </c>
    </row>
    <row r="1570" spans="5:5" ht="12.75" hidden="1" customHeight="1" x14ac:dyDescent="0.2">
      <c r="E1570" s="219">
        <f>BASE!B1428</f>
        <v>400231</v>
      </c>
    </row>
    <row r="1571" spans="5:5" ht="12.75" hidden="1" customHeight="1" x14ac:dyDescent="0.2">
      <c r="E1571" s="219">
        <f>BASE!B1429</f>
        <v>400232</v>
      </c>
    </row>
    <row r="1572" spans="5:5" ht="12.75" hidden="1" customHeight="1" x14ac:dyDescent="0.2">
      <c r="E1572" s="219">
        <f>BASE!B1430</f>
        <v>400233</v>
      </c>
    </row>
    <row r="1573" spans="5:5" ht="12.75" hidden="1" customHeight="1" x14ac:dyDescent="0.2">
      <c r="E1573" s="219">
        <f>BASE!B1431</f>
        <v>400234</v>
      </c>
    </row>
    <row r="1574" spans="5:5" ht="12.75" hidden="1" customHeight="1" x14ac:dyDescent="0.2">
      <c r="E1574" s="219">
        <f>BASE!B1432</f>
        <v>400235</v>
      </c>
    </row>
    <row r="1575" spans="5:5" ht="12.75" hidden="1" customHeight="1" x14ac:dyDescent="0.2">
      <c r="E1575" s="219">
        <f>BASE!B1433</f>
        <v>400236</v>
      </c>
    </row>
    <row r="1576" spans="5:5" ht="12.75" hidden="1" customHeight="1" x14ac:dyDescent="0.2">
      <c r="E1576" s="219">
        <f>BASE!B1434</f>
        <v>400237</v>
      </c>
    </row>
    <row r="1577" spans="5:5" ht="12.75" hidden="1" customHeight="1" x14ac:dyDescent="0.2">
      <c r="E1577" s="219">
        <f>BASE!B1435</f>
        <v>400238</v>
      </c>
    </row>
    <row r="1578" spans="5:5" ht="12.75" hidden="1" customHeight="1" x14ac:dyDescent="0.2">
      <c r="E1578" s="219">
        <f>BASE!B1436</f>
        <v>400239</v>
      </c>
    </row>
    <row r="1579" spans="5:5" ht="12.75" hidden="1" customHeight="1" x14ac:dyDescent="0.2">
      <c r="E1579" s="219">
        <f>BASE!B1437</f>
        <v>400240</v>
      </c>
    </row>
    <row r="1580" spans="5:5" ht="12.75" hidden="1" customHeight="1" x14ac:dyDescent="0.2">
      <c r="E1580" s="219">
        <f>BASE!B1438</f>
        <v>400241</v>
      </c>
    </row>
    <row r="1581" spans="5:5" ht="12.75" hidden="1" customHeight="1" x14ac:dyDescent="0.2">
      <c r="E1581" s="219">
        <f>BASE!B1439</f>
        <v>400242</v>
      </c>
    </row>
    <row r="1582" spans="5:5" ht="12.75" hidden="1" customHeight="1" x14ac:dyDescent="0.2">
      <c r="E1582" s="219">
        <f>BASE!B1440</f>
        <v>400243</v>
      </c>
    </row>
    <row r="1583" spans="5:5" ht="12.75" hidden="1" customHeight="1" x14ac:dyDescent="0.2">
      <c r="E1583" s="219">
        <f>BASE!B1441</f>
        <v>400244</v>
      </c>
    </row>
    <row r="1584" spans="5:5" ht="12.75" hidden="1" customHeight="1" x14ac:dyDescent="0.2">
      <c r="E1584" s="219">
        <f>BASE!B1442</f>
        <v>400245</v>
      </c>
    </row>
    <row r="1585" spans="5:5" ht="12.75" hidden="1" customHeight="1" x14ac:dyDescent="0.2">
      <c r="E1585" s="219">
        <f>BASE!B1443</f>
        <v>400246</v>
      </c>
    </row>
    <row r="1586" spans="5:5" ht="12.75" hidden="1" customHeight="1" x14ac:dyDescent="0.2">
      <c r="E1586" s="219">
        <f>BASE!B1444</f>
        <v>400247</v>
      </c>
    </row>
    <row r="1587" spans="5:5" ht="12.75" hidden="1" customHeight="1" x14ac:dyDescent="0.2">
      <c r="E1587" s="219">
        <f>BASE!B1445</f>
        <v>400248</v>
      </c>
    </row>
    <row r="1588" spans="5:5" ht="12.75" hidden="1" customHeight="1" x14ac:dyDescent="0.2">
      <c r="E1588" s="219">
        <f>BASE!B1446</f>
        <v>400249</v>
      </c>
    </row>
    <row r="1589" spans="5:5" ht="12.75" hidden="1" customHeight="1" x14ac:dyDescent="0.2">
      <c r="E1589" s="219">
        <f>BASE!B1447</f>
        <v>400250</v>
      </c>
    </row>
    <row r="1590" spans="5:5" ht="12.75" hidden="1" customHeight="1" x14ac:dyDescent="0.2">
      <c r="E1590" s="219">
        <f>BASE!B1448</f>
        <v>400251</v>
      </c>
    </row>
    <row r="1591" spans="5:5" ht="12.75" hidden="1" customHeight="1" x14ac:dyDescent="0.2">
      <c r="E1591" s="219">
        <f>BASE!B1449</f>
        <v>400252</v>
      </c>
    </row>
    <row r="1592" spans="5:5" ht="12.75" hidden="1" customHeight="1" x14ac:dyDescent="0.2">
      <c r="E1592" s="219">
        <f>BASE!B1450</f>
        <v>400253</v>
      </c>
    </row>
    <row r="1593" spans="5:5" ht="12.75" hidden="1" customHeight="1" x14ac:dyDescent="0.2">
      <c r="E1593" s="219">
        <f>BASE!B1451</f>
        <v>400254</v>
      </c>
    </row>
    <row r="1594" spans="5:5" ht="12.75" hidden="1" customHeight="1" x14ac:dyDescent="0.2">
      <c r="E1594" s="219">
        <f>BASE!B1452</f>
        <v>400255</v>
      </c>
    </row>
    <row r="1595" spans="5:5" ht="12.75" hidden="1" customHeight="1" x14ac:dyDescent="0.2">
      <c r="E1595" s="219">
        <f>BASE!B1453</f>
        <v>400256</v>
      </c>
    </row>
    <row r="1596" spans="5:5" ht="12.75" hidden="1" customHeight="1" x14ac:dyDescent="0.2">
      <c r="E1596" s="219">
        <f>BASE!B1454</f>
        <v>400257</v>
      </c>
    </row>
    <row r="1597" spans="5:5" ht="12.75" hidden="1" customHeight="1" x14ac:dyDescent="0.2">
      <c r="E1597" s="219">
        <f>BASE!B1455</f>
        <v>400258</v>
      </c>
    </row>
    <row r="1598" spans="5:5" ht="12.75" hidden="1" customHeight="1" x14ac:dyDescent="0.2">
      <c r="E1598" s="219">
        <f>BASE!B1456</f>
        <v>400259</v>
      </c>
    </row>
    <row r="1599" spans="5:5" ht="12.75" hidden="1" customHeight="1" x14ac:dyDescent="0.2">
      <c r="E1599" s="219">
        <f>BASE!B1457</f>
        <v>400260</v>
      </c>
    </row>
    <row r="1600" spans="5:5" ht="12.75" hidden="1" customHeight="1" x14ac:dyDescent="0.2">
      <c r="E1600" s="219">
        <f>BASE!B1458</f>
        <v>400261</v>
      </c>
    </row>
    <row r="1601" spans="5:5" ht="12.75" hidden="1" customHeight="1" x14ac:dyDescent="0.2">
      <c r="E1601" s="219">
        <f>BASE!B1459</f>
        <v>400262</v>
      </c>
    </row>
    <row r="1602" spans="5:5" ht="12.75" hidden="1" customHeight="1" x14ac:dyDescent="0.2">
      <c r="E1602" s="219">
        <f>BASE!B1460</f>
        <v>400263</v>
      </c>
    </row>
    <row r="1603" spans="5:5" ht="12.75" hidden="1" customHeight="1" x14ac:dyDescent="0.2">
      <c r="E1603" s="219">
        <f>BASE!B1461</f>
        <v>400264</v>
      </c>
    </row>
    <row r="1604" spans="5:5" ht="12.75" hidden="1" customHeight="1" x14ac:dyDescent="0.2">
      <c r="E1604" s="219">
        <f>BASE!B1462</f>
        <v>400265</v>
      </c>
    </row>
    <row r="1605" spans="5:5" ht="12.75" hidden="1" customHeight="1" x14ac:dyDescent="0.2">
      <c r="E1605" s="219">
        <f>BASE!B1463</f>
        <v>400266</v>
      </c>
    </row>
    <row r="1606" spans="5:5" ht="12.75" hidden="1" customHeight="1" x14ac:dyDescent="0.2">
      <c r="E1606" s="219">
        <f>BASE!B1464</f>
        <v>400267</v>
      </c>
    </row>
    <row r="1607" spans="5:5" ht="12.75" hidden="1" customHeight="1" x14ac:dyDescent="0.2">
      <c r="E1607" s="219">
        <f>BASE!B1465</f>
        <v>400268</v>
      </c>
    </row>
    <row r="1608" spans="5:5" ht="12.75" hidden="1" customHeight="1" x14ac:dyDescent="0.2">
      <c r="E1608" s="219">
        <f>BASE!B1466</f>
        <v>400269</v>
      </c>
    </row>
    <row r="1609" spans="5:5" ht="12.75" hidden="1" customHeight="1" x14ac:dyDescent="0.2">
      <c r="E1609" s="219">
        <f>BASE!B1467</f>
        <v>400270</v>
      </c>
    </row>
    <row r="1610" spans="5:5" ht="12.75" hidden="1" customHeight="1" x14ac:dyDescent="0.2">
      <c r="E1610" s="219">
        <f>BASE!B1468</f>
        <v>400272</v>
      </c>
    </row>
    <row r="1611" spans="5:5" ht="12.75" hidden="1" customHeight="1" x14ac:dyDescent="0.2">
      <c r="E1611" s="219">
        <f>BASE!B1469</f>
        <v>400274</v>
      </c>
    </row>
    <row r="1612" spans="5:5" ht="12.75" hidden="1" customHeight="1" x14ac:dyDescent="0.2">
      <c r="E1612" s="219">
        <f>BASE!B1470</f>
        <v>400275</v>
      </c>
    </row>
    <row r="1613" spans="5:5" ht="12.75" hidden="1" customHeight="1" x14ac:dyDescent="0.2">
      <c r="E1613" s="219">
        <f>BASE!B1471</f>
        <v>400276</v>
      </c>
    </row>
    <row r="1614" spans="5:5" ht="12.75" hidden="1" customHeight="1" x14ac:dyDescent="0.2">
      <c r="E1614" s="219">
        <f>BASE!B1472</f>
        <v>400277</v>
      </c>
    </row>
    <row r="1615" spans="5:5" ht="12.75" hidden="1" customHeight="1" x14ac:dyDescent="0.2">
      <c r="E1615" s="219">
        <f>BASE!B1473</f>
        <v>400278</v>
      </c>
    </row>
    <row r="1616" spans="5:5" ht="12.75" hidden="1" customHeight="1" x14ac:dyDescent="0.2">
      <c r="E1616" s="219">
        <f>BASE!B1474</f>
        <v>400279</v>
      </c>
    </row>
    <row r="1617" spans="5:5" ht="12.75" hidden="1" customHeight="1" x14ac:dyDescent="0.2">
      <c r="E1617" s="219">
        <f>BASE!B1475</f>
        <v>400280</v>
      </c>
    </row>
    <row r="1618" spans="5:5" ht="12.75" hidden="1" customHeight="1" x14ac:dyDescent="0.2">
      <c r="E1618" s="219">
        <f>BASE!B1476</f>
        <v>400281</v>
      </c>
    </row>
    <row r="1619" spans="5:5" ht="12.75" hidden="1" customHeight="1" x14ac:dyDescent="0.2">
      <c r="E1619" s="219">
        <f>BASE!B1477</f>
        <v>400282</v>
      </c>
    </row>
    <row r="1620" spans="5:5" ht="12.75" hidden="1" customHeight="1" x14ac:dyDescent="0.2">
      <c r="E1620" s="219">
        <f>BASE!B1478</f>
        <v>400283</v>
      </c>
    </row>
    <row r="1621" spans="5:5" ht="12.75" hidden="1" customHeight="1" x14ac:dyDescent="0.2">
      <c r="E1621" s="219">
        <f>BASE!B1479</f>
        <v>400284</v>
      </c>
    </row>
    <row r="1622" spans="5:5" ht="12.75" hidden="1" customHeight="1" x14ac:dyDescent="0.2">
      <c r="E1622" s="219">
        <f>BASE!B1480</f>
        <v>400285</v>
      </c>
    </row>
    <row r="1623" spans="5:5" ht="12.75" hidden="1" customHeight="1" x14ac:dyDescent="0.2">
      <c r="E1623" s="219">
        <f>BASE!B1481</f>
        <v>400286</v>
      </c>
    </row>
    <row r="1624" spans="5:5" ht="12.75" hidden="1" customHeight="1" x14ac:dyDescent="0.2">
      <c r="E1624" s="219">
        <f>BASE!B1482</f>
        <v>400287</v>
      </c>
    </row>
    <row r="1625" spans="5:5" ht="12.75" hidden="1" customHeight="1" x14ac:dyDescent="0.2">
      <c r="E1625" s="219">
        <f>BASE!B1483</f>
        <v>400288</v>
      </c>
    </row>
    <row r="1626" spans="5:5" ht="12.75" hidden="1" customHeight="1" x14ac:dyDescent="0.2">
      <c r="E1626" s="219">
        <f>BASE!B1484</f>
        <v>400290</v>
      </c>
    </row>
    <row r="1627" spans="5:5" ht="12.75" hidden="1" customHeight="1" x14ac:dyDescent="0.2">
      <c r="E1627" s="219">
        <f>BASE!B1485</f>
        <v>400291</v>
      </c>
    </row>
    <row r="1628" spans="5:5" ht="12.75" hidden="1" customHeight="1" x14ac:dyDescent="0.2">
      <c r="E1628" s="219">
        <f>BASE!B1486</f>
        <v>400292</v>
      </c>
    </row>
    <row r="1629" spans="5:5" ht="12.75" hidden="1" customHeight="1" x14ac:dyDescent="0.2">
      <c r="E1629" s="219">
        <f>BASE!B1487</f>
        <v>400293</v>
      </c>
    </row>
    <row r="1630" spans="5:5" ht="12.75" hidden="1" customHeight="1" x14ac:dyDescent="0.2">
      <c r="E1630" s="219">
        <f>BASE!B1488</f>
        <v>400294</v>
      </c>
    </row>
    <row r="1631" spans="5:5" ht="12.75" hidden="1" customHeight="1" x14ac:dyDescent="0.2">
      <c r="E1631" s="219">
        <f>BASE!B1489</f>
        <v>400295</v>
      </c>
    </row>
    <row r="1632" spans="5:5" ht="12.75" hidden="1" customHeight="1" x14ac:dyDescent="0.2">
      <c r="E1632" s="219">
        <f>BASE!B1490</f>
        <v>400296</v>
      </c>
    </row>
    <row r="1633" spans="5:5" ht="12.75" hidden="1" customHeight="1" x14ac:dyDescent="0.2">
      <c r="E1633" s="219">
        <f>BASE!B1491</f>
        <v>400297</v>
      </c>
    </row>
    <row r="1634" spans="5:5" ht="12.75" hidden="1" customHeight="1" x14ac:dyDescent="0.2">
      <c r="E1634" s="219">
        <f>BASE!B1492</f>
        <v>400298</v>
      </c>
    </row>
    <row r="1635" spans="5:5" ht="12.75" hidden="1" customHeight="1" x14ac:dyDescent="0.2">
      <c r="E1635" s="219">
        <f>BASE!B1493</f>
        <v>400299</v>
      </c>
    </row>
    <row r="1636" spans="5:5" ht="12.75" hidden="1" customHeight="1" x14ac:dyDescent="0.2">
      <c r="E1636" s="219">
        <f>BASE!B1494</f>
        <v>400300</v>
      </c>
    </row>
    <row r="1637" spans="5:5" ht="12.75" hidden="1" customHeight="1" x14ac:dyDescent="0.2">
      <c r="E1637" s="219">
        <f>BASE!B1495</f>
        <v>400301</v>
      </c>
    </row>
    <row r="1638" spans="5:5" ht="12.75" hidden="1" customHeight="1" x14ac:dyDescent="0.2">
      <c r="E1638" s="219">
        <f>BASE!B1496</f>
        <v>400302</v>
      </c>
    </row>
    <row r="1639" spans="5:5" ht="12.75" hidden="1" customHeight="1" x14ac:dyDescent="0.2">
      <c r="E1639" s="219">
        <f>BASE!B1497</f>
        <v>400303</v>
      </c>
    </row>
    <row r="1640" spans="5:5" ht="12.75" hidden="1" customHeight="1" x14ac:dyDescent="0.2">
      <c r="E1640" s="219">
        <f>BASE!B1498</f>
        <v>400304</v>
      </c>
    </row>
    <row r="1641" spans="5:5" ht="12.75" hidden="1" customHeight="1" x14ac:dyDescent="0.2">
      <c r="E1641" s="219">
        <f>BASE!B1499</f>
        <v>400305</v>
      </c>
    </row>
    <row r="1642" spans="5:5" ht="12.75" hidden="1" customHeight="1" x14ac:dyDescent="0.2">
      <c r="E1642" s="219">
        <f>BASE!B1500</f>
        <v>400377</v>
      </c>
    </row>
    <row r="1643" spans="5:5" ht="12.75" hidden="1" customHeight="1" x14ac:dyDescent="0.2">
      <c r="E1643" s="219">
        <f>BASE!B1501</f>
        <v>400461</v>
      </c>
    </row>
    <row r="1644" spans="5:5" ht="12.75" hidden="1" customHeight="1" x14ac:dyDescent="0.2">
      <c r="E1644" s="219">
        <f>BASE!B1502</f>
        <v>400489</v>
      </c>
    </row>
    <row r="1645" spans="5:5" ht="12.75" hidden="1" customHeight="1" x14ac:dyDescent="0.2">
      <c r="E1645" s="219">
        <f>BASE!B1503</f>
        <v>400496</v>
      </c>
    </row>
    <row r="1646" spans="5:5" ht="12.75" hidden="1" customHeight="1" x14ac:dyDescent="0.2">
      <c r="E1646" s="219">
        <f>BASE!B1504</f>
        <v>400505</v>
      </c>
    </row>
    <row r="1647" spans="5:5" ht="12.75" hidden="1" customHeight="1" x14ac:dyDescent="0.2">
      <c r="E1647" s="219">
        <f>BASE!B1505</f>
        <v>400511</v>
      </c>
    </row>
    <row r="1648" spans="5:5" ht="12.75" hidden="1" customHeight="1" x14ac:dyDescent="0.2">
      <c r="E1648" s="219">
        <f>BASE!B1506</f>
        <v>400512</v>
      </c>
    </row>
    <row r="1649" spans="5:5" ht="12.75" hidden="1" customHeight="1" x14ac:dyDescent="0.2">
      <c r="E1649" s="219">
        <f>BASE!B1507</f>
        <v>400513</v>
      </c>
    </row>
    <row r="1650" spans="5:5" ht="12.75" hidden="1" customHeight="1" x14ac:dyDescent="0.2">
      <c r="E1650" s="219">
        <f>BASE!B1508</f>
        <v>400514</v>
      </c>
    </row>
    <row r="1651" spans="5:5" ht="12.75" hidden="1" customHeight="1" x14ac:dyDescent="0.2">
      <c r="E1651" s="219">
        <f>BASE!B1509</f>
        <v>400515</v>
      </c>
    </row>
    <row r="1652" spans="5:5" ht="12.75" hidden="1" customHeight="1" x14ac:dyDescent="0.2">
      <c r="E1652" s="219">
        <f>BASE!B1510</f>
        <v>400516</v>
      </c>
    </row>
    <row r="1653" spans="5:5" ht="12.75" hidden="1" customHeight="1" x14ac:dyDescent="0.2">
      <c r="E1653" s="219">
        <f>BASE!B1511</f>
        <v>400517</v>
      </c>
    </row>
    <row r="1654" spans="5:5" ht="12.75" hidden="1" customHeight="1" x14ac:dyDescent="0.2">
      <c r="E1654" s="219">
        <f>BASE!B1512</f>
        <v>400518</v>
      </c>
    </row>
    <row r="1655" spans="5:5" ht="12.75" hidden="1" customHeight="1" x14ac:dyDescent="0.2">
      <c r="E1655" s="219">
        <f>BASE!B1513</f>
        <v>400519</v>
      </c>
    </row>
    <row r="1656" spans="5:5" ht="12.75" hidden="1" customHeight="1" x14ac:dyDescent="0.2">
      <c r="E1656" s="219">
        <f>BASE!B1514</f>
        <v>400520</v>
      </c>
    </row>
    <row r="1657" spans="5:5" ht="12.75" hidden="1" customHeight="1" x14ac:dyDescent="0.2">
      <c r="E1657" s="219">
        <f>BASE!B1515</f>
        <v>400521</v>
      </c>
    </row>
    <row r="1658" spans="5:5" ht="12.75" hidden="1" customHeight="1" x14ac:dyDescent="0.2">
      <c r="E1658" s="219">
        <f>BASE!B1516</f>
        <v>400522</v>
      </c>
    </row>
    <row r="1659" spans="5:5" ht="12.75" hidden="1" customHeight="1" x14ac:dyDescent="0.2">
      <c r="E1659" s="219">
        <f>BASE!B1517</f>
        <v>400523</v>
      </c>
    </row>
    <row r="1660" spans="5:5" ht="12.75" hidden="1" customHeight="1" x14ac:dyDescent="0.2">
      <c r="E1660" s="219">
        <f>BASE!B1518</f>
        <v>400524</v>
      </c>
    </row>
    <row r="1661" spans="5:5" ht="12.75" hidden="1" customHeight="1" x14ac:dyDescent="0.2">
      <c r="E1661" s="219">
        <f>BASE!B1519</f>
        <v>400525</v>
      </c>
    </row>
    <row r="1662" spans="5:5" ht="12.75" hidden="1" customHeight="1" x14ac:dyDescent="0.2">
      <c r="E1662" s="219">
        <f>BASE!B1520</f>
        <v>400526</v>
      </c>
    </row>
    <row r="1663" spans="5:5" ht="12.75" hidden="1" customHeight="1" x14ac:dyDescent="0.2">
      <c r="E1663" s="219">
        <f>BASE!B1521</f>
        <v>400527</v>
      </c>
    </row>
    <row r="1664" spans="5:5" ht="12.75" hidden="1" customHeight="1" x14ac:dyDescent="0.2">
      <c r="E1664" s="219">
        <f>BASE!B1522</f>
        <v>400528</v>
      </c>
    </row>
    <row r="1665" spans="5:5" ht="12.75" hidden="1" customHeight="1" x14ac:dyDescent="0.2">
      <c r="E1665" s="219">
        <f>BASE!B1523</f>
        <v>400529</v>
      </c>
    </row>
    <row r="1666" spans="5:5" ht="12.75" hidden="1" customHeight="1" x14ac:dyDescent="0.2">
      <c r="E1666" s="219">
        <f>BASE!B1524</f>
        <v>400534</v>
      </c>
    </row>
    <row r="1667" spans="5:5" ht="12.75" hidden="1" customHeight="1" x14ac:dyDescent="0.2">
      <c r="E1667" s="219">
        <f>BASE!B1525</f>
        <v>400535</v>
      </c>
    </row>
    <row r="1668" spans="5:5" ht="12.75" hidden="1" customHeight="1" x14ac:dyDescent="0.2">
      <c r="E1668" s="219">
        <f>BASE!B1526</f>
        <v>400536</v>
      </c>
    </row>
    <row r="1669" spans="5:5" ht="12.75" hidden="1" customHeight="1" x14ac:dyDescent="0.2">
      <c r="E1669" s="219">
        <f>BASE!B1527</f>
        <v>400543</v>
      </c>
    </row>
    <row r="1670" spans="5:5" ht="12.75" hidden="1" customHeight="1" x14ac:dyDescent="0.2">
      <c r="E1670" s="219">
        <f>BASE!B1528</f>
        <v>400549</v>
      </c>
    </row>
    <row r="1671" spans="5:5" ht="12.75" hidden="1" customHeight="1" x14ac:dyDescent="0.2">
      <c r="E1671" s="219">
        <f>BASE!B1529</f>
        <v>400550</v>
      </c>
    </row>
    <row r="1672" spans="5:5" ht="12.75" hidden="1" customHeight="1" x14ac:dyDescent="0.2">
      <c r="E1672" s="219">
        <f>BASE!B1530</f>
        <v>400553</v>
      </c>
    </row>
    <row r="1673" spans="5:5" ht="12.75" hidden="1" customHeight="1" x14ac:dyDescent="0.2">
      <c r="E1673" s="219">
        <f>BASE!B1531</f>
        <v>400554</v>
      </c>
    </row>
    <row r="1674" spans="5:5" ht="12.75" hidden="1" customHeight="1" x14ac:dyDescent="0.2">
      <c r="E1674" s="219">
        <f>BASE!B1532</f>
        <v>400564</v>
      </c>
    </row>
    <row r="1675" spans="5:5" ht="12.75" hidden="1" customHeight="1" x14ac:dyDescent="0.2">
      <c r="E1675" s="219">
        <f>BASE!B1533</f>
        <v>400569</v>
      </c>
    </row>
    <row r="1676" spans="5:5" ht="12.75" hidden="1" customHeight="1" x14ac:dyDescent="0.2">
      <c r="E1676" s="219">
        <f>BASE!B1534</f>
        <v>400596</v>
      </c>
    </row>
    <row r="1677" spans="5:5" ht="12.75" hidden="1" customHeight="1" x14ac:dyDescent="0.2">
      <c r="E1677" s="219">
        <f>BASE!B1535</f>
        <v>400597</v>
      </c>
    </row>
    <row r="1678" spans="5:5" ht="12.75" hidden="1" customHeight="1" x14ac:dyDescent="0.2">
      <c r="E1678" s="219">
        <f>BASE!B1536</f>
        <v>400598</v>
      </c>
    </row>
    <row r="1679" spans="5:5" ht="12.75" hidden="1" customHeight="1" x14ac:dyDescent="0.2">
      <c r="E1679" s="219">
        <f>BASE!B1537</f>
        <v>400599</v>
      </c>
    </row>
    <row r="1680" spans="5:5" ht="12.75" hidden="1" customHeight="1" x14ac:dyDescent="0.2">
      <c r="E1680" s="219">
        <f>BASE!B1538</f>
        <v>400600</v>
      </c>
    </row>
    <row r="1681" spans="5:5" ht="12.75" hidden="1" customHeight="1" x14ac:dyDescent="0.2">
      <c r="E1681" s="219">
        <f>BASE!B1539</f>
        <v>400669</v>
      </c>
    </row>
    <row r="1682" spans="5:5" ht="12.75" hidden="1" customHeight="1" x14ac:dyDescent="0.2">
      <c r="E1682" s="219">
        <f>BASE!B1540</f>
        <v>400670</v>
      </c>
    </row>
    <row r="1683" spans="5:5" ht="12.75" hidden="1" customHeight="1" x14ac:dyDescent="0.2">
      <c r="E1683" s="219">
        <f>BASE!B1541</f>
        <v>400671</v>
      </c>
    </row>
    <row r="1684" spans="5:5" ht="12.75" hidden="1" customHeight="1" x14ac:dyDescent="0.2">
      <c r="E1684" s="219">
        <f>BASE!B1542</f>
        <v>400672</v>
      </c>
    </row>
    <row r="1685" spans="5:5" ht="12.75" hidden="1" customHeight="1" x14ac:dyDescent="0.2">
      <c r="E1685" s="219">
        <f>BASE!B1543</f>
        <v>400674</v>
      </c>
    </row>
    <row r="1686" spans="5:5" ht="12.75" hidden="1" customHeight="1" x14ac:dyDescent="0.2">
      <c r="E1686" s="219">
        <f>BASE!B1544</f>
        <v>400675</v>
      </c>
    </row>
    <row r="1687" spans="5:5" ht="12.75" hidden="1" customHeight="1" x14ac:dyDescent="0.2">
      <c r="E1687" s="219">
        <f>BASE!B1545</f>
        <v>400676</v>
      </c>
    </row>
    <row r="1688" spans="5:5" ht="12.75" hidden="1" customHeight="1" x14ac:dyDescent="0.2">
      <c r="E1688" s="219">
        <f>BASE!B1546</f>
        <v>400684</v>
      </c>
    </row>
    <row r="1689" spans="5:5" ht="12.75" hidden="1" customHeight="1" x14ac:dyDescent="0.2">
      <c r="E1689" s="219">
        <f>BASE!B1547</f>
        <v>400688</v>
      </c>
    </row>
    <row r="1690" spans="5:5" ht="12.75" hidden="1" customHeight="1" x14ac:dyDescent="0.2">
      <c r="E1690" s="219">
        <f>BASE!B1548</f>
        <v>400689</v>
      </c>
    </row>
    <row r="1691" spans="5:5" ht="12.75" hidden="1" customHeight="1" x14ac:dyDescent="0.2">
      <c r="E1691" s="219">
        <f>BASE!B1549</f>
        <v>400690</v>
      </c>
    </row>
    <row r="1692" spans="5:5" ht="12.75" hidden="1" customHeight="1" x14ac:dyDescent="0.2">
      <c r="E1692" s="219">
        <f>BASE!B1550</f>
        <v>400691</v>
      </c>
    </row>
    <row r="1693" spans="5:5" ht="12.75" hidden="1" customHeight="1" x14ac:dyDescent="0.2">
      <c r="E1693" s="219">
        <f>BASE!B1551</f>
        <v>400692</v>
      </c>
    </row>
    <row r="1694" spans="5:5" ht="12.75" hidden="1" customHeight="1" x14ac:dyDescent="0.2">
      <c r="E1694" s="219">
        <f>BASE!B1552</f>
        <v>400694</v>
      </c>
    </row>
    <row r="1695" spans="5:5" ht="12.75" hidden="1" customHeight="1" x14ac:dyDescent="0.2">
      <c r="E1695" s="219">
        <f>BASE!B1553</f>
        <v>400695</v>
      </c>
    </row>
    <row r="1696" spans="5:5" ht="12.75" hidden="1" customHeight="1" x14ac:dyDescent="0.2">
      <c r="E1696" s="219">
        <f>BASE!B1554</f>
        <v>400696</v>
      </c>
    </row>
    <row r="1697" spans="5:5" ht="12.75" hidden="1" customHeight="1" x14ac:dyDescent="0.2">
      <c r="E1697" s="219">
        <f>BASE!B1555</f>
        <v>400710</v>
      </c>
    </row>
    <row r="1698" spans="5:5" ht="12.75" hidden="1" customHeight="1" x14ac:dyDescent="0.2">
      <c r="E1698" s="219">
        <f>BASE!B1556</f>
        <v>400713</v>
      </c>
    </row>
    <row r="1699" spans="5:5" ht="12.75" hidden="1" customHeight="1" x14ac:dyDescent="0.2">
      <c r="E1699" s="219">
        <f>BASE!B1557</f>
        <v>400753</v>
      </c>
    </row>
    <row r="1700" spans="5:5" ht="12.75" hidden="1" customHeight="1" x14ac:dyDescent="0.2">
      <c r="E1700" s="219">
        <f>BASE!B1558</f>
        <v>400762</v>
      </c>
    </row>
    <row r="1701" spans="5:5" ht="12.75" hidden="1" customHeight="1" x14ac:dyDescent="0.2">
      <c r="E1701" s="219">
        <f>BASE!B1559</f>
        <v>0</v>
      </c>
    </row>
    <row r="1702" spans="5:5" ht="12.75" hidden="1" customHeight="1" x14ac:dyDescent="0.2">
      <c r="E1702" s="219">
        <f>BASE!B1560</f>
        <v>0</v>
      </c>
    </row>
    <row r="1703" spans="5:5" ht="12.75" hidden="1" customHeight="1" x14ac:dyDescent="0.2">
      <c r="E1703" s="219">
        <f>BASE!B1561</f>
        <v>0</v>
      </c>
    </row>
    <row r="1704" spans="5:5" ht="12.75" hidden="1" customHeight="1" x14ac:dyDescent="0.2">
      <c r="E1704" s="219">
        <f>BASE!B1562</f>
        <v>0</v>
      </c>
    </row>
    <row r="1705" spans="5:5" ht="12.75" hidden="1" customHeight="1" x14ac:dyDescent="0.2">
      <c r="E1705" s="219">
        <f>BASE!B1563</f>
        <v>0</v>
      </c>
    </row>
    <row r="1706" spans="5:5" ht="12.75" hidden="1" customHeight="1" x14ac:dyDescent="0.2">
      <c r="E1706" s="219">
        <f>BASE!B1564</f>
        <v>0</v>
      </c>
    </row>
    <row r="1707" spans="5:5" ht="12.75" hidden="1" customHeight="1" x14ac:dyDescent="0.2">
      <c r="E1707" s="219">
        <f>BASE!B1565</f>
        <v>0</v>
      </c>
    </row>
    <row r="1708" spans="5:5" ht="12.75" hidden="1" customHeight="1" x14ac:dyDescent="0.2">
      <c r="E1708" s="219">
        <f>BASE!B1566</f>
        <v>0</v>
      </c>
    </row>
    <row r="1709" spans="5:5" ht="12.75" hidden="1" customHeight="1" x14ac:dyDescent="0.2">
      <c r="E1709" s="219">
        <f>BASE!B1567</f>
        <v>0</v>
      </c>
    </row>
    <row r="1710" spans="5:5" ht="12.75" hidden="1" customHeight="1" x14ac:dyDescent="0.2">
      <c r="E1710" s="219">
        <f>BASE!B1568</f>
        <v>0</v>
      </c>
    </row>
    <row r="1711" spans="5:5" ht="12.75" hidden="1" customHeight="1" x14ac:dyDescent="0.2">
      <c r="E1711" s="219">
        <f>BASE!B1569</f>
        <v>0</v>
      </c>
    </row>
    <row r="1712" spans="5:5" ht="12.75" hidden="1" customHeight="1" x14ac:dyDescent="0.2">
      <c r="E1712" s="219">
        <f>BASE!B1570</f>
        <v>0</v>
      </c>
    </row>
    <row r="1713" spans="5:5" ht="12.75" hidden="1" customHeight="1" x14ac:dyDescent="0.2">
      <c r="E1713" s="219">
        <f>BASE!B1571</f>
        <v>0</v>
      </c>
    </row>
    <row r="1714" spans="5:5" ht="12.75" hidden="1" customHeight="1" x14ac:dyDescent="0.2">
      <c r="E1714" s="219">
        <f>BASE!B1572</f>
        <v>0</v>
      </c>
    </row>
    <row r="1715" spans="5:5" ht="12.75" hidden="1" customHeight="1" x14ac:dyDescent="0.2">
      <c r="E1715" s="219"/>
    </row>
    <row r="1716" spans="5:5" ht="12.75" hidden="1" customHeight="1" x14ac:dyDescent="0.2">
      <c r="E1716" s="219"/>
    </row>
    <row r="1717" spans="5:5" ht="12.75" hidden="1" customHeight="1" x14ac:dyDescent="0.2">
      <c r="E1717" s="219"/>
    </row>
    <row r="1718" spans="5:5" ht="12.75" hidden="1" customHeight="1" x14ac:dyDescent="0.2">
      <c r="E1718" s="219"/>
    </row>
    <row r="1719" spans="5:5" ht="12.75" hidden="1" customHeight="1" x14ac:dyDescent="0.2">
      <c r="E1719" s="219"/>
    </row>
    <row r="1720" spans="5:5" ht="12.75" hidden="1" customHeight="1" x14ac:dyDescent="0.2">
      <c r="E1720" s="219"/>
    </row>
    <row r="1721" spans="5:5" ht="12.75" hidden="1" customHeight="1" x14ac:dyDescent="0.2">
      <c r="E1721" s="219"/>
    </row>
    <row r="1722" spans="5:5" ht="12.75" hidden="1" customHeight="1" x14ac:dyDescent="0.2">
      <c r="E1722" s="219"/>
    </row>
    <row r="1723" spans="5:5" ht="12.75" hidden="1" customHeight="1" x14ac:dyDescent="0.2">
      <c r="E1723" s="219"/>
    </row>
    <row r="1724" spans="5:5" ht="12.75" hidden="1" customHeight="1" x14ac:dyDescent="0.2">
      <c r="E1724" s="219"/>
    </row>
    <row r="1725" spans="5:5" ht="12.75" hidden="1" customHeight="1" x14ac:dyDescent="0.2">
      <c r="E1725" s="219"/>
    </row>
    <row r="1726" spans="5:5" ht="12.75" hidden="1" customHeight="1" x14ac:dyDescent="0.2">
      <c r="E1726" s="219"/>
    </row>
    <row r="1727" spans="5:5" ht="12.75" hidden="1" customHeight="1" x14ac:dyDescent="0.2">
      <c r="E1727" s="219"/>
    </row>
    <row r="1728" spans="5:5" ht="12.75" hidden="1" customHeight="1" x14ac:dyDescent="0.2">
      <c r="E1728" s="219"/>
    </row>
    <row r="1729" spans="5:5" ht="12.75" hidden="1" customHeight="1" x14ac:dyDescent="0.2">
      <c r="E1729" s="219"/>
    </row>
    <row r="1730" spans="5:5" ht="12.75" hidden="1" customHeight="1" x14ac:dyDescent="0.2">
      <c r="E1730" s="219"/>
    </row>
    <row r="1731" spans="5:5" ht="12.75" hidden="1" customHeight="1" x14ac:dyDescent="0.2">
      <c r="E1731" s="219"/>
    </row>
    <row r="1732" spans="5:5" ht="12.75" hidden="1" customHeight="1" x14ac:dyDescent="0.2">
      <c r="E1732" s="219"/>
    </row>
    <row r="1733" spans="5:5" ht="12.75" hidden="1" customHeight="1" x14ac:dyDescent="0.2">
      <c r="E1733" s="219"/>
    </row>
    <row r="1734" spans="5:5" ht="12.75" hidden="1" customHeight="1" x14ac:dyDescent="0.2">
      <c r="E1734" s="219"/>
    </row>
    <row r="1735" spans="5:5" ht="12.75" hidden="1" customHeight="1" x14ac:dyDescent="0.2">
      <c r="E1735" s="219"/>
    </row>
    <row r="1736" spans="5:5" ht="12.75" hidden="1" customHeight="1" x14ac:dyDescent="0.2">
      <c r="E1736" s="219"/>
    </row>
    <row r="1737" spans="5:5" ht="12.75" hidden="1" customHeight="1" x14ac:dyDescent="0.2">
      <c r="E1737" s="219"/>
    </row>
    <row r="1738" spans="5:5" ht="12.75" hidden="1" customHeight="1" x14ac:dyDescent="0.2">
      <c r="E1738" s="219"/>
    </row>
    <row r="1739" spans="5:5" ht="12.75" hidden="1" customHeight="1" x14ac:dyDescent="0.2">
      <c r="E1739" s="219"/>
    </row>
    <row r="1740" spans="5:5" ht="12.75" hidden="1" customHeight="1" x14ac:dyDescent="0.2">
      <c r="E1740" s="219"/>
    </row>
    <row r="1741" spans="5:5" ht="12.75" hidden="1" customHeight="1" x14ac:dyDescent="0.2">
      <c r="E1741" s="219"/>
    </row>
    <row r="1742" spans="5:5" ht="12.75" hidden="1" customHeight="1" x14ac:dyDescent="0.2">
      <c r="E1742" s="219"/>
    </row>
    <row r="1743" spans="5:5" ht="12.75" hidden="1" customHeight="1" x14ac:dyDescent="0.2">
      <c r="E1743" s="219"/>
    </row>
    <row r="1744" spans="5:5" ht="12.75" hidden="1" customHeight="1" x14ac:dyDescent="0.2">
      <c r="E1744" s="219"/>
    </row>
    <row r="1745" spans="5:5" ht="12.75" hidden="1" customHeight="1" x14ac:dyDescent="0.2">
      <c r="E1745" s="219"/>
    </row>
    <row r="1746" spans="5:5" ht="12.75" hidden="1" customHeight="1" x14ac:dyDescent="0.2">
      <c r="E1746" s="219"/>
    </row>
    <row r="1747" spans="5:5" ht="12.75" hidden="1" customHeight="1" x14ac:dyDescent="0.2">
      <c r="E1747" s="219"/>
    </row>
    <row r="1748" spans="5:5" ht="12.75" hidden="1" customHeight="1" x14ac:dyDescent="0.2">
      <c r="E1748" s="219"/>
    </row>
    <row r="1749" spans="5:5" ht="12.75" hidden="1" customHeight="1" x14ac:dyDescent="0.2">
      <c r="E1749" s="219"/>
    </row>
    <row r="1750" spans="5:5" ht="12.75" hidden="1" customHeight="1" x14ac:dyDescent="0.2">
      <c r="E1750" s="219"/>
    </row>
    <row r="1751" spans="5:5" ht="12.75" hidden="1" customHeight="1" x14ac:dyDescent="0.2">
      <c r="E1751" s="219"/>
    </row>
    <row r="1752" spans="5:5" ht="12.75" hidden="1" customHeight="1" x14ac:dyDescent="0.2">
      <c r="E1752" s="219"/>
    </row>
    <row r="1753" spans="5:5" ht="12.75" hidden="1" customHeight="1" x14ac:dyDescent="0.2">
      <c r="E1753" s="219"/>
    </row>
    <row r="1754" spans="5:5" ht="12.75" hidden="1" customHeight="1" x14ac:dyDescent="0.2">
      <c r="E1754" s="219"/>
    </row>
    <row r="1755" spans="5:5" ht="12.75" hidden="1" customHeight="1" x14ac:dyDescent="0.2">
      <c r="E1755" s="219"/>
    </row>
    <row r="1756" spans="5:5" ht="12.75" hidden="1" customHeight="1" x14ac:dyDescent="0.2">
      <c r="E1756" s="219"/>
    </row>
    <row r="1757" spans="5:5" ht="12.75" hidden="1" customHeight="1" x14ac:dyDescent="0.2">
      <c r="E1757" s="219"/>
    </row>
    <row r="1758" spans="5:5" ht="12.75" hidden="1" customHeight="1" x14ac:dyDescent="0.2">
      <c r="E1758" s="219"/>
    </row>
    <row r="1759" spans="5:5" ht="12.75" hidden="1" customHeight="1" x14ac:dyDescent="0.2">
      <c r="E1759" s="219"/>
    </row>
    <row r="1760" spans="5:5" ht="12.75" hidden="1" customHeight="1" x14ac:dyDescent="0.2">
      <c r="E1760" s="219"/>
    </row>
    <row r="1761" spans="5:5" ht="12.75" hidden="1" customHeight="1" x14ac:dyDescent="0.2">
      <c r="E1761" s="219"/>
    </row>
    <row r="1762" spans="5:5" ht="12.75" hidden="1" customHeight="1" x14ac:dyDescent="0.2">
      <c r="E1762" s="219"/>
    </row>
    <row r="1763" spans="5:5" ht="12.75" hidden="1" customHeight="1" x14ac:dyDescent="0.2">
      <c r="E1763" s="219"/>
    </row>
    <row r="1764" spans="5:5" ht="12.75" hidden="1" customHeight="1" x14ac:dyDescent="0.2">
      <c r="E1764" s="219"/>
    </row>
    <row r="1765" spans="5:5" ht="12.75" hidden="1" customHeight="1" x14ac:dyDescent="0.2">
      <c r="E1765" s="219"/>
    </row>
    <row r="1766" spans="5:5" ht="12.75" hidden="1" customHeight="1" x14ac:dyDescent="0.2">
      <c r="E1766" s="219"/>
    </row>
    <row r="1767" spans="5:5" ht="12.75" hidden="1" customHeight="1" x14ac:dyDescent="0.2">
      <c r="E1767" s="219"/>
    </row>
    <row r="1768" spans="5:5" ht="12.75" hidden="1" customHeight="1" x14ac:dyDescent="0.2">
      <c r="E1768" s="219"/>
    </row>
    <row r="1769" spans="5:5" ht="12.75" hidden="1" customHeight="1" x14ac:dyDescent="0.2">
      <c r="E1769" s="219"/>
    </row>
    <row r="1770" spans="5:5" ht="12.75" hidden="1" customHeight="1" x14ac:dyDescent="0.2">
      <c r="E1770" s="219"/>
    </row>
    <row r="1771" spans="5:5" ht="12.75" hidden="1" customHeight="1" x14ac:dyDescent="0.2">
      <c r="E1771" s="219"/>
    </row>
    <row r="1772" spans="5:5" ht="12.75" hidden="1" customHeight="1" x14ac:dyDescent="0.2">
      <c r="E1772" s="219"/>
    </row>
    <row r="1773" spans="5:5" ht="12.75" hidden="1" customHeight="1" x14ac:dyDescent="0.2">
      <c r="E1773" s="219"/>
    </row>
    <row r="1774" spans="5:5" ht="12.75" hidden="1" customHeight="1" x14ac:dyDescent="0.2">
      <c r="E1774" s="219"/>
    </row>
    <row r="1775" spans="5:5" ht="12.75" hidden="1" customHeight="1" x14ac:dyDescent="0.2">
      <c r="E1775" s="219"/>
    </row>
    <row r="1776" spans="5:5" ht="12.75" hidden="1" customHeight="1" x14ac:dyDescent="0.2">
      <c r="E1776" s="219"/>
    </row>
    <row r="1777" spans="5:5" ht="12.75" hidden="1" customHeight="1" x14ac:dyDescent="0.2">
      <c r="E1777" s="219"/>
    </row>
    <row r="1778" spans="5:5" ht="12.75" hidden="1" customHeight="1" x14ac:dyDescent="0.2">
      <c r="E1778" s="219"/>
    </row>
    <row r="1779" spans="5:5" ht="12.75" hidden="1" customHeight="1" x14ac:dyDescent="0.2">
      <c r="E1779" s="219"/>
    </row>
    <row r="1780" spans="5:5" ht="12.75" hidden="1" customHeight="1" x14ac:dyDescent="0.2">
      <c r="E1780" s="219"/>
    </row>
    <row r="1781" spans="5:5" ht="12.75" hidden="1" customHeight="1" x14ac:dyDescent="0.2">
      <c r="E1781" s="219"/>
    </row>
    <row r="1782" spans="5:5" ht="12.75" hidden="1" customHeight="1" x14ac:dyDescent="0.2">
      <c r="E1782" s="219"/>
    </row>
    <row r="1783" spans="5:5" ht="12.75" hidden="1" customHeight="1" x14ac:dyDescent="0.2">
      <c r="E1783" s="219"/>
    </row>
    <row r="1784" spans="5:5" ht="12.75" hidden="1" customHeight="1" x14ac:dyDescent="0.2">
      <c r="E1784" s="219"/>
    </row>
    <row r="1785" spans="5:5" ht="12.75" hidden="1" customHeight="1" x14ac:dyDescent="0.2">
      <c r="E1785" s="219"/>
    </row>
    <row r="1786" spans="5:5" ht="12.75" hidden="1" customHeight="1" x14ac:dyDescent="0.2">
      <c r="E1786" s="219"/>
    </row>
    <row r="1787" spans="5:5" ht="12.75" hidden="1" customHeight="1" x14ac:dyDescent="0.2">
      <c r="E1787" s="219"/>
    </row>
    <row r="1788" spans="5:5" ht="12.75" hidden="1" customHeight="1" x14ac:dyDescent="0.2">
      <c r="E1788" s="219"/>
    </row>
    <row r="1789" spans="5:5" ht="12.75" hidden="1" customHeight="1" x14ac:dyDescent="0.2">
      <c r="E1789" s="219"/>
    </row>
    <row r="1790" spans="5:5" ht="12.75" hidden="1" customHeight="1" x14ac:dyDescent="0.2">
      <c r="E1790" s="219"/>
    </row>
    <row r="1791" spans="5:5" ht="12.75" hidden="1" customHeight="1" x14ac:dyDescent="0.2">
      <c r="E1791" s="219"/>
    </row>
    <row r="1792" spans="5:5" ht="12.75" hidden="1" customHeight="1" x14ac:dyDescent="0.2">
      <c r="E1792" s="219"/>
    </row>
    <row r="1793" spans="5:5" ht="12.75" hidden="1" customHeight="1" x14ac:dyDescent="0.2">
      <c r="E1793" s="219"/>
    </row>
    <row r="1794" spans="5:5" ht="12.75" hidden="1" customHeight="1" x14ac:dyDescent="0.2">
      <c r="E1794" s="219"/>
    </row>
    <row r="1795" spans="5:5" ht="12.75" hidden="1" customHeight="1" x14ac:dyDescent="0.2">
      <c r="E1795" s="219"/>
    </row>
    <row r="1796" spans="5:5" ht="12.75" hidden="1" customHeight="1" x14ac:dyDescent="0.2">
      <c r="E1796" s="219"/>
    </row>
    <row r="1797" spans="5:5" ht="12.75" hidden="1" customHeight="1" x14ac:dyDescent="0.2">
      <c r="E1797" s="219"/>
    </row>
    <row r="1798" spans="5:5" ht="12.75" hidden="1" customHeight="1" x14ac:dyDescent="0.2">
      <c r="E1798" s="219"/>
    </row>
    <row r="1799" spans="5:5" ht="12.75" hidden="1" customHeight="1" x14ac:dyDescent="0.2">
      <c r="E1799" s="219"/>
    </row>
    <row r="1800" spans="5:5" ht="12.75" hidden="1" customHeight="1" x14ac:dyDescent="0.2">
      <c r="E1800" s="219"/>
    </row>
    <row r="1801" spans="5:5" ht="12.75" hidden="1" customHeight="1" x14ac:dyDescent="0.2">
      <c r="E1801" s="219"/>
    </row>
    <row r="1802" spans="5:5" ht="12.75" hidden="1" customHeight="1" x14ac:dyDescent="0.2">
      <c r="E1802" s="219"/>
    </row>
    <row r="1803" spans="5:5" ht="12.75" hidden="1" customHeight="1" x14ac:dyDescent="0.2">
      <c r="E1803" s="219"/>
    </row>
    <row r="1804" spans="5:5" ht="12.75" hidden="1" customHeight="1" x14ac:dyDescent="0.2">
      <c r="E1804" s="219"/>
    </row>
    <row r="1805" spans="5:5" ht="12.75" hidden="1" customHeight="1" x14ac:dyDescent="0.2">
      <c r="E1805" s="219"/>
    </row>
    <row r="1806" spans="5:5" ht="12.75" hidden="1" customHeight="1" x14ac:dyDescent="0.2">
      <c r="E1806" s="219"/>
    </row>
    <row r="1807" spans="5:5" ht="12.75" hidden="1" customHeight="1" x14ac:dyDescent="0.2">
      <c r="E1807" s="219"/>
    </row>
    <row r="1808" spans="5:5" ht="12.75" hidden="1" customHeight="1" x14ac:dyDescent="0.2">
      <c r="E1808" s="219"/>
    </row>
    <row r="1809" spans="5:5" ht="12.75" hidden="1" customHeight="1" x14ac:dyDescent="0.2">
      <c r="E1809" s="219"/>
    </row>
    <row r="1810" spans="5:5" ht="12.75" hidden="1" customHeight="1" x14ac:dyDescent="0.2">
      <c r="E1810" s="219"/>
    </row>
    <row r="1811" spans="5:5" ht="12.75" hidden="1" customHeight="1" x14ac:dyDescent="0.2">
      <c r="E1811" s="219"/>
    </row>
    <row r="1812" spans="5:5" ht="12.75" hidden="1" customHeight="1" x14ac:dyDescent="0.2">
      <c r="E1812" s="219"/>
    </row>
    <row r="1813" spans="5:5" ht="12.75" hidden="1" customHeight="1" x14ac:dyDescent="0.2">
      <c r="E1813" s="219"/>
    </row>
    <row r="1814" spans="5:5" ht="12.75" hidden="1" customHeight="1" x14ac:dyDescent="0.2">
      <c r="E1814" s="219"/>
    </row>
    <row r="1815" spans="5:5" ht="12.75" hidden="1" customHeight="1" x14ac:dyDescent="0.2">
      <c r="E1815" s="219"/>
    </row>
    <row r="1816" spans="5:5" ht="12.75" hidden="1" customHeight="1" x14ac:dyDescent="0.2">
      <c r="E1816" s="219"/>
    </row>
    <row r="1817" spans="5:5" ht="12.75" hidden="1" customHeight="1" x14ac:dyDescent="0.2">
      <c r="E1817" s="219"/>
    </row>
    <row r="1818" spans="5:5" ht="12.75" hidden="1" customHeight="1" x14ac:dyDescent="0.2">
      <c r="E1818" s="219"/>
    </row>
    <row r="1819" spans="5:5" ht="12.75" hidden="1" customHeight="1" x14ac:dyDescent="0.2">
      <c r="E1819" s="219"/>
    </row>
    <row r="1820" spans="5:5" ht="12.75" hidden="1" customHeight="1" x14ac:dyDescent="0.2">
      <c r="E1820" s="219"/>
    </row>
    <row r="1821" spans="5:5" ht="12.75" hidden="1" customHeight="1" x14ac:dyDescent="0.2">
      <c r="E1821" s="219"/>
    </row>
    <row r="1822" spans="5:5" ht="12.75" hidden="1" customHeight="1" x14ac:dyDescent="0.2">
      <c r="E1822" s="219"/>
    </row>
    <row r="1823" spans="5:5" ht="12.75" hidden="1" customHeight="1" x14ac:dyDescent="0.2">
      <c r="E1823" s="219"/>
    </row>
    <row r="1824" spans="5:5" ht="12.75" hidden="1" customHeight="1" x14ac:dyDescent="0.2">
      <c r="E1824" s="219"/>
    </row>
    <row r="1825" spans="5:5" ht="12.75" hidden="1" customHeight="1" x14ac:dyDescent="0.2">
      <c r="E1825" s="219"/>
    </row>
    <row r="1826" spans="5:5" ht="12.75" hidden="1" customHeight="1" x14ac:dyDescent="0.2">
      <c r="E1826" s="219"/>
    </row>
    <row r="1827" spans="5:5" ht="12.75" hidden="1" customHeight="1" x14ac:dyDescent="0.2">
      <c r="E1827" s="219"/>
    </row>
    <row r="1828" spans="5:5" ht="12.75" hidden="1" customHeight="1" x14ac:dyDescent="0.2">
      <c r="E1828" s="219"/>
    </row>
    <row r="1829" spans="5:5" ht="12.75" hidden="1" customHeight="1" x14ac:dyDescent="0.2">
      <c r="E1829" s="219"/>
    </row>
    <row r="1830" spans="5:5" ht="12.75" hidden="1" customHeight="1" x14ac:dyDescent="0.2">
      <c r="E1830" s="219"/>
    </row>
    <row r="1831" spans="5:5" ht="12.75" hidden="1" customHeight="1" x14ac:dyDescent="0.2">
      <c r="E1831" s="219"/>
    </row>
    <row r="1832" spans="5:5" ht="12.75" hidden="1" customHeight="1" x14ac:dyDescent="0.2">
      <c r="E1832" s="219"/>
    </row>
    <row r="1833" spans="5:5" ht="12.75" hidden="1" customHeight="1" x14ac:dyDescent="0.2">
      <c r="E1833" s="219"/>
    </row>
    <row r="1834" spans="5:5" ht="12.75" hidden="1" customHeight="1" x14ac:dyDescent="0.2">
      <c r="E1834" s="219"/>
    </row>
    <row r="1835" spans="5:5" ht="12.75" hidden="1" customHeight="1" x14ac:dyDescent="0.2">
      <c r="E1835" s="219"/>
    </row>
    <row r="1836" spans="5:5" ht="12.75" hidden="1" customHeight="1" x14ac:dyDescent="0.2">
      <c r="E1836" s="219"/>
    </row>
    <row r="1837" spans="5:5" ht="12.75" hidden="1" customHeight="1" x14ac:dyDescent="0.2">
      <c r="E1837" s="219"/>
    </row>
    <row r="1838" spans="5:5" ht="12.75" hidden="1" customHeight="1" x14ac:dyDescent="0.2">
      <c r="E1838" s="219"/>
    </row>
    <row r="1839" spans="5:5" ht="12.75" hidden="1" customHeight="1" x14ac:dyDescent="0.2">
      <c r="E1839" s="219"/>
    </row>
    <row r="1840" spans="5:5" ht="12.75" hidden="1" customHeight="1" x14ac:dyDescent="0.2">
      <c r="E1840" s="219"/>
    </row>
    <row r="1841" spans="5:5" ht="12.75" hidden="1" customHeight="1" x14ac:dyDescent="0.2">
      <c r="E1841" s="219"/>
    </row>
    <row r="1842" spans="5:5" ht="12.75" hidden="1" customHeight="1" x14ac:dyDescent="0.2">
      <c r="E1842" s="219"/>
    </row>
    <row r="1843" spans="5:5" ht="12.75" hidden="1" customHeight="1" x14ac:dyDescent="0.2">
      <c r="E1843" s="219"/>
    </row>
    <row r="1844" spans="5:5" ht="12.75" hidden="1" customHeight="1" x14ac:dyDescent="0.2">
      <c r="E1844" s="219"/>
    </row>
    <row r="1845" spans="5:5" ht="12.75" hidden="1" customHeight="1" x14ac:dyDescent="0.2">
      <c r="E1845" s="219"/>
    </row>
    <row r="1846" spans="5:5" ht="12.75" hidden="1" customHeight="1" x14ac:dyDescent="0.2">
      <c r="E1846" s="219"/>
    </row>
    <row r="1847" spans="5:5" ht="12.75" hidden="1" customHeight="1" x14ac:dyDescent="0.2">
      <c r="E1847" s="219"/>
    </row>
    <row r="1848" spans="5:5" ht="12.75" hidden="1" customHeight="1" x14ac:dyDescent="0.2">
      <c r="E1848" s="219"/>
    </row>
    <row r="1849" spans="5:5" ht="12.75" hidden="1" customHeight="1" x14ac:dyDescent="0.2">
      <c r="E1849" s="219"/>
    </row>
    <row r="1850" spans="5:5" ht="12.75" hidden="1" customHeight="1" x14ac:dyDescent="0.2">
      <c r="E1850" s="219"/>
    </row>
    <row r="1851" spans="5:5" ht="12.75" hidden="1" customHeight="1" x14ac:dyDescent="0.2">
      <c r="E1851" s="219"/>
    </row>
    <row r="1852" spans="5:5" ht="12.75" hidden="1" customHeight="1" x14ac:dyDescent="0.2">
      <c r="E1852" s="219"/>
    </row>
    <row r="1853" spans="5:5" ht="12.75" hidden="1" customHeight="1" x14ac:dyDescent="0.2">
      <c r="E1853" s="219"/>
    </row>
    <row r="1854" spans="5:5" ht="12.75" hidden="1" customHeight="1" x14ac:dyDescent="0.2">
      <c r="E1854" s="219"/>
    </row>
    <row r="1855" spans="5:5" ht="12.75" hidden="1" customHeight="1" x14ac:dyDescent="0.2">
      <c r="E1855" s="219"/>
    </row>
    <row r="1856" spans="5:5" ht="12.75" hidden="1" customHeight="1" x14ac:dyDescent="0.2">
      <c r="E1856" s="219"/>
    </row>
    <row r="1857" spans="5:5" ht="12.75" hidden="1" customHeight="1" x14ac:dyDescent="0.2">
      <c r="E1857" s="219"/>
    </row>
    <row r="1858" spans="5:5" ht="12.75" hidden="1" customHeight="1" x14ac:dyDescent="0.2">
      <c r="E1858" s="219"/>
    </row>
    <row r="1859" spans="5:5" ht="12.75" hidden="1" customHeight="1" x14ac:dyDescent="0.2">
      <c r="E1859" s="219"/>
    </row>
    <row r="1860" spans="5:5" ht="12.75" hidden="1" customHeight="1" x14ac:dyDescent="0.2">
      <c r="E1860" s="219"/>
    </row>
    <row r="1861" spans="5:5" ht="12.75" hidden="1" customHeight="1" x14ac:dyDescent="0.2">
      <c r="E1861" s="219"/>
    </row>
    <row r="1862" spans="5:5" ht="12.75" hidden="1" customHeight="1" x14ac:dyDescent="0.2">
      <c r="E1862" s="219"/>
    </row>
    <row r="1863" spans="5:5" ht="12.75" hidden="1" customHeight="1" x14ac:dyDescent="0.2">
      <c r="E1863" s="219"/>
    </row>
    <row r="1864" spans="5:5" ht="12.75" hidden="1" customHeight="1" x14ac:dyDescent="0.2">
      <c r="E1864" s="219"/>
    </row>
    <row r="1865" spans="5:5" ht="12.75" hidden="1" customHeight="1" x14ac:dyDescent="0.2">
      <c r="E1865" s="219"/>
    </row>
    <row r="1866" spans="5:5" ht="12.75" hidden="1" customHeight="1" x14ac:dyDescent="0.2">
      <c r="E1866" s="219"/>
    </row>
    <row r="1867" spans="5:5" ht="12.75" hidden="1" customHeight="1" x14ac:dyDescent="0.2">
      <c r="E1867" s="219"/>
    </row>
    <row r="1868" spans="5:5" ht="12.75" hidden="1" customHeight="1" x14ac:dyDescent="0.2">
      <c r="E1868" s="219"/>
    </row>
    <row r="1869" spans="5:5" ht="12.75" hidden="1" customHeight="1" x14ac:dyDescent="0.2">
      <c r="E1869" s="219"/>
    </row>
    <row r="1870" spans="5:5" ht="12.75" hidden="1" customHeight="1" x14ac:dyDescent="0.2">
      <c r="E1870" s="219"/>
    </row>
    <row r="1871" spans="5:5" ht="12.75" hidden="1" customHeight="1" x14ac:dyDescent="0.2">
      <c r="E1871" s="219"/>
    </row>
    <row r="1872" spans="5:5" ht="12.75" hidden="1" customHeight="1" x14ac:dyDescent="0.2">
      <c r="E1872" s="219"/>
    </row>
    <row r="1873" spans="5:5" ht="12.75" hidden="1" customHeight="1" x14ac:dyDescent="0.2">
      <c r="E1873" s="219"/>
    </row>
    <row r="1874" spans="5:5" ht="12.75" hidden="1" customHeight="1" x14ac:dyDescent="0.2">
      <c r="E1874" s="219"/>
    </row>
    <row r="1875" spans="5:5" ht="12.75" hidden="1" customHeight="1" x14ac:dyDescent="0.2">
      <c r="E1875" s="219"/>
    </row>
    <row r="1876" spans="5:5" ht="12.75" hidden="1" customHeight="1" x14ac:dyDescent="0.2">
      <c r="E1876" s="219"/>
    </row>
    <row r="1877" spans="5:5" ht="12.75" hidden="1" customHeight="1" x14ac:dyDescent="0.2">
      <c r="E1877" s="219"/>
    </row>
    <row r="1878" spans="5:5" ht="12.75" hidden="1" customHeight="1" x14ac:dyDescent="0.2">
      <c r="E1878" s="219"/>
    </row>
    <row r="1879" spans="5:5" ht="12.75" hidden="1" customHeight="1" x14ac:dyDescent="0.2">
      <c r="E1879" s="219"/>
    </row>
    <row r="1880" spans="5:5" ht="12.75" hidden="1" customHeight="1" x14ac:dyDescent="0.2">
      <c r="E1880" s="219"/>
    </row>
    <row r="1881" spans="5:5" ht="12.75" hidden="1" customHeight="1" x14ac:dyDescent="0.2">
      <c r="E1881" s="219"/>
    </row>
    <row r="1882" spans="5:5" ht="12.75" hidden="1" customHeight="1" x14ac:dyDescent="0.2">
      <c r="E1882" s="219"/>
    </row>
    <row r="1883" spans="5:5" ht="12.75" hidden="1" customHeight="1" x14ac:dyDescent="0.2">
      <c r="E1883" s="219"/>
    </row>
    <row r="1884" spans="5:5" ht="12.75" hidden="1" customHeight="1" x14ac:dyDescent="0.2">
      <c r="E1884" s="219"/>
    </row>
    <row r="1885" spans="5:5" ht="12.75" hidden="1" customHeight="1" x14ac:dyDescent="0.2">
      <c r="E1885" s="219"/>
    </row>
    <row r="1886" spans="5:5" ht="12.75" hidden="1" customHeight="1" x14ac:dyDescent="0.2">
      <c r="E1886" s="219"/>
    </row>
    <row r="1887" spans="5:5" ht="12.75" hidden="1" customHeight="1" x14ac:dyDescent="0.2">
      <c r="E1887" s="219"/>
    </row>
    <row r="1888" spans="5:5" ht="12.75" hidden="1" customHeight="1" x14ac:dyDescent="0.2">
      <c r="E1888" s="219"/>
    </row>
    <row r="1889" spans="5:5" ht="12.75" hidden="1" customHeight="1" x14ac:dyDescent="0.2">
      <c r="E1889" s="219"/>
    </row>
    <row r="1890" spans="5:5" ht="12.75" hidden="1" customHeight="1" x14ac:dyDescent="0.2">
      <c r="E1890" s="219"/>
    </row>
    <row r="1891" spans="5:5" ht="12.75" hidden="1" customHeight="1" x14ac:dyDescent="0.2">
      <c r="E1891" s="219"/>
    </row>
    <row r="1892" spans="5:5" ht="12.75" hidden="1" customHeight="1" x14ac:dyDescent="0.2">
      <c r="E1892" s="219"/>
    </row>
    <row r="1893" spans="5:5" ht="12.75" hidden="1" customHeight="1" x14ac:dyDescent="0.2">
      <c r="E1893" s="219"/>
    </row>
    <row r="1894" spans="5:5" ht="12.75" hidden="1" customHeight="1" x14ac:dyDescent="0.2">
      <c r="E1894" s="219"/>
    </row>
    <row r="1895" spans="5:5" ht="12.75" hidden="1" customHeight="1" x14ac:dyDescent="0.2">
      <c r="E1895" s="219"/>
    </row>
    <row r="1896" spans="5:5" ht="12.75" hidden="1" customHeight="1" x14ac:dyDescent="0.2">
      <c r="E1896" s="219"/>
    </row>
    <row r="1897" spans="5:5" ht="12.75" hidden="1" customHeight="1" x14ac:dyDescent="0.2">
      <c r="E1897" s="219"/>
    </row>
    <row r="1898" spans="5:5" ht="12.75" hidden="1" customHeight="1" x14ac:dyDescent="0.2">
      <c r="E1898" s="219"/>
    </row>
    <row r="1899" spans="5:5" ht="12.75" hidden="1" customHeight="1" x14ac:dyDescent="0.2">
      <c r="E1899" s="219"/>
    </row>
    <row r="1900" spans="5:5" ht="12.75" hidden="1" customHeight="1" x14ac:dyDescent="0.2">
      <c r="E1900" s="219"/>
    </row>
    <row r="1901" spans="5:5" ht="12.75" hidden="1" customHeight="1" x14ac:dyDescent="0.2">
      <c r="E1901" s="219"/>
    </row>
    <row r="1902" spans="5:5" ht="12.75" hidden="1" customHeight="1" x14ac:dyDescent="0.2">
      <c r="E1902" s="219"/>
    </row>
    <row r="1903" spans="5:5" ht="12.75" hidden="1" customHeight="1" x14ac:dyDescent="0.2">
      <c r="E1903" s="219"/>
    </row>
    <row r="1904" spans="5:5" ht="12.75" hidden="1" customHeight="1" x14ac:dyDescent="0.2">
      <c r="E1904" s="219"/>
    </row>
    <row r="1905" spans="5:5" ht="12.75" hidden="1" customHeight="1" x14ac:dyDescent="0.2">
      <c r="E1905" s="219"/>
    </row>
    <row r="1906" spans="5:5" ht="12.75" hidden="1" customHeight="1" x14ac:dyDescent="0.2">
      <c r="E1906" s="219"/>
    </row>
    <row r="1907" spans="5:5" ht="12.75" hidden="1" customHeight="1" x14ac:dyDescent="0.2">
      <c r="E1907" s="219"/>
    </row>
    <row r="1908" spans="5:5" ht="12.75" hidden="1" customHeight="1" x14ac:dyDescent="0.2">
      <c r="E1908" s="219"/>
    </row>
    <row r="1909" spans="5:5" ht="12.75" hidden="1" customHeight="1" x14ac:dyDescent="0.2">
      <c r="E1909" s="219"/>
    </row>
    <row r="1910" spans="5:5" ht="12.75" hidden="1" customHeight="1" x14ac:dyDescent="0.2">
      <c r="E1910" s="219"/>
    </row>
    <row r="1911" spans="5:5" ht="12.75" hidden="1" customHeight="1" x14ac:dyDescent="0.2">
      <c r="E1911" s="219"/>
    </row>
    <row r="1912" spans="5:5" ht="12.75" hidden="1" customHeight="1" x14ac:dyDescent="0.2">
      <c r="E1912" s="219"/>
    </row>
    <row r="1913" spans="5:5" ht="12.75" hidden="1" customHeight="1" x14ac:dyDescent="0.2">
      <c r="E1913" s="219"/>
    </row>
    <row r="1914" spans="5:5" ht="12.75" hidden="1" customHeight="1" x14ac:dyDescent="0.2">
      <c r="E1914" s="219"/>
    </row>
    <row r="1915" spans="5:5" ht="12.75" hidden="1" customHeight="1" x14ac:dyDescent="0.2">
      <c r="E1915" s="219"/>
    </row>
    <row r="1916" spans="5:5" ht="12.75" hidden="1" customHeight="1" x14ac:dyDescent="0.2">
      <c r="E1916" s="219"/>
    </row>
    <row r="1917" spans="5:5" ht="12.75" hidden="1" customHeight="1" x14ac:dyDescent="0.2">
      <c r="E1917" s="219"/>
    </row>
    <row r="1918" spans="5:5" ht="12.75" hidden="1" customHeight="1" x14ac:dyDescent="0.2">
      <c r="E1918" s="219"/>
    </row>
    <row r="1919" spans="5:5" ht="12.75" hidden="1" customHeight="1" x14ac:dyDescent="0.2">
      <c r="E1919" s="219"/>
    </row>
    <row r="1920" spans="5:5" ht="12.75" hidden="1" customHeight="1" x14ac:dyDescent="0.2">
      <c r="E1920" s="219"/>
    </row>
    <row r="1921" spans="5:5" ht="12.75" hidden="1" customHeight="1" x14ac:dyDescent="0.2">
      <c r="E1921" s="219"/>
    </row>
    <row r="1922" spans="5:5" ht="12.75" hidden="1" customHeight="1" x14ac:dyDescent="0.2">
      <c r="E1922" s="219"/>
    </row>
    <row r="1923" spans="5:5" ht="12.75" hidden="1" customHeight="1" x14ac:dyDescent="0.2">
      <c r="E1923" s="219"/>
    </row>
    <row r="1924" spans="5:5" ht="12.75" hidden="1" customHeight="1" x14ac:dyDescent="0.2">
      <c r="E1924" s="219"/>
    </row>
    <row r="1925" spans="5:5" ht="12.75" hidden="1" customHeight="1" x14ac:dyDescent="0.2">
      <c r="E1925" s="219"/>
    </row>
    <row r="1926" spans="5:5" ht="12.75" hidden="1" customHeight="1" x14ac:dyDescent="0.2">
      <c r="E1926" s="219"/>
    </row>
    <row r="1927" spans="5:5" ht="12.75" hidden="1" customHeight="1" x14ac:dyDescent="0.2">
      <c r="E1927" s="219"/>
    </row>
    <row r="1928" spans="5:5" ht="12.75" hidden="1" customHeight="1" x14ac:dyDescent="0.2">
      <c r="E1928" s="219"/>
    </row>
    <row r="1929" spans="5:5" ht="12.75" hidden="1" customHeight="1" x14ac:dyDescent="0.2">
      <c r="E1929" s="219"/>
    </row>
    <row r="1930" spans="5:5" ht="12.75" hidden="1" customHeight="1" x14ac:dyDescent="0.2">
      <c r="E1930" s="219"/>
    </row>
    <row r="1931" spans="5:5" ht="12.75" hidden="1" customHeight="1" x14ac:dyDescent="0.2">
      <c r="E1931" s="219"/>
    </row>
    <row r="1932" spans="5:5" ht="12.75" hidden="1" customHeight="1" x14ac:dyDescent="0.2">
      <c r="E1932" s="219"/>
    </row>
    <row r="1933" spans="5:5" ht="12.75" hidden="1" customHeight="1" x14ac:dyDescent="0.2">
      <c r="E1933" s="219"/>
    </row>
    <row r="1934" spans="5:5" ht="12.75" hidden="1" customHeight="1" x14ac:dyDescent="0.2">
      <c r="E1934" s="219"/>
    </row>
    <row r="1935" spans="5:5" ht="12.75" hidden="1" customHeight="1" x14ac:dyDescent="0.2">
      <c r="E1935" s="219"/>
    </row>
    <row r="1936" spans="5:5" ht="12.75" hidden="1" customHeight="1" x14ac:dyDescent="0.2">
      <c r="E1936" s="219"/>
    </row>
    <row r="1937" spans="5:5" ht="12.75" hidden="1" customHeight="1" x14ac:dyDescent="0.2">
      <c r="E1937" s="219"/>
    </row>
    <row r="1938" spans="5:5" ht="12.75" hidden="1" customHeight="1" x14ac:dyDescent="0.2">
      <c r="E1938" s="219"/>
    </row>
    <row r="1939" spans="5:5" ht="12.75" hidden="1" customHeight="1" x14ac:dyDescent="0.2">
      <c r="E1939" s="219"/>
    </row>
    <row r="1940" spans="5:5" ht="12.75" hidden="1" customHeight="1" x14ac:dyDescent="0.2">
      <c r="E1940" s="219"/>
    </row>
    <row r="1941" spans="5:5" ht="12.75" hidden="1" customHeight="1" x14ac:dyDescent="0.2">
      <c r="E1941" s="219"/>
    </row>
    <row r="1942" spans="5:5" ht="12.75" hidden="1" customHeight="1" x14ac:dyDescent="0.2">
      <c r="E1942" s="219"/>
    </row>
    <row r="1943" spans="5:5" ht="12.75" hidden="1" customHeight="1" x14ac:dyDescent="0.2">
      <c r="E1943" s="219"/>
    </row>
    <row r="1944" spans="5:5" ht="12.75" hidden="1" customHeight="1" x14ac:dyDescent="0.2">
      <c r="E1944" s="219"/>
    </row>
    <row r="1945" spans="5:5" ht="12.75" hidden="1" customHeight="1" x14ac:dyDescent="0.2">
      <c r="E1945" s="219"/>
    </row>
    <row r="1946" spans="5:5" ht="12.75" hidden="1" customHeight="1" x14ac:dyDescent="0.2">
      <c r="E1946" s="219"/>
    </row>
    <row r="1947" spans="5:5" ht="12.75" hidden="1" customHeight="1" x14ac:dyDescent="0.2">
      <c r="E1947" s="219"/>
    </row>
    <row r="1948" spans="5:5" ht="12.75" hidden="1" customHeight="1" x14ac:dyDescent="0.2">
      <c r="E1948" s="219"/>
    </row>
    <row r="1949" spans="5:5" ht="12.75" hidden="1" customHeight="1" x14ac:dyDescent="0.2">
      <c r="E1949" s="219"/>
    </row>
    <row r="1950" spans="5:5" ht="12.75" hidden="1" customHeight="1" x14ac:dyDescent="0.2">
      <c r="E1950" s="219"/>
    </row>
    <row r="1951" spans="5:5" ht="12.75" hidden="1" customHeight="1" x14ac:dyDescent="0.2">
      <c r="E1951" s="219"/>
    </row>
    <row r="1952" spans="5:5" ht="12.75" hidden="1" customHeight="1" x14ac:dyDescent="0.2">
      <c r="E1952" s="219"/>
    </row>
    <row r="1953" spans="5:5" ht="12.75" hidden="1" customHeight="1" x14ac:dyDescent="0.2">
      <c r="E1953" s="219"/>
    </row>
    <row r="1954" spans="5:5" ht="12.75" hidden="1" customHeight="1" x14ac:dyDescent="0.2">
      <c r="E1954" s="219"/>
    </row>
    <row r="1955" spans="5:5" ht="12.75" hidden="1" customHeight="1" x14ac:dyDescent="0.2">
      <c r="E1955" s="219"/>
    </row>
    <row r="1956" spans="5:5" ht="12.75" hidden="1" customHeight="1" x14ac:dyDescent="0.2">
      <c r="E1956" s="219"/>
    </row>
    <row r="1957" spans="5:5" ht="12.75" hidden="1" customHeight="1" x14ac:dyDescent="0.2">
      <c r="E1957" s="219"/>
    </row>
    <row r="1958" spans="5:5" ht="12.75" hidden="1" customHeight="1" x14ac:dyDescent="0.2">
      <c r="E1958" s="219"/>
    </row>
    <row r="1959" spans="5:5" ht="12.75" hidden="1" customHeight="1" x14ac:dyDescent="0.2">
      <c r="E1959" s="219"/>
    </row>
    <row r="1960" spans="5:5" ht="12.75" hidden="1" customHeight="1" x14ac:dyDescent="0.2">
      <c r="E1960" s="219"/>
    </row>
    <row r="1961" spans="5:5" ht="12.75" hidden="1" customHeight="1" x14ac:dyDescent="0.2">
      <c r="E1961" s="219"/>
    </row>
    <row r="1962" spans="5:5" ht="12.75" hidden="1" customHeight="1" x14ac:dyDescent="0.2">
      <c r="E1962" s="219"/>
    </row>
    <row r="1963" spans="5:5" ht="12.75" hidden="1" customHeight="1" x14ac:dyDescent="0.2">
      <c r="E1963" s="219"/>
    </row>
    <row r="1964" spans="5:5" ht="12.75" hidden="1" customHeight="1" x14ac:dyDescent="0.2">
      <c r="E1964" s="219"/>
    </row>
    <row r="1965" spans="5:5" ht="12.75" hidden="1" customHeight="1" x14ac:dyDescent="0.2">
      <c r="E1965" s="219"/>
    </row>
    <row r="1966" spans="5:5" ht="12.75" hidden="1" customHeight="1" x14ac:dyDescent="0.2">
      <c r="E1966" s="219"/>
    </row>
    <row r="1967" spans="5:5" ht="12.75" hidden="1" customHeight="1" x14ac:dyDescent="0.2">
      <c r="E1967" s="219"/>
    </row>
    <row r="1968" spans="5:5" ht="12.75" hidden="1" customHeight="1" x14ac:dyDescent="0.2">
      <c r="E1968" s="219"/>
    </row>
    <row r="1969" spans="5:5" ht="12.75" hidden="1" customHeight="1" x14ac:dyDescent="0.2">
      <c r="E1969" s="219"/>
    </row>
    <row r="1970" spans="5:5" ht="12.75" hidden="1" customHeight="1" x14ac:dyDescent="0.2">
      <c r="E1970" s="219"/>
    </row>
    <row r="1971" spans="5:5" ht="12.75" hidden="1" customHeight="1" x14ac:dyDescent="0.2">
      <c r="E1971" s="219"/>
    </row>
    <row r="1972" spans="5:5" ht="12.75" hidden="1" customHeight="1" x14ac:dyDescent="0.2">
      <c r="E1972" s="219"/>
    </row>
    <row r="1973" spans="5:5" ht="12.75" hidden="1" customHeight="1" x14ac:dyDescent="0.2">
      <c r="E1973" s="219"/>
    </row>
    <row r="1974" spans="5:5" ht="12.75" hidden="1" customHeight="1" x14ac:dyDescent="0.2">
      <c r="E1974" s="219"/>
    </row>
    <row r="1975" spans="5:5" ht="12.75" hidden="1" customHeight="1" x14ac:dyDescent="0.2">
      <c r="E1975" s="219"/>
    </row>
    <row r="1976" spans="5:5" ht="12.75" hidden="1" customHeight="1" x14ac:dyDescent="0.2">
      <c r="E1976" s="219"/>
    </row>
    <row r="1977" spans="5:5" ht="12.75" hidden="1" customHeight="1" x14ac:dyDescent="0.2">
      <c r="E1977" s="219"/>
    </row>
    <row r="1978" spans="5:5" ht="12.75" hidden="1" customHeight="1" x14ac:dyDescent="0.2">
      <c r="E1978" s="219"/>
    </row>
    <row r="1979" spans="5:5" ht="12.75" hidden="1" customHeight="1" x14ac:dyDescent="0.2">
      <c r="E1979" s="219"/>
    </row>
    <row r="1980" spans="5:5" ht="12.75" hidden="1" customHeight="1" x14ac:dyDescent="0.2">
      <c r="E1980" s="219"/>
    </row>
    <row r="1981" spans="5:5" ht="12.75" hidden="1" customHeight="1" x14ac:dyDescent="0.2">
      <c r="E1981" s="219"/>
    </row>
    <row r="1982" spans="5:5" ht="12.75" hidden="1" customHeight="1" x14ac:dyDescent="0.2">
      <c r="E1982" s="219"/>
    </row>
    <row r="1983" spans="5:5" ht="12.75" hidden="1" customHeight="1" x14ac:dyDescent="0.2">
      <c r="E1983" s="219"/>
    </row>
    <row r="1984" spans="5:5" ht="12.75" hidden="1" customHeight="1" x14ac:dyDescent="0.2">
      <c r="E1984" s="219"/>
    </row>
    <row r="1985" spans="5:5" ht="12.75" hidden="1" customHeight="1" x14ac:dyDescent="0.2">
      <c r="E1985" s="219"/>
    </row>
    <row r="1986" spans="5:5" ht="12.75" hidden="1" customHeight="1" x14ac:dyDescent="0.2">
      <c r="E1986" s="219"/>
    </row>
    <row r="1987" spans="5:5" ht="12.75" hidden="1" customHeight="1" x14ac:dyDescent="0.2">
      <c r="E1987" s="219"/>
    </row>
    <row r="1988" spans="5:5" ht="12.75" hidden="1" customHeight="1" x14ac:dyDescent="0.2">
      <c r="E1988" s="219"/>
    </row>
    <row r="1989" spans="5:5" ht="12.75" hidden="1" customHeight="1" x14ac:dyDescent="0.2">
      <c r="E1989" s="219"/>
    </row>
    <row r="1990" spans="5:5" ht="12.75" hidden="1" customHeight="1" x14ac:dyDescent="0.2">
      <c r="E1990" s="219"/>
    </row>
    <row r="1991" spans="5:5" ht="12.75" hidden="1" customHeight="1" x14ac:dyDescent="0.2">
      <c r="E1991" s="219"/>
    </row>
    <row r="1992" spans="5:5" ht="12.75" hidden="1" customHeight="1" x14ac:dyDescent="0.2">
      <c r="E1992" s="219"/>
    </row>
    <row r="1993" spans="5:5" ht="12.75" hidden="1" customHeight="1" x14ac:dyDescent="0.2">
      <c r="E1993" s="219"/>
    </row>
    <row r="1994" spans="5:5" ht="12.75" hidden="1" customHeight="1" x14ac:dyDescent="0.2">
      <c r="E1994" s="219"/>
    </row>
    <row r="1995" spans="5:5" ht="12.75" hidden="1" customHeight="1" x14ac:dyDescent="0.2">
      <c r="E1995" s="219"/>
    </row>
    <row r="1996" spans="5:5" ht="12.75" hidden="1" customHeight="1" x14ac:dyDescent="0.2">
      <c r="E1996" s="219"/>
    </row>
    <row r="1997" spans="5:5" ht="12.75" hidden="1" customHeight="1" x14ac:dyDescent="0.2">
      <c r="E1997" s="219"/>
    </row>
    <row r="1998" spans="5:5" ht="12.75" hidden="1" customHeight="1" x14ac:dyDescent="0.2">
      <c r="E1998" s="219"/>
    </row>
    <row r="1999" spans="5:5" ht="12.75" hidden="1" customHeight="1" x14ac:dyDescent="0.2">
      <c r="E1999" s="219"/>
    </row>
    <row r="2000" spans="5:5" ht="12.75" hidden="1" customHeight="1" x14ac:dyDescent="0.2">
      <c r="E2000" s="219"/>
    </row>
    <row r="2001" spans="5:5" ht="12.75" hidden="1" customHeight="1" x14ac:dyDescent="0.2">
      <c r="E2001" s="219"/>
    </row>
    <row r="2002" spans="5:5" ht="12.75" hidden="1" customHeight="1" x14ac:dyDescent="0.2">
      <c r="E2002" s="219"/>
    </row>
    <row r="2003" spans="5:5" ht="12.75" hidden="1" customHeight="1" x14ac:dyDescent="0.2">
      <c r="E2003" s="219"/>
    </row>
    <row r="2004" spans="5:5" ht="12.75" hidden="1" customHeight="1" x14ac:dyDescent="0.2">
      <c r="E2004" s="219"/>
    </row>
    <row r="2005" spans="5:5" ht="12.75" hidden="1" customHeight="1" x14ac:dyDescent="0.2">
      <c r="E2005" s="219"/>
    </row>
    <row r="2006" spans="5:5" ht="12.75" hidden="1" customHeight="1" x14ac:dyDescent="0.2">
      <c r="E2006" s="219"/>
    </row>
    <row r="2007" spans="5:5" ht="12.75" hidden="1" customHeight="1" x14ac:dyDescent="0.2">
      <c r="E2007" s="219"/>
    </row>
    <row r="2008" spans="5:5" ht="12.75" hidden="1" customHeight="1" x14ac:dyDescent="0.2">
      <c r="E2008" s="219"/>
    </row>
    <row r="2009" spans="5:5" ht="12.75" hidden="1" customHeight="1" x14ac:dyDescent="0.2">
      <c r="E2009" s="219"/>
    </row>
    <row r="2010" spans="5:5" ht="12.75" hidden="1" customHeight="1" x14ac:dyDescent="0.2">
      <c r="E2010" s="219"/>
    </row>
    <row r="2011" spans="5:5" ht="12.75" hidden="1" customHeight="1" x14ac:dyDescent="0.2">
      <c r="E2011" s="219"/>
    </row>
    <row r="2012" spans="5:5" ht="12.75" hidden="1" customHeight="1" x14ac:dyDescent="0.2">
      <c r="E2012" s="219"/>
    </row>
    <row r="2013" spans="5:5" ht="12.75" hidden="1" customHeight="1" x14ac:dyDescent="0.2">
      <c r="E2013" s="219"/>
    </row>
    <row r="2014" spans="5:5" ht="12.75" hidden="1" customHeight="1" x14ac:dyDescent="0.2">
      <c r="E2014" s="219"/>
    </row>
    <row r="2015" spans="5:5" ht="12.75" hidden="1" customHeight="1" x14ac:dyDescent="0.2">
      <c r="E2015" s="219"/>
    </row>
    <row r="2016" spans="5:5" ht="12.75" hidden="1" customHeight="1" x14ac:dyDescent="0.2">
      <c r="E2016" s="219"/>
    </row>
    <row r="2017" spans="5:5" ht="12.75" hidden="1" customHeight="1" x14ac:dyDescent="0.2">
      <c r="E2017" s="219"/>
    </row>
    <row r="2018" spans="5:5" ht="12.75" hidden="1" customHeight="1" x14ac:dyDescent="0.2">
      <c r="E2018" s="219"/>
    </row>
    <row r="2019" spans="5:5" ht="12.75" hidden="1" customHeight="1" x14ac:dyDescent="0.2">
      <c r="E2019" s="219"/>
    </row>
    <row r="2020" spans="5:5" ht="12.75" hidden="1" customHeight="1" x14ac:dyDescent="0.2">
      <c r="E2020" s="219"/>
    </row>
    <row r="2021" spans="5:5" ht="12.75" hidden="1" customHeight="1" x14ac:dyDescent="0.2">
      <c r="E2021" s="219"/>
    </row>
    <row r="2022" spans="5:5" ht="12.75" hidden="1" customHeight="1" x14ac:dyDescent="0.2">
      <c r="E2022" s="219"/>
    </row>
    <row r="2023" spans="5:5" ht="12.75" hidden="1" customHeight="1" x14ac:dyDescent="0.2">
      <c r="E2023" s="219"/>
    </row>
    <row r="2024" spans="5:5" ht="12.75" hidden="1" customHeight="1" x14ac:dyDescent="0.2">
      <c r="E2024" s="219"/>
    </row>
    <row r="2025" spans="5:5" ht="12.75" hidden="1" customHeight="1" x14ac:dyDescent="0.2">
      <c r="E2025" s="219"/>
    </row>
    <row r="2026" spans="5:5" ht="12.75" hidden="1" customHeight="1" x14ac:dyDescent="0.2">
      <c r="E2026" s="219"/>
    </row>
    <row r="2027" spans="5:5" ht="12.75" hidden="1" customHeight="1" x14ac:dyDescent="0.2">
      <c r="E2027" s="219"/>
    </row>
    <row r="2028" spans="5:5" ht="12.75" hidden="1" customHeight="1" x14ac:dyDescent="0.2">
      <c r="E2028" s="219"/>
    </row>
    <row r="2029" spans="5:5" ht="12.75" hidden="1" customHeight="1" x14ac:dyDescent="0.2">
      <c r="E2029" s="219"/>
    </row>
    <row r="2030" spans="5:5" ht="12.75" hidden="1" customHeight="1" x14ac:dyDescent="0.2">
      <c r="E2030" s="219"/>
    </row>
    <row r="2031" spans="5:5" ht="12.75" hidden="1" customHeight="1" x14ac:dyDescent="0.2">
      <c r="E2031" s="219"/>
    </row>
    <row r="2032" spans="5:5" ht="12.75" hidden="1" customHeight="1" x14ac:dyDescent="0.2">
      <c r="E2032" s="219"/>
    </row>
    <row r="2033" spans="5:5" ht="12.75" hidden="1" customHeight="1" x14ac:dyDescent="0.2">
      <c r="E2033" s="219"/>
    </row>
    <row r="2034" spans="5:5" ht="12.75" hidden="1" customHeight="1" x14ac:dyDescent="0.2">
      <c r="E2034" s="219"/>
    </row>
    <row r="2035" spans="5:5" ht="12.75" hidden="1" customHeight="1" x14ac:dyDescent="0.2">
      <c r="E2035" s="219"/>
    </row>
    <row r="2036" spans="5:5" ht="12.75" hidden="1" customHeight="1" x14ac:dyDescent="0.2">
      <c r="E2036" s="219"/>
    </row>
    <row r="2037" spans="5:5" ht="12.75" hidden="1" customHeight="1" x14ac:dyDescent="0.2">
      <c r="E2037" s="219"/>
    </row>
    <row r="2038" spans="5:5" ht="12.75" hidden="1" customHeight="1" x14ac:dyDescent="0.2">
      <c r="E2038" s="219"/>
    </row>
    <row r="2039" spans="5:5" ht="12.75" hidden="1" customHeight="1" x14ac:dyDescent="0.2">
      <c r="E2039" s="219"/>
    </row>
    <row r="2040" spans="5:5" ht="12.75" hidden="1" customHeight="1" x14ac:dyDescent="0.2">
      <c r="E2040" s="219"/>
    </row>
    <row r="2041" spans="5:5" ht="12.75" hidden="1" customHeight="1" x14ac:dyDescent="0.2">
      <c r="E2041" s="219"/>
    </row>
    <row r="2042" spans="5:5" ht="12.75" hidden="1" customHeight="1" x14ac:dyDescent="0.2">
      <c r="E2042" s="219"/>
    </row>
    <row r="2043" spans="5:5" ht="12.75" hidden="1" customHeight="1" x14ac:dyDescent="0.2">
      <c r="E2043" s="219"/>
    </row>
    <row r="2044" spans="5:5" ht="12.75" hidden="1" customHeight="1" x14ac:dyDescent="0.2">
      <c r="E2044" s="219"/>
    </row>
    <row r="2045" spans="5:5" ht="12.75" hidden="1" customHeight="1" x14ac:dyDescent="0.2">
      <c r="E2045" s="219"/>
    </row>
    <row r="2046" spans="5:5" ht="12.75" hidden="1" customHeight="1" x14ac:dyDescent="0.2">
      <c r="E2046" s="219"/>
    </row>
    <row r="2047" spans="5:5" ht="12.75" hidden="1" customHeight="1" x14ac:dyDescent="0.2">
      <c r="E2047" s="219"/>
    </row>
    <row r="2048" spans="5:5" ht="12.75" hidden="1" customHeight="1" x14ac:dyDescent="0.2">
      <c r="E2048" s="219"/>
    </row>
    <row r="2049" spans="5:5" ht="12.75" hidden="1" customHeight="1" x14ac:dyDescent="0.2">
      <c r="E2049" s="219"/>
    </row>
    <row r="2050" spans="5:5" ht="12.75" hidden="1" customHeight="1" x14ac:dyDescent="0.2">
      <c r="E2050" s="219"/>
    </row>
    <row r="2051" spans="5:5" ht="12.75" hidden="1" customHeight="1" x14ac:dyDescent="0.2">
      <c r="E2051" s="219"/>
    </row>
    <row r="2052" spans="5:5" ht="12.75" hidden="1" customHeight="1" x14ac:dyDescent="0.2">
      <c r="E2052" s="219"/>
    </row>
    <row r="2053" spans="5:5" ht="12.75" hidden="1" customHeight="1" x14ac:dyDescent="0.2">
      <c r="E2053" s="219"/>
    </row>
    <row r="2054" spans="5:5" ht="12.75" hidden="1" customHeight="1" x14ac:dyDescent="0.2">
      <c r="E2054" s="219"/>
    </row>
    <row r="2055" spans="5:5" ht="12.75" hidden="1" customHeight="1" x14ac:dyDescent="0.2">
      <c r="E2055" s="219"/>
    </row>
    <row r="2056" spans="5:5" ht="12.75" hidden="1" customHeight="1" x14ac:dyDescent="0.2">
      <c r="E2056" s="219"/>
    </row>
    <row r="2057" spans="5:5" ht="12.75" hidden="1" customHeight="1" x14ac:dyDescent="0.2">
      <c r="E2057" s="219"/>
    </row>
    <row r="2058" spans="5:5" ht="12.75" hidden="1" customHeight="1" x14ac:dyDescent="0.2">
      <c r="E2058" s="219"/>
    </row>
    <row r="2059" spans="5:5" ht="12.75" hidden="1" customHeight="1" x14ac:dyDescent="0.2">
      <c r="E2059" s="219"/>
    </row>
    <row r="2060" spans="5:5" ht="12.75" hidden="1" customHeight="1" x14ac:dyDescent="0.2">
      <c r="E2060" s="219"/>
    </row>
    <row r="2061" spans="5:5" ht="12.75" hidden="1" customHeight="1" x14ac:dyDescent="0.2">
      <c r="E2061" s="219"/>
    </row>
    <row r="2062" spans="5:5" ht="12.75" hidden="1" customHeight="1" x14ac:dyDescent="0.2">
      <c r="E2062" s="219"/>
    </row>
    <row r="2063" spans="5:5" ht="12.75" hidden="1" customHeight="1" x14ac:dyDescent="0.2">
      <c r="E2063" s="219"/>
    </row>
    <row r="2064" spans="5:5" ht="12.75" hidden="1" customHeight="1" x14ac:dyDescent="0.2">
      <c r="E2064" s="219"/>
    </row>
    <row r="2065" spans="5:5" ht="12.75" hidden="1" customHeight="1" x14ac:dyDescent="0.2">
      <c r="E2065" s="219"/>
    </row>
    <row r="2066" spans="5:5" ht="12.75" hidden="1" customHeight="1" x14ac:dyDescent="0.2">
      <c r="E2066" s="219"/>
    </row>
    <row r="2067" spans="5:5" ht="12.75" hidden="1" customHeight="1" x14ac:dyDescent="0.2">
      <c r="E2067" s="219"/>
    </row>
    <row r="2068" spans="5:5" ht="12.75" hidden="1" customHeight="1" x14ac:dyDescent="0.2">
      <c r="E2068" s="219"/>
    </row>
    <row r="2069" spans="5:5" ht="12.75" hidden="1" customHeight="1" x14ac:dyDescent="0.2">
      <c r="E2069" s="219"/>
    </row>
    <row r="2070" spans="5:5" ht="12.75" hidden="1" customHeight="1" x14ac:dyDescent="0.2">
      <c r="E2070" s="219"/>
    </row>
    <row r="2071" spans="5:5" ht="12.75" hidden="1" customHeight="1" x14ac:dyDescent="0.2">
      <c r="E2071" s="219"/>
    </row>
    <row r="2072" spans="5:5" ht="12.75" hidden="1" customHeight="1" x14ac:dyDescent="0.2">
      <c r="E2072" s="219"/>
    </row>
    <row r="2073" spans="5:5" ht="12.75" hidden="1" customHeight="1" x14ac:dyDescent="0.2">
      <c r="E2073" s="219"/>
    </row>
    <row r="2074" spans="5:5" ht="12.75" hidden="1" customHeight="1" x14ac:dyDescent="0.2">
      <c r="E2074" s="219"/>
    </row>
    <row r="2075" spans="5:5" ht="12.75" hidden="1" customHeight="1" x14ac:dyDescent="0.2">
      <c r="E2075" s="219"/>
    </row>
    <row r="2076" spans="5:5" ht="12.75" hidden="1" customHeight="1" x14ac:dyDescent="0.2">
      <c r="E2076" s="219"/>
    </row>
    <row r="2077" spans="5:5" ht="12.75" hidden="1" customHeight="1" x14ac:dyDescent="0.2">
      <c r="E2077" s="219"/>
    </row>
    <row r="2078" spans="5:5" ht="12.75" hidden="1" customHeight="1" x14ac:dyDescent="0.2">
      <c r="E2078" s="219"/>
    </row>
    <row r="2079" spans="5:5" ht="12.75" hidden="1" customHeight="1" x14ac:dyDescent="0.2">
      <c r="E2079" s="219"/>
    </row>
    <row r="2080" spans="5:5" ht="12.75" hidden="1" customHeight="1" x14ac:dyDescent="0.2">
      <c r="E2080" s="219"/>
    </row>
    <row r="2081" spans="5:5" ht="12.75" hidden="1" customHeight="1" x14ac:dyDescent="0.2">
      <c r="E2081" s="219"/>
    </row>
    <row r="2082" spans="5:5" ht="12.75" hidden="1" customHeight="1" x14ac:dyDescent="0.2">
      <c r="E2082" s="219"/>
    </row>
    <row r="2083" spans="5:5" ht="12.75" hidden="1" customHeight="1" x14ac:dyDescent="0.2">
      <c r="E2083" s="219"/>
    </row>
    <row r="2084" spans="5:5" ht="12.75" hidden="1" customHeight="1" x14ac:dyDescent="0.2">
      <c r="E2084" s="219"/>
    </row>
    <row r="2085" spans="5:5" ht="12.75" hidden="1" customHeight="1" x14ac:dyDescent="0.2">
      <c r="E2085" s="219"/>
    </row>
    <row r="2086" spans="5:5" ht="12.75" hidden="1" customHeight="1" x14ac:dyDescent="0.2">
      <c r="E2086" s="219"/>
    </row>
    <row r="2087" spans="5:5" ht="12.75" hidden="1" customHeight="1" x14ac:dyDescent="0.2">
      <c r="E2087" s="219"/>
    </row>
    <row r="2088" spans="5:5" ht="12.75" hidden="1" customHeight="1" x14ac:dyDescent="0.2">
      <c r="E2088" s="219"/>
    </row>
    <row r="2089" spans="5:5" ht="12.75" hidden="1" customHeight="1" x14ac:dyDescent="0.2">
      <c r="E2089" s="219"/>
    </row>
    <row r="2090" spans="5:5" ht="12.75" hidden="1" customHeight="1" x14ac:dyDescent="0.2">
      <c r="E2090" s="219"/>
    </row>
    <row r="2091" spans="5:5" ht="12.75" hidden="1" customHeight="1" x14ac:dyDescent="0.2">
      <c r="E2091" s="219"/>
    </row>
    <row r="2092" spans="5:5" ht="12.75" hidden="1" customHeight="1" x14ac:dyDescent="0.2">
      <c r="E2092" s="219"/>
    </row>
    <row r="2093" spans="5:5" ht="12.75" hidden="1" customHeight="1" x14ac:dyDescent="0.2">
      <c r="E2093" s="219"/>
    </row>
    <row r="2094" spans="5:5" ht="12.75" hidden="1" customHeight="1" x14ac:dyDescent="0.2">
      <c r="E2094" s="219"/>
    </row>
    <row r="2095" spans="5:5" ht="12.75" hidden="1" customHeight="1" x14ac:dyDescent="0.2">
      <c r="E2095" s="219"/>
    </row>
    <row r="2096" spans="5:5" ht="12.75" hidden="1" customHeight="1" x14ac:dyDescent="0.2">
      <c r="E2096" s="219"/>
    </row>
    <row r="2097" spans="5:5" ht="12.75" hidden="1" customHeight="1" x14ac:dyDescent="0.2">
      <c r="E2097" s="219"/>
    </row>
    <row r="2098" spans="5:5" ht="12.75" hidden="1" customHeight="1" x14ac:dyDescent="0.2">
      <c r="E2098" s="219"/>
    </row>
    <row r="2099" spans="5:5" ht="12.75" hidden="1" customHeight="1" x14ac:dyDescent="0.2">
      <c r="E2099" s="219"/>
    </row>
    <row r="2100" spans="5:5" ht="12.75" hidden="1" customHeight="1" x14ac:dyDescent="0.2">
      <c r="E2100" s="219"/>
    </row>
    <row r="2101" spans="5:5" ht="12.75" hidden="1" customHeight="1" x14ac:dyDescent="0.2">
      <c r="E2101" s="219"/>
    </row>
    <row r="2102" spans="5:5" ht="12.75" hidden="1" customHeight="1" x14ac:dyDescent="0.2">
      <c r="E2102" s="219"/>
    </row>
    <row r="2103" spans="5:5" ht="12.75" hidden="1" customHeight="1" x14ac:dyDescent="0.2">
      <c r="E2103" s="219"/>
    </row>
    <row r="2104" spans="5:5" ht="12.75" hidden="1" customHeight="1" x14ac:dyDescent="0.2">
      <c r="E2104" s="219"/>
    </row>
    <row r="2105" spans="5:5" ht="12.75" hidden="1" customHeight="1" x14ac:dyDescent="0.2">
      <c r="E2105" s="219"/>
    </row>
    <row r="2106" spans="5:5" ht="12.75" hidden="1" customHeight="1" x14ac:dyDescent="0.2">
      <c r="E2106" s="219"/>
    </row>
    <row r="2107" spans="5:5" ht="12.75" hidden="1" customHeight="1" x14ac:dyDescent="0.2">
      <c r="E2107" s="219"/>
    </row>
    <row r="2108" spans="5:5" ht="12.75" hidden="1" customHeight="1" x14ac:dyDescent="0.2">
      <c r="E2108" s="219"/>
    </row>
    <row r="2109" spans="5:5" ht="12.75" hidden="1" customHeight="1" x14ac:dyDescent="0.2">
      <c r="E2109" s="219"/>
    </row>
    <row r="2110" spans="5:5" ht="12.75" hidden="1" customHeight="1" x14ac:dyDescent="0.2">
      <c r="E2110" s="219"/>
    </row>
    <row r="2111" spans="5:5" ht="12.75" hidden="1" customHeight="1" x14ac:dyDescent="0.2">
      <c r="E2111" s="219"/>
    </row>
    <row r="2112" spans="5:5" ht="12.75" hidden="1" customHeight="1" x14ac:dyDescent="0.2">
      <c r="E2112" s="219"/>
    </row>
    <row r="2113" spans="5:5" ht="12.75" hidden="1" customHeight="1" x14ac:dyDescent="0.2">
      <c r="E2113" s="219"/>
    </row>
    <row r="2114" spans="5:5" ht="12.75" hidden="1" customHeight="1" x14ac:dyDescent="0.2">
      <c r="E2114" s="219"/>
    </row>
    <row r="2115" spans="5:5" ht="12.75" hidden="1" customHeight="1" x14ac:dyDescent="0.2">
      <c r="E2115" s="219"/>
    </row>
    <row r="2116" spans="5:5" ht="12.75" hidden="1" customHeight="1" x14ac:dyDescent="0.2">
      <c r="E2116" s="219"/>
    </row>
    <row r="2117" spans="5:5" ht="12.75" hidden="1" customHeight="1" x14ac:dyDescent="0.2">
      <c r="E2117" s="219"/>
    </row>
    <row r="2118" spans="5:5" ht="12.75" hidden="1" customHeight="1" x14ac:dyDescent="0.2">
      <c r="E2118" s="219"/>
    </row>
    <row r="2119" spans="5:5" ht="12.75" hidden="1" customHeight="1" x14ac:dyDescent="0.2">
      <c r="E2119" s="219"/>
    </row>
    <row r="2120" spans="5:5" ht="12.75" hidden="1" customHeight="1" x14ac:dyDescent="0.2">
      <c r="E2120" s="219"/>
    </row>
    <row r="2121" spans="5:5" ht="12.75" hidden="1" customHeight="1" x14ac:dyDescent="0.2">
      <c r="E2121" s="219"/>
    </row>
    <row r="2122" spans="5:5" ht="12.75" hidden="1" customHeight="1" x14ac:dyDescent="0.2">
      <c r="E2122" s="219"/>
    </row>
    <row r="2123" spans="5:5" ht="12.75" hidden="1" customHeight="1" x14ac:dyDescent="0.2">
      <c r="E2123" s="219"/>
    </row>
    <row r="2124" spans="5:5" ht="12.75" hidden="1" customHeight="1" x14ac:dyDescent="0.2">
      <c r="E2124" s="219"/>
    </row>
    <row r="2125" spans="5:5" ht="12.75" hidden="1" customHeight="1" x14ac:dyDescent="0.2">
      <c r="E2125" s="219"/>
    </row>
    <row r="2126" spans="5:5" ht="12.75" hidden="1" customHeight="1" x14ac:dyDescent="0.2">
      <c r="E2126" s="219"/>
    </row>
    <row r="2127" spans="5:5" ht="12.75" hidden="1" customHeight="1" x14ac:dyDescent="0.2">
      <c r="E2127" s="219"/>
    </row>
    <row r="2128" spans="5:5" ht="12.75" hidden="1" customHeight="1" x14ac:dyDescent="0.2">
      <c r="E2128" s="219"/>
    </row>
    <row r="2129" spans="5:5" ht="12.75" hidden="1" customHeight="1" x14ac:dyDescent="0.2">
      <c r="E2129" s="219"/>
    </row>
    <row r="2130" spans="5:5" ht="12.75" hidden="1" customHeight="1" x14ac:dyDescent="0.2">
      <c r="E2130" s="219"/>
    </row>
    <row r="2131" spans="5:5" ht="12.75" hidden="1" customHeight="1" x14ac:dyDescent="0.2">
      <c r="E2131" s="219"/>
    </row>
    <row r="2132" spans="5:5" ht="12.75" hidden="1" customHeight="1" x14ac:dyDescent="0.2">
      <c r="E2132" s="219"/>
    </row>
    <row r="2133" spans="5:5" ht="12.75" hidden="1" customHeight="1" x14ac:dyDescent="0.2">
      <c r="E2133" s="219"/>
    </row>
    <row r="2134" spans="5:5" ht="12.75" hidden="1" customHeight="1" x14ac:dyDescent="0.2">
      <c r="E2134" s="219"/>
    </row>
    <row r="2135" spans="5:5" ht="12.75" hidden="1" customHeight="1" x14ac:dyDescent="0.2">
      <c r="E2135" s="219"/>
    </row>
    <row r="2136" spans="5:5" ht="12.75" hidden="1" customHeight="1" x14ac:dyDescent="0.2">
      <c r="E2136" s="219"/>
    </row>
    <row r="2137" spans="5:5" ht="12.75" hidden="1" customHeight="1" x14ac:dyDescent="0.2">
      <c r="E2137" s="219"/>
    </row>
    <row r="2138" spans="5:5" ht="12.75" hidden="1" customHeight="1" x14ac:dyDescent="0.2">
      <c r="E2138" s="219"/>
    </row>
    <row r="2139" spans="5:5" ht="12.75" hidden="1" customHeight="1" x14ac:dyDescent="0.2">
      <c r="E2139" s="219"/>
    </row>
    <row r="2140" spans="5:5" ht="12.75" hidden="1" customHeight="1" x14ac:dyDescent="0.2">
      <c r="E2140" s="219"/>
    </row>
    <row r="2141" spans="5:5" ht="12.75" hidden="1" customHeight="1" x14ac:dyDescent="0.2">
      <c r="E2141" s="219"/>
    </row>
    <row r="2142" spans="5:5" ht="12.75" hidden="1" customHeight="1" x14ac:dyDescent="0.2">
      <c r="E2142" s="219"/>
    </row>
    <row r="2143" spans="5:5" ht="12.75" hidden="1" customHeight="1" x14ac:dyDescent="0.2">
      <c r="E2143" s="219"/>
    </row>
    <row r="2144" spans="5:5" ht="12.75" hidden="1" customHeight="1" x14ac:dyDescent="0.2">
      <c r="E2144" s="219"/>
    </row>
    <row r="2145" spans="5:5" ht="12.75" hidden="1" customHeight="1" x14ac:dyDescent="0.2">
      <c r="E2145" s="219"/>
    </row>
    <row r="2146" spans="5:5" ht="12.75" hidden="1" customHeight="1" x14ac:dyDescent="0.2">
      <c r="E2146" s="219"/>
    </row>
    <row r="2147" spans="5:5" ht="12.75" hidden="1" customHeight="1" x14ac:dyDescent="0.2">
      <c r="E2147" s="219"/>
    </row>
    <row r="2148" spans="5:5" ht="12.75" hidden="1" customHeight="1" x14ac:dyDescent="0.2">
      <c r="E2148" s="219"/>
    </row>
    <row r="2149" spans="5:5" ht="12.75" hidden="1" customHeight="1" x14ac:dyDescent="0.2">
      <c r="E2149" s="219"/>
    </row>
    <row r="2150" spans="5:5" ht="12.75" hidden="1" customHeight="1" x14ac:dyDescent="0.2">
      <c r="E2150" s="219"/>
    </row>
    <row r="2151" spans="5:5" ht="12.75" hidden="1" customHeight="1" x14ac:dyDescent="0.2">
      <c r="E2151" s="219"/>
    </row>
    <row r="2152" spans="5:5" ht="12.75" hidden="1" customHeight="1" x14ac:dyDescent="0.2">
      <c r="E2152" s="219"/>
    </row>
    <row r="2153" spans="5:5" ht="12.75" hidden="1" customHeight="1" x14ac:dyDescent="0.2">
      <c r="E2153" s="219"/>
    </row>
    <row r="2154" spans="5:5" ht="12.75" hidden="1" customHeight="1" x14ac:dyDescent="0.2">
      <c r="E2154" s="219"/>
    </row>
    <row r="2155" spans="5:5" ht="12.75" hidden="1" customHeight="1" x14ac:dyDescent="0.2">
      <c r="E2155" s="219"/>
    </row>
    <row r="2156" spans="5:5" ht="12.75" hidden="1" customHeight="1" x14ac:dyDescent="0.2">
      <c r="E2156" s="219"/>
    </row>
    <row r="2157" spans="5:5" ht="12.75" hidden="1" customHeight="1" x14ac:dyDescent="0.2">
      <c r="E2157" s="219"/>
    </row>
    <row r="2158" spans="5:5" ht="12.75" hidden="1" customHeight="1" x14ac:dyDescent="0.2">
      <c r="E2158" s="219"/>
    </row>
    <row r="2159" spans="5:5" ht="12.75" hidden="1" customHeight="1" x14ac:dyDescent="0.2">
      <c r="E2159" s="219"/>
    </row>
    <row r="2160" spans="5:5" ht="12.75" hidden="1" customHeight="1" x14ac:dyDescent="0.2">
      <c r="E2160" s="219"/>
    </row>
    <row r="2161" spans="5:5" ht="12.75" hidden="1" customHeight="1" x14ac:dyDescent="0.2">
      <c r="E2161" s="219"/>
    </row>
    <row r="2162" spans="5:5" ht="12.75" hidden="1" customHeight="1" x14ac:dyDescent="0.2">
      <c r="E2162" s="219"/>
    </row>
    <row r="2163" spans="5:5" ht="12.75" hidden="1" customHeight="1" x14ac:dyDescent="0.2">
      <c r="E2163" s="219"/>
    </row>
    <row r="2164" spans="5:5" ht="12.75" hidden="1" customHeight="1" x14ac:dyDescent="0.2">
      <c r="E2164" s="219"/>
    </row>
    <row r="2165" spans="5:5" ht="12.75" hidden="1" customHeight="1" x14ac:dyDescent="0.2">
      <c r="E2165" s="219"/>
    </row>
    <row r="2166" spans="5:5" ht="12.75" hidden="1" customHeight="1" x14ac:dyDescent="0.2">
      <c r="E2166" s="219"/>
    </row>
    <row r="2167" spans="5:5" ht="12.75" hidden="1" customHeight="1" x14ac:dyDescent="0.2">
      <c r="E2167" s="219"/>
    </row>
    <row r="2168" spans="5:5" ht="12.75" hidden="1" customHeight="1" x14ac:dyDescent="0.2">
      <c r="E2168" s="219"/>
    </row>
    <row r="2169" spans="5:5" ht="12.75" hidden="1" customHeight="1" x14ac:dyDescent="0.2">
      <c r="E2169" s="219"/>
    </row>
    <row r="2170" spans="5:5" ht="12.75" hidden="1" customHeight="1" x14ac:dyDescent="0.2">
      <c r="E2170" s="219"/>
    </row>
    <row r="2171" spans="5:5" ht="12.75" hidden="1" customHeight="1" x14ac:dyDescent="0.2">
      <c r="E2171" s="219"/>
    </row>
    <row r="2172" spans="5:5" ht="12.75" hidden="1" customHeight="1" x14ac:dyDescent="0.2">
      <c r="E2172" s="219"/>
    </row>
    <row r="2173" spans="5:5" ht="12.75" hidden="1" customHeight="1" x14ac:dyDescent="0.2">
      <c r="E2173" s="219"/>
    </row>
    <row r="2174" spans="5:5" ht="12.75" hidden="1" customHeight="1" x14ac:dyDescent="0.2">
      <c r="E2174" s="219"/>
    </row>
    <row r="2175" spans="5:5" ht="12.75" hidden="1" customHeight="1" x14ac:dyDescent="0.2">
      <c r="E2175" s="219"/>
    </row>
    <row r="2176" spans="5:5" ht="12.75" hidden="1" customHeight="1" x14ac:dyDescent="0.2">
      <c r="E2176" s="219"/>
    </row>
    <row r="2177" spans="5:5" ht="12.75" hidden="1" customHeight="1" x14ac:dyDescent="0.2">
      <c r="E2177" s="219"/>
    </row>
    <row r="2178" spans="5:5" ht="12.75" hidden="1" customHeight="1" x14ac:dyDescent="0.2">
      <c r="E2178" s="219"/>
    </row>
    <row r="2179" spans="5:5" ht="12.75" hidden="1" customHeight="1" x14ac:dyDescent="0.2">
      <c r="E2179" s="219"/>
    </row>
    <row r="2180" spans="5:5" ht="12.75" hidden="1" customHeight="1" x14ac:dyDescent="0.2">
      <c r="E2180" s="219"/>
    </row>
    <row r="2181" spans="5:5" ht="12.75" hidden="1" customHeight="1" x14ac:dyDescent="0.2">
      <c r="E2181" s="219"/>
    </row>
    <row r="2182" spans="5:5" ht="12.75" hidden="1" customHeight="1" x14ac:dyDescent="0.2">
      <c r="E2182" s="219"/>
    </row>
    <row r="2183" spans="5:5" ht="12.75" hidden="1" customHeight="1" x14ac:dyDescent="0.2">
      <c r="E2183" s="219"/>
    </row>
    <row r="2184" spans="5:5" ht="12.75" hidden="1" customHeight="1" x14ac:dyDescent="0.2">
      <c r="E2184" s="219"/>
    </row>
    <row r="2185" spans="5:5" ht="12.75" hidden="1" customHeight="1" x14ac:dyDescent="0.2">
      <c r="E2185" s="219"/>
    </row>
    <row r="2186" spans="5:5" ht="12.75" hidden="1" customHeight="1" x14ac:dyDescent="0.2">
      <c r="E2186" s="219"/>
    </row>
    <row r="2187" spans="5:5" ht="12.75" hidden="1" customHeight="1" x14ac:dyDescent="0.2">
      <c r="E2187" s="219"/>
    </row>
    <row r="2188" spans="5:5" ht="12.75" hidden="1" customHeight="1" x14ac:dyDescent="0.2">
      <c r="E2188" s="219"/>
    </row>
    <row r="2189" spans="5:5" ht="12.75" hidden="1" customHeight="1" x14ac:dyDescent="0.2">
      <c r="E2189" s="219"/>
    </row>
    <row r="2190" spans="5:5" ht="12.75" hidden="1" customHeight="1" x14ac:dyDescent="0.2">
      <c r="E2190" s="219"/>
    </row>
    <row r="2191" spans="5:5" ht="12.75" hidden="1" customHeight="1" x14ac:dyDescent="0.2">
      <c r="E2191" s="219"/>
    </row>
    <row r="2192" spans="5:5" ht="12.75" hidden="1" customHeight="1" x14ac:dyDescent="0.2">
      <c r="E2192" s="219"/>
    </row>
    <row r="2193" spans="5:5" ht="12.75" hidden="1" customHeight="1" x14ac:dyDescent="0.2">
      <c r="E2193" s="219"/>
    </row>
    <row r="2194" spans="5:5" ht="12.75" hidden="1" customHeight="1" x14ac:dyDescent="0.2">
      <c r="E2194" s="219"/>
    </row>
    <row r="2195" spans="5:5" ht="12.75" hidden="1" customHeight="1" x14ac:dyDescent="0.2">
      <c r="E2195" s="219"/>
    </row>
    <row r="2196" spans="5:5" ht="12.75" hidden="1" customHeight="1" x14ac:dyDescent="0.2">
      <c r="E2196" s="219"/>
    </row>
    <row r="2197" spans="5:5" ht="12.75" hidden="1" customHeight="1" x14ac:dyDescent="0.2">
      <c r="E2197" s="219"/>
    </row>
    <row r="2198" spans="5:5" ht="12.75" hidden="1" customHeight="1" x14ac:dyDescent="0.2">
      <c r="E2198" s="219"/>
    </row>
    <row r="2199" spans="5:5" ht="12.75" hidden="1" customHeight="1" x14ac:dyDescent="0.2">
      <c r="E2199" s="219"/>
    </row>
    <row r="2200" spans="5:5" ht="12.75" hidden="1" customHeight="1" x14ac:dyDescent="0.2">
      <c r="E2200" s="219"/>
    </row>
    <row r="2201" spans="5:5" ht="12.75" hidden="1" customHeight="1" x14ac:dyDescent="0.2">
      <c r="E2201" s="219"/>
    </row>
    <row r="2202" spans="5:5" ht="12.75" hidden="1" customHeight="1" x14ac:dyDescent="0.2">
      <c r="E2202" s="219"/>
    </row>
    <row r="2203" spans="5:5" ht="12.75" hidden="1" customHeight="1" x14ac:dyDescent="0.2">
      <c r="E2203" s="219"/>
    </row>
    <row r="2204" spans="5:5" ht="12.75" hidden="1" customHeight="1" x14ac:dyDescent="0.2">
      <c r="E2204" s="219"/>
    </row>
    <row r="2205" spans="5:5" ht="12.75" hidden="1" customHeight="1" x14ac:dyDescent="0.2">
      <c r="E2205" s="219"/>
    </row>
    <row r="2206" spans="5:5" ht="12.75" hidden="1" customHeight="1" x14ac:dyDescent="0.2">
      <c r="E2206" s="219"/>
    </row>
    <row r="2207" spans="5:5" ht="12.75" hidden="1" customHeight="1" x14ac:dyDescent="0.2">
      <c r="E2207" s="219"/>
    </row>
    <row r="2208" spans="5:5" ht="12.75" hidden="1" customHeight="1" x14ac:dyDescent="0.2">
      <c r="E2208" s="219"/>
    </row>
    <row r="2209" spans="5:5" ht="12.75" hidden="1" customHeight="1" x14ac:dyDescent="0.2">
      <c r="E2209" s="219"/>
    </row>
    <row r="2210" spans="5:5" ht="12.75" hidden="1" customHeight="1" x14ac:dyDescent="0.2">
      <c r="E2210" s="219"/>
    </row>
    <row r="2211" spans="5:5" ht="12.75" hidden="1" customHeight="1" x14ac:dyDescent="0.2">
      <c r="E2211" s="219"/>
    </row>
    <row r="2212" spans="5:5" ht="12.75" hidden="1" customHeight="1" x14ac:dyDescent="0.2">
      <c r="E2212" s="219"/>
    </row>
    <row r="2213" spans="5:5" ht="12.75" hidden="1" customHeight="1" x14ac:dyDescent="0.2">
      <c r="E2213" s="219"/>
    </row>
    <row r="2214" spans="5:5" ht="12.75" hidden="1" customHeight="1" x14ac:dyDescent="0.2">
      <c r="E2214" s="219"/>
    </row>
    <row r="2215" spans="5:5" ht="12.75" hidden="1" customHeight="1" x14ac:dyDescent="0.2">
      <c r="E2215" s="219"/>
    </row>
    <row r="2216" spans="5:5" ht="12.75" hidden="1" customHeight="1" x14ac:dyDescent="0.2">
      <c r="E2216" s="219"/>
    </row>
    <row r="2217" spans="5:5" ht="12.75" hidden="1" customHeight="1" x14ac:dyDescent="0.2">
      <c r="E2217" s="219"/>
    </row>
    <row r="2218" spans="5:5" ht="12.75" hidden="1" customHeight="1" x14ac:dyDescent="0.2">
      <c r="E2218" s="219"/>
    </row>
    <row r="2219" spans="5:5" ht="12.75" hidden="1" customHeight="1" x14ac:dyDescent="0.2">
      <c r="E2219" s="219"/>
    </row>
    <row r="2220" spans="5:5" ht="12.75" hidden="1" customHeight="1" x14ac:dyDescent="0.2">
      <c r="E2220" s="219"/>
    </row>
    <row r="2221" spans="5:5" ht="12.75" hidden="1" customHeight="1" x14ac:dyDescent="0.2">
      <c r="E2221" s="219"/>
    </row>
    <row r="2222" spans="5:5" ht="12.75" hidden="1" customHeight="1" x14ac:dyDescent="0.2">
      <c r="E2222" s="219"/>
    </row>
    <row r="2223" spans="5:5" ht="12.75" hidden="1" customHeight="1" x14ac:dyDescent="0.2">
      <c r="E2223" s="219"/>
    </row>
    <row r="2224" spans="5:5" ht="12.75" hidden="1" customHeight="1" x14ac:dyDescent="0.2">
      <c r="E2224" s="219"/>
    </row>
    <row r="2225" spans="5:5" ht="12.75" hidden="1" customHeight="1" x14ac:dyDescent="0.2">
      <c r="E2225" s="219"/>
    </row>
    <row r="2226" spans="5:5" ht="12.75" hidden="1" customHeight="1" x14ac:dyDescent="0.2">
      <c r="E2226" s="219"/>
    </row>
    <row r="2227" spans="5:5" ht="12.75" hidden="1" customHeight="1" x14ac:dyDescent="0.2">
      <c r="E2227" s="219"/>
    </row>
    <row r="2228" spans="5:5" ht="12.75" hidden="1" customHeight="1" x14ac:dyDescent="0.2">
      <c r="E2228" s="219"/>
    </row>
    <row r="2229" spans="5:5" ht="12.75" hidden="1" customHeight="1" x14ac:dyDescent="0.2">
      <c r="E2229" s="219"/>
    </row>
    <row r="2230" spans="5:5" ht="12.75" hidden="1" customHeight="1" x14ac:dyDescent="0.2">
      <c r="E2230" s="219"/>
    </row>
    <row r="2231" spans="5:5" ht="12.75" hidden="1" customHeight="1" x14ac:dyDescent="0.2">
      <c r="E2231" s="219"/>
    </row>
    <row r="2232" spans="5:5" ht="12.75" hidden="1" customHeight="1" x14ac:dyDescent="0.2">
      <c r="E2232" s="219"/>
    </row>
    <row r="2233" spans="5:5" ht="12.75" hidden="1" customHeight="1" x14ac:dyDescent="0.2">
      <c r="E2233" s="219"/>
    </row>
    <row r="2234" spans="5:5" ht="12.75" hidden="1" customHeight="1" x14ac:dyDescent="0.2">
      <c r="E2234" s="219"/>
    </row>
    <row r="2235" spans="5:5" ht="12.75" hidden="1" customHeight="1" x14ac:dyDescent="0.2">
      <c r="E2235" s="219"/>
    </row>
    <row r="2236" spans="5:5" ht="12.75" hidden="1" customHeight="1" x14ac:dyDescent="0.2">
      <c r="E2236" s="219"/>
    </row>
    <row r="2237" spans="5:5" ht="12.75" hidden="1" customHeight="1" x14ac:dyDescent="0.2">
      <c r="E2237" s="219"/>
    </row>
    <row r="2238" spans="5:5" ht="12.75" hidden="1" customHeight="1" x14ac:dyDescent="0.2">
      <c r="E2238" s="219"/>
    </row>
    <row r="2239" spans="5:5" ht="12.75" hidden="1" customHeight="1" x14ac:dyDescent="0.2">
      <c r="E2239" s="219"/>
    </row>
    <row r="2240" spans="5:5" ht="12.75" hidden="1" customHeight="1" x14ac:dyDescent="0.2">
      <c r="E2240" s="219"/>
    </row>
    <row r="2241" spans="5:5" ht="12.75" hidden="1" customHeight="1" x14ac:dyDescent="0.2">
      <c r="E2241" s="219"/>
    </row>
    <row r="2242" spans="5:5" ht="12.75" hidden="1" customHeight="1" x14ac:dyDescent="0.2">
      <c r="E2242" s="219"/>
    </row>
    <row r="2243" spans="5:5" ht="12.75" hidden="1" customHeight="1" x14ac:dyDescent="0.2">
      <c r="E2243" s="219"/>
    </row>
    <row r="2244" spans="5:5" ht="12.75" hidden="1" customHeight="1" x14ac:dyDescent="0.2">
      <c r="E2244" s="219"/>
    </row>
    <row r="2245" spans="5:5" ht="12.75" hidden="1" customHeight="1" x14ac:dyDescent="0.2">
      <c r="E2245" s="219"/>
    </row>
    <row r="2246" spans="5:5" ht="12.75" hidden="1" customHeight="1" x14ac:dyDescent="0.2">
      <c r="E2246" s="219"/>
    </row>
    <row r="2247" spans="5:5" ht="12.75" hidden="1" customHeight="1" x14ac:dyDescent="0.2">
      <c r="E2247" s="219"/>
    </row>
    <row r="2248" spans="5:5" ht="12.75" hidden="1" customHeight="1" x14ac:dyDescent="0.2">
      <c r="E2248" s="219"/>
    </row>
    <row r="2249" spans="5:5" ht="12.75" hidden="1" customHeight="1" x14ac:dyDescent="0.2">
      <c r="E2249" s="219"/>
    </row>
    <row r="2250" spans="5:5" ht="12.75" hidden="1" customHeight="1" x14ac:dyDescent="0.2">
      <c r="E2250" s="219"/>
    </row>
    <row r="2251" spans="5:5" ht="12.75" hidden="1" customHeight="1" x14ac:dyDescent="0.2">
      <c r="E2251" s="219"/>
    </row>
    <row r="2252" spans="5:5" ht="12.75" hidden="1" customHeight="1" x14ac:dyDescent="0.2">
      <c r="E2252" s="219"/>
    </row>
    <row r="2253" spans="5:5" ht="12.75" hidden="1" customHeight="1" x14ac:dyDescent="0.2">
      <c r="E2253" s="219"/>
    </row>
    <row r="2254" spans="5:5" ht="12.75" hidden="1" customHeight="1" x14ac:dyDescent="0.2">
      <c r="E2254" s="219"/>
    </row>
    <row r="2255" spans="5:5" ht="12.75" hidden="1" customHeight="1" x14ac:dyDescent="0.2">
      <c r="E2255" s="219"/>
    </row>
    <row r="2256" spans="5:5" ht="12.75" hidden="1" customHeight="1" x14ac:dyDescent="0.2">
      <c r="E2256" s="219"/>
    </row>
    <row r="2257" spans="5:5" ht="12.75" hidden="1" customHeight="1" x14ac:dyDescent="0.2">
      <c r="E2257" s="219"/>
    </row>
    <row r="2258" spans="5:5" ht="12.75" hidden="1" customHeight="1" x14ac:dyDescent="0.2">
      <c r="E2258" s="219"/>
    </row>
    <row r="2259" spans="5:5" ht="12.75" hidden="1" customHeight="1" x14ac:dyDescent="0.2">
      <c r="E2259" s="219"/>
    </row>
    <row r="2260" spans="5:5" ht="12.75" hidden="1" customHeight="1" x14ac:dyDescent="0.2">
      <c r="E2260" s="219"/>
    </row>
    <row r="2261" spans="5:5" ht="12.75" hidden="1" customHeight="1" x14ac:dyDescent="0.2">
      <c r="E2261" s="219"/>
    </row>
    <row r="2262" spans="5:5" ht="12.75" hidden="1" customHeight="1" x14ac:dyDescent="0.2">
      <c r="E2262" s="219"/>
    </row>
    <row r="2263" spans="5:5" ht="12.75" hidden="1" customHeight="1" x14ac:dyDescent="0.2">
      <c r="E2263" s="219"/>
    </row>
    <row r="2264" spans="5:5" ht="12.75" hidden="1" customHeight="1" x14ac:dyDescent="0.2">
      <c r="E2264" s="219"/>
    </row>
    <row r="2265" spans="5:5" ht="12.75" hidden="1" customHeight="1" x14ac:dyDescent="0.2">
      <c r="E2265" s="219"/>
    </row>
    <row r="2266" spans="5:5" ht="12.75" hidden="1" customHeight="1" x14ac:dyDescent="0.2">
      <c r="E2266" s="219"/>
    </row>
    <row r="2267" spans="5:5" ht="12.75" hidden="1" customHeight="1" x14ac:dyDescent="0.2">
      <c r="E2267" s="219"/>
    </row>
    <row r="2268" spans="5:5" ht="12.75" hidden="1" customHeight="1" x14ac:dyDescent="0.2">
      <c r="E2268" s="219"/>
    </row>
    <row r="2269" spans="5:5" ht="12.75" hidden="1" customHeight="1" x14ac:dyDescent="0.2">
      <c r="E2269" s="219"/>
    </row>
    <row r="2270" spans="5:5" ht="12.75" hidden="1" customHeight="1" x14ac:dyDescent="0.2">
      <c r="E2270" s="219"/>
    </row>
    <row r="2271" spans="5:5" ht="12.75" hidden="1" customHeight="1" x14ac:dyDescent="0.2">
      <c r="E2271" s="219"/>
    </row>
    <row r="2272" spans="5:5" ht="12.75" hidden="1" customHeight="1" x14ac:dyDescent="0.2">
      <c r="E2272" s="219"/>
    </row>
    <row r="2273" spans="5:5" ht="12.75" hidden="1" customHeight="1" x14ac:dyDescent="0.2">
      <c r="E2273" s="219"/>
    </row>
    <row r="2274" spans="5:5" ht="12.75" hidden="1" customHeight="1" x14ac:dyDescent="0.2">
      <c r="E2274" s="219"/>
    </row>
    <row r="2275" spans="5:5" ht="12.75" hidden="1" customHeight="1" x14ac:dyDescent="0.2">
      <c r="E2275" s="219"/>
    </row>
    <row r="2276" spans="5:5" ht="12.75" hidden="1" customHeight="1" x14ac:dyDescent="0.2">
      <c r="E2276" s="219"/>
    </row>
    <row r="2277" spans="5:5" ht="12.75" hidden="1" customHeight="1" x14ac:dyDescent="0.2">
      <c r="E2277" s="219"/>
    </row>
    <row r="2278" spans="5:5" ht="12.75" hidden="1" customHeight="1" x14ac:dyDescent="0.2">
      <c r="E2278" s="219"/>
    </row>
    <row r="2279" spans="5:5" ht="12.75" hidden="1" customHeight="1" x14ac:dyDescent="0.2">
      <c r="E2279" s="219"/>
    </row>
    <row r="2280" spans="5:5" ht="12.75" hidden="1" customHeight="1" x14ac:dyDescent="0.2">
      <c r="E2280" s="219"/>
    </row>
    <row r="2281" spans="5:5" ht="12.75" hidden="1" customHeight="1" x14ac:dyDescent="0.2">
      <c r="E2281" s="219"/>
    </row>
    <row r="2282" spans="5:5" ht="12.75" hidden="1" customHeight="1" x14ac:dyDescent="0.2">
      <c r="E2282" s="219"/>
    </row>
    <row r="2283" spans="5:5" ht="12.75" hidden="1" customHeight="1" x14ac:dyDescent="0.2">
      <c r="E2283" s="219"/>
    </row>
    <row r="2284" spans="5:5" ht="12.75" hidden="1" customHeight="1" x14ac:dyDescent="0.2">
      <c r="E2284" s="219"/>
    </row>
    <row r="2285" spans="5:5" ht="12.75" hidden="1" customHeight="1" x14ac:dyDescent="0.2">
      <c r="E2285" s="219"/>
    </row>
    <row r="2286" spans="5:5" ht="12.75" hidden="1" customHeight="1" x14ac:dyDescent="0.2">
      <c r="E2286" s="219"/>
    </row>
    <row r="2287" spans="5:5" ht="12.75" hidden="1" customHeight="1" x14ac:dyDescent="0.2">
      <c r="E2287" s="219"/>
    </row>
    <row r="2288" spans="5:5" ht="12.75" hidden="1" customHeight="1" x14ac:dyDescent="0.2">
      <c r="E2288" s="219"/>
    </row>
    <row r="2289" spans="5:5" ht="12.75" hidden="1" customHeight="1" x14ac:dyDescent="0.2">
      <c r="E2289" s="219"/>
    </row>
    <row r="2290" spans="5:5" ht="12.75" hidden="1" customHeight="1" x14ac:dyDescent="0.2">
      <c r="E2290" s="219"/>
    </row>
    <row r="2291" spans="5:5" ht="12.75" hidden="1" customHeight="1" x14ac:dyDescent="0.2">
      <c r="E2291" s="219"/>
    </row>
    <row r="2292" spans="5:5" ht="12.75" hidden="1" customHeight="1" x14ac:dyDescent="0.2">
      <c r="E2292" s="219"/>
    </row>
    <row r="2293" spans="5:5" ht="12.75" hidden="1" customHeight="1" x14ac:dyDescent="0.2">
      <c r="E2293" s="219"/>
    </row>
    <row r="2294" spans="5:5" ht="12.75" hidden="1" customHeight="1" x14ac:dyDescent="0.2">
      <c r="E2294" s="219"/>
    </row>
    <row r="2295" spans="5:5" ht="12.75" hidden="1" customHeight="1" x14ac:dyDescent="0.2">
      <c r="E2295" s="219"/>
    </row>
    <row r="2296" spans="5:5" ht="12.75" hidden="1" customHeight="1" x14ac:dyDescent="0.2">
      <c r="E2296" s="219"/>
    </row>
    <row r="2297" spans="5:5" ht="12.75" hidden="1" customHeight="1" x14ac:dyDescent="0.2">
      <c r="E2297" s="219"/>
    </row>
    <row r="2298" spans="5:5" ht="12.75" hidden="1" customHeight="1" x14ac:dyDescent="0.2">
      <c r="E2298" s="219"/>
    </row>
    <row r="2299" spans="5:5" ht="12.75" hidden="1" customHeight="1" x14ac:dyDescent="0.2">
      <c r="E2299" s="219"/>
    </row>
    <row r="2300" spans="5:5" ht="12.75" hidden="1" customHeight="1" x14ac:dyDescent="0.2">
      <c r="E2300" s="219"/>
    </row>
    <row r="2301" spans="5:5" ht="12.75" hidden="1" customHeight="1" x14ac:dyDescent="0.2">
      <c r="E2301" s="219"/>
    </row>
    <row r="2302" spans="5:5" ht="12.75" hidden="1" customHeight="1" x14ac:dyDescent="0.2">
      <c r="E2302" s="219"/>
    </row>
    <row r="2303" spans="5:5" ht="12.75" hidden="1" customHeight="1" x14ac:dyDescent="0.2">
      <c r="E2303" s="219"/>
    </row>
    <row r="2304" spans="5:5" ht="12.75" hidden="1" customHeight="1" x14ac:dyDescent="0.2">
      <c r="E2304" s="219"/>
    </row>
    <row r="2305" spans="5:5" ht="12.75" hidden="1" customHeight="1" x14ac:dyDescent="0.2">
      <c r="E2305" s="219"/>
    </row>
    <row r="2306" spans="5:5" ht="12.75" hidden="1" customHeight="1" x14ac:dyDescent="0.2">
      <c r="E2306" s="219"/>
    </row>
    <row r="2307" spans="5:5" ht="12.75" hidden="1" customHeight="1" x14ac:dyDescent="0.2">
      <c r="E2307" s="219"/>
    </row>
    <row r="2308" spans="5:5" ht="12.75" hidden="1" customHeight="1" x14ac:dyDescent="0.2">
      <c r="E2308" s="219"/>
    </row>
    <row r="2309" spans="5:5" ht="12.75" hidden="1" customHeight="1" x14ac:dyDescent="0.2">
      <c r="E2309" s="219"/>
    </row>
    <row r="2310" spans="5:5" ht="12.75" hidden="1" customHeight="1" x14ac:dyDescent="0.2">
      <c r="E2310" s="219"/>
    </row>
    <row r="2311" spans="5:5" ht="12.75" hidden="1" customHeight="1" x14ac:dyDescent="0.2">
      <c r="E2311" s="219"/>
    </row>
    <row r="2312" spans="5:5" ht="12.75" hidden="1" customHeight="1" x14ac:dyDescent="0.2">
      <c r="E2312" s="219"/>
    </row>
    <row r="2313" spans="5:5" ht="12.75" hidden="1" customHeight="1" x14ac:dyDescent="0.2">
      <c r="E2313" s="219"/>
    </row>
    <row r="2314" spans="5:5" ht="12.75" hidden="1" customHeight="1" x14ac:dyDescent="0.2">
      <c r="E2314" s="219"/>
    </row>
    <row r="2315" spans="5:5" ht="12.75" hidden="1" customHeight="1" x14ac:dyDescent="0.2">
      <c r="E2315" s="219"/>
    </row>
    <row r="2316" spans="5:5" ht="12.75" hidden="1" customHeight="1" x14ac:dyDescent="0.2">
      <c r="E2316" s="219"/>
    </row>
    <row r="2317" spans="5:5" ht="12.75" hidden="1" customHeight="1" x14ac:dyDescent="0.2">
      <c r="E2317" s="219"/>
    </row>
    <row r="2318" spans="5:5" ht="12.75" hidden="1" customHeight="1" x14ac:dyDescent="0.2">
      <c r="E2318" s="219"/>
    </row>
    <row r="2319" spans="5:5" ht="12.75" hidden="1" customHeight="1" x14ac:dyDescent="0.2">
      <c r="E2319" s="219"/>
    </row>
    <row r="2320" spans="5:5" ht="12.75" hidden="1" customHeight="1" x14ac:dyDescent="0.2">
      <c r="E2320" s="219"/>
    </row>
    <row r="2321" spans="5:5" ht="12.75" hidden="1" customHeight="1" x14ac:dyDescent="0.2">
      <c r="E2321" s="219"/>
    </row>
    <row r="2322" spans="5:5" ht="12.75" hidden="1" customHeight="1" x14ac:dyDescent="0.2">
      <c r="E2322" s="219"/>
    </row>
    <row r="2323" spans="5:5" ht="12.75" hidden="1" customHeight="1" x14ac:dyDescent="0.2">
      <c r="E2323" s="219"/>
    </row>
    <row r="2324" spans="5:5" ht="12.75" hidden="1" customHeight="1" x14ac:dyDescent="0.2">
      <c r="E2324" s="219"/>
    </row>
    <row r="2325" spans="5:5" ht="12.75" hidden="1" customHeight="1" x14ac:dyDescent="0.2">
      <c r="E2325" s="219"/>
    </row>
    <row r="2326" spans="5:5" ht="12.75" hidden="1" customHeight="1" x14ac:dyDescent="0.2">
      <c r="E2326" s="219"/>
    </row>
    <row r="2327" spans="5:5" ht="12.75" hidden="1" customHeight="1" x14ac:dyDescent="0.2">
      <c r="E2327" s="219"/>
    </row>
    <row r="2328" spans="5:5" ht="12.75" hidden="1" customHeight="1" x14ac:dyDescent="0.2">
      <c r="E2328" s="219"/>
    </row>
    <row r="2329" spans="5:5" ht="12.75" hidden="1" customHeight="1" x14ac:dyDescent="0.2">
      <c r="E2329" s="219"/>
    </row>
    <row r="2330" spans="5:5" ht="12.75" hidden="1" customHeight="1" x14ac:dyDescent="0.2">
      <c r="E2330" s="219"/>
    </row>
    <row r="2331" spans="5:5" ht="12.75" hidden="1" customHeight="1" x14ac:dyDescent="0.2">
      <c r="E2331" s="219"/>
    </row>
    <row r="2332" spans="5:5" ht="12.75" hidden="1" customHeight="1" x14ac:dyDescent="0.2">
      <c r="E2332" s="219"/>
    </row>
    <row r="2333" spans="5:5" ht="12.75" hidden="1" customHeight="1" x14ac:dyDescent="0.2">
      <c r="E2333" s="219"/>
    </row>
    <row r="2334" spans="5:5" ht="12.75" hidden="1" customHeight="1" x14ac:dyDescent="0.2">
      <c r="E2334" s="219"/>
    </row>
    <row r="2335" spans="5:5" ht="12.75" hidden="1" customHeight="1" x14ac:dyDescent="0.2">
      <c r="E2335" s="219"/>
    </row>
    <row r="2336" spans="5:5" ht="12.75" hidden="1" customHeight="1" x14ac:dyDescent="0.2">
      <c r="E2336" s="219"/>
    </row>
    <row r="2337" spans="5:5" ht="12.75" hidden="1" customHeight="1" x14ac:dyDescent="0.2">
      <c r="E2337" s="219"/>
    </row>
    <row r="2338" spans="5:5" ht="12.75" hidden="1" customHeight="1" x14ac:dyDescent="0.2">
      <c r="E2338" s="219"/>
    </row>
    <row r="2339" spans="5:5" ht="12.75" hidden="1" customHeight="1" x14ac:dyDescent="0.2">
      <c r="E2339" s="219"/>
    </row>
    <row r="2340" spans="5:5" ht="12.75" hidden="1" customHeight="1" x14ac:dyDescent="0.2">
      <c r="E2340" s="219"/>
    </row>
    <row r="2341" spans="5:5" ht="12.75" hidden="1" customHeight="1" x14ac:dyDescent="0.2">
      <c r="E2341" s="219"/>
    </row>
    <row r="2342" spans="5:5" ht="12.75" hidden="1" customHeight="1" x14ac:dyDescent="0.2">
      <c r="E2342" s="219"/>
    </row>
    <row r="2343" spans="5:5" ht="12.75" hidden="1" customHeight="1" x14ac:dyDescent="0.2">
      <c r="E2343" s="219"/>
    </row>
    <row r="2344" spans="5:5" ht="12.75" hidden="1" customHeight="1" x14ac:dyDescent="0.2">
      <c r="E2344" s="219"/>
    </row>
    <row r="2345" spans="5:5" ht="12.75" hidden="1" customHeight="1" x14ac:dyDescent="0.2">
      <c r="E2345" s="219"/>
    </row>
    <row r="2346" spans="5:5" ht="12.75" hidden="1" customHeight="1" x14ac:dyDescent="0.2">
      <c r="E2346" s="219"/>
    </row>
    <row r="2347" spans="5:5" ht="12.75" hidden="1" customHeight="1" x14ac:dyDescent="0.2">
      <c r="E2347" s="219"/>
    </row>
    <row r="2348" spans="5:5" ht="12.75" hidden="1" customHeight="1" x14ac:dyDescent="0.2">
      <c r="E2348" s="219"/>
    </row>
    <row r="2349" spans="5:5" ht="12.75" hidden="1" customHeight="1" x14ac:dyDescent="0.2">
      <c r="E2349" s="219"/>
    </row>
    <row r="2350" spans="5:5" ht="12.75" hidden="1" customHeight="1" x14ac:dyDescent="0.2">
      <c r="E2350" s="219"/>
    </row>
    <row r="2351" spans="5:5" ht="12.75" hidden="1" customHeight="1" x14ac:dyDescent="0.2">
      <c r="E2351" s="219"/>
    </row>
    <row r="2352" spans="5:5" ht="12.75" hidden="1" customHeight="1" x14ac:dyDescent="0.2">
      <c r="E2352" s="219"/>
    </row>
    <row r="2353" spans="5:5" ht="12.75" hidden="1" customHeight="1" x14ac:dyDescent="0.2">
      <c r="E2353" s="219"/>
    </row>
    <row r="2354" spans="5:5" ht="12.75" hidden="1" customHeight="1" x14ac:dyDescent="0.2">
      <c r="E2354" s="219"/>
    </row>
    <row r="2355" spans="5:5" ht="12.75" hidden="1" customHeight="1" x14ac:dyDescent="0.2">
      <c r="E2355" s="219"/>
    </row>
    <row r="2356" spans="5:5" ht="12.75" hidden="1" customHeight="1" x14ac:dyDescent="0.2">
      <c r="E2356" s="219"/>
    </row>
    <row r="2357" spans="5:5" ht="12.75" hidden="1" customHeight="1" x14ac:dyDescent="0.2">
      <c r="E2357" s="219"/>
    </row>
    <row r="2358" spans="5:5" ht="12.75" hidden="1" customHeight="1" x14ac:dyDescent="0.2">
      <c r="E2358" s="219"/>
    </row>
    <row r="2359" spans="5:5" ht="12.75" hidden="1" customHeight="1" x14ac:dyDescent="0.2">
      <c r="E2359" s="219"/>
    </row>
    <row r="2360" spans="5:5" ht="12.75" hidden="1" customHeight="1" x14ac:dyDescent="0.2">
      <c r="E2360" s="219"/>
    </row>
    <row r="2361" spans="5:5" ht="12.75" hidden="1" customHeight="1" x14ac:dyDescent="0.2">
      <c r="E2361" s="219"/>
    </row>
    <row r="2362" spans="5:5" ht="12.75" hidden="1" customHeight="1" x14ac:dyDescent="0.2">
      <c r="E2362" s="219"/>
    </row>
    <row r="2363" spans="5:5" ht="12.75" hidden="1" customHeight="1" x14ac:dyDescent="0.2">
      <c r="E2363" s="219"/>
    </row>
    <row r="2364" spans="5:5" ht="12.75" hidden="1" customHeight="1" x14ac:dyDescent="0.2">
      <c r="E2364" s="219"/>
    </row>
    <row r="2365" spans="5:5" ht="12.75" hidden="1" customHeight="1" x14ac:dyDescent="0.2">
      <c r="E2365" s="219"/>
    </row>
    <row r="2366" spans="5:5" ht="12.75" hidden="1" customHeight="1" x14ac:dyDescent="0.2">
      <c r="E2366" s="219"/>
    </row>
    <row r="2367" spans="5:5" ht="12.75" hidden="1" customHeight="1" x14ac:dyDescent="0.2">
      <c r="E2367" s="219"/>
    </row>
    <row r="2368" spans="5:5" ht="12.75" hidden="1" customHeight="1" x14ac:dyDescent="0.2">
      <c r="E2368" s="219"/>
    </row>
    <row r="2369" spans="5:5" ht="12.75" hidden="1" customHeight="1" x14ac:dyDescent="0.2">
      <c r="E2369" s="219"/>
    </row>
    <row r="2370" spans="5:5" ht="12.75" hidden="1" customHeight="1" x14ac:dyDescent="0.2">
      <c r="E2370" s="219"/>
    </row>
    <row r="2371" spans="5:5" ht="12.75" hidden="1" customHeight="1" x14ac:dyDescent="0.2">
      <c r="E2371" s="219"/>
    </row>
    <row r="2372" spans="5:5" ht="12.75" hidden="1" customHeight="1" x14ac:dyDescent="0.2">
      <c r="E2372" s="219"/>
    </row>
    <row r="2373" spans="5:5" ht="12.75" hidden="1" customHeight="1" x14ac:dyDescent="0.2">
      <c r="E2373" s="219"/>
    </row>
    <row r="2374" spans="5:5" ht="12.75" hidden="1" customHeight="1" x14ac:dyDescent="0.2">
      <c r="E2374" s="219"/>
    </row>
    <row r="2375" spans="5:5" ht="12.75" hidden="1" customHeight="1" x14ac:dyDescent="0.2">
      <c r="E2375" s="219"/>
    </row>
    <row r="2376" spans="5:5" ht="12.75" hidden="1" customHeight="1" x14ac:dyDescent="0.2">
      <c r="E2376" s="219"/>
    </row>
    <row r="2377" spans="5:5" ht="12.75" hidden="1" customHeight="1" x14ac:dyDescent="0.2">
      <c r="E2377" s="219"/>
    </row>
    <row r="2378" spans="5:5" ht="12.75" hidden="1" customHeight="1" x14ac:dyDescent="0.2">
      <c r="E2378" s="219"/>
    </row>
    <row r="2379" spans="5:5" ht="12.75" hidden="1" customHeight="1" x14ac:dyDescent="0.2">
      <c r="E2379" s="219"/>
    </row>
    <row r="2380" spans="5:5" ht="12.75" hidden="1" customHeight="1" x14ac:dyDescent="0.2">
      <c r="E2380" s="219"/>
    </row>
    <row r="2381" spans="5:5" ht="12.75" hidden="1" customHeight="1" x14ac:dyDescent="0.2">
      <c r="E2381" s="219"/>
    </row>
    <row r="2382" spans="5:5" ht="12.75" hidden="1" customHeight="1" x14ac:dyDescent="0.2">
      <c r="E2382" s="219"/>
    </row>
    <row r="2383" spans="5:5" ht="12.75" hidden="1" customHeight="1" x14ac:dyDescent="0.2">
      <c r="E2383" s="219"/>
    </row>
    <row r="2384" spans="5:5" ht="12.75" hidden="1" customHeight="1" x14ac:dyDescent="0.2">
      <c r="E2384" s="219"/>
    </row>
    <row r="2385" spans="5:5" ht="12.75" hidden="1" customHeight="1" x14ac:dyDescent="0.2">
      <c r="E2385" s="219"/>
    </row>
    <row r="2386" spans="5:5" ht="12.75" hidden="1" customHeight="1" x14ac:dyDescent="0.2">
      <c r="E2386" s="219"/>
    </row>
    <row r="2387" spans="5:5" ht="12.75" hidden="1" customHeight="1" x14ac:dyDescent="0.2">
      <c r="E2387" s="219"/>
    </row>
    <row r="2388" spans="5:5" ht="12.75" hidden="1" customHeight="1" x14ac:dyDescent="0.2">
      <c r="E2388" s="219"/>
    </row>
    <row r="2389" spans="5:5" ht="12.75" hidden="1" customHeight="1" x14ac:dyDescent="0.2">
      <c r="E2389" s="219"/>
    </row>
    <row r="2390" spans="5:5" ht="12.75" hidden="1" customHeight="1" x14ac:dyDescent="0.2">
      <c r="E2390" s="219"/>
    </row>
    <row r="2391" spans="5:5" ht="12.75" hidden="1" customHeight="1" x14ac:dyDescent="0.2">
      <c r="E2391" s="219"/>
    </row>
    <row r="2392" spans="5:5" ht="12.75" hidden="1" customHeight="1" x14ac:dyDescent="0.2">
      <c r="E2392" s="219"/>
    </row>
    <row r="2393" spans="5:5" ht="12.75" hidden="1" customHeight="1" x14ac:dyDescent="0.2">
      <c r="E2393" s="219"/>
    </row>
    <row r="2394" spans="5:5" ht="12.75" hidden="1" customHeight="1" x14ac:dyDescent="0.2">
      <c r="E2394" s="219"/>
    </row>
    <row r="2395" spans="5:5" ht="12.75" hidden="1" customHeight="1" x14ac:dyDescent="0.2">
      <c r="E2395" s="219"/>
    </row>
    <row r="2396" spans="5:5" ht="12.75" hidden="1" customHeight="1" x14ac:dyDescent="0.2">
      <c r="E2396" s="219"/>
    </row>
    <row r="2397" spans="5:5" ht="12.75" hidden="1" customHeight="1" x14ac:dyDescent="0.2">
      <c r="E2397" s="219"/>
    </row>
    <row r="2398" spans="5:5" ht="12.75" hidden="1" customHeight="1" x14ac:dyDescent="0.2">
      <c r="E2398" s="219"/>
    </row>
    <row r="2399" spans="5:5" ht="12.75" hidden="1" customHeight="1" x14ac:dyDescent="0.2">
      <c r="E2399" s="219"/>
    </row>
    <row r="2400" spans="5:5" ht="12.75" hidden="1" customHeight="1" x14ac:dyDescent="0.2">
      <c r="E2400" s="219"/>
    </row>
    <row r="2401" spans="5:5" ht="12.75" hidden="1" customHeight="1" x14ac:dyDescent="0.2">
      <c r="E2401" s="219"/>
    </row>
    <row r="2402" spans="5:5" ht="12.75" hidden="1" customHeight="1" x14ac:dyDescent="0.2">
      <c r="E2402" s="219"/>
    </row>
    <row r="2403" spans="5:5" ht="12.75" hidden="1" customHeight="1" x14ac:dyDescent="0.2">
      <c r="E2403" s="219"/>
    </row>
    <row r="2404" spans="5:5" ht="12.75" hidden="1" customHeight="1" x14ac:dyDescent="0.2">
      <c r="E2404" s="219"/>
    </row>
    <row r="2405" spans="5:5" ht="12.75" hidden="1" customHeight="1" x14ac:dyDescent="0.2">
      <c r="E2405" s="219"/>
    </row>
    <row r="2406" spans="5:5" ht="12.75" hidden="1" customHeight="1" x14ac:dyDescent="0.2">
      <c r="E2406" s="219"/>
    </row>
    <row r="2407" spans="5:5" ht="12.75" hidden="1" customHeight="1" x14ac:dyDescent="0.2">
      <c r="E2407" s="219"/>
    </row>
    <row r="2408" spans="5:5" ht="12.75" hidden="1" customHeight="1" x14ac:dyDescent="0.2">
      <c r="E2408" s="219"/>
    </row>
    <row r="2409" spans="5:5" ht="12.75" hidden="1" customHeight="1" x14ac:dyDescent="0.2">
      <c r="E2409" s="219"/>
    </row>
    <row r="2410" spans="5:5" ht="12.75" hidden="1" customHeight="1" x14ac:dyDescent="0.2">
      <c r="E2410" s="219"/>
    </row>
    <row r="2411" spans="5:5" ht="12.75" hidden="1" customHeight="1" x14ac:dyDescent="0.2">
      <c r="E2411" s="219"/>
    </row>
    <row r="2412" spans="5:5" ht="12.75" hidden="1" customHeight="1" x14ac:dyDescent="0.2">
      <c r="E2412" s="219"/>
    </row>
    <row r="2413" spans="5:5" ht="12.75" hidden="1" customHeight="1" x14ac:dyDescent="0.2">
      <c r="E2413" s="219"/>
    </row>
    <row r="2414" spans="5:5" ht="12.75" hidden="1" customHeight="1" x14ac:dyDescent="0.2">
      <c r="E2414" s="219"/>
    </row>
    <row r="2415" spans="5:5" ht="12.75" hidden="1" customHeight="1" x14ac:dyDescent="0.2">
      <c r="E2415" s="219"/>
    </row>
    <row r="2416" spans="5:5" ht="12.75" hidden="1" customHeight="1" x14ac:dyDescent="0.2">
      <c r="E2416" s="219"/>
    </row>
    <row r="2417" spans="5:5" ht="12.75" hidden="1" customHeight="1" x14ac:dyDescent="0.2">
      <c r="E2417" s="219"/>
    </row>
    <row r="2418" spans="5:5" ht="12.75" hidden="1" customHeight="1" x14ac:dyDescent="0.2">
      <c r="E2418" s="219"/>
    </row>
    <row r="2419" spans="5:5" ht="12.75" hidden="1" customHeight="1" x14ac:dyDescent="0.2">
      <c r="E2419" s="219"/>
    </row>
    <row r="2420" spans="5:5" ht="12.75" hidden="1" customHeight="1" x14ac:dyDescent="0.2">
      <c r="E2420" s="219"/>
    </row>
    <row r="2421" spans="5:5" ht="12.75" hidden="1" customHeight="1" x14ac:dyDescent="0.2">
      <c r="E2421" s="219"/>
    </row>
    <row r="2422" spans="5:5" ht="12.75" hidden="1" customHeight="1" x14ac:dyDescent="0.2">
      <c r="E2422" s="219"/>
    </row>
    <row r="2423" spans="5:5" ht="12.75" hidden="1" customHeight="1" x14ac:dyDescent="0.2">
      <c r="E2423" s="219"/>
    </row>
    <row r="2424" spans="5:5" ht="12.75" hidden="1" customHeight="1" x14ac:dyDescent="0.2">
      <c r="E2424" s="219"/>
    </row>
    <row r="2425" spans="5:5" ht="12.75" hidden="1" customHeight="1" x14ac:dyDescent="0.2">
      <c r="E2425" s="219"/>
    </row>
    <row r="2426" spans="5:5" ht="12.75" hidden="1" customHeight="1" x14ac:dyDescent="0.2">
      <c r="E2426" s="219"/>
    </row>
    <row r="2427" spans="5:5" ht="12.75" hidden="1" customHeight="1" x14ac:dyDescent="0.2">
      <c r="E2427" s="219"/>
    </row>
    <row r="2428" spans="5:5" ht="12.75" hidden="1" customHeight="1" x14ac:dyDescent="0.2">
      <c r="E2428" s="219"/>
    </row>
    <row r="2429" spans="5:5" ht="12.75" hidden="1" customHeight="1" x14ac:dyDescent="0.2">
      <c r="E2429" s="219"/>
    </row>
    <row r="2430" spans="5:5" ht="12.75" hidden="1" customHeight="1" x14ac:dyDescent="0.2">
      <c r="E2430" s="219"/>
    </row>
    <row r="2431" spans="5:5" ht="12.75" hidden="1" customHeight="1" x14ac:dyDescent="0.2">
      <c r="E2431" s="219"/>
    </row>
    <row r="2432" spans="5:5" ht="12.75" hidden="1" customHeight="1" x14ac:dyDescent="0.2">
      <c r="E2432" s="219"/>
    </row>
    <row r="2433" spans="5:5" ht="12.75" hidden="1" customHeight="1" x14ac:dyDescent="0.2">
      <c r="E2433" s="219"/>
    </row>
    <row r="2434" spans="5:5" ht="12.75" hidden="1" customHeight="1" x14ac:dyDescent="0.2">
      <c r="E2434" s="219"/>
    </row>
    <row r="2435" spans="5:5" ht="12.75" hidden="1" customHeight="1" x14ac:dyDescent="0.2">
      <c r="E2435" s="219"/>
    </row>
    <row r="2436" spans="5:5" ht="12.75" hidden="1" customHeight="1" x14ac:dyDescent="0.2">
      <c r="E2436" s="219"/>
    </row>
    <row r="2437" spans="5:5" ht="12.75" hidden="1" customHeight="1" x14ac:dyDescent="0.2">
      <c r="E2437" s="219"/>
    </row>
    <row r="2438" spans="5:5" ht="12.75" hidden="1" customHeight="1" x14ac:dyDescent="0.2">
      <c r="E2438" s="219"/>
    </row>
    <row r="2439" spans="5:5" ht="12.75" hidden="1" customHeight="1" x14ac:dyDescent="0.2">
      <c r="E2439" s="219"/>
    </row>
    <row r="2440" spans="5:5" ht="12.75" hidden="1" customHeight="1" x14ac:dyDescent="0.2">
      <c r="E2440" s="219"/>
    </row>
    <row r="2441" spans="5:5" ht="12.75" hidden="1" customHeight="1" x14ac:dyDescent="0.2">
      <c r="E2441" s="219"/>
    </row>
    <row r="2442" spans="5:5" ht="12.75" hidden="1" customHeight="1" x14ac:dyDescent="0.2">
      <c r="E2442" s="219"/>
    </row>
    <row r="2443" spans="5:5" ht="12.75" hidden="1" customHeight="1" x14ac:dyDescent="0.2">
      <c r="E2443" s="219"/>
    </row>
    <row r="2444" spans="5:5" ht="12.75" hidden="1" customHeight="1" x14ac:dyDescent="0.2">
      <c r="E2444" s="219"/>
    </row>
    <row r="2445" spans="5:5" ht="12.75" hidden="1" customHeight="1" x14ac:dyDescent="0.2">
      <c r="E2445" s="219"/>
    </row>
    <row r="2446" spans="5:5" ht="12.75" hidden="1" customHeight="1" x14ac:dyDescent="0.2">
      <c r="E2446" s="219"/>
    </row>
    <row r="2447" spans="5:5" ht="12.75" hidden="1" customHeight="1" x14ac:dyDescent="0.2">
      <c r="E2447" s="219"/>
    </row>
    <row r="2448" spans="5:5" ht="12.75" hidden="1" customHeight="1" x14ac:dyDescent="0.2">
      <c r="E2448" s="219"/>
    </row>
    <row r="2449" spans="5:5" ht="12.75" hidden="1" customHeight="1" x14ac:dyDescent="0.2">
      <c r="E2449" s="219"/>
    </row>
    <row r="2450" spans="5:5" ht="12.75" hidden="1" customHeight="1" x14ac:dyDescent="0.2">
      <c r="E2450" s="219"/>
    </row>
    <row r="2451" spans="5:5" ht="12.75" hidden="1" customHeight="1" x14ac:dyDescent="0.2">
      <c r="E2451" s="219"/>
    </row>
    <row r="2452" spans="5:5" ht="12.75" hidden="1" customHeight="1" x14ac:dyDescent="0.2">
      <c r="E2452" s="219"/>
    </row>
    <row r="2453" spans="5:5" ht="12.75" hidden="1" customHeight="1" x14ac:dyDescent="0.2">
      <c r="E2453" s="219"/>
    </row>
    <row r="2454" spans="5:5" ht="12.75" hidden="1" customHeight="1" x14ac:dyDescent="0.2">
      <c r="E2454" s="219"/>
    </row>
    <row r="2455" spans="5:5" ht="12.75" hidden="1" customHeight="1" x14ac:dyDescent="0.2">
      <c r="E2455" s="219"/>
    </row>
    <row r="2456" spans="5:5" ht="12.75" hidden="1" customHeight="1" x14ac:dyDescent="0.2">
      <c r="E2456" s="219"/>
    </row>
    <row r="2457" spans="5:5" ht="12.75" hidden="1" customHeight="1" x14ac:dyDescent="0.2">
      <c r="E2457" s="219"/>
    </row>
    <row r="2458" spans="5:5" ht="12.75" hidden="1" customHeight="1" x14ac:dyDescent="0.2">
      <c r="E2458" s="219"/>
    </row>
    <row r="2459" spans="5:5" ht="12.75" hidden="1" customHeight="1" x14ac:dyDescent="0.2">
      <c r="E2459" s="219"/>
    </row>
    <row r="2460" spans="5:5" ht="12.75" hidden="1" customHeight="1" x14ac:dyDescent="0.2">
      <c r="E2460" s="219"/>
    </row>
    <row r="2461" spans="5:5" ht="12.75" hidden="1" customHeight="1" x14ac:dyDescent="0.2">
      <c r="E2461" s="219"/>
    </row>
    <row r="2462" spans="5:5" ht="12.75" hidden="1" customHeight="1" x14ac:dyDescent="0.2">
      <c r="E2462" s="219"/>
    </row>
    <row r="2463" spans="5:5" ht="12.75" hidden="1" customHeight="1" x14ac:dyDescent="0.2">
      <c r="E2463" s="219"/>
    </row>
    <row r="2464" spans="5:5" ht="12.75" hidden="1" customHeight="1" x14ac:dyDescent="0.2">
      <c r="E2464" s="219"/>
    </row>
    <row r="2465" spans="5:5" ht="12.75" hidden="1" customHeight="1" x14ac:dyDescent="0.2">
      <c r="E2465" s="219"/>
    </row>
    <row r="2466" spans="5:5" ht="12.75" hidden="1" customHeight="1" x14ac:dyDescent="0.2">
      <c r="E2466" s="219"/>
    </row>
    <row r="2467" spans="5:5" ht="12.75" hidden="1" customHeight="1" x14ac:dyDescent="0.2">
      <c r="E2467" s="219"/>
    </row>
    <row r="2468" spans="5:5" ht="12.75" hidden="1" customHeight="1" x14ac:dyDescent="0.2">
      <c r="E2468" s="219"/>
    </row>
    <row r="2469" spans="5:5" ht="12.75" hidden="1" customHeight="1" x14ac:dyDescent="0.2">
      <c r="E2469" s="219"/>
    </row>
    <row r="2470" spans="5:5" ht="12.75" hidden="1" customHeight="1" x14ac:dyDescent="0.2">
      <c r="E2470" s="219"/>
    </row>
    <row r="2471" spans="5:5" ht="12.75" hidden="1" customHeight="1" x14ac:dyDescent="0.2">
      <c r="E2471" s="219"/>
    </row>
    <row r="2472" spans="5:5" ht="12.75" hidden="1" customHeight="1" x14ac:dyDescent="0.2">
      <c r="E2472" s="219"/>
    </row>
    <row r="2473" spans="5:5" ht="12.75" hidden="1" customHeight="1" x14ac:dyDescent="0.2">
      <c r="E2473" s="219"/>
    </row>
    <row r="2474" spans="5:5" ht="12.75" hidden="1" customHeight="1" x14ac:dyDescent="0.2">
      <c r="E2474" s="219"/>
    </row>
    <row r="2475" spans="5:5" ht="12.75" hidden="1" customHeight="1" x14ac:dyDescent="0.2">
      <c r="E2475" s="219"/>
    </row>
    <row r="2476" spans="5:5" ht="12.75" hidden="1" customHeight="1" x14ac:dyDescent="0.2">
      <c r="E2476" s="219"/>
    </row>
    <row r="2477" spans="5:5" ht="12.75" hidden="1" customHeight="1" x14ac:dyDescent="0.2">
      <c r="E2477" s="219"/>
    </row>
    <row r="2478" spans="5:5" ht="12.75" hidden="1" customHeight="1" x14ac:dyDescent="0.2">
      <c r="E2478" s="219"/>
    </row>
    <row r="2479" spans="5:5" ht="12.75" hidden="1" customHeight="1" x14ac:dyDescent="0.2">
      <c r="E2479" s="219"/>
    </row>
    <row r="2480" spans="5:5" ht="12.75" hidden="1" customHeight="1" x14ac:dyDescent="0.2">
      <c r="E2480" s="219"/>
    </row>
    <row r="2481" spans="5:5" ht="12.75" hidden="1" customHeight="1" x14ac:dyDescent="0.2">
      <c r="E2481" s="219"/>
    </row>
    <row r="2482" spans="5:5" ht="12.75" hidden="1" customHeight="1" x14ac:dyDescent="0.2">
      <c r="E2482" s="219"/>
    </row>
    <row r="2483" spans="5:5" ht="12.75" hidden="1" customHeight="1" x14ac:dyDescent="0.2">
      <c r="E2483" s="219"/>
    </row>
    <row r="2484" spans="5:5" ht="12.75" hidden="1" customHeight="1" x14ac:dyDescent="0.2">
      <c r="E2484" s="219"/>
    </row>
    <row r="2485" spans="5:5" ht="12.75" hidden="1" customHeight="1" x14ac:dyDescent="0.2">
      <c r="E2485" s="219"/>
    </row>
    <row r="2486" spans="5:5" ht="12.75" hidden="1" customHeight="1" x14ac:dyDescent="0.2">
      <c r="E2486" s="219"/>
    </row>
    <row r="2487" spans="5:5" ht="12.75" hidden="1" customHeight="1" x14ac:dyDescent="0.2">
      <c r="E2487" s="219"/>
    </row>
    <row r="2488" spans="5:5" ht="12.75" hidden="1" customHeight="1" x14ac:dyDescent="0.2">
      <c r="E2488" s="219"/>
    </row>
    <row r="2489" spans="5:5" ht="12.75" hidden="1" customHeight="1" x14ac:dyDescent="0.2">
      <c r="E2489" s="219"/>
    </row>
    <row r="2490" spans="5:5" ht="12.75" hidden="1" customHeight="1" x14ac:dyDescent="0.2">
      <c r="E2490" s="219"/>
    </row>
    <row r="2491" spans="5:5" ht="12.75" hidden="1" customHeight="1" x14ac:dyDescent="0.2">
      <c r="E2491" s="219"/>
    </row>
    <row r="2492" spans="5:5" ht="12.75" hidden="1" customHeight="1" x14ac:dyDescent="0.2">
      <c r="E2492" s="219"/>
    </row>
    <row r="2493" spans="5:5" ht="12.75" hidden="1" customHeight="1" x14ac:dyDescent="0.2">
      <c r="E2493" s="219"/>
    </row>
    <row r="2494" spans="5:5" ht="12.75" hidden="1" customHeight="1" x14ac:dyDescent="0.2">
      <c r="E2494" s="219"/>
    </row>
    <row r="2495" spans="5:5" ht="12.75" hidden="1" customHeight="1" x14ac:dyDescent="0.2">
      <c r="E2495" s="219"/>
    </row>
    <row r="2496" spans="5:5" ht="12.75" hidden="1" customHeight="1" x14ac:dyDescent="0.2">
      <c r="E2496" s="219"/>
    </row>
    <row r="2497" spans="5:5" ht="12.75" hidden="1" customHeight="1" x14ac:dyDescent="0.2">
      <c r="E2497" s="219"/>
    </row>
    <row r="2498" spans="5:5" ht="12.75" hidden="1" customHeight="1" x14ac:dyDescent="0.2">
      <c r="E2498" s="219"/>
    </row>
    <row r="2499" spans="5:5" ht="12.75" hidden="1" customHeight="1" x14ac:dyDescent="0.2">
      <c r="E2499" s="219"/>
    </row>
    <row r="2500" spans="5:5" ht="12.75" hidden="1" customHeight="1" x14ac:dyDescent="0.2">
      <c r="E2500" s="219"/>
    </row>
    <row r="2501" spans="5:5" ht="12.75" hidden="1" customHeight="1" x14ac:dyDescent="0.2">
      <c r="E2501" s="219"/>
    </row>
    <row r="2502" spans="5:5" ht="12.75" hidden="1" customHeight="1" x14ac:dyDescent="0.2">
      <c r="E2502" s="219"/>
    </row>
    <row r="2503" spans="5:5" ht="12.75" hidden="1" customHeight="1" x14ac:dyDescent="0.2">
      <c r="E2503" s="219"/>
    </row>
    <row r="2504" spans="5:5" ht="12.75" hidden="1" customHeight="1" x14ac:dyDescent="0.2">
      <c r="E2504" s="219"/>
    </row>
    <row r="2505" spans="5:5" ht="12.75" hidden="1" customHeight="1" x14ac:dyDescent="0.2">
      <c r="E2505" s="219"/>
    </row>
    <row r="2506" spans="5:5" ht="12.75" hidden="1" customHeight="1" x14ac:dyDescent="0.2">
      <c r="E2506" s="219"/>
    </row>
    <row r="2507" spans="5:5" ht="12.75" hidden="1" customHeight="1" x14ac:dyDescent="0.2">
      <c r="E2507" s="219"/>
    </row>
    <row r="2508" spans="5:5" ht="12.75" hidden="1" customHeight="1" x14ac:dyDescent="0.2">
      <c r="E2508" s="219"/>
    </row>
    <row r="2509" spans="5:5" ht="12.75" hidden="1" customHeight="1" x14ac:dyDescent="0.2">
      <c r="E2509" s="219"/>
    </row>
    <row r="2510" spans="5:5" ht="12.75" hidden="1" customHeight="1" x14ac:dyDescent="0.2">
      <c r="E2510" s="219"/>
    </row>
    <row r="2511" spans="5:5" ht="12.75" hidden="1" customHeight="1" x14ac:dyDescent="0.2">
      <c r="E2511" s="219"/>
    </row>
    <row r="2512" spans="5:5" ht="12.75" hidden="1" customHeight="1" x14ac:dyDescent="0.2">
      <c r="E2512" s="219"/>
    </row>
    <row r="2513" spans="5:5" ht="12.75" hidden="1" customHeight="1" x14ac:dyDescent="0.2">
      <c r="E2513" s="219"/>
    </row>
    <row r="2514" spans="5:5" ht="12.75" hidden="1" customHeight="1" x14ac:dyDescent="0.2">
      <c r="E2514" s="219"/>
    </row>
    <row r="2515" spans="5:5" ht="12.75" hidden="1" customHeight="1" x14ac:dyDescent="0.2">
      <c r="E2515" s="219"/>
    </row>
    <row r="2516" spans="5:5" ht="12.75" hidden="1" customHeight="1" x14ac:dyDescent="0.2">
      <c r="E2516" s="219"/>
    </row>
    <row r="2517" spans="5:5" ht="12.75" hidden="1" customHeight="1" x14ac:dyDescent="0.2">
      <c r="E2517" s="219"/>
    </row>
    <row r="2518" spans="5:5" ht="12.75" hidden="1" customHeight="1" x14ac:dyDescent="0.2">
      <c r="E2518" s="219"/>
    </row>
    <row r="2519" spans="5:5" ht="12.75" hidden="1" customHeight="1" x14ac:dyDescent="0.2">
      <c r="E2519" s="219"/>
    </row>
    <row r="2520" spans="5:5" ht="12.75" hidden="1" customHeight="1" x14ac:dyDescent="0.2">
      <c r="E2520" s="219"/>
    </row>
  </sheetData>
  <sheetProtection password="F261" sheet="1" objects="1" scenarios="1"/>
  <sortState ref="S7:T19">
    <sortCondition ref="S7:S19"/>
  </sortState>
  <mergeCells count="78">
    <mergeCell ref="F44:G44"/>
    <mergeCell ref="I44:J44"/>
    <mergeCell ref="I32:J32"/>
    <mergeCell ref="F36:G36"/>
    <mergeCell ref="I36:J36"/>
    <mergeCell ref="F38:G38"/>
    <mergeCell ref="I38:J38"/>
    <mergeCell ref="H3:J3"/>
    <mergeCell ref="E69:J69"/>
    <mergeCell ref="E88:I88"/>
    <mergeCell ref="E71:F71"/>
    <mergeCell ref="E67:J67"/>
    <mergeCell ref="I7:J7"/>
    <mergeCell ref="F12:G12"/>
    <mergeCell ref="I12:J12"/>
    <mergeCell ref="E7:F7"/>
    <mergeCell ref="G7:H7"/>
    <mergeCell ref="F18:G18"/>
    <mergeCell ref="I18:J18"/>
    <mergeCell ref="F24:G24"/>
    <mergeCell ref="I24:J24"/>
    <mergeCell ref="F30:G30"/>
    <mergeCell ref="I30:J30"/>
    <mergeCell ref="F14:G14"/>
    <mergeCell ref="E73:H73"/>
    <mergeCell ref="E77:H77"/>
    <mergeCell ref="E75:G75"/>
    <mergeCell ref="E87:I87"/>
    <mergeCell ref="E79:F79"/>
    <mergeCell ref="I14:J14"/>
    <mergeCell ref="H71:I71"/>
    <mergeCell ref="H75:J75"/>
    <mergeCell ref="F20:G20"/>
    <mergeCell ref="I20:J20"/>
    <mergeCell ref="F26:G26"/>
    <mergeCell ref="I26:J26"/>
    <mergeCell ref="F32:G32"/>
    <mergeCell ref="F42:G42"/>
    <mergeCell ref="I42:J42"/>
    <mergeCell ref="H96:J96"/>
    <mergeCell ref="I98:J98"/>
    <mergeCell ref="E100:F100"/>
    <mergeCell ref="E89:I89"/>
    <mergeCell ref="E83:H83"/>
    <mergeCell ref="E109:I109"/>
    <mergeCell ref="E111:I111"/>
    <mergeCell ref="G102:H102"/>
    <mergeCell ref="E107:F107"/>
    <mergeCell ref="E115:G115"/>
    <mergeCell ref="I102:J102"/>
    <mergeCell ref="F16:G16"/>
    <mergeCell ref="H16:J16"/>
    <mergeCell ref="C2:J2"/>
    <mergeCell ref="I133:J133"/>
    <mergeCell ref="I128:J128"/>
    <mergeCell ref="E117:G117"/>
    <mergeCell ref="E121:H121"/>
    <mergeCell ref="E123:G123"/>
    <mergeCell ref="H125:I125"/>
    <mergeCell ref="E92:I92"/>
    <mergeCell ref="E91:I91"/>
    <mergeCell ref="I100:J100"/>
    <mergeCell ref="E90:I90"/>
    <mergeCell ref="C131:K131"/>
    <mergeCell ref="C106:F106"/>
    <mergeCell ref="E98:G98"/>
    <mergeCell ref="F48:G48"/>
    <mergeCell ref="I48:J48"/>
    <mergeCell ref="F50:G50"/>
    <mergeCell ref="I50:J50"/>
    <mergeCell ref="F54:G54"/>
    <mergeCell ref="I54:J54"/>
    <mergeCell ref="F60:G60"/>
    <mergeCell ref="I60:J60"/>
    <mergeCell ref="F62:G62"/>
    <mergeCell ref="I62:J62"/>
    <mergeCell ref="F56:G56"/>
    <mergeCell ref="I56:J56"/>
  </mergeCells>
  <phoneticPr fontId="23" type="noConversion"/>
  <conditionalFormatting sqref="I133 E9 G9 I9 E102 E98 E96 H100 J125 G102:H102 E107:F107 E109:I109 E111:I111 E113 E115:G115 E117:G117 E119 E121:H121 E123:G123 E125 I98:J98 G125 G119 I115 I117 I119 E88 H79 E100 E81 E79:F79 E3 E134:G139">
    <cfRule type="cellIs" dxfId="447" priority="89" stopIfTrue="1" operator="equal">
      <formula>0</formula>
    </cfRule>
  </conditionalFormatting>
  <conditionalFormatting sqref="E71">
    <cfRule type="cellIs" dxfId="446" priority="90" stopIfTrue="1" operator="equal">
      <formula>" "</formula>
    </cfRule>
  </conditionalFormatting>
  <conditionalFormatting sqref="E83:H83 E91:I91">
    <cfRule type="cellIs" dxfId="445" priority="91" stopIfTrue="1" operator="equal">
      <formula>0</formula>
    </cfRule>
  </conditionalFormatting>
  <conditionalFormatting sqref="F3:J3">
    <cfRule type="expression" dxfId="444" priority="92" stopIfTrue="1">
      <formula>$G$3="U.E."</formula>
    </cfRule>
    <cfRule type="expression" dxfId="443" priority="93" stopIfTrue="1">
      <formula>$G$3="SME"</formula>
    </cfRule>
    <cfRule type="expression" dxfId="442" priority="94" stopIfTrue="1">
      <formula>$G$3="DRE"</formula>
    </cfRule>
  </conditionalFormatting>
  <conditionalFormatting sqref="F12:G12 I12:J12 F14:G15 I14:J15 F20:G23 F25:G28 I21:J23 I25:J25 I27:J28 F17:G18 I17:J17">
    <cfRule type="cellIs" dxfId="441" priority="95" stopIfTrue="1" operator="equal">
      <formula>"BLOQUEADO"</formula>
    </cfRule>
  </conditionalFormatting>
  <conditionalFormatting sqref="I81">
    <cfRule type="cellIs" dxfId="440" priority="96" stopIfTrue="1" operator="equal">
      <formula>0</formula>
    </cfRule>
  </conditionalFormatting>
  <conditionalFormatting sqref="I128:J128">
    <cfRule type="cellIs" dxfId="439" priority="97" stopIfTrue="1" operator="equal">
      <formula>"FINALIZADO"</formula>
    </cfRule>
    <cfRule type="cellIs" dxfId="438" priority="98" stopIfTrue="1" operator="equal">
      <formula>"PENDENTE"</formula>
    </cfRule>
    <cfRule type="cellIs" dxfId="437" priority="99" stopIfTrue="1" operator="equal">
      <formula>0</formula>
    </cfRule>
  </conditionalFormatting>
  <conditionalFormatting sqref="I102:J102">
    <cfRule type="cellIs" dxfId="436" priority="84" stopIfTrue="1" operator="equal">
      <formula>$S$100</formula>
    </cfRule>
    <cfRule type="cellIs" dxfId="435" priority="85" stopIfTrue="1" operator="equal">
      <formula>$S$98</formula>
    </cfRule>
    <cfRule type="cellIs" dxfId="434" priority="86" stopIfTrue="1" operator="equal">
      <formula>$S$99</formula>
    </cfRule>
  </conditionalFormatting>
  <conditionalFormatting sqref="F24:G24">
    <cfRule type="cellIs" dxfId="433" priority="78" stopIfTrue="1" operator="equal">
      <formula>"BLOQUEADO"</formula>
    </cfRule>
  </conditionalFormatting>
  <conditionalFormatting sqref="F35:G35 I35:J35">
    <cfRule type="cellIs" dxfId="432" priority="72" stopIfTrue="1" operator="equal">
      <formula>"BLOQUEADO"</formula>
    </cfRule>
  </conditionalFormatting>
  <conditionalFormatting sqref="F29:G29">
    <cfRule type="cellIs" dxfId="431" priority="71" stopIfTrue="1" operator="equal">
      <formula>"BLOQUEADO"</formula>
    </cfRule>
  </conditionalFormatting>
  <conditionalFormatting sqref="I29:J29">
    <cfRule type="cellIs" dxfId="430" priority="70" stopIfTrue="1" operator="equal">
      <formula>"BLOQUEADO"</formula>
    </cfRule>
  </conditionalFormatting>
  <conditionalFormatting sqref="F30:G30">
    <cfRule type="cellIs" dxfId="429" priority="66" stopIfTrue="1" operator="equal">
      <formula>"BLOQUEADO"</formula>
    </cfRule>
  </conditionalFormatting>
  <conditionalFormatting sqref="F31:G31 I31:J31 F33:G34 I33:J34">
    <cfRule type="cellIs" dxfId="428" priority="67" stopIfTrue="1" operator="equal">
      <formula>"BLOQUEADO"</formula>
    </cfRule>
  </conditionalFormatting>
  <conditionalFormatting sqref="F36:G36">
    <cfRule type="cellIs" dxfId="427" priority="63" stopIfTrue="1" operator="equal">
      <formula>"BLOQUEADO"</formula>
    </cfRule>
  </conditionalFormatting>
  <conditionalFormatting sqref="I36:J36">
    <cfRule type="cellIs" dxfId="426" priority="62" stopIfTrue="1" operator="equal">
      <formula>"BLOQUEADO"</formula>
    </cfRule>
  </conditionalFormatting>
  <conditionalFormatting sqref="F37:G37 I37:J37 F39:G40 I39:J40">
    <cfRule type="cellIs" dxfId="425" priority="64" stopIfTrue="1" operator="equal">
      <formula>"BLOQUEADO"</formula>
    </cfRule>
  </conditionalFormatting>
  <conditionalFormatting sqref="F41:G41 I41:J41">
    <cfRule type="cellIs" dxfId="424" priority="61" stopIfTrue="1" operator="equal">
      <formula>"BLOQUEADO"</formula>
    </cfRule>
  </conditionalFormatting>
  <conditionalFormatting sqref="F42:G42">
    <cfRule type="cellIs" dxfId="423" priority="57" stopIfTrue="1" operator="equal">
      <formula>"BLOQUEADO"</formula>
    </cfRule>
  </conditionalFormatting>
  <conditionalFormatting sqref="I42:J42">
    <cfRule type="cellIs" dxfId="422" priority="56" stopIfTrue="1" operator="equal">
      <formula>"BLOQUEADO"</formula>
    </cfRule>
  </conditionalFormatting>
  <conditionalFormatting sqref="F32:G32">
    <cfRule type="cellIs" dxfId="421" priority="55" stopIfTrue="1" operator="equal">
      <formula>"BLOQUEADO"</formula>
    </cfRule>
  </conditionalFormatting>
  <conditionalFormatting sqref="F38:G38">
    <cfRule type="cellIs" dxfId="420" priority="54" stopIfTrue="1" operator="equal">
      <formula>"BLOQUEADO"</formula>
    </cfRule>
  </conditionalFormatting>
  <conditionalFormatting sqref="F44:G44">
    <cfRule type="cellIs" dxfId="419" priority="53" stopIfTrue="1" operator="equal">
      <formula>"BLOQUEADO"</formula>
    </cfRule>
  </conditionalFormatting>
  <conditionalFormatting sqref="I38:J38">
    <cfRule type="cellIs" dxfId="418" priority="51" stopIfTrue="1" operator="equal">
      <formula>"BLOQUEADO"</formula>
    </cfRule>
  </conditionalFormatting>
  <conditionalFormatting sqref="I44:J44">
    <cfRule type="cellIs" dxfId="417" priority="50" stopIfTrue="1" operator="equal">
      <formula>"BLOQUEADO"</formula>
    </cfRule>
  </conditionalFormatting>
  <conditionalFormatting sqref="I24:J24">
    <cfRule type="cellIs" dxfId="416" priority="49" stopIfTrue="1" operator="equal">
      <formula>"BLOQUEADO"</formula>
    </cfRule>
  </conditionalFormatting>
  <conditionalFormatting sqref="I30:J30">
    <cfRule type="cellIs" dxfId="415" priority="48" stopIfTrue="1" operator="equal">
      <formula>"BLOQUEADO"</formula>
    </cfRule>
  </conditionalFormatting>
  <conditionalFormatting sqref="I26:J26">
    <cfRule type="cellIs" dxfId="414" priority="46" stopIfTrue="1" operator="equal">
      <formula>"BLOQUEADO"</formula>
    </cfRule>
  </conditionalFormatting>
  <conditionalFormatting sqref="I20:J20">
    <cfRule type="cellIs" dxfId="413" priority="45" stopIfTrue="1" operator="equal">
      <formula>"BLOQUEADO"</formula>
    </cfRule>
  </conditionalFormatting>
  <conditionalFormatting sqref="I18:J18">
    <cfRule type="cellIs" dxfId="412" priority="44" stopIfTrue="1" operator="equal">
      <formula>"BLOQUEADO"</formula>
    </cfRule>
  </conditionalFormatting>
  <conditionalFormatting sqref="I32:J32">
    <cfRule type="cellIs" dxfId="411" priority="43" stopIfTrue="1" operator="equal">
      <formula>"BLOQUEADO"</formula>
    </cfRule>
  </conditionalFormatting>
  <conditionalFormatting sqref="C16:E16">
    <cfRule type="expression" dxfId="410" priority="37">
      <formula>IF($F$16=0,TRUE)</formula>
    </cfRule>
  </conditionalFormatting>
  <conditionalFormatting sqref="H16">
    <cfRule type="expression" dxfId="409" priority="36">
      <formula>IF($F$16=0,TRUE)</formula>
    </cfRule>
  </conditionalFormatting>
  <conditionalFormatting sqref="F16">
    <cfRule type="expression" dxfId="408" priority="34">
      <formula>IF($F$16=0,TRUE)</formula>
    </cfRule>
  </conditionalFormatting>
  <conditionalFormatting sqref="K16">
    <cfRule type="expression" dxfId="407" priority="33">
      <formula>IF($F$16=0,TRUE)</formula>
    </cfRule>
  </conditionalFormatting>
  <conditionalFormatting sqref="F45:G45 I45:J45">
    <cfRule type="cellIs" dxfId="406" priority="32" stopIfTrue="1" operator="equal">
      <formula>"BLOQUEADO"</formula>
    </cfRule>
  </conditionalFormatting>
  <conditionalFormatting sqref="F46:G46 I46:J46">
    <cfRule type="cellIs" dxfId="405" priority="31" stopIfTrue="1" operator="equal">
      <formula>"BLOQUEADO"</formula>
    </cfRule>
  </conditionalFormatting>
  <conditionalFormatting sqref="F47:G47 I47:J47">
    <cfRule type="cellIs" dxfId="404" priority="30" stopIfTrue="1" operator="equal">
      <formula>"BLOQUEADO"</formula>
    </cfRule>
  </conditionalFormatting>
  <conditionalFormatting sqref="F48:G48">
    <cfRule type="cellIs" dxfId="403" priority="29" stopIfTrue="1" operator="equal">
      <formula>"BLOQUEADO"</formula>
    </cfRule>
  </conditionalFormatting>
  <conditionalFormatting sqref="I48:J48">
    <cfRule type="cellIs" dxfId="402" priority="28" stopIfTrue="1" operator="equal">
      <formula>"BLOQUEADO"</formula>
    </cfRule>
  </conditionalFormatting>
  <conditionalFormatting sqref="F50:G50">
    <cfRule type="cellIs" dxfId="401" priority="27" stopIfTrue="1" operator="equal">
      <formula>"BLOQUEADO"</formula>
    </cfRule>
  </conditionalFormatting>
  <conditionalFormatting sqref="I50:J50">
    <cfRule type="cellIs" dxfId="400" priority="26" stopIfTrue="1" operator="equal">
      <formula>"BLOQUEADO"</formula>
    </cfRule>
  </conditionalFormatting>
  <conditionalFormatting sqref="F51:G51 I51:J51">
    <cfRule type="cellIs" dxfId="399" priority="25" stopIfTrue="1" operator="equal">
      <formula>"BLOQUEADO"</formula>
    </cfRule>
  </conditionalFormatting>
  <conditionalFormatting sqref="F52:G52 I52:J52">
    <cfRule type="cellIs" dxfId="398" priority="24" stopIfTrue="1" operator="equal">
      <formula>"BLOQUEADO"</formula>
    </cfRule>
  </conditionalFormatting>
  <conditionalFormatting sqref="F53:G53 I53:J53">
    <cfRule type="cellIs" dxfId="397" priority="23" stopIfTrue="1" operator="equal">
      <formula>"BLOQUEADO"</formula>
    </cfRule>
  </conditionalFormatting>
  <conditionalFormatting sqref="F60:G60">
    <cfRule type="cellIs" dxfId="396" priority="17" stopIfTrue="1" operator="equal">
      <formula>"BLOQUEADO"</formula>
    </cfRule>
  </conditionalFormatting>
  <conditionalFormatting sqref="I54:J54">
    <cfRule type="cellIs" dxfId="395" priority="12" stopIfTrue="1" operator="equal">
      <formula>"BLOQUEADO"</formula>
    </cfRule>
  </conditionalFormatting>
  <conditionalFormatting sqref="I60:J60">
    <cfRule type="cellIs" dxfId="394" priority="16" stopIfTrue="1" operator="equal">
      <formula>"BLOQUEADO"</formula>
    </cfRule>
  </conditionalFormatting>
  <conditionalFormatting sqref="F56:G56">
    <cfRule type="cellIs" dxfId="393" priority="11" stopIfTrue="1" operator="equal">
      <formula>"BLOQUEADO"</formula>
    </cfRule>
  </conditionalFormatting>
  <conditionalFormatting sqref="F54:G54">
    <cfRule type="cellIs" dxfId="392" priority="13" stopIfTrue="1" operator="equal">
      <formula>"BLOQUEADO"</formula>
    </cfRule>
  </conditionalFormatting>
  <conditionalFormatting sqref="I56:J56">
    <cfRule type="cellIs" dxfId="391" priority="10" stopIfTrue="1" operator="equal">
      <formula>"BLOQUEADO"</formula>
    </cfRule>
  </conditionalFormatting>
  <conditionalFormatting sqref="F57:G57 I57:J57">
    <cfRule type="cellIs" dxfId="390" priority="9" stopIfTrue="1" operator="equal">
      <formula>"BLOQUEADO"</formula>
    </cfRule>
  </conditionalFormatting>
  <conditionalFormatting sqref="F63:G63 I63:J63">
    <cfRule type="cellIs" dxfId="389" priority="4" stopIfTrue="1" operator="equal">
      <formula>"BLOQUEADO"</formula>
    </cfRule>
  </conditionalFormatting>
  <conditionalFormatting sqref="F58:G58 I58:J58">
    <cfRule type="cellIs" dxfId="388" priority="8" stopIfTrue="1" operator="equal">
      <formula>"BLOQUEADO"</formula>
    </cfRule>
  </conditionalFormatting>
  <conditionalFormatting sqref="F59:G59 I59:J59">
    <cfRule type="cellIs" dxfId="387" priority="7" stopIfTrue="1" operator="equal">
      <formula>"BLOQUEADO"</formula>
    </cfRule>
  </conditionalFormatting>
  <conditionalFormatting sqref="I62:J62">
    <cfRule type="cellIs" dxfId="386" priority="5" stopIfTrue="1" operator="equal">
      <formula>"BLOQUEADO"</formula>
    </cfRule>
  </conditionalFormatting>
  <conditionalFormatting sqref="F62:G62">
    <cfRule type="cellIs" dxfId="385" priority="6" stopIfTrue="1" operator="equal">
      <formula>"BLOQUEADO"</formula>
    </cfRule>
  </conditionalFormatting>
  <conditionalFormatting sqref="G107">
    <cfRule type="cellIs" dxfId="384" priority="2" operator="equal">
      <formula>"CPF Válido"</formula>
    </cfRule>
    <cfRule type="cellIs" dxfId="383" priority="1" operator="equal">
      <formula>"CPF Inválido"</formula>
    </cfRule>
  </conditionalFormatting>
  <dataValidations count="6">
    <dataValidation type="list" allowBlank="1" showInputMessage="1" showErrorMessage="1" sqref="E68">
      <formula1>#REF!</formula1>
    </dataValidation>
    <dataValidation type="list" allowBlank="1" showErrorMessage="1" errorTitle="ATENÇÃO" error="MÁXIMO DE 6 DÍGITOS_x000a_OU_x000a_UNIDADE NÃO ENCONTRADA" promptTitle="ATENÇÃO" prompt="Máximo de 6 dígitos_x000a_Não precisa digitar os zeros a esquerda" sqref="E3">
      <formula1>$E$145:$E$1702</formula1>
    </dataValidation>
    <dataValidation type="decimal" allowBlank="1" showInputMessage="1" showErrorMessage="1" errorTitle="ERRO" error="Não utilizar o R$" sqref="G102:H102">
      <formula1>0</formula1>
      <formula2>500000</formula2>
    </dataValidation>
    <dataValidation type="decimal" allowBlank="1" showInputMessage="1" showErrorMessage="1" errorTitle="ERRO" error="Não utilizar R$" sqref="I98:J98">
      <formula1>0</formula1>
      <formula2>100000</formula2>
    </dataValidation>
    <dataValidation type="decimal" allowBlank="1" showInputMessage="1" showErrorMessage="1" errorTitle="ERRO" error="Não utilizar R$" sqref="G134:G140">
      <formula1>0</formula1>
      <formula2>50000</formula2>
    </dataValidation>
    <dataValidation type="whole" allowBlank="1" showInputMessage="1" showErrorMessage="1" errorTitle="CPF INVÁLIDO" error="FAVOR DIGITAR NOVAMENTE_x000a__x000a_NÃO UTILIZE PONTOS NEM TRAÇO" sqref="E107:F107">
      <formula1>1</formula1>
      <formula2>99999999999</formula2>
    </dataValidation>
  </dataValidations>
  <printOptions horizontalCentered="1" verticalCentered="1"/>
  <pageMargins left="0" right="0.19685039370078741" top="0.19685039370078741" bottom="0.19685039370078741" header="0.19685039370078741" footer="0.19685039370078741"/>
  <pageSetup paperSize="9" scale="8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indexed="11"/>
  </sheetPr>
  <dimension ref="A1:DB102"/>
  <sheetViews>
    <sheetView showGridLines="0" zoomScaleNormal="100" zoomScaleSheetLayoutView="100" workbookViewId="0">
      <pane ySplit="1" topLeftCell="A2" activePane="bottomLeft" state="frozen"/>
      <selection pane="bottomLeft" activeCell="G27" sqref="G27:P27"/>
    </sheetView>
  </sheetViews>
  <sheetFormatPr defaultColWidth="0" defaultRowHeight="12.75" zeroHeight="1" x14ac:dyDescent="0.2"/>
  <cols>
    <col min="1" max="1" width="17.85546875" style="293" customWidth="1"/>
    <col min="2" max="54" width="1.7109375" style="293" customWidth="1"/>
    <col min="55" max="55" width="4.28515625" style="293" customWidth="1"/>
    <col min="56" max="56" width="16.140625" style="293" customWidth="1"/>
    <col min="57" max="57" width="4.7109375" style="293" hidden="1" customWidth="1"/>
    <col min="58" max="58" width="23.42578125" style="293" hidden="1" customWidth="1"/>
    <col min="59" max="16384" width="9.140625" style="293" hidden="1"/>
  </cols>
  <sheetData>
    <row r="1" spans="1:58" ht="46.5" customHeight="1" x14ac:dyDescent="0.2">
      <c r="A1" s="1013" t="str">
        <f>IF(Dados!$E$3="","",Dados!$E$3)</f>
        <v/>
      </c>
      <c r="B1" s="872"/>
      <c r="C1" s="872"/>
      <c r="D1" s="873"/>
      <c r="E1" s="873"/>
      <c r="F1" s="873"/>
      <c r="G1" s="871"/>
      <c r="H1" s="873"/>
      <c r="I1" s="873"/>
      <c r="J1" s="873"/>
      <c r="K1" s="873"/>
      <c r="L1" s="873"/>
      <c r="M1" s="873"/>
      <c r="N1" s="873"/>
      <c r="O1" s="873"/>
      <c r="P1" s="873"/>
      <c r="Q1" s="873"/>
      <c r="R1" s="873"/>
      <c r="S1" s="873"/>
      <c r="T1" s="873"/>
      <c r="U1" s="873"/>
      <c r="V1" s="873"/>
      <c r="W1" s="873"/>
      <c r="X1" s="873"/>
      <c r="Y1" s="873"/>
      <c r="Z1" s="873"/>
      <c r="AA1" s="873"/>
      <c r="AB1" s="873"/>
      <c r="AC1" s="873"/>
      <c r="AD1" s="873"/>
      <c r="AE1" s="873"/>
      <c r="AF1" s="873"/>
      <c r="AG1" s="873"/>
      <c r="AH1" s="873"/>
      <c r="AI1" s="873"/>
      <c r="AJ1" s="873"/>
      <c r="AK1" s="873"/>
      <c r="AL1" s="873"/>
      <c r="AM1" s="873"/>
      <c r="AN1" s="873"/>
      <c r="AO1" s="873"/>
      <c r="AP1" s="873"/>
      <c r="AQ1" s="873"/>
      <c r="AR1" s="873"/>
      <c r="AS1" s="873"/>
      <c r="AT1" s="873"/>
      <c r="AU1" s="873"/>
      <c r="AV1" s="873"/>
      <c r="AW1" s="873"/>
      <c r="AX1" s="873"/>
      <c r="AY1" s="873"/>
      <c r="AZ1" s="873"/>
      <c r="BA1" s="873"/>
      <c r="BB1" s="873"/>
      <c r="BC1" s="873"/>
      <c r="BD1" s="873"/>
      <c r="BE1" s="294"/>
    </row>
    <row r="2" spans="1:58" x14ac:dyDescent="0.2">
      <c r="A2" s="874"/>
      <c r="B2" s="298" t="str">
        <f>IF(Dados!$H$2="","",Dados!$H$2)</f>
        <v/>
      </c>
      <c r="C2" s="56"/>
      <c r="D2" s="56"/>
      <c r="E2" s="56"/>
      <c r="F2" s="56"/>
      <c r="G2" s="298">
        <f>Dados!$K$3</f>
        <v>0</v>
      </c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874"/>
      <c r="BE2" s="294"/>
    </row>
    <row r="3" spans="1:58" ht="12.75" customHeight="1" x14ac:dyDescent="0.2">
      <c r="A3" s="874"/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  <c r="M3" s="56"/>
      <c r="N3" s="376"/>
      <c r="O3" s="376"/>
      <c r="P3" s="376" t="s">
        <v>298</v>
      </c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376"/>
      <c r="AL3" s="376"/>
      <c r="AM3" s="376"/>
      <c r="AN3" s="376"/>
      <c r="AO3" s="376"/>
      <c r="AP3" s="762"/>
      <c r="AQ3" s="762"/>
      <c r="AR3" s="762"/>
      <c r="AS3" s="762"/>
      <c r="AT3" s="762"/>
      <c r="AU3" s="762"/>
      <c r="AV3" s="762"/>
      <c r="AW3" s="762"/>
      <c r="AX3" s="762"/>
      <c r="AY3" s="762"/>
      <c r="AZ3" s="762"/>
      <c r="BA3" s="762"/>
      <c r="BB3" s="762"/>
      <c r="BC3" s="762"/>
      <c r="BD3" s="879"/>
      <c r="BE3" s="294"/>
    </row>
    <row r="4" spans="1:58" ht="12.75" customHeight="1" x14ac:dyDescent="0.2">
      <c r="A4" s="874"/>
      <c r="B4" s="376"/>
      <c r="C4" s="376"/>
      <c r="D4" s="376"/>
      <c r="E4" s="376"/>
      <c r="F4" s="376"/>
      <c r="G4" s="376"/>
      <c r="H4" s="376"/>
      <c r="I4" s="376"/>
      <c r="J4" s="376"/>
      <c r="K4" s="376"/>
      <c r="L4" s="376"/>
      <c r="M4" s="56"/>
      <c r="N4" s="376"/>
      <c r="O4" s="376"/>
      <c r="P4" s="376" t="s">
        <v>300</v>
      </c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76"/>
      <c r="AC4" s="376"/>
      <c r="AD4" s="376"/>
      <c r="AE4" s="376"/>
      <c r="AF4" s="376"/>
      <c r="AG4" s="376"/>
      <c r="AH4" s="376"/>
      <c r="AI4" s="376"/>
      <c r="AJ4" s="376"/>
      <c r="AK4" s="376"/>
      <c r="AL4" s="376"/>
      <c r="AM4" s="376"/>
      <c r="AN4" s="376"/>
      <c r="AO4" s="376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879"/>
      <c r="BE4" s="294"/>
    </row>
    <row r="5" spans="1:58" x14ac:dyDescent="0.2">
      <c r="A5" s="874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377" t="s">
        <v>16</v>
      </c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378" t="str">
        <f>Dados!$E$7</f>
        <v/>
      </c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874"/>
      <c r="BE5" s="294"/>
      <c r="BF5" s="369" t="str">
        <f>Dados!$N$71&amp;$BF$23&amp;Dados!$E$67</f>
        <v xml:space="preserve">APM DO </v>
      </c>
    </row>
    <row r="6" spans="1:58" x14ac:dyDescent="0.2">
      <c r="A6" s="874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654" t="str">
        <f>IF(BF27="","",IF(BF27="CEU",BF6,BF5))</f>
        <v/>
      </c>
      <c r="Q6" s="654"/>
      <c r="R6" s="654"/>
      <c r="S6" s="654"/>
      <c r="T6" s="654"/>
      <c r="U6" s="654"/>
      <c r="V6" s="496"/>
      <c r="W6" s="654"/>
      <c r="X6" s="654"/>
      <c r="Y6" s="654"/>
      <c r="Z6" s="654"/>
      <c r="AA6" s="654"/>
      <c r="AB6" s="654"/>
      <c r="AC6" s="654"/>
      <c r="AD6" s="654"/>
      <c r="AE6" s="654"/>
      <c r="AF6" s="654"/>
      <c r="AG6" s="654"/>
      <c r="AH6" s="654"/>
      <c r="AI6" s="654"/>
      <c r="AJ6" s="654"/>
      <c r="AK6" s="654"/>
      <c r="AL6" s="654"/>
      <c r="AM6" s="654"/>
      <c r="AN6" s="654"/>
      <c r="AO6" s="654"/>
      <c r="AP6" s="654"/>
      <c r="AQ6" s="654"/>
      <c r="AR6" s="654"/>
      <c r="AS6" s="654"/>
      <c r="AT6" s="654"/>
      <c r="AU6" s="654"/>
      <c r="AV6" s="654"/>
      <c r="AW6" s="654"/>
      <c r="AX6" s="654"/>
      <c r="AY6" s="654"/>
      <c r="AZ6" s="654"/>
      <c r="BA6" s="654"/>
      <c r="BB6" s="654"/>
      <c r="BC6" s="56"/>
      <c r="BD6" s="874"/>
      <c r="BE6" s="294"/>
      <c r="BF6" s="293" t="str">
        <f>Dados!$N$73&amp;$BF$22&amp;Dados!$E$67</f>
        <v xml:space="preserve">APMSUAC </v>
      </c>
    </row>
    <row r="7" spans="1:58" x14ac:dyDescent="0.2">
      <c r="A7" s="874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874"/>
      <c r="BE7" s="294"/>
    </row>
    <row r="8" spans="1:58" ht="12.75" customHeight="1" x14ac:dyDescent="0.2">
      <c r="A8" s="874"/>
      <c r="B8" s="56"/>
      <c r="C8" s="56"/>
      <c r="D8" s="56"/>
      <c r="E8" s="56"/>
      <c r="F8" s="56"/>
      <c r="G8" s="1257"/>
      <c r="H8" s="1257"/>
      <c r="I8" s="1257"/>
      <c r="J8" s="1257"/>
      <c r="K8" s="1257"/>
      <c r="L8" s="1257"/>
      <c r="M8" s="1257"/>
      <c r="N8" s="1257"/>
      <c r="O8" s="1257"/>
      <c r="P8" s="1257"/>
      <c r="Q8" s="1257"/>
      <c r="R8" s="1257"/>
      <c r="S8" s="1257"/>
      <c r="T8" s="1257"/>
      <c r="U8" s="1257"/>
      <c r="V8" s="1257"/>
      <c r="W8" s="1257"/>
      <c r="X8" s="1257"/>
      <c r="Y8" s="1257"/>
      <c r="Z8" s="1257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874"/>
      <c r="BE8" s="294"/>
    </row>
    <row r="9" spans="1:58" x14ac:dyDescent="0.2">
      <c r="A9" s="874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383" t="s">
        <v>349</v>
      </c>
      <c r="AC9" s="56"/>
      <c r="AD9" s="56"/>
      <c r="AE9" s="56"/>
      <c r="AF9" s="56"/>
      <c r="AG9" s="56"/>
      <c r="AH9" s="1236"/>
      <c r="AI9" s="1236"/>
      <c r="AJ9" s="1267" t="s">
        <v>152</v>
      </c>
      <c r="AK9" s="1267"/>
      <c r="AL9" s="1236"/>
      <c r="AM9" s="1236"/>
      <c r="AN9" s="1236"/>
      <c r="AO9" s="1236"/>
      <c r="AP9" s="1236"/>
      <c r="AQ9" s="1236"/>
      <c r="AR9" s="1236"/>
      <c r="AS9" s="1236"/>
      <c r="AT9" s="1236"/>
      <c r="AU9" s="1236"/>
      <c r="AV9" s="1236"/>
      <c r="AW9" s="1267" t="s">
        <v>152</v>
      </c>
      <c r="AX9" s="1267"/>
      <c r="AY9" s="1236"/>
      <c r="AZ9" s="1236"/>
      <c r="BA9" s="1236"/>
      <c r="BB9" s="1236"/>
      <c r="BC9" s="175"/>
      <c r="BD9" s="874"/>
      <c r="BE9" s="294"/>
    </row>
    <row r="10" spans="1:58" x14ac:dyDescent="0.2">
      <c r="A10" s="874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874"/>
      <c r="BE10" s="294"/>
    </row>
    <row r="11" spans="1:58" x14ac:dyDescent="0.2">
      <c r="A11" s="874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874"/>
      <c r="BE11" s="294"/>
    </row>
    <row r="12" spans="1:58" x14ac:dyDescent="0.2">
      <c r="A12" s="874"/>
      <c r="B12" s="56"/>
      <c r="C12" s="56"/>
      <c r="D12" s="56"/>
      <c r="E12" s="56"/>
      <c r="F12" s="56"/>
      <c r="G12" s="1261" t="s">
        <v>350</v>
      </c>
      <c r="H12" s="1261"/>
      <c r="I12" s="1261"/>
      <c r="J12" s="1261"/>
      <c r="K12" s="1261"/>
      <c r="L12" s="376"/>
      <c r="M12" s="1269"/>
      <c r="N12" s="1269"/>
      <c r="O12" s="1269"/>
      <c r="P12" s="1269"/>
      <c r="Q12" s="1269"/>
      <c r="R12" s="1269"/>
      <c r="S12" s="1269"/>
      <c r="T12" s="1269"/>
      <c r="U12" s="1269"/>
      <c r="V12" s="1269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874"/>
      <c r="BE12" s="294"/>
      <c r="BF12" s="293" t="str">
        <f>BF33&amp;BF24&amp;BF29&amp;BF30</f>
        <v>Informo os recursos liberados para a Associação de Pais e Mestres do :</v>
      </c>
    </row>
    <row r="13" spans="1:58" x14ac:dyDescent="0.2">
      <c r="A13" s="874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874"/>
      <c r="BE13" s="294"/>
      <c r="BF13" s="293" t="str">
        <f>BF37&amp;BF29&amp;BF30</f>
        <v>Informo que os recursos liberados para a Associação de Pais, Mestres, Servidores, Usuários e Amigos do CEU :</v>
      </c>
    </row>
    <row r="14" spans="1:58" ht="4.5" customHeight="1" x14ac:dyDescent="0.2">
      <c r="A14" s="874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874"/>
      <c r="BE14" s="294"/>
    </row>
    <row r="15" spans="1:58" x14ac:dyDescent="0.2">
      <c r="A15" s="874"/>
      <c r="B15" s="56"/>
      <c r="C15" s="56"/>
      <c r="D15" s="56"/>
      <c r="E15" s="56"/>
      <c r="F15" s="380"/>
      <c r="G15" s="1270" t="s">
        <v>351</v>
      </c>
      <c r="H15" s="1270"/>
      <c r="I15" s="1270"/>
      <c r="J15" s="1270"/>
      <c r="K15" s="1270"/>
      <c r="L15" s="1270"/>
      <c r="M15" s="1270"/>
      <c r="N15" s="1270"/>
      <c r="O15" s="1270"/>
      <c r="P15" s="1270"/>
      <c r="Q15" s="1270"/>
      <c r="R15" s="1270"/>
      <c r="S15" s="1270"/>
      <c r="T15" s="1270"/>
      <c r="U15" s="1270"/>
      <c r="V15" s="1270"/>
      <c r="W15" s="1270"/>
      <c r="X15" s="1270"/>
      <c r="Y15" s="1270"/>
      <c r="Z15" s="1270"/>
      <c r="AA15" s="1270"/>
      <c r="AB15" s="1270"/>
      <c r="AC15" s="1270"/>
      <c r="AD15" s="1270"/>
      <c r="AE15" s="1270"/>
      <c r="AF15" s="1270"/>
      <c r="AG15" s="1270"/>
      <c r="AH15" s="1270"/>
      <c r="AI15" s="1270"/>
      <c r="AJ15" s="1270"/>
      <c r="AK15" s="1270"/>
      <c r="AL15" s="1270"/>
      <c r="AM15" s="1270"/>
      <c r="AN15" s="1270"/>
      <c r="AO15" s="1270"/>
      <c r="AP15" s="1270"/>
      <c r="AQ15" s="1270"/>
      <c r="AR15" s="1270"/>
      <c r="AS15" s="1270"/>
      <c r="AT15" s="380"/>
      <c r="AU15" s="380"/>
      <c r="AV15" s="380"/>
      <c r="AW15" s="380"/>
      <c r="AX15" s="380"/>
      <c r="AY15" s="380"/>
      <c r="AZ15" s="380"/>
      <c r="BA15" s="380"/>
      <c r="BB15" s="380"/>
      <c r="BC15" s="380"/>
      <c r="BD15" s="874"/>
      <c r="BE15" s="294"/>
      <c r="BF15" s="293" t="s">
        <v>1168</v>
      </c>
    </row>
    <row r="16" spans="1:58" ht="3" customHeight="1" x14ac:dyDescent="0.2">
      <c r="A16" s="874"/>
      <c r="B16" s="56"/>
      <c r="C16" s="56"/>
      <c r="D16" s="56"/>
      <c r="E16" s="56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0"/>
      <c r="V16" s="380"/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380"/>
      <c r="AH16" s="380"/>
      <c r="AI16" s="380"/>
      <c r="AJ16" s="380"/>
      <c r="AK16" s="380"/>
      <c r="AL16" s="380"/>
      <c r="AM16" s="380"/>
      <c r="AN16" s="380"/>
      <c r="AO16" s="380"/>
      <c r="AP16" s="380"/>
      <c r="AQ16" s="380"/>
      <c r="AR16" s="380"/>
      <c r="AS16" s="380"/>
      <c r="AT16" s="380"/>
      <c r="AU16" s="380"/>
      <c r="AV16" s="380"/>
      <c r="AW16" s="380"/>
      <c r="AX16" s="380"/>
      <c r="AY16" s="380"/>
      <c r="AZ16" s="380"/>
      <c r="BA16" s="380"/>
      <c r="BB16" s="380"/>
      <c r="BC16" s="380"/>
      <c r="BD16" s="874"/>
      <c r="BE16" s="294"/>
      <c r="BF16" s="293" t="s">
        <v>599</v>
      </c>
    </row>
    <row r="17" spans="1:59" x14ac:dyDescent="0.2">
      <c r="A17" s="874"/>
      <c r="B17" s="56"/>
      <c r="C17" s="56"/>
      <c r="D17" s="56"/>
      <c r="E17" s="56"/>
      <c r="F17" s="380"/>
      <c r="G17" s="380" t="s">
        <v>1169</v>
      </c>
      <c r="H17" s="380"/>
      <c r="I17" s="380"/>
      <c r="J17" s="382"/>
      <c r="K17" s="1262" t="str">
        <f>Dados!$G$9</f>
        <v/>
      </c>
      <c r="L17" s="1262"/>
      <c r="M17" s="1262"/>
      <c r="N17" s="1262"/>
      <c r="O17" s="1262"/>
      <c r="P17" s="1262"/>
      <c r="Q17" s="656" t="s">
        <v>292</v>
      </c>
      <c r="R17" s="1262" t="str">
        <f>Dados!$I$9</f>
        <v/>
      </c>
      <c r="S17" s="1262"/>
      <c r="T17" s="1262"/>
      <c r="U17" s="1262"/>
      <c r="V17" s="1262"/>
      <c r="W17" s="1262"/>
      <c r="X17" s="657"/>
      <c r="Y17" s="657"/>
      <c r="Z17" s="657"/>
      <c r="AA17" s="657"/>
      <c r="AB17" s="657"/>
      <c r="AC17" s="657"/>
      <c r="AD17" s="657"/>
      <c r="AE17" s="657"/>
      <c r="AF17" s="657"/>
      <c r="AG17" s="657"/>
      <c r="AH17" s="657"/>
      <c r="AI17" s="657"/>
      <c r="AJ17" s="657"/>
      <c r="AK17" s="657"/>
      <c r="AL17" s="657"/>
      <c r="AM17" s="657"/>
      <c r="AN17" s="657"/>
      <c r="AO17" s="657"/>
      <c r="AP17" s="657"/>
      <c r="AQ17" s="657"/>
      <c r="AR17" s="657"/>
      <c r="AS17" s="657"/>
      <c r="AT17" s="657"/>
      <c r="AU17" s="657"/>
      <c r="AV17" s="657"/>
      <c r="AW17" s="657"/>
      <c r="AX17" s="657"/>
      <c r="AY17" s="657"/>
      <c r="AZ17" s="657"/>
      <c r="BA17" s="657"/>
      <c r="BB17" s="657"/>
      <c r="BC17" s="657"/>
      <c r="BD17" s="874"/>
      <c r="BE17" s="294"/>
      <c r="BF17" s="371" t="s">
        <v>1164</v>
      </c>
    </row>
    <row r="18" spans="1:59" ht="7.5" customHeight="1" x14ac:dyDescent="0.2">
      <c r="A18" s="874"/>
      <c r="B18" s="56"/>
      <c r="C18" s="56"/>
      <c r="D18" s="56"/>
      <c r="E18" s="56"/>
      <c r="F18" s="657"/>
      <c r="G18" s="657"/>
      <c r="H18" s="657"/>
      <c r="I18" s="657"/>
      <c r="J18" s="657"/>
      <c r="K18" s="657"/>
      <c r="L18" s="657"/>
      <c r="M18" s="657"/>
      <c r="N18" s="657"/>
      <c r="O18" s="657"/>
      <c r="P18" s="657"/>
      <c r="Q18" s="657"/>
      <c r="R18" s="657"/>
      <c r="S18" s="657"/>
      <c r="T18" s="657"/>
      <c r="U18" s="657"/>
      <c r="V18" s="657"/>
      <c r="W18" s="657"/>
      <c r="X18" s="657"/>
      <c r="Y18" s="657"/>
      <c r="Z18" s="657"/>
      <c r="AA18" s="657"/>
      <c r="AB18" s="657"/>
      <c r="AC18" s="657"/>
      <c r="AD18" s="657"/>
      <c r="AE18" s="657"/>
      <c r="AF18" s="657"/>
      <c r="AG18" s="657"/>
      <c r="AH18" s="657"/>
      <c r="AI18" s="657"/>
      <c r="AJ18" s="657"/>
      <c r="AK18" s="657"/>
      <c r="AL18" s="657"/>
      <c r="AM18" s="657"/>
      <c r="AN18" s="657"/>
      <c r="AO18" s="657"/>
      <c r="AP18" s="657"/>
      <c r="AQ18" s="657"/>
      <c r="AR18" s="657"/>
      <c r="AS18" s="657"/>
      <c r="AT18" s="657"/>
      <c r="AU18" s="657"/>
      <c r="AV18" s="657"/>
      <c r="AW18" s="657"/>
      <c r="AX18" s="657"/>
      <c r="AY18" s="657"/>
      <c r="AZ18" s="657"/>
      <c r="BA18" s="657"/>
      <c r="BB18" s="657"/>
      <c r="BC18" s="657"/>
      <c r="BD18" s="874"/>
      <c r="BE18" s="294"/>
      <c r="BF18" s="371" t="s">
        <v>1165</v>
      </c>
    </row>
    <row r="19" spans="1:59" ht="7.5" customHeight="1" x14ac:dyDescent="0.2">
      <c r="A19" s="874"/>
      <c r="B19" s="56"/>
      <c r="C19" s="56"/>
      <c r="D19" s="56"/>
      <c r="E19" s="56"/>
      <c r="F19" s="657"/>
      <c r="G19" s="657"/>
      <c r="H19" s="657"/>
      <c r="I19" s="657"/>
      <c r="J19" s="657"/>
      <c r="K19" s="657"/>
      <c r="L19" s="657"/>
      <c r="M19" s="657"/>
      <c r="N19" s="657"/>
      <c r="O19" s="657"/>
      <c r="P19" s="657"/>
      <c r="Q19" s="657"/>
      <c r="R19" s="657"/>
      <c r="S19" s="657"/>
      <c r="T19" s="657"/>
      <c r="U19" s="657"/>
      <c r="V19" s="657"/>
      <c r="W19" s="657"/>
      <c r="X19" s="657"/>
      <c r="Y19" s="657"/>
      <c r="Z19" s="657"/>
      <c r="AA19" s="657"/>
      <c r="AB19" s="657"/>
      <c r="AC19" s="657"/>
      <c r="AD19" s="657"/>
      <c r="AE19" s="657"/>
      <c r="AF19" s="657"/>
      <c r="AG19" s="657"/>
      <c r="AH19" s="657"/>
      <c r="AI19" s="657"/>
      <c r="AJ19" s="657"/>
      <c r="AK19" s="657"/>
      <c r="AL19" s="657"/>
      <c r="AM19" s="657"/>
      <c r="AN19" s="657"/>
      <c r="AO19" s="657"/>
      <c r="AP19" s="657"/>
      <c r="AQ19" s="657"/>
      <c r="AR19" s="657"/>
      <c r="AS19" s="657"/>
      <c r="AT19" s="657"/>
      <c r="AU19" s="657"/>
      <c r="AV19" s="657"/>
      <c r="AW19" s="657"/>
      <c r="AX19" s="657"/>
      <c r="AY19" s="657"/>
      <c r="AZ19" s="657"/>
      <c r="BA19" s="657"/>
      <c r="BB19" s="657"/>
      <c r="BC19" s="657"/>
      <c r="BD19" s="874"/>
      <c r="BE19" s="294"/>
      <c r="BF19" s="369" t="s">
        <v>655</v>
      </c>
    </row>
    <row r="20" spans="1:59" x14ac:dyDescent="0.2">
      <c r="A20" s="874"/>
      <c r="B20" s="56"/>
      <c r="C20" s="56"/>
      <c r="D20" s="56"/>
      <c r="E20" s="56"/>
      <c r="F20" s="657"/>
      <c r="G20" s="1268" t="s">
        <v>353</v>
      </c>
      <c r="H20" s="1268"/>
      <c r="I20" s="1268"/>
      <c r="J20" s="1268"/>
      <c r="K20" s="1268"/>
      <c r="L20" s="1268"/>
      <c r="M20" s="1268"/>
      <c r="N20" s="1268"/>
      <c r="O20" s="1268"/>
      <c r="P20" s="1268"/>
      <c r="Q20" s="1268"/>
      <c r="R20" s="1268"/>
      <c r="S20" s="1268"/>
      <c r="T20" s="1268"/>
      <c r="U20" s="657"/>
      <c r="V20" s="657"/>
      <c r="W20" s="657"/>
      <c r="X20" s="657"/>
      <c r="Y20" s="657"/>
      <c r="Z20" s="657"/>
      <c r="AA20" s="657"/>
      <c r="AB20" s="657"/>
      <c r="AC20" s="657"/>
      <c r="AD20" s="657"/>
      <c r="AE20" s="657"/>
      <c r="AF20" s="657"/>
      <c r="AG20" s="657"/>
      <c r="AH20" s="657"/>
      <c r="AI20" s="657"/>
      <c r="AJ20" s="657"/>
      <c r="AK20" s="657"/>
      <c r="AL20" s="657"/>
      <c r="AM20" s="657"/>
      <c r="AN20" s="657"/>
      <c r="AO20" s="657"/>
      <c r="AP20" s="657"/>
      <c r="AQ20" s="657"/>
      <c r="AR20" s="657"/>
      <c r="AS20" s="657"/>
      <c r="AT20" s="657"/>
      <c r="AU20" s="657"/>
      <c r="AV20" s="657"/>
      <c r="AW20" s="657"/>
      <c r="AX20" s="657"/>
      <c r="AY20" s="657"/>
      <c r="AZ20" s="657"/>
      <c r="BA20" s="657"/>
      <c r="BB20" s="657"/>
      <c r="BC20" s="657"/>
      <c r="BD20" s="874"/>
      <c r="BE20" s="294"/>
      <c r="BF20" s="371" t="s">
        <v>1166</v>
      </c>
    </row>
    <row r="21" spans="1:59" x14ac:dyDescent="0.2">
      <c r="A21" s="874"/>
      <c r="B21" s="56"/>
      <c r="C21" s="56"/>
      <c r="D21" s="56"/>
      <c r="E21" s="56"/>
      <c r="F21" s="657"/>
      <c r="G21" s="657"/>
      <c r="H21" s="657"/>
      <c r="I21" s="657"/>
      <c r="J21" s="657"/>
      <c r="K21" s="657"/>
      <c r="L21" s="657"/>
      <c r="M21" s="657"/>
      <c r="N21" s="657"/>
      <c r="O21" s="657"/>
      <c r="P21" s="657"/>
      <c r="Q21" s="657"/>
      <c r="R21" s="657"/>
      <c r="S21" s="657"/>
      <c r="T21" s="657"/>
      <c r="U21" s="657"/>
      <c r="V21" s="657"/>
      <c r="W21" s="657"/>
      <c r="X21" s="657"/>
      <c r="Y21" s="657"/>
      <c r="Z21" s="657"/>
      <c r="AA21" s="657"/>
      <c r="AB21" s="657"/>
      <c r="AC21" s="657"/>
      <c r="AD21" s="657"/>
      <c r="AE21" s="657"/>
      <c r="AF21" s="657"/>
      <c r="AG21" s="657"/>
      <c r="AH21" s="657"/>
      <c r="AI21" s="657"/>
      <c r="AJ21" s="657"/>
      <c r="AK21" s="657"/>
      <c r="AL21" s="657"/>
      <c r="AM21" s="657"/>
      <c r="AN21" s="657"/>
      <c r="AO21" s="657"/>
      <c r="AP21" s="657"/>
      <c r="AQ21" s="657"/>
      <c r="AR21" s="657"/>
      <c r="AS21" s="657"/>
      <c r="AT21" s="657"/>
      <c r="AU21" s="657"/>
      <c r="AV21" s="657"/>
      <c r="AW21" s="657"/>
      <c r="AX21" s="657"/>
      <c r="AY21" s="657"/>
      <c r="AZ21" s="657"/>
      <c r="BA21" s="657"/>
      <c r="BB21" s="657"/>
      <c r="BC21" s="657"/>
      <c r="BD21" s="874"/>
      <c r="BE21" s="294"/>
      <c r="BF21" s="371" t="s">
        <v>1165</v>
      </c>
    </row>
    <row r="22" spans="1:59" x14ac:dyDescent="0.2">
      <c r="A22" s="874"/>
      <c r="B22" s="56"/>
      <c r="C22" s="56"/>
      <c r="D22" s="56"/>
      <c r="E22" s="56"/>
      <c r="F22" s="657"/>
      <c r="G22" s="1263" t="s">
        <v>1167</v>
      </c>
      <c r="H22" s="1264"/>
      <c r="I22" s="1264"/>
      <c r="J22" s="1264"/>
      <c r="K22" s="1264"/>
      <c r="L22" s="1264"/>
      <c r="M22" s="1264"/>
      <c r="N22" s="1264"/>
      <c r="O22" s="1264"/>
      <c r="P22" s="1264"/>
      <c r="Q22" s="1264"/>
      <c r="R22" s="1264"/>
      <c r="S22" s="1264"/>
      <c r="T22" s="1264"/>
      <c r="U22" s="1264"/>
      <c r="V22" s="1264"/>
      <c r="W22" s="1264"/>
      <c r="X22" s="1264"/>
      <c r="Y22" s="1264"/>
      <c r="Z22" s="1264"/>
      <c r="AA22" s="1264"/>
      <c r="AB22" s="1264"/>
      <c r="AC22" s="1264"/>
      <c r="AD22" s="1264"/>
      <c r="AE22" s="1264"/>
      <c r="AF22" s="1264"/>
      <c r="AG22" s="1264"/>
      <c r="AH22" s="1264"/>
      <c r="AI22" s="1264"/>
      <c r="AJ22" s="1264"/>
      <c r="AK22" s="1264"/>
      <c r="AL22" s="1264"/>
      <c r="AM22" s="1264"/>
      <c r="AN22" s="1264"/>
      <c r="AO22" s="1264"/>
      <c r="AP22" s="1264"/>
      <c r="AQ22" s="1264"/>
      <c r="AR22" s="1264"/>
      <c r="AS22" s="1264"/>
      <c r="AT22" s="1264"/>
      <c r="AU22" s="1264"/>
      <c r="AV22" s="1264"/>
      <c r="AW22" s="1264"/>
      <c r="AX22" s="1264"/>
      <c r="AY22" s="1264"/>
      <c r="AZ22" s="1264"/>
      <c r="BA22" s="1264"/>
      <c r="BB22" s="1264"/>
      <c r="BC22" s="1264"/>
      <c r="BD22" s="874"/>
      <c r="BE22" s="294"/>
      <c r="BF22" s="371" t="s">
        <v>280</v>
      </c>
    </row>
    <row r="23" spans="1:59" x14ac:dyDescent="0.2">
      <c r="A23" s="874"/>
      <c r="B23" s="56"/>
      <c r="C23" s="56"/>
      <c r="D23" s="56"/>
      <c r="E23" s="56"/>
      <c r="F23" s="657"/>
      <c r="G23" s="1242" t="s">
        <v>667</v>
      </c>
      <c r="H23" s="1242"/>
      <c r="I23" s="1242"/>
      <c r="J23" s="1242"/>
      <c r="K23" s="1242"/>
      <c r="L23" s="1242"/>
      <c r="M23" s="1242"/>
      <c r="N23" s="1242"/>
      <c r="O23" s="1242"/>
      <c r="P23" s="1241" t="str">
        <f>BF26&amp;BF25</f>
        <v/>
      </c>
      <c r="Q23" s="1241"/>
      <c r="R23" s="1241"/>
      <c r="S23" s="1241"/>
      <c r="T23" s="1241"/>
      <c r="U23" s="1241"/>
      <c r="V23" s="1241"/>
      <c r="W23" s="1241"/>
      <c r="X23" s="1241"/>
      <c r="Y23" s="1241"/>
      <c r="Z23" s="1241"/>
      <c r="AA23" s="1242" t="str">
        <f>BF15</f>
        <v>e demais recursos abaixo discriminados:</v>
      </c>
      <c r="AB23" s="1242"/>
      <c r="AC23" s="1242"/>
      <c r="AD23" s="1242"/>
      <c r="AE23" s="1242"/>
      <c r="AF23" s="1242"/>
      <c r="AG23" s="1242"/>
      <c r="AH23" s="1242"/>
      <c r="AI23" s="1242"/>
      <c r="AJ23" s="1242"/>
      <c r="AK23" s="1242"/>
      <c r="AL23" s="1242"/>
      <c r="AM23" s="1242"/>
      <c r="AN23" s="1242"/>
      <c r="AO23" s="1242"/>
      <c r="AP23" s="1242"/>
      <c r="AQ23" s="1242"/>
      <c r="AR23" s="1242"/>
      <c r="AS23" s="1242"/>
      <c r="AT23" s="1242"/>
      <c r="AU23" s="1242"/>
      <c r="AV23" s="1242"/>
      <c r="AW23" s="1242"/>
      <c r="AX23" s="1242"/>
      <c r="AY23" s="1242"/>
      <c r="AZ23" s="1242"/>
      <c r="BA23" s="1242"/>
      <c r="BB23" s="1242"/>
      <c r="BC23" s="1242"/>
      <c r="BD23" s="874"/>
      <c r="BE23" s="294"/>
      <c r="BF23" s="295" t="str">
        <f>IF(OR(BF27="EMEI",BF27="EMEI CEU",BF27="EMEF",BF27="EMEF CEU",BF27="EMEBS",BF27="EMEFM")," DA "," DO ")</f>
        <v xml:space="preserve"> DO </v>
      </c>
      <c r="BG23" s="371"/>
    </row>
    <row r="24" spans="1:59" ht="3" customHeight="1" x14ac:dyDescent="0.2">
      <c r="A24" s="874"/>
      <c r="B24" s="56"/>
      <c r="C24" s="56"/>
      <c r="D24" s="56"/>
      <c r="E24" s="56"/>
      <c r="F24" s="657"/>
      <c r="G24" s="1243"/>
      <c r="H24" s="1243"/>
      <c r="I24" s="1243"/>
      <c r="J24" s="1243"/>
      <c r="K24" s="1243"/>
      <c r="L24" s="1243"/>
      <c r="M24" s="1243"/>
      <c r="N24" s="1243"/>
      <c r="O24" s="1243"/>
      <c r="P24" s="1243"/>
      <c r="Q24" s="1243"/>
      <c r="R24" s="1243"/>
      <c r="S24" s="1243"/>
      <c r="T24" s="1243"/>
      <c r="U24" s="1243"/>
      <c r="V24" s="1243"/>
      <c r="W24" s="1243"/>
      <c r="X24" s="1243"/>
      <c r="Y24" s="1243"/>
      <c r="Z24" s="1243"/>
      <c r="AA24" s="1243"/>
      <c r="AB24" s="1243"/>
      <c r="AC24" s="1243"/>
      <c r="AD24" s="1243"/>
      <c r="AE24" s="1243"/>
      <c r="AF24" s="1243"/>
      <c r="AG24" s="1243"/>
      <c r="AH24" s="1243"/>
      <c r="AI24" s="1243"/>
      <c r="AJ24" s="1243"/>
      <c r="AK24" s="1243"/>
      <c r="AL24" s="1243"/>
      <c r="AM24" s="1243"/>
      <c r="AN24" s="1243"/>
      <c r="AO24" s="1243"/>
      <c r="AP24" s="1243"/>
      <c r="AQ24" s="1243"/>
      <c r="AR24" s="1243"/>
      <c r="AS24" s="1243"/>
      <c r="AT24" s="1243"/>
      <c r="AU24" s="1243"/>
      <c r="AV24" s="1243"/>
      <c r="AW24" s="1243"/>
      <c r="AX24" s="1243"/>
      <c r="AY24" s="1243"/>
      <c r="AZ24" s="1243"/>
      <c r="BA24" s="1243"/>
      <c r="BB24" s="1243"/>
      <c r="BC24" s="1243"/>
      <c r="BD24" s="874"/>
      <c r="BE24" s="294"/>
      <c r="BF24" s="295" t="str">
        <f>IF(OR(BF27="EMEI",BF27="EMEI CEU",BF27="EMEF",BF27="EMEF CEU",BF27="EMEBS",BF27="EMEFM")," da "," do ")</f>
        <v xml:space="preserve"> do </v>
      </c>
      <c r="BG24" s="371"/>
    </row>
    <row r="25" spans="1:59" ht="25.5" customHeight="1" x14ac:dyDescent="0.2">
      <c r="A25" s="874"/>
      <c r="B25" s="56"/>
      <c r="C25" s="56"/>
      <c r="D25" s="56"/>
      <c r="E25" s="56"/>
      <c r="F25" s="657"/>
      <c r="G25" s="1244" t="str">
        <f>IF($BF$27="","",IF($BF$27="CEU",$BF$13,$BF$12))</f>
        <v/>
      </c>
      <c r="H25" s="1244"/>
      <c r="I25" s="1244"/>
      <c r="J25" s="1244"/>
      <c r="K25" s="1244"/>
      <c r="L25" s="1244"/>
      <c r="M25" s="1244"/>
      <c r="N25" s="1244"/>
      <c r="O25" s="1244"/>
      <c r="P25" s="1244"/>
      <c r="Q25" s="1244"/>
      <c r="R25" s="1244"/>
      <c r="S25" s="1244"/>
      <c r="T25" s="1244"/>
      <c r="U25" s="1244"/>
      <c r="V25" s="1244"/>
      <c r="W25" s="1244"/>
      <c r="X25" s="1244"/>
      <c r="Y25" s="1244"/>
      <c r="Z25" s="1244"/>
      <c r="AA25" s="1244"/>
      <c r="AB25" s="1244"/>
      <c r="AC25" s="1244"/>
      <c r="AD25" s="1244"/>
      <c r="AE25" s="1244"/>
      <c r="AF25" s="1244"/>
      <c r="AG25" s="1244"/>
      <c r="AH25" s="1244"/>
      <c r="AI25" s="1244"/>
      <c r="AJ25" s="1244"/>
      <c r="AK25" s="1244"/>
      <c r="AL25" s="1244"/>
      <c r="AM25" s="1244"/>
      <c r="AN25" s="1244"/>
      <c r="AO25" s="1244"/>
      <c r="AP25" s="1244"/>
      <c r="AQ25" s="1244"/>
      <c r="AR25" s="1244"/>
      <c r="AS25" s="1244"/>
      <c r="AT25" s="1244"/>
      <c r="AU25" s="1244"/>
      <c r="AV25" s="1244"/>
      <c r="AW25" s="1244"/>
      <c r="AX25" s="1244"/>
      <c r="AY25" s="1244"/>
      <c r="AZ25" s="1244"/>
      <c r="BA25" s="1244"/>
      <c r="BB25" s="1244"/>
      <c r="BC25" s="1244"/>
      <c r="BD25" s="874"/>
      <c r="BE25" s="294"/>
      <c r="BF25" s="296" t="str">
        <f>Dados!$E$9</f>
        <v/>
      </c>
      <c r="BG25" s="293" t="str">
        <f>BF26&amp;BF25</f>
        <v/>
      </c>
    </row>
    <row r="26" spans="1:59" ht="13.5" thickBot="1" x14ac:dyDescent="0.25">
      <c r="A26" s="874"/>
      <c r="B26" s="56"/>
      <c r="C26" s="56"/>
      <c r="D26" s="56"/>
      <c r="E26" s="56"/>
      <c r="F26" s="657"/>
      <c r="BD26" s="874"/>
      <c r="BE26" s="294"/>
      <c r="BF26" s="293" t="str">
        <f>Dados!$C$128</f>
        <v/>
      </c>
    </row>
    <row r="27" spans="1:59" ht="15.75" customHeight="1" thickBot="1" x14ac:dyDescent="0.25">
      <c r="A27" s="874"/>
      <c r="B27" s="56"/>
      <c r="C27" s="56"/>
      <c r="D27" s="56"/>
      <c r="E27" s="56"/>
      <c r="F27" s="380"/>
      <c r="G27" s="1265" t="s">
        <v>1175</v>
      </c>
      <c r="H27" s="1245"/>
      <c r="I27" s="1245"/>
      <c r="J27" s="1245"/>
      <c r="K27" s="1245"/>
      <c r="L27" s="1245"/>
      <c r="M27" s="1245"/>
      <c r="N27" s="1245"/>
      <c r="O27" s="1245"/>
      <c r="P27" s="1266"/>
      <c r="Q27" s="1237" t="s">
        <v>181</v>
      </c>
      <c r="R27" s="1238"/>
      <c r="S27" s="1238"/>
      <c r="T27" s="1238"/>
      <c r="U27" s="1238"/>
      <c r="V27" s="1238"/>
      <c r="W27" s="1238"/>
      <c r="X27" s="1238"/>
      <c r="Y27" s="1239"/>
      <c r="Z27" s="1237" t="s">
        <v>182</v>
      </c>
      <c r="AA27" s="1238"/>
      <c r="AB27" s="1238"/>
      <c r="AC27" s="1238"/>
      <c r="AD27" s="1238"/>
      <c r="AE27" s="1238"/>
      <c r="AF27" s="1238"/>
      <c r="AG27" s="1238"/>
      <c r="AH27" s="1239"/>
      <c r="AI27" s="1237" t="s">
        <v>440</v>
      </c>
      <c r="AJ27" s="1238"/>
      <c r="AK27" s="1238"/>
      <c r="AL27" s="1238"/>
      <c r="AM27" s="1238"/>
      <c r="AN27" s="1238"/>
      <c r="AO27" s="1238"/>
      <c r="AP27" s="1238"/>
      <c r="AQ27" s="1240"/>
      <c r="AR27" s="1239" t="s">
        <v>15067</v>
      </c>
      <c r="AS27" s="1245"/>
      <c r="AT27" s="1245"/>
      <c r="AU27" s="1245"/>
      <c r="AV27" s="1245"/>
      <c r="AW27" s="1245"/>
      <c r="AX27" s="1245"/>
      <c r="AY27" s="1245"/>
      <c r="AZ27" s="1245"/>
      <c r="BA27" s="1245"/>
      <c r="BB27" s="1245"/>
      <c r="BC27" s="1246"/>
      <c r="BD27" s="874"/>
      <c r="BE27" s="294"/>
      <c r="BF27" s="371" t="str">
        <f>Dados!$J$71</f>
        <v/>
      </c>
    </row>
    <row r="28" spans="1:59" ht="30" customHeight="1" thickBot="1" x14ac:dyDescent="0.25">
      <c r="A28" s="874" t="str">
        <f t="shared" ref="A28:A37" si="0">IF(OR(AI28=0,AI28=""),"OK","")</f>
        <v>OK</v>
      </c>
      <c r="B28" s="56"/>
      <c r="C28" s="56"/>
      <c r="D28" s="56"/>
      <c r="E28" s="56"/>
      <c r="F28" s="380"/>
      <c r="G28" s="1258" t="s">
        <v>1163</v>
      </c>
      <c r="H28" s="1259"/>
      <c r="I28" s="1259"/>
      <c r="J28" s="1259"/>
      <c r="K28" s="1259"/>
      <c r="L28" s="1259"/>
      <c r="M28" s="1259"/>
      <c r="N28" s="1259"/>
      <c r="O28" s="1259"/>
      <c r="P28" s="1260"/>
      <c r="Q28" s="1255" t="str">
        <f>IF(Dados!$E$3="","",MOD_2!$G$15)</f>
        <v/>
      </c>
      <c r="R28" s="1250"/>
      <c r="S28" s="1250"/>
      <c r="T28" s="1250"/>
      <c r="U28" s="1250"/>
      <c r="V28" s="1250"/>
      <c r="W28" s="1250"/>
      <c r="X28" s="1250"/>
      <c r="Y28" s="1251"/>
      <c r="Z28" s="1255" t="str">
        <f>IF(Dados!$E$3="","",MOD_2!$G$16)</f>
        <v/>
      </c>
      <c r="AA28" s="1250"/>
      <c r="AB28" s="1250"/>
      <c r="AC28" s="1250"/>
      <c r="AD28" s="1250"/>
      <c r="AE28" s="1250"/>
      <c r="AF28" s="1250"/>
      <c r="AG28" s="1250"/>
      <c r="AH28" s="1251"/>
      <c r="AI28" s="1250" t="str">
        <f>IF(Dados!$E$3="","",SUM(Q28+Z28))</f>
        <v/>
      </c>
      <c r="AJ28" s="1250"/>
      <c r="AK28" s="1250"/>
      <c r="AL28" s="1250"/>
      <c r="AM28" s="1250"/>
      <c r="AN28" s="1250"/>
      <c r="AO28" s="1250"/>
      <c r="AP28" s="1250"/>
      <c r="AQ28" s="1251"/>
      <c r="AR28" s="1247" t="str">
        <f>IF(Dados!$E$3="","","2.517/2019 - 4.086/2019 8.647/2019")</f>
        <v/>
      </c>
      <c r="AS28" s="1248"/>
      <c r="AT28" s="1248"/>
      <c r="AU28" s="1248"/>
      <c r="AV28" s="1248"/>
      <c r="AW28" s="1248"/>
      <c r="AX28" s="1248"/>
      <c r="AY28" s="1248"/>
      <c r="AZ28" s="1248"/>
      <c r="BA28" s="1248"/>
      <c r="BB28" s="1248"/>
      <c r="BC28" s="1249"/>
      <c r="BD28" s="874"/>
      <c r="BE28" s="294"/>
      <c r="BF28" s="296" t="s">
        <v>372</v>
      </c>
    </row>
    <row r="29" spans="1:59" ht="15.75" customHeight="1" thickBot="1" x14ac:dyDescent="0.25">
      <c r="A29" s="875" t="str">
        <f t="shared" si="0"/>
        <v>OK</v>
      </c>
      <c r="B29" s="56"/>
      <c r="C29" s="56"/>
      <c r="D29" s="56"/>
      <c r="E29" s="56"/>
      <c r="F29" s="380"/>
      <c r="G29" s="1252" t="s">
        <v>599</v>
      </c>
      <c r="H29" s="1253"/>
      <c r="I29" s="1253"/>
      <c r="J29" s="1253"/>
      <c r="K29" s="1253"/>
      <c r="L29" s="1253"/>
      <c r="M29" s="1253"/>
      <c r="N29" s="1253"/>
      <c r="O29" s="1253"/>
      <c r="P29" s="1254"/>
      <c r="Q29" s="1256" t="str">
        <f>IF(Dados!$E$3="","",MOD_2_volta_aulas!$G$15)</f>
        <v/>
      </c>
      <c r="R29" s="1233"/>
      <c r="S29" s="1233"/>
      <c r="T29" s="1233"/>
      <c r="U29" s="1233"/>
      <c r="V29" s="1233"/>
      <c r="W29" s="1233"/>
      <c r="X29" s="1233"/>
      <c r="Y29" s="1234"/>
      <c r="Z29" s="1256" t="str">
        <f>IF(Dados!$E$3="","",MOD_2_volta_aulas!$G$16)</f>
        <v/>
      </c>
      <c r="AA29" s="1233"/>
      <c r="AB29" s="1233"/>
      <c r="AC29" s="1233"/>
      <c r="AD29" s="1233"/>
      <c r="AE29" s="1233"/>
      <c r="AF29" s="1233"/>
      <c r="AG29" s="1233"/>
      <c r="AH29" s="1234"/>
      <c r="AI29" s="1233" t="str">
        <f>IF(Dados!$E$3="","",SUM(Q29+Z29))</f>
        <v/>
      </c>
      <c r="AJ29" s="1233"/>
      <c r="AK29" s="1233"/>
      <c r="AL29" s="1233"/>
      <c r="AM29" s="1233"/>
      <c r="AN29" s="1233"/>
      <c r="AO29" s="1233"/>
      <c r="AP29" s="1233"/>
      <c r="AQ29" s="1234"/>
      <c r="AR29" s="1247" t="str">
        <f>IF(Dados!$E$3="","","8.487/2018")</f>
        <v/>
      </c>
      <c r="AS29" s="1248"/>
      <c r="AT29" s="1248"/>
      <c r="AU29" s="1248"/>
      <c r="AV29" s="1248"/>
      <c r="AW29" s="1248"/>
      <c r="AX29" s="1248"/>
      <c r="AY29" s="1248"/>
      <c r="AZ29" s="1248"/>
      <c r="BA29" s="1248"/>
      <c r="BB29" s="1248"/>
      <c r="BC29" s="1249"/>
      <c r="BD29" s="874"/>
      <c r="BE29" s="294"/>
      <c r="BF29" s="293" t="str">
        <f>Dados!$E$67</f>
        <v/>
      </c>
    </row>
    <row r="30" spans="1:59" ht="15.75" customHeight="1" thickBot="1" x14ac:dyDescent="0.25">
      <c r="A30" s="875" t="str">
        <f t="shared" si="0"/>
        <v>OK</v>
      </c>
      <c r="B30" s="56"/>
      <c r="C30" s="56"/>
      <c r="D30" s="56"/>
      <c r="E30" s="56"/>
      <c r="F30" s="380"/>
      <c r="G30" s="1229" t="s">
        <v>727</v>
      </c>
      <c r="H30" s="1230"/>
      <c r="I30" s="1230"/>
      <c r="J30" s="1230"/>
      <c r="K30" s="1230"/>
      <c r="L30" s="1230"/>
      <c r="M30" s="1230"/>
      <c r="N30" s="1230"/>
      <c r="O30" s="1230"/>
      <c r="P30" s="1231"/>
      <c r="Q30" s="1223" t="str">
        <f>IF(Dados!$E$3="","",MOD_2_futuro!$G$15)</f>
        <v/>
      </c>
      <c r="R30" s="1224"/>
      <c r="S30" s="1224"/>
      <c r="T30" s="1224"/>
      <c r="U30" s="1224"/>
      <c r="V30" s="1224"/>
      <c r="W30" s="1224"/>
      <c r="X30" s="1224"/>
      <c r="Y30" s="1225"/>
      <c r="Z30" s="1223" t="str">
        <f>IF(Dados!$E$3="","",MOD_2_futuro!$G$16)</f>
        <v/>
      </c>
      <c r="AA30" s="1224"/>
      <c r="AB30" s="1224"/>
      <c r="AC30" s="1224"/>
      <c r="AD30" s="1224"/>
      <c r="AE30" s="1224"/>
      <c r="AF30" s="1224"/>
      <c r="AG30" s="1224"/>
      <c r="AH30" s="1225"/>
      <c r="AI30" s="1224" t="str">
        <f>IF(Dados!$E$3="","",SUM(Q30+Z30))</f>
        <v/>
      </c>
      <c r="AJ30" s="1224"/>
      <c r="AK30" s="1224"/>
      <c r="AL30" s="1224"/>
      <c r="AM30" s="1224"/>
      <c r="AN30" s="1224"/>
      <c r="AO30" s="1224"/>
      <c r="AP30" s="1224"/>
      <c r="AQ30" s="1225"/>
      <c r="AR30" s="1232" t="str">
        <f>IF(Dados!$E$3="","","4.085/2019")</f>
        <v/>
      </c>
      <c r="AS30" s="1227"/>
      <c r="AT30" s="1227"/>
      <c r="AU30" s="1227"/>
      <c r="AV30" s="1227"/>
      <c r="AW30" s="1227"/>
      <c r="AX30" s="1227"/>
      <c r="AY30" s="1227"/>
      <c r="AZ30" s="1227"/>
      <c r="BA30" s="1227"/>
      <c r="BB30" s="1227"/>
      <c r="BC30" s="1228"/>
      <c r="BD30" s="874"/>
      <c r="BE30" s="294"/>
      <c r="BF30" s="371" t="s">
        <v>657</v>
      </c>
    </row>
    <row r="31" spans="1:59" ht="15.75" customHeight="1" thickBot="1" x14ac:dyDescent="0.25">
      <c r="A31" s="875" t="str">
        <f t="shared" si="0"/>
        <v>OK</v>
      </c>
      <c r="B31" s="56"/>
      <c r="C31" s="56"/>
      <c r="D31" s="56"/>
      <c r="E31" s="56"/>
      <c r="F31" s="658"/>
      <c r="G31" s="1229" t="s">
        <v>1066</v>
      </c>
      <c r="H31" s="1230"/>
      <c r="I31" s="1230"/>
      <c r="J31" s="1230"/>
      <c r="K31" s="1230"/>
      <c r="L31" s="1230"/>
      <c r="M31" s="1230"/>
      <c r="N31" s="1230"/>
      <c r="O31" s="1230"/>
      <c r="P31" s="1231"/>
      <c r="Q31" s="1223" t="str">
        <f>IF(Dados!$E$3="","",MOD_2_transporte!$G$15)</f>
        <v/>
      </c>
      <c r="R31" s="1224"/>
      <c r="S31" s="1224"/>
      <c r="T31" s="1224"/>
      <c r="U31" s="1224"/>
      <c r="V31" s="1224"/>
      <c r="W31" s="1224"/>
      <c r="X31" s="1224"/>
      <c r="Y31" s="1225"/>
      <c r="Z31" s="1223" t="str">
        <f>IF(Dados!$E$3="","",MOD_2_transporte!$G$16)</f>
        <v/>
      </c>
      <c r="AA31" s="1224"/>
      <c r="AB31" s="1224"/>
      <c r="AC31" s="1224"/>
      <c r="AD31" s="1224"/>
      <c r="AE31" s="1224"/>
      <c r="AF31" s="1224"/>
      <c r="AG31" s="1224"/>
      <c r="AH31" s="1225"/>
      <c r="AI31" s="1224" t="str">
        <f>IF(Dados!$E$3="","",SUM(Q31+Z31))</f>
        <v/>
      </c>
      <c r="AJ31" s="1224"/>
      <c r="AK31" s="1224"/>
      <c r="AL31" s="1224"/>
      <c r="AM31" s="1224"/>
      <c r="AN31" s="1224"/>
      <c r="AO31" s="1224"/>
      <c r="AP31" s="1224"/>
      <c r="AQ31" s="1225"/>
      <c r="AR31" s="1226" t="str">
        <f>IF(Dados!$E$3="","","5.327/2019")</f>
        <v/>
      </c>
      <c r="AS31" s="1227"/>
      <c r="AT31" s="1227"/>
      <c r="AU31" s="1227"/>
      <c r="AV31" s="1227"/>
      <c r="AW31" s="1227"/>
      <c r="AX31" s="1227"/>
      <c r="AY31" s="1227"/>
      <c r="AZ31" s="1227"/>
      <c r="BA31" s="1227"/>
      <c r="BB31" s="1227"/>
      <c r="BC31" s="1228"/>
      <c r="BD31" s="874"/>
      <c r="BE31" s="294"/>
    </row>
    <row r="32" spans="1:59" ht="15.75" customHeight="1" thickBot="1" x14ac:dyDescent="0.25">
      <c r="A32" s="875" t="str">
        <f t="shared" si="0"/>
        <v>OK</v>
      </c>
      <c r="B32" s="56"/>
      <c r="C32" s="56"/>
      <c r="D32" s="56"/>
      <c r="E32" s="56"/>
      <c r="F32" s="658"/>
      <c r="G32" s="1229" t="s">
        <v>728</v>
      </c>
      <c r="H32" s="1230"/>
      <c r="I32" s="1230"/>
      <c r="J32" s="1230"/>
      <c r="K32" s="1230"/>
      <c r="L32" s="1230"/>
      <c r="M32" s="1230"/>
      <c r="N32" s="1230"/>
      <c r="O32" s="1230"/>
      <c r="P32" s="1231"/>
      <c r="Q32" s="1223" t="str">
        <f>IF(Dados!$E$3="","",MOD_2_imprensa!$G$15)</f>
        <v/>
      </c>
      <c r="R32" s="1224"/>
      <c r="S32" s="1224"/>
      <c r="T32" s="1224"/>
      <c r="U32" s="1224"/>
      <c r="V32" s="1224"/>
      <c r="W32" s="1224"/>
      <c r="X32" s="1224"/>
      <c r="Y32" s="1225"/>
      <c r="Z32" s="1223" t="str">
        <f>IF(Dados!$E$3="","",MOD_2_imprensa!$G$16)</f>
        <v/>
      </c>
      <c r="AA32" s="1224"/>
      <c r="AB32" s="1224"/>
      <c r="AC32" s="1224"/>
      <c r="AD32" s="1224"/>
      <c r="AE32" s="1224"/>
      <c r="AF32" s="1224"/>
      <c r="AG32" s="1224"/>
      <c r="AH32" s="1225"/>
      <c r="AI32" s="1224" t="str">
        <f>IF(Dados!$E$3="","",SUM(Q32+Z32))</f>
        <v/>
      </c>
      <c r="AJ32" s="1224"/>
      <c r="AK32" s="1224"/>
      <c r="AL32" s="1224"/>
      <c r="AM32" s="1224"/>
      <c r="AN32" s="1224"/>
      <c r="AO32" s="1224"/>
      <c r="AP32" s="1224"/>
      <c r="AQ32" s="1225"/>
      <c r="AR32" s="1226" t="str">
        <f>IF(Dados!$E$3="","","8.510/2019")</f>
        <v/>
      </c>
      <c r="AS32" s="1227"/>
      <c r="AT32" s="1227"/>
      <c r="AU32" s="1227"/>
      <c r="AV32" s="1227"/>
      <c r="AW32" s="1227"/>
      <c r="AX32" s="1227"/>
      <c r="AY32" s="1227"/>
      <c r="AZ32" s="1227"/>
      <c r="BA32" s="1227"/>
      <c r="BB32" s="1227"/>
      <c r="BC32" s="1228"/>
      <c r="BD32" s="874"/>
      <c r="BE32" s="294"/>
    </row>
    <row r="33" spans="1:59" ht="15.75" customHeight="1" thickBot="1" x14ac:dyDescent="0.25">
      <c r="A33" s="875" t="str">
        <f t="shared" si="0"/>
        <v>OK</v>
      </c>
      <c r="B33" s="56"/>
      <c r="C33" s="56"/>
      <c r="D33" s="56"/>
      <c r="E33" s="56"/>
      <c r="F33" s="658"/>
      <c r="G33" s="1220" t="s">
        <v>707</v>
      </c>
      <c r="H33" s="1221"/>
      <c r="I33" s="1221"/>
      <c r="J33" s="1221"/>
      <c r="K33" s="1221"/>
      <c r="L33" s="1221"/>
      <c r="M33" s="1221"/>
      <c r="N33" s="1221"/>
      <c r="O33" s="1221"/>
      <c r="P33" s="1222"/>
      <c r="Q33" s="1223" t="str">
        <f>IF(Dados!$E$3="","",MOD_2_gremio!$G$15)</f>
        <v/>
      </c>
      <c r="R33" s="1224"/>
      <c r="S33" s="1224"/>
      <c r="T33" s="1224"/>
      <c r="U33" s="1224"/>
      <c r="V33" s="1224"/>
      <c r="W33" s="1224"/>
      <c r="X33" s="1224"/>
      <c r="Y33" s="1225"/>
      <c r="Z33" s="1223" t="str">
        <f>IF(Dados!$E$3="","",MOD_2_gremio!$G$16)</f>
        <v/>
      </c>
      <c r="AA33" s="1224"/>
      <c r="AB33" s="1224"/>
      <c r="AC33" s="1224"/>
      <c r="AD33" s="1224"/>
      <c r="AE33" s="1224"/>
      <c r="AF33" s="1224"/>
      <c r="AG33" s="1224"/>
      <c r="AH33" s="1225"/>
      <c r="AI33" s="1224" t="str">
        <f>IF(Dados!$E$3="","",SUM(Q33+Z33))</f>
        <v/>
      </c>
      <c r="AJ33" s="1224"/>
      <c r="AK33" s="1224"/>
      <c r="AL33" s="1224"/>
      <c r="AM33" s="1224"/>
      <c r="AN33" s="1224"/>
      <c r="AO33" s="1224"/>
      <c r="AP33" s="1224"/>
      <c r="AQ33" s="1225"/>
      <c r="AR33" s="1226" t="str">
        <f>IF(Dados!$E$3="","","8.305/2019")</f>
        <v/>
      </c>
      <c r="AS33" s="1227"/>
      <c r="AT33" s="1227"/>
      <c r="AU33" s="1227"/>
      <c r="AV33" s="1227"/>
      <c r="AW33" s="1227"/>
      <c r="AX33" s="1227"/>
      <c r="AY33" s="1227"/>
      <c r="AZ33" s="1227"/>
      <c r="BA33" s="1227"/>
      <c r="BB33" s="1227"/>
      <c r="BC33" s="1228"/>
      <c r="BD33" s="874"/>
      <c r="BE33" s="294"/>
      <c r="BF33" s="371" t="s">
        <v>656</v>
      </c>
    </row>
    <row r="34" spans="1:59" ht="15.75" customHeight="1" thickBot="1" x14ac:dyDescent="0.25">
      <c r="A34" s="875"/>
      <c r="B34" s="56"/>
      <c r="C34" s="56"/>
      <c r="D34" s="56"/>
      <c r="E34" s="56"/>
      <c r="F34" s="658"/>
      <c r="G34" s="1220" t="s">
        <v>12267</v>
      </c>
      <c r="H34" s="1221"/>
      <c r="I34" s="1221"/>
      <c r="J34" s="1221"/>
      <c r="K34" s="1221"/>
      <c r="L34" s="1221"/>
      <c r="M34" s="1221"/>
      <c r="N34" s="1221"/>
      <c r="O34" s="1221"/>
      <c r="P34" s="1222"/>
      <c r="Q34" s="1223" t="str">
        <f>IF(Dados!$E$3="","",MOD_2_formacao!$G$15)</f>
        <v/>
      </c>
      <c r="R34" s="1224"/>
      <c r="S34" s="1224"/>
      <c r="T34" s="1224"/>
      <c r="U34" s="1224"/>
      <c r="V34" s="1224"/>
      <c r="W34" s="1224"/>
      <c r="X34" s="1224"/>
      <c r="Y34" s="1225"/>
      <c r="Z34" s="1223" t="str">
        <f>IF(Dados!$E$3="","",MOD_2_formacao!$G$16)</f>
        <v/>
      </c>
      <c r="AA34" s="1224"/>
      <c r="AB34" s="1224"/>
      <c r="AC34" s="1224"/>
      <c r="AD34" s="1224"/>
      <c r="AE34" s="1224"/>
      <c r="AF34" s="1224"/>
      <c r="AG34" s="1224"/>
      <c r="AH34" s="1225"/>
      <c r="AI34" s="1224" t="str">
        <f>IF(Dados!$E$3="","",SUM(Q34+Z34))</f>
        <v/>
      </c>
      <c r="AJ34" s="1224"/>
      <c r="AK34" s="1224"/>
      <c r="AL34" s="1224"/>
      <c r="AM34" s="1224"/>
      <c r="AN34" s="1224"/>
      <c r="AO34" s="1224"/>
      <c r="AP34" s="1224"/>
      <c r="AQ34" s="1225"/>
      <c r="AR34" s="1226" t="str">
        <f>IF(Dados!$E$3="","","8.804/2019")</f>
        <v/>
      </c>
      <c r="AS34" s="1227"/>
      <c r="AT34" s="1227"/>
      <c r="AU34" s="1227"/>
      <c r="AV34" s="1227"/>
      <c r="AW34" s="1227"/>
      <c r="AX34" s="1227"/>
      <c r="AY34" s="1227"/>
      <c r="AZ34" s="1227"/>
      <c r="BA34" s="1227"/>
      <c r="BB34" s="1227"/>
      <c r="BC34" s="1228"/>
      <c r="BD34" s="874"/>
      <c r="BE34" s="294"/>
      <c r="BF34" s="371"/>
    </row>
    <row r="35" spans="1:59" ht="15.75" customHeight="1" thickBot="1" x14ac:dyDescent="0.25">
      <c r="A35" s="875"/>
      <c r="B35" s="56"/>
      <c r="C35" s="56"/>
      <c r="D35" s="56"/>
      <c r="E35" s="56"/>
      <c r="F35" s="658"/>
      <c r="G35" s="1220" t="s">
        <v>12316</v>
      </c>
      <c r="H35" s="1221"/>
      <c r="I35" s="1221"/>
      <c r="J35" s="1221"/>
      <c r="K35" s="1221"/>
      <c r="L35" s="1221"/>
      <c r="M35" s="1221"/>
      <c r="N35" s="1221"/>
      <c r="O35" s="1221"/>
      <c r="P35" s="1222"/>
      <c r="Q35" s="1223" t="str">
        <f>IF(Dados!$E$3="","",MOD_2_mais_escola!$G$15)</f>
        <v/>
      </c>
      <c r="R35" s="1224"/>
      <c r="S35" s="1224"/>
      <c r="T35" s="1224"/>
      <c r="U35" s="1224"/>
      <c r="V35" s="1224"/>
      <c r="W35" s="1224"/>
      <c r="X35" s="1224"/>
      <c r="Y35" s="1225"/>
      <c r="Z35" s="1223" t="str">
        <f>IF(Dados!$E$3="","",MOD_2_mais_escola!$G$16)</f>
        <v/>
      </c>
      <c r="AA35" s="1224"/>
      <c r="AB35" s="1224"/>
      <c r="AC35" s="1224"/>
      <c r="AD35" s="1224"/>
      <c r="AE35" s="1224"/>
      <c r="AF35" s="1224"/>
      <c r="AG35" s="1224"/>
      <c r="AH35" s="1225"/>
      <c r="AI35" s="1224" t="str">
        <f>IF(Dados!$E$3="","",SUM(Q35+Z35))</f>
        <v/>
      </c>
      <c r="AJ35" s="1224"/>
      <c r="AK35" s="1224"/>
      <c r="AL35" s="1224"/>
      <c r="AM35" s="1224"/>
      <c r="AN35" s="1224"/>
      <c r="AO35" s="1224"/>
      <c r="AP35" s="1224"/>
      <c r="AQ35" s="1225"/>
      <c r="AR35" s="1226" t="str">
        <f>IF(Dados!$E$3="","","8.814/2019")</f>
        <v/>
      </c>
      <c r="AS35" s="1227"/>
      <c r="AT35" s="1227"/>
      <c r="AU35" s="1227"/>
      <c r="AV35" s="1227"/>
      <c r="AW35" s="1227"/>
      <c r="AX35" s="1227"/>
      <c r="AY35" s="1227"/>
      <c r="AZ35" s="1227"/>
      <c r="BA35" s="1227"/>
      <c r="BB35" s="1227"/>
      <c r="BC35" s="1228"/>
      <c r="BD35" s="874"/>
      <c r="BE35" s="294"/>
      <c r="BF35" s="371"/>
    </row>
    <row r="36" spans="1:59" ht="15.75" customHeight="1" thickBot="1" x14ac:dyDescent="0.25">
      <c r="A36" s="875"/>
      <c r="B36" s="56"/>
      <c r="C36" s="56"/>
      <c r="D36" s="56"/>
      <c r="E36" s="56"/>
      <c r="F36" s="658"/>
      <c r="G36" s="1229" t="s">
        <v>12269</v>
      </c>
      <c r="H36" s="1230"/>
      <c r="I36" s="1230"/>
      <c r="J36" s="1230"/>
      <c r="K36" s="1230"/>
      <c r="L36" s="1230"/>
      <c r="M36" s="1230"/>
      <c r="N36" s="1230"/>
      <c r="O36" s="1230"/>
      <c r="P36" s="1231"/>
      <c r="Q36" s="1223" t="str">
        <f>IF(Dados!$E$3="","",MOD_2_livre_aplicacao!$G$15)</f>
        <v/>
      </c>
      <c r="R36" s="1224"/>
      <c r="S36" s="1224"/>
      <c r="T36" s="1224"/>
      <c r="U36" s="1224"/>
      <c r="V36" s="1224"/>
      <c r="W36" s="1224"/>
      <c r="X36" s="1224"/>
      <c r="Y36" s="1225"/>
      <c r="Z36" s="1223" t="str">
        <f>IF(Dados!$E$3="","",MOD_2_livre_aplicacao!$G$16)</f>
        <v/>
      </c>
      <c r="AA36" s="1224"/>
      <c r="AB36" s="1224"/>
      <c r="AC36" s="1224"/>
      <c r="AD36" s="1224"/>
      <c r="AE36" s="1224"/>
      <c r="AF36" s="1224"/>
      <c r="AG36" s="1224"/>
      <c r="AH36" s="1225"/>
      <c r="AI36" s="1224" t="str">
        <f>IF(Dados!$E$3="","",SUM(Q36+Z36))</f>
        <v/>
      </c>
      <c r="AJ36" s="1224"/>
      <c r="AK36" s="1224"/>
      <c r="AL36" s="1224"/>
      <c r="AM36" s="1224"/>
      <c r="AN36" s="1224"/>
      <c r="AO36" s="1224"/>
      <c r="AP36" s="1224"/>
      <c r="AQ36" s="1225"/>
      <c r="AR36" s="1226" t="str">
        <f>IF(Dados!$E$3="","","4.790/2020")</f>
        <v/>
      </c>
      <c r="AS36" s="1227"/>
      <c r="AT36" s="1227"/>
      <c r="AU36" s="1227"/>
      <c r="AV36" s="1227"/>
      <c r="AW36" s="1227"/>
      <c r="AX36" s="1227"/>
      <c r="AY36" s="1227"/>
      <c r="AZ36" s="1227"/>
      <c r="BA36" s="1227"/>
      <c r="BB36" s="1227"/>
      <c r="BC36" s="1228"/>
      <c r="BD36" s="874"/>
      <c r="BE36" s="294"/>
      <c r="BF36" s="371"/>
    </row>
    <row r="37" spans="1:59" ht="18" customHeight="1" thickBot="1" x14ac:dyDescent="0.25">
      <c r="A37" s="875" t="str">
        <f t="shared" si="0"/>
        <v>OK</v>
      </c>
      <c r="B37" s="56"/>
      <c r="C37" s="56"/>
      <c r="D37" s="56"/>
      <c r="E37" s="56"/>
      <c r="F37" s="658"/>
      <c r="G37" s="1252" t="s">
        <v>440</v>
      </c>
      <c r="H37" s="1253"/>
      <c r="I37" s="1253"/>
      <c r="J37" s="1253"/>
      <c r="K37" s="1253"/>
      <c r="L37" s="1253"/>
      <c r="M37" s="1253"/>
      <c r="N37" s="1253"/>
      <c r="O37" s="1253"/>
      <c r="P37" s="1281"/>
      <c r="Q37" s="1282" t="str">
        <f>IF(Dados!$E$3="","",SUM(Q28:Y36))</f>
        <v/>
      </c>
      <c r="R37" s="1283"/>
      <c r="S37" s="1283"/>
      <c r="T37" s="1283"/>
      <c r="U37" s="1283"/>
      <c r="V37" s="1283"/>
      <c r="W37" s="1283"/>
      <c r="X37" s="1283"/>
      <c r="Y37" s="1284"/>
      <c r="Z37" s="1283" t="str">
        <f>IF(Dados!$E$3="","",SUM(Z28:AH36))</f>
        <v/>
      </c>
      <c r="AA37" s="1283"/>
      <c r="AB37" s="1283"/>
      <c r="AC37" s="1283"/>
      <c r="AD37" s="1283"/>
      <c r="AE37" s="1283"/>
      <c r="AF37" s="1283"/>
      <c r="AG37" s="1283"/>
      <c r="AH37" s="1285"/>
      <c r="AI37" s="1283" t="str">
        <f>IF(Dados!$E$3="","",SUM(AI28:AQ36))</f>
        <v/>
      </c>
      <c r="AJ37" s="1283"/>
      <c r="AK37" s="1283"/>
      <c r="AL37" s="1283"/>
      <c r="AM37" s="1283"/>
      <c r="AN37" s="1283"/>
      <c r="AO37" s="1283"/>
      <c r="AP37" s="1283"/>
      <c r="AQ37" s="1284"/>
      <c r="AR37" s="757"/>
      <c r="AS37" s="757"/>
      <c r="AT37" s="757"/>
      <c r="AU37" s="659"/>
      <c r="AV37" s="659"/>
      <c r="AW37" s="659"/>
      <c r="AX37" s="659"/>
      <c r="AY37" s="659"/>
      <c r="AZ37" s="659"/>
      <c r="BA37" s="659"/>
      <c r="BB37" s="659"/>
      <c r="BC37" s="659"/>
      <c r="BD37" s="874"/>
      <c r="BE37" s="294"/>
      <c r="BF37" s="371" t="s">
        <v>477</v>
      </c>
    </row>
    <row r="38" spans="1:59" ht="6" customHeight="1" x14ac:dyDescent="0.2">
      <c r="A38" s="875"/>
      <c r="B38" s="56"/>
      <c r="C38" s="56"/>
      <c r="D38" s="56"/>
      <c r="E38" s="56"/>
      <c r="F38" s="658"/>
      <c r="G38" s="1235"/>
      <c r="H38" s="1235"/>
      <c r="I38" s="1235"/>
      <c r="J38" s="1235"/>
      <c r="K38" s="1235"/>
      <c r="L38" s="1235"/>
      <c r="M38" s="1235"/>
      <c r="N38" s="1235"/>
      <c r="O38" s="1235"/>
      <c r="P38" s="1235"/>
      <c r="Q38" s="1235"/>
      <c r="R38" s="1235"/>
      <c r="S38" s="1235"/>
      <c r="T38" s="1235"/>
      <c r="U38" s="1235"/>
      <c r="V38" s="1235"/>
      <c r="W38" s="1235"/>
      <c r="X38" s="1235"/>
      <c r="Y38" s="1235"/>
      <c r="Z38" s="1235"/>
      <c r="AA38" s="1235"/>
      <c r="AB38" s="1235"/>
      <c r="AC38" s="1235"/>
      <c r="AD38" s="1235"/>
      <c r="AE38" s="1235"/>
      <c r="AF38" s="1235"/>
      <c r="AG38" s="1235"/>
      <c r="AH38" s="1235"/>
      <c r="AI38" s="1235"/>
      <c r="AJ38" s="1235"/>
      <c r="AK38" s="1235"/>
      <c r="AL38" s="1235"/>
      <c r="AM38" s="1235"/>
      <c r="AN38" s="1235"/>
      <c r="AO38" s="1235"/>
      <c r="AP38" s="1235"/>
      <c r="AQ38" s="1235"/>
      <c r="AR38" s="1235"/>
      <c r="AS38" s="1235"/>
      <c r="AT38" s="1235"/>
      <c r="AU38" s="1235"/>
      <c r="AV38" s="1235"/>
      <c r="AW38" s="1235"/>
      <c r="AX38" s="1235"/>
      <c r="AY38" s="1235"/>
      <c r="AZ38" s="1235"/>
      <c r="BA38" s="1235"/>
      <c r="BB38" s="1235"/>
      <c r="BC38" s="1235"/>
      <c r="BD38" s="874"/>
      <c r="BE38" s="294"/>
      <c r="BF38" s="371"/>
    </row>
    <row r="39" spans="1:59" ht="18" customHeight="1" x14ac:dyDescent="0.2">
      <c r="A39" s="875"/>
      <c r="B39" s="56"/>
      <c r="C39" s="56"/>
      <c r="D39" s="56"/>
      <c r="E39" s="56"/>
      <c r="F39" s="658"/>
      <c r="G39" s="1242" t="s">
        <v>1170</v>
      </c>
      <c r="H39" s="1242"/>
      <c r="I39" s="1242"/>
      <c r="J39" s="1242"/>
      <c r="K39" s="1242"/>
      <c r="L39" s="1242"/>
      <c r="M39" s="1242"/>
      <c r="N39" s="1242"/>
      <c r="O39" s="1242"/>
      <c r="P39" s="1242"/>
      <c r="Q39" s="1242"/>
      <c r="R39" s="1242"/>
      <c r="S39" s="1242"/>
      <c r="T39" s="1242"/>
      <c r="U39" s="1242"/>
      <c r="V39" s="1242"/>
      <c r="W39" s="1242"/>
      <c r="X39" s="1242"/>
      <c r="Y39" s="1242"/>
      <c r="Z39" s="1242"/>
      <c r="AA39" s="1242"/>
      <c r="AB39" s="1242"/>
      <c r="AC39" s="1242"/>
      <c r="AD39" s="1242"/>
      <c r="AE39" s="1242"/>
      <c r="AF39" s="1242"/>
      <c r="AG39" s="1242"/>
      <c r="AH39" s="1242"/>
      <c r="AI39" s="1242"/>
      <c r="AJ39" s="1242"/>
      <c r="AK39" s="1242"/>
      <c r="AL39" s="1242"/>
      <c r="AM39" s="1242"/>
      <c r="AN39" s="1242"/>
      <c r="AO39" s="1242"/>
      <c r="AP39" s="1242"/>
      <c r="AQ39" s="1242"/>
      <c r="AR39" s="1242"/>
      <c r="AS39" s="1242"/>
      <c r="AT39" s="1242"/>
      <c r="AU39" s="1242"/>
      <c r="AV39" s="1242"/>
      <c r="AW39" s="1242"/>
      <c r="AX39" s="1242"/>
      <c r="AY39" s="1242"/>
      <c r="AZ39" s="1242"/>
      <c r="BA39" s="1242"/>
      <c r="BB39" s="1242"/>
      <c r="BC39" s="1242"/>
      <c r="BD39" s="874"/>
      <c r="BE39" s="294"/>
      <c r="BF39" s="371"/>
    </row>
    <row r="40" spans="1:59" ht="6" customHeight="1" x14ac:dyDescent="0.2">
      <c r="A40" s="875"/>
      <c r="B40" s="56"/>
      <c r="C40" s="56"/>
      <c r="D40" s="56"/>
      <c r="E40" s="56"/>
      <c r="F40" s="658"/>
      <c r="G40" s="658"/>
      <c r="H40" s="658"/>
      <c r="I40" s="658"/>
      <c r="J40" s="658"/>
      <c r="K40" s="658"/>
      <c r="L40" s="658"/>
      <c r="M40" s="658"/>
      <c r="N40" s="658"/>
      <c r="O40" s="658"/>
      <c r="P40" s="658"/>
      <c r="Q40" s="658"/>
      <c r="R40" s="658"/>
      <c r="S40" s="658"/>
      <c r="T40" s="658"/>
      <c r="U40" s="658"/>
      <c r="V40" s="658"/>
      <c r="W40" s="658"/>
      <c r="X40" s="658"/>
      <c r="Y40" s="658"/>
      <c r="Z40" s="658"/>
      <c r="AA40" s="658"/>
      <c r="AB40" s="658"/>
      <c r="AC40" s="658"/>
      <c r="AD40" s="658"/>
      <c r="AE40" s="658"/>
      <c r="AF40" s="658"/>
      <c r="AG40" s="658"/>
      <c r="AH40" s="658"/>
      <c r="AI40" s="658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8"/>
      <c r="AX40" s="658"/>
      <c r="AY40" s="658"/>
      <c r="AZ40" s="658"/>
      <c r="BA40" s="658"/>
      <c r="BB40" s="658"/>
      <c r="BC40" s="658"/>
      <c r="BD40" s="874"/>
      <c r="BE40" s="294"/>
    </row>
    <row r="41" spans="1:59" ht="28.5" customHeight="1" x14ac:dyDescent="0.2">
      <c r="A41" s="875"/>
      <c r="B41" s="56"/>
      <c r="C41" s="56"/>
      <c r="D41" s="56"/>
      <c r="E41" s="56"/>
      <c r="F41" s="658"/>
      <c r="G41" s="1279" t="s">
        <v>1177</v>
      </c>
      <c r="H41" s="1280"/>
      <c r="I41" s="1280"/>
      <c r="J41" s="1280"/>
      <c r="K41" s="1280"/>
      <c r="L41" s="1280"/>
      <c r="M41" s="1280"/>
      <c r="N41" s="1280"/>
      <c r="O41" s="1280"/>
      <c r="P41" s="1280"/>
      <c r="Q41" s="1280"/>
      <c r="R41" s="1280"/>
      <c r="S41" s="1280"/>
      <c r="T41" s="1280"/>
      <c r="U41" s="1280"/>
      <c r="V41" s="1280"/>
      <c r="W41" s="1280"/>
      <c r="X41" s="1280"/>
      <c r="Y41" s="1280"/>
      <c r="Z41" s="1280"/>
      <c r="AA41" s="1280"/>
      <c r="AB41" s="1280"/>
      <c r="AC41" s="1280"/>
      <c r="AD41" s="1280"/>
      <c r="AE41" s="1280"/>
      <c r="AF41" s="1280"/>
      <c r="AG41" s="1280"/>
      <c r="AH41" s="1280"/>
      <c r="AI41" s="1280"/>
      <c r="AJ41" s="1280"/>
      <c r="AK41" s="1280"/>
      <c r="AL41" s="1280"/>
      <c r="AM41" s="1280"/>
      <c r="AN41" s="1280"/>
      <c r="AO41" s="1280"/>
      <c r="AP41" s="1280"/>
      <c r="AQ41" s="1280"/>
      <c r="AR41" s="1280"/>
      <c r="AS41" s="1280"/>
      <c r="AT41" s="1280"/>
      <c r="AU41" s="1280"/>
      <c r="AV41" s="1280"/>
      <c r="AW41" s="1280"/>
      <c r="AX41" s="1280"/>
      <c r="AY41" s="1280"/>
      <c r="AZ41" s="1280"/>
      <c r="BA41" s="1280"/>
      <c r="BB41" s="1280"/>
      <c r="BC41" s="1280"/>
      <c r="BD41" s="874"/>
      <c r="BE41" s="294"/>
    </row>
    <row r="42" spans="1:59" ht="6" customHeight="1" x14ac:dyDescent="0.2">
      <c r="A42" s="875"/>
      <c r="B42" s="56"/>
      <c r="C42" s="56"/>
      <c r="D42" s="56"/>
      <c r="E42" s="56"/>
      <c r="F42" s="658"/>
      <c r="G42" s="658"/>
      <c r="H42" s="658"/>
      <c r="I42" s="658"/>
      <c r="J42" s="658"/>
      <c r="K42" s="658"/>
      <c r="L42" s="658"/>
      <c r="M42" s="658"/>
      <c r="N42" s="658"/>
      <c r="O42" s="658"/>
      <c r="P42" s="658"/>
      <c r="Q42" s="658"/>
      <c r="R42" s="658"/>
      <c r="S42" s="658"/>
      <c r="T42" s="658"/>
      <c r="U42" s="658"/>
      <c r="V42" s="658"/>
      <c r="W42" s="658"/>
      <c r="X42" s="658"/>
      <c r="Y42" s="658"/>
      <c r="Z42" s="658"/>
      <c r="AA42" s="658"/>
      <c r="AB42" s="658"/>
      <c r="AC42" s="658"/>
      <c r="AD42" s="658"/>
      <c r="AE42" s="658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8"/>
      <c r="AX42" s="658"/>
      <c r="AY42" s="658"/>
      <c r="AZ42" s="658"/>
      <c r="BA42" s="658"/>
      <c r="BB42" s="658"/>
      <c r="BC42" s="658"/>
      <c r="BD42" s="874"/>
      <c r="BE42" s="294"/>
    </row>
    <row r="43" spans="1:59" ht="14.25" customHeight="1" x14ac:dyDescent="0.2">
      <c r="A43" s="875"/>
      <c r="B43" s="56"/>
      <c r="C43" s="56"/>
      <c r="D43" s="56"/>
      <c r="E43" s="56"/>
      <c r="F43" s="380" t="s">
        <v>238</v>
      </c>
      <c r="G43" s="1242" t="s">
        <v>1171</v>
      </c>
      <c r="H43" s="1243"/>
      <c r="I43" s="1243"/>
      <c r="J43" s="1243"/>
      <c r="K43" s="1243"/>
      <c r="L43" s="1243"/>
      <c r="M43" s="1243"/>
      <c r="N43" s="1243"/>
      <c r="O43" s="1243"/>
      <c r="P43" s="1243"/>
      <c r="Q43" s="1243"/>
      <c r="R43" s="1243"/>
      <c r="S43" s="1243"/>
      <c r="T43" s="1243"/>
      <c r="U43" s="1243"/>
      <c r="V43" s="1243"/>
      <c r="W43" s="1243"/>
      <c r="X43" s="1243"/>
      <c r="Y43" s="1243"/>
      <c r="Z43" s="1243"/>
      <c r="AA43" s="1243"/>
      <c r="AB43" s="1243"/>
      <c r="AC43" s="1243"/>
      <c r="AD43" s="1243"/>
      <c r="AE43" s="1243"/>
      <c r="AF43" s="1243"/>
      <c r="AG43" s="1243"/>
      <c r="AH43" s="1243"/>
      <c r="AI43" s="1243"/>
      <c r="AJ43" s="1243"/>
      <c r="AK43" s="1243"/>
      <c r="AL43" s="1243"/>
      <c r="AM43" s="1243"/>
      <c r="AN43" s="1243"/>
      <c r="AO43" s="1243"/>
      <c r="AP43" s="1243"/>
      <c r="AQ43" s="1243"/>
      <c r="AR43" s="1243"/>
      <c r="AS43" s="1243"/>
      <c r="AT43" s="1243"/>
      <c r="AU43" s="1243"/>
      <c r="AV43" s="1243"/>
      <c r="AW43" s="1243"/>
      <c r="AX43" s="1243"/>
      <c r="AY43" s="1243"/>
      <c r="AZ43" s="1243"/>
      <c r="BA43" s="1243"/>
      <c r="BB43" s="1243"/>
      <c r="BC43" s="1243"/>
      <c r="BD43" s="874"/>
      <c r="BE43" s="294"/>
    </row>
    <row r="44" spans="1:59" ht="14.25" customHeight="1" x14ac:dyDescent="0.2">
      <c r="A44" s="875" t="str">
        <f t="shared" ref="A44:A52" si="1">IF(H44="","OK","")</f>
        <v/>
      </c>
      <c r="B44" s="56"/>
      <c r="C44" s="56"/>
      <c r="D44" s="56"/>
      <c r="E44" s="56"/>
      <c r="F44" s="380"/>
      <c r="G44" s="755" t="s">
        <v>238</v>
      </c>
      <c r="H44" s="756" t="str">
        <f>$BF$44</f>
        <v>Modelo 2 - PTRF Básico</v>
      </c>
      <c r="I44" s="756"/>
      <c r="J44" s="756"/>
      <c r="K44" s="756"/>
      <c r="L44" s="756"/>
      <c r="M44" s="756"/>
      <c r="N44" s="756"/>
      <c r="O44" s="756"/>
      <c r="P44" s="756"/>
      <c r="Q44" s="756"/>
      <c r="R44" s="756"/>
      <c r="S44" s="756"/>
      <c r="T44" s="756"/>
      <c r="U44" s="756"/>
      <c r="V44" s="756"/>
      <c r="W44" s="756"/>
      <c r="X44" s="756"/>
      <c r="Y44" s="756"/>
      <c r="Z44" s="756"/>
      <c r="AA44" s="756"/>
      <c r="AB44" s="756"/>
      <c r="AC44" s="756"/>
      <c r="AD44" s="756"/>
      <c r="AE44" s="756"/>
      <c r="AF44" s="756"/>
      <c r="AG44" s="756"/>
      <c r="AH44" s="756"/>
      <c r="AI44" s="756"/>
      <c r="AJ44" s="756"/>
      <c r="AK44" s="756"/>
      <c r="AL44" s="756"/>
      <c r="AM44" s="756"/>
      <c r="AN44" s="756"/>
      <c r="AO44" s="756"/>
      <c r="AP44" s="756"/>
      <c r="AQ44" s="756"/>
      <c r="AR44" s="756"/>
      <c r="AS44" s="756"/>
      <c r="AT44" s="756"/>
      <c r="AU44" s="756"/>
      <c r="AV44" s="756"/>
      <c r="AW44" s="756"/>
      <c r="AX44" s="756"/>
      <c r="AY44" s="756"/>
      <c r="AZ44" s="756"/>
      <c r="BA44" s="756"/>
      <c r="BB44" s="756"/>
      <c r="BC44" s="756"/>
      <c r="BD44" s="874"/>
      <c r="BE44" s="294"/>
      <c r="BF44" s="371" t="s">
        <v>1172</v>
      </c>
      <c r="BG44" s="667" t="str">
        <f>MENU!$V$24</f>
        <v/>
      </c>
    </row>
    <row r="45" spans="1:59" ht="14.25" hidden="1" customHeight="1" x14ac:dyDescent="0.2">
      <c r="A45" s="875" t="str">
        <f t="shared" si="1"/>
        <v/>
      </c>
      <c r="B45" s="56"/>
      <c r="C45" s="56"/>
      <c r="D45" s="56"/>
      <c r="E45" s="56"/>
      <c r="F45" s="380"/>
      <c r="G45" s="755" t="s">
        <v>238</v>
      </c>
      <c r="H45" s="756" t="str">
        <f>IF(BG45=0,"",$BF$45)</f>
        <v>Modelo 2 - Volta às Aulas</v>
      </c>
      <c r="I45" s="756"/>
      <c r="J45" s="756"/>
      <c r="K45" s="756"/>
      <c r="L45" s="756"/>
      <c r="M45" s="756"/>
      <c r="N45" s="756"/>
      <c r="O45" s="756"/>
      <c r="P45" s="756"/>
      <c r="Q45" s="756"/>
      <c r="R45" s="756"/>
      <c r="S45" s="756"/>
      <c r="T45" s="756"/>
      <c r="U45" s="756"/>
      <c r="V45" s="756"/>
      <c r="W45" s="756"/>
      <c r="X45" s="756"/>
      <c r="Y45" s="756"/>
      <c r="Z45" s="756"/>
      <c r="AA45" s="756"/>
      <c r="AB45" s="756"/>
      <c r="AC45" s="756"/>
      <c r="AD45" s="756"/>
      <c r="AE45" s="756"/>
      <c r="AF45" s="756"/>
      <c r="AG45" s="756"/>
      <c r="AH45" s="756"/>
      <c r="AI45" s="756"/>
      <c r="AJ45" s="756"/>
      <c r="AK45" s="756"/>
      <c r="AL45" s="756"/>
      <c r="AM45" s="756"/>
      <c r="AN45" s="756"/>
      <c r="AO45" s="756"/>
      <c r="AP45" s="756"/>
      <c r="AQ45" s="756"/>
      <c r="AR45" s="756"/>
      <c r="AS45" s="756"/>
      <c r="AT45" s="756"/>
      <c r="AU45" s="756"/>
      <c r="AV45" s="756"/>
      <c r="AW45" s="756"/>
      <c r="AX45" s="756"/>
      <c r="AY45" s="756"/>
      <c r="AZ45" s="756"/>
      <c r="BA45" s="756"/>
      <c r="BB45" s="756"/>
      <c r="BC45" s="756"/>
      <c r="BD45" s="874"/>
      <c r="BE45" s="294"/>
      <c r="BF45" s="371" t="s">
        <v>1173</v>
      </c>
      <c r="BG45" s="667" t="str">
        <f>MENU!$W$24</f>
        <v/>
      </c>
    </row>
    <row r="46" spans="1:59" ht="14.25" hidden="1" customHeight="1" x14ac:dyDescent="0.2">
      <c r="A46" s="875" t="str">
        <f t="shared" si="1"/>
        <v/>
      </c>
      <c r="B46" s="56"/>
      <c r="C46" s="56"/>
      <c r="D46" s="56"/>
      <c r="E46" s="56"/>
      <c r="F46" s="380"/>
      <c r="G46" s="755" t="s">
        <v>238</v>
      </c>
      <c r="H46" s="756" t="str">
        <f>IF(BG46=0,"",$BF$46)</f>
        <v>Modelo 2 - Fazendo Futuro</v>
      </c>
      <c r="I46" s="756"/>
      <c r="J46" s="756"/>
      <c r="K46" s="756"/>
      <c r="L46" s="756"/>
      <c r="M46" s="756"/>
      <c r="N46" s="756"/>
      <c r="O46" s="756"/>
      <c r="P46" s="756"/>
      <c r="Q46" s="756"/>
      <c r="R46" s="756"/>
      <c r="S46" s="756"/>
      <c r="T46" s="756"/>
      <c r="U46" s="756"/>
      <c r="V46" s="756"/>
      <c r="W46" s="756"/>
      <c r="X46" s="756"/>
      <c r="Y46" s="756"/>
      <c r="Z46" s="756"/>
      <c r="AA46" s="756"/>
      <c r="AB46" s="756"/>
      <c r="AC46" s="756"/>
      <c r="AD46" s="756"/>
      <c r="AE46" s="756"/>
      <c r="AF46" s="756"/>
      <c r="AG46" s="756"/>
      <c r="AH46" s="756"/>
      <c r="AI46" s="756"/>
      <c r="AJ46" s="756"/>
      <c r="AK46" s="756"/>
      <c r="AL46" s="756"/>
      <c r="AM46" s="756"/>
      <c r="AN46" s="756"/>
      <c r="AO46" s="756"/>
      <c r="AP46" s="756"/>
      <c r="AQ46" s="756"/>
      <c r="AR46" s="756"/>
      <c r="AS46" s="756"/>
      <c r="AT46" s="756"/>
      <c r="AU46" s="756"/>
      <c r="AV46" s="756"/>
      <c r="AW46" s="756"/>
      <c r="AX46" s="756"/>
      <c r="AY46" s="756"/>
      <c r="AZ46" s="756"/>
      <c r="BA46" s="756"/>
      <c r="BB46" s="756"/>
      <c r="BC46" s="756"/>
      <c r="BD46" s="874"/>
      <c r="BE46" s="294"/>
      <c r="BF46" s="371" t="s">
        <v>1128</v>
      </c>
      <c r="BG46" s="667" t="str">
        <f>MENU!$X$24</f>
        <v/>
      </c>
    </row>
    <row r="47" spans="1:59" ht="14.25" hidden="1" customHeight="1" x14ac:dyDescent="0.2">
      <c r="A47" s="875" t="str">
        <f t="shared" si="1"/>
        <v/>
      </c>
      <c r="B47" s="56"/>
      <c r="C47" s="56"/>
      <c r="D47" s="56"/>
      <c r="E47" s="56"/>
      <c r="F47" s="380"/>
      <c r="G47" s="755" t="s">
        <v>238</v>
      </c>
      <c r="H47" s="756" t="str">
        <f>IF(BG47=0,"",$BF$47)</f>
        <v>Modelo 2 - Rolê Cultural</v>
      </c>
      <c r="I47" s="756"/>
      <c r="J47" s="756"/>
      <c r="K47" s="756"/>
      <c r="L47" s="756"/>
      <c r="M47" s="756"/>
      <c r="N47" s="756"/>
      <c r="O47" s="756"/>
      <c r="P47" s="756"/>
      <c r="Q47" s="756"/>
      <c r="R47" s="756"/>
      <c r="S47" s="756"/>
      <c r="T47" s="756"/>
      <c r="U47" s="756"/>
      <c r="V47" s="756"/>
      <c r="W47" s="756"/>
      <c r="X47" s="756"/>
      <c r="Y47" s="756"/>
      <c r="Z47" s="756"/>
      <c r="AA47" s="756"/>
      <c r="AB47" s="756"/>
      <c r="AC47" s="756"/>
      <c r="AD47" s="756"/>
      <c r="AE47" s="756"/>
      <c r="AF47" s="756"/>
      <c r="AG47" s="756"/>
      <c r="AH47" s="756"/>
      <c r="AI47" s="756"/>
      <c r="AJ47" s="756"/>
      <c r="AK47" s="756"/>
      <c r="AL47" s="756"/>
      <c r="AM47" s="756"/>
      <c r="AN47" s="756"/>
      <c r="AO47" s="756"/>
      <c r="AP47" s="756"/>
      <c r="AQ47" s="756"/>
      <c r="AR47" s="756"/>
      <c r="AS47" s="756"/>
      <c r="AT47" s="756"/>
      <c r="AU47" s="756"/>
      <c r="AV47" s="756"/>
      <c r="AW47" s="756"/>
      <c r="AX47" s="756"/>
      <c r="AY47" s="756"/>
      <c r="AZ47" s="756"/>
      <c r="BA47" s="756"/>
      <c r="BB47" s="756"/>
      <c r="BC47" s="756"/>
      <c r="BD47" s="874"/>
      <c r="BE47" s="294"/>
      <c r="BF47" s="371" t="s">
        <v>1129</v>
      </c>
      <c r="BG47" s="667" t="str">
        <f>MENU!$Y$24</f>
        <v/>
      </c>
    </row>
    <row r="48" spans="1:59" ht="14.25" hidden="1" customHeight="1" x14ac:dyDescent="0.2">
      <c r="A48" s="875" t="str">
        <f t="shared" si="1"/>
        <v/>
      </c>
      <c r="B48" s="56"/>
      <c r="C48" s="56"/>
      <c r="D48" s="56"/>
      <c r="E48" s="56"/>
      <c r="F48" s="380"/>
      <c r="G48" s="755" t="s">
        <v>238</v>
      </c>
      <c r="H48" s="756" t="str">
        <f>IF(BG48=0,"",$BF$48)</f>
        <v>Modelo 2 - Imprensa Jovem</v>
      </c>
      <c r="I48" s="756"/>
      <c r="J48" s="756"/>
      <c r="K48" s="756"/>
      <c r="L48" s="756"/>
      <c r="M48" s="756"/>
      <c r="N48" s="756"/>
      <c r="O48" s="756"/>
      <c r="P48" s="756"/>
      <c r="Q48" s="756"/>
      <c r="R48" s="756"/>
      <c r="S48" s="756"/>
      <c r="T48" s="756"/>
      <c r="U48" s="756"/>
      <c r="V48" s="756"/>
      <c r="W48" s="756"/>
      <c r="X48" s="756"/>
      <c r="Y48" s="756"/>
      <c r="Z48" s="756"/>
      <c r="AA48" s="756"/>
      <c r="AB48" s="756"/>
      <c r="AC48" s="756"/>
      <c r="AD48" s="756"/>
      <c r="AE48" s="756"/>
      <c r="AF48" s="756"/>
      <c r="AG48" s="756"/>
      <c r="AH48" s="756"/>
      <c r="AI48" s="756"/>
      <c r="AJ48" s="756"/>
      <c r="AK48" s="756"/>
      <c r="AL48" s="756"/>
      <c r="AM48" s="756"/>
      <c r="AN48" s="756"/>
      <c r="AO48" s="756"/>
      <c r="AP48" s="756"/>
      <c r="AQ48" s="756"/>
      <c r="AR48" s="756"/>
      <c r="AS48" s="756"/>
      <c r="AT48" s="756"/>
      <c r="AU48" s="756"/>
      <c r="AV48" s="756"/>
      <c r="AW48" s="756"/>
      <c r="AX48" s="756"/>
      <c r="AY48" s="756"/>
      <c r="AZ48" s="756"/>
      <c r="BA48" s="756"/>
      <c r="BB48" s="756"/>
      <c r="BC48" s="756"/>
      <c r="BD48" s="874"/>
      <c r="BE48" s="294"/>
      <c r="BF48" s="371" t="s">
        <v>1130</v>
      </c>
      <c r="BG48" s="667" t="str">
        <f>MENU!$Z$24</f>
        <v/>
      </c>
    </row>
    <row r="49" spans="1:106" ht="14.25" hidden="1" customHeight="1" x14ac:dyDescent="0.2">
      <c r="A49" s="875" t="str">
        <f t="shared" si="1"/>
        <v/>
      </c>
      <c r="B49" s="56"/>
      <c r="C49" s="56"/>
      <c r="D49" s="56"/>
      <c r="E49" s="56"/>
      <c r="F49" s="380"/>
      <c r="G49" s="755" t="s">
        <v>238</v>
      </c>
      <c r="H49" s="756" t="str">
        <f>IF(BG49=0,"",$BF$49)</f>
        <v>Modelo 2 - Grêmio</v>
      </c>
      <c r="I49" s="756"/>
      <c r="J49" s="756"/>
      <c r="K49" s="756"/>
      <c r="L49" s="756"/>
      <c r="M49" s="756"/>
      <c r="N49" s="756"/>
      <c r="O49" s="756"/>
      <c r="P49" s="756"/>
      <c r="Q49" s="756"/>
      <c r="R49" s="756"/>
      <c r="S49" s="756"/>
      <c r="T49" s="756"/>
      <c r="U49" s="756"/>
      <c r="V49" s="756"/>
      <c r="W49" s="756"/>
      <c r="X49" s="756"/>
      <c r="Y49" s="756"/>
      <c r="Z49" s="756"/>
      <c r="AA49" s="756"/>
      <c r="AB49" s="756"/>
      <c r="AC49" s="756"/>
      <c r="AD49" s="756"/>
      <c r="AE49" s="756"/>
      <c r="AF49" s="756"/>
      <c r="AG49" s="756"/>
      <c r="AH49" s="756"/>
      <c r="AI49" s="756"/>
      <c r="AJ49" s="756"/>
      <c r="AK49" s="756"/>
      <c r="AL49" s="756"/>
      <c r="AM49" s="756"/>
      <c r="AN49" s="756"/>
      <c r="AO49" s="756"/>
      <c r="AP49" s="756"/>
      <c r="AQ49" s="756"/>
      <c r="AR49" s="756"/>
      <c r="AS49" s="756"/>
      <c r="AT49" s="756"/>
      <c r="AU49" s="756"/>
      <c r="AV49" s="756"/>
      <c r="AW49" s="756"/>
      <c r="AX49" s="756"/>
      <c r="AY49" s="756"/>
      <c r="AZ49" s="756"/>
      <c r="BA49" s="756"/>
      <c r="BB49" s="756"/>
      <c r="BC49" s="756"/>
      <c r="BD49" s="874"/>
      <c r="BE49" s="294"/>
      <c r="BF49" s="371" t="s">
        <v>1174</v>
      </c>
      <c r="BG49" s="667" t="str">
        <f>MENU!$AA$24</f>
        <v/>
      </c>
    </row>
    <row r="50" spans="1:106" ht="14.25" hidden="1" customHeight="1" x14ac:dyDescent="0.2">
      <c r="A50" s="875" t="str">
        <f t="shared" si="1"/>
        <v/>
      </c>
      <c r="B50" s="56"/>
      <c r="C50" s="56"/>
      <c r="D50" s="56"/>
      <c r="E50" s="56"/>
      <c r="F50" s="380"/>
      <c r="G50" s="1007" t="s">
        <v>238</v>
      </c>
      <c r="H50" s="1008" t="str">
        <f>IF(BG50=0,"",$BF$50)</f>
        <v>Modelo 2 - Formação</v>
      </c>
      <c r="I50" s="1008"/>
      <c r="J50" s="1008"/>
      <c r="K50" s="1008"/>
      <c r="L50" s="1008"/>
      <c r="M50" s="1008"/>
      <c r="N50" s="1008"/>
      <c r="O50" s="1008"/>
      <c r="P50" s="1008"/>
      <c r="Q50" s="1008"/>
      <c r="R50" s="1008"/>
      <c r="S50" s="1008"/>
      <c r="T50" s="1008"/>
      <c r="U50" s="1008"/>
      <c r="V50" s="1008"/>
      <c r="W50" s="1008"/>
      <c r="X50" s="1008"/>
      <c r="Y50" s="1008"/>
      <c r="Z50" s="1008"/>
      <c r="AA50" s="1008"/>
      <c r="AB50" s="1008"/>
      <c r="AC50" s="1008"/>
      <c r="AD50" s="1008"/>
      <c r="AE50" s="1008"/>
      <c r="AF50" s="1008"/>
      <c r="AG50" s="1008"/>
      <c r="AH50" s="1008"/>
      <c r="AI50" s="1008"/>
      <c r="AJ50" s="1008"/>
      <c r="AK50" s="1008"/>
      <c r="AL50" s="1008"/>
      <c r="AM50" s="1008"/>
      <c r="AN50" s="1008"/>
      <c r="AO50" s="1008"/>
      <c r="AP50" s="1008"/>
      <c r="AQ50" s="1008"/>
      <c r="AR50" s="1008"/>
      <c r="AS50" s="1008"/>
      <c r="AT50" s="1008"/>
      <c r="AU50" s="1008"/>
      <c r="AV50" s="1008"/>
      <c r="AW50" s="1008"/>
      <c r="AX50" s="1008"/>
      <c r="AY50" s="1008"/>
      <c r="AZ50" s="1008"/>
      <c r="BA50" s="1008"/>
      <c r="BB50" s="1008"/>
      <c r="BC50" s="1008"/>
      <c r="BD50" s="874"/>
      <c r="BE50" s="294"/>
      <c r="BF50" s="371" t="s">
        <v>12270</v>
      </c>
      <c r="BG50" s="667" t="str">
        <f>MENU!$AB$24</f>
        <v/>
      </c>
    </row>
    <row r="51" spans="1:106" ht="14.25" hidden="1" customHeight="1" x14ac:dyDescent="0.2">
      <c r="A51" s="875" t="str">
        <f t="shared" si="1"/>
        <v/>
      </c>
      <c r="B51" s="56"/>
      <c r="C51" s="56"/>
      <c r="D51" s="56"/>
      <c r="E51" s="56"/>
      <c r="F51" s="380"/>
      <c r="G51" s="1007" t="s">
        <v>238</v>
      </c>
      <c r="H51" s="1008" t="str">
        <f>IF(BG51=0,"",$BF$51)</f>
        <v>Modelo 2 - Mais Escola</v>
      </c>
      <c r="I51" s="1008"/>
      <c r="J51" s="1008"/>
      <c r="K51" s="1008"/>
      <c r="L51" s="1008"/>
      <c r="M51" s="1008"/>
      <c r="N51" s="1008"/>
      <c r="O51" s="1008"/>
      <c r="P51" s="1008"/>
      <c r="Q51" s="1008"/>
      <c r="R51" s="1008"/>
      <c r="S51" s="1008"/>
      <c r="T51" s="1008"/>
      <c r="U51" s="1008"/>
      <c r="V51" s="1008"/>
      <c r="W51" s="1008"/>
      <c r="X51" s="1008"/>
      <c r="Y51" s="1008"/>
      <c r="Z51" s="1008"/>
      <c r="AA51" s="1008"/>
      <c r="AB51" s="1008"/>
      <c r="AC51" s="1008"/>
      <c r="AD51" s="1008"/>
      <c r="AE51" s="1008"/>
      <c r="AF51" s="1008"/>
      <c r="AG51" s="1008"/>
      <c r="AH51" s="1008"/>
      <c r="AI51" s="1008"/>
      <c r="AJ51" s="1008"/>
      <c r="AK51" s="1008"/>
      <c r="AL51" s="1008"/>
      <c r="AM51" s="1008"/>
      <c r="AN51" s="1008"/>
      <c r="AO51" s="1008"/>
      <c r="AP51" s="1008"/>
      <c r="AQ51" s="1008"/>
      <c r="AR51" s="1008"/>
      <c r="AS51" s="1008"/>
      <c r="AT51" s="1008"/>
      <c r="AU51" s="1008"/>
      <c r="AV51" s="1008"/>
      <c r="AW51" s="1008"/>
      <c r="AX51" s="1008"/>
      <c r="AY51" s="1008"/>
      <c r="AZ51" s="1008"/>
      <c r="BA51" s="1008"/>
      <c r="BB51" s="1008"/>
      <c r="BC51" s="1008"/>
      <c r="BD51" s="874"/>
      <c r="BE51" s="294"/>
      <c r="BF51" s="371" t="s">
        <v>12324</v>
      </c>
      <c r="BG51" s="667" t="str">
        <f>MENU!$AC$24</f>
        <v/>
      </c>
    </row>
    <row r="52" spans="1:106" ht="14.25" hidden="1" customHeight="1" x14ac:dyDescent="0.2">
      <c r="A52" s="875" t="str">
        <f t="shared" si="1"/>
        <v/>
      </c>
      <c r="B52" s="56"/>
      <c r="C52" s="56"/>
      <c r="D52" s="56"/>
      <c r="E52" s="56"/>
      <c r="F52" s="380"/>
      <c r="G52" s="1007" t="s">
        <v>238</v>
      </c>
      <c r="H52" s="1008" t="str">
        <f>IF(BG52=0,"",$BF$52)</f>
        <v>Modelo 2 - Livre Aplicação</v>
      </c>
      <c r="I52" s="1008"/>
      <c r="J52" s="1008"/>
      <c r="K52" s="1008"/>
      <c r="L52" s="1008"/>
      <c r="M52" s="1008"/>
      <c r="N52" s="1008"/>
      <c r="O52" s="1008"/>
      <c r="P52" s="1008"/>
      <c r="Q52" s="1008"/>
      <c r="R52" s="1008"/>
      <c r="S52" s="1008"/>
      <c r="T52" s="1008"/>
      <c r="U52" s="1008"/>
      <c r="V52" s="1008"/>
      <c r="W52" s="1008"/>
      <c r="X52" s="1008"/>
      <c r="Y52" s="1008"/>
      <c r="Z52" s="1008"/>
      <c r="AA52" s="1008"/>
      <c r="AB52" s="1008"/>
      <c r="AC52" s="1008"/>
      <c r="AD52" s="1008"/>
      <c r="AE52" s="1008"/>
      <c r="AF52" s="1008"/>
      <c r="AG52" s="1008"/>
      <c r="AH52" s="1008"/>
      <c r="AI52" s="1008"/>
      <c r="AJ52" s="1008"/>
      <c r="AK52" s="1008"/>
      <c r="AL52" s="1008"/>
      <c r="AM52" s="1008"/>
      <c r="AN52" s="1008"/>
      <c r="AO52" s="1008"/>
      <c r="AP52" s="1008"/>
      <c r="AQ52" s="1008"/>
      <c r="AR52" s="1008"/>
      <c r="AS52" s="1008"/>
      <c r="AT52" s="1008"/>
      <c r="AU52" s="1008"/>
      <c r="AV52" s="1008"/>
      <c r="AW52" s="1008"/>
      <c r="AX52" s="1008"/>
      <c r="AY52" s="1008"/>
      <c r="AZ52" s="1008"/>
      <c r="BA52" s="1008"/>
      <c r="BB52" s="1008"/>
      <c r="BC52" s="1008"/>
      <c r="BD52" s="874"/>
      <c r="BE52" s="294"/>
      <c r="BF52" s="371" t="s">
        <v>12272</v>
      </c>
      <c r="BG52" s="667" t="str">
        <f>MENU!$AD$24</f>
        <v/>
      </c>
    </row>
    <row r="53" spans="1:106" ht="14.25" customHeight="1" x14ac:dyDescent="0.2">
      <c r="A53" s="874"/>
      <c r="B53" s="56"/>
      <c r="C53" s="56"/>
      <c r="D53" s="56"/>
      <c r="E53" s="56"/>
      <c r="F53" s="380" t="s">
        <v>238</v>
      </c>
      <c r="G53" s="1243" t="s">
        <v>10</v>
      </c>
      <c r="H53" s="1243"/>
      <c r="I53" s="1243"/>
      <c r="J53" s="1243"/>
      <c r="K53" s="1243"/>
      <c r="L53" s="1243"/>
      <c r="M53" s="1243"/>
      <c r="N53" s="1243"/>
      <c r="O53" s="1243"/>
      <c r="P53" s="1243"/>
      <c r="Q53" s="1243"/>
      <c r="R53" s="1243"/>
      <c r="S53" s="1243"/>
      <c r="T53" s="1243"/>
      <c r="U53" s="1243"/>
      <c r="V53" s="1243"/>
      <c r="W53" s="1243"/>
      <c r="X53" s="1243"/>
      <c r="Y53" s="1243"/>
      <c r="Z53" s="1243"/>
      <c r="AA53" s="1243"/>
      <c r="AB53" s="1243"/>
      <c r="AC53" s="1243"/>
      <c r="AD53" s="1243"/>
      <c r="AE53" s="1243"/>
      <c r="AF53" s="1243"/>
      <c r="AG53" s="1243"/>
      <c r="AH53" s="1243"/>
      <c r="AI53" s="1243"/>
      <c r="AJ53" s="1243"/>
      <c r="AK53" s="1243"/>
      <c r="AL53" s="1243"/>
      <c r="AM53" s="1243"/>
      <c r="AN53" s="1243"/>
      <c r="AO53" s="1243"/>
      <c r="AP53" s="1243"/>
      <c r="AQ53" s="1243"/>
      <c r="AR53" s="1243"/>
      <c r="AS53" s="1243"/>
      <c r="AT53" s="1243"/>
      <c r="AU53" s="1243"/>
      <c r="AV53" s="1243"/>
      <c r="AW53" s="1243"/>
      <c r="AX53" s="1243"/>
      <c r="AY53" s="1243"/>
      <c r="AZ53" s="1243"/>
      <c r="BA53" s="1243"/>
      <c r="BB53" s="1243"/>
      <c r="BC53" s="1243"/>
      <c r="BD53" s="874"/>
      <c r="BE53" s="294"/>
    </row>
    <row r="54" spans="1:106" ht="14.25" customHeight="1" x14ac:dyDescent="0.2">
      <c r="A54" s="874"/>
      <c r="B54" s="56"/>
      <c r="C54" s="56"/>
      <c r="D54" s="56"/>
      <c r="E54" s="56"/>
      <c r="F54" s="658" t="s">
        <v>238</v>
      </c>
      <c r="G54" s="1270" t="str">
        <f>IF(Dados!$J$71="CEU",BF55,BF54)</f>
        <v>Cópia da Ata de reunião da APM contendo o plano de aplicação dos recursos transferidos;</v>
      </c>
      <c r="H54" s="1243"/>
      <c r="I54" s="1243"/>
      <c r="J54" s="1243"/>
      <c r="K54" s="1243"/>
      <c r="L54" s="1243"/>
      <c r="M54" s="1243"/>
      <c r="N54" s="1243"/>
      <c r="O54" s="1243"/>
      <c r="P54" s="1243"/>
      <c r="Q54" s="1243"/>
      <c r="R54" s="1243"/>
      <c r="S54" s="1243"/>
      <c r="T54" s="1243"/>
      <c r="U54" s="1243"/>
      <c r="V54" s="1243"/>
      <c r="W54" s="1243"/>
      <c r="X54" s="1243"/>
      <c r="Y54" s="1243"/>
      <c r="Z54" s="1243"/>
      <c r="AA54" s="1243"/>
      <c r="AB54" s="1243"/>
      <c r="AC54" s="1243"/>
      <c r="AD54" s="1243"/>
      <c r="AE54" s="1243"/>
      <c r="AF54" s="1243"/>
      <c r="AG54" s="1243"/>
      <c r="AH54" s="1243"/>
      <c r="AI54" s="1243"/>
      <c r="AJ54" s="1243"/>
      <c r="AK54" s="1243"/>
      <c r="AL54" s="1243"/>
      <c r="AM54" s="1243"/>
      <c r="AN54" s="1243"/>
      <c r="AO54" s="1243"/>
      <c r="AP54" s="1243"/>
      <c r="AQ54" s="1243"/>
      <c r="AR54" s="1243"/>
      <c r="AS54" s="1243"/>
      <c r="AT54" s="1243"/>
      <c r="AU54" s="1243"/>
      <c r="AV54" s="1243"/>
      <c r="AW54" s="1243"/>
      <c r="AX54" s="1243"/>
      <c r="AY54" s="1243"/>
      <c r="AZ54" s="1243"/>
      <c r="BA54" s="1243"/>
      <c r="BB54" s="1243"/>
      <c r="BC54" s="1243"/>
      <c r="BD54" s="874"/>
      <c r="BE54" s="294"/>
      <c r="BF54" s="371" t="s">
        <v>474</v>
      </c>
    </row>
    <row r="55" spans="1:106" ht="14.25" customHeight="1" x14ac:dyDescent="0.2">
      <c r="A55" s="874"/>
      <c r="B55" s="56"/>
      <c r="C55" s="56"/>
      <c r="D55" s="56"/>
      <c r="E55" s="56"/>
      <c r="F55" s="658" t="s">
        <v>238</v>
      </c>
      <c r="G55" s="1243" t="s">
        <v>11</v>
      </c>
      <c r="H55" s="1243"/>
      <c r="I55" s="1243"/>
      <c r="J55" s="1243"/>
      <c r="K55" s="1243"/>
      <c r="L55" s="1243"/>
      <c r="M55" s="1243"/>
      <c r="N55" s="1243"/>
      <c r="O55" s="1243"/>
      <c r="P55" s="1243"/>
      <c r="Q55" s="1243"/>
      <c r="R55" s="1243"/>
      <c r="S55" s="1243"/>
      <c r="T55" s="1243"/>
      <c r="U55" s="1243"/>
      <c r="V55" s="1243"/>
      <c r="W55" s="1243"/>
      <c r="X55" s="1243"/>
      <c r="Y55" s="1243"/>
      <c r="Z55" s="1243"/>
      <c r="AA55" s="1243"/>
      <c r="AB55" s="1243"/>
      <c r="AC55" s="1243"/>
      <c r="AD55" s="1243"/>
      <c r="AE55" s="1243"/>
      <c r="AF55" s="1243"/>
      <c r="AG55" s="1243"/>
      <c r="AH55" s="1243"/>
      <c r="AI55" s="1243"/>
      <c r="AJ55" s="1243"/>
      <c r="AK55" s="1243"/>
      <c r="AL55" s="1243"/>
      <c r="AM55" s="1243"/>
      <c r="AN55" s="1243"/>
      <c r="AO55" s="1243"/>
      <c r="AP55" s="1243"/>
      <c r="AQ55" s="1243"/>
      <c r="AR55" s="1243"/>
      <c r="AS55" s="1243"/>
      <c r="AT55" s="1243"/>
      <c r="AU55" s="1243"/>
      <c r="AV55" s="1243"/>
      <c r="AW55" s="1243"/>
      <c r="AX55" s="1243"/>
      <c r="AY55" s="1243"/>
      <c r="AZ55" s="1243"/>
      <c r="BA55" s="1243"/>
      <c r="BB55" s="1243"/>
      <c r="BC55" s="1243"/>
      <c r="BD55" s="874"/>
      <c r="BE55" s="294"/>
      <c r="BF55" s="371" t="s">
        <v>451</v>
      </c>
    </row>
    <row r="56" spans="1:106" ht="14.25" customHeight="1" x14ac:dyDescent="0.2">
      <c r="A56" s="874"/>
      <c r="B56" s="56"/>
      <c r="C56" s="56"/>
      <c r="D56" s="56"/>
      <c r="E56" s="56"/>
      <c r="F56" s="658" t="s">
        <v>238</v>
      </c>
      <c r="G56" s="1243" t="s">
        <v>12</v>
      </c>
      <c r="H56" s="1243"/>
      <c r="I56" s="1243"/>
      <c r="J56" s="1243"/>
      <c r="K56" s="1243"/>
      <c r="L56" s="1243"/>
      <c r="M56" s="1243"/>
      <c r="N56" s="1243"/>
      <c r="O56" s="1243"/>
      <c r="P56" s="1243"/>
      <c r="Q56" s="1243"/>
      <c r="R56" s="1243"/>
      <c r="S56" s="1243"/>
      <c r="T56" s="1243"/>
      <c r="U56" s="1243"/>
      <c r="V56" s="1243"/>
      <c r="W56" s="1243"/>
      <c r="X56" s="1243"/>
      <c r="Y56" s="1243"/>
      <c r="Z56" s="1243"/>
      <c r="AA56" s="1243"/>
      <c r="AB56" s="1243"/>
      <c r="AC56" s="1243"/>
      <c r="AD56" s="1243"/>
      <c r="AE56" s="1243"/>
      <c r="AF56" s="1243"/>
      <c r="AG56" s="1243"/>
      <c r="AH56" s="1243"/>
      <c r="AI56" s="1243"/>
      <c r="AJ56" s="1243"/>
      <c r="AK56" s="1243"/>
      <c r="AL56" s="1243"/>
      <c r="AM56" s="1243"/>
      <c r="AN56" s="1243"/>
      <c r="AO56" s="1243"/>
      <c r="AP56" s="1243"/>
      <c r="AQ56" s="1243"/>
      <c r="AR56" s="1243"/>
      <c r="AS56" s="1243"/>
      <c r="AT56" s="1243"/>
      <c r="AU56" s="1243"/>
      <c r="AV56" s="1243"/>
      <c r="AW56" s="1243"/>
      <c r="AX56" s="1243"/>
      <c r="AY56" s="1243"/>
      <c r="AZ56" s="1243"/>
      <c r="BA56" s="1243"/>
      <c r="BB56" s="1243"/>
      <c r="BC56" s="1243"/>
      <c r="BD56" s="874"/>
      <c r="BE56" s="294"/>
    </row>
    <row r="57" spans="1:106" ht="14.25" hidden="1" customHeight="1" x14ac:dyDescent="0.2">
      <c r="A57" s="876" t="str">
        <f>IF(G57="","OK","")</f>
        <v>OK</v>
      </c>
      <c r="B57" s="56"/>
      <c r="C57" s="56"/>
      <c r="D57" s="56"/>
      <c r="E57" s="56"/>
      <c r="F57" s="658" t="str">
        <f>IF(G57="","","●")</f>
        <v/>
      </c>
      <c r="G57" s="1243" t="str">
        <f>IF(BG57&gt;=0.01,BH57,"")</f>
        <v/>
      </c>
      <c r="H57" s="1243"/>
      <c r="I57" s="1243"/>
      <c r="J57" s="1243"/>
      <c r="K57" s="1243"/>
      <c r="L57" s="1243"/>
      <c r="M57" s="1243"/>
      <c r="N57" s="1243"/>
      <c r="O57" s="1243"/>
      <c r="P57" s="1243"/>
      <c r="Q57" s="1243"/>
      <c r="R57" s="1243"/>
      <c r="S57" s="1243"/>
      <c r="T57" s="1243"/>
      <c r="U57" s="1243"/>
      <c r="V57" s="1243"/>
      <c r="W57" s="1243"/>
      <c r="X57" s="1243"/>
      <c r="Y57" s="1243"/>
      <c r="Z57" s="1243"/>
      <c r="AA57" s="1243"/>
      <c r="AB57" s="1243"/>
      <c r="AC57" s="1243"/>
      <c r="AD57" s="1243"/>
      <c r="AE57" s="1243"/>
      <c r="AF57" s="1243"/>
      <c r="AG57" s="1243"/>
      <c r="AH57" s="1243"/>
      <c r="AI57" s="1243"/>
      <c r="AJ57" s="1243"/>
      <c r="AK57" s="1243"/>
      <c r="AL57" s="1243"/>
      <c r="AM57" s="1243"/>
      <c r="AN57" s="1243"/>
      <c r="AO57" s="1243"/>
      <c r="AP57" s="1243"/>
      <c r="AQ57" s="1243"/>
      <c r="AR57" s="1243"/>
      <c r="AS57" s="1243"/>
      <c r="AT57" s="1243"/>
      <c r="AU57" s="1243"/>
      <c r="AV57" s="1243"/>
      <c r="AW57" s="1243"/>
      <c r="AX57" s="1243"/>
      <c r="AY57" s="1243"/>
      <c r="AZ57" s="1243"/>
      <c r="BA57" s="1243"/>
      <c r="BB57" s="1243"/>
      <c r="BC57" s="1243"/>
      <c r="BD57" s="874"/>
      <c r="BE57" s="294"/>
      <c r="BF57" s="293" t="s">
        <v>669</v>
      </c>
      <c r="BG57" s="667">
        <f>IF(MENU!$AE$83="",0,MENU!$AE$83)</f>
        <v>0</v>
      </c>
      <c r="BH57" s="297" t="s">
        <v>201</v>
      </c>
      <c r="BI57" s="297"/>
      <c r="BJ57" s="297"/>
      <c r="BK57" s="297"/>
      <c r="BL57" s="297"/>
      <c r="BM57" s="297"/>
      <c r="BN57" s="297"/>
      <c r="BO57" s="297"/>
      <c r="BP57" s="297"/>
      <c r="BQ57" s="297"/>
      <c r="BR57" s="297"/>
      <c r="BS57" s="297"/>
      <c r="BT57" s="297"/>
      <c r="BU57" s="297"/>
      <c r="BV57" s="297"/>
      <c r="BW57" s="297"/>
      <c r="BX57" s="297"/>
      <c r="BY57" s="297"/>
      <c r="BZ57" s="297"/>
      <c r="CA57" s="297"/>
      <c r="CB57" s="297"/>
      <c r="CC57" s="297"/>
      <c r="CD57" s="297"/>
      <c r="CE57" s="297"/>
      <c r="CF57" s="297"/>
      <c r="CG57" s="297"/>
      <c r="CH57" s="297"/>
      <c r="CI57" s="297"/>
      <c r="CJ57" s="297"/>
      <c r="CK57" s="297"/>
      <c r="CL57" s="297"/>
      <c r="CM57" s="297"/>
      <c r="CN57" s="297"/>
      <c r="CO57" s="297"/>
      <c r="CP57" s="297"/>
      <c r="CQ57" s="297"/>
      <c r="CR57" s="297"/>
      <c r="CS57" s="297"/>
      <c r="CT57" s="297"/>
      <c r="CU57" s="297"/>
      <c r="CV57" s="297"/>
      <c r="CW57" s="297"/>
      <c r="CX57" s="297"/>
      <c r="CY57" s="297"/>
      <c r="CZ57" s="297"/>
      <c r="DA57" s="297"/>
      <c r="DB57" s="297"/>
    </row>
    <row r="58" spans="1:106" ht="14.25" hidden="1" customHeight="1" x14ac:dyDescent="0.2">
      <c r="A58" s="876" t="str">
        <f>IF(G58="","OK","")</f>
        <v>OK</v>
      </c>
      <c r="B58" s="56"/>
      <c r="C58" s="56"/>
      <c r="D58" s="56"/>
      <c r="E58" s="56"/>
      <c r="F58" s="658" t="str">
        <f>IF(G58="","","●")</f>
        <v/>
      </c>
      <c r="G58" s="1243" t="str">
        <f>IF(BG58&gt;=0.01,BH58,"")</f>
        <v/>
      </c>
      <c r="H58" s="1243"/>
      <c r="I58" s="1243"/>
      <c r="J58" s="1243"/>
      <c r="K58" s="1243"/>
      <c r="L58" s="1243"/>
      <c r="M58" s="1243"/>
      <c r="N58" s="1243"/>
      <c r="O58" s="1243"/>
      <c r="P58" s="1243"/>
      <c r="Q58" s="1243"/>
      <c r="R58" s="1243"/>
      <c r="S58" s="1243"/>
      <c r="T58" s="1243"/>
      <c r="U58" s="1243"/>
      <c r="V58" s="1243"/>
      <c r="W58" s="1243"/>
      <c r="X58" s="1243"/>
      <c r="Y58" s="1243"/>
      <c r="Z58" s="1243"/>
      <c r="AA58" s="1243"/>
      <c r="AB58" s="1243"/>
      <c r="AC58" s="1243"/>
      <c r="AD58" s="1243"/>
      <c r="AE58" s="1243"/>
      <c r="AF58" s="1243"/>
      <c r="AG58" s="1243"/>
      <c r="AH58" s="1243"/>
      <c r="AI58" s="1243"/>
      <c r="AJ58" s="1243"/>
      <c r="AK58" s="1243"/>
      <c r="AL58" s="1243"/>
      <c r="AM58" s="1243"/>
      <c r="AN58" s="1243"/>
      <c r="AO58" s="1243"/>
      <c r="AP58" s="1243"/>
      <c r="AQ58" s="1243"/>
      <c r="AR58" s="1243"/>
      <c r="AS58" s="1243"/>
      <c r="AT58" s="1243"/>
      <c r="AU58" s="1243"/>
      <c r="AV58" s="1243"/>
      <c r="AW58" s="1243"/>
      <c r="AX58" s="1243"/>
      <c r="AY58" s="1243"/>
      <c r="AZ58" s="1243"/>
      <c r="BA58" s="1243"/>
      <c r="BB58" s="1243"/>
      <c r="BC58" s="1243"/>
      <c r="BD58" s="874"/>
      <c r="BE58" s="294"/>
      <c r="BF58" s="293" t="s">
        <v>668</v>
      </c>
      <c r="BG58" s="668">
        <f>Despesas!$AG$164</f>
        <v>0</v>
      </c>
      <c r="BH58" s="297" t="s">
        <v>193</v>
      </c>
      <c r="BI58" s="297"/>
      <c r="BJ58" s="297"/>
      <c r="BK58" s="297"/>
      <c r="BL58" s="297"/>
      <c r="BM58" s="297"/>
      <c r="BN58" s="297"/>
      <c r="BO58" s="297"/>
      <c r="BP58" s="297"/>
      <c r="BQ58" s="297"/>
      <c r="BR58" s="297"/>
      <c r="BS58" s="297"/>
      <c r="BT58" s="297"/>
      <c r="BU58" s="297"/>
      <c r="BV58" s="297"/>
      <c r="BW58" s="297"/>
      <c r="BX58" s="297"/>
      <c r="BY58" s="297"/>
      <c r="BZ58" s="297"/>
      <c r="CA58" s="297"/>
      <c r="CB58" s="297"/>
      <c r="CC58" s="297"/>
      <c r="CD58" s="297"/>
      <c r="CE58" s="297"/>
      <c r="CF58" s="297"/>
      <c r="CG58" s="297"/>
      <c r="CH58" s="297"/>
      <c r="CI58" s="297"/>
      <c r="CJ58" s="297"/>
      <c r="CK58" s="297"/>
      <c r="CL58" s="297"/>
      <c r="CM58" s="297"/>
      <c r="CN58" s="297"/>
      <c r="CO58" s="297"/>
      <c r="CP58" s="297"/>
      <c r="CQ58" s="297"/>
      <c r="CR58" s="297"/>
      <c r="CS58" s="297"/>
      <c r="CT58" s="297"/>
      <c r="CU58" s="297"/>
      <c r="CV58" s="297"/>
      <c r="CW58" s="297"/>
      <c r="CX58" s="297"/>
      <c r="CY58" s="297"/>
      <c r="CZ58" s="297"/>
      <c r="DA58" s="297"/>
      <c r="DB58" s="297"/>
    </row>
    <row r="59" spans="1:106" ht="14.25" hidden="1" customHeight="1" x14ac:dyDescent="0.2">
      <c r="A59" s="876" t="str">
        <f>IF(G59="","OK","")</f>
        <v>OK</v>
      </c>
      <c r="B59" s="56"/>
      <c r="C59" s="56"/>
      <c r="D59" s="56"/>
      <c r="E59" s="56"/>
      <c r="F59" s="658" t="str">
        <f>IF(G59="","","●")</f>
        <v/>
      </c>
      <c r="G59" s="1243" t="str">
        <f>IF(BG59&gt;=0.01,BH59,"")</f>
        <v/>
      </c>
      <c r="H59" s="1243"/>
      <c r="I59" s="1243"/>
      <c r="J59" s="1243"/>
      <c r="K59" s="1243"/>
      <c r="L59" s="1243"/>
      <c r="M59" s="1243"/>
      <c r="N59" s="1243"/>
      <c r="O59" s="1243"/>
      <c r="P59" s="1243"/>
      <c r="Q59" s="1243"/>
      <c r="R59" s="1243"/>
      <c r="S59" s="1243"/>
      <c r="T59" s="1243"/>
      <c r="U59" s="1243"/>
      <c r="V59" s="1243"/>
      <c r="W59" s="1243"/>
      <c r="X59" s="1243"/>
      <c r="Y59" s="1243"/>
      <c r="Z59" s="1243"/>
      <c r="AA59" s="1243"/>
      <c r="AB59" s="1243"/>
      <c r="AC59" s="1243"/>
      <c r="AD59" s="1243"/>
      <c r="AE59" s="1243"/>
      <c r="AF59" s="1243"/>
      <c r="AG59" s="1243"/>
      <c r="AH59" s="1243"/>
      <c r="AI59" s="1243"/>
      <c r="AJ59" s="1243"/>
      <c r="AK59" s="1243"/>
      <c r="AL59" s="1243"/>
      <c r="AM59" s="1243"/>
      <c r="AN59" s="1243"/>
      <c r="AO59" s="1243"/>
      <c r="AP59" s="1243"/>
      <c r="AQ59" s="1243"/>
      <c r="AR59" s="1243"/>
      <c r="AS59" s="1243"/>
      <c r="AT59" s="1243"/>
      <c r="AU59" s="1243"/>
      <c r="AV59" s="1243"/>
      <c r="AW59" s="1243"/>
      <c r="AX59" s="1243"/>
      <c r="AY59" s="1243"/>
      <c r="AZ59" s="1243"/>
      <c r="BA59" s="1243"/>
      <c r="BB59" s="1243"/>
      <c r="BC59" s="1243"/>
      <c r="BD59" s="874"/>
      <c r="BE59" s="294"/>
      <c r="BF59" s="763" t="s">
        <v>1176</v>
      </c>
      <c r="BG59" s="297">
        <f>Despesas!$AG$164</f>
        <v>0</v>
      </c>
      <c r="BH59" s="297" t="s">
        <v>194</v>
      </c>
      <c r="BI59" s="297"/>
      <c r="BJ59" s="297"/>
      <c r="BK59" s="297"/>
      <c r="BL59" s="297"/>
      <c r="BM59" s="297"/>
      <c r="BN59" s="297"/>
      <c r="BO59" s="297"/>
      <c r="BP59" s="297"/>
      <c r="BQ59" s="297"/>
      <c r="BR59" s="297"/>
      <c r="BS59" s="297"/>
      <c r="BT59" s="297"/>
      <c r="BU59" s="297"/>
      <c r="BV59" s="297"/>
      <c r="BW59" s="297"/>
      <c r="BX59" s="297"/>
      <c r="BY59" s="297"/>
      <c r="BZ59" s="297"/>
      <c r="CA59" s="297"/>
      <c r="CB59" s="297"/>
      <c r="CC59" s="297"/>
      <c r="CD59" s="297"/>
      <c r="CE59" s="297"/>
      <c r="CF59" s="297"/>
      <c r="CG59" s="297"/>
      <c r="CH59" s="297"/>
      <c r="CI59" s="297"/>
      <c r="CJ59" s="297"/>
      <c r="CK59" s="297"/>
      <c r="CL59" s="297"/>
      <c r="CM59" s="297"/>
      <c r="CN59" s="297"/>
      <c r="CO59" s="297"/>
      <c r="CP59" s="297"/>
      <c r="CQ59" s="297"/>
      <c r="CR59" s="297"/>
      <c r="CS59" s="297"/>
      <c r="CT59" s="297"/>
      <c r="CU59" s="297"/>
      <c r="CV59" s="297"/>
      <c r="CW59" s="297"/>
      <c r="CX59" s="297"/>
      <c r="CY59" s="297"/>
      <c r="CZ59" s="297"/>
      <c r="DA59" s="297"/>
      <c r="DB59" s="297"/>
    </row>
    <row r="60" spans="1:106" ht="12.75" hidden="1" customHeight="1" x14ac:dyDescent="0.2">
      <c r="A60" s="876" t="str">
        <f>IF(G60="","OK","")</f>
        <v>OK</v>
      </c>
      <c r="B60" s="56"/>
      <c r="C60" s="56"/>
      <c r="D60" s="56"/>
      <c r="E60" s="56"/>
      <c r="F60" s="658" t="str">
        <f>IF(G60="","","●")</f>
        <v/>
      </c>
      <c r="G60" s="1243" t="str">
        <f>IF(BG60&gt;=0.01,BH60,"")</f>
        <v/>
      </c>
      <c r="H60" s="1243"/>
      <c r="I60" s="1243"/>
      <c r="J60" s="1243"/>
      <c r="K60" s="1243"/>
      <c r="L60" s="1243"/>
      <c r="M60" s="1243"/>
      <c r="N60" s="1243"/>
      <c r="O60" s="1243"/>
      <c r="P60" s="1243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3"/>
      <c r="AI60" s="1243"/>
      <c r="AJ60" s="1243"/>
      <c r="AK60" s="1243"/>
      <c r="AL60" s="1243"/>
      <c r="AM60" s="1243"/>
      <c r="AN60" s="1243"/>
      <c r="AO60" s="1243"/>
      <c r="AP60" s="1243"/>
      <c r="AQ60" s="1243"/>
      <c r="AR60" s="1243"/>
      <c r="AS60" s="1243"/>
      <c r="AT60" s="1243"/>
      <c r="AU60" s="1243"/>
      <c r="AV60" s="1243"/>
      <c r="AW60" s="1243"/>
      <c r="AX60" s="1243"/>
      <c r="AY60" s="1243"/>
      <c r="AZ60" s="1243"/>
      <c r="BA60" s="1243"/>
      <c r="BB60" s="1243"/>
      <c r="BC60" s="1243"/>
      <c r="BD60" s="874"/>
      <c r="BE60" s="294"/>
      <c r="BF60" s="371" t="s">
        <v>670</v>
      </c>
      <c r="BG60" s="667">
        <f>MOD_4!$U$39</f>
        <v>0</v>
      </c>
      <c r="BH60" s="297" t="s">
        <v>26</v>
      </c>
      <c r="BI60" s="297"/>
      <c r="BJ60" s="297"/>
      <c r="BK60" s="297"/>
      <c r="BL60" s="297"/>
      <c r="BM60" s="297"/>
      <c r="BN60" s="297"/>
      <c r="BO60" s="297"/>
      <c r="BP60" s="297"/>
      <c r="BQ60" s="297"/>
      <c r="BR60" s="297"/>
      <c r="BS60" s="297"/>
      <c r="BT60" s="297"/>
      <c r="BU60" s="297"/>
      <c r="BV60" s="297"/>
      <c r="BW60" s="297"/>
      <c r="BX60" s="297"/>
      <c r="BY60" s="297"/>
      <c r="BZ60" s="297"/>
      <c r="CA60" s="297"/>
      <c r="CB60" s="297"/>
      <c r="CC60" s="297"/>
      <c r="CD60" s="297"/>
      <c r="CE60" s="297"/>
      <c r="CF60" s="297"/>
      <c r="CG60" s="297"/>
      <c r="CH60" s="297"/>
      <c r="CI60" s="297"/>
      <c r="CJ60" s="297"/>
      <c r="CK60" s="297"/>
      <c r="CL60" s="297"/>
      <c r="CM60" s="297"/>
      <c r="CN60" s="297"/>
      <c r="CO60" s="297"/>
      <c r="CP60" s="297"/>
      <c r="CQ60" s="297"/>
      <c r="CR60" s="297"/>
      <c r="CS60" s="297"/>
      <c r="CT60" s="297"/>
      <c r="CU60" s="297"/>
      <c r="CV60" s="297"/>
      <c r="CW60" s="297"/>
      <c r="CX60" s="297"/>
      <c r="CY60" s="297"/>
      <c r="CZ60" s="297"/>
      <c r="DA60" s="297"/>
      <c r="DB60" s="297"/>
    </row>
    <row r="61" spans="1:106" ht="12.75" hidden="1" customHeight="1" x14ac:dyDescent="0.2">
      <c r="A61" s="876" t="str">
        <f>IF(G61="","OK","")</f>
        <v>OK</v>
      </c>
      <c r="B61" s="56"/>
      <c r="C61" s="56"/>
      <c r="D61" s="56"/>
      <c r="E61" s="56"/>
      <c r="F61" s="658" t="str">
        <f>IF(G61="","","●")</f>
        <v/>
      </c>
      <c r="G61" s="1243" t="str">
        <f>IF(BG61&gt;=0.01,BH61,"")</f>
        <v/>
      </c>
      <c r="H61" s="1243"/>
      <c r="I61" s="1243"/>
      <c r="J61" s="1243"/>
      <c r="K61" s="1243"/>
      <c r="L61" s="1243"/>
      <c r="M61" s="1243"/>
      <c r="N61" s="1243"/>
      <c r="O61" s="1243"/>
      <c r="P61" s="1243"/>
      <c r="Q61" s="1243"/>
      <c r="R61" s="1243"/>
      <c r="S61" s="1243"/>
      <c r="T61" s="1243"/>
      <c r="U61" s="1243"/>
      <c r="V61" s="1243"/>
      <c r="W61" s="1243"/>
      <c r="X61" s="1243"/>
      <c r="Y61" s="1243"/>
      <c r="Z61" s="1243"/>
      <c r="AA61" s="1243"/>
      <c r="AB61" s="1243"/>
      <c r="AC61" s="1243"/>
      <c r="AD61" s="1243"/>
      <c r="AE61" s="1243"/>
      <c r="AF61" s="1243"/>
      <c r="AG61" s="1243"/>
      <c r="AH61" s="1243"/>
      <c r="AI61" s="1243"/>
      <c r="AJ61" s="1243"/>
      <c r="AK61" s="1243"/>
      <c r="AL61" s="1243"/>
      <c r="AM61" s="1243"/>
      <c r="AN61" s="1243"/>
      <c r="AO61" s="1243"/>
      <c r="AP61" s="1243"/>
      <c r="AQ61" s="1243"/>
      <c r="AR61" s="1243"/>
      <c r="AS61" s="1243"/>
      <c r="AT61" s="1243"/>
      <c r="AU61" s="1243"/>
      <c r="AV61" s="1243"/>
      <c r="AW61" s="1243"/>
      <c r="AX61" s="1243"/>
      <c r="AY61" s="1243"/>
      <c r="AZ61" s="1243"/>
      <c r="BA61" s="1243"/>
      <c r="BB61" s="1243"/>
      <c r="BC61" s="1243"/>
      <c r="BD61" s="874"/>
      <c r="BE61" s="294"/>
      <c r="BF61" s="371" t="s">
        <v>179</v>
      </c>
      <c r="BG61" s="293">
        <f>Despesas!$O$173</f>
        <v>0</v>
      </c>
      <c r="BH61" s="297" t="s">
        <v>25</v>
      </c>
      <c r="BI61" s="297"/>
      <c r="BJ61" s="297"/>
      <c r="BK61" s="297"/>
      <c r="BL61" s="297"/>
      <c r="BM61" s="297"/>
      <c r="BN61" s="297"/>
      <c r="BO61" s="297"/>
      <c r="BP61" s="297"/>
      <c r="BQ61" s="297"/>
      <c r="BR61" s="297"/>
      <c r="BS61" s="297"/>
      <c r="BT61" s="297"/>
      <c r="BU61" s="297"/>
      <c r="BV61" s="297"/>
      <c r="BW61" s="297"/>
      <c r="BX61" s="297"/>
      <c r="BY61" s="297"/>
      <c r="BZ61" s="297"/>
      <c r="CA61" s="297"/>
      <c r="CB61" s="297"/>
      <c r="CC61" s="297"/>
      <c r="CD61" s="297"/>
      <c r="CE61" s="297"/>
      <c r="CF61" s="297"/>
      <c r="CG61" s="297"/>
      <c r="CH61" s="297"/>
      <c r="CI61" s="297"/>
      <c r="CJ61" s="297"/>
      <c r="CK61" s="297"/>
      <c r="CL61" s="297"/>
      <c r="CM61" s="297"/>
      <c r="CN61" s="297"/>
      <c r="CO61" s="297"/>
      <c r="CP61" s="297"/>
      <c r="CQ61" s="297"/>
      <c r="CR61" s="297"/>
      <c r="CS61" s="297"/>
      <c r="CT61" s="297"/>
      <c r="CU61" s="297"/>
      <c r="CV61" s="297"/>
      <c r="CW61" s="297"/>
      <c r="CX61" s="297"/>
      <c r="CY61" s="297"/>
      <c r="CZ61" s="297"/>
      <c r="DA61" s="297"/>
      <c r="DB61" s="297"/>
    </row>
    <row r="62" spans="1:106" ht="9.75" customHeight="1" x14ac:dyDescent="0.2">
      <c r="A62" s="877" t="str">
        <f>IF(G62="","Justificativas &gt;&gt;&gt;
e/ou
Observações &gt;&gt;&gt;","Aumente ou diminua a altura da linha, dependendo do conteúdo digitado")</f>
        <v>Justificativas &gt;&gt;&gt;
e/ou
Observações &gt;&gt;&gt;</v>
      </c>
      <c r="B62" s="56"/>
      <c r="C62" s="56"/>
      <c r="D62" s="56"/>
      <c r="E62" s="56"/>
      <c r="F62" s="658"/>
      <c r="G62" s="1276"/>
      <c r="H62" s="1277"/>
      <c r="I62" s="1277"/>
      <c r="J62" s="1277"/>
      <c r="K62" s="1277"/>
      <c r="L62" s="1277"/>
      <c r="M62" s="1277"/>
      <c r="N62" s="1277"/>
      <c r="O62" s="1277"/>
      <c r="P62" s="1277"/>
      <c r="Q62" s="1277"/>
      <c r="R62" s="1277"/>
      <c r="S62" s="1277"/>
      <c r="T62" s="1277"/>
      <c r="U62" s="1277"/>
      <c r="V62" s="1277"/>
      <c r="W62" s="1277"/>
      <c r="X62" s="1277"/>
      <c r="Y62" s="1277"/>
      <c r="Z62" s="1277"/>
      <c r="AA62" s="1277"/>
      <c r="AB62" s="1277"/>
      <c r="AC62" s="1277"/>
      <c r="AD62" s="1277"/>
      <c r="AE62" s="1277"/>
      <c r="AF62" s="1277"/>
      <c r="AG62" s="1277"/>
      <c r="AH62" s="1277"/>
      <c r="AI62" s="1277"/>
      <c r="AJ62" s="1277"/>
      <c r="AK62" s="1277"/>
      <c r="AL62" s="1277"/>
      <c r="AM62" s="1277"/>
      <c r="AN62" s="1277"/>
      <c r="AO62" s="1277"/>
      <c r="AP62" s="1277"/>
      <c r="AQ62" s="1277"/>
      <c r="AR62" s="1277"/>
      <c r="AS62" s="1277"/>
      <c r="AT62" s="1277"/>
      <c r="AU62" s="1277"/>
      <c r="AV62" s="1277"/>
      <c r="AW62" s="1277"/>
      <c r="AX62" s="1277"/>
      <c r="AY62" s="1277"/>
      <c r="AZ62" s="1277"/>
      <c r="BA62" s="1277"/>
      <c r="BB62" s="1277"/>
      <c r="BC62" s="1277"/>
      <c r="BD62" s="874"/>
      <c r="BE62" s="294"/>
    </row>
    <row r="63" spans="1:106" ht="37.5" customHeight="1" x14ac:dyDescent="0.2">
      <c r="A63" s="877" t="str">
        <f>IF(G63="","Justificativas &gt;&gt;&gt;
e/ou
Observações &gt;&gt;&gt;","Aumente ou diminua a altura da linha, dependendo do conteúdo digitado")</f>
        <v>Justificativas &gt;&gt;&gt;
e/ou
Observações &gt;&gt;&gt;</v>
      </c>
      <c r="B63" s="56"/>
      <c r="C63" s="56"/>
      <c r="D63" s="56"/>
      <c r="E63" s="56"/>
      <c r="F63" s="658"/>
      <c r="G63" s="1274"/>
      <c r="H63" s="1275"/>
      <c r="I63" s="1275"/>
      <c r="J63" s="1275"/>
      <c r="K63" s="1275"/>
      <c r="L63" s="1275"/>
      <c r="M63" s="1275"/>
      <c r="N63" s="1275"/>
      <c r="O63" s="1275"/>
      <c r="P63" s="1275"/>
      <c r="Q63" s="1275"/>
      <c r="R63" s="1275"/>
      <c r="S63" s="1275"/>
      <c r="T63" s="1275"/>
      <c r="U63" s="1275"/>
      <c r="V63" s="1275"/>
      <c r="W63" s="1275"/>
      <c r="X63" s="1275"/>
      <c r="Y63" s="1275"/>
      <c r="Z63" s="1275"/>
      <c r="AA63" s="1275"/>
      <c r="AB63" s="1275"/>
      <c r="AC63" s="1275"/>
      <c r="AD63" s="1275"/>
      <c r="AE63" s="1275"/>
      <c r="AF63" s="1275"/>
      <c r="AG63" s="1275"/>
      <c r="AH63" s="1275"/>
      <c r="AI63" s="1275"/>
      <c r="AJ63" s="1275"/>
      <c r="AK63" s="1275"/>
      <c r="AL63" s="1275"/>
      <c r="AM63" s="1275"/>
      <c r="AN63" s="1275"/>
      <c r="AO63" s="1275"/>
      <c r="AP63" s="1275"/>
      <c r="AQ63" s="1275"/>
      <c r="AR63" s="1275"/>
      <c r="AS63" s="1275"/>
      <c r="AT63" s="1275"/>
      <c r="AU63" s="1275"/>
      <c r="AV63" s="1275"/>
      <c r="AW63" s="1275"/>
      <c r="AX63" s="1275"/>
      <c r="AY63" s="1275"/>
      <c r="AZ63" s="1275"/>
      <c r="BA63" s="1275"/>
      <c r="BB63" s="1275"/>
      <c r="BC63" s="1275"/>
      <c r="BD63" s="874"/>
      <c r="BE63" s="294"/>
    </row>
    <row r="64" spans="1:106" ht="26.25" customHeight="1" x14ac:dyDescent="0.2">
      <c r="A64" s="877" t="str">
        <f>IF(G64="","Justificativas &gt;&gt;&gt;
e/ou
Observações &gt;&gt;&gt;","Aumente ou diminua a altura da linha, dependendo do conteúdo digitado")</f>
        <v>Justificativas &gt;&gt;&gt;
e/ou
Observações &gt;&gt;&gt;</v>
      </c>
      <c r="B64" s="56"/>
      <c r="C64" s="56"/>
      <c r="D64" s="56"/>
      <c r="E64" s="56"/>
      <c r="F64" s="658"/>
      <c r="G64" s="1274"/>
      <c r="H64" s="1275"/>
      <c r="I64" s="1275"/>
      <c r="J64" s="1275"/>
      <c r="K64" s="1275"/>
      <c r="L64" s="1275"/>
      <c r="M64" s="1275"/>
      <c r="N64" s="1275"/>
      <c r="O64" s="1275"/>
      <c r="P64" s="1275"/>
      <c r="Q64" s="1275"/>
      <c r="R64" s="1275"/>
      <c r="S64" s="1275"/>
      <c r="T64" s="1275"/>
      <c r="U64" s="1275"/>
      <c r="V64" s="1275"/>
      <c r="W64" s="1275"/>
      <c r="X64" s="1275"/>
      <c r="Y64" s="1275"/>
      <c r="Z64" s="1275"/>
      <c r="AA64" s="1275"/>
      <c r="AB64" s="1275"/>
      <c r="AC64" s="1275"/>
      <c r="AD64" s="1275"/>
      <c r="AE64" s="1275"/>
      <c r="AF64" s="1275"/>
      <c r="AG64" s="1275"/>
      <c r="AH64" s="1275"/>
      <c r="AI64" s="1275"/>
      <c r="AJ64" s="1275"/>
      <c r="AK64" s="1275"/>
      <c r="AL64" s="1275"/>
      <c r="AM64" s="1275"/>
      <c r="AN64" s="1275"/>
      <c r="AO64" s="1275"/>
      <c r="AP64" s="1275"/>
      <c r="AQ64" s="1275"/>
      <c r="AR64" s="1275"/>
      <c r="AS64" s="1275"/>
      <c r="AT64" s="1275"/>
      <c r="AU64" s="1275"/>
      <c r="AV64" s="1275"/>
      <c r="AW64" s="1275"/>
      <c r="AX64" s="1275"/>
      <c r="AY64" s="1275"/>
      <c r="AZ64" s="1275"/>
      <c r="BA64" s="1275"/>
      <c r="BB64" s="1275"/>
      <c r="BC64" s="1275"/>
      <c r="BD64" s="874"/>
      <c r="BE64" s="294"/>
    </row>
    <row r="65" spans="1:57" ht="6.75" customHeight="1" x14ac:dyDescent="0.2">
      <c r="A65" s="874"/>
      <c r="B65" s="56"/>
      <c r="C65" s="56"/>
      <c r="D65" s="56"/>
      <c r="E65" s="56"/>
      <c r="F65" s="658"/>
      <c r="G65" s="658"/>
      <c r="H65" s="658"/>
      <c r="I65" s="658"/>
      <c r="J65" s="658"/>
      <c r="K65" s="658"/>
      <c r="L65" s="658"/>
      <c r="M65" s="658"/>
      <c r="N65" s="658"/>
      <c r="O65" s="658"/>
      <c r="P65" s="658"/>
      <c r="Q65" s="658"/>
      <c r="R65" s="658"/>
      <c r="S65" s="658"/>
      <c r="T65" s="658"/>
      <c r="U65" s="658"/>
      <c r="V65" s="658"/>
      <c r="W65" s="658"/>
      <c r="X65" s="658"/>
      <c r="Y65" s="658"/>
      <c r="Z65" s="658"/>
      <c r="AA65" s="658"/>
      <c r="AB65" s="658"/>
      <c r="AC65" s="658"/>
      <c r="AD65" s="658"/>
      <c r="AE65" s="658"/>
      <c r="AF65" s="658"/>
      <c r="AG65" s="658"/>
      <c r="AH65" s="658"/>
      <c r="AI65" s="658"/>
      <c r="AJ65" s="658"/>
      <c r="AK65" s="658"/>
      <c r="AL65" s="658"/>
      <c r="AM65" s="658"/>
      <c r="AN65" s="658"/>
      <c r="AO65" s="658"/>
      <c r="AP65" s="658"/>
      <c r="AQ65" s="658"/>
      <c r="AR65" s="658"/>
      <c r="AS65" s="658"/>
      <c r="AT65" s="658"/>
      <c r="AU65" s="658"/>
      <c r="AV65" s="658"/>
      <c r="AW65" s="658"/>
      <c r="AX65" s="658"/>
      <c r="AY65" s="658"/>
      <c r="AZ65" s="658"/>
      <c r="BA65" s="658"/>
      <c r="BB65" s="658"/>
      <c r="BC65" s="658"/>
      <c r="BD65" s="874"/>
      <c r="BE65" s="294"/>
    </row>
    <row r="66" spans="1:57" x14ac:dyDescent="0.2">
      <c r="A66" s="878"/>
      <c r="B66" s="56"/>
      <c r="C66" s="56"/>
      <c r="D66" s="56"/>
      <c r="E66" s="56"/>
      <c r="F66" s="658"/>
      <c r="G66" s="1243" t="s">
        <v>24</v>
      </c>
      <c r="H66" s="1243"/>
      <c r="I66" s="1243"/>
      <c r="J66" s="1243"/>
      <c r="K66" s="1243"/>
      <c r="L66" s="1243"/>
      <c r="M66" s="1243"/>
      <c r="N66" s="1243"/>
      <c r="O66" s="1243"/>
      <c r="P66" s="1243"/>
      <c r="Q66" s="1243"/>
      <c r="R66" s="1243"/>
      <c r="S66" s="1243"/>
      <c r="T66" s="1243"/>
      <c r="U66" s="1243"/>
      <c r="V66" s="1243"/>
      <c r="W66" s="1243"/>
      <c r="X66" s="1243"/>
      <c r="Y66" s="1243"/>
      <c r="Z66" s="1243"/>
      <c r="AA66" s="1243"/>
      <c r="AB66" s="1243"/>
      <c r="AC66" s="1243"/>
      <c r="AD66" s="1243"/>
      <c r="AE66" s="1243"/>
      <c r="AF66" s="1243"/>
      <c r="AG66" s="1243"/>
      <c r="AH66" s="1243"/>
      <c r="AI66" s="1243"/>
      <c r="AJ66" s="1243"/>
      <c r="AK66" s="1243"/>
      <c r="AL66" s="1243"/>
      <c r="AM66" s="1243"/>
      <c r="AN66" s="1243"/>
      <c r="AO66" s="1243"/>
      <c r="AP66" s="1243"/>
      <c r="AQ66" s="1243"/>
      <c r="AR66" s="1243"/>
      <c r="AS66" s="1243"/>
      <c r="AT66" s="1243"/>
      <c r="AU66" s="1243"/>
      <c r="AV66" s="1243"/>
      <c r="AW66" s="1243"/>
      <c r="AX66" s="1243"/>
      <c r="AY66" s="1243"/>
      <c r="AZ66" s="1243"/>
      <c r="BA66" s="1243"/>
      <c r="BB66" s="1243"/>
      <c r="BC66" s="1243"/>
      <c r="BD66" s="874"/>
      <c r="BE66" s="294"/>
    </row>
    <row r="67" spans="1:57" ht="12.75" customHeight="1" x14ac:dyDescent="0.2">
      <c r="A67" s="878"/>
      <c r="B67" s="56"/>
      <c r="C67" s="56"/>
      <c r="D67" s="56"/>
      <c r="E67" s="56"/>
      <c r="F67" s="658"/>
      <c r="G67" s="658"/>
      <c r="H67" s="658"/>
      <c r="I67" s="658"/>
      <c r="J67" s="658"/>
      <c r="K67" s="658"/>
      <c r="L67" s="658"/>
      <c r="M67" s="658"/>
      <c r="N67" s="658"/>
      <c r="O67" s="658"/>
      <c r="P67" s="658"/>
      <c r="Q67" s="658"/>
      <c r="R67" s="658"/>
      <c r="S67" s="658"/>
      <c r="T67" s="658"/>
      <c r="U67" s="658"/>
      <c r="V67" s="658"/>
      <c r="W67" s="658"/>
      <c r="X67" s="658"/>
      <c r="Y67" s="658"/>
      <c r="Z67" s="658"/>
      <c r="AA67" s="658"/>
      <c r="AB67" s="658"/>
      <c r="AC67" s="658"/>
      <c r="AD67" s="658"/>
      <c r="AE67" s="658"/>
      <c r="AF67" s="658"/>
      <c r="AG67" s="658"/>
      <c r="AH67" s="658"/>
      <c r="AI67" s="658"/>
      <c r="AJ67" s="658"/>
      <c r="AK67" s="658"/>
      <c r="AL67" s="658"/>
      <c r="AM67" s="658"/>
      <c r="AN67" s="658"/>
      <c r="AO67" s="658"/>
      <c r="AP67" s="658"/>
      <c r="AQ67" s="658"/>
      <c r="AR67" s="658"/>
      <c r="AS67" s="658"/>
      <c r="AT67" s="658"/>
      <c r="AU67" s="658"/>
      <c r="AV67" s="658"/>
      <c r="AW67" s="658"/>
      <c r="AX67" s="658"/>
      <c r="AY67" s="658"/>
      <c r="AZ67" s="658"/>
      <c r="BA67" s="658"/>
      <c r="BB67" s="658"/>
      <c r="BC67" s="658"/>
      <c r="BD67" s="874"/>
      <c r="BE67" s="294"/>
    </row>
    <row r="68" spans="1:57" ht="12.75" hidden="1" customHeight="1" x14ac:dyDescent="0.2">
      <c r="A68" s="878"/>
      <c r="B68" s="56"/>
      <c r="C68" s="56"/>
      <c r="D68" s="56"/>
      <c r="E68" s="56"/>
      <c r="F68" s="658"/>
      <c r="G68" s="658"/>
      <c r="H68" s="658"/>
      <c r="I68" s="658"/>
      <c r="J68" s="658"/>
      <c r="K68" s="658"/>
      <c r="L68" s="658"/>
      <c r="M68" s="658"/>
      <c r="N68" s="658"/>
      <c r="O68" s="658"/>
      <c r="P68" s="658"/>
      <c r="Q68" s="658"/>
      <c r="R68" s="658"/>
      <c r="S68" s="658"/>
      <c r="T68" s="658"/>
      <c r="U68" s="658"/>
      <c r="V68" s="658"/>
      <c r="W68" s="658"/>
      <c r="X68" s="658"/>
      <c r="Y68" s="658"/>
      <c r="Z68" s="658"/>
      <c r="AA68" s="658"/>
      <c r="AB68" s="658"/>
      <c r="AC68" s="658"/>
      <c r="AD68" s="658"/>
      <c r="AE68" s="658"/>
      <c r="AF68" s="658"/>
      <c r="AG68" s="658"/>
      <c r="AH68" s="658"/>
      <c r="AI68" s="658"/>
      <c r="AJ68" s="658"/>
      <c r="AK68" s="658"/>
      <c r="AL68" s="658"/>
      <c r="AM68" s="658"/>
      <c r="AN68" s="658"/>
      <c r="AO68" s="658"/>
      <c r="AP68" s="658"/>
      <c r="AQ68" s="658"/>
      <c r="AR68" s="658"/>
      <c r="AS68" s="658"/>
      <c r="AT68" s="658"/>
      <c r="AU68" s="658"/>
      <c r="AV68" s="658"/>
      <c r="AW68" s="658"/>
      <c r="AX68" s="658"/>
      <c r="AY68" s="658"/>
      <c r="AZ68" s="658"/>
      <c r="BA68" s="658"/>
      <c r="BB68" s="658"/>
      <c r="BC68" s="658"/>
      <c r="BD68" s="874"/>
      <c r="BE68" s="294"/>
    </row>
    <row r="69" spans="1:57" ht="12.75" hidden="1" customHeight="1" x14ac:dyDescent="0.2">
      <c r="A69" s="878"/>
      <c r="B69" s="56"/>
      <c r="C69" s="56"/>
      <c r="D69" s="56"/>
      <c r="E69" s="56"/>
      <c r="F69" s="658"/>
      <c r="G69" s="658"/>
      <c r="H69" s="658"/>
      <c r="I69" s="658"/>
      <c r="J69" s="658"/>
      <c r="K69" s="658"/>
      <c r="L69" s="658"/>
      <c r="M69" s="658"/>
      <c r="N69" s="658"/>
      <c r="O69" s="658"/>
      <c r="P69" s="658"/>
      <c r="Q69" s="658"/>
      <c r="R69" s="658"/>
      <c r="S69" s="658"/>
      <c r="T69" s="658"/>
      <c r="U69" s="658"/>
      <c r="V69" s="658"/>
      <c r="W69" s="658"/>
      <c r="X69" s="658"/>
      <c r="Y69" s="658"/>
      <c r="Z69" s="658"/>
      <c r="AA69" s="658"/>
      <c r="AB69" s="658"/>
      <c r="AC69" s="658"/>
      <c r="AD69" s="658"/>
      <c r="AE69" s="658"/>
      <c r="AF69" s="658"/>
      <c r="AG69" s="658"/>
      <c r="AH69" s="658"/>
      <c r="AI69" s="658"/>
      <c r="AJ69" s="658"/>
      <c r="AK69" s="658"/>
      <c r="AL69" s="658"/>
      <c r="AM69" s="658"/>
      <c r="AN69" s="658"/>
      <c r="AO69" s="658"/>
      <c r="AP69" s="658"/>
      <c r="AQ69" s="658"/>
      <c r="AR69" s="658"/>
      <c r="AS69" s="658"/>
      <c r="AT69" s="658"/>
      <c r="AU69" s="658"/>
      <c r="AV69" s="658"/>
      <c r="AW69" s="658"/>
      <c r="AX69" s="658"/>
      <c r="AY69" s="658"/>
      <c r="AZ69" s="658"/>
      <c r="BA69" s="658"/>
      <c r="BB69" s="658"/>
      <c r="BC69" s="658"/>
      <c r="BD69" s="874"/>
      <c r="BE69" s="294"/>
    </row>
    <row r="70" spans="1:57" ht="12.75" customHeight="1" x14ac:dyDescent="0.2">
      <c r="A70" s="878"/>
      <c r="B70" s="56"/>
      <c r="C70" s="56"/>
      <c r="D70" s="56"/>
      <c r="E70" s="56"/>
      <c r="F70" s="658"/>
      <c r="G70" s="658"/>
      <c r="H70" s="658"/>
      <c r="I70" s="658"/>
      <c r="J70" s="658"/>
      <c r="K70" s="658"/>
      <c r="L70" s="658"/>
      <c r="M70" s="658"/>
      <c r="N70" s="658"/>
      <c r="O70" s="658"/>
      <c r="P70" s="658"/>
      <c r="Q70" s="658"/>
      <c r="R70" s="658"/>
      <c r="S70" s="658"/>
      <c r="T70" s="658"/>
      <c r="U70" s="658"/>
      <c r="V70" s="658"/>
      <c r="W70" s="658"/>
      <c r="X70" s="658"/>
      <c r="Y70" s="658"/>
      <c r="Z70" s="658"/>
      <c r="AA70" s="658"/>
      <c r="AB70" s="658"/>
      <c r="AC70" s="658"/>
      <c r="AD70" s="658"/>
      <c r="AE70" s="658"/>
      <c r="AF70" s="658"/>
      <c r="AG70" s="658"/>
      <c r="AH70" s="658"/>
      <c r="AI70" s="658"/>
      <c r="AJ70" s="658"/>
      <c r="AK70" s="658"/>
      <c r="AL70" s="658"/>
      <c r="AM70" s="658"/>
      <c r="AN70" s="658"/>
      <c r="AO70" s="658"/>
      <c r="AP70" s="658"/>
      <c r="AQ70" s="658"/>
      <c r="AR70" s="658"/>
      <c r="AS70" s="658"/>
      <c r="AT70" s="658"/>
      <c r="AU70" s="658"/>
      <c r="AV70" s="658"/>
      <c r="AW70" s="658"/>
      <c r="AX70" s="658"/>
      <c r="AY70" s="658"/>
      <c r="AZ70" s="658"/>
      <c r="BA70" s="658"/>
      <c r="BB70" s="658"/>
      <c r="BC70" s="658"/>
      <c r="BD70" s="874"/>
      <c r="BE70" s="294"/>
    </row>
    <row r="71" spans="1:57" x14ac:dyDescent="0.2">
      <c r="A71" s="878"/>
      <c r="B71" s="56"/>
      <c r="C71" s="56"/>
      <c r="D71" s="56"/>
      <c r="E71" s="56"/>
      <c r="F71" s="658"/>
      <c r="G71" s="658"/>
      <c r="H71" s="658"/>
      <c r="I71" s="658"/>
      <c r="J71" s="658"/>
      <c r="K71" s="658"/>
      <c r="L71" s="658"/>
      <c r="M71" s="658"/>
      <c r="N71" s="658"/>
      <c r="O71" s="658"/>
      <c r="P71" s="658"/>
      <c r="Q71" s="658"/>
      <c r="R71" s="658"/>
      <c r="S71" s="1271"/>
      <c r="T71" s="1271"/>
      <c r="U71" s="1271"/>
      <c r="V71" s="1271"/>
      <c r="W71" s="1271"/>
      <c r="X71" s="1271"/>
      <c r="Y71" s="1271"/>
      <c r="Z71" s="1271"/>
      <c r="AA71" s="1271"/>
      <c r="AB71" s="1271"/>
      <c r="AC71" s="1271"/>
      <c r="AD71" s="1271"/>
      <c r="AE71" s="1271"/>
      <c r="AF71" s="1271"/>
      <c r="AG71" s="1271"/>
      <c r="AH71" s="1271"/>
      <c r="AI71" s="1271"/>
      <c r="AJ71" s="1271"/>
      <c r="AK71" s="1271"/>
      <c r="AL71" s="1271"/>
      <c r="AM71" s="1271"/>
      <c r="AN71" s="1271"/>
      <c r="AO71" s="1271"/>
      <c r="AP71" s="1271"/>
      <c r="AQ71" s="1271"/>
      <c r="AR71" s="1271"/>
      <c r="AS71" s="1271"/>
      <c r="AT71" s="1271"/>
      <c r="AU71" s="1271"/>
      <c r="AV71" s="1271"/>
      <c r="AW71" s="1271"/>
      <c r="AX71" s="1271"/>
      <c r="AY71" s="1271"/>
      <c r="AZ71" s="1271"/>
      <c r="BA71" s="1271"/>
      <c r="BB71" s="1271"/>
      <c r="BC71" s="658"/>
      <c r="BD71" s="874"/>
      <c r="BE71" s="294"/>
    </row>
    <row r="72" spans="1:57" x14ac:dyDescent="0.2">
      <c r="A72" s="878"/>
      <c r="B72" s="56"/>
      <c r="C72" s="56"/>
      <c r="D72" s="56"/>
      <c r="E72" s="56"/>
      <c r="F72" s="658"/>
      <c r="G72" s="658"/>
      <c r="H72" s="658"/>
      <c r="I72" s="658"/>
      <c r="J72" s="658"/>
      <c r="K72" s="658"/>
      <c r="L72" s="658"/>
      <c r="M72" s="658"/>
      <c r="N72" s="658"/>
      <c r="O72" s="658"/>
      <c r="P72" s="658"/>
      <c r="Q72" s="658"/>
      <c r="R72" s="658"/>
      <c r="S72" s="1272" t="s">
        <v>13</v>
      </c>
      <c r="T72" s="1273"/>
      <c r="U72" s="1273"/>
      <c r="V72" s="1273"/>
      <c r="W72" s="1273"/>
      <c r="X72" s="1273"/>
      <c r="Y72" s="1273"/>
      <c r="Z72" s="1273"/>
      <c r="AA72" s="1273"/>
      <c r="AB72" s="1273"/>
      <c r="AC72" s="1273"/>
      <c r="AD72" s="1273"/>
      <c r="AE72" s="1273"/>
      <c r="AF72" s="1273"/>
      <c r="AG72" s="1273"/>
      <c r="AH72" s="1273"/>
      <c r="AI72" s="1273"/>
      <c r="AJ72" s="1273"/>
      <c r="AK72" s="1273"/>
      <c r="AL72" s="1273"/>
      <c r="AM72" s="1273"/>
      <c r="AN72" s="1273"/>
      <c r="AO72" s="1273"/>
      <c r="AP72" s="1273"/>
      <c r="AQ72" s="1273"/>
      <c r="AR72" s="1273"/>
      <c r="AS72" s="1273"/>
      <c r="AT72" s="1273"/>
      <c r="AU72" s="1273"/>
      <c r="AV72" s="1273"/>
      <c r="AW72" s="1273"/>
      <c r="AX72" s="1273"/>
      <c r="AY72" s="1273"/>
      <c r="AZ72" s="1273"/>
      <c r="BA72" s="1273"/>
      <c r="BB72" s="1273"/>
      <c r="BC72" s="658"/>
      <c r="BD72" s="874"/>
      <c r="BE72" s="294"/>
    </row>
    <row r="73" spans="1:57" x14ac:dyDescent="0.2">
      <c r="A73" s="878"/>
      <c r="B73" s="56"/>
      <c r="C73" s="56"/>
      <c r="D73" s="56"/>
      <c r="E73" s="56"/>
      <c r="F73" s="658"/>
      <c r="G73" s="658"/>
      <c r="H73" s="658"/>
      <c r="I73" s="658"/>
      <c r="J73" s="658"/>
      <c r="K73" s="658"/>
      <c r="L73" s="658"/>
      <c r="M73" s="658"/>
      <c r="N73" s="658"/>
      <c r="O73" s="658"/>
      <c r="P73" s="658"/>
      <c r="Q73" s="658"/>
      <c r="R73" s="658"/>
      <c r="S73" s="1278" t="str">
        <f>IF(Dados!$J$71="","",IF(Dados!$J$71="CEU",BF6,BF5))</f>
        <v/>
      </c>
      <c r="T73" s="1278"/>
      <c r="U73" s="1278"/>
      <c r="V73" s="1278"/>
      <c r="W73" s="1278"/>
      <c r="X73" s="1278"/>
      <c r="Y73" s="1278"/>
      <c r="Z73" s="1278"/>
      <c r="AA73" s="1278"/>
      <c r="AB73" s="1278"/>
      <c r="AC73" s="1278"/>
      <c r="AD73" s="1278"/>
      <c r="AE73" s="1278"/>
      <c r="AF73" s="1278"/>
      <c r="AG73" s="1278"/>
      <c r="AH73" s="1278"/>
      <c r="AI73" s="1278"/>
      <c r="AJ73" s="1278"/>
      <c r="AK73" s="1278"/>
      <c r="AL73" s="1278"/>
      <c r="AM73" s="1278"/>
      <c r="AN73" s="1278"/>
      <c r="AO73" s="1278"/>
      <c r="AP73" s="1278"/>
      <c r="AQ73" s="1278"/>
      <c r="AR73" s="1278"/>
      <c r="AS73" s="1278"/>
      <c r="AT73" s="1278"/>
      <c r="AU73" s="1278"/>
      <c r="AV73" s="1278"/>
      <c r="AW73" s="1278"/>
      <c r="AX73" s="1278"/>
      <c r="AY73" s="1278"/>
      <c r="AZ73" s="1278"/>
      <c r="BA73" s="1278"/>
      <c r="BB73" s="1278"/>
      <c r="BC73" s="658"/>
      <c r="BD73" s="874"/>
      <c r="BE73" s="294"/>
    </row>
    <row r="74" spans="1:57" ht="6.75" customHeight="1" x14ac:dyDescent="0.2">
      <c r="A74" s="878"/>
      <c r="B74" s="56"/>
      <c r="C74" s="56"/>
      <c r="D74" s="56"/>
      <c r="E74" s="56"/>
      <c r="F74" s="658"/>
      <c r="G74" s="658"/>
      <c r="H74" s="658"/>
      <c r="I74" s="658"/>
      <c r="J74" s="658"/>
      <c r="K74" s="658"/>
      <c r="L74" s="658"/>
      <c r="M74" s="658"/>
      <c r="N74" s="658"/>
      <c r="O74" s="658"/>
      <c r="P74" s="658"/>
      <c r="Q74" s="658"/>
      <c r="R74" s="658"/>
      <c r="S74" s="658"/>
      <c r="T74" s="658"/>
      <c r="U74" s="658"/>
      <c r="V74" s="658"/>
      <c r="W74" s="658"/>
      <c r="X74" s="658"/>
      <c r="Y74" s="658"/>
      <c r="Z74" s="658"/>
      <c r="AA74" s="658"/>
      <c r="AB74" s="658"/>
      <c r="AC74" s="658"/>
      <c r="AD74" s="658"/>
      <c r="AE74" s="658"/>
      <c r="AF74" s="658"/>
      <c r="AG74" s="658"/>
      <c r="AH74" s="658"/>
      <c r="AI74" s="658"/>
      <c r="AJ74" s="658"/>
      <c r="AK74" s="658"/>
      <c r="AL74" s="658"/>
      <c r="AM74" s="658"/>
      <c r="AN74" s="658"/>
      <c r="AO74" s="658"/>
      <c r="AP74" s="658"/>
      <c r="AQ74" s="658"/>
      <c r="AR74" s="658"/>
      <c r="AS74" s="658"/>
      <c r="AT74" s="658"/>
      <c r="AU74" s="658"/>
      <c r="AV74" s="658"/>
      <c r="AW74" s="658"/>
      <c r="AX74" s="658"/>
      <c r="AY74" s="658"/>
      <c r="AZ74" s="658"/>
      <c r="BA74" s="658"/>
      <c r="BB74" s="658"/>
      <c r="BC74" s="658"/>
      <c r="BD74" s="874"/>
      <c r="BE74" s="294"/>
    </row>
    <row r="75" spans="1:57" x14ac:dyDescent="0.2">
      <c r="A75" s="878"/>
      <c r="B75" s="56"/>
      <c r="C75" s="56"/>
      <c r="D75" s="56"/>
      <c r="E75" s="56"/>
      <c r="F75" s="1242" t="s">
        <v>512</v>
      </c>
      <c r="G75" s="1243"/>
      <c r="H75" s="1243"/>
      <c r="I75" s="1243"/>
      <c r="J75" s="1243"/>
      <c r="K75" s="658"/>
      <c r="L75" s="658"/>
      <c r="M75" s="658"/>
      <c r="N75" s="658"/>
      <c r="O75" s="658"/>
      <c r="P75" s="658"/>
      <c r="Q75" s="658"/>
      <c r="R75" s="658"/>
      <c r="S75" s="658"/>
      <c r="T75" s="658"/>
      <c r="U75" s="658"/>
      <c r="V75" s="658"/>
      <c r="W75" s="658"/>
      <c r="X75" s="658"/>
      <c r="Y75" s="658"/>
      <c r="Z75" s="658"/>
      <c r="AA75" s="658"/>
      <c r="AB75" s="658"/>
      <c r="AC75" s="658"/>
      <c r="AD75" s="658"/>
      <c r="AE75" s="658"/>
      <c r="AF75" s="658"/>
      <c r="AG75" s="658"/>
      <c r="AH75" s="658"/>
      <c r="AI75" s="658"/>
      <c r="AJ75" s="658"/>
      <c r="AK75" s="658"/>
      <c r="AL75" s="658"/>
      <c r="AM75" s="658"/>
      <c r="AN75" s="658"/>
      <c r="AO75" s="658"/>
      <c r="AP75" s="658"/>
      <c r="AQ75" s="658"/>
      <c r="AR75" s="658"/>
      <c r="AS75" s="658"/>
      <c r="AT75" s="658"/>
      <c r="AU75" s="658"/>
      <c r="AV75" s="658"/>
      <c r="AW75" s="658"/>
      <c r="AX75" s="658"/>
      <c r="AY75" s="658"/>
      <c r="AZ75" s="658"/>
      <c r="BA75" s="658"/>
      <c r="BB75" s="658"/>
      <c r="BC75" s="658"/>
      <c r="BD75" s="874"/>
      <c r="BE75" s="294"/>
    </row>
    <row r="76" spans="1:57" x14ac:dyDescent="0.2">
      <c r="A76" s="878"/>
      <c r="B76" s="56"/>
      <c r="C76" s="56"/>
      <c r="D76" s="56"/>
      <c r="E76" s="56"/>
      <c r="F76" s="1242" t="s">
        <v>15066</v>
      </c>
      <c r="G76" s="1242"/>
      <c r="H76" s="1242"/>
      <c r="I76" s="1242"/>
      <c r="J76" s="1242"/>
      <c r="K76" s="1242"/>
      <c r="L76" s="1242"/>
      <c r="M76" s="1242"/>
      <c r="N76" s="1242"/>
      <c r="O76" s="1242"/>
      <c r="P76" s="1242"/>
      <c r="Q76" s="1242"/>
      <c r="R76" s="1242"/>
      <c r="S76" s="1242"/>
      <c r="T76" s="1242"/>
      <c r="U76" s="1242"/>
      <c r="V76" s="1242"/>
      <c r="W76" s="1242"/>
      <c r="X76" s="1242"/>
      <c r="Y76" s="1242"/>
      <c r="Z76" s="1242"/>
      <c r="AA76" s="1242"/>
      <c r="AB76" s="1242"/>
      <c r="AC76" s="1242"/>
      <c r="AD76" s="1242"/>
      <c r="AE76" s="1242"/>
      <c r="AF76" s="1242"/>
      <c r="AG76" s="1242"/>
      <c r="AH76" s="1242"/>
      <c r="AI76" s="1242"/>
      <c r="AJ76" s="1242"/>
      <c r="AK76" s="1242"/>
      <c r="AL76" s="1242"/>
      <c r="AM76" s="658"/>
      <c r="AN76" s="658"/>
      <c r="AO76" s="658"/>
      <c r="AP76" s="658"/>
      <c r="AQ76" s="658"/>
      <c r="AR76" s="658"/>
      <c r="AS76" s="658"/>
      <c r="AT76" s="658"/>
      <c r="AU76" s="658"/>
      <c r="AV76" s="658"/>
      <c r="AW76" s="658"/>
      <c r="AX76" s="658"/>
      <c r="AY76" s="658"/>
      <c r="AZ76" s="658"/>
      <c r="BA76" s="658"/>
      <c r="BB76" s="658"/>
      <c r="BC76" s="658"/>
      <c r="BD76" s="874"/>
      <c r="BE76" s="294"/>
    </row>
    <row r="77" spans="1:57" x14ac:dyDescent="0.2">
      <c r="A77" s="878"/>
      <c r="B77" s="56"/>
      <c r="C77" s="56"/>
      <c r="D77" s="56"/>
      <c r="E77" s="56"/>
      <c r="F77" s="1243" t="str">
        <f>"Diretoria Regional de Educação - "&amp;Dados!$E$7</f>
        <v xml:space="preserve">Diretoria Regional de Educação - </v>
      </c>
      <c r="G77" s="1243"/>
      <c r="H77" s="1243"/>
      <c r="I77" s="1243"/>
      <c r="J77" s="1243"/>
      <c r="K77" s="1243"/>
      <c r="L77" s="1243"/>
      <c r="M77" s="1243"/>
      <c r="N77" s="1243"/>
      <c r="O77" s="1243"/>
      <c r="P77" s="1243"/>
      <c r="Q77" s="1243"/>
      <c r="R77" s="1243"/>
      <c r="S77" s="1243"/>
      <c r="T77" s="1243"/>
      <c r="U77" s="1243"/>
      <c r="V77" s="1243"/>
      <c r="W77" s="1243"/>
      <c r="X77" s="1243"/>
      <c r="Y77" s="1243"/>
      <c r="Z77" s="1243"/>
      <c r="AA77" s="1243"/>
      <c r="AB77" s="1243"/>
      <c r="AC77" s="1243"/>
      <c r="AD77" s="1243"/>
      <c r="AE77" s="1243"/>
      <c r="AF77" s="1243"/>
      <c r="AG77" s="1243"/>
      <c r="AH77" s="1243"/>
      <c r="AI77" s="1243"/>
      <c r="AJ77" s="1243"/>
      <c r="AK77" s="1243"/>
      <c r="AL77" s="1243"/>
      <c r="AM77" s="658"/>
      <c r="AN77" s="658"/>
      <c r="AO77" s="658"/>
      <c r="AP77" s="658"/>
      <c r="AQ77" s="658"/>
      <c r="AR77" s="658"/>
      <c r="AS77" s="658"/>
      <c r="AT77" s="658"/>
      <c r="AU77" s="658"/>
      <c r="AV77" s="658"/>
      <c r="AW77" s="658"/>
      <c r="AX77" s="658"/>
      <c r="AY77" s="658"/>
      <c r="AZ77" s="658"/>
      <c r="BA77" s="658"/>
      <c r="BB77" s="658"/>
      <c r="BC77" s="658"/>
      <c r="BD77" s="874"/>
      <c r="BE77" s="294"/>
    </row>
    <row r="78" spans="1:57" x14ac:dyDescent="0.2">
      <c r="A78" s="878"/>
      <c r="B78" s="56"/>
      <c r="C78" s="56"/>
      <c r="D78" s="56"/>
      <c r="E78" s="56"/>
      <c r="F78" s="1243"/>
      <c r="G78" s="1243"/>
      <c r="H78" s="1243"/>
      <c r="I78" s="1243"/>
      <c r="J78" s="1243"/>
      <c r="K78" s="1243"/>
      <c r="L78" s="1243"/>
      <c r="M78" s="1243"/>
      <c r="N78" s="1243"/>
      <c r="O78" s="1243"/>
      <c r="P78" s="1243"/>
      <c r="Q78" s="1243"/>
      <c r="R78" s="1243"/>
      <c r="S78" s="1243"/>
      <c r="T78" s="1243"/>
      <c r="U78" s="1243"/>
      <c r="V78" s="1243"/>
      <c r="W78" s="1243"/>
      <c r="X78" s="1243"/>
      <c r="Y78" s="1243"/>
      <c r="Z78" s="1243"/>
      <c r="AA78" s="1243"/>
      <c r="AB78" s="1243"/>
      <c r="AC78" s="1243"/>
      <c r="AD78" s="1243"/>
      <c r="AE78" s="1243"/>
      <c r="AF78" s="1243"/>
      <c r="AG78" s="1243"/>
      <c r="AH78" s="1243"/>
      <c r="AI78" s="1243"/>
      <c r="AJ78" s="658"/>
      <c r="AK78" s="658"/>
      <c r="AL78" s="658"/>
      <c r="AM78" s="658"/>
      <c r="AN78" s="658"/>
      <c r="AO78" s="658"/>
      <c r="AP78" s="658"/>
      <c r="AQ78" s="658"/>
      <c r="AR78" s="658"/>
      <c r="AS78" s="658"/>
      <c r="AT78" s="658"/>
      <c r="AU78" s="658"/>
      <c r="AV78" s="658"/>
      <c r="AW78" s="658"/>
      <c r="AX78" s="658"/>
      <c r="AY78" s="658"/>
      <c r="AZ78" s="658"/>
      <c r="BA78" s="658"/>
      <c r="BB78" s="658"/>
      <c r="BC78" s="658"/>
      <c r="BD78" s="874"/>
      <c r="BE78" s="294"/>
    </row>
    <row r="79" spans="1:57" x14ac:dyDescent="0.2">
      <c r="A79" s="871"/>
      <c r="B79" s="871"/>
      <c r="C79" s="871"/>
      <c r="D79" s="871"/>
      <c r="E79" s="871"/>
      <c r="F79" s="871"/>
      <c r="G79" s="871"/>
      <c r="H79" s="871"/>
      <c r="I79" s="871"/>
      <c r="J79" s="871"/>
      <c r="K79" s="871"/>
      <c r="L79" s="871"/>
      <c r="M79" s="871"/>
      <c r="N79" s="871"/>
      <c r="O79" s="871"/>
      <c r="P79" s="871"/>
      <c r="Q79" s="871"/>
      <c r="R79" s="871"/>
      <c r="S79" s="871"/>
      <c r="T79" s="871"/>
      <c r="U79" s="871"/>
      <c r="V79" s="871"/>
      <c r="W79" s="871"/>
      <c r="X79" s="871"/>
      <c r="Y79" s="871"/>
      <c r="Z79" s="871"/>
      <c r="AA79" s="871"/>
      <c r="AB79" s="871"/>
      <c r="AC79" s="871"/>
      <c r="AD79" s="871"/>
      <c r="AE79" s="871"/>
      <c r="AF79" s="871"/>
      <c r="AG79" s="871"/>
      <c r="AH79" s="871"/>
      <c r="AI79" s="871"/>
      <c r="AJ79" s="871"/>
      <c r="AK79" s="871"/>
      <c r="AL79" s="871"/>
      <c r="AM79" s="871"/>
      <c r="AN79" s="871"/>
      <c r="AO79" s="871"/>
      <c r="AP79" s="871"/>
      <c r="AQ79" s="871"/>
      <c r="AR79" s="871"/>
      <c r="AS79" s="871"/>
      <c r="AT79" s="871"/>
      <c r="AU79" s="871"/>
      <c r="AV79" s="871"/>
      <c r="AW79" s="871"/>
      <c r="AX79" s="871"/>
      <c r="AY79" s="871"/>
      <c r="AZ79" s="871"/>
      <c r="BA79" s="871"/>
      <c r="BB79" s="871"/>
      <c r="BC79" s="871"/>
      <c r="BD79" s="871"/>
      <c r="BE79" s="294"/>
    </row>
    <row r="80" spans="1:57" hidden="1" x14ac:dyDescent="0.2">
      <c r="A80" s="294"/>
      <c r="B80" s="294">
        <v>1</v>
      </c>
      <c r="C80" s="294">
        <v>1</v>
      </c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</row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</sheetData>
  <sheetProtection password="F261" sheet="1" objects="1" scenarios="1" formatRows="0"/>
  <mergeCells count="101">
    <mergeCell ref="G56:BC56"/>
    <mergeCell ref="G41:BC41"/>
    <mergeCell ref="G53:BC53"/>
    <mergeCell ref="G55:BC55"/>
    <mergeCell ref="G54:BC54"/>
    <mergeCell ref="G43:BC43"/>
    <mergeCell ref="G39:BC39"/>
    <mergeCell ref="G32:P32"/>
    <mergeCell ref="G33:P33"/>
    <mergeCell ref="Q32:Y32"/>
    <mergeCell ref="Q33:Y33"/>
    <mergeCell ref="Z33:AH33"/>
    <mergeCell ref="AI33:AQ33"/>
    <mergeCell ref="AI32:AQ32"/>
    <mergeCell ref="AR32:BC32"/>
    <mergeCell ref="Z32:AH32"/>
    <mergeCell ref="G37:P37"/>
    <mergeCell ref="Q37:Y37"/>
    <mergeCell ref="Z37:AH37"/>
    <mergeCell ref="AI37:AQ37"/>
    <mergeCell ref="AR33:BC33"/>
    <mergeCell ref="AU38:BC38"/>
    <mergeCell ref="G38:P38"/>
    <mergeCell ref="Q38:Z38"/>
    <mergeCell ref="F75:J75"/>
    <mergeCell ref="F76:AL76"/>
    <mergeCell ref="V78:AI78"/>
    <mergeCell ref="F78:U78"/>
    <mergeCell ref="G57:BC57"/>
    <mergeCell ref="G58:BC58"/>
    <mergeCell ref="G59:BC59"/>
    <mergeCell ref="G60:BC60"/>
    <mergeCell ref="S71:BB71"/>
    <mergeCell ref="S72:BB72"/>
    <mergeCell ref="G64:BC64"/>
    <mergeCell ref="G62:BC62"/>
    <mergeCell ref="G61:BC61"/>
    <mergeCell ref="F77:AL77"/>
    <mergeCell ref="S73:BB73"/>
    <mergeCell ref="G66:BC66"/>
    <mergeCell ref="G63:BC63"/>
    <mergeCell ref="G8:Z8"/>
    <mergeCell ref="G28:P28"/>
    <mergeCell ref="AH9:AI9"/>
    <mergeCell ref="G12:K12"/>
    <mergeCell ref="R17:W17"/>
    <mergeCell ref="G23:O23"/>
    <mergeCell ref="G22:BC22"/>
    <mergeCell ref="G27:P27"/>
    <mergeCell ref="AW9:AX9"/>
    <mergeCell ref="G20:T20"/>
    <mergeCell ref="K17:P17"/>
    <mergeCell ref="AJ9:AK9"/>
    <mergeCell ref="AL9:AV9"/>
    <mergeCell ref="M12:V12"/>
    <mergeCell ref="G15:AS15"/>
    <mergeCell ref="AA38:AJ38"/>
    <mergeCell ref="AK38:AT38"/>
    <mergeCell ref="G34:P34"/>
    <mergeCell ref="Q34:Y34"/>
    <mergeCell ref="AY9:BB9"/>
    <mergeCell ref="Z27:AH27"/>
    <mergeCell ref="AI27:AQ27"/>
    <mergeCell ref="P23:Z23"/>
    <mergeCell ref="AA23:BC23"/>
    <mergeCell ref="G24:BC24"/>
    <mergeCell ref="G25:BC25"/>
    <mergeCell ref="Z30:AH30"/>
    <mergeCell ref="Q27:Y27"/>
    <mergeCell ref="AR27:BC27"/>
    <mergeCell ref="AR28:BC28"/>
    <mergeCell ref="AR29:BC29"/>
    <mergeCell ref="AI28:AQ28"/>
    <mergeCell ref="G29:P29"/>
    <mergeCell ref="G30:P30"/>
    <mergeCell ref="Q28:Y28"/>
    <mergeCell ref="Q29:Y29"/>
    <mergeCell ref="Z28:AH28"/>
    <mergeCell ref="Z29:AH29"/>
    <mergeCell ref="G36:P36"/>
    <mergeCell ref="Q36:Y36"/>
    <mergeCell ref="Z36:AH36"/>
    <mergeCell ref="AI36:AQ36"/>
    <mergeCell ref="AR36:BC36"/>
    <mergeCell ref="AR30:BC30"/>
    <mergeCell ref="AI29:AQ29"/>
    <mergeCell ref="AI30:AQ30"/>
    <mergeCell ref="Q30:Y30"/>
    <mergeCell ref="Z34:AH34"/>
    <mergeCell ref="AI34:AQ34"/>
    <mergeCell ref="AR34:BC34"/>
    <mergeCell ref="G35:P35"/>
    <mergeCell ref="Q35:Y35"/>
    <mergeCell ref="Z35:AH35"/>
    <mergeCell ref="AI35:AQ35"/>
    <mergeCell ref="AR35:BC35"/>
    <mergeCell ref="G31:P31"/>
    <mergeCell ref="AR31:BC31"/>
    <mergeCell ref="Z31:AH31"/>
    <mergeCell ref="Q31:Y31"/>
    <mergeCell ref="AI31:AQ31"/>
  </mergeCells>
  <phoneticPr fontId="16" type="noConversion"/>
  <conditionalFormatting sqref="K17 R17">
    <cfRule type="cellIs" dxfId="382" priority="1" stopIfTrue="1" operator="lessThanOrEqual">
      <formula>0</formula>
    </cfRule>
  </conditionalFormatting>
  <conditionalFormatting sqref="M12:V12">
    <cfRule type="cellIs" dxfId="381" priority="2" stopIfTrue="1" operator="equal">
      <formula>0</formula>
    </cfRule>
  </conditionalFormatting>
  <printOptions horizontalCentered="1"/>
  <pageMargins left="0.55118110236220474" right="0.23622047244094491" top="0.18" bottom="0.43" header="0.18" footer="0.18"/>
  <pageSetup paperSize="9" orientation="portrait" r:id="rId1"/>
  <headerFooter alignWithMargins="0">
    <oddFooter>&amp;C&amp;P/&amp;N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indexed="35"/>
  </sheetPr>
  <dimension ref="A1:IU356"/>
  <sheetViews>
    <sheetView showGridLines="0" zoomScaleNormal="100" zoomScaleSheetLayoutView="100" workbookViewId="0">
      <pane ySplit="12" topLeftCell="A13" activePane="bottomLeft" state="frozen"/>
      <selection pane="bottomLeft"/>
    </sheetView>
  </sheetViews>
  <sheetFormatPr defaultColWidth="0" defaultRowHeight="12.75" zeroHeight="1" x14ac:dyDescent="0.2"/>
  <cols>
    <col min="1" max="1" width="19.140625" style="57" customWidth="1"/>
    <col min="2" max="47" width="1.7109375" style="57" customWidth="1"/>
    <col min="48" max="49" width="1.42578125" style="57" customWidth="1"/>
    <col min="50" max="50" width="2.85546875" style="57" customWidth="1"/>
    <col min="51" max="56" width="1.7109375" style="57" customWidth="1"/>
    <col min="57" max="57" width="3.7109375" style="57" customWidth="1"/>
    <col min="58" max="58" width="14.85546875" style="57" customWidth="1"/>
    <col min="59" max="59" width="15.85546875" style="57" hidden="1" customWidth="1"/>
    <col min="60" max="60" width="16.28515625" style="57" hidden="1" customWidth="1"/>
    <col min="61" max="61" width="13.5703125" style="57" hidden="1" customWidth="1"/>
    <col min="62" max="62" width="7.5703125" style="57" hidden="1" customWidth="1"/>
    <col min="63" max="63" width="9" style="57" hidden="1" customWidth="1"/>
    <col min="64" max="125" width="11.28515625" style="57" hidden="1" customWidth="1"/>
    <col min="126" max="205" width="2" style="57" hidden="1" customWidth="1"/>
    <col min="206" max="255" width="11.28515625" style="57" hidden="1" customWidth="1"/>
    <col min="256" max="16384" width="4.28515625" style="57" hidden="1"/>
  </cols>
  <sheetData>
    <row r="1" spans="1:80" s="56" customFormat="1" ht="54" customHeight="1" x14ac:dyDescent="0.2">
      <c r="A1" s="893" t="str">
        <f>IF(Dados!$E$3="","",Dados!$E$3)</f>
        <v/>
      </c>
      <c r="B1" s="893">
        <f>Dados!$K$3</f>
        <v>0</v>
      </c>
      <c r="C1" s="883" t="s">
        <v>280</v>
      </c>
      <c r="D1" s="874"/>
      <c r="E1" s="874"/>
      <c r="F1" s="874"/>
      <c r="G1" s="874"/>
      <c r="H1" s="874"/>
      <c r="I1" s="874"/>
      <c r="J1" s="874"/>
      <c r="K1" s="874"/>
      <c r="L1" s="874"/>
      <c r="M1" s="874"/>
      <c r="N1" s="874"/>
      <c r="O1" s="874"/>
      <c r="P1" s="874"/>
      <c r="Q1" s="874"/>
      <c r="R1" s="874"/>
      <c r="S1" s="874"/>
      <c r="T1" s="884"/>
      <c r="U1" s="884"/>
      <c r="V1" s="884"/>
      <c r="W1" s="884"/>
      <c r="X1" s="884"/>
      <c r="Y1" s="884"/>
      <c r="Z1" s="884"/>
      <c r="AA1" s="884"/>
      <c r="AB1" s="884"/>
      <c r="AC1" s="884"/>
      <c r="AD1" s="884"/>
      <c r="AE1" s="884"/>
      <c r="AF1" s="884"/>
      <c r="AG1" s="884"/>
      <c r="AH1" s="884"/>
      <c r="AI1" s="884"/>
      <c r="AJ1" s="874"/>
      <c r="AK1" s="874"/>
      <c r="AL1" s="874"/>
      <c r="AM1" s="874"/>
      <c r="AN1" s="874"/>
      <c r="AO1" s="874"/>
      <c r="AP1" s="874"/>
      <c r="AQ1" s="874"/>
      <c r="AR1" s="874"/>
      <c r="AS1" s="874"/>
      <c r="AT1" s="874"/>
      <c r="AU1" s="874"/>
      <c r="AV1" s="874"/>
      <c r="AW1" s="874"/>
      <c r="AX1" s="874"/>
      <c r="AY1" s="874"/>
      <c r="AZ1" s="874"/>
      <c r="BA1" s="874"/>
      <c r="BB1" s="874"/>
      <c r="BC1" s="874"/>
      <c r="BD1" s="874"/>
      <c r="BE1" s="874"/>
      <c r="BF1" s="874"/>
    </row>
    <row r="2" spans="1:80" ht="15" customHeight="1" x14ac:dyDescent="0.2">
      <c r="A2" s="874"/>
      <c r="B2" s="174" t="s">
        <v>343</v>
      </c>
      <c r="C2" s="174"/>
      <c r="D2" s="174"/>
      <c r="E2" s="174"/>
      <c r="F2" s="174"/>
      <c r="G2" s="1371" t="s">
        <v>1313</v>
      </c>
      <c r="H2" s="1371"/>
      <c r="I2" s="1371"/>
      <c r="J2" s="1371"/>
      <c r="K2" s="1371"/>
      <c r="L2" s="1371"/>
      <c r="M2" s="1371"/>
      <c r="N2" s="174"/>
      <c r="O2" s="174"/>
      <c r="P2" s="1377"/>
      <c r="Q2" s="1377"/>
      <c r="R2" s="1377"/>
      <c r="S2" s="1377"/>
      <c r="T2" s="1377"/>
      <c r="U2" s="1377"/>
      <c r="V2" s="1377"/>
      <c r="W2" s="1377"/>
      <c r="X2" s="1377"/>
      <c r="Y2" s="1377"/>
      <c r="Z2" s="1377"/>
      <c r="AA2" s="1377"/>
      <c r="AB2" s="1377"/>
      <c r="AC2" s="1377"/>
      <c r="AD2" s="1377"/>
      <c r="AE2" s="1377"/>
      <c r="AF2" s="1377"/>
      <c r="AG2" s="1377"/>
      <c r="AH2" s="1376"/>
      <c r="AI2" s="1376"/>
      <c r="AJ2" s="1376"/>
      <c r="AK2" s="1376"/>
      <c r="AL2" s="1376"/>
      <c r="AM2" s="1376"/>
      <c r="AN2" s="1376"/>
      <c r="AO2" s="1376"/>
      <c r="AP2" s="1376"/>
      <c r="AQ2" s="1376"/>
      <c r="AR2" s="1376"/>
      <c r="AS2" s="1376"/>
      <c r="AT2" s="1376"/>
      <c r="AU2" s="1376"/>
      <c r="AV2" s="1376"/>
      <c r="AW2" s="1376"/>
      <c r="AX2" s="1376"/>
      <c r="AY2" s="1376"/>
      <c r="AZ2" s="1376"/>
      <c r="BA2" s="1376"/>
      <c r="BB2" s="1376"/>
      <c r="BC2" s="1376"/>
      <c r="BD2" s="1376"/>
      <c r="BE2" s="1376"/>
      <c r="BF2" s="874"/>
      <c r="BG2" s="57" t="str">
        <f>TEXT(E4,"00")&amp;BG4&amp;K4&amp;BG4&amp;V4</f>
        <v xml:space="preserve">00 /  / </v>
      </c>
      <c r="BI2" s="192" t="s">
        <v>1303</v>
      </c>
      <c r="BO2" s="758">
        <v>1</v>
      </c>
      <c r="BP2" s="57" t="s">
        <v>1214</v>
      </c>
      <c r="BR2" s="758">
        <v>1</v>
      </c>
      <c r="BS2" s="57" t="s">
        <v>1216</v>
      </c>
      <c r="CA2" s="758">
        <v>1</v>
      </c>
      <c r="CB2" s="57" t="s">
        <v>1241</v>
      </c>
    </row>
    <row r="3" spans="1:80" ht="5.25" customHeight="1" x14ac:dyDescent="0.2">
      <c r="A3" s="874"/>
      <c r="B3" s="1372"/>
      <c r="C3" s="1372"/>
      <c r="D3" s="1372"/>
      <c r="E3" s="1372"/>
      <c r="F3" s="1372"/>
      <c r="G3" s="1372"/>
      <c r="H3" s="1372"/>
      <c r="I3" s="1372"/>
      <c r="J3" s="1372"/>
      <c r="K3" s="1372"/>
      <c r="L3" s="1372"/>
      <c r="M3" s="1372"/>
      <c r="N3" s="1372"/>
      <c r="O3" s="1372"/>
      <c r="P3" s="1372"/>
      <c r="Q3" s="1372"/>
      <c r="R3" s="1372"/>
      <c r="S3" s="1372"/>
      <c r="T3" s="1372"/>
      <c r="U3" s="1372"/>
      <c r="V3" s="1372"/>
      <c r="W3" s="1372"/>
      <c r="X3" s="1372"/>
      <c r="Y3" s="1372"/>
      <c r="Z3" s="1372"/>
      <c r="AA3" s="1372"/>
      <c r="AB3" s="1372"/>
      <c r="AC3" s="1372"/>
      <c r="AD3" s="1372"/>
      <c r="AE3" s="1372"/>
      <c r="AF3" s="1372"/>
      <c r="AG3" s="1372"/>
      <c r="AH3" s="1372"/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2"/>
      <c r="AX3" s="1372"/>
      <c r="AY3" s="1372"/>
      <c r="AZ3" s="1372"/>
      <c r="BA3" s="1372"/>
      <c r="BB3" s="1372"/>
      <c r="BC3" s="1372"/>
      <c r="BD3" s="1372"/>
      <c r="BE3" s="278"/>
      <c r="BF3" s="874"/>
      <c r="BO3" s="758">
        <v>2</v>
      </c>
      <c r="BP3" s="168" t="s">
        <v>1185</v>
      </c>
      <c r="BR3" s="758">
        <v>2</v>
      </c>
      <c r="BS3" s="758" t="s">
        <v>1217</v>
      </c>
      <c r="CA3" s="758">
        <v>2</v>
      </c>
      <c r="CB3" s="57" t="s">
        <v>1242</v>
      </c>
    </row>
    <row r="4" spans="1:80" ht="15" customHeight="1" x14ac:dyDescent="0.2">
      <c r="A4" s="874"/>
      <c r="B4" s="1372" t="s">
        <v>344</v>
      </c>
      <c r="C4" s="1372"/>
      <c r="D4" s="1372"/>
      <c r="E4" s="1379"/>
      <c r="F4" s="1379"/>
      <c r="G4" s="174"/>
      <c r="H4" s="1372" t="s">
        <v>345</v>
      </c>
      <c r="I4" s="1372"/>
      <c r="J4" s="1372"/>
      <c r="K4" s="1371"/>
      <c r="L4" s="1371"/>
      <c r="M4" s="1371"/>
      <c r="N4" s="1371"/>
      <c r="O4" s="1371"/>
      <c r="P4" s="1371"/>
      <c r="Q4" s="1371"/>
      <c r="R4" s="174"/>
      <c r="S4" s="1372" t="s">
        <v>347</v>
      </c>
      <c r="T4" s="1372"/>
      <c r="U4" s="1372"/>
      <c r="V4" s="1373"/>
      <c r="W4" s="1373"/>
      <c r="X4" s="1373"/>
      <c r="Y4" s="174"/>
      <c r="Z4" s="174"/>
      <c r="AA4" s="1377" t="s">
        <v>52</v>
      </c>
      <c r="AB4" s="1377"/>
      <c r="AC4" s="1377"/>
      <c r="AD4" s="1377"/>
      <c r="AE4" s="1377"/>
      <c r="AF4" s="1378" t="str">
        <f>Dados!$G$9</f>
        <v/>
      </c>
      <c r="AG4" s="1378"/>
      <c r="AH4" s="1378"/>
      <c r="AI4" s="1378"/>
      <c r="AJ4" s="1378"/>
      <c r="AK4" s="1378"/>
      <c r="AL4" s="531" t="s">
        <v>49</v>
      </c>
      <c r="AM4" s="1378" t="str">
        <f>Dados!$I$9</f>
        <v/>
      </c>
      <c r="AN4" s="1378"/>
      <c r="AO4" s="1378"/>
      <c r="AP4" s="1378"/>
      <c r="AQ4" s="1378"/>
      <c r="AR4" s="1378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874"/>
      <c r="BG4" s="57" t="s">
        <v>1309</v>
      </c>
      <c r="BH4" s="57" t="str">
        <f>IF(Dados!$H$2="","","Proc. "&amp;Dados!$H$2)</f>
        <v/>
      </c>
      <c r="BI4" s="57" t="str">
        <f>IF($E$4="","",VLOOKUP($E$4,mes_extenso,2,FALSE))</f>
        <v/>
      </c>
      <c r="BJ4" s="57" t="str">
        <f>IF($V$4="","",VLOOKUP($V$4,ano_extenso,2,FALSE))</f>
        <v/>
      </c>
      <c r="BL4" s="57">
        <v>2019</v>
      </c>
      <c r="BM4" s="57" t="s">
        <v>1178</v>
      </c>
      <c r="BO4" s="758">
        <v>3</v>
      </c>
      <c r="BP4" s="168" t="s">
        <v>1186</v>
      </c>
      <c r="BR4" s="758">
        <v>3</v>
      </c>
      <c r="BS4" s="758" t="s">
        <v>1220</v>
      </c>
      <c r="CA4" s="758">
        <v>3</v>
      </c>
      <c r="CB4" s="57" t="s">
        <v>1243</v>
      </c>
    </row>
    <row r="5" spans="1:80" ht="4.5" customHeight="1" x14ac:dyDescent="0.2">
      <c r="A5" s="874"/>
      <c r="B5" s="1372"/>
      <c r="C5" s="1372"/>
      <c r="D5" s="1372"/>
      <c r="E5" s="1372"/>
      <c r="F5" s="1372"/>
      <c r="G5" s="1372"/>
      <c r="H5" s="1372"/>
      <c r="I5" s="1372"/>
      <c r="J5" s="1372"/>
      <c r="K5" s="1372"/>
      <c r="L5" s="1372"/>
      <c r="M5" s="1372"/>
      <c r="N5" s="1372"/>
      <c r="O5" s="1372"/>
      <c r="P5" s="1372"/>
      <c r="Q5" s="1372"/>
      <c r="R5" s="1372"/>
      <c r="S5" s="1372"/>
      <c r="T5" s="1372"/>
      <c r="U5" s="1372"/>
      <c r="V5" s="1372"/>
      <c r="W5" s="1372"/>
      <c r="X5" s="1372"/>
      <c r="Y5" s="1372"/>
      <c r="Z5" s="1372"/>
      <c r="AA5" s="1372"/>
      <c r="AB5" s="1372"/>
      <c r="AC5" s="1372"/>
      <c r="AD5" s="1372"/>
      <c r="AE5" s="1372"/>
      <c r="AF5" s="1372"/>
      <c r="AG5" s="1372"/>
      <c r="AH5" s="1372"/>
      <c r="AI5" s="1372"/>
      <c r="AJ5" s="1372"/>
      <c r="AK5" s="1372"/>
      <c r="AL5" s="1372"/>
      <c r="AM5" s="1372"/>
      <c r="AN5" s="1372"/>
      <c r="AO5" s="1372"/>
      <c r="AP5" s="1372"/>
      <c r="AQ5" s="1372"/>
      <c r="AR5" s="1372"/>
      <c r="AS5" s="1372"/>
      <c r="AT5" s="1372"/>
      <c r="AU5" s="1372"/>
      <c r="AV5" s="1372"/>
      <c r="AW5" s="1372"/>
      <c r="AX5" s="1372"/>
      <c r="AY5" s="1372"/>
      <c r="AZ5" s="1372"/>
      <c r="BA5" s="1372"/>
      <c r="BB5" s="1372"/>
      <c r="BC5" s="1372"/>
      <c r="BD5" s="1372"/>
      <c r="BE5" s="278"/>
      <c r="BF5" s="874"/>
      <c r="BL5" s="57">
        <v>2020</v>
      </c>
      <c r="BM5" s="57" t="s">
        <v>1179</v>
      </c>
      <c r="BO5" s="758">
        <v>4</v>
      </c>
      <c r="BP5" s="57" t="s">
        <v>1187</v>
      </c>
      <c r="BR5" s="758">
        <v>4</v>
      </c>
      <c r="BS5" s="57" t="s">
        <v>1221</v>
      </c>
      <c r="CA5" s="758">
        <v>4</v>
      </c>
      <c r="CB5" s="57" t="s">
        <v>1244</v>
      </c>
    </row>
    <row r="6" spans="1:80" ht="15" customHeight="1" x14ac:dyDescent="0.2">
      <c r="A6" s="874"/>
      <c r="B6" s="1364" t="s">
        <v>346</v>
      </c>
      <c r="C6" s="1364"/>
      <c r="D6" s="1364"/>
      <c r="E6" s="1364"/>
      <c r="F6" s="1374"/>
      <c r="G6" s="1375"/>
      <c r="H6" s="1375"/>
      <c r="I6" s="1375"/>
      <c r="J6" s="1375"/>
      <c r="K6" s="1375"/>
      <c r="L6" s="1375"/>
      <c r="M6" s="1375"/>
      <c r="N6" s="1375"/>
      <c r="O6" s="1375"/>
      <c r="P6" s="1375"/>
      <c r="Q6" s="1375"/>
      <c r="R6" s="1375"/>
      <c r="S6" s="1375"/>
      <c r="T6" s="1375"/>
      <c r="U6" s="1375"/>
      <c r="V6" s="1375"/>
      <c r="W6" s="1375"/>
      <c r="X6" s="1375"/>
      <c r="Y6" s="1375"/>
      <c r="Z6" s="1375"/>
      <c r="AA6" s="1375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874"/>
      <c r="BI6" s="57" t="s">
        <v>45</v>
      </c>
      <c r="BL6" s="57">
        <v>2021</v>
      </c>
      <c r="BM6" s="57" t="s">
        <v>1180</v>
      </c>
      <c r="BO6" s="758">
        <v>5</v>
      </c>
      <c r="BP6" s="168" t="s">
        <v>1188</v>
      </c>
      <c r="BR6" s="758">
        <v>5</v>
      </c>
      <c r="BS6" s="758" t="s">
        <v>1218</v>
      </c>
      <c r="CA6" s="758">
        <v>5</v>
      </c>
      <c r="CB6" s="758" t="s">
        <v>1245</v>
      </c>
    </row>
    <row r="7" spans="1:80" ht="4.5" customHeight="1" x14ac:dyDescent="0.2">
      <c r="A7" s="874"/>
      <c r="B7" s="1372"/>
      <c r="C7" s="1372"/>
      <c r="D7" s="1372"/>
      <c r="E7" s="1372"/>
      <c r="F7" s="1372"/>
      <c r="G7" s="1372"/>
      <c r="H7" s="1372"/>
      <c r="I7" s="1372"/>
      <c r="J7" s="1372"/>
      <c r="K7" s="1372"/>
      <c r="L7" s="1372"/>
      <c r="M7" s="1372"/>
      <c r="N7" s="1372"/>
      <c r="O7" s="1372"/>
      <c r="P7" s="1372"/>
      <c r="Q7" s="1372"/>
      <c r="R7" s="1372"/>
      <c r="S7" s="1372"/>
      <c r="T7" s="1372"/>
      <c r="U7" s="1372"/>
      <c r="V7" s="1372"/>
      <c r="W7" s="1372"/>
      <c r="X7" s="1372"/>
      <c r="Y7" s="1372"/>
      <c r="Z7" s="1372"/>
      <c r="AA7" s="1372"/>
      <c r="AB7" s="1372"/>
      <c r="AC7" s="1372"/>
      <c r="AD7" s="1372"/>
      <c r="AE7" s="1372"/>
      <c r="AF7" s="1372"/>
      <c r="AG7" s="1372"/>
      <c r="AH7" s="1372"/>
      <c r="AI7" s="1372"/>
      <c r="AJ7" s="1372"/>
      <c r="AK7" s="1372"/>
      <c r="AL7" s="1372"/>
      <c r="AM7" s="1372"/>
      <c r="AN7" s="1372"/>
      <c r="AO7" s="1372"/>
      <c r="AP7" s="1372"/>
      <c r="AQ7" s="1372"/>
      <c r="AR7" s="1372"/>
      <c r="AS7" s="1372"/>
      <c r="AT7" s="1372"/>
      <c r="AU7" s="1372"/>
      <c r="AV7" s="1372"/>
      <c r="AW7" s="1372"/>
      <c r="AX7" s="1372"/>
      <c r="AY7" s="1372"/>
      <c r="AZ7" s="1372"/>
      <c r="BA7" s="1372"/>
      <c r="BB7" s="1372"/>
      <c r="BC7" s="1372"/>
      <c r="BD7" s="1372"/>
      <c r="BE7" s="278"/>
      <c r="BF7" s="874"/>
      <c r="BL7" s="57">
        <v>2022</v>
      </c>
      <c r="BM7" s="57" t="s">
        <v>1181</v>
      </c>
      <c r="BO7" s="758">
        <v>6</v>
      </c>
      <c r="BP7" s="168" t="s">
        <v>1189</v>
      </c>
      <c r="BR7" s="758">
        <v>6</v>
      </c>
      <c r="BS7" s="758" t="s">
        <v>1219</v>
      </c>
      <c r="CA7" s="758">
        <v>6</v>
      </c>
      <c r="CB7" s="758" t="s">
        <v>1246</v>
      </c>
    </row>
    <row r="8" spans="1:80" ht="15" customHeight="1" x14ac:dyDescent="0.2">
      <c r="A8" s="874"/>
      <c r="B8" s="1364" t="s">
        <v>43</v>
      </c>
      <c r="C8" s="1364"/>
      <c r="D8" s="1364"/>
      <c r="E8" s="1364"/>
      <c r="F8" s="1386"/>
      <c r="G8" s="1386"/>
      <c r="H8" s="532" t="str">
        <f>IF(N8="","",":")</f>
        <v/>
      </c>
      <c r="I8" s="1379">
        <v>0</v>
      </c>
      <c r="J8" s="1379"/>
      <c r="K8" s="1372" t="s">
        <v>46</v>
      </c>
      <c r="L8" s="1372"/>
      <c r="M8" s="174"/>
      <c r="N8" s="1385" t="str">
        <f>IF(I8="","",IF(I8=0,"",I8))</f>
        <v/>
      </c>
      <c r="O8" s="1385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364"/>
      <c r="AC8" s="1364"/>
      <c r="AD8" s="1364"/>
      <c r="AE8" s="1364"/>
      <c r="AF8" s="1364"/>
      <c r="AG8" s="1364"/>
      <c r="AH8" s="1364"/>
      <c r="AI8" s="1364"/>
      <c r="AJ8" s="1364"/>
      <c r="AK8" s="1364"/>
      <c r="AL8" s="1364"/>
      <c r="AM8" s="1364"/>
      <c r="AN8" s="1364"/>
      <c r="AO8" s="1364"/>
      <c r="AP8" s="1364"/>
      <c r="AQ8" s="1364"/>
      <c r="AR8" s="1364"/>
      <c r="AS8" s="1364"/>
      <c r="AT8" s="1384"/>
      <c r="AU8" s="1384"/>
      <c r="AV8" s="1384"/>
      <c r="AW8" s="1384"/>
      <c r="AX8" s="1384"/>
      <c r="AY8" s="1384"/>
      <c r="AZ8" s="1384"/>
      <c r="BA8" s="1384"/>
      <c r="BB8" s="1384"/>
      <c r="BC8" s="1384"/>
      <c r="BD8" s="1384"/>
      <c r="BE8" s="1384"/>
      <c r="BF8" s="874"/>
      <c r="BG8" s="57" t="str">
        <f>IF(BH8="","",IF(BG16="1º Repasse de ",1,IF(BG16="2º Repasse de ",2,IF(BG16="3º Repasse de ",3,""))))</f>
        <v/>
      </c>
      <c r="BH8" s="57" t="s">
        <v>292</v>
      </c>
      <c r="BI8" s="57" t="str">
        <f>IF($F$8="","",VLOOKUP($F$8,hora_extenso,2,FALSE))</f>
        <v/>
      </c>
      <c r="BJ8" s="57" t="str">
        <f>IF($I$8=0,"",$BJ$10)</f>
        <v/>
      </c>
      <c r="BK8" s="57" t="str">
        <f>IF(OR($I$8="",$I$8=0),"",VLOOKUP($I$8,minuto_extenso,2,FALSE))</f>
        <v/>
      </c>
      <c r="BL8" s="57">
        <v>2023</v>
      </c>
      <c r="BM8" s="57" t="s">
        <v>1182</v>
      </c>
      <c r="BO8" s="758">
        <v>7</v>
      </c>
      <c r="BP8" s="168" t="s">
        <v>1190</v>
      </c>
      <c r="BR8" s="758">
        <v>7</v>
      </c>
      <c r="BS8" s="758" t="s">
        <v>1222</v>
      </c>
      <c r="CA8" s="758">
        <v>7</v>
      </c>
      <c r="CB8" s="758" t="s">
        <v>1247</v>
      </c>
    </row>
    <row r="9" spans="1:80" ht="4.5" customHeight="1" x14ac:dyDescent="0.2">
      <c r="A9" s="874"/>
      <c r="B9" s="1372"/>
      <c r="C9" s="1372"/>
      <c r="D9" s="1372"/>
      <c r="E9" s="1372"/>
      <c r="F9" s="1372"/>
      <c r="G9" s="1372"/>
      <c r="H9" s="1372"/>
      <c r="I9" s="1372"/>
      <c r="J9" s="1372"/>
      <c r="K9" s="1372"/>
      <c r="L9" s="1372"/>
      <c r="M9" s="1372"/>
      <c r="N9" s="1372"/>
      <c r="O9" s="1372"/>
      <c r="P9" s="1372"/>
      <c r="Q9" s="1372"/>
      <c r="R9" s="1372"/>
      <c r="S9" s="1372"/>
      <c r="T9" s="1372"/>
      <c r="U9" s="1372"/>
      <c r="V9" s="1372"/>
      <c r="W9" s="1372"/>
      <c r="X9" s="1372"/>
      <c r="Y9" s="1372"/>
      <c r="Z9" s="1372"/>
      <c r="AA9" s="1372"/>
      <c r="AB9" s="1372"/>
      <c r="AC9" s="1372"/>
      <c r="AD9" s="1372"/>
      <c r="AE9" s="1372"/>
      <c r="AF9" s="1372"/>
      <c r="AG9" s="1372"/>
      <c r="AH9" s="1372"/>
      <c r="AI9" s="1372"/>
      <c r="AJ9" s="1372"/>
      <c r="AK9" s="1372"/>
      <c r="AL9" s="1372"/>
      <c r="AM9" s="1372"/>
      <c r="AN9" s="1372"/>
      <c r="AO9" s="1372"/>
      <c r="AP9" s="1372"/>
      <c r="AQ9" s="1372"/>
      <c r="AR9" s="1372"/>
      <c r="AS9" s="1372"/>
      <c r="AT9" s="1372"/>
      <c r="AU9" s="1372"/>
      <c r="AV9" s="1372"/>
      <c r="AW9" s="1372"/>
      <c r="AX9" s="1372"/>
      <c r="AY9" s="1372"/>
      <c r="AZ9" s="1372"/>
      <c r="BA9" s="1372"/>
      <c r="BB9" s="1372"/>
      <c r="BC9" s="1372"/>
      <c r="BD9" s="1372"/>
      <c r="BE9" s="278"/>
      <c r="BF9" s="874"/>
      <c r="BL9" s="57">
        <v>2024</v>
      </c>
      <c r="BM9" s="57" t="s">
        <v>1183</v>
      </c>
      <c r="BO9" s="758">
        <v>8</v>
      </c>
      <c r="BP9" s="168" t="s">
        <v>1191</v>
      </c>
      <c r="BR9" s="758">
        <v>8</v>
      </c>
      <c r="BS9" s="758" t="s">
        <v>1223</v>
      </c>
      <c r="CA9" s="758">
        <v>8</v>
      </c>
      <c r="CB9" s="758" t="s">
        <v>1248</v>
      </c>
    </row>
    <row r="10" spans="1:80" ht="15" customHeight="1" x14ac:dyDescent="0.2">
      <c r="A10" s="874"/>
      <c r="B10" s="1364" t="s">
        <v>47</v>
      </c>
      <c r="C10" s="1364"/>
      <c r="D10" s="1364"/>
      <c r="E10" s="1364"/>
      <c r="F10" s="1364"/>
      <c r="G10" s="1364"/>
      <c r="H10" s="1364"/>
      <c r="I10" s="1364"/>
      <c r="J10" s="1364"/>
      <c r="K10" s="1374"/>
      <c r="L10" s="1375"/>
      <c r="M10" s="1375"/>
      <c r="N10" s="1375"/>
      <c r="O10" s="1375"/>
      <c r="P10" s="1375"/>
      <c r="Q10" s="1375"/>
      <c r="R10" s="1375"/>
      <c r="S10" s="1375"/>
      <c r="T10" s="1375"/>
      <c r="U10" s="1375"/>
      <c r="V10" s="1375"/>
      <c r="W10" s="1375"/>
      <c r="X10" s="1375"/>
      <c r="Y10" s="1375"/>
      <c r="Z10" s="1375"/>
      <c r="AA10" s="1375"/>
      <c r="AB10" s="1375"/>
      <c r="AC10" s="1375"/>
      <c r="AD10" s="1375"/>
      <c r="AE10" s="1375"/>
      <c r="AF10" s="1375"/>
      <c r="AG10" s="1375"/>
      <c r="AH10" s="1375"/>
      <c r="AI10" s="1375"/>
      <c r="AJ10" s="1375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874"/>
      <c r="BJ10" s="192" t="s">
        <v>1335</v>
      </c>
      <c r="BL10" s="57">
        <v>2025</v>
      </c>
      <c r="BM10" s="57" t="s">
        <v>1184</v>
      </c>
      <c r="BO10" s="758">
        <v>9</v>
      </c>
      <c r="BP10" s="168" t="s">
        <v>1192</v>
      </c>
      <c r="BR10" s="758">
        <v>9</v>
      </c>
      <c r="BS10" s="758" t="s">
        <v>1224</v>
      </c>
      <c r="CA10" s="758">
        <v>9</v>
      </c>
      <c r="CB10" s="758" t="s">
        <v>1249</v>
      </c>
    </row>
    <row r="11" spans="1:80" ht="4.5" customHeight="1" x14ac:dyDescent="0.2">
      <c r="A11" s="874"/>
      <c r="B11" s="278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278"/>
      <c r="BF11" s="874"/>
      <c r="BO11" s="758">
        <v>10</v>
      </c>
      <c r="BP11" s="168" t="s">
        <v>1193</v>
      </c>
      <c r="BR11" s="758">
        <v>10</v>
      </c>
      <c r="BS11" s="758" t="s">
        <v>1225</v>
      </c>
      <c r="CA11" s="758">
        <v>10</v>
      </c>
      <c r="CB11" s="758" t="s">
        <v>1250</v>
      </c>
    </row>
    <row r="12" spans="1:80" ht="15" customHeight="1" x14ac:dyDescent="0.2">
      <c r="A12" s="874"/>
      <c r="B12" s="174" t="s">
        <v>66</v>
      </c>
      <c r="C12" s="174"/>
      <c r="D12" s="174"/>
      <c r="E12" s="174"/>
      <c r="F12" s="174"/>
      <c r="G12" s="174"/>
      <c r="H12" s="174"/>
      <c r="I12" s="174"/>
      <c r="J12" s="1374"/>
      <c r="K12" s="1375"/>
      <c r="L12" s="1375"/>
      <c r="M12" s="1375"/>
      <c r="N12" s="1375"/>
      <c r="O12" s="1375"/>
      <c r="P12" s="1375"/>
      <c r="Q12" s="1375"/>
      <c r="R12" s="1375"/>
      <c r="S12" s="1375"/>
      <c r="T12" s="1375"/>
      <c r="U12" s="1375"/>
      <c r="V12" s="1375"/>
      <c r="W12" s="1375"/>
      <c r="X12" s="1375"/>
      <c r="Y12" s="1375"/>
      <c r="Z12" s="1375"/>
      <c r="AA12" s="1375"/>
      <c r="AB12" s="1375"/>
      <c r="AC12" s="1375"/>
      <c r="AD12" s="1375"/>
      <c r="AE12" s="1375"/>
      <c r="AF12" s="1375"/>
      <c r="AG12" s="1375"/>
      <c r="AH12" s="1375"/>
      <c r="AI12" s="1375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74"/>
      <c r="BC12" s="174"/>
      <c r="BD12" s="174"/>
      <c r="BE12" s="174"/>
      <c r="BF12" s="874"/>
      <c r="BI12" s="192"/>
      <c r="BO12" s="758">
        <v>11</v>
      </c>
      <c r="BP12" s="168" t="s">
        <v>1194</v>
      </c>
      <c r="BR12" s="758">
        <v>11</v>
      </c>
      <c r="BS12" s="758" t="s">
        <v>1226</v>
      </c>
      <c r="CA12" s="758">
        <v>11</v>
      </c>
      <c r="CB12" s="758" t="s">
        <v>1251</v>
      </c>
    </row>
    <row r="13" spans="1:80" ht="21.75" customHeight="1" x14ac:dyDescent="0.2">
      <c r="A13" s="874"/>
      <c r="B13" s="1307"/>
      <c r="C13" s="1307"/>
      <c r="D13" s="1307"/>
      <c r="E13" s="1307"/>
      <c r="F13" s="1307"/>
      <c r="G13" s="1307"/>
      <c r="H13" s="1307"/>
      <c r="I13" s="1307"/>
      <c r="J13" s="1307"/>
      <c r="K13" s="1307"/>
      <c r="L13" s="1307"/>
      <c r="M13" s="1307"/>
      <c r="N13" s="1307"/>
      <c r="O13" s="1307"/>
      <c r="P13" s="1307"/>
      <c r="Q13" s="1307"/>
      <c r="R13" s="1307"/>
      <c r="S13" s="1307"/>
      <c r="T13" s="1307"/>
      <c r="U13" s="1307"/>
      <c r="V13" s="1307"/>
      <c r="W13" s="1307"/>
      <c r="X13" s="1307"/>
      <c r="Y13" s="1307"/>
      <c r="Z13" s="1307"/>
      <c r="AA13" s="1307"/>
      <c r="AB13" s="1307"/>
      <c r="AC13" s="1307"/>
      <c r="AD13" s="1307"/>
      <c r="AE13" s="1307"/>
      <c r="AF13" s="1307"/>
      <c r="AG13" s="1307"/>
      <c r="AH13" s="1307"/>
      <c r="AI13" s="1307"/>
      <c r="AJ13" s="1307"/>
      <c r="AK13" s="1307"/>
      <c r="AL13" s="1307"/>
      <c r="AM13" s="1307"/>
      <c r="AN13" s="1307"/>
      <c r="AO13" s="1307"/>
      <c r="AP13" s="1307"/>
      <c r="AQ13" s="1307"/>
      <c r="AR13" s="1307"/>
      <c r="AS13" s="1307"/>
      <c r="AT13" s="1307"/>
      <c r="AU13" s="1307"/>
      <c r="AV13" s="1307"/>
      <c r="AW13" s="1307"/>
      <c r="AX13" s="1307"/>
      <c r="AY13" s="1307"/>
      <c r="AZ13" s="1307"/>
      <c r="BA13" s="1307"/>
      <c r="BB13" s="1307"/>
      <c r="BC13" s="1307"/>
      <c r="BD13" s="1307"/>
      <c r="BE13" s="1307"/>
      <c r="BF13" s="874"/>
      <c r="BG13" s="192" t="s">
        <v>1314</v>
      </c>
      <c r="BI13" s="192"/>
      <c r="BO13" s="758">
        <v>12</v>
      </c>
      <c r="BP13" s="168" t="s">
        <v>1195</v>
      </c>
      <c r="BR13" s="758">
        <v>12</v>
      </c>
      <c r="BS13" s="758" t="s">
        <v>1227</v>
      </c>
      <c r="CA13" s="758">
        <v>12</v>
      </c>
      <c r="CB13" s="758" t="s">
        <v>1252</v>
      </c>
    </row>
    <row r="14" spans="1:80" ht="18" customHeight="1" x14ac:dyDescent="0.25">
      <c r="A14" s="874"/>
      <c r="B14" s="1390" t="str">
        <f>$BH$218</f>
        <v xml:space="preserve">ATA DE PRESTAÇÃO DE CONTAS DA ASSOCIAÇÃO DE PAIS E MESTRES </v>
      </c>
      <c r="C14" s="1390"/>
      <c r="D14" s="1390"/>
      <c r="E14" s="1390"/>
      <c r="F14" s="1390"/>
      <c r="G14" s="1390"/>
      <c r="H14" s="1390"/>
      <c r="I14" s="1390"/>
      <c r="J14" s="1390"/>
      <c r="K14" s="1390"/>
      <c r="L14" s="1390"/>
      <c r="M14" s="1390"/>
      <c r="N14" s="1390"/>
      <c r="O14" s="1390"/>
      <c r="P14" s="1390"/>
      <c r="Q14" s="1390"/>
      <c r="R14" s="1390"/>
      <c r="S14" s="1390"/>
      <c r="T14" s="1390"/>
      <c r="U14" s="1390"/>
      <c r="V14" s="1390"/>
      <c r="W14" s="1390"/>
      <c r="X14" s="1390"/>
      <c r="Y14" s="1390"/>
      <c r="Z14" s="1390"/>
      <c r="AA14" s="1390"/>
      <c r="AB14" s="1390"/>
      <c r="AC14" s="1390"/>
      <c r="AD14" s="1390"/>
      <c r="AE14" s="1390"/>
      <c r="AF14" s="1390"/>
      <c r="AG14" s="1390"/>
      <c r="AH14" s="1390"/>
      <c r="AI14" s="1390"/>
      <c r="AJ14" s="1390"/>
      <c r="AK14" s="1390"/>
      <c r="AL14" s="1390"/>
      <c r="AM14" s="1390"/>
      <c r="AN14" s="1390"/>
      <c r="AO14" s="1390"/>
      <c r="AP14" s="1390"/>
      <c r="AQ14" s="1390"/>
      <c r="AR14" s="1390"/>
      <c r="AS14" s="1390"/>
      <c r="AT14" s="1390"/>
      <c r="AU14" s="1390"/>
      <c r="AV14" s="1390"/>
      <c r="AW14" s="1390"/>
      <c r="AX14" s="1390"/>
      <c r="AY14" s="1390"/>
      <c r="AZ14" s="1390"/>
      <c r="BA14" s="1390"/>
      <c r="BB14" s="1390"/>
      <c r="BC14" s="1390"/>
      <c r="BD14" s="1390"/>
      <c r="BE14" s="1390"/>
      <c r="BF14" s="874"/>
      <c r="BG14" s="57" t="str">
        <f>IF(BH8="","",IF(BG16="1º Repasse de ","3º Repasse de ",IF(BG16="2º Repasse de ","1º Repasse de ",IF(BG16="3º Repasse de ","2º Repasse de ",""))))</f>
        <v/>
      </c>
      <c r="BH14" s="168" t="str">
        <f>IF(BG8=1,(BI14-1),BI14)</f>
        <v/>
      </c>
      <c r="BI14" s="168" t="str">
        <f>Dados!$E$9</f>
        <v/>
      </c>
      <c r="BO14" s="758">
        <v>13</v>
      </c>
      <c r="BP14" s="168" t="s">
        <v>1196</v>
      </c>
      <c r="BR14" s="758">
        <v>13</v>
      </c>
      <c r="BS14" s="758" t="s">
        <v>1228</v>
      </c>
      <c r="CA14" s="758">
        <v>13</v>
      </c>
      <c r="CB14" s="758" t="s">
        <v>1253</v>
      </c>
    </row>
    <row r="15" spans="1:80" ht="18" customHeight="1" x14ac:dyDescent="0.2">
      <c r="A15" s="874"/>
      <c r="B15" s="1353" t="str">
        <f>$BI$16</f>
        <v/>
      </c>
      <c r="C15" s="1354"/>
      <c r="D15" s="1354"/>
      <c r="E15" s="1354"/>
      <c r="F15" s="1354"/>
      <c r="G15" s="1354"/>
      <c r="H15" s="1354"/>
      <c r="I15" s="1354"/>
      <c r="J15" s="1354"/>
      <c r="K15" s="1354"/>
      <c r="L15" s="1354"/>
      <c r="M15" s="1354"/>
      <c r="N15" s="1354"/>
      <c r="O15" s="1354"/>
      <c r="P15" s="1354"/>
      <c r="Q15" s="1354"/>
      <c r="R15" s="1354"/>
      <c r="S15" s="1354"/>
      <c r="T15" s="1354"/>
      <c r="U15" s="1354"/>
      <c r="V15" s="1354"/>
      <c r="W15" s="1354"/>
      <c r="X15" s="1354"/>
      <c r="Y15" s="1354"/>
      <c r="Z15" s="1354"/>
      <c r="AA15" s="1354"/>
      <c r="AB15" s="1354"/>
      <c r="AC15" s="1354"/>
      <c r="AD15" s="1354"/>
      <c r="AE15" s="1354"/>
      <c r="AF15" s="1354"/>
      <c r="AG15" s="1354"/>
      <c r="AH15" s="1354"/>
      <c r="AI15" s="1354"/>
      <c r="AJ15" s="1354"/>
      <c r="AK15" s="1354"/>
      <c r="AL15" s="1354"/>
      <c r="AM15" s="1354"/>
      <c r="AN15" s="1354"/>
      <c r="AO15" s="1354"/>
      <c r="AP15" s="1354"/>
      <c r="AQ15" s="1354"/>
      <c r="AR15" s="1354"/>
      <c r="AS15" s="1354"/>
      <c r="AT15" s="1354"/>
      <c r="AU15" s="1354"/>
      <c r="AV15" s="1354"/>
      <c r="AW15" s="1354"/>
      <c r="AX15" s="1354"/>
      <c r="AY15" s="1354"/>
      <c r="AZ15" s="1354"/>
      <c r="BA15" s="1354"/>
      <c r="BB15" s="1354"/>
      <c r="BC15" s="1354"/>
      <c r="BD15" s="1354"/>
      <c r="BE15" s="1354"/>
      <c r="BF15" s="880"/>
      <c r="BG15" s="57" t="s">
        <v>658</v>
      </c>
      <c r="BO15" s="758">
        <v>14</v>
      </c>
      <c r="BP15" s="168" t="s">
        <v>1197</v>
      </c>
      <c r="BR15" s="758">
        <v>14</v>
      </c>
      <c r="BS15" s="758" t="s">
        <v>1229</v>
      </c>
      <c r="CA15" s="758">
        <v>14</v>
      </c>
      <c r="CB15" s="758" t="s">
        <v>1254</v>
      </c>
    </row>
    <row r="16" spans="1:80" ht="129.75" customHeight="1" x14ac:dyDescent="0.2">
      <c r="A16" s="874"/>
      <c r="B16" s="1340" t="str">
        <f>BH23&amp;BI4&amp;BI23&amp;K4&amp;BJ23&amp;BJ4&amp;BI6&amp;BG24&amp;F6&amp;BG23&amp;BH22&amp;BI22&amp;BI6&amp;BH24&amp;BI8&amp;BJ8&amp;BK8&amp;BI6&amp;BI24&amp;G2&amp;BH20&amp;BH21&amp;BG23&amp;BJ22&amp;BI6&amp;BG25&amp;BG26&amp;K10&amp;BI6&amp;BG27&amp;BG29&amp;TEXT(AF4,"dd/mm/aaaa")&amp;BG264&amp;TEXT(AM4,"dd/mm/aaaa")&amp;BJ30&amp;BG16&amp;BI14&amp;BH16</f>
        <v>Aos  dias do mês de  de , na(o)  da , às , realizou-se a reunião ordinária da Associação de Pais e Mestres da , com os membros da Diretoria Executiva e Conselho Fiscal e demais participantes. Aberta a reunião em segunda (2ª) convocação, pelo(a) Sr(a) , e verificada a existência de número legal de membros presentes, passou-se à leitura da Ordem do Dia: A) Apresentação ao Conselho Fiscal da prestação de contas da verba do PTRF e demais recursos, abaixo discriminados, para o período de realização de despesas compreendido entre  a  do .</v>
      </c>
      <c r="C16" s="1340"/>
      <c r="D16" s="1340"/>
      <c r="E16" s="1340"/>
      <c r="F16" s="1340"/>
      <c r="G16" s="1340"/>
      <c r="H16" s="1340"/>
      <c r="I16" s="1340"/>
      <c r="J16" s="1340"/>
      <c r="K16" s="1340"/>
      <c r="L16" s="1340"/>
      <c r="M16" s="1340"/>
      <c r="N16" s="1340"/>
      <c r="O16" s="1340"/>
      <c r="P16" s="1340"/>
      <c r="Q16" s="1340"/>
      <c r="R16" s="1340"/>
      <c r="S16" s="1340"/>
      <c r="T16" s="1340"/>
      <c r="U16" s="1340"/>
      <c r="V16" s="1340"/>
      <c r="W16" s="1340"/>
      <c r="X16" s="1340"/>
      <c r="Y16" s="1340"/>
      <c r="Z16" s="1340"/>
      <c r="AA16" s="1340"/>
      <c r="AB16" s="1340"/>
      <c r="AC16" s="1340"/>
      <c r="AD16" s="1340"/>
      <c r="AE16" s="1340"/>
      <c r="AF16" s="1340"/>
      <c r="AG16" s="1340"/>
      <c r="AH16" s="1340"/>
      <c r="AI16" s="1340"/>
      <c r="AJ16" s="1340"/>
      <c r="AK16" s="1340"/>
      <c r="AL16" s="1340"/>
      <c r="AM16" s="1340"/>
      <c r="AN16" s="1340"/>
      <c r="AO16" s="1340"/>
      <c r="AP16" s="1340"/>
      <c r="AQ16" s="1340"/>
      <c r="AR16" s="1340"/>
      <c r="AS16" s="1340"/>
      <c r="AT16" s="1340"/>
      <c r="AU16" s="1340"/>
      <c r="AV16" s="1340"/>
      <c r="AW16" s="1340"/>
      <c r="AX16" s="1340"/>
      <c r="AY16" s="1340"/>
      <c r="AZ16" s="1340"/>
      <c r="BA16" s="1340"/>
      <c r="BB16" s="1340"/>
      <c r="BC16" s="1340"/>
      <c r="BD16" s="1340"/>
      <c r="BE16" s="1340"/>
      <c r="BF16" s="874"/>
      <c r="BG16" s="57" t="str">
        <f>Dados!$C$128</f>
        <v/>
      </c>
      <c r="BH16" s="57" t="s">
        <v>246</v>
      </c>
      <c r="BI16" s="57" t="str">
        <f>Dados!$E$67</f>
        <v/>
      </c>
      <c r="BO16" s="758">
        <v>15</v>
      </c>
      <c r="BP16" s="168" t="s">
        <v>1198</v>
      </c>
      <c r="BR16" s="758">
        <v>15</v>
      </c>
      <c r="BS16" s="758" t="s">
        <v>1230</v>
      </c>
      <c r="CA16" s="758">
        <v>15</v>
      </c>
      <c r="CB16" s="758" t="s">
        <v>1255</v>
      </c>
    </row>
    <row r="17" spans="1:80" ht="27.75" customHeight="1" x14ac:dyDescent="0.2">
      <c r="A17" s="874"/>
      <c r="B17" s="1340" t="str">
        <f>$BG$187&amp;$K$10&amp;$BH$187</f>
        <v>Em seguida, o(a) Sr(a)  solicitou aos presentes a análise dos documentos fiscais das despesas.</v>
      </c>
      <c r="C17" s="1340"/>
      <c r="D17" s="1340"/>
      <c r="E17" s="1340"/>
      <c r="F17" s="1340"/>
      <c r="G17" s="1340"/>
      <c r="H17" s="1340"/>
      <c r="I17" s="1340"/>
      <c r="J17" s="1340"/>
      <c r="K17" s="1340"/>
      <c r="L17" s="1340"/>
      <c r="M17" s="1340"/>
      <c r="N17" s="1340"/>
      <c r="O17" s="1340"/>
      <c r="P17" s="1340"/>
      <c r="Q17" s="1340"/>
      <c r="R17" s="1340"/>
      <c r="S17" s="1340"/>
      <c r="T17" s="1340"/>
      <c r="U17" s="1340"/>
      <c r="V17" s="1340"/>
      <c r="W17" s="1340"/>
      <c r="X17" s="1340"/>
      <c r="Y17" s="1340"/>
      <c r="Z17" s="1340"/>
      <c r="AA17" s="1340"/>
      <c r="AB17" s="1340"/>
      <c r="AC17" s="1340"/>
      <c r="AD17" s="1340"/>
      <c r="AE17" s="1340"/>
      <c r="AF17" s="1340"/>
      <c r="AG17" s="1340"/>
      <c r="AH17" s="1340"/>
      <c r="AI17" s="1340"/>
      <c r="AJ17" s="1340"/>
      <c r="AK17" s="1340"/>
      <c r="AL17" s="1340"/>
      <c r="AM17" s="1340"/>
      <c r="AN17" s="1340"/>
      <c r="AO17" s="1340"/>
      <c r="AP17" s="1340"/>
      <c r="AQ17" s="1340"/>
      <c r="AR17" s="1340"/>
      <c r="AS17" s="1340"/>
      <c r="AT17" s="1340"/>
      <c r="AU17" s="1340"/>
      <c r="AV17" s="1340"/>
      <c r="AW17" s="1340"/>
      <c r="AX17" s="1340"/>
      <c r="AY17" s="1340"/>
      <c r="AZ17" s="1340"/>
      <c r="BA17" s="1340"/>
      <c r="BB17" s="1340"/>
      <c r="BC17" s="1340"/>
      <c r="BD17" s="1340"/>
      <c r="BE17" s="1340"/>
      <c r="BF17" s="874"/>
      <c r="BG17" s="192" t="s">
        <v>663</v>
      </c>
      <c r="BH17" s="192" t="s">
        <v>725</v>
      </c>
      <c r="BO17" s="758">
        <v>16</v>
      </c>
      <c r="BP17" s="168" t="s">
        <v>1199</v>
      </c>
      <c r="BR17" s="758">
        <v>16</v>
      </c>
      <c r="BS17" s="758" t="s">
        <v>1231</v>
      </c>
      <c r="CA17" s="758">
        <v>16</v>
      </c>
      <c r="CB17" s="758" t="s">
        <v>1256</v>
      </c>
    </row>
    <row r="18" spans="1:80" ht="16.5" customHeight="1" x14ac:dyDescent="0.2">
      <c r="A18" s="874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874"/>
      <c r="BO18" s="758">
        <v>17</v>
      </c>
      <c r="BP18" s="168" t="s">
        <v>1200</v>
      </c>
      <c r="BR18" s="758">
        <v>17</v>
      </c>
      <c r="BS18" s="758" t="s">
        <v>1232</v>
      </c>
      <c r="CA18" s="758">
        <v>17</v>
      </c>
      <c r="CB18" s="758" t="s">
        <v>1257</v>
      </c>
    </row>
    <row r="19" spans="1:80" ht="27.75" customHeight="1" x14ac:dyDescent="0.2">
      <c r="A19" s="874" t="str">
        <f>IF(Dados!$W$14=0,$BH$224,"")</f>
        <v>NÃO HOUVE</v>
      </c>
      <c r="B19" s="1303" t="str">
        <f>$BG$62</f>
        <v>PTRF BÁSICO</v>
      </c>
      <c r="C19" s="1303"/>
      <c r="D19" s="1303"/>
      <c r="E19" s="1303"/>
      <c r="F19" s="1303"/>
      <c r="G19" s="1303"/>
      <c r="H19" s="1303"/>
      <c r="I19" s="1303"/>
      <c r="J19" s="1303"/>
      <c r="K19" s="1303"/>
      <c r="L19" s="1303"/>
      <c r="M19" s="1303"/>
      <c r="N19" s="1303"/>
      <c r="O19" s="1303"/>
      <c r="P19" s="1303"/>
      <c r="Q19" s="1303"/>
      <c r="R19" s="1303"/>
      <c r="S19" s="1303"/>
      <c r="T19" s="1303"/>
      <c r="U19" s="1303"/>
      <c r="V19" s="1303"/>
      <c r="W19" s="1303"/>
      <c r="X19" s="1303"/>
      <c r="Y19" s="1303"/>
      <c r="Z19" s="1303"/>
      <c r="AA19" s="1303"/>
      <c r="AB19" s="1303"/>
      <c r="AC19" s="1303"/>
      <c r="AD19" s="1303"/>
      <c r="AE19" s="1303"/>
      <c r="AF19" s="1303"/>
      <c r="AG19" s="1303"/>
      <c r="AH19" s="1303"/>
      <c r="AI19" s="1303"/>
      <c r="AJ19" s="1303"/>
      <c r="AK19" s="1303"/>
      <c r="AL19" s="1303"/>
      <c r="AM19" s="1303"/>
      <c r="AN19" s="1303"/>
      <c r="AO19" s="1303"/>
      <c r="AP19" s="1303"/>
      <c r="AQ19" s="1303"/>
      <c r="AR19" s="1303"/>
      <c r="AS19" s="1303"/>
      <c r="AT19" s="1303"/>
      <c r="AU19" s="1303"/>
      <c r="AV19" s="1303"/>
      <c r="AW19" s="1303"/>
      <c r="AX19" s="1303"/>
      <c r="AY19" s="1303"/>
      <c r="AZ19" s="1303"/>
      <c r="BA19" s="1303"/>
      <c r="BB19" s="1303"/>
      <c r="BC19" s="1303"/>
      <c r="BD19" s="1303"/>
      <c r="BE19" s="1303"/>
      <c r="BF19" s="874"/>
      <c r="BO19" s="758">
        <v>18</v>
      </c>
      <c r="BP19" s="168" t="s">
        <v>1201</v>
      </c>
      <c r="BR19" s="758">
        <v>18</v>
      </c>
      <c r="BS19" s="758" t="s">
        <v>1233</v>
      </c>
      <c r="CA19" s="758">
        <v>18</v>
      </c>
      <c r="CB19" s="758" t="s">
        <v>1258</v>
      </c>
    </row>
    <row r="20" spans="1:80" ht="15" customHeight="1" x14ac:dyDescent="0.2">
      <c r="A20" s="874" t="str">
        <f>IF(Dados!$W$14=0,$BH$224,"")</f>
        <v>NÃO HOUVE</v>
      </c>
      <c r="B20" s="857"/>
      <c r="C20" s="857"/>
      <c r="D20" s="857"/>
      <c r="E20" s="857"/>
      <c r="F20" s="857"/>
      <c r="G20" s="857"/>
      <c r="H20" s="1305"/>
      <c r="I20" s="1305"/>
      <c r="J20" s="1305"/>
      <c r="K20" s="1305"/>
      <c r="L20" s="1305"/>
      <c r="M20" s="1305"/>
      <c r="N20" s="1305"/>
      <c r="O20" s="1305"/>
      <c r="P20" s="1305"/>
      <c r="Q20" s="1305"/>
      <c r="R20" s="1305"/>
      <c r="S20" s="1305"/>
      <c r="T20" s="1305"/>
      <c r="U20" s="1305"/>
      <c r="V20" s="1305"/>
      <c r="W20" s="1305" t="s">
        <v>181</v>
      </c>
      <c r="X20" s="1305"/>
      <c r="Y20" s="1305"/>
      <c r="Z20" s="1305"/>
      <c r="AA20" s="1305"/>
      <c r="AB20" s="1305"/>
      <c r="AC20" s="1305"/>
      <c r="AD20" s="1305"/>
      <c r="AE20" s="1305"/>
      <c r="AF20" s="1305" t="s">
        <v>182</v>
      </c>
      <c r="AG20" s="1305"/>
      <c r="AH20" s="1305"/>
      <c r="AI20" s="1305"/>
      <c r="AJ20" s="1305"/>
      <c r="AK20" s="1305"/>
      <c r="AL20" s="1305"/>
      <c r="AM20" s="1305"/>
      <c r="AN20" s="1305"/>
      <c r="AO20" s="1305" t="s">
        <v>440</v>
      </c>
      <c r="AP20" s="1305"/>
      <c r="AQ20" s="1305"/>
      <c r="AR20" s="1305"/>
      <c r="AS20" s="1305"/>
      <c r="AT20" s="1305"/>
      <c r="AU20" s="1305"/>
      <c r="AV20" s="1305"/>
      <c r="AW20" s="1305"/>
      <c r="AX20" s="511"/>
      <c r="AY20" s="511"/>
      <c r="AZ20" s="511"/>
      <c r="BA20" s="511"/>
      <c r="BB20" s="511"/>
      <c r="BC20" s="511"/>
      <c r="BD20" s="511"/>
      <c r="BE20" s="511"/>
      <c r="BF20" s="874"/>
      <c r="BG20" s="189" t="str">
        <f>IF(BG22="CEI CEU","CEI CEU - ",IF(BG22="EMEI CEU","EMEI CEU - ",IF(BG22="EMEF CEU","EMEF CEU - ","")))</f>
        <v/>
      </c>
      <c r="BH20" s="169" t="str">
        <f>IF(BG22="CEU"," da Associação de Pais ,"," da Associação de Pais ")</f>
        <v xml:space="preserve"> da Associação de Pais </v>
      </c>
      <c r="BO20" s="758">
        <v>19</v>
      </c>
      <c r="BP20" s="168" t="s">
        <v>1202</v>
      </c>
      <c r="BR20" s="758">
        <v>19</v>
      </c>
      <c r="BS20" s="758" t="s">
        <v>1234</v>
      </c>
      <c r="CA20" s="758">
        <v>19</v>
      </c>
      <c r="CB20" s="758" t="s">
        <v>1259</v>
      </c>
    </row>
    <row r="21" spans="1:80" ht="16.5" customHeight="1" x14ac:dyDescent="0.2">
      <c r="A21" s="874" t="str">
        <f>IF(Dados!$W$14=0,$BH$224,"")</f>
        <v>NÃO HOUVE</v>
      </c>
      <c r="B21" s="367"/>
      <c r="C21" s="367"/>
      <c r="D21" s="367"/>
      <c r="E21" s="367"/>
      <c r="F21" s="367"/>
      <c r="G21" s="367"/>
      <c r="H21" s="1295" t="s">
        <v>1323</v>
      </c>
      <c r="I21" s="1296"/>
      <c r="J21" s="1296"/>
      <c r="K21" s="1296"/>
      <c r="L21" s="1296"/>
      <c r="M21" s="1296"/>
      <c r="N21" s="1296"/>
      <c r="O21" s="1296"/>
      <c r="P21" s="1296"/>
      <c r="Q21" s="1296"/>
      <c r="R21" s="1296"/>
      <c r="S21" s="1296"/>
      <c r="T21" s="1296"/>
      <c r="U21" s="1296"/>
      <c r="V21" s="1297"/>
      <c r="W21" s="1302" t="str">
        <f>Dados!$F$14</f>
        <v/>
      </c>
      <c r="X21" s="1302"/>
      <c r="Y21" s="1302"/>
      <c r="Z21" s="1302"/>
      <c r="AA21" s="1302"/>
      <c r="AB21" s="1302"/>
      <c r="AC21" s="1302"/>
      <c r="AD21" s="1302"/>
      <c r="AE21" s="1302"/>
      <c r="AF21" s="1309" t="str">
        <f>Dados!$I$14</f>
        <v/>
      </c>
      <c r="AG21" s="1309"/>
      <c r="AH21" s="1309"/>
      <c r="AI21" s="1309"/>
      <c r="AJ21" s="1309"/>
      <c r="AK21" s="1309"/>
      <c r="AL21" s="1309"/>
      <c r="AM21" s="1309"/>
      <c r="AN21" s="1309"/>
      <c r="AO21" s="1298" t="e">
        <f>W21+AF21</f>
        <v>#VALUE!</v>
      </c>
      <c r="AP21" s="1298"/>
      <c r="AQ21" s="1298"/>
      <c r="AR21" s="1298"/>
      <c r="AS21" s="1298"/>
      <c r="AT21" s="1298"/>
      <c r="AU21" s="1298"/>
      <c r="AV21" s="1298"/>
      <c r="AW21" s="1298"/>
      <c r="AX21" s="367"/>
      <c r="AY21" s="367"/>
      <c r="AZ21" s="367"/>
      <c r="BA21" s="367"/>
      <c r="BB21" s="367"/>
      <c r="BC21" s="367"/>
      <c r="BD21" s="367"/>
      <c r="BE21" s="367"/>
      <c r="BF21" s="874"/>
      <c r="BG21" s="169" t="s">
        <v>454</v>
      </c>
      <c r="BH21" s="169" t="str">
        <f>IF(BG22="CEU","Mestres, Servidores, Usuários e Amigos do CEU ","e Mestres")</f>
        <v>e Mestres</v>
      </c>
      <c r="BI21" s="57" t="str">
        <f>BG22&amp;" - "</f>
        <v xml:space="preserve"> - </v>
      </c>
      <c r="BO21" s="758">
        <v>20</v>
      </c>
      <c r="BP21" s="168" t="s">
        <v>1236</v>
      </c>
      <c r="BR21" s="758">
        <v>20</v>
      </c>
      <c r="BS21" s="758" t="s">
        <v>1235</v>
      </c>
      <c r="CA21" s="758">
        <v>20</v>
      </c>
      <c r="CB21" s="758" t="s">
        <v>1260</v>
      </c>
    </row>
    <row r="22" spans="1:80" ht="15" customHeight="1" x14ac:dyDescent="0.2">
      <c r="A22" s="874" t="str">
        <f>IF(Dados!$W$14=0,$BH$224,"")</f>
        <v>NÃO HOUVE</v>
      </c>
      <c r="B22" s="367"/>
      <c r="C22" s="367"/>
      <c r="D22" s="367"/>
      <c r="E22" s="367"/>
      <c r="F22" s="367"/>
      <c r="G22" s="367"/>
      <c r="H22" s="1295" t="s">
        <v>1326</v>
      </c>
      <c r="I22" s="1296"/>
      <c r="J22" s="1296"/>
      <c r="K22" s="1296"/>
      <c r="L22" s="1296"/>
      <c r="M22" s="1296"/>
      <c r="N22" s="1296"/>
      <c r="O22" s="1296"/>
      <c r="P22" s="1296"/>
      <c r="Q22" s="1296"/>
      <c r="R22" s="1296"/>
      <c r="S22" s="1296"/>
      <c r="T22" s="1296"/>
      <c r="U22" s="1296"/>
      <c r="V22" s="1297"/>
      <c r="W22" s="1302" t="str">
        <f>Dados!$F$12</f>
        <v/>
      </c>
      <c r="X22" s="1302"/>
      <c r="Y22" s="1302"/>
      <c r="Z22" s="1302"/>
      <c r="AA22" s="1302"/>
      <c r="AB22" s="1302"/>
      <c r="AC22" s="1302"/>
      <c r="AD22" s="1302"/>
      <c r="AE22" s="1302"/>
      <c r="AF22" s="1309" t="str">
        <f>Dados!$I$12</f>
        <v/>
      </c>
      <c r="AG22" s="1309"/>
      <c r="AH22" s="1309"/>
      <c r="AI22" s="1309"/>
      <c r="AJ22" s="1309"/>
      <c r="AK22" s="1309"/>
      <c r="AL22" s="1309"/>
      <c r="AM22" s="1309"/>
      <c r="AN22" s="1309"/>
      <c r="AO22" s="1298" t="e">
        <f>W22+AF22</f>
        <v>#VALUE!</v>
      </c>
      <c r="AP22" s="1298"/>
      <c r="AQ22" s="1298"/>
      <c r="AR22" s="1298"/>
      <c r="AS22" s="1298"/>
      <c r="AT22" s="1298"/>
      <c r="AU22" s="1298"/>
      <c r="AV22" s="1298"/>
      <c r="AW22" s="1298"/>
      <c r="AX22" s="367"/>
      <c r="AY22" s="367"/>
      <c r="AZ22" s="367"/>
      <c r="BA22" s="367"/>
      <c r="BB22" s="367"/>
      <c r="BC22" s="367"/>
      <c r="BD22" s="367"/>
      <c r="BE22" s="367"/>
      <c r="BF22" s="874"/>
      <c r="BG22" s="192" t="str">
        <f>Dados!$J$71</f>
        <v/>
      </c>
      <c r="BH22" s="57" t="str">
        <f>IF(BG22="CEI","Centro de Educação Infantil ",IF(BG22="EMEI","Escola Municipal de Educação Infantil ",IF(BG22="EMEF","Escola Municipal de Ensino Fundamental ",IF(BG22="EMEE","Escola Municipal de Educação Especial ",IF(BG22="EMEFM","Escola Municipal de Ensino Fundamental e Médio ",IF(BG22="CEU","Centro Educacional Unificado ",BG20))))))</f>
        <v/>
      </c>
      <c r="BI22" s="190" t="str">
        <f>Dados!$H$75</f>
        <v/>
      </c>
      <c r="BJ22" s="57" t="str">
        <f>Dados!$E$67</f>
        <v/>
      </c>
      <c r="BO22" s="758">
        <v>21</v>
      </c>
      <c r="BP22" s="758" t="s">
        <v>1203</v>
      </c>
      <c r="BR22" s="758">
        <v>21</v>
      </c>
      <c r="BS22" s="758" t="s">
        <v>1237</v>
      </c>
      <c r="CA22" s="758">
        <v>21</v>
      </c>
      <c r="CB22" s="758" t="s">
        <v>1261</v>
      </c>
    </row>
    <row r="23" spans="1:80" ht="15" customHeight="1" x14ac:dyDescent="0.2">
      <c r="A23" s="874" t="str">
        <f>IF(Dados!$W$14=0,$BH$224,"")</f>
        <v>NÃO HOUVE</v>
      </c>
      <c r="B23" s="367"/>
      <c r="C23" s="367"/>
      <c r="D23" s="367"/>
      <c r="E23" s="367"/>
      <c r="F23" s="367"/>
      <c r="G23" s="367"/>
      <c r="H23" s="1295" t="s">
        <v>1327</v>
      </c>
      <c r="I23" s="1296"/>
      <c r="J23" s="1296"/>
      <c r="K23" s="1296"/>
      <c r="L23" s="1296"/>
      <c r="M23" s="1296"/>
      <c r="N23" s="1296"/>
      <c r="O23" s="1296"/>
      <c r="P23" s="1296"/>
      <c r="Q23" s="1296"/>
      <c r="R23" s="1296"/>
      <c r="S23" s="1296"/>
      <c r="T23" s="1296"/>
      <c r="U23" s="1296"/>
      <c r="V23" s="1297"/>
      <c r="W23" s="1302">
        <f>Dados!$I$98</f>
        <v>0</v>
      </c>
      <c r="X23" s="1302"/>
      <c r="Y23" s="1302"/>
      <c r="Z23" s="1302"/>
      <c r="AA23" s="1302"/>
      <c r="AB23" s="1302"/>
      <c r="AC23" s="1302"/>
      <c r="AD23" s="1302"/>
      <c r="AE23" s="1302"/>
      <c r="AF23" s="1308"/>
      <c r="AG23" s="1308"/>
      <c r="AH23" s="1308"/>
      <c r="AI23" s="1308"/>
      <c r="AJ23" s="1308"/>
      <c r="AK23" s="1308"/>
      <c r="AL23" s="1308"/>
      <c r="AM23" s="1308"/>
      <c r="AN23" s="1308"/>
      <c r="AO23" s="1298">
        <f>W23+AF23</f>
        <v>0</v>
      </c>
      <c r="AP23" s="1298"/>
      <c r="AQ23" s="1298"/>
      <c r="AR23" s="1298"/>
      <c r="AS23" s="1298"/>
      <c r="AT23" s="1298"/>
      <c r="AU23" s="1298"/>
      <c r="AV23" s="1298"/>
      <c r="AW23" s="1298"/>
      <c r="AX23" s="367"/>
      <c r="AY23" s="367"/>
      <c r="AZ23" s="367"/>
      <c r="BA23" s="367"/>
      <c r="BB23" s="367"/>
      <c r="BC23" s="367"/>
      <c r="BD23" s="367"/>
      <c r="BE23" s="367"/>
      <c r="BF23" s="874"/>
      <c r="BG23" s="271" t="str">
        <f>IF(BG22="CECI"," do ",IF(BG22="CIEJA"," do ",IF(BG22="CEI"," do ",IF(BG22="CEI CEU"," do ",IF(BG22="CEU",""," da ")))))</f>
        <v xml:space="preserve"> da </v>
      </c>
      <c r="BH23" s="57" t="str">
        <f>IF(E4=1,"No ", "Aos ")</f>
        <v xml:space="preserve">Aos </v>
      </c>
      <c r="BI23" s="57" t="str">
        <f>IF(E4=1," dia do mês de ", " dias do mês de ")</f>
        <v xml:space="preserve"> dias do mês de </v>
      </c>
      <c r="BJ23" s="57" t="s">
        <v>348</v>
      </c>
      <c r="BK23" s="57" t="s">
        <v>45</v>
      </c>
      <c r="BO23" s="758">
        <v>22</v>
      </c>
      <c r="BP23" s="758" t="s">
        <v>1204</v>
      </c>
      <c r="BR23" s="758">
        <v>22</v>
      </c>
      <c r="BS23" s="758" t="s">
        <v>1238</v>
      </c>
      <c r="CA23" s="758">
        <v>22</v>
      </c>
      <c r="CB23" s="758" t="s">
        <v>1262</v>
      </c>
    </row>
    <row r="24" spans="1:80" s="852" customFormat="1" ht="15" customHeight="1" x14ac:dyDescent="0.2">
      <c r="A24" s="881" t="str">
        <f>IF(Dados!$W$14=0,$BH$224,"")</f>
        <v>NÃO HOUVE</v>
      </c>
      <c r="B24" s="367"/>
      <c r="C24" s="367"/>
      <c r="D24" s="367"/>
      <c r="E24" s="367"/>
      <c r="F24" s="367"/>
      <c r="G24" s="367"/>
      <c r="H24" s="1295" t="s">
        <v>1325</v>
      </c>
      <c r="I24" s="1296"/>
      <c r="J24" s="1296"/>
      <c r="K24" s="1296"/>
      <c r="L24" s="1296"/>
      <c r="M24" s="1296"/>
      <c r="N24" s="1296"/>
      <c r="O24" s="1296"/>
      <c r="P24" s="1296"/>
      <c r="Q24" s="1296"/>
      <c r="R24" s="1296"/>
      <c r="S24" s="1296"/>
      <c r="T24" s="1296"/>
      <c r="U24" s="1296"/>
      <c r="V24" s="1297"/>
      <c r="W24" s="1302" t="str">
        <f>IF(Dados!$E$3="","",MOD_2!$P$15)</f>
        <v/>
      </c>
      <c r="X24" s="1302"/>
      <c r="Y24" s="1302"/>
      <c r="Z24" s="1302"/>
      <c r="AA24" s="1302"/>
      <c r="AB24" s="1302"/>
      <c r="AC24" s="1302"/>
      <c r="AD24" s="1302"/>
      <c r="AE24" s="1302"/>
      <c r="AF24" s="1309" t="str">
        <f>IF(Dados!$E$3="","",MOD_2!$P$16)</f>
        <v/>
      </c>
      <c r="AG24" s="1309"/>
      <c r="AH24" s="1309"/>
      <c r="AI24" s="1309"/>
      <c r="AJ24" s="1309"/>
      <c r="AK24" s="1309"/>
      <c r="AL24" s="1309"/>
      <c r="AM24" s="1309"/>
      <c r="AN24" s="1309"/>
      <c r="AO24" s="1298" t="e">
        <f>W24+AF24</f>
        <v>#VALUE!</v>
      </c>
      <c r="AP24" s="1298"/>
      <c r="AQ24" s="1298"/>
      <c r="AR24" s="1298"/>
      <c r="AS24" s="1298"/>
      <c r="AT24" s="1298"/>
      <c r="AU24" s="1298"/>
      <c r="AV24" s="1298"/>
      <c r="AW24" s="1298"/>
      <c r="AX24" s="367"/>
      <c r="AY24" s="367"/>
      <c r="AZ24" s="367"/>
      <c r="BA24" s="367"/>
      <c r="BB24" s="367"/>
      <c r="BC24" s="367"/>
      <c r="BD24" s="367"/>
      <c r="BE24" s="367"/>
      <c r="BF24" s="881"/>
      <c r="BG24" s="852" t="s">
        <v>1215</v>
      </c>
      <c r="BH24" s="852" t="s">
        <v>44</v>
      </c>
      <c r="BI24" s="853" t="s">
        <v>219</v>
      </c>
      <c r="BO24" s="827">
        <v>23</v>
      </c>
      <c r="BP24" s="827" t="s">
        <v>1205</v>
      </c>
      <c r="BR24" s="827">
        <v>23</v>
      </c>
      <c r="BS24" s="827" t="s">
        <v>1239</v>
      </c>
      <c r="CA24" s="827">
        <v>23</v>
      </c>
      <c r="CB24" s="827" t="s">
        <v>1263</v>
      </c>
    </row>
    <row r="25" spans="1:80" ht="15" customHeight="1" x14ac:dyDescent="0.2">
      <c r="A25" s="874" t="str">
        <f>IF(Dados!$W$14=0,$BH$224,"")</f>
        <v>NÃO HOUVE</v>
      </c>
      <c r="B25" s="367"/>
      <c r="C25" s="367"/>
      <c r="D25" s="367"/>
      <c r="E25" s="367"/>
      <c r="F25" s="367"/>
      <c r="G25" s="367"/>
      <c r="H25" s="1295" t="s">
        <v>1324</v>
      </c>
      <c r="I25" s="1296"/>
      <c r="J25" s="1296"/>
      <c r="K25" s="1296"/>
      <c r="L25" s="1296"/>
      <c r="M25" s="1296"/>
      <c r="N25" s="1296"/>
      <c r="O25" s="1296"/>
      <c r="P25" s="1296"/>
      <c r="Q25" s="1296"/>
      <c r="R25" s="1296"/>
      <c r="S25" s="1296"/>
      <c r="T25" s="1296"/>
      <c r="U25" s="1296"/>
      <c r="V25" s="1297"/>
      <c r="W25" s="1298" t="e">
        <f>SUM(W21:AE23)-W24</f>
        <v>#VALUE!</v>
      </c>
      <c r="X25" s="1298"/>
      <c r="Y25" s="1298"/>
      <c r="Z25" s="1298"/>
      <c r="AA25" s="1298"/>
      <c r="AB25" s="1298"/>
      <c r="AC25" s="1298"/>
      <c r="AD25" s="1298"/>
      <c r="AE25" s="1298"/>
      <c r="AF25" s="1298" t="e">
        <f>SUM(AF21:AN23)-AF24</f>
        <v>#VALUE!</v>
      </c>
      <c r="AG25" s="1298"/>
      <c r="AH25" s="1298"/>
      <c r="AI25" s="1298"/>
      <c r="AJ25" s="1298"/>
      <c r="AK25" s="1298"/>
      <c r="AL25" s="1298"/>
      <c r="AM25" s="1298"/>
      <c r="AN25" s="1298"/>
      <c r="AO25" s="1298" t="e">
        <f>W25+AF25</f>
        <v>#VALUE!</v>
      </c>
      <c r="AP25" s="1298"/>
      <c r="AQ25" s="1298"/>
      <c r="AR25" s="1298"/>
      <c r="AS25" s="1298"/>
      <c r="AT25" s="1298"/>
      <c r="AU25" s="1298"/>
      <c r="AV25" s="1298"/>
      <c r="AW25" s="1298"/>
      <c r="AX25" s="367"/>
      <c r="AY25" s="367"/>
      <c r="AZ25" s="367"/>
      <c r="BA25" s="367"/>
      <c r="BB25" s="367"/>
      <c r="BC25" s="367"/>
      <c r="BD25" s="367"/>
      <c r="BE25" s="367"/>
      <c r="BF25" s="874"/>
      <c r="BG25" s="169" t="s">
        <v>220</v>
      </c>
      <c r="BO25" s="758">
        <v>24</v>
      </c>
      <c r="BP25" s="57" t="s">
        <v>1206</v>
      </c>
      <c r="BR25" s="758">
        <v>24</v>
      </c>
      <c r="BS25" s="57" t="s">
        <v>1240</v>
      </c>
      <c r="CA25" s="758">
        <v>24</v>
      </c>
      <c r="CB25" s="57" t="s">
        <v>1264</v>
      </c>
    </row>
    <row r="26" spans="1:80" ht="9.75" customHeight="1" x14ac:dyDescent="0.2">
      <c r="A26" s="874" t="str">
        <f>IF(Dados!$W$14=0,$BH$224,"")</f>
        <v>NÃO HOUVE</v>
      </c>
      <c r="B26" s="1310"/>
      <c r="C26" s="1310"/>
      <c r="D26" s="1310"/>
      <c r="E26" s="1310"/>
      <c r="F26" s="1310"/>
      <c r="G26" s="1310"/>
      <c r="H26" s="1310"/>
      <c r="I26" s="1310"/>
      <c r="J26" s="1310"/>
      <c r="K26" s="1310"/>
      <c r="L26" s="1310"/>
      <c r="M26" s="1310"/>
      <c r="N26" s="1310"/>
      <c r="O26" s="1310"/>
      <c r="P26" s="1310"/>
      <c r="Q26" s="1310"/>
      <c r="R26" s="1310"/>
      <c r="S26" s="1310"/>
      <c r="T26" s="1310"/>
      <c r="U26" s="1310"/>
      <c r="V26" s="1310"/>
      <c r="W26" s="1310"/>
      <c r="X26" s="1310"/>
      <c r="Y26" s="1310"/>
      <c r="Z26" s="1310"/>
      <c r="AA26" s="1310"/>
      <c r="AB26" s="1310"/>
      <c r="AC26" s="1310"/>
      <c r="AD26" s="1310"/>
      <c r="AE26" s="1310"/>
      <c r="AF26" s="1310"/>
      <c r="AG26" s="1310"/>
      <c r="AH26" s="1310"/>
      <c r="AI26" s="1310"/>
      <c r="AJ26" s="1310"/>
      <c r="AK26" s="1310"/>
      <c r="AL26" s="1310"/>
      <c r="AM26" s="1310"/>
      <c r="AN26" s="1310"/>
      <c r="AO26" s="1310"/>
      <c r="AP26" s="1310"/>
      <c r="AQ26" s="1310"/>
      <c r="AR26" s="1310"/>
      <c r="AS26" s="1310"/>
      <c r="AT26" s="1310"/>
      <c r="AU26" s="1310"/>
      <c r="AV26" s="1310"/>
      <c r="AW26" s="1310"/>
      <c r="AX26" s="1310"/>
      <c r="AY26" s="1310"/>
      <c r="AZ26" s="1310"/>
      <c r="BA26" s="1310"/>
      <c r="BB26" s="1310"/>
      <c r="BC26" s="1310"/>
      <c r="BD26" s="1310"/>
      <c r="BE26" s="1310"/>
      <c r="BF26" s="874"/>
      <c r="BG26" s="57" t="s">
        <v>28</v>
      </c>
      <c r="BO26" s="758">
        <v>25</v>
      </c>
      <c r="BP26" s="758" t="s">
        <v>1207</v>
      </c>
      <c r="BS26" s="758"/>
      <c r="CA26" s="758">
        <v>25</v>
      </c>
      <c r="CB26" s="758" t="s">
        <v>1265</v>
      </c>
    </row>
    <row r="27" spans="1:80" ht="15.75" customHeight="1" x14ac:dyDescent="0.2">
      <c r="A27" s="874" t="str">
        <f>IF(Dados!$W$14=0,$BH$224,"")</f>
        <v>NÃO HOUVE</v>
      </c>
      <c r="B27" s="1301" t="str">
        <f>IF($W$24=0,$BH$41,$BH$39)</f>
        <v>- As aquisições com os recursos de custeio foram da ordem de</v>
      </c>
      <c r="C27" s="1299"/>
      <c r="D27" s="1299"/>
      <c r="E27" s="1299"/>
      <c r="F27" s="1299"/>
      <c r="G27" s="1299"/>
      <c r="H27" s="1299"/>
      <c r="I27" s="1299"/>
      <c r="J27" s="1299"/>
      <c r="K27" s="1299"/>
      <c r="L27" s="1299"/>
      <c r="M27" s="1299"/>
      <c r="N27" s="1299"/>
      <c r="O27" s="1299"/>
      <c r="P27" s="1299"/>
      <c r="Q27" s="1299"/>
      <c r="R27" s="1299"/>
      <c r="S27" s="1299"/>
      <c r="T27" s="1299"/>
      <c r="U27" s="1299"/>
      <c r="V27" s="1299"/>
      <c r="W27" s="1299"/>
      <c r="X27" s="1299"/>
      <c r="Y27" s="1299"/>
      <c r="Z27" s="1299"/>
      <c r="AA27" s="1299"/>
      <c r="AB27" s="1299"/>
      <c r="AC27" s="1299"/>
      <c r="AD27" s="1299"/>
      <c r="AE27" s="1299"/>
      <c r="AF27" s="1299"/>
      <c r="AG27" s="1300" t="str">
        <f>IF($W$24=0,"",$W$24)</f>
        <v/>
      </c>
      <c r="AH27" s="1300"/>
      <c r="AI27" s="1300"/>
      <c r="AJ27" s="1300"/>
      <c r="AK27" s="1300"/>
      <c r="AL27" s="1300"/>
      <c r="AM27" s="1300"/>
      <c r="AN27" s="1300"/>
      <c r="AO27" s="1300"/>
      <c r="AP27" s="1300"/>
      <c r="AQ27" s="1289" t="str">
        <f>IF($W$24&gt;0,$BI$39,"")</f>
        <v>e relacionadas a seguir:</v>
      </c>
      <c r="AR27" s="1289"/>
      <c r="AS27" s="1289"/>
      <c r="AT27" s="1289"/>
      <c r="AU27" s="1289"/>
      <c r="AV27" s="1289"/>
      <c r="AW27" s="1289"/>
      <c r="AX27" s="1289"/>
      <c r="AY27" s="1289"/>
      <c r="AZ27" s="1289"/>
      <c r="BA27" s="1289"/>
      <c r="BB27" s="1289"/>
      <c r="BC27" s="1289"/>
      <c r="BD27" s="1289"/>
      <c r="BE27" s="174"/>
      <c r="BF27" s="874"/>
      <c r="BG27" s="169" t="s">
        <v>1315</v>
      </c>
      <c r="BO27" s="758">
        <v>26</v>
      </c>
      <c r="BP27" s="758" t="s">
        <v>1208</v>
      </c>
      <c r="CA27" s="758">
        <v>26</v>
      </c>
      <c r="CB27" s="758" t="s">
        <v>1266</v>
      </c>
    </row>
    <row r="28" spans="1:80" ht="84" hidden="1" customHeight="1" x14ac:dyDescent="0.2">
      <c r="A28" s="885" t="str">
        <f>IF(Dados!$W$14=0,$BH$224,IF($W$24=0,$BH$224,IF($B$28&gt;0,"Aumente ou diminua a altura da linha 28")))</f>
        <v>NÃO HOUVE</v>
      </c>
      <c r="B28" s="1290" t="str">
        <f>IF(Despesas!$BE$1=0,"",Despesas!$BE$1)</f>
        <v/>
      </c>
      <c r="C28" s="1290"/>
      <c r="D28" s="1290"/>
      <c r="E28" s="1290"/>
      <c r="F28" s="1290"/>
      <c r="G28" s="1290"/>
      <c r="H28" s="1290"/>
      <c r="I28" s="1290"/>
      <c r="J28" s="1290"/>
      <c r="K28" s="1290"/>
      <c r="L28" s="1290"/>
      <c r="M28" s="1290"/>
      <c r="N28" s="1290"/>
      <c r="O28" s="1290"/>
      <c r="P28" s="1290"/>
      <c r="Q28" s="1290"/>
      <c r="R28" s="1290"/>
      <c r="S28" s="1290"/>
      <c r="T28" s="1290"/>
      <c r="U28" s="1290"/>
      <c r="V28" s="1290"/>
      <c r="W28" s="1290"/>
      <c r="X28" s="1290"/>
      <c r="Y28" s="1290"/>
      <c r="Z28" s="1290"/>
      <c r="AA28" s="1290"/>
      <c r="AB28" s="1290"/>
      <c r="AC28" s="1290"/>
      <c r="AD28" s="1290"/>
      <c r="AE28" s="1290"/>
      <c r="AF28" s="1290"/>
      <c r="AG28" s="1290"/>
      <c r="AH28" s="1290"/>
      <c r="AI28" s="1290"/>
      <c r="AJ28" s="1290"/>
      <c r="AK28" s="1290"/>
      <c r="AL28" s="1290"/>
      <c r="AM28" s="1290"/>
      <c r="AN28" s="1290"/>
      <c r="AO28" s="1290"/>
      <c r="AP28" s="1290"/>
      <c r="AQ28" s="1290"/>
      <c r="AR28" s="1290"/>
      <c r="AS28" s="1290"/>
      <c r="AT28" s="1290"/>
      <c r="AU28" s="1290"/>
      <c r="AV28" s="1290"/>
      <c r="AW28" s="1290"/>
      <c r="AX28" s="1290"/>
      <c r="AY28" s="1290"/>
      <c r="AZ28" s="1290"/>
      <c r="BA28" s="1290"/>
      <c r="BB28" s="1290"/>
      <c r="BC28" s="1290"/>
      <c r="BD28" s="1290"/>
      <c r="BE28" s="1290"/>
      <c r="BF28" s="874"/>
      <c r="BO28" s="758">
        <v>27</v>
      </c>
      <c r="BP28" s="758" t="s">
        <v>1209</v>
      </c>
      <c r="CA28" s="758">
        <v>27</v>
      </c>
      <c r="CB28" s="758" t="s">
        <v>1267</v>
      </c>
    </row>
    <row r="29" spans="1:80" ht="27" customHeight="1" x14ac:dyDescent="0.2">
      <c r="A29" s="881" t="str">
        <f>IF(Dados!$W$14=0,$BH$224,"")</f>
        <v>NÃO HOUVE</v>
      </c>
      <c r="B29" s="1301" t="str">
        <f>IF($AF$24=0,$BH$42,$BH$40)</f>
        <v>- As aquisições com os recursos de capital foram da ordem de</v>
      </c>
      <c r="C29" s="1299"/>
      <c r="D29" s="1299"/>
      <c r="E29" s="1299"/>
      <c r="F29" s="1299"/>
      <c r="G29" s="1299"/>
      <c r="H29" s="1299"/>
      <c r="I29" s="1299"/>
      <c r="J29" s="1299"/>
      <c r="K29" s="1299"/>
      <c r="L29" s="1299"/>
      <c r="M29" s="1299"/>
      <c r="N29" s="1299"/>
      <c r="O29" s="1299"/>
      <c r="P29" s="1299"/>
      <c r="Q29" s="1299"/>
      <c r="R29" s="1299"/>
      <c r="S29" s="1299"/>
      <c r="T29" s="1299"/>
      <c r="U29" s="1299"/>
      <c r="V29" s="1299"/>
      <c r="W29" s="1299"/>
      <c r="X29" s="1299"/>
      <c r="Y29" s="1299"/>
      <c r="Z29" s="1299"/>
      <c r="AA29" s="1299"/>
      <c r="AB29" s="1299"/>
      <c r="AC29" s="1299"/>
      <c r="AD29" s="1299"/>
      <c r="AE29" s="1299"/>
      <c r="AF29" s="1299"/>
      <c r="AG29" s="1300" t="str">
        <f>IF($AF$24=0,"",$AF$24)</f>
        <v/>
      </c>
      <c r="AH29" s="1300"/>
      <c r="AI29" s="1300"/>
      <c r="AJ29" s="1300"/>
      <c r="AK29" s="1300"/>
      <c r="AL29" s="1300"/>
      <c r="AM29" s="1300"/>
      <c r="AN29" s="1300"/>
      <c r="AO29" s="1300"/>
      <c r="AP29" s="1300"/>
      <c r="AQ29" s="1289" t="str">
        <f>IF($AF$24&gt;0,$BI$39,"")</f>
        <v>e relacionadas a seguir:</v>
      </c>
      <c r="AR29" s="1289"/>
      <c r="AS29" s="1289"/>
      <c r="AT29" s="1289"/>
      <c r="AU29" s="1289"/>
      <c r="AV29" s="1289"/>
      <c r="AW29" s="1289"/>
      <c r="AX29" s="1289"/>
      <c r="AY29" s="1289"/>
      <c r="AZ29" s="1289"/>
      <c r="BA29" s="1289"/>
      <c r="BB29" s="1289"/>
      <c r="BC29" s="1289"/>
      <c r="BD29" s="1289"/>
      <c r="BE29" s="511"/>
      <c r="BF29" s="874"/>
      <c r="BG29" s="192" t="s">
        <v>1316</v>
      </c>
      <c r="BO29" s="758">
        <v>28</v>
      </c>
      <c r="BP29" s="758" t="s">
        <v>1210</v>
      </c>
      <c r="CA29" s="758">
        <v>28</v>
      </c>
      <c r="CB29" s="758" t="s">
        <v>1269</v>
      </c>
    </row>
    <row r="30" spans="1:80" ht="35.25" hidden="1" customHeight="1" x14ac:dyDescent="0.2">
      <c r="A30" s="885" t="str">
        <f>IF(Dados!$W$14=0,$BH$224,IF($AF$24=0,$BH$224,IF($B$30&gt;0,"Aumente ou diminua a altura da linha 30")))</f>
        <v>NÃO HOUVE</v>
      </c>
      <c r="B30" s="1290" t="str">
        <f>IF(Despesas!$BE$2=0,"",Despesas!$BE$2)</f>
        <v/>
      </c>
      <c r="C30" s="1290"/>
      <c r="D30" s="1290"/>
      <c r="E30" s="1290"/>
      <c r="F30" s="1290"/>
      <c r="G30" s="1290"/>
      <c r="H30" s="1290"/>
      <c r="I30" s="1290"/>
      <c r="J30" s="1290"/>
      <c r="K30" s="1290"/>
      <c r="L30" s="1290"/>
      <c r="M30" s="1290"/>
      <c r="N30" s="1290"/>
      <c r="O30" s="1290"/>
      <c r="P30" s="1290"/>
      <c r="Q30" s="1290"/>
      <c r="R30" s="1290"/>
      <c r="S30" s="1290"/>
      <c r="T30" s="1290"/>
      <c r="U30" s="1290"/>
      <c r="V30" s="1290"/>
      <c r="W30" s="1290"/>
      <c r="X30" s="1290"/>
      <c r="Y30" s="1290"/>
      <c r="Z30" s="1290"/>
      <c r="AA30" s="1290"/>
      <c r="AB30" s="1290"/>
      <c r="AC30" s="1290"/>
      <c r="AD30" s="1290"/>
      <c r="AE30" s="1290"/>
      <c r="AF30" s="1290"/>
      <c r="AG30" s="1290"/>
      <c r="AH30" s="1290"/>
      <c r="AI30" s="1290"/>
      <c r="AJ30" s="1290"/>
      <c r="AK30" s="1290"/>
      <c r="AL30" s="1290"/>
      <c r="AM30" s="1290"/>
      <c r="AN30" s="1290"/>
      <c r="AO30" s="1290"/>
      <c r="AP30" s="1290"/>
      <c r="AQ30" s="1290"/>
      <c r="AR30" s="1290"/>
      <c r="AS30" s="1290"/>
      <c r="AT30" s="1290"/>
      <c r="AU30" s="1290"/>
      <c r="AV30" s="1290"/>
      <c r="AW30" s="1290"/>
      <c r="AX30" s="1290"/>
      <c r="AY30" s="1290"/>
      <c r="AZ30" s="1290"/>
      <c r="BA30" s="1290"/>
      <c r="BB30" s="1290"/>
      <c r="BC30" s="1290"/>
      <c r="BD30" s="1290"/>
      <c r="BE30" s="1290"/>
      <c r="BF30" s="874"/>
      <c r="BG30" s="851" t="str">
        <f>Dados!$G$9</f>
        <v/>
      </c>
      <c r="BH30" s="192" t="s">
        <v>49</v>
      </c>
      <c r="BI30" s="851" t="str">
        <f>Dados!$I$9</f>
        <v/>
      </c>
      <c r="BJ30" s="192" t="s">
        <v>1317</v>
      </c>
      <c r="BO30" s="758">
        <v>29</v>
      </c>
      <c r="BP30" s="758" t="s">
        <v>1211</v>
      </c>
      <c r="CA30" s="758">
        <v>29</v>
      </c>
      <c r="CB30" s="758" t="s">
        <v>1268</v>
      </c>
    </row>
    <row r="31" spans="1:80" ht="31.5" hidden="1" customHeight="1" x14ac:dyDescent="0.2">
      <c r="A31" s="885" t="str">
        <f>IF(Dados!$W$14=0,$BH$224,IF(AND($W$24=0,$AF$24=0),$BH$224,IF($B$31="","Observações se houverem","Aumente ou diminua a altura da linha 31")))</f>
        <v>NÃO HOUVE</v>
      </c>
      <c r="B31" s="1291"/>
      <c r="C31" s="1292"/>
      <c r="D31" s="1292"/>
      <c r="E31" s="1292"/>
      <c r="F31" s="1292"/>
      <c r="G31" s="1292"/>
      <c r="H31" s="1292"/>
      <c r="I31" s="1292"/>
      <c r="J31" s="1292"/>
      <c r="K31" s="1292"/>
      <c r="L31" s="1292"/>
      <c r="M31" s="1292"/>
      <c r="N31" s="1292"/>
      <c r="O31" s="1292"/>
      <c r="P31" s="1292"/>
      <c r="Q31" s="1292"/>
      <c r="R31" s="1292"/>
      <c r="S31" s="1292"/>
      <c r="T31" s="1292"/>
      <c r="U31" s="1292"/>
      <c r="V31" s="1292"/>
      <c r="W31" s="1292"/>
      <c r="X31" s="1292"/>
      <c r="Y31" s="1292"/>
      <c r="Z31" s="1292"/>
      <c r="AA31" s="1292"/>
      <c r="AB31" s="1292"/>
      <c r="AC31" s="1292"/>
      <c r="AD31" s="1292"/>
      <c r="AE31" s="1292"/>
      <c r="AF31" s="1292"/>
      <c r="AG31" s="1292"/>
      <c r="AH31" s="1292"/>
      <c r="AI31" s="1292"/>
      <c r="AJ31" s="1292"/>
      <c r="AK31" s="1292"/>
      <c r="AL31" s="1292"/>
      <c r="AM31" s="1292"/>
      <c r="AN31" s="1292"/>
      <c r="AO31" s="1292"/>
      <c r="AP31" s="1292"/>
      <c r="AQ31" s="1292"/>
      <c r="AR31" s="1292"/>
      <c r="AS31" s="1292"/>
      <c r="AT31" s="1292"/>
      <c r="AU31" s="1292"/>
      <c r="AV31" s="1292"/>
      <c r="AW31" s="1292"/>
      <c r="AX31" s="1292"/>
      <c r="AY31" s="1292"/>
      <c r="AZ31" s="1292"/>
      <c r="BA31" s="1292"/>
      <c r="BB31" s="1292"/>
      <c r="BC31" s="1292"/>
      <c r="BD31" s="1292"/>
      <c r="BE31" s="1292"/>
      <c r="BF31" s="874"/>
      <c r="BO31" s="758">
        <v>30</v>
      </c>
      <c r="BP31" s="758" t="s">
        <v>1212</v>
      </c>
      <c r="CA31" s="758">
        <v>30</v>
      </c>
      <c r="CB31" s="758" t="s">
        <v>1270</v>
      </c>
    </row>
    <row r="32" spans="1:80" ht="16.5" hidden="1" customHeight="1" x14ac:dyDescent="0.2">
      <c r="A32" s="886" t="str">
        <f>IF(AND($A$33=$BK$46,$A$34=$BK$46),$BK$46,$BK$47)</f>
        <v>NÃO HOUVE</v>
      </c>
      <c r="B32" s="1313"/>
      <c r="C32" s="1313"/>
      <c r="D32" s="1313"/>
      <c r="E32" s="1313"/>
      <c r="F32" s="1313"/>
      <c r="G32" s="1313"/>
      <c r="H32" s="1313"/>
      <c r="I32" s="1313"/>
      <c r="J32" s="1313"/>
      <c r="K32" s="1313"/>
      <c r="L32" s="1313"/>
      <c r="M32" s="1313"/>
      <c r="N32" s="1313"/>
      <c r="O32" s="1313"/>
      <c r="P32" s="1313"/>
      <c r="Q32" s="1313"/>
      <c r="R32" s="1313"/>
      <c r="S32" s="1313"/>
      <c r="T32" s="1313"/>
      <c r="U32" s="1313"/>
      <c r="V32" s="1313"/>
      <c r="W32" s="1313"/>
      <c r="X32" s="1313"/>
      <c r="Y32" s="1313"/>
      <c r="Z32" s="1313"/>
      <c r="AA32" s="1313"/>
      <c r="AB32" s="1313"/>
      <c r="AC32" s="1313"/>
      <c r="AD32" s="1313"/>
      <c r="AE32" s="1313"/>
      <c r="AF32" s="1313"/>
      <c r="AG32" s="1313"/>
      <c r="AH32" s="1313"/>
      <c r="AI32" s="1313"/>
      <c r="AJ32" s="1313"/>
      <c r="AK32" s="1313"/>
      <c r="AL32" s="1313"/>
      <c r="AM32" s="1313"/>
      <c r="AN32" s="1313"/>
      <c r="AO32" s="1313"/>
      <c r="AP32" s="1313"/>
      <c r="AQ32" s="1313"/>
      <c r="AR32" s="1313"/>
      <c r="AS32" s="1313"/>
      <c r="AT32" s="1313"/>
      <c r="AU32" s="1313"/>
      <c r="AV32" s="1313"/>
      <c r="AW32" s="1313"/>
      <c r="AX32" s="1313"/>
      <c r="AY32" s="1313"/>
      <c r="AZ32" s="1313"/>
      <c r="BA32" s="1313"/>
      <c r="BB32" s="1313"/>
      <c r="BC32" s="1313"/>
      <c r="BD32" s="1313"/>
      <c r="BE32" s="1313"/>
      <c r="BF32" s="874"/>
      <c r="BH32" s="192" t="s">
        <v>1318</v>
      </c>
      <c r="BO32" s="758">
        <v>31</v>
      </c>
      <c r="BP32" s="758" t="s">
        <v>1213</v>
      </c>
      <c r="CA32" s="758">
        <v>31</v>
      </c>
      <c r="CB32" s="758" t="s">
        <v>1271</v>
      </c>
    </row>
    <row r="33" spans="1:80" ht="18.75" hidden="1" customHeight="1" x14ac:dyDescent="0.2">
      <c r="A33" s="887" t="str">
        <f>IF(Dados!$W$14=0,$BH$224,IF(AND($BG$69=0,$BH$69=0),$BH$224,IF(AND($BG$69&gt;0,$BH$69=0),$BH$226,IF(AND($BG$69=0,$BH$69&gt;0),$BH$227,IF(AND($BG$69&gt;0,$BH$69&gt;0),$BH$228)))))</f>
        <v>NÃO HOUVE</v>
      </c>
      <c r="B33" s="1286" t="str">
        <f>IF(AND($BG$69=0,$BH$69=0),"",$BG$72)</f>
        <v/>
      </c>
      <c r="C33" s="1286"/>
      <c r="D33" s="1286"/>
      <c r="E33" s="1286"/>
      <c r="F33" s="1286"/>
      <c r="G33" s="1286"/>
      <c r="H33" s="1286"/>
      <c r="I33" s="1286"/>
      <c r="J33" s="1286"/>
      <c r="K33" s="1286"/>
      <c r="L33" s="1286"/>
      <c r="M33" s="1286"/>
      <c r="N33" s="1286"/>
      <c r="O33" s="1286"/>
      <c r="P33" s="1286"/>
      <c r="Q33" s="1286"/>
      <c r="R33" s="1294" t="str">
        <f>IF(AND($BG$69=0,$BH$69=0),"",IF(AND($BG$69=0,$BH$69&gt;0),"",IF(AND($BG$69&gt;0,$BH$69=0),$BG$69,IF(AND($BG$69&gt;0,$BH$69&gt;0),$BG$69))))</f>
        <v/>
      </c>
      <c r="S33" s="1294"/>
      <c r="T33" s="1294"/>
      <c r="U33" s="1294"/>
      <c r="V33" s="1294"/>
      <c r="W33" s="1294"/>
      <c r="X33" s="1294"/>
      <c r="Y33" s="1288" t="str">
        <f>IF(AND($BG$69=0,$BH$69=0),"",IF(AND($BG$69=0,$BH$69&gt;0),"",IF(AND($BG$69&gt;0,$BH$69=0),$BG$70,IF(AND($BG$69&gt;0,$BH$69&gt;0),$BG$70))))</f>
        <v/>
      </c>
      <c r="Z33" s="1288"/>
      <c r="AA33" s="1288"/>
      <c r="AB33" s="1288"/>
      <c r="AC33" s="1288"/>
      <c r="AD33" s="1288"/>
      <c r="AE33" s="1288"/>
      <c r="AF33" s="1288"/>
      <c r="AG33" s="1288"/>
      <c r="AH33" s="1288"/>
      <c r="AI33" s="1288"/>
      <c r="AJ33" s="1288"/>
      <c r="AK33" s="1288"/>
      <c r="AL33" s="1294" t="str">
        <f>IF(AND($BG$69=0,$BH$69=0),"",IF(AND($BG$69=0,$BH$69&gt;0),$BH$69,IF(AND($BG$69&gt;0,$BH$69=0),"",IF(AND($BG$69&gt;0,$BH$69&gt;0),$BH$69))))</f>
        <v/>
      </c>
      <c r="AM33" s="1294"/>
      <c r="AN33" s="1294"/>
      <c r="AO33" s="1294"/>
      <c r="AP33" s="1294"/>
      <c r="AQ33" s="1294"/>
      <c r="AR33" s="1294"/>
      <c r="AS33" s="1289" t="str">
        <f>IF(AND($BG$69=0,$BH$69=0),"",IF(AND($BG$69=0,$BH$69&gt;0),$BH$70,IF(AND($BG$69&gt;0,$BH$69=0),"",IF(AND($BG$69&gt;0,$BH$69&gt;0),$BH$70))))</f>
        <v/>
      </c>
      <c r="AT33" s="1289"/>
      <c r="AU33" s="1289"/>
      <c r="AV33" s="1289"/>
      <c r="AW33" s="1289"/>
      <c r="AX33" s="1289"/>
      <c r="AY33" s="1289"/>
      <c r="AZ33" s="1289"/>
      <c r="BA33" s="1289"/>
      <c r="BB33" s="1289"/>
      <c r="BC33" s="1289"/>
      <c r="BD33" s="1289"/>
      <c r="BE33" s="1289"/>
      <c r="BF33" s="874"/>
      <c r="BI33" s="192" t="s">
        <v>737</v>
      </c>
      <c r="BO33" s="168"/>
      <c r="BP33" s="758"/>
      <c r="CA33" s="758">
        <v>32</v>
      </c>
      <c r="CB33" s="758" t="s">
        <v>1272</v>
      </c>
    </row>
    <row r="34" spans="1:80" ht="18.75" hidden="1" customHeight="1" x14ac:dyDescent="0.2">
      <c r="A34" s="887" t="str">
        <f>IF(Dados!$W$14=0,$BH$224,IF(AND($BG$66=0,$BH$66=0),$BH$224,IF(AND($BG$66&gt;0,$BH$66=0),$BH$226,IF(AND($BG$66=0,$BH$66&gt;0),$BH$227,IF(AND($BG$66&gt;0,$BH$66&gt;0),$BH$228)))))</f>
        <v>NÃO HOUVE</v>
      </c>
      <c r="B34" s="1286" t="str">
        <f>IF(OR($A$34=$BH$224,$A$34=$BH$225),"",$BG$72)</f>
        <v/>
      </c>
      <c r="C34" s="1286"/>
      <c r="D34" s="1286"/>
      <c r="E34" s="1286"/>
      <c r="F34" s="1286"/>
      <c r="G34" s="1286"/>
      <c r="H34" s="1286"/>
      <c r="I34" s="1286"/>
      <c r="J34" s="1286"/>
      <c r="K34" s="1286"/>
      <c r="L34" s="1286"/>
      <c r="M34" s="1286"/>
      <c r="N34" s="1286"/>
      <c r="O34" s="1286"/>
      <c r="P34" s="1286"/>
      <c r="Q34" s="1286"/>
      <c r="R34" s="1294" t="e">
        <f>IF(AND($BG$66=0,$BH$66=0),"",IF(AND($BG$66=0,$BH$66&gt;0),$BH$66,IF(AND($BG$66&gt;0,$BH$66=0),$BG$66,IF(AND($BG$66&gt;0,$BH$66&gt;0),$BG$66))))</f>
        <v>#VALUE!</v>
      </c>
      <c r="S34" s="1294"/>
      <c r="T34" s="1294"/>
      <c r="U34" s="1294"/>
      <c r="V34" s="1294"/>
      <c r="W34" s="1294"/>
      <c r="X34" s="1294"/>
      <c r="Y34" s="1288" t="str">
        <f>IF(OR($A$34=$BH$224,$A$34=$BH$225),"",IF($A$34=$BH$226,$BH$45,IF($A$34=$BH$227,"",IF($A$34=$BH$228,$BH$46))))</f>
        <v/>
      </c>
      <c r="Z34" s="1288"/>
      <c r="AA34" s="1288"/>
      <c r="AB34" s="1288"/>
      <c r="AC34" s="1288"/>
      <c r="AD34" s="1288"/>
      <c r="AE34" s="1288"/>
      <c r="AF34" s="1288"/>
      <c r="AG34" s="1288"/>
      <c r="AH34" s="1288"/>
      <c r="AI34" s="1288"/>
      <c r="AJ34" s="1288"/>
      <c r="AK34" s="1288"/>
      <c r="AL34" s="1294" t="e">
        <f>IF(AND($BG$66=0,$BH$66=0),"",IF(AND($BG$66=0,$BH$66&gt;0),"",IF(AND($BG$66&gt;0,$BH$66=0),"",IF(AND($BG$66&gt;0,$BH$66&gt;0),$BH$66))))</f>
        <v>#VALUE!</v>
      </c>
      <c r="AM34" s="1294"/>
      <c r="AN34" s="1294"/>
      <c r="AO34" s="1294"/>
      <c r="AP34" s="1294"/>
      <c r="AQ34" s="1294"/>
      <c r="AR34" s="1294"/>
      <c r="AS34" s="1289" t="str">
        <f>IF(OR($A$34=$BH$224,$A$34=$BH$225,$A$34=$BH$226),"",$BH$47)</f>
        <v/>
      </c>
      <c r="AT34" s="1289"/>
      <c r="AU34" s="1289"/>
      <c r="AV34" s="1289"/>
      <c r="AW34" s="1289"/>
      <c r="AX34" s="1289"/>
      <c r="AY34" s="1289"/>
      <c r="AZ34" s="1289"/>
      <c r="BA34" s="1289"/>
      <c r="BB34" s="1289"/>
      <c r="BC34" s="1289"/>
      <c r="BD34" s="1289"/>
      <c r="BE34" s="1289"/>
      <c r="BF34" s="874"/>
      <c r="BH34" s="192" t="s">
        <v>1319</v>
      </c>
      <c r="BI34" s="57" t="s">
        <v>606</v>
      </c>
      <c r="BJ34" s="192" t="s">
        <v>37</v>
      </c>
      <c r="BK34" s="192" t="s">
        <v>659</v>
      </c>
      <c r="BL34" s="192" t="s">
        <v>1306</v>
      </c>
      <c r="BO34" s="168"/>
      <c r="BP34" s="168"/>
      <c r="CA34" s="758">
        <v>33</v>
      </c>
      <c r="CB34" s="758" t="s">
        <v>1273</v>
      </c>
    </row>
    <row r="35" spans="1:80" ht="17.25" customHeight="1" x14ac:dyDescent="0.2">
      <c r="A35" s="970" t="s">
        <v>1386</v>
      </c>
      <c r="B35" s="1286" t="str">
        <f>IF($A$35=$BH$230,"",$BG$72)</f>
        <v/>
      </c>
      <c r="C35" s="1286"/>
      <c r="D35" s="1286"/>
      <c r="E35" s="1286"/>
      <c r="F35" s="1286"/>
      <c r="G35" s="1286"/>
      <c r="H35" s="1286"/>
      <c r="I35" s="1286"/>
      <c r="J35" s="1286"/>
      <c r="K35" s="1286"/>
      <c r="L35" s="1286"/>
      <c r="M35" s="1286"/>
      <c r="N35" s="1286"/>
      <c r="O35" s="1286"/>
      <c r="P35" s="1286"/>
      <c r="Q35" s="1286"/>
      <c r="R35" s="1287"/>
      <c r="S35" s="1287"/>
      <c r="T35" s="1287"/>
      <c r="U35" s="1287"/>
      <c r="V35" s="1287"/>
      <c r="W35" s="1287"/>
      <c r="X35" s="1287"/>
      <c r="Y35" s="1288" t="str">
        <f>IF($A$35=$BH$230,"",IF($A$35=$BH$226,$BH$45,IF($A$35=$BH$227,"",IF($A$35=$BH$228,$BH$46))))</f>
        <v/>
      </c>
      <c r="Z35" s="1288"/>
      <c r="AA35" s="1288"/>
      <c r="AB35" s="1288"/>
      <c r="AC35" s="1288"/>
      <c r="AD35" s="1288"/>
      <c r="AE35" s="1288"/>
      <c r="AF35" s="1288"/>
      <c r="AG35" s="1288"/>
      <c r="AH35" s="1288"/>
      <c r="AI35" s="1288"/>
      <c r="AJ35" s="1288"/>
      <c r="AK35" s="1288"/>
      <c r="AL35" s="1287"/>
      <c r="AM35" s="1287"/>
      <c r="AN35" s="1287"/>
      <c r="AO35" s="1287"/>
      <c r="AP35" s="1287"/>
      <c r="AQ35" s="1287"/>
      <c r="AR35" s="1287"/>
      <c r="AS35" s="1289" t="str">
        <f>IF(OR($A$35=$BH$230,$A$35=$BH$231),"",$BH$47)</f>
        <v/>
      </c>
      <c r="AT35" s="1289"/>
      <c r="AU35" s="1289"/>
      <c r="AV35" s="1289"/>
      <c r="AW35" s="1289"/>
      <c r="AX35" s="1289"/>
      <c r="AY35" s="1289"/>
      <c r="AZ35" s="1289"/>
      <c r="BA35" s="1289"/>
      <c r="BB35" s="1289"/>
      <c r="BC35" s="1289"/>
      <c r="BD35" s="1289"/>
      <c r="BE35" s="1289"/>
      <c r="BF35" s="874"/>
      <c r="BH35" s="192"/>
      <c r="BJ35" s="192"/>
      <c r="BK35" s="192"/>
      <c r="BL35" s="192"/>
      <c r="BO35" s="969"/>
      <c r="BP35" s="969"/>
      <c r="CA35" s="969"/>
      <c r="CB35" s="969"/>
    </row>
    <row r="36" spans="1:80" ht="44.25" hidden="1" customHeight="1" x14ac:dyDescent="0.2">
      <c r="A36" s="888" t="str">
        <f>IF(AND($A$33=$BH$224,$A$34=$BH$224,$A$35=$BH$230),$BH$224,$BH$221)</f>
        <v>NÃO HOUVE</v>
      </c>
      <c r="B36" s="1274" t="s">
        <v>12331</v>
      </c>
      <c r="C36" s="1274"/>
      <c r="D36" s="1274"/>
      <c r="E36" s="1274"/>
      <c r="F36" s="1274"/>
      <c r="G36" s="1274"/>
      <c r="H36" s="1274"/>
      <c r="I36" s="1274"/>
      <c r="J36" s="1274"/>
      <c r="K36" s="1274"/>
      <c r="L36" s="1274"/>
      <c r="M36" s="1274"/>
      <c r="N36" s="1274"/>
      <c r="O36" s="1274"/>
      <c r="P36" s="1274"/>
      <c r="Q36" s="1274"/>
      <c r="R36" s="1274"/>
      <c r="S36" s="1274"/>
      <c r="T36" s="1274"/>
      <c r="U36" s="1274"/>
      <c r="V36" s="1274"/>
      <c r="W36" s="1274"/>
      <c r="X36" s="1274"/>
      <c r="Y36" s="1274"/>
      <c r="Z36" s="1274"/>
      <c r="AA36" s="1274"/>
      <c r="AB36" s="1274"/>
      <c r="AC36" s="1274"/>
      <c r="AD36" s="1274"/>
      <c r="AE36" s="1274"/>
      <c r="AF36" s="1274"/>
      <c r="AG36" s="1274"/>
      <c r="AH36" s="1274"/>
      <c r="AI36" s="1274"/>
      <c r="AJ36" s="1274"/>
      <c r="AK36" s="1274"/>
      <c r="AL36" s="1274"/>
      <c r="AM36" s="1274"/>
      <c r="AN36" s="1274"/>
      <c r="AO36" s="1274"/>
      <c r="AP36" s="1274"/>
      <c r="AQ36" s="1274"/>
      <c r="AR36" s="1274"/>
      <c r="AS36" s="1274"/>
      <c r="AT36" s="1274"/>
      <c r="AU36" s="1274"/>
      <c r="AV36" s="1274"/>
      <c r="AW36" s="1274"/>
      <c r="AX36" s="1274"/>
      <c r="AY36" s="1274"/>
      <c r="AZ36" s="1274"/>
      <c r="BA36" s="1274"/>
      <c r="BB36" s="1274"/>
      <c r="BC36" s="1274"/>
      <c r="BD36" s="1274"/>
      <c r="BE36" s="1274"/>
      <c r="BF36" s="874"/>
      <c r="BH36" s="192" t="s">
        <v>660</v>
      </c>
      <c r="BI36" s="192" t="s">
        <v>661</v>
      </c>
      <c r="BO36" s="168"/>
      <c r="BP36" s="168"/>
      <c r="CA36" s="758">
        <v>34</v>
      </c>
      <c r="CB36" s="57" t="s">
        <v>1274</v>
      </c>
    </row>
    <row r="37" spans="1:80" ht="27.75" hidden="1" customHeight="1" x14ac:dyDescent="0.2">
      <c r="A37" s="885" t="str">
        <f>IF(Dados!$W$20=0,$BH$224,"")</f>
        <v>NÃO HOUVE</v>
      </c>
      <c r="B37" s="1303" t="str">
        <f>$BI$62</f>
        <v>VOLTA ÀS AULAS</v>
      </c>
      <c r="C37" s="1303"/>
      <c r="D37" s="1303"/>
      <c r="E37" s="1303"/>
      <c r="F37" s="1303"/>
      <c r="G37" s="1303"/>
      <c r="H37" s="1303"/>
      <c r="I37" s="1303"/>
      <c r="J37" s="1303"/>
      <c r="K37" s="1303"/>
      <c r="L37" s="1303"/>
      <c r="M37" s="1303"/>
      <c r="N37" s="1303"/>
      <c r="O37" s="1303"/>
      <c r="P37" s="1303"/>
      <c r="Q37" s="1303"/>
      <c r="R37" s="1303"/>
      <c r="S37" s="1303"/>
      <c r="T37" s="1303"/>
      <c r="U37" s="1303"/>
      <c r="V37" s="1303"/>
      <c r="W37" s="1303"/>
      <c r="X37" s="1303"/>
      <c r="Y37" s="1303"/>
      <c r="Z37" s="1303"/>
      <c r="AA37" s="1303"/>
      <c r="AB37" s="1303"/>
      <c r="AC37" s="1303"/>
      <c r="AD37" s="1303"/>
      <c r="AE37" s="1303"/>
      <c r="AF37" s="1303"/>
      <c r="AG37" s="1303"/>
      <c r="AH37" s="1303"/>
      <c r="AI37" s="1303"/>
      <c r="AJ37" s="1303"/>
      <c r="AK37" s="1303"/>
      <c r="AL37" s="1303"/>
      <c r="AM37" s="1303"/>
      <c r="AN37" s="1303"/>
      <c r="AO37" s="1303"/>
      <c r="AP37" s="1303"/>
      <c r="AQ37" s="1303"/>
      <c r="AR37" s="1303"/>
      <c r="AS37" s="1303"/>
      <c r="AT37" s="1303"/>
      <c r="AU37" s="1303"/>
      <c r="AV37" s="1303"/>
      <c r="AW37" s="1303"/>
      <c r="AX37" s="1303"/>
      <c r="AY37" s="1303"/>
      <c r="AZ37" s="1303"/>
      <c r="BA37" s="1303"/>
      <c r="BB37" s="1303"/>
      <c r="BC37" s="1303"/>
      <c r="BD37" s="1303"/>
      <c r="BE37" s="1303"/>
      <c r="BF37" s="874"/>
      <c r="BH37" s="192" t="s">
        <v>197</v>
      </c>
      <c r="BI37" s="192" t="s">
        <v>1320</v>
      </c>
      <c r="BO37" s="168"/>
      <c r="BP37" s="168"/>
      <c r="CA37" s="758">
        <v>35</v>
      </c>
      <c r="CB37" s="758" t="s">
        <v>1275</v>
      </c>
    </row>
    <row r="38" spans="1:80" ht="9.75" hidden="1" customHeight="1" x14ac:dyDescent="0.2">
      <c r="A38" s="874" t="s">
        <v>1308</v>
      </c>
      <c r="B38" s="1310"/>
      <c r="C38" s="1310"/>
      <c r="D38" s="1310"/>
      <c r="E38" s="1310"/>
      <c r="F38" s="1310"/>
      <c r="G38" s="1310"/>
      <c r="H38" s="1310"/>
      <c r="I38" s="1310"/>
      <c r="J38" s="1310"/>
      <c r="K38" s="1310"/>
      <c r="L38" s="1310"/>
      <c r="M38" s="1310"/>
      <c r="N38" s="1310"/>
      <c r="O38" s="1310"/>
      <c r="P38" s="1310"/>
      <c r="Q38" s="1310"/>
      <c r="R38" s="1310"/>
      <c r="S38" s="1310"/>
      <c r="T38" s="1310"/>
      <c r="U38" s="1310"/>
      <c r="V38" s="1310"/>
      <c r="W38" s="1310"/>
      <c r="X38" s="1310"/>
      <c r="Y38" s="1310"/>
      <c r="Z38" s="1310"/>
      <c r="AA38" s="1310"/>
      <c r="AB38" s="1310"/>
      <c r="AC38" s="1310"/>
      <c r="AD38" s="1310"/>
      <c r="AE38" s="1310"/>
      <c r="AF38" s="1310"/>
      <c r="AG38" s="1310"/>
      <c r="AH38" s="1310"/>
      <c r="AI38" s="1310"/>
      <c r="AJ38" s="1310"/>
      <c r="AK38" s="1310"/>
      <c r="AL38" s="1310"/>
      <c r="AM38" s="1310"/>
      <c r="AN38" s="1310"/>
      <c r="AO38" s="1310"/>
      <c r="AP38" s="1310"/>
      <c r="AQ38" s="1310"/>
      <c r="AR38" s="1310"/>
      <c r="AS38" s="1310"/>
      <c r="AT38" s="1310"/>
      <c r="AU38" s="1310"/>
      <c r="AV38" s="1310"/>
      <c r="AW38" s="1310"/>
      <c r="AX38" s="1310"/>
      <c r="AY38" s="1310"/>
      <c r="AZ38" s="1310"/>
      <c r="BA38" s="1310"/>
      <c r="BB38" s="1310"/>
      <c r="BC38" s="1310"/>
      <c r="BD38" s="1310"/>
      <c r="BE38" s="1310"/>
      <c r="BF38" s="874"/>
      <c r="BH38" s="192" t="s">
        <v>662</v>
      </c>
      <c r="BI38" s="192" t="s">
        <v>198</v>
      </c>
      <c r="BJ38" s="192" t="s">
        <v>199</v>
      </c>
      <c r="BK38" s="192" t="s">
        <v>200</v>
      </c>
      <c r="BO38" s="168"/>
      <c r="BP38" s="168"/>
      <c r="CA38" s="758">
        <v>36</v>
      </c>
      <c r="CB38" s="758" t="s">
        <v>1276</v>
      </c>
    </row>
    <row r="39" spans="1:80" ht="15" hidden="1" customHeight="1" x14ac:dyDescent="0.2">
      <c r="A39" s="874" t="str">
        <f>IF(Dados!$W$20=0,$BH$224,"")</f>
        <v>NÃO HOUVE</v>
      </c>
      <c r="B39" s="367"/>
      <c r="C39" s="367"/>
      <c r="D39" s="367"/>
      <c r="E39" s="367"/>
      <c r="F39" s="367"/>
      <c r="G39" s="367"/>
      <c r="H39" s="1305"/>
      <c r="I39" s="1305"/>
      <c r="J39" s="1305"/>
      <c r="K39" s="1305"/>
      <c r="L39" s="1305"/>
      <c r="M39" s="1305"/>
      <c r="N39" s="1305"/>
      <c r="O39" s="1305"/>
      <c r="P39" s="1305"/>
      <c r="Q39" s="1305"/>
      <c r="R39" s="1305"/>
      <c r="S39" s="1305"/>
      <c r="T39" s="1305"/>
      <c r="U39" s="1305"/>
      <c r="V39" s="1305"/>
      <c r="W39" s="1305" t="s">
        <v>181</v>
      </c>
      <c r="X39" s="1305"/>
      <c r="Y39" s="1305"/>
      <c r="Z39" s="1305"/>
      <c r="AA39" s="1305"/>
      <c r="AB39" s="1305"/>
      <c r="AC39" s="1305"/>
      <c r="AD39" s="1305"/>
      <c r="AE39" s="1305"/>
      <c r="AF39" s="1305" t="s">
        <v>182</v>
      </c>
      <c r="AG39" s="1305"/>
      <c r="AH39" s="1305"/>
      <c r="AI39" s="1305"/>
      <c r="AJ39" s="1305"/>
      <c r="AK39" s="1305"/>
      <c r="AL39" s="1305"/>
      <c r="AM39" s="1305"/>
      <c r="AN39" s="1305"/>
      <c r="AO39" s="1305" t="s">
        <v>440</v>
      </c>
      <c r="AP39" s="1305"/>
      <c r="AQ39" s="1305"/>
      <c r="AR39" s="1305"/>
      <c r="AS39" s="1305"/>
      <c r="AT39" s="1305"/>
      <c r="AU39" s="1305"/>
      <c r="AV39" s="1305"/>
      <c r="AW39" s="1305"/>
      <c r="AX39" s="367"/>
      <c r="AY39" s="367"/>
      <c r="AZ39" s="367"/>
      <c r="BA39" s="367"/>
      <c r="BB39" s="367"/>
      <c r="BC39" s="367"/>
      <c r="BD39" s="367"/>
      <c r="BE39" s="367"/>
      <c r="BF39" s="874"/>
      <c r="BH39" s="713" t="s">
        <v>736</v>
      </c>
      <c r="BI39" s="192" t="s">
        <v>31</v>
      </c>
      <c r="BJ39" s="192" t="s">
        <v>246</v>
      </c>
      <c r="BO39" s="168"/>
      <c r="BP39" s="168"/>
      <c r="CA39" s="758">
        <v>37</v>
      </c>
      <c r="CB39" s="758" t="s">
        <v>1277</v>
      </c>
    </row>
    <row r="40" spans="1:80" ht="15" hidden="1" customHeight="1" x14ac:dyDescent="0.2">
      <c r="A40" s="874" t="str">
        <f>IF(Dados!$W$20=0,$BH$224,"")</f>
        <v>NÃO HOUVE</v>
      </c>
      <c r="B40" s="367"/>
      <c r="C40" s="367"/>
      <c r="D40" s="367"/>
      <c r="E40" s="367"/>
      <c r="F40" s="367"/>
      <c r="G40" s="367"/>
      <c r="H40" s="1295" t="s">
        <v>1323</v>
      </c>
      <c r="I40" s="1296"/>
      <c r="J40" s="1296"/>
      <c r="K40" s="1296"/>
      <c r="L40" s="1296"/>
      <c r="M40" s="1296"/>
      <c r="N40" s="1296"/>
      <c r="O40" s="1296"/>
      <c r="P40" s="1296"/>
      <c r="Q40" s="1296"/>
      <c r="R40" s="1296"/>
      <c r="S40" s="1296"/>
      <c r="T40" s="1296"/>
      <c r="U40" s="1296"/>
      <c r="V40" s="1297"/>
      <c r="W40" s="1302" t="str">
        <f>Dados!$F$20</f>
        <v/>
      </c>
      <c r="X40" s="1302"/>
      <c r="Y40" s="1302"/>
      <c r="Z40" s="1302"/>
      <c r="AA40" s="1302"/>
      <c r="AB40" s="1302"/>
      <c r="AC40" s="1302"/>
      <c r="AD40" s="1302"/>
      <c r="AE40" s="1302"/>
      <c r="AF40" s="1308"/>
      <c r="AG40" s="1308"/>
      <c r="AH40" s="1308"/>
      <c r="AI40" s="1308"/>
      <c r="AJ40" s="1308"/>
      <c r="AK40" s="1308"/>
      <c r="AL40" s="1308"/>
      <c r="AM40" s="1308"/>
      <c r="AN40" s="1308"/>
      <c r="AO40" s="1298" t="e">
        <f>W40+AF40</f>
        <v>#VALUE!</v>
      </c>
      <c r="AP40" s="1298"/>
      <c r="AQ40" s="1298"/>
      <c r="AR40" s="1298"/>
      <c r="AS40" s="1298"/>
      <c r="AT40" s="1298"/>
      <c r="AU40" s="1298"/>
      <c r="AV40" s="1298"/>
      <c r="AW40" s="1298"/>
      <c r="AX40" s="367"/>
      <c r="AY40" s="367"/>
      <c r="AZ40" s="367"/>
      <c r="BA40" s="367"/>
      <c r="BB40" s="367"/>
      <c r="BC40" s="367"/>
      <c r="BD40" s="367"/>
      <c r="BE40" s="367"/>
      <c r="BF40" s="874"/>
      <c r="BH40" s="713" t="s">
        <v>735</v>
      </c>
      <c r="BO40" s="168"/>
      <c r="BP40" s="168"/>
      <c r="CA40" s="758">
        <v>38</v>
      </c>
      <c r="CB40" s="758" t="s">
        <v>1278</v>
      </c>
    </row>
    <row r="41" spans="1:80" ht="15" hidden="1" customHeight="1" x14ac:dyDescent="0.2">
      <c r="A41" s="874" t="str">
        <f>IF(Dados!$W$20=0,$BH$224,"")</f>
        <v>NÃO HOUVE</v>
      </c>
      <c r="B41" s="367"/>
      <c r="C41" s="367"/>
      <c r="D41" s="367"/>
      <c r="E41" s="367"/>
      <c r="F41" s="367"/>
      <c r="G41" s="367"/>
      <c r="H41" s="1295" t="s">
        <v>1326</v>
      </c>
      <c r="I41" s="1296"/>
      <c r="J41" s="1296"/>
      <c r="K41" s="1296"/>
      <c r="L41" s="1296"/>
      <c r="M41" s="1296"/>
      <c r="N41" s="1296"/>
      <c r="O41" s="1296"/>
      <c r="P41" s="1296"/>
      <c r="Q41" s="1296"/>
      <c r="R41" s="1296"/>
      <c r="S41" s="1296"/>
      <c r="T41" s="1296"/>
      <c r="U41" s="1296"/>
      <c r="V41" s="1297"/>
      <c r="W41" s="1302" t="str">
        <f>Dados!$F$18</f>
        <v/>
      </c>
      <c r="X41" s="1302"/>
      <c r="Y41" s="1302"/>
      <c r="Z41" s="1302"/>
      <c r="AA41" s="1302"/>
      <c r="AB41" s="1302"/>
      <c r="AC41" s="1302"/>
      <c r="AD41" s="1302"/>
      <c r="AE41" s="1302"/>
      <c r="AF41" s="1308"/>
      <c r="AG41" s="1308"/>
      <c r="AH41" s="1308"/>
      <c r="AI41" s="1308"/>
      <c r="AJ41" s="1308"/>
      <c r="AK41" s="1308"/>
      <c r="AL41" s="1308"/>
      <c r="AM41" s="1308"/>
      <c r="AN41" s="1308"/>
      <c r="AO41" s="1298" t="e">
        <f>W41+AF41</f>
        <v>#VALUE!</v>
      </c>
      <c r="AP41" s="1298"/>
      <c r="AQ41" s="1298"/>
      <c r="AR41" s="1298"/>
      <c r="AS41" s="1298"/>
      <c r="AT41" s="1298"/>
      <c r="AU41" s="1298"/>
      <c r="AV41" s="1298"/>
      <c r="AW41" s="1298"/>
      <c r="AX41" s="367"/>
      <c r="AY41" s="367"/>
      <c r="AZ41" s="367"/>
      <c r="BA41" s="367"/>
      <c r="BB41" s="367"/>
      <c r="BC41" s="367"/>
      <c r="BD41" s="367"/>
      <c r="BE41" s="367"/>
      <c r="BF41" s="874"/>
      <c r="BG41" s="192" t="s">
        <v>1321</v>
      </c>
      <c r="BH41" s="713" t="s">
        <v>1329</v>
      </c>
      <c r="BO41" s="168"/>
      <c r="BP41" s="168"/>
      <c r="CA41" s="758">
        <v>39</v>
      </c>
      <c r="CB41" s="758" t="s">
        <v>1279</v>
      </c>
    </row>
    <row r="42" spans="1:80" ht="15" hidden="1" customHeight="1" x14ac:dyDescent="0.2">
      <c r="A42" s="874" t="str">
        <f>IF(Dados!$W$20=0,$BH$224,"")</f>
        <v>NÃO HOUVE</v>
      </c>
      <c r="B42" s="367"/>
      <c r="C42" s="367"/>
      <c r="D42" s="367"/>
      <c r="E42" s="367"/>
      <c r="F42" s="367"/>
      <c r="G42" s="367"/>
      <c r="H42" s="1295" t="s">
        <v>1325</v>
      </c>
      <c r="I42" s="1296"/>
      <c r="J42" s="1296"/>
      <c r="K42" s="1296"/>
      <c r="L42" s="1296"/>
      <c r="M42" s="1296"/>
      <c r="N42" s="1296"/>
      <c r="O42" s="1296"/>
      <c r="P42" s="1296"/>
      <c r="Q42" s="1296"/>
      <c r="R42" s="1296"/>
      <c r="S42" s="1296"/>
      <c r="T42" s="1296"/>
      <c r="U42" s="1296"/>
      <c r="V42" s="1297"/>
      <c r="W42" s="1302" t="str">
        <f>IF(Dados!$E$3="","",MOD_2_volta_aulas!$P$15)</f>
        <v/>
      </c>
      <c r="X42" s="1302"/>
      <c r="Y42" s="1302"/>
      <c r="Z42" s="1302"/>
      <c r="AA42" s="1302"/>
      <c r="AB42" s="1302"/>
      <c r="AC42" s="1302"/>
      <c r="AD42" s="1302"/>
      <c r="AE42" s="1302"/>
      <c r="AF42" s="1308"/>
      <c r="AG42" s="1308"/>
      <c r="AH42" s="1308"/>
      <c r="AI42" s="1308"/>
      <c r="AJ42" s="1308"/>
      <c r="AK42" s="1308"/>
      <c r="AL42" s="1308"/>
      <c r="AM42" s="1308"/>
      <c r="AN42" s="1308"/>
      <c r="AO42" s="1298" t="e">
        <f>W42+AF42</f>
        <v>#VALUE!</v>
      </c>
      <c r="AP42" s="1298"/>
      <c r="AQ42" s="1298"/>
      <c r="AR42" s="1298"/>
      <c r="AS42" s="1298"/>
      <c r="AT42" s="1298"/>
      <c r="AU42" s="1298"/>
      <c r="AV42" s="1298"/>
      <c r="AW42" s="1298"/>
      <c r="AX42" s="367"/>
      <c r="AY42" s="367"/>
      <c r="AZ42" s="367"/>
      <c r="BA42" s="367"/>
      <c r="BB42" s="367"/>
      <c r="BC42" s="367"/>
      <c r="BD42" s="367"/>
      <c r="BE42" s="367"/>
      <c r="BF42" s="874"/>
      <c r="BH42" s="713" t="s">
        <v>1328</v>
      </c>
      <c r="BO42" s="168"/>
      <c r="BP42" s="168"/>
      <c r="CA42" s="758">
        <v>40</v>
      </c>
      <c r="CB42" s="758" t="s">
        <v>1280</v>
      </c>
    </row>
    <row r="43" spans="1:80" ht="15" hidden="1" customHeight="1" x14ac:dyDescent="0.2">
      <c r="A43" s="874" t="str">
        <f>IF(Dados!$W$20=0,$BH$224,"")</f>
        <v>NÃO HOUVE</v>
      </c>
      <c r="B43" s="367"/>
      <c r="C43" s="367"/>
      <c r="D43" s="367"/>
      <c r="E43" s="367"/>
      <c r="F43" s="367"/>
      <c r="G43" s="367"/>
      <c r="H43" s="1295" t="s">
        <v>1324</v>
      </c>
      <c r="I43" s="1296"/>
      <c r="J43" s="1296"/>
      <c r="K43" s="1296"/>
      <c r="L43" s="1296"/>
      <c r="M43" s="1296"/>
      <c r="N43" s="1296"/>
      <c r="O43" s="1296"/>
      <c r="P43" s="1296"/>
      <c r="Q43" s="1296"/>
      <c r="R43" s="1296"/>
      <c r="S43" s="1296"/>
      <c r="T43" s="1296"/>
      <c r="U43" s="1296"/>
      <c r="V43" s="1297"/>
      <c r="W43" s="1298" t="e">
        <f>SUM(W40:AE41)-W42</f>
        <v>#VALUE!</v>
      </c>
      <c r="X43" s="1298"/>
      <c r="Y43" s="1298"/>
      <c r="Z43" s="1298"/>
      <c r="AA43" s="1298"/>
      <c r="AB43" s="1298"/>
      <c r="AC43" s="1298"/>
      <c r="AD43" s="1298"/>
      <c r="AE43" s="1298"/>
      <c r="AF43" s="1311"/>
      <c r="AG43" s="1311"/>
      <c r="AH43" s="1311"/>
      <c r="AI43" s="1311"/>
      <c r="AJ43" s="1311"/>
      <c r="AK43" s="1311"/>
      <c r="AL43" s="1311"/>
      <c r="AM43" s="1311"/>
      <c r="AN43" s="1311"/>
      <c r="AO43" s="1298" t="e">
        <f>W43+AF43</f>
        <v>#VALUE!</v>
      </c>
      <c r="AP43" s="1298"/>
      <c r="AQ43" s="1298"/>
      <c r="AR43" s="1298"/>
      <c r="AS43" s="1298"/>
      <c r="AT43" s="1298"/>
      <c r="AU43" s="1298"/>
      <c r="AV43" s="1298"/>
      <c r="AW43" s="1298"/>
      <c r="AX43" s="367"/>
      <c r="AY43" s="367"/>
      <c r="AZ43" s="367"/>
      <c r="BA43" s="367"/>
      <c r="BB43" s="367"/>
      <c r="BC43" s="367"/>
      <c r="BD43" s="367"/>
      <c r="BE43" s="367"/>
      <c r="BF43" s="874"/>
      <c r="BO43" s="168"/>
      <c r="BP43" s="168"/>
      <c r="CA43" s="758">
        <v>41</v>
      </c>
      <c r="CB43" s="758" t="s">
        <v>1281</v>
      </c>
    </row>
    <row r="44" spans="1:80" ht="9.75" hidden="1" customHeight="1" x14ac:dyDescent="0.2">
      <c r="A44" s="889" t="str">
        <f>IF(Dados!$W$20=0,$BH$224,"")</f>
        <v>NÃO HOUVE</v>
      </c>
      <c r="B44" s="1310"/>
      <c r="C44" s="1310"/>
      <c r="D44" s="1310"/>
      <c r="E44" s="1310"/>
      <c r="F44" s="1310"/>
      <c r="G44" s="1310"/>
      <c r="H44" s="1310"/>
      <c r="I44" s="1310"/>
      <c r="J44" s="1310"/>
      <c r="K44" s="1310"/>
      <c r="L44" s="1310"/>
      <c r="M44" s="1310"/>
      <c r="N44" s="1310"/>
      <c r="O44" s="1310"/>
      <c r="P44" s="1310"/>
      <c r="Q44" s="1310"/>
      <c r="R44" s="1310"/>
      <c r="S44" s="1310"/>
      <c r="T44" s="1310"/>
      <c r="U44" s="1310"/>
      <c r="V44" s="1310"/>
      <c r="W44" s="1310"/>
      <c r="X44" s="1310"/>
      <c r="Y44" s="1310"/>
      <c r="Z44" s="1310"/>
      <c r="AA44" s="1310"/>
      <c r="AB44" s="1310"/>
      <c r="AC44" s="1310"/>
      <c r="AD44" s="1310"/>
      <c r="AE44" s="1310"/>
      <c r="AF44" s="1310"/>
      <c r="AG44" s="1310"/>
      <c r="AH44" s="1310"/>
      <c r="AI44" s="1310"/>
      <c r="AJ44" s="1310"/>
      <c r="AK44" s="1310"/>
      <c r="AL44" s="1310"/>
      <c r="AM44" s="1310"/>
      <c r="AN44" s="1310"/>
      <c r="AO44" s="1310"/>
      <c r="AP44" s="1310"/>
      <c r="AQ44" s="1310"/>
      <c r="AR44" s="1310"/>
      <c r="AS44" s="1310"/>
      <c r="AT44" s="1310"/>
      <c r="AU44" s="1310"/>
      <c r="AV44" s="1310"/>
      <c r="AW44" s="1310"/>
      <c r="AX44" s="1310"/>
      <c r="AY44" s="1310"/>
      <c r="AZ44" s="1310"/>
      <c r="BA44" s="1310"/>
      <c r="BB44" s="1310"/>
      <c r="BC44" s="1310"/>
      <c r="BD44" s="1310"/>
      <c r="BE44" s="1310"/>
      <c r="BF44" s="874"/>
      <c r="BO44" s="168"/>
      <c r="BP44" s="168"/>
      <c r="CA44" s="758">
        <v>42</v>
      </c>
      <c r="CB44" s="758" t="s">
        <v>1282</v>
      </c>
    </row>
    <row r="45" spans="1:80" ht="16.5" hidden="1" customHeight="1" x14ac:dyDescent="0.2">
      <c r="A45" s="885" t="str">
        <f>IF(Dados!$W$20=0,$BH$224,"")</f>
        <v>NÃO HOUVE</v>
      </c>
      <c r="B45" s="1299" t="str">
        <f>IF($W$42=0,$BH$41,$BH$39)</f>
        <v>- As aquisições com os recursos de custeio foram da ordem de</v>
      </c>
      <c r="C45" s="1299"/>
      <c r="D45" s="1299"/>
      <c r="E45" s="1299"/>
      <c r="F45" s="1299"/>
      <c r="G45" s="1299"/>
      <c r="H45" s="1299"/>
      <c r="I45" s="1299"/>
      <c r="J45" s="1299"/>
      <c r="K45" s="1299"/>
      <c r="L45" s="1299"/>
      <c r="M45" s="1299"/>
      <c r="N45" s="1299"/>
      <c r="O45" s="1299"/>
      <c r="P45" s="1299"/>
      <c r="Q45" s="1299"/>
      <c r="R45" s="1299"/>
      <c r="S45" s="1299"/>
      <c r="T45" s="1299"/>
      <c r="U45" s="1299"/>
      <c r="V45" s="1299"/>
      <c r="W45" s="1299"/>
      <c r="X45" s="1299"/>
      <c r="Y45" s="1299"/>
      <c r="Z45" s="1299"/>
      <c r="AA45" s="1299"/>
      <c r="AB45" s="1299"/>
      <c r="AC45" s="1299"/>
      <c r="AD45" s="1299"/>
      <c r="AE45" s="1299"/>
      <c r="AF45" s="1299"/>
      <c r="AG45" s="1300" t="str">
        <f>IF($W$42=0,"",$W$42)</f>
        <v/>
      </c>
      <c r="AH45" s="1300"/>
      <c r="AI45" s="1300"/>
      <c r="AJ45" s="1300"/>
      <c r="AK45" s="1300"/>
      <c r="AL45" s="1300"/>
      <c r="AM45" s="1300"/>
      <c r="AN45" s="1300"/>
      <c r="AO45" s="1300"/>
      <c r="AP45" s="1300"/>
      <c r="AQ45" s="1289" t="str">
        <f>IF($W$42&gt;0,$BI$39,"")</f>
        <v>e relacionadas a seguir:</v>
      </c>
      <c r="AR45" s="1289"/>
      <c r="AS45" s="1289"/>
      <c r="AT45" s="1289"/>
      <c r="AU45" s="1289"/>
      <c r="AV45" s="1289"/>
      <c r="AW45" s="1289"/>
      <c r="AX45" s="1289"/>
      <c r="AY45" s="1289"/>
      <c r="AZ45" s="1289"/>
      <c r="BA45" s="1289"/>
      <c r="BB45" s="1289"/>
      <c r="BC45" s="1289"/>
      <c r="BD45" s="1289"/>
      <c r="BE45" s="681"/>
      <c r="BF45" s="874"/>
      <c r="BH45" s="57" t="s">
        <v>1300</v>
      </c>
      <c r="BK45" s="57" t="s">
        <v>514</v>
      </c>
      <c r="BO45" s="168"/>
      <c r="BP45" s="168"/>
      <c r="CA45" s="758">
        <v>43</v>
      </c>
      <c r="CB45" s="758" t="s">
        <v>1283</v>
      </c>
    </row>
    <row r="46" spans="1:80" ht="35.25" hidden="1" customHeight="1" x14ac:dyDescent="0.2">
      <c r="A46" s="885" t="str">
        <f>IF(Dados!$W$20=0,$BH$224,IF($W$42=0,$BH$224,IF($B$46&gt;0,"Aumente ou diminua a altura da linha 46")))</f>
        <v>NÃO HOUVE</v>
      </c>
      <c r="B46" s="1290" t="str">
        <f>IF(Despesas!$FC$1=0,"",Despesas!$FC$1)</f>
        <v/>
      </c>
      <c r="C46" s="1290"/>
      <c r="D46" s="1290"/>
      <c r="E46" s="1290"/>
      <c r="F46" s="1290"/>
      <c r="G46" s="1290"/>
      <c r="H46" s="1290"/>
      <c r="I46" s="1290"/>
      <c r="J46" s="1290"/>
      <c r="K46" s="1290"/>
      <c r="L46" s="1290"/>
      <c r="M46" s="1290"/>
      <c r="N46" s="1290"/>
      <c r="O46" s="1290"/>
      <c r="P46" s="1290"/>
      <c r="Q46" s="1290"/>
      <c r="R46" s="1290"/>
      <c r="S46" s="1290"/>
      <c r="T46" s="1290"/>
      <c r="U46" s="1290"/>
      <c r="V46" s="1290"/>
      <c r="W46" s="1290"/>
      <c r="X46" s="1290"/>
      <c r="Y46" s="1290"/>
      <c r="Z46" s="1290"/>
      <c r="AA46" s="1290"/>
      <c r="AB46" s="1290"/>
      <c r="AC46" s="1290"/>
      <c r="AD46" s="1290"/>
      <c r="AE46" s="1290"/>
      <c r="AF46" s="1290"/>
      <c r="AG46" s="1290"/>
      <c r="AH46" s="1290"/>
      <c r="AI46" s="1290"/>
      <c r="AJ46" s="1290"/>
      <c r="AK46" s="1290"/>
      <c r="AL46" s="1290"/>
      <c r="AM46" s="1290"/>
      <c r="AN46" s="1290"/>
      <c r="AO46" s="1290"/>
      <c r="AP46" s="1290"/>
      <c r="AQ46" s="1290"/>
      <c r="AR46" s="1290"/>
      <c r="AS46" s="1290"/>
      <c r="AT46" s="1290"/>
      <c r="AU46" s="1290"/>
      <c r="AV46" s="1290"/>
      <c r="AW46" s="1290"/>
      <c r="AX46" s="1290"/>
      <c r="AY46" s="1290"/>
      <c r="AZ46" s="1290"/>
      <c r="BA46" s="1290"/>
      <c r="BB46" s="1290"/>
      <c r="BC46" s="1290"/>
      <c r="BD46" s="1290"/>
      <c r="BE46" s="1290"/>
      <c r="BF46" s="874"/>
      <c r="BH46" s="57" t="s">
        <v>1301</v>
      </c>
      <c r="BK46" s="192" t="s">
        <v>1308</v>
      </c>
      <c r="BO46" s="168"/>
      <c r="BP46" s="168"/>
      <c r="CA46" s="758">
        <v>44</v>
      </c>
      <c r="CB46" s="57" t="s">
        <v>1284</v>
      </c>
    </row>
    <row r="47" spans="1:80" ht="35.25" hidden="1" customHeight="1" x14ac:dyDescent="0.2">
      <c r="A47" s="885" t="str">
        <f>IF(Dados!$W$20=0,$BH$224,IF($W$42=0,$BH$224,IF($B$47="","Observações se houverem","Aumente ou diminua a altura da linha 47")))</f>
        <v>NÃO HOUVE</v>
      </c>
      <c r="B47" s="1291" t="s">
        <v>1322</v>
      </c>
      <c r="C47" s="1292"/>
      <c r="D47" s="1292"/>
      <c r="E47" s="1292"/>
      <c r="F47" s="1292"/>
      <c r="G47" s="1292"/>
      <c r="H47" s="1292"/>
      <c r="I47" s="1292"/>
      <c r="J47" s="1292"/>
      <c r="K47" s="1292"/>
      <c r="L47" s="1292"/>
      <c r="M47" s="1292"/>
      <c r="N47" s="1292"/>
      <c r="O47" s="1292"/>
      <c r="P47" s="1292"/>
      <c r="Q47" s="1292"/>
      <c r="R47" s="1292"/>
      <c r="S47" s="1292"/>
      <c r="T47" s="1292"/>
      <c r="U47" s="1292"/>
      <c r="V47" s="1292"/>
      <c r="W47" s="1292"/>
      <c r="X47" s="1292"/>
      <c r="Y47" s="1292"/>
      <c r="Z47" s="1292"/>
      <c r="AA47" s="1292"/>
      <c r="AB47" s="1292"/>
      <c r="AC47" s="1292"/>
      <c r="AD47" s="1292"/>
      <c r="AE47" s="1292"/>
      <c r="AF47" s="1292"/>
      <c r="AG47" s="1292"/>
      <c r="AH47" s="1292"/>
      <c r="AI47" s="1292"/>
      <c r="AJ47" s="1292"/>
      <c r="AK47" s="1292"/>
      <c r="AL47" s="1292"/>
      <c r="AM47" s="1292"/>
      <c r="AN47" s="1292"/>
      <c r="AO47" s="1292"/>
      <c r="AP47" s="1292"/>
      <c r="AQ47" s="1292"/>
      <c r="AR47" s="1292"/>
      <c r="AS47" s="1292"/>
      <c r="AT47" s="1292"/>
      <c r="AU47" s="1292"/>
      <c r="AV47" s="1292"/>
      <c r="AW47" s="1292"/>
      <c r="AX47" s="1292"/>
      <c r="AY47" s="1292"/>
      <c r="AZ47" s="1292"/>
      <c r="BA47" s="1292"/>
      <c r="BB47" s="1292"/>
      <c r="BC47" s="1292"/>
      <c r="BD47" s="1292"/>
      <c r="BE47" s="1292"/>
      <c r="BF47" s="874"/>
      <c r="BH47" s="57" t="s">
        <v>1302</v>
      </c>
      <c r="BK47" s="57" t="s">
        <v>494</v>
      </c>
      <c r="BO47" s="168"/>
      <c r="BP47" s="168"/>
      <c r="CA47" s="758">
        <v>45</v>
      </c>
      <c r="CB47" s="758" t="s">
        <v>1285</v>
      </c>
    </row>
    <row r="48" spans="1:80" ht="15" hidden="1" customHeight="1" x14ac:dyDescent="0.2">
      <c r="A48" s="894" t="str">
        <f>IF(AND($A$49=$BK$46,$A$50=$BK$46),$BK$46,$BK$47)</f>
        <v>NÃO HOUVE</v>
      </c>
      <c r="B48" s="1293"/>
      <c r="C48" s="1293"/>
      <c r="D48" s="1293"/>
      <c r="E48" s="1293"/>
      <c r="F48" s="1293"/>
      <c r="G48" s="1293"/>
      <c r="H48" s="1293"/>
      <c r="I48" s="1293"/>
      <c r="J48" s="1293"/>
      <c r="K48" s="1293"/>
      <c r="L48" s="1293"/>
      <c r="M48" s="1293"/>
      <c r="N48" s="1293"/>
      <c r="O48" s="1293"/>
      <c r="P48" s="1293"/>
      <c r="Q48" s="1293"/>
      <c r="R48" s="1293"/>
      <c r="S48" s="1293"/>
      <c r="T48" s="1293"/>
      <c r="U48" s="1293"/>
      <c r="V48" s="1293"/>
      <c r="W48" s="1293"/>
      <c r="X48" s="1293"/>
      <c r="Y48" s="1293"/>
      <c r="Z48" s="1293"/>
      <c r="AA48" s="1293"/>
      <c r="AB48" s="1293"/>
      <c r="AC48" s="1293"/>
      <c r="AD48" s="1293"/>
      <c r="AE48" s="1293"/>
      <c r="AF48" s="1293"/>
      <c r="AG48" s="1293"/>
      <c r="AH48" s="1293"/>
      <c r="AI48" s="1293"/>
      <c r="AJ48" s="1293"/>
      <c r="AK48" s="1293"/>
      <c r="AL48" s="1293"/>
      <c r="AM48" s="1293"/>
      <c r="AN48" s="1293"/>
      <c r="AO48" s="1293"/>
      <c r="AP48" s="1293"/>
      <c r="AQ48" s="1293"/>
      <c r="AR48" s="1293"/>
      <c r="AS48" s="1293"/>
      <c r="AT48" s="1293"/>
      <c r="AU48" s="1293"/>
      <c r="AV48" s="1293"/>
      <c r="AW48" s="1293"/>
      <c r="AX48" s="1293"/>
      <c r="AY48" s="1293"/>
      <c r="AZ48" s="1293"/>
      <c r="BA48" s="1293"/>
      <c r="BB48" s="1293"/>
      <c r="BC48" s="1293"/>
      <c r="BD48" s="1293"/>
      <c r="BE48" s="1293"/>
      <c r="BF48" s="874"/>
      <c r="BO48" s="168"/>
      <c r="BP48" s="168"/>
      <c r="CA48" s="758">
        <v>46</v>
      </c>
      <c r="CB48" s="758" t="s">
        <v>1286</v>
      </c>
    </row>
    <row r="49" spans="1:80" ht="18.75" hidden="1" customHeight="1" x14ac:dyDescent="0.2">
      <c r="A49" s="887" t="str">
        <f>IF(Dados!$W$20=0,$BH$224,IF(AND($BI$69=0,$BJ$69=0),$BH$224,IF(AND($BI$69&gt;0,$BJ$69=0),$BH$226,IF(AND($BI$69=0,$BJ$69&gt;0),$BH$227,IF(AND($BI$69&gt;0,$BJ$69&gt;0),$BH$228)))))</f>
        <v>NÃO HOUVE</v>
      </c>
      <c r="B49" s="1286" t="str">
        <f>IF(AND($BI$69=0,$BJ$69=0),"",$BG$72)</f>
        <v/>
      </c>
      <c r="C49" s="1286"/>
      <c r="D49" s="1286"/>
      <c r="E49" s="1286"/>
      <c r="F49" s="1286"/>
      <c r="G49" s="1286"/>
      <c r="H49" s="1286"/>
      <c r="I49" s="1286"/>
      <c r="J49" s="1286"/>
      <c r="K49" s="1286"/>
      <c r="L49" s="1286"/>
      <c r="M49" s="1286"/>
      <c r="N49" s="1286"/>
      <c r="O49" s="1286"/>
      <c r="P49" s="1286"/>
      <c r="Q49" s="1286"/>
      <c r="R49" s="1294" t="str">
        <f>IF(AND($BI$69=0,$BJ$69=0),"",IF(AND($BI$69=0,$BJ$69&gt;0),"",IF(AND($BI$69&gt;0,$BJ$69=0),$BI$69,IF(AND($BI$69&gt;0,$BJ$69&gt;0),$BI$69))))</f>
        <v/>
      </c>
      <c r="S49" s="1294"/>
      <c r="T49" s="1294"/>
      <c r="U49" s="1294"/>
      <c r="V49" s="1294"/>
      <c r="W49" s="1294"/>
      <c r="X49" s="1294"/>
      <c r="Y49" s="1288" t="str">
        <f>IF(AND($BI$69=0,$BJ$69=0),"",IF(AND($BI$69=0,$BJ$69&gt;0),"",IF(AND($BI$69&gt;0,$BJ$69=0),$BI$70,IF(AND($BI$69&gt;0,$BJ$69&gt;0),$BI$70))))</f>
        <v/>
      </c>
      <c r="Z49" s="1288"/>
      <c r="AA49" s="1288"/>
      <c r="AB49" s="1288"/>
      <c r="AC49" s="1288"/>
      <c r="AD49" s="1288"/>
      <c r="AE49" s="1288"/>
      <c r="AF49" s="1288"/>
      <c r="AG49" s="1288"/>
      <c r="AH49" s="1288"/>
      <c r="AI49" s="1288"/>
      <c r="AJ49" s="1288"/>
      <c r="AK49" s="1288"/>
      <c r="AL49" s="1294" t="str">
        <f>IF(AND($BI$69=0,$BJ$69=0),"",IF(AND($BI$69=0,$BJ$69&gt;0),$BJ$69,IF(AND($BI$69&gt;0,$BJ$69=0),"",IF(AND($BI$69&gt;0,$BJ$69&gt;0),$BJ$69))))</f>
        <v/>
      </c>
      <c r="AM49" s="1294"/>
      <c r="AN49" s="1294"/>
      <c r="AO49" s="1294"/>
      <c r="AP49" s="1294"/>
      <c r="AQ49" s="1294"/>
      <c r="AR49" s="1294"/>
      <c r="AS49" s="1289" t="str">
        <f>IF(AND($BI$69=0,$BJ$69=0),"",IF(AND($BI$69=0,$BJ$69&gt;0),$BJ$70,IF(AND($BI$69&gt;0,$BJ$69=0),"",IF(AND($BI$69&gt;0,$BJ$69&gt;0),$BJ$70))))</f>
        <v/>
      </c>
      <c r="AT49" s="1289"/>
      <c r="AU49" s="1289"/>
      <c r="AV49" s="1289"/>
      <c r="AW49" s="1289"/>
      <c r="AX49" s="1289"/>
      <c r="AY49" s="1289"/>
      <c r="AZ49" s="1289"/>
      <c r="BA49" s="1289"/>
      <c r="BB49" s="1289"/>
      <c r="BC49" s="1289"/>
      <c r="BD49" s="1289"/>
      <c r="BE49" s="1289"/>
      <c r="BF49" s="874"/>
      <c r="BO49" s="168"/>
      <c r="BP49" s="168"/>
      <c r="CA49" s="758">
        <v>47</v>
      </c>
      <c r="CB49" s="758" t="s">
        <v>1287</v>
      </c>
    </row>
    <row r="50" spans="1:80" ht="18.75" hidden="1" customHeight="1" x14ac:dyDescent="0.2">
      <c r="A50" s="887" t="str">
        <f>IF(Dados!$W$20=0,$BH$224,IF(AND($BI$66=0,$BJ$66=0),$BH$224,IF(AND($BI$66&gt;0,$BJ$66=0),$BH$226,IF(AND($BI$66=0,$BJ$66&gt;0),$BH$227,IF(AND($BI$66&gt;0,$BJ$66&gt;0),$BH$228)))))</f>
        <v>NÃO HOUVE</v>
      </c>
      <c r="B50" s="1286" t="str">
        <f>IF(OR($A$50=$BH$224,$A$50=$BH$225),"",$BG$72)</f>
        <v/>
      </c>
      <c r="C50" s="1286"/>
      <c r="D50" s="1286"/>
      <c r="E50" s="1286"/>
      <c r="F50" s="1286"/>
      <c r="G50" s="1286"/>
      <c r="H50" s="1286"/>
      <c r="I50" s="1286"/>
      <c r="J50" s="1286"/>
      <c r="K50" s="1286"/>
      <c r="L50" s="1286"/>
      <c r="M50" s="1286"/>
      <c r="N50" s="1286"/>
      <c r="O50" s="1286"/>
      <c r="P50" s="1286"/>
      <c r="Q50" s="1286"/>
      <c r="R50" s="1294" t="e">
        <f>IF(AND($BI$66=0,$BJ$66=0),"",IF(AND($BI$66=0,$BJ$66&gt;0),$BJ$66,IF(AND($BI$66&gt;0,$BJ$66=0),$BI$66,IF(AND($BI$66&gt;0,$BJ$66&gt;0),$BI$66))))</f>
        <v>#VALUE!</v>
      </c>
      <c r="S50" s="1294"/>
      <c r="T50" s="1294"/>
      <c r="U50" s="1294"/>
      <c r="V50" s="1294"/>
      <c r="W50" s="1294"/>
      <c r="X50" s="1294"/>
      <c r="Y50" s="1288" t="str">
        <f>IF(OR($A$50=$BH$224,$A$50=$BH$225),"",IF($A$50=$BH$226,$BH$45,IF($A$50=$BH$227,"",IF($A$50=$BH$228,$BH$46))))</f>
        <v/>
      </c>
      <c r="Z50" s="1288"/>
      <c r="AA50" s="1288"/>
      <c r="AB50" s="1288"/>
      <c r="AC50" s="1288"/>
      <c r="AD50" s="1288"/>
      <c r="AE50" s="1288"/>
      <c r="AF50" s="1288"/>
      <c r="AG50" s="1288"/>
      <c r="AH50" s="1288"/>
      <c r="AI50" s="1288"/>
      <c r="AJ50" s="1288"/>
      <c r="AK50" s="1288"/>
      <c r="AL50" s="1294" t="e">
        <f>IF(AND($BI$66=0,$BJ$66=0),"",IF(AND($BI$66=0,$BJ$66&gt;0),"",IF(AND($BI$66&gt;0,$BJ$66=0),"",IF(AND($BI$66&gt;0,$BJ$66&gt;0),$BJ$66))))</f>
        <v>#VALUE!</v>
      </c>
      <c r="AM50" s="1294"/>
      <c r="AN50" s="1294"/>
      <c r="AO50" s="1294"/>
      <c r="AP50" s="1294"/>
      <c r="AQ50" s="1294"/>
      <c r="AR50" s="1294"/>
      <c r="AS50" s="1289" t="str">
        <f>IF(OR($A$50=$BH$224,$A$50=$BH$225,$A$50=$BH$226),"",$BH$47)</f>
        <v/>
      </c>
      <c r="AT50" s="1289"/>
      <c r="AU50" s="1289"/>
      <c r="AV50" s="1289"/>
      <c r="AW50" s="1289"/>
      <c r="AX50" s="1289"/>
      <c r="AY50" s="1289"/>
      <c r="AZ50" s="1289"/>
      <c r="BA50" s="1289"/>
      <c r="BB50" s="1289"/>
      <c r="BC50" s="1289"/>
      <c r="BD50" s="1289"/>
      <c r="BE50" s="1289"/>
      <c r="BF50" s="874"/>
      <c r="BG50" s="57" t="s">
        <v>186</v>
      </c>
      <c r="BO50" s="168"/>
      <c r="BP50" s="168"/>
      <c r="CA50" s="758">
        <v>48</v>
      </c>
      <c r="CB50" s="758" t="s">
        <v>1288</v>
      </c>
    </row>
    <row r="51" spans="1:80" ht="18.600000000000001" customHeight="1" x14ac:dyDescent="0.2">
      <c r="A51" s="970" t="s">
        <v>1386</v>
      </c>
      <c r="B51" s="1286" t="str">
        <f>IF($A$51=$BH$230,"",$BG$72)</f>
        <v/>
      </c>
      <c r="C51" s="1286"/>
      <c r="D51" s="1286"/>
      <c r="E51" s="1286"/>
      <c r="F51" s="1286"/>
      <c r="G51" s="1286"/>
      <c r="H51" s="1286"/>
      <c r="I51" s="1286"/>
      <c r="J51" s="1286"/>
      <c r="K51" s="1286"/>
      <c r="L51" s="1286"/>
      <c r="M51" s="1286"/>
      <c r="N51" s="1286"/>
      <c r="O51" s="1286"/>
      <c r="P51" s="1286"/>
      <c r="Q51" s="1286"/>
      <c r="R51" s="1287"/>
      <c r="S51" s="1287"/>
      <c r="T51" s="1287"/>
      <c r="U51" s="1287"/>
      <c r="V51" s="1287"/>
      <c r="W51" s="1287"/>
      <c r="X51" s="1287"/>
      <c r="Y51" s="1288" t="str">
        <f>IF($A$51=$BH$230,"",IF($A$51=$BH$226,$BH$45,IF($A$51=$BH$227,"",IF($A$51=$BH$228,$BH$46))))</f>
        <v/>
      </c>
      <c r="Z51" s="1288"/>
      <c r="AA51" s="1288"/>
      <c r="AB51" s="1288"/>
      <c r="AC51" s="1288"/>
      <c r="AD51" s="1288"/>
      <c r="AE51" s="1288"/>
      <c r="AF51" s="1288"/>
      <c r="AG51" s="1288"/>
      <c r="AH51" s="1288"/>
      <c r="AI51" s="1288"/>
      <c r="AJ51" s="1288"/>
      <c r="AK51" s="1288"/>
      <c r="AL51" s="1287"/>
      <c r="AM51" s="1287"/>
      <c r="AN51" s="1287"/>
      <c r="AO51" s="1287"/>
      <c r="AP51" s="1287"/>
      <c r="AQ51" s="1287"/>
      <c r="AR51" s="1287"/>
      <c r="AS51" s="1289" t="str">
        <f>IF(OR($A$51=$BH$230,$A$51=$BH$231),"",$BH$47)</f>
        <v/>
      </c>
      <c r="AT51" s="1289"/>
      <c r="AU51" s="1289"/>
      <c r="AV51" s="1289"/>
      <c r="AW51" s="1289"/>
      <c r="AX51" s="1289"/>
      <c r="AY51" s="1289"/>
      <c r="AZ51" s="1289"/>
      <c r="BA51" s="1289"/>
      <c r="BB51" s="1289"/>
      <c r="BC51" s="1289"/>
      <c r="BD51" s="1289"/>
      <c r="BE51" s="1289"/>
      <c r="BF51" s="874"/>
      <c r="BO51" s="969"/>
      <c r="BP51" s="969"/>
      <c r="CA51" s="969"/>
      <c r="CB51" s="969"/>
    </row>
    <row r="52" spans="1:80" ht="44.25" hidden="1" customHeight="1" x14ac:dyDescent="0.2">
      <c r="A52" s="895" t="str">
        <f>IF(AND($A$49=$BH$224,$A$50=$BH$224,$A$51=$BH$230),$BH$224,$BH$221)</f>
        <v>NÃO HOUVE</v>
      </c>
      <c r="B52" s="1274" t="s">
        <v>12309</v>
      </c>
      <c r="C52" s="1274"/>
      <c r="D52" s="1274"/>
      <c r="E52" s="1274"/>
      <c r="F52" s="1274"/>
      <c r="G52" s="1274"/>
      <c r="H52" s="1274"/>
      <c r="I52" s="1274"/>
      <c r="J52" s="1274"/>
      <c r="K52" s="1274"/>
      <c r="L52" s="1274"/>
      <c r="M52" s="1274"/>
      <c r="N52" s="1274"/>
      <c r="O52" s="1274"/>
      <c r="P52" s="1274"/>
      <c r="Q52" s="1274"/>
      <c r="R52" s="1274"/>
      <c r="S52" s="1274"/>
      <c r="T52" s="1274"/>
      <c r="U52" s="1274"/>
      <c r="V52" s="1274"/>
      <c r="W52" s="1274"/>
      <c r="X52" s="1274"/>
      <c r="Y52" s="1274"/>
      <c r="Z52" s="1274"/>
      <c r="AA52" s="1274"/>
      <c r="AB52" s="1274"/>
      <c r="AC52" s="1274"/>
      <c r="AD52" s="1274"/>
      <c r="AE52" s="1274"/>
      <c r="AF52" s="1274"/>
      <c r="AG52" s="1274"/>
      <c r="AH52" s="1274"/>
      <c r="AI52" s="1274"/>
      <c r="AJ52" s="1274"/>
      <c r="AK52" s="1274"/>
      <c r="AL52" s="1274"/>
      <c r="AM52" s="1274"/>
      <c r="AN52" s="1274"/>
      <c r="AO52" s="1274"/>
      <c r="AP52" s="1274"/>
      <c r="AQ52" s="1274"/>
      <c r="AR52" s="1274"/>
      <c r="AS52" s="1274"/>
      <c r="AT52" s="1274"/>
      <c r="AU52" s="1274"/>
      <c r="AV52" s="1274"/>
      <c r="AW52" s="1274"/>
      <c r="AX52" s="1274"/>
      <c r="AY52" s="1274"/>
      <c r="AZ52" s="1274"/>
      <c r="BA52" s="1274"/>
      <c r="BB52" s="1274"/>
      <c r="BC52" s="1274"/>
      <c r="BD52" s="1274"/>
      <c r="BE52" s="1274"/>
      <c r="BF52" s="874"/>
      <c r="BG52" s="164" t="s">
        <v>266</v>
      </c>
      <c r="BH52" s="166" t="str">
        <f>MOD_2!$G$16</f>
        <v/>
      </c>
      <c r="BI52" s="165" t="s">
        <v>48</v>
      </c>
      <c r="BO52" s="168"/>
      <c r="BP52" s="168"/>
      <c r="CA52" s="758">
        <v>49</v>
      </c>
      <c r="CB52" s="758" t="s">
        <v>1289</v>
      </c>
    </row>
    <row r="53" spans="1:80" ht="27.75" hidden="1" customHeight="1" x14ac:dyDescent="0.2">
      <c r="A53" s="890" t="str">
        <f>IF(Dados!$W$26=0,$BH$224,"")</f>
        <v>NÃO HOUVE</v>
      </c>
      <c r="B53" s="1303" t="str">
        <f>$BK$62</f>
        <v>FAZENDO FUTURO</v>
      </c>
      <c r="C53" s="1303"/>
      <c r="D53" s="1303"/>
      <c r="E53" s="1303"/>
      <c r="F53" s="1303"/>
      <c r="G53" s="1303"/>
      <c r="H53" s="1303"/>
      <c r="I53" s="1303"/>
      <c r="J53" s="1303"/>
      <c r="K53" s="1303"/>
      <c r="L53" s="1303"/>
      <c r="M53" s="1303"/>
      <c r="N53" s="1303"/>
      <c r="O53" s="1303"/>
      <c r="P53" s="1303"/>
      <c r="Q53" s="1303"/>
      <c r="R53" s="1303"/>
      <c r="S53" s="1303"/>
      <c r="T53" s="1303"/>
      <c r="U53" s="1303"/>
      <c r="V53" s="1303"/>
      <c r="W53" s="1303"/>
      <c r="X53" s="1303"/>
      <c r="Y53" s="1303"/>
      <c r="Z53" s="1303"/>
      <c r="AA53" s="1303"/>
      <c r="AB53" s="1303"/>
      <c r="AC53" s="1303"/>
      <c r="AD53" s="1303"/>
      <c r="AE53" s="1303"/>
      <c r="AF53" s="1303"/>
      <c r="AG53" s="1303"/>
      <c r="AH53" s="1303"/>
      <c r="AI53" s="1303"/>
      <c r="AJ53" s="1303"/>
      <c r="AK53" s="1303"/>
      <c r="AL53" s="1303"/>
      <c r="AM53" s="1303"/>
      <c r="AN53" s="1303"/>
      <c r="AO53" s="1303"/>
      <c r="AP53" s="1303"/>
      <c r="AQ53" s="1303"/>
      <c r="AR53" s="1303"/>
      <c r="AS53" s="1303"/>
      <c r="AT53" s="1303"/>
      <c r="AU53" s="1303"/>
      <c r="AV53" s="1303"/>
      <c r="AW53" s="1303"/>
      <c r="AX53" s="1303"/>
      <c r="AY53" s="1303"/>
      <c r="AZ53" s="1303"/>
      <c r="BA53" s="1303"/>
      <c r="BB53" s="1303"/>
      <c r="BC53" s="1303"/>
      <c r="BD53" s="1303"/>
      <c r="BE53" s="1303"/>
      <c r="BF53" s="874"/>
      <c r="BG53" s="164" t="s">
        <v>39</v>
      </c>
      <c r="BH53" s="166" t="e">
        <f>MOD_2!$G$15</f>
        <v>#VALUE!</v>
      </c>
      <c r="BI53" s="192" t="s">
        <v>56</v>
      </c>
      <c r="BO53" s="168"/>
      <c r="BP53" s="168"/>
      <c r="CA53" s="758">
        <v>50</v>
      </c>
      <c r="CB53" s="758" t="s">
        <v>1290</v>
      </c>
    </row>
    <row r="54" spans="1:80" ht="9.75" hidden="1" customHeight="1" x14ac:dyDescent="0.2">
      <c r="A54" s="874" t="s">
        <v>1308</v>
      </c>
      <c r="B54" s="1310"/>
      <c r="C54" s="1310"/>
      <c r="D54" s="1310"/>
      <c r="E54" s="1310"/>
      <c r="F54" s="1310"/>
      <c r="G54" s="1310"/>
      <c r="H54" s="1310"/>
      <c r="I54" s="1310"/>
      <c r="J54" s="1310"/>
      <c r="K54" s="1310"/>
      <c r="L54" s="1310"/>
      <c r="M54" s="1310"/>
      <c r="N54" s="1310"/>
      <c r="O54" s="1310"/>
      <c r="P54" s="1310"/>
      <c r="Q54" s="1310"/>
      <c r="R54" s="1310"/>
      <c r="S54" s="1310"/>
      <c r="T54" s="1310"/>
      <c r="U54" s="1310"/>
      <c r="V54" s="1310"/>
      <c r="W54" s="1310"/>
      <c r="X54" s="1310"/>
      <c r="Y54" s="1310"/>
      <c r="Z54" s="1310"/>
      <c r="AA54" s="1310"/>
      <c r="AB54" s="1310"/>
      <c r="AC54" s="1310"/>
      <c r="AD54" s="1310"/>
      <c r="AE54" s="1310"/>
      <c r="AF54" s="1310"/>
      <c r="AG54" s="1310"/>
      <c r="AH54" s="1310"/>
      <c r="AI54" s="1310"/>
      <c r="AJ54" s="1310"/>
      <c r="AK54" s="1310"/>
      <c r="AL54" s="1310"/>
      <c r="AM54" s="1310"/>
      <c r="AN54" s="1310"/>
      <c r="AO54" s="1310"/>
      <c r="AP54" s="1310"/>
      <c r="AQ54" s="1310"/>
      <c r="AR54" s="1310"/>
      <c r="AS54" s="1310"/>
      <c r="AT54" s="1310"/>
      <c r="AU54" s="1310"/>
      <c r="AV54" s="1310"/>
      <c r="AW54" s="1310"/>
      <c r="AX54" s="1310"/>
      <c r="AY54" s="1310"/>
      <c r="AZ54" s="1310"/>
      <c r="BA54" s="1310"/>
      <c r="BB54" s="1310"/>
      <c r="BC54" s="1310"/>
      <c r="BD54" s="1310"/>
      <c r="BE54" s="1310"/>
      <c r="BF54" s="874"/>
      <c r="BO54" s="168"/>
      <c r="BP54" s="168"/>
      <c r="CA54" s="758">
        <v>51</v>
      </c>
      <c r="CB54" s="758" t="s">
        <v>1291</v>
      </c>
    </row>
    <row r="55" spans="1:80" ht="15" hidden="1" customHeight="1" x14ac:dyDescent="0.2">
      <c r="A55" s="874" t="str">
        <f>IF(Dados!$W$26=0,$BH$224,"")</f>
        <v>NÃO HOUVE</v>
      </c>
      <c r="B55" s="367"/>
      <c r="C55" s="367"/>
      <c r="D55" s="367"/>
      <c r="E55" s="367"/>
      <c r="F55" s="367"/>
      <c r="G55" s="367"/>
      <c r="H55" s="1305"/>
      <c r="I55" s="1305"/>
      <c r="J55" s="1305"/>
      <c r="K55" s="1305"/>
      <c r="L55" s="1305"/>
      <c r="M55" s="1305"/>
      <c r="N55" s="1305"/>
      <c r="O55" s="1305"/>
      <c r="P55" s="1305"/>
      <c r="Q55" s="1305"/>
      <c r="R55" s="1305"/>
      <c r="S55" s="1305"/>
      <c r="T55" s="1305"/>
      <c r="U55" s="1305"/>
      <c r="V55" s="1305"/>
      <c r="W55" s="1305" t="s">
        <v>181</v>
      </c>
      <c r="X55" s="1305"/>
      <c r="Y55" s="1305"/>
      <c r="Z55" s="1305"/>
      <c r="AA55" s="1305"/>
      <c r="AB55" s="1305"/>
      <c r="AC55" s="1305"/>
      <c r="AD55" s="1305"/>
      <c r="AE55" s="1305"/>
      <c r="AF55" s="1305" t="s">
        <v>182</v>
      </c>
      <c r="AG55" s="1305"/>
      <c r="AH55" s="1305"/>
      <c r="AI55" s="1305"/>
      <c r="AJ55" s="1305"/>
      <c r="AK55" s="1305"/>
      <c r="AL55" s="1305"/>
      <c r="AM55" s="1305"/>
      <c r="AN55" s="1305"/>
      <c r="AO55" s="1305" t="s">
        <v>440</v>
      </c>
      <c r="AP55" s="1305"/>
      <c r="AQ55" s="1305"/>
      <c r="AR55" s="1305"/>
      <c r="AS55" s="1305"/>
      <c r="AT55" s="1305"/>
      <c r="AU55" s="1305"/>
      <c r="AV55" s="1305"/>
      <c r="AW55" s="1305"/>
      <c r="AX55" s="367"/>
      <c r="AY55" s="367"/>
      <c r="AZ55" s="367"/>
      <c r="BA55" s="367"/>
      <c r="BB55" s="367"/>
      <c r="BC55" s="367"/>
      <c r="BD55" s="367"/>
      <c r="BE55" s="367"/>
      <c r="BF55" s="874"/>
      <c r="BO55" s="168"/>
      <c r="BP55" s="168"/>
      <c r="CA55" s="758">
        <v>52</v>
      </c>
      <c r="CB55" s="758" t="s">
        <v>1292</v>
      </c>
    </row>
    <row r="56" spans="1:80" ht="15" hidden="1" customHeight="1" x14ac:dyDescent="0.2">
      <c r="A56" s="874" t="str">
        <f>IF(Dados!$W$26=0,$BH$224,"")</f>
        <v>NÃO HOUVE</v>
      </c>
      <c r="B56" s="367"/>
      <c r="C56" s="367"/>
      <c r="D56" s="367"/>
      <c r="E56" s="367"/>
      <c r="F56" s="367"/>
      <c r="G56" s="367"/>
      <c r="H56" s="1295" t="s">
        <v>1323</v>
      </c>
      <c r="I56" s="1296"/>
      <c r="J56" s="1296"/>
      <c r="K56" s="1296"/>
      <c r="L56" s="1296"/>
      <c r="M56" s="1296"/>
      <c r="N56" s="1296"/>
      <c r="O56" s="1296"/>
      <c r="P56" s="1296"/>
      <c r="Q56" s="1296"/>
      <c r="R56" s="1296"/>
      <c r="S56" s="1296"/>
      <c r="T56" s="1296"/>
      <c r="U56" s="1296"/>
      <c r="V56" s="1297"/>
      <c r="W56" s="1302" t="str">
        <f>Dados!$F$26</f>
        <v/>
      </c>
      <c r="X56" s="1302"/>
      <c r="Y56" s="1302"/>
      <c r="Z56" s="1302"/>
      <c r="AA56" s="1302"/>
      <c r="AB56" s="1302"/>
      <c r="AC56" s="1302"/>
      <c r="AD56" s="1302"/>
      <c r="AE56" s="1302"/>
      <c r="AF56" s="1308"/>
      <c r="AG56" s="1308"/>
      <c r="AH56" s="1308"/>
      <c r="AI56" s="1308"/>
      <c r="AJ56" s="1308"/>
      <c r="AK56" s="1308"/>
      <c r="AL56" s="1308"/>
      <c r="AM56" s="1308"/>
      <c r="AN56" s="1308"/>
      <c r="AO56" s="1298" t="e">
        <f>W56+AF56</f>
        <v>#VALUE!</v>
      </c>
      <c r="AP56" s="1298"/>
      <c r="AQ56" s="1298"/>
      <c r="AR56" s="1298"/>
      <c r="AS56" s="1298"/>
      <c r="AT56" s="1298"/>
      <c r="AU56" s="1298"/>
      <c r="AV56" s="1298"/>
      <c r="AW56" s="1298"/>
      <c r="AX56" s="367"/>
      <c r="AY56" s="367"/>
      <c r="AZ56" s="367"/>
      <c r="BA56" s="367"/>
      <c r="BB56" s="367"/>
      <c r="BC56" s="367"/>
      <c r="BD56" s="367"/>
      <c r="BE56" s="367"/>
      <c r="BF56" s="874"/>
      <c r="BO56" s="168"/>
      <c r="BP56" s="168"/>
      <c r="CA56" s="758">
        <v>53</v>
      </c>
      <c r="CB56" s="758" t="s">
        <v>1293</v>
      </c>
    </row>
    <row r="57" spans="1:80" ht="15" hidden="1" customHeight="1" x14ac:dyDescent="0.2">
      <c r="A57" s="888" t="str">
        <f>IF(Dados!$W$26=0,$BH$224,"")</f>
        <v>NÃO HOUVE</v>
      </c>
      <c r="B57" s="367"/>
      <c r="C57" s="367"/>
      <c r="D57" s="367"/>
      <c r="E57" s="367"/>
      <c r="F57" s="367"/>
      <c r="G57" s="367"/>
      <c r="H57" s="1295" t="s">
        <v>1326</v>
      </c>
      <c r="I57" s="1296"/>
      <c r="J57" s="1296"/>
      <c r="K57" s="1296"/>
      <c r="L57" s="1296"/>
      <c r="M57" s="1296"/>
      <c r="N57" s="1296"/>
      <c r="O57" s="1296"/>
      <c r="P57" s="1296"/>
      <c r="Q57" s="1296"/>
      <c r="R57" s="1296"/>
      <c r="S57" s="1296"/>
      <c r="T57" s="1296"/>
      <c r="U57" s="1296"/>
      <c r="V57" s="1297"/>
      <c r="W57" s="1302" t="str">
        <f>Dados!$F$24</f>
        <v/>
      </c>
      <c r="X57" s="1302"/>
      <c r="Y57" s="1302"/>
      <c r="Z57" s="1302"/>
      <c r="AA57" s="1302"/>
      <c r="AB57" s="1302"/>
      <c r="AC57" s="1302"/>
      <c r="AD57" s="1302"/>
      <c r="AE57" s="1302"/>
      <c r="AF57" s="1308"/>
      <c r="AG57" s="1308"/>
      <c r="AH57" s="1308"/>
      <c r="AI57" s="1308"/>
      <c r="AJ57" s="1308"/>
      <c r="AK57" s="1308"/>
      <c r="AL57" s="1308"/>
      <c r="AM57" s="1308"/>
      <c r="AN57" s="1308"/>
      <c r="AO57" s="1298" t="e">
        <f>W57+AF57</f>
        <v>#VALUE!</v>
      </c>
      <c r="AP57" s="1298"/>
      <c r="AQ57" s="1298"/>
      <c r="AR57" s="1298"/>
      <c r="AS57" s="1298"/>
      <c r="AT57" s="1298"/>
      <c r="AU57" s="1298"/>
      <c r="AV57" s="1298"/>
      <c r="AW57" s="1298"/>
      <c r="AX57" s="367"/>
      <c r="AY57" s="367"/>
      <c r="AZ57" s="367"/>
      <c r="BA57" s="367"/>
      <c r="BB57" s="367"/>
      <c r="BC57" s="367"/>
      <c r="BD57" s="367"/>
      <c r="BE57" s="367"/>
      <c r="BF57" s="874"/>
      <c r="BO57" s="168"/>
      <c r="BP57" s="168"/>
      <c r="CA57" s="758">
        <v>54</v>
      </c>
      <c r="CB57" s="57" t="s">
        <v>1294</v>
      </c>
    </row>
    <row r="58" spans="1:80" ht="15" hidden="1" customHeight="1" x14ac:dyDescent="0.2">
      <c r="A58" s="889" t="str">
        <f>IF(Dados!$W$26=0,$BH$224,"")</f>
        <v>NÃO HOUVE</v>
      </c>
      <c r="B58" s="367"/>
      <c r="C58" s="367"/>
      <c r="D58" s="367"/>
      <c r="E58" s="367"/>
      <c r="F58" s="367"/>
      <c r="G58" s="367"/>
      <c r="H58" s="1295" t="s">
        <v>1325</v>
      </c>
      <c r="I58" s="1296"/>
      <c r="J58" s="1296"/>
      <c r="K58" s="1296"/>
      <c r="L58" s="1296"/>
      <c r="M58" s="1296"/>
      <c r="N58" s="1296"/>
      <c r="O58" s="1296"/>
      <c r="P58" s="1296"/>
      <c r="Q58" s="1296"/>
      <c r="R58" s="1296"/>
      <c r="S58" s="1296"/>
      <c r="T58" s="1296"/>
      <c r="U58" s="1296"/>
      <c r="V58" s="1297"/>
      <c r="W58" s="1302" t="str">
        <f>IF(Dados!$E$3="","",MOD_2_futuro!$P$15)</f>
        <v/>
      </c>
      <c r="X58" s="1302"/>
      <c r="Y58" s="1302"/>
      <c r="Z58" s="1302"/>
      <c r="AA58" s="1302"/>
      <c r="AB58" s="1302"/>
      <c r="AC58" s="1302"/>
      <c r="AD58" s="1302"/>
      <c r="AE58" s="1302"/>
      <c r="AF58" s="1308"/>
      <c r="AG58" s="1308"/>
      <c r="AH58" s="1308"/>
      <c r="AI58" s="1308"/>
      <c r="AJ58" s="1308"/>
      <c r="AK58" s="1308"/>
      <c r="AL58" s="1308"/>
      <c r="AM58" s="1308"/>
      <c r="AN58" s="1308"/>
      <c r="AO58" s="1298" t="e">
        <f>W58+AF58</f>
        <v>#VALUE!</v>
      </c>
      <c r="AP58" s="1298"/>
      <c r="AQ58" s="1298"/>
      <c r="AR58" s="1298"/>
      <c r="AS58" s="1298"/>
      <c r="AT58" s="1298"/>
      <c r="AU58" s="1298"/>
      <c r="AV58" s="1298"/>
      <c r="AW58" s="1298"/>
      <c r="AX58" s="367"/>
      <c r="AY58" s="367"/>
      <c r="AZ58" s="367"/>
      <c r="BA58" s="367"/>
      <c r="BB58" s="367"/>
      <c r="BC58" s="367"/>
      <c r="BD58" s="367"/>
      <c r="BE58" s="367"/>
      <c r="BF58" s="874"/>
      <c r="BO58" s="168"/>
      <c r="BP58" s="168"/>
      <c r="CA58" s="758">
        <v>55</v>
      </c>
      <c r="CB58" s="758" t="s">
        <v>1295</v>
      </c>
    </row>
    <row r="59" spans="1:80" ht="15" hidden="1" customHeight="1" x14ac:dyDescent="0.2">
      <c r="A59" s="889" t="str">
        <f>IF(Dados!$W$26=0,$BH$224,"")</f>
        <v>NÃO HOUVE</v>
      </c>
      <c r="B59" s="367"/>
      <c r="C59" s="367"/>
      <c r="D59" s="367"/>
      <c r="E59" s="367"/>
      <c r="F59" s="367"/>
      <c r="G59" s="367"/>
      <c r="H59" s="1295" t="s">
        <v>1324</v>
      </c>
      <c r="I59" s="1296"/>
      <c r="J59" s="1296"/>
      <c r="K59" s="1296"/>
      <c r="L59" s="1296"/>
      <c r="M59" s="1296"/>
      <c r="N59" s="1296"/>
      <c r="O59" s="1296"/>
      <c r="P59" s="1296"/>
      <c r="Q59" s="1296"/>
      <c r="R59" s="1296"/>
      <c r="S59" s="1296"/>
      <c r="T59" s="1296"/>
      <c r="U59" s="1296"/>
      <c r="V59" s="1297"/>
      <c r="W59" s="1298" t="e">
        <f>SUM(W56:AE57)-W58</f>
        <v>#VALUE!</v>
      </c>
      <c r="X59" s="1298"/>
      <c r="Y59" s="1298"/>
      <c r="Z59" s="1298"/>
      <c r="AA59" s="1298"/>
      <c r="AB59" s="1298"/>
      <c r="AC59" s="1298"/>
      <c r="AD59" s="1298"/>
      <c r="AE59" s="1298"/>
      <c r="AF59" s="1311"/>
      <c r="AG59" s="1311"/>
      <c r="AH59" s="1311"/>
      <c r="AI59" s="1311"/>
      <c r="AJ59" s="1311"/>
      <c r="AK59" s="1311"/>
      <c r="AL59" s="1311"/>
      <c r="AM59" s="1311"/>
      <c r="AN59" s="1311"/>
      <c r="AO59" s="1298" t="e">
        <f>W59+AF59</f>
        <v>#VALUE!</v>
      </c>
      <c r="AP59" s="1298"/>
      <c r="AQ59" s="1298"/>
      <c r="AR59" s="1298"/>
      <c r="AS59" s="1298"/>
      <c r="AT59" s="1298"/>
      <c r="AU59" s="1298"/>
      <c r="AV59" s="1298"/>
      <c r="AW59" s="1298"/>
      <c r="AX59" s="367"/>
      <c r="AY59" s="367"/>
      <c r="AZ59" s="367"/>
      <c r="BA59" s="367"/>
      <c r="BB59" s="367"/>
      <c r="BC59" s="367"/>
      <c r="BD59" s="367"/>
      <c r="BE59" s="367"/>
      <c r="BF59" s="874"/>
      <c r="BO59" s="168"/>
      <c r="BP59" s="168"/>
      <c r="CA59" s="758">
        <v>56</v>
      </c>
      <c r="CB59" s="758" t="s">
        <v>1296</v>
      </c>
    </row>
    <row r="60" spans="1:80" ht="25.5" hidden="1" customHeight="1" x14ac:dyDescent="0.2">
      <c r="A60" s="874" t="str">
        <f>IF(Dados!$W$26=0,$BH$224,"")</f>
        <v>NÃO HOUVE</v>
      </c>
      <c r="B60" s="1310"/>
      <c r="C60" s="1310"/>
      <c r="D60" s="1310"/>
      <c r="E60" s="1310"/>
      <c r="F60" s="1310"/>
      <c r="G60" s="1310"/>
      <c r="H60" s="1310"/>
      <c r="I60" s="1310"/>
      <c r="J60" s="1310"/>
      <c r="K60" s="1310"/>
      <c r="L60" s="1310"/>
      <c r="M60" s="1310"/>
      <c r="N60" s="1310"/>
      <c r="O60" s="1310"/>
      <c r="P60" s="1310"/>
      <c r="Q60" s="1310"/>
      <c r="R60" s="1310"/>
      <c r="S60" s="1310"/>
      <c r="T60" s="1310"/>
      <c r="U60" s="1310"/>
      <c r="V60" s="1310"/>
      <c r="W60" s="1310"/>
      <c r="X60" s="1310"/>
      <c r="Y60" s="1310"/>
      <c r="Z60" s="1310"/>
      <c r="AA60" s="1310"/>
      <c r="AB60" s="1310"/>
      <c r="AC60" s="1310"/>
      <c r="AD60" s="1310"/>
      <c r="AE60" s="1310"/>
      <c r="AF60" s="1310"/>
      <c r="AG60" s="1310"/>
      <c r="AH60" s="1310"/>
      <c r="AI60" s="1310"/>
      <c r="AJ60" s="1310"/>
      <c r="AK60" s="1310"/>
      <c r="AL60" s="1310"/>
      <c r="AM60" s="1310"/>
      <c r="AN60" s="1310"/>
      <c r="AO60" s="1310"/>
      <c r="AP60" s="1310"/>
      <c r="AQ60" s="1310"/>
      <c r="AR60" s="1310"/>
      <c r="AS60" s="1310"/>
      <c r="AT60" s="1310"/>
      <c r="AU60" s="1310"/>
      <c r="AV60" s="1310"/>
      <c r="AW60" s="1310"/>
      <c r="AX60" s="1310"/>
      <c r="AY60" s="1310"/>
      <c r="AZ60" s="1310"/>
      <c r="BA60" s="1310"/>
      <c r="BB60" s="1310"/>
      <c r="BC60" s="1310"/>
      <c r="BD60" s="1310"/>
      <c r="BE60" s="1310"/>
      <c r="BF60" s="874"/>
      <c r="BG60" s="1307"/>
      <c r="BH60" s="1307"/>
      <c r="BO60" s="168"/>
      <c r="BP60" s="168"/>
      <c r="CA60" s="758">
        <v>57</v>
      </c>
      <c r="CB60" s="758" t="s">
        <v>1297</v>
      </c>
    </row>
    <row r="61" spans="1:80" ht="15" hidden="1" customHeight="1" x14ac:dyDescent="0.2">
      <c r="A61" s="891" t="str">
        <f>IF(Dados!$W$26=0,$BH$224,"")</f>
        <v>NÃO HOUVE</v>
      </c>
      <c r="B61" s="1299" t="str">
        <f>IF($W$58=0,$BH$41,$BH$39)</f>
        <v>- As aquisições com os recursos de custeio foram da ordem de</v>
      </c>
      <c r="C61" s="1299"/>
      <c r="D61" s="1299"/>
      <c r="E61" s="1299"/>
      <c r="F61" s="1299"/>
      <c r="G61" s="1299"/>
      <c r="H61" s="1299"/>
      <c r="I61" s="1299"/>
      <c r="J61" s="1299"/>
      <c r="K61" s="1299"/>
      <c r="L61" s="1299"/>
      <c r="M61" s="1299"/>
      <c r="N61" s="1299"/>
      <c r="O61" s="1299"/>
      <c r="P61" s="1299"/>
      <c r="Q61" s="1299"/>
      <c r="R61" s="1299"/>
      <c r="S61" s="1299"/>
      <c r="T61" s="1299"/>
      <c r="U61" s="1299"/>
      <c r="V61" s="1299"/>
      <c r="W61" s="1299"/>
      <c r="X61" s="1299"/>
      <c r="Y61" s="1299"/>
      <c r="Z61" s="1299"/>
      <c r="AA61" s="1299"/>
      <c r="AB61" s="1299"/>
      <c r="AC61" s="1299"/>
      <c r="AD61" s="1299"/>
      <c r="AE61" s="1299"/>
      <c r="AF61" s="1299"/>
      <c r="AG61" s="1300" t="str">
        <f>IF($W$58=0,"",$W$58)</f>
        <v/>
      </c>
      <c r="AH61" s="1300"/>
      <c r="AI61" s="1300"/>
      <c r="AJ61" s="1300"/>
      <c r="AK61" s="1300"/>
      <c r="AL61" s="1300"/>
      <c r="AM61" s="1300"/>
      <c r="AN61" s="1300"/>
      <c r="AO61" s="1300"/>
      <c r="AP61" s="1300"/>
      <c r="AQ61" s="1289" t="str">
        <f>IF($W$58&gt;0,$BI$39,"")</f>
        <v>e relacionadas a seguir:</v>
      </c>
      <c r="AR61" s="1289"/>
      <c r="AS61" s="1289"/>
      <c r="AT61" s="1289"/>
      <c r="AU61" s="1289"/>
      <c r="AV61" s="1289"/>
      <c r="AW61" s="1289"/>
      <c r="AX61" s="1289"/>
      <c r="AY61" s="1289"/>
      <c r="AZ61" s="1289"/>
      <c r="BA61" s="1289"/>
      <c r="BB61" s="1289"/>
      <c r="BC61" s="1289"/>
      <c r="BD61" s="1289"/>
      <c r="BE61" s="854"/>
      <c r="BF61" s="874"/>
      <c r="BG61" s="1312" t="s">
        <v>729</v>
      </c>
      <c r="BH61" s="1312"/>
      <c r="BI61" s="1312"/>
      <c r="BJ61" s="1312"/>
      <c r="BK61" s="1312"/>
      <c r="BL61" s="1312"/>
      <c r="BM61" s="1312"/>
      <c r="BN61" s="1312"/>
      <c r="BO61" s="1312"/>
      <c r="BP61" s="1312"/>
      <c r="BQ61" s="1312"/>
      <c r="BR61" s="1312"/>
      <c r="CA61" s="758">
        <v>58</v>
      </c>
      <c r="CB61" s="758" t="s">
        <v>1298</v>
      </c>
    </row>
    <row r="62" spans="1:80" ht="35.25" hidden="1" customHeight="1" x14ac:dyDescent="0.2">
      <c r="A62" s="885" t="str">
        <f>IF(Dados!$W$26=0,$BH$224,IF($W$58=0,$BH$224,IF($B$62&gt;0,"Aumente ou diminua a altura da linha 62")))</f>
        <v>NÃO HOUVE</v>
      </c>
      <c r="B62" s="1290" t="str">
        <f>IF(Despesas!$FJ$1=0,"",Despesas!$FJ$1)</f>
        <v/>
      </c>
      <c r="C62" s="1290"/>
      <c r="D62" s="1290"/>
      <c r="E62" s="1290"/>
      <c r="F62" s="1290"/>
      <c r="G62" s="1290"/>
      <c r="H62" s="1290"/>
      <c r="I62" s="1290"/>
      <c r="J62" s="1290"/>
      <c r="K62" s="1290"/>
      <c r="L62" s="1290"/>
      <c r="M62" s="1290"/>
      <c r="N62" s="1290"/>
      <c r="O62" s="1290"/>
      <c r="P62" s="1290"/>
      <c r="Q62" s="1290"/>
      <c r="R62" s="1290"/>
      <c r="S62" s="1290"/>
      <c r="T62" s="1290"/>
      <c r="U62" s="1290"/>
      <c r="V62" s="1290"/>
      <c r="W62" s="1290"/>
      <c r="X62" s="1290"/>
      <c r="Y62" s="1290"/>
      <c r="Z62" s="1290"/>
      <c r="AA62" s="1290"/>
      <c r="AB62" s="1290"/>
      <c r="AC62" s="1290"/>
      <c r="AD62" s="1290"/>
      <c r="AE62" s="1290"/>
      <c r="AF62" s="1290"/>
      <c r="AG62" s="1290"/>
      <c r="AH62" s="1290"/>
      <c r="AI62" s="1290"/>
      <c r="AJ62" s="1290"/>
      <c r="AK62" s="1290"/>
      <c r="AL62" s="1290"/>
      <c r="AM62" s="1290"/>
      <c r="AN62" s="1290"/>
      <c r="AO62" s="1290"/>
      <c r="AP62" s="1290"/>
      <c r="AQ62" s="1290"/>
      <c r="AR62" s="1290"/>
      <c r="AS62" s="1290"/>
      <c r="AT62" s="1290"/>
      <c r="AU62" s="1290"/>
      <c r="AV62" s="1290"/>
      <c r="AW62" s="1290"/>
      <c r="AX62" s="1290"/>
      <c r="AY62" s="1290"/>
      <c r="AZ62" s="1290"/>
      <c r="BA62" s="1290"/>
      <c r="BB62" s="1290"/>
      <c r="BC62" s="1290"/>
      <c r="BD62" s="1290"/>
      <c r="BE62" s="1290"/>
      <c r="BF62" s="874"/>
      <c r="BG62" s="1306" t="s">
        <v>730</v>
      </c>
      <c r="BH62" s="1307"/>
      <c r="BI62" s="1306" t="s">
        <v>731</v>
      </c>
      <c r="BJ62" s="1307"/>
      <c r="BK62" s="1306" t="s">
        <v>732</v>
      </c>
      <c r="BL62" s="1307"/>
      <c r="BM62" s="1306" t="s">
        <v>1100</v>
      </c>
      <c r="BN62" s="1307"/>
      <c r="BO62" s="1306" t="s">
        <v>733</v>
      </c>
      <c r="BP62" s="1307"/>
      <c r="BQ62" s="1306" t="s">
        <v>734</v>
      </c>
      <c r="BR62" s="1307"/>
      <c r="BS62" s="1306" t="s">
        <v>12273</v>
      </c>
      <c r="BT62" s="1307"/>
      <c r="BU62" s="1306" t="s">
        <v>12325</v>
      </c>
      <c r="BV62" s="1307"/>
      <c r="BW62" s="1306" t="s">
        <v>12274</v>
      </c>
      <c r="BX62" s="1307"/>
      <c r="CA62" s="758">
        <v>59</v>
      </c>
      <c r="CB62" s="758" t="s">
        <v>1299</v>
      </c>
    </row>
    <row r="63" spans="1:80" ht="35.25" hidden="1" customHeight="1" x14ac:dyDescent="0.2">
      <c r="A63" s="885" t="str">
        <f>IF(Dados!$W$26=0,$BH$224,IF($W$58=0,$BH$224,IF($B$63="","Observações se houverem","Aumente ou diminua a altura da linha 63")))</f>
        <v>NÃO HOUVE</v>
      </c>
      <c r="B63" s="1291" t="s">
        <v>1322</v>
      </c>
      <c r="C63" s="1292"/>
      <c r="D63" s="1292"/>
      <c r="E63" s="1292"/>
      <c r="F63" s="1292"/>
      <c r="G63" s="1292"/>
      <c r="H63" s="1292"/>
      <c r="I63" s="1292"/>
      <c r="J63" s="1292"/>
      <c r="K63" s="1292"/>
      <c r="L63" s="1292"/>
      <c r="M63" s="1292"/>
      <c r="N63" s="1292"/>
      <c r="O63" s="1292"/>
      <c r="P63" s="1292"/>
      <c r="Q63" s="1292"/>
      <c r="R63" s="1292"/>
      <c r="S63" s="1292"/>
      <c r="T63" s="1292"/>
      <c r="U63" s="1292"/>
      <c r="V63" s="1292"/>
      <c r="W63" s="1292"/>
      <c r="X63" s="1292"/>
      <c r="Y63" s="1292"/>
      <c r="Z63" s="1292"/>
      <c r="AA63" s="1292"/>
      <c r="AB63" s="1292"/>
      <c r="AC63" s="1292"/>
      <c r="AD63" s="1292"/>
      <c r="AE63" s="1292"/>
      <c r="AF63" s="1292"/>
      <c r="AG63" s="1292"/>
      <c r="AH63" s="1292"/>
      <c r="AI63" s="1292"/>
      <c r="AJ63" s="1292"/>
      <c r="AK63" s="1292"/>
      <c r="AL63" s="1292"/>
      <c r="AM63" s="1292"/>
      <c r="AN63" s="1292"/>
      <c r="AO63" s="1292"/>
      <c r="AP63" s="1292"/>
      <c r="AQ63" s="1292"/>
      <c r="AR63" s="1292"/>
      <c r="AS63" s="1292"/>
      <c r="AT63" s="1292"/>
      <c r="AU63" s="1292"/>
      <c r="AV63" s="1292"/>
      <c r="AW63" s="1292"/>
      <c r="AX63" s="1292"/>
      <c r="AY63" s="1292"/>
      <c r="AZ63" s="1292"/>
      <c r="BA63" s="1292"/>
      <c r="BB63" s="1292"/>
      <c r="BC63" s="1292"/>
      <c r="BD63" s="1292"/>
      <c r="BE63" s="1292"/>
      <c r="BF63" s="874"/>
      <c r="BG63" s="192" t="s">
        <v>181</v>
      </c>
      <c r="BH63" s="849" t="s">
        <v>182</v>
      </c>
      <c r="BI63" s="192" t="s">
        <v>181</v>
      </c>
      <c r="BJ63" s="192" t="s">
        <v>182</v>
      </c>
      <c r="BK63" s="192" t="s">
        <v>181</v>
      </c>
      <c r="BL63" s="192" t="s">
        <v>182</v>
      </c>
      <c r="BM63" s="192" t="s">
        <v>181</v>
      </c>
      <c r="BN63" s="192" t="s">
        <v>182</v>
      </c>
      <c r="BO63" s="192" t="s">
        <v>181</v>
      </c>
      <c r="BP63" s="192" t="s">
        <v>182</v>
      </c>
      <c r="BQ63" s="192" t="s">
        <v>181</v>
      </c>
      <c r="BR63" s="192" t="s">
        <v>182</v>
      </c>
      <c r="BS63" s="192" t="s">
        <v>181</v>
      </c>
      <c r="BT63" s="192" t="s">
        <v>182</v>
      </c>
      <c r="BU63" s="192" t="s">
        <v>181</v>
      </c>
      <c r="BV63" s="192" t="s">
        <v>182</v>
      </c>
      <c r="BW63" s="192" t="s">
        <v>181</v>
      </c>
      <c r="BX63" s="192" t="s">
        <v>182</v>
      </c>
      <c r="CA63" s="57">
        <v>0</v>
      </c>
      <c r="CB63" s="57" t="s">
        <v>1312</v>
      </c>
    </row>
    <row r="64" spans="1:80" ht="15" hidden="1" customHeight="1" x14ac:dyDescent="0.2">
      <c r="A64" s="894" t="str">
        <f>IF(AND($A$65=$BK$46,$A$66=$BK$46),$BK$46,$BK$47)</f>
        <v>NÃO HOUVE</v>
      </c>
      <c r="B64" s="1293"/>
      <c r="C64" s="1293"/>
      <c r="D64" s="1293"/>
      <c r="E64" s="1293"/>
      <c r="F64" s="1293"/>
      <c r="G64" s="1293"/>
      <c r="H64" s="1293"/>
      <c r="I64" s="1293"/>
      <c r="J64" s="1293"/>
      <c r="K64" s="1293"/>
      <c r="L64" s="1293"/>
      <c r="M64" s="1293"/>
      <c r="N64" s="1293"/>
      <c r="O64" s="1293"/>
      <c r="P64" s="1293"/>
      <c r="Q64" s="1293"/>
      <c r="R64" s="1293"/>
      <c r="S64" s="1293"/>
      <c r="T64" s="1293"/>
      <c r="U64" s="1293"/>
      <c r="V64" s="1293"/>
      <c r="W64" s="1293"/>
      <c r="X64" s="1293"/>
      <c r="Y64" s="1293"/>
      <c r="Z64" s="1293"/>
      <c r="AA64" s="1293"/>
      <c r="AB64" s="1293"/>
      <c r="AC64" s="1293"/>
      <c r="AD64" s="1293"/>
      <c r="AE64" s="1293"/>
      <c r="AF64" s="1293"/>
      <c r="AG64" s="1293"/>
      <c r="AH64" s="1293"/>
      <c r="AI64" s="1293"/>
      <c r="AJ64" s="1293"/>
      <c r="AK64" s="1293"/>
      <c r="AL64" s="1293"/>
      <c r="AM64" s="1293"/>
      <c r="AN64" s="1293"/>
      <c r="AO64" s="1293"/>
      <c r="AP64" s="1293"/>
      <c r="AQ64" s="1293"/>
      <c r="AR64" s="1293"/>
      <c r="AS64" s="1293"/>
      <c r="AT64" s="1293"/>
      <c r="AU64" s="1293"/>
      <c r="AV64" s="1293"/>
      <c r="AW64" s="1293"/>
      <c r="AX64" s="1293"/>
      <c r="AY64" s="1293"/>
      <c r="AZ64" s="1293"/>
      <c r="BA64" s="1293"/>
      <c r="BB64" s="1293"/>
      <c r="BC64" s="1293"/>
      <c r="BD64" s="1293"/>
      <c r="BE64" s="1293"/>
      <c r="BF64" s="874"/>
      <c r="BG64" s="481" t="e">
        <f>SUM(BG66,BG67,BG69)</f>
        <v>#VALUE!</v>
      </c>
      <c r="BH64" s="481" t="e">
        <f t="shared" ref="BH64:BQ64" si="0">SUM(BH66,BH67,BH69)</f>
        <v>#VALUE!</v>
      </c>
      <c r="BI64" s="481" t="e">
        <f t="shared" si="0"/>
        <v>#VALUE!</v>
      </c>
      <c r="BJ64" s="481" t="e">
        <f t="shared" si="0"/>
        <v>#VALUE!</v>
      </c>
      <c r="BK64" s="481" t="e">
        <f t="shared" si="0"/>
        <v>#VALUE!</v>
      </c>
      <c r="BL64" s="481" t="e">
        <f t="shared" si="0"/>
        <v>#VALUE!</v>
      </c>
      <c r="BM64" s="481" t="e">
        <f t="shared" si="0"/>
        <v>#VALUE!</v>
      </c>
      <c r="BN64" s="481" t="e">
        <f t="shared" si="0"/>
        <v>#VALUE!</v>
      </c>
      <c r="BO64" s="481" t="e">
        <f t="shared" si="0"/>
        <v>#VALUE!</v>
      </c>
      <c r="BP64" s="481" t="e">
        <f t="shared" si="0"/>
        <v>#VALUE!</v>
      </c>
      <c r="BQ64" s="481" t="e">
        <f t="shared" si="0"/>
        <v>#VALUE!</v>
      </c>
      <c r="BR64" s="481" t="e">
        <f t="shared" ref="BR64:BX64" si="1">SUM(BR66,BR67,BR69)</f>
        <v>#VALUE!</v>
      </c>
      <c r="BS64" s="481" t="e">
        <f t="shared" si="1"/>
        <v>#VALUE!</v>
      </c>
      <c r="BT64" s="481" t="e">
        <f t="shared" si="1"/>
        <v>#VALUE!</v>
      </c>
      <c r="BU64" s="481" t="e">
        <f t="shared" si="1"/>
        <v>#VALUE!</v>
      </c>
      <c r="BV64" s="481" t="e">
        <f t="shared" si="1"/>
        <v>#VALUE!</v>
      </c>
      <c r="BW64" s="481" t="e">
        <f t="shared" si="1"/>
        <v>#VALUE!</v>
      </c>
      <c r="BX64" s="481" t="e">
        <f t="shared" si="1"/>
        <v>#VALUE!</v>
      </c>
    </row>
    <row r="65" spans="1:77" ht="18.75" hidden="1" customHeight="1" x14ac:dyDescent="0.2">
      <c r="A65" s="887" t="str">
        <f>IF(Dados!$W$26=0,$BH$224,IF(AND($BK$69=0,$BL$69=0),$BH$224,IF(AND($BK$69&gt;0,$BL$69=0),$BH$226,IF(AND($BK$69=0,$BL$69&gt;0),$BH$227,IF(AND($BK$69&gt;0,$BL$69&gt;0),$BH$228)))))</f>
        <v>NÃO HOUVE</v>
      </c>
      <c r="B65" s="1286" t="str">
        <f>IF(AND($BK$69=0,$BL$69=0),"",$BG$72)</f>
        <v/>
      </c>
      <c r="C65" s="1286"/>
      <c r="D65" s="1286"/>
      <c r="E65" s="1286"/>
      <c r="F65" s="1286"/>
      <c r="G65" s="1286"/>
      <c r="H65" s="1286"/>
      <c r="I65" s="1286"/>
      <c r="J65" s="1286"/>
      <c r="K65" s="1286"/>
      <c r="L65" s="1286"/>
      <c r="M65" s="1286"/>
      <c r="N65" s="1286"/>
      <c r="O65" s="1286"/>
      <c r="P65" s="1286"/>
      <c r="Q65" s="1286"/>
      <c r="R65" s="1294" t="str">
        <f>IF(AND($BK$69=0,$BL$69=0),"",IF(AND($BK$69=0,$BL$69&gt;0),"",IF(AND($BK$69&gt;0,$BL$69=0),$BK$69,IF(AND($BK$69&gt;0,$BL$69&gt;0),$BK$69))))</f>
        <v/>
      </c>
      <c r="S65" s="1294"/>
      <c r="T65" s="1294"/>
      <c r="U65" s="1294"/>
      <c r="V65" s="1294"/>
      <c r="W65" s="1294"/>
      <c r="X65" s="1294"/>
      <c r="Y65" s="1288" t="str">
        <f>IF(AND($BK$69=0,$BL$69=0),"",IF(AND($BK$69=0,$BL$69&gt;0),"",IF(AND($BK$69&gt;0,$BL$69=0),$BK$70,IF(AND($BK$69&gt;0,$BL$69&gt;0),$BK$70))))</f>
        <v/>
      </c>
      <c r="Z65" s="1288"/>
      <c r="AA65" s="1288"/>
      <c r="AB65" s="1288"/>
      <c r="AC65" s="1288"/>
      <c r="AD65" s="1288"/>
      <c r="AE65" s="1288"/>
      <c r="AF65" s="1288"/>
      <c r="AG65" s="1288"/>
      <c r="AH65" s="1288"/>
      <c r="AI65" s="1288"/>
      <c r="AJ65" s="1288"/>
      <c r="AK65" s="1288"/>
      <c r="AL65" s="1294" t="str">
        <f>IF(AND($BK$69=0,$BL$69=0),"",IF(AND($BK$69=0,$BL$69&gt;0),$BL$69,IF(AND($BK$69&gt;0,$BL$69=0),"",IF(AND($BK$69&gt;0,$BL$69&gt;0),$BL$69))))</f>
        <v/>
      </c>
      <c r="AM65" s="1294"/>
      <c r="AN65" s="1294"/>
      <c r="AO65" s="1294"/>
      <c r="AP65" s="1294"/>
      <c r="AQ65" s="1294"/>
      <c r="AR65" s="1294"/>
      <c r="AS65" s="1289" t="str">
        <f>IF(AND($BK$69=0,$BL$69=0),"",IF(AND($BK$69=0,$BL$69&gt;0),$BL$70,IF(AND($BK$69&gt;0,$BL$69=0),"",IF(AND($BK$69&gt;0,$BL$69&gt;0),$BL$70))))</f>
        <v/>
      </c>
      <c r="AT65" s="1289"/>
      <c r="AU65" s="1289"/>
      <c r="AV65" s="1289"/>
      <c r="AW65" s="1289"/>
      <c r="AX65" s="1289"/>
      <c r="AY65" s="1289"/>
      <c r="AZ65" s="1289"/>
      <c r="BA65" s="1289"/>
      <c r="BB65" s="1289"/>
      <c r="BC65" s="1289"/>
      <c r="BD65" s="1289"/>
      <c r="BE65" s="1289"/>
      <c r="BF65" s="874"/>
      <c r="BG65" s="481">
        <f>IF($R$33="",0,$R$33)</f>
        <v>0</v>
      </c>
      <c r="BH65" s="484">
        <f>IF($AL$33="",0,$AL$33)</f>
        <v>0</v>
      </c>
      <c r="BI65" s="483">
        <f>IF($R$49="",0,$R$49)</f>
        <v>0</v>
      </c>
      <c r="BJ65" s="484">
        <f>IF($AL$49="",0,$AL$49)</f>
        <v>0</v>
      </c>
      <c r="BK65" s="483">
        <f>IF($R$65="",0,$R$65)</f>
        <v>0</v>
      </c>
      <c r="BL65" s="484">
        <f>IF($AL$65="",0,$AL$65)</f>
        <v>0</v>
      </c>
      <c r="BM65" s="483">
        <f>IF($R$81="",0,$R$81)</f>
        <v>0</v>
      </c>
      <c r="BN65" s="484">
        <f>IF($AL$81="",0,$AL$81)</f>
        <v>0</v>
      </c>
      <c r="BO65" s="481">
        <f>IF($R$99="",0,$R$99)</f>
        <v>0</v>
      </c>
      <c r="BP65" s="484">
        <f>IF($AL$99="",0,$AL$99)</f>
        <v>0</v>
      </c>
      <c r="BQ65" s="481">
        <f>IF($R$117="",0,$R$117)</f>
        <v>0</v>
      </c>
      <c r="BR65" s="484">
        <f>IF($AL$117="",0,$AL$117)</f>
        <v>0</v>
      </c>
      <c r="BS65" s="481">
        <f>IF($R$136="",0,$R$136)</f>
        <v>0</v>
      </c>
      <c r="BT65" s="983">
        <f>IF($AL$136="",0,$AL$136)</f>
        <v>0</v>
      </c>
      <c r="BU65" s="481">
        <f>IF($R$155="",0,$R$155)</f>
        <v>0</v>
      </c>
      <c r="BV65" s="983">
        <f>IF($AL$155="",0,$AL$155)</f>
        <v>0</v>
      </c>
      <c r="BW65" s="481">
        <f>IF($R$174="",0,$R$174)</f>
        <v>0</v>
      </c>
      <c r="BX65" s="983">
        <f>IF($AL$174="",0,$AL$174)</f>
        <v>0</v>
      </c>
      <c r="BY65" s="192" t="s">
        <v>1307</v>
      </c>
    </row>
    <row r="66" spans="1:77" ht="18.75" hidden="1" customHeight="1" x14ac:dyDescent="0.2">
      <c r="A66" s="887" t="str">
        <f>IF(Dados!$W$26=0,$BH$224,IF(AND($BK$66=0,$BL$66=0),$BH$224,IF(AND($BK$66&gt;0,$BL$66=0),$BH$226,IF(AND($BK$66=0,$BL$66&gt;0),$BH$227,IF(AND($BK$66&gt;0,$BL$66&gt;0),$BH$228)))))</f>
        <v>NÃO HOUVE</v>
      </c>
      <c r="B66" s="1286" t="str">
        <f>IF(OR($A$66=$BH$224,$A$66=$BH$225),"",$BG$72)</f>
        <v/>
      </c>
      <c r="C66" s="1286"/>
      <c r="D66" s="1286"/>
      <c r="E66" s="1286"/>
      <c r="F66" s="1286"/>
      <c r="G66" s="1286"/>
      <c r="H66" s="1286"/>
      <c r="I66" s="1286"/>
      <c r="J66" s="1286"/>
      <c r="K66" s="1286"/>
      <c r="L66" s="1286"/>
      <c r="M66" s="1286"/>
      <c r="N66" s="1286"/>
      <c r="O66" s="1286"/>
      <c r="P66" s="1286"/>
      <c r="Q66" s="1286"/>
      <c r="R66" s="1294" t="e">
        <f>IF(AND($BK$66=0,$BL$66=0),"",IF(AND($BK$66=0,$BL$66&gt;0),$BL$66,IF(AND($BK$66&gt;0,$BL$66=0),$BK$66,IF(AND($BK$66&gt;0,$BL$66&gt;0),$BK$66))))</f>
        <v>#VALUE!</v>
      </c>
      <c r="S66" s="1294"/>
      <c r="T66" s="1294"/>
      <c r="U66" s="1294"/>
      <c r="V66" s="1294"/>
      <c r="W66" s="1294"/>
      <c r="X66" s="1294"/>
      <c r="Y66" s="1288" t="str">
        <f>IF(OR($A$66=$BH$224,$A$66=$BH$225),"",IF($A$66=$BH$226,$BH$45,IF($A$66=$BH$227,"",IF($A$66=$BH$228,$BH$46))))</f>
        <v/>
      </c>
      <c r="Z66" s="1288"/>
      <c r="AA66" s="1288"/>
      <c r="AB66" s="1288"/>
      <c r="AC66" s="1288"/>
      <c r="AD66" s="1288"/>
      <c r="AE66" s="1288"/>
      <c r="AF66" s="1288"/>
      <c r="AG66" s="1288"/>
      <c r="AH66" s="1288"/>
      <c r="AI66" s="1288"/>
      <c r="AJ66" s="1288"/>
      <c r="AK66" s="1288"/>
      <c r="AL66" s="1294" t="e">
        <f>IF(AND($BK$66=0,$BL$66=0),"",IF(AND($BK$66=0,$BL$66&gt;0),"",IF(AND($BK$66&gt;0,$BL$66=0),"",IF(AND($BK$66&gt;0,$BL$66&gt;0),$BL$66))))</f>
        <v>#VALUE!</v>
      </c>
      <c r="AM66" s="1294"/>
      <c r="AN66" s="1294"/>
      <c r="AO66" s="1294"/>
      <c r="AP66" s="1294"/>
      <c r="AQ66" s="1294"/>
      <c r="AR66" s="1294"/>
      <c r="AS66" s="1289" t="str">
        <f>IF(OR($A$66=$BH$224,$A$66=$BH$225,$A$66=$BH$226),"",$BH$47)</f>
        <v/>
      </c>
      <c r="AT66" s="1289"/>
      <c r="AU66" s="1289"/>
      <c r="AV66" s="1289"/>
      <c r="AW66" s="1289"/>
      <c r="AX66" s="1289"/>
      <c r="AY66" s="1289"/>
      <c r="AZ66" s="1289"/>
      <c r="BA66" s="1289"/>
      <c r="BB66" s="1289"/>
      <c r="BC66" s="1289"/>
      <c r="BD66" s="1289"/>
      <c r="BE66" s="1289"/>
      <c r="BF66" s="874"/>
      <c r="BG66" s="482" t="e">
        <f>MENU!$V$95+MENU!$V$96</f>
        <v>#VALUE!</v>
      </c>
      <c r="BH66" s="484" t="e">
        <f>MENU!$V$97+MENU!$V$98</f>
        <v>#VALUE!</v>
      </c>
      <c r="BI66" s="484" t="e">
        <f>MENU!$W$95+MENU!$W$96</f>
        <v>#VALUE!</v>
      </c>
      <c r="BJ66" s="773" t="e">
        <f>MENU!$W$97+MENU!$W$98</f>
        <v>#VALUE!</v>
      </c>
      <c r="BK66" s="484" t="e">
        <f>MENU!$X$95+MENU!$X$96</f>
        <v>#VALUE!</v>
      </c>
      <c r="BL66" s="773" t="e">
        <f>MENU!$X$97+MENU!$X$98</f>
        <v>#VALUE!</v>
      </c>
      <c r="BM66" s="484" t="e">
        <f>MENU!$Y$95+MENU!$Y$96</f>
        <v>#VALUE!</v>
      </c>
      <c r="BN66" s="773" t="e">
        <f>MENU!$Y$97+MENU!$Y$98</f>
        <v>#VALUE!</v>
      </c>
      <c r="BO66" s="482" t="e">
        <f>MENU!$Z$95+MENU!$Z$96</f>
        <v>#VALUE!</v>
      </c>
      <c r="BP66" s="484" t="e">
        <f>MENU!$Z$97+MENU!$Z$98</f>
        <v>#VALUE!</v>
      </c>
      <c r="BQ66" s="482" t="e">
        <f>MENU!$AA$95+MENU!$AA$96</f>
        <v>#VALUE!</v>
      </c>
      <c r="BR66" s="484" t="e">
        <f>MENU!$AA$97+MENU!$AA$98</f>
        <v>#VALUE!</v>
      </c>
      <c r="BS66" s="482" t="e">
        <f>MENU!$AB$95+MENU!$AB$96</f>
        <v>#VALUE!</v>
      </c>
      <c r="BT66" s="985" t="e">
        <f>MENU!$AB$97+MENU!$AB$98</f>
        <v>#VALUE!</v>
      </c>
      <c r="BU66" s="482" t="e">
        <f>MENU!$AC$95+MENU!$AC$96</f>
        <v>#VALUE!</v>
      </c>
      <c r="BV66" s="985" t="e">
        <f>MENU!$AC$97+MENU!$AC$98</f>
        <v>#VALUE!</v>
      </c>
      <c r="BW66" s="482" t="e">
        <f>MENU!$AD$95+MENU!$AD$96</f>
        <v>#VALUE!</v>
      </c>
      <c r="BX66" s="985" t="e">
        <f>MENU!$AD$97+MENU!$AD$98</f>
        <v>#VALUE!</v>
      </c>
      <c r="BY66" s="192" t="s">
        <v>1388</v>
      </c>
    </row>
    <row r="67" spans="1:77" ht="12.75" customHeight="1" x14ac:dyDescent="0.2">
      <c r="A67" s="970" t="s">
        <v>1386</v>
      </c>
      <c r="B67" s="1286" t="str">
        <f>IF($A$67=$BH$230,"",$BG$72)</f>
        <v/>
      </c>
      <c r="C67" s="1286"/>
      <c r="D67" s="1286"/>
      <c r="E67" s="1286"/>
      <c r="F67" s="1286"/>
      <c r="G67" s="1286"/>
      <c r="H67" s="1286"/>
      <c r="I67" s="1286"/>
      <c r="J67" s="1286"/>
      <c r="K67" s="1286"/>
      <c r="L67" s="1286"/>
      <c r="M67" s="1286"/>
      <c r="N67" s="1286"/>
      <c r="O67" s="1286"/>
      <c r="P67" s="1286"/>
      <c r="Q67" s="1286"/>
      <c r="R67" s="1287"/>
      <c r="S67" s="1287"/>
      <c r="T67" s="1287"/>
      <c r="U67" s="1287"/>
      <c r="V67" s="1287"/>
      <c r="W67" s="1287"/>
      <c r="X67" s="1287"/>
      <c r="Y67" s="1288" t="str">
        <f>IF($A$67=$BH$230,"",IF($A$67=$BH$226,$BH$45,IF($A$67=$BH$227,"",IF($A$67=$BH$228,$BH$46))))</f>
        <v/>
      </c>
      <c r="Z67" s="1288"/>
      <c r="AA67" s="1288"/>
      <c r="AB67" s="1288"/>
      <c r="AC67" s="1288"/>
      <c r="AD67" s="1288"/>
      <c r="AE67" s="1288"/>
      <c r="AF67" s="1288"/>
      <c r="AG67" s="1288"/>
      <c r="AH67" s="1288"/>
      <c r="AI67" s="1288"/>
      <c r="AJ67" s="1288"/>
      <c r="AK67" s="1288"/>
      <c r="AL67" s="1287"/>
      <c r="AM67" s="1287"/>
      <c r="AN67" s="1287"/>
      <c r="AO67" s="1287"/>
      <c r="AP67" s="1287"/>
      <c r="AQ67" s="1287"/>
      <c r="AR67" s="1287"/>
      <c r="AS67" s="1289" t="str">
        <f>IF(OR($A$67=$BH$230,$A$67=$BH$231),"",$BH$47)</f>
        <v/>
      </c>
      <c r="AT67" s="1289"/>
      <c r="AU67" s="1289"/>
      <c r="AV67" s="1289"/>
      <c r="AW67" s="1289"/>
      <c r="AX67" s="1289"/>
      <c r="AY67" s="1289"/>
      <c r="AZ67" s="1289"/>
      <c r="BA67" s="1289"/>
      <c r="BB67" s="1289"/>
      <c r="BC67" s="1289"/>
      <c r="BD67" s="1289"/>
      <c r="BE67" s="1289"/>
      <c r="BF67" s="874"/>
      <c r="BG67" s="482">
        <f>$R$35</f>
        <v>0</v>
      </c>
      <c r="BH67" s="484">
        <f>$AL$35</f>
        <v>0</v>
      </c>
      <c r="BI67" s="484">
        <f>$R$51</f>
        <v>0</v>
      </c>
      <c r="BJ67" s="773">
        <f>$AL$51</f>
        <v>0</v>
      </c>
      <c r="BK67" s="484">
        <f>$R$67</f>
        <v>0</v>
      </c>
      <c r="BL67" s="773">
        <f>$AL$67</f>
        <v>0</v>
      </c>
      <c r="BM67" s="484">
        <f>$R$83</f>
        <v>0</v>
      </c>
      <c r="BN67" s="773">
        <f>$AL$83</f>
        <v>0</v>
      </c>
      <c r="BO67" s="482">
        <f>$R$101</f>
        <v>0</v>
      </c>
      <c r="BP67" s="484">
        <f>$AL$101</f>
        <v>0</v>
      </c>
      <c r="BQ67" s="482">
        <f>$R$119</f>
        <v>0</v>
      </c>
      <c r="BR67" s="484">
        <f>$AL$119</f>
        <v>0</v>
      </c>
      <c r="BS67" s="482">
        <f>$R$138</f>
        <v>0</v>
      </c>
      <c r="BT67" s="985">
        <f>$AL$138</f>
        <v>0</v>
      </c>
      <c r="BU67" s="482">
        <f>$R$157</f>
        <v>0</v>
      </c>
      <c r="BV67" s="985">
        <f>$AL$157</f>
        <v>0</v>
      </c>
      <c r="BW67" s="482">
        <f>$R$176</f>
        <v>0</v>
      </c>
      <c r="BX67" s="985">
        <f>$AL$176</f>
        <v>0</v>
      </c>
      <c r="BY67" s="192" t="s">
        <v>1387</v>
      </c>
    </row>
    <row r="68" spans="1:77" ht="44.25" hidden="1" customHeight="1" x14ac:dyDescent="0.2">
      <c r="A68" s="895" t="str">
        <f>IF(AND($A$65=$BH$224,$A$66=$BH$224,$A$67=$BH$230),$BH$224,$BH$221)</f>
        <v>NÃO HOUVE</v>
      </c>
      <c r="B68" s="1274" t="s">
        <v>12309</v>
      </c>
      <c r="C68" s="1274"/>
      <c r="D68" s="1274"/>
      <c r="E68" s="1274"/>
      <c r="F68" s="1274"/>
      <c r="G68" s="1274"/>
      <c r="H68" s="1274"/>
      <c r="I68" s="1274"/>
      <c r="J68" s="1274"/>
      <c r="K68" s="1274"/>
      <c r="L68" s="1274"/>
      <c r="M68" s="1274"/>
      <c r="N68" s="1274"/>
      <c r="O68" s="1274"/>
      <c r="P68" s="1274"/>
      <c r="Q68" s="1274"/>
      <c r="R68" s="1274"/>
      <c r="S68" s="1274"/>
      <c r="T68" s="1274"/>
      <c r="U68" s="1274"/>
      <c r="V68" s="1274"/>
      <c r="W68" s="1274"/>
      <c r="X68" s="1274"/>
      <c r="Y68" s="1274"/>
      <c r="Z68" s="1274"/>
      <c r="AA68" s="1274"/>
      <c r="AB68" s="1274"/>
      <c r="AC68" s="1274"/>
      <c r="AD68" s="1274"/>
      <c r="AE68" s="1274"/>
      <c r="AF68" s="1274"/>
      <c r="AG68" s="1274"/>
      <c r="AH68" s="1274"/>
      <c r="AI68" s="1274"/>
      <c r="AJ68" s="1274"/>
      <c r="AK68" s="1274"/>
      <c r="AL68" s="1274"/>
      <c r="AM68" s="1274"/>
      <c r="AN68" s="1274"/>
      <c r="AO68" s="1274"/>
      <c r="AP68" s="1274"/>
      <c r="AQ68" s="1274"/>
      <c r="AR68" s="1274"/>
      <c r="AS68" s="1274"/>
      <c r="AT68" s="1274"/>
      <c r="AU68" s="1274"/>
      <c r="AV68" s="1274"/>
      <c r="AW68" s="1274"/>
      <c r="AX68" s="1274"/>
      <c r="AY68" s="1274"/>
      <c r="AZ68" s="1274"/>
      <c r="BA68" s="1274"/>
      <c r="BB68" s="1274"/>
      <c r="BC68" s="1274"/>
      <c r="BD68" s="1274"/>
      <c r="BE68" s="1274"/>
      <c r="BF68" s="874"/>
      <c r="BO68" s="168"/>
      <c r="BP68" s="168"/>
    </row>
    <row r="69" spans="1:77" ht="27.75" customHeight="1" x14ac:dyDescent="0.2">
      <c r="A69" s="888" t="str">
        <f>IF(Dados!$W$32=0,$BH$224,"")</f>
        <v>NÃO HOUVE</v>
      </c>
      <c r="B69" s="1303" t="str">
        <f>$BM$62</f>
        <v>ROLÊ CULTURAL</v>
      </c>
      <c r="C69" s="1303"/>
      <c r="D69" s="1303"/>
      <c r="E69" s="1303"/>
      <c r="F69" s="1303"/>
      <c r="G69" s="1303"/>
      <c r="H69" s="1303"/>
      <c r="I69" s="1303"/>
      <c r="J69" s="1303"/>
      <c r="K69" s="1303"/>
      <c r="L69" s="1303"/>
      <c r="M69" s="1303"/>
      <c r="N69" s="1303"/>
      <c r="O69" s="1303"/>
      <c r="P69" s="1303"/>
      <c r="Q69" s="1303"/>
      <c r="R69" s="1303"/>
      <c r="S69" s="1303"/>
      <c r="T69" s="1303"/>
      <c r="U69" s="1303"/>
      <c r="V69" s="1303"/>
      <c r="W69" s="1303"/>
      <c r="X69" s="1303"/>
      <c r="Y69" s="1303"/>
      <c r="Z69" s="1303"/>
      <c r="AA69" s="1303"/>
      <c r="AB69" s="1303"/>
      <c r="AC69" s="1303"/>
      <c r="AD69" s="1303"/>
      <c r="AE69" s="1303"/>
      <c r="AF69" s="1303"/>
      <c r="AG69" s="1303"/>
      <c r="AH69" s="1303"/>
      <c r="AI69" s="1303"/>
      <c r="AJ69" s="1303"/>
      <c r="AK69" s="1303"/>
      <c r="AL69" s="1303"/>
      <c r="AM69" s="1303"/>
      <c r="AN69" s="1303"/>
      <c r="AO69" s="1303"/>
      <c r="AP69" s="1303"/>
      <c r="AQ69" s="1303"/>
      <c r="AR69" s="1303"/>
      <c r="AS69" s="1303"/>
      <c r="AT69" s="1303"/>
      <c r="AU69" s="1303"/>
      <c r="AV69" s="1303"/>
      <c r="AW69" s="1303"/>
      <c r="AX69" s="1303"/>
      <c r="AY69" s="1303"/>
      <c r="AZ69" s="1303"/>
      <c r="BA69" s="1303"/>
      <c r="BB69" s="1303"/>
      <c r="BC69" s="1303"/>
      <c r="BD69" s="1303"/>
      <c r="BE69" s="1303"/>
      <c r="BF69" s="882"/>
      <c r="BG69" s="770">
        <f>IF(OR(Despesas!$DG$164=0,Despesas!$DG$164=""),0,Despesas!$DG$164)</f>
        <v>0</v>
      </c>
      <c r="BH69" s="771">
        <f>IF(OR(Despesas!$DH$164=0,Despesas!$DH$164=""),0,Despesas!$DH$164)</f>
        <v>0</v>
      </c>
      <c r="BI69" s="772">
        <f>IF(OR(Despesas!$DK$164=0,Despesas!$DK$164=""),0,Despesas!$DK$164)</f>
        <v>0</v>
      </c>
      <c r="BJ69" s="772">
        <f>IF(OR(Despesas!$DL$164=0,Despesas!$DL$164=""),0,Despesas!$DL$164)</f>
        <v>0</v>
      </c>
      <c r="BK69" s="770">
        <f>IF(OR(Despesas!$DO$164=0,Despesas!$DO$164=""),0,Despesas!$DO$164)</f>
        <v>0</v>
      </c>
      <c r="BL69" s="771">
        <f>IF(OR(Despesas!$DP$164=0,Despesas!$DP$164=""),0,Despesas!$DP$164)</f>
        <v>0</v>
      </c>
      <c r="BM69" s="772">
        <f>IF(OR(Despesas!$DS$164=0,Despesas!$DS$164=""),0,Despesas!$DS$164)</f>
        <v>0</v>
      </c>
      <c r="BN69" s="772">
        <f>IF(OR(Despesas!$DT$164=0,Despesas!$DT$164=""),0,Despesas!$DT$164)</f>
        <v>0</v>
      </c>
      <c r="BO69" s="770">
        <f>IF(OR(Despesas!$DW$164=0,Despesas!$DW$164=""),0,Despesas!$DW$164)</f>
        <v>0</v>
      </c>
      <c r="BP69" s="771">
        <f>IF(OR(Despesas!$DX$164=0,Despesas!$DX$164=""),0,Despesas!$DX$164)</f>
        <v>0</v>
      </c>
      <c r="BQ69" s="772">
        <f>IF(OR(Despesas!$EA$164=0,Despesas!$EA$164=""),0,Despesas!$EA$164)</f>
        <v>0</v>
      </c>
      <c r="BR69" s="772">
        <f>IF(OR(Despesas!$EB$164=0,Despesas!$EB$164=""),0,Despesas!$EB$164)</f>
        <v>0</v>
      </c>
      <c r="BS69" s="984">
        <f>IF(OR(Despesas!$EE$164=0,Despesas!$EE$164=""),0,Despesas!$EE$164)</f>
        <v>0</v>
      </c>
      <c r="BT69" s="984">
        <f>IF(OR(Despesas!$EF$164=0,Despesas!$EF$164=""),0,Despesas!$EF$164)</f>
        <v>0</v>
      </c>
      <c r="BU69" s="772">
        <f>IF(OR(Despesas!$EI$164=0,Despesas!$EI$164=""),0,Despesas!$EI$164)</f>
        <v>0</v>
      </c>
      <c r="BV69" s="772">
        <f>IF(OR(Despesas!$EJ$164=0,Despesas!$EJ$164=""),0,Despesas!$EJ$164)</f>
        <v>0</v>
      </c>
      <c r="BW69" s="984">
        <f>IF(OR(Despesas!$EM$164=0,Despesas!$EM$164=""),0,Despesas!$EM$164)</f>
        <v>0</v>
      </c>
      <c r="BX69" s="984">
        <f>IF(OR(Despesas!$EN$164=0,Despesas!$EN$164=""),0,Despesas!$EN$164)</f>
        <v>0</v>
      </c>
    </row>
    <row r="70" spans="1:77" ht="9.75" hidden="1" customHeight="1" x14ac:dyDescent="0.2">
      <c r="A70" s="888" t="s">
        <v>1308</v>
      </c>
      <c r="B70" s="1310"/>
      <c r="C70" s="1310"/>
      <c r="D70" s="1310"/>
      <c r="E70" s="1310"/>
      <c r="F70" s="1310"/>
      <c r="G70" s="1310"/>
      <c r="H70" s="1310"/>
      <c r="I70" s="1310"/>
      <c r="J70" s="1310"/>
      <c r="K70" s="1310"/>
      <c r="L70" s="1310"/>
      <c r="M70" s="1310"/>
      <c r="N70" s="1310"/>
      <c r="O70" s="1310"/>
      <c r="P70" s="1310"/>
      <c r="Q70" s="1310"/>
      <c r="R70" s="1310"/>
      <c r="S70" s="1310"/>
      <c r="T70" s="1310"/>
      <c r="U70" s="1310"/>
      <c r="V70" s="1310"/>
      <c r="W70" s="1310"/>
      <c r="X70" s="1310"/>
      <c r="Y70" s="1310"/>
      <c r="Z70" s="1310"/>
      <c r="AA70" s="1310"/>
      <c r="AB70" s="1310"/>
      <c r="AC70" s="1310"/>
      <c r="AD70" s="1310"/>
      <c r="AE70" s="1310"/>
      <c r="AF70" s="1310"/>
      <c r="AG70" s="1310"/>
      <c r="AH70" s="1310"/>
      <c r="AI70" s="1310"/>
      <c r="AJ70" s="1310"/>
      <c r="AK70" s="1310"/>
      <c r="AL70" s="1310"/>
      <c r="AM70" s="1310"/>
      <c r="AN70" s="1310"/>
      <c r="AO70" s="1310"/>
      <c r="AP70" s="1310"/>
      <c r="AQ70" s="1310"/>
      <c r="AR70" s="1310"/>
      <c r="AS70" s="1310"/>
      <c r="AT70" s="1310"/>
      <c r="AU70" s="1310"/>
      <c r="AV70" s="1310"/>
      <c r="AW70" s="1310"/>
      <c r="AX70" s="1310"/>
      <c r="AY70" s="1310"/>
      <c r="AZ70" s="1310"/>
      <c r="BA70" s="1310"/>
      <c r="BB70" s="1310"/>
      <c r="BC70" s="1310"/>
      <c r="BD70" s="1310"/>
      <c r="BE70" s="1310"/>
      <c r="BF70" s="882"/>
      <c r="BG70" s="714" t="str">
        <f>IF(AND(BG69=0,BH69=0),"",IF(AND(BG69=0,BH69&gt;0),"",IF(AND(BG69&gt;0,BH69=0),$BH$45,IF(AND(BG69&gt;0,BH69&gt;0),$BH$46))))</f>
        <v/>
      </c>
      <c r="BH70" s="715" t="str">
        <f>IF(AND(BG69=0,BH69=0),"",IF(AND(BG69=0,BH69&gt;0),$BH$47,IF(AND(BG69&gt;0,BH69=0),"",IF(AND(BG69&gt;0,BH69&gt;0),$BH$47))))</f>
        <v/>
      </c>
      <c r="BI70" s="717" t="str">
        <f>IF(AND(BI69=0,BJ69=0),"",IF(AND(BI69=0,BJ69&gt;0),"",IF(AND(BI69&gt;0,BJ69=0),$BH$45,IF(AND(BI69&gt;0,BJ69&gt;0),$BH$46))))</f>
        <v/>
      </c>
      <c r="BJ70" s="716" t="str">
        <f>IF(AND(BI69=0,BJ69=0),"",IF(AND(BI69=0,BJ69&gt;0),$BH$47,IF(AND(BI69&gt;0,BJ69=0),"",IF(AND(BI69&gt;0,BJ69&gt;0),$BH$47))))</f>
        <v/>
      </c>
      <c r="BK70" s="714" t="str">
        <f>IF(AND(BK69=0,BL69=0),"",IF(AND(BK69=0,BL69&gt;0),"",IF(AND(BK69&gt;0,BL69=0),$BH$45,IF(AND(BK69&gt;0,BL69&gt;0),$BH$46))))</f>
        <v/>
      </c>
      <c r="BL70" s="715" t="str">
        <f>IF(AND(BK69=0,BL69=0),"",IF(AND(BK69=0,BL69&gt;0),$BH$47,IF(AND(BK69&gt;0,BL69=0),"",IF(AND(BK69&gt;0,BL69&gt;0),$BH$47))))</f>
        <v/>
      </c>
      <c r="BM70" s="717" t="str">
        <f>IF(AND(BM69=0,BN69=0),"",IF(AND(BM69=0,BN69&gt;0),"",IF(AND(BM69&gt;0,BN69=0),$BH$45,IF(AND(BM69&gt;0,BN69&gt;0),$BH$46))))</f>
        <v/>
      </c>
      <c r="BN70" s="716" t="str">
        <f>IF(AND(BM69=0,BN69=0),"",IF(AND(BM69=0,BN69&gt;0),$BH$47,IF(AND(BM69&gt;0,BN69=0),"",IF(AND(BM69&gt;0,BN69&gt;0),$BH$47))))</f>
        <v/>
      </c>
      <c r="BO70" s="714" t="str">
        <f>IF(AND(BO69=0,BP69=0),"",IF(AND(BO69=0,BP69&gt;0),"",IF(AND(BO69&gt;0,BP69=0),$BH$45,IF(AND(BO69&gt;0,BP69&gt;0),$BH$46))))</f>
        <v/>
      </c>
      <c r="BP70" s="715" t="str">
        <f>IF(AND(BO69=0,BP69=0),"",IF(AND(BO69=0,BP69&gt;0),$BH$47,IF(AND(BO69&gt;0,BP69=0),"",IF(AND(BO69&gt;0,BP69&gt;0),$BH$47))))</f>
        <v/>
      </c>
      <c r="BQ70" s="717" t="str">
        <f>IF(AND(BQ69=0,BR69=0),"",IF(AND(BQ69=0,BR69&gt;0),"",IF(AND(BQ69&gt;0,BR69=0),$BH$45,IF(AND(BQ69&gt;0,BR69&gt;0),$BH$46))))</f>
        <v/>
      </c>
      <c r="BR70" s="716" t="str">
        <f>IF(AND(BQ69=0,BR69=0),"",IF(AND(BQ69=0,BR69&gt;0),$BH$47,IF(AND(BQ69&gt;0,BR69=0),"",IF(AND(BQ69&gt;0,BR69&gt;0),$BH$47))))</f>
        <v/>
      </c>
      <c r="BS70" s="717" t="str">
        <f>IF(AND(BS69=0,BT69=0),"",IF(AND(BS69=0,BT69&gt;0),"",IF(AND(BS69&gt;0,BT69=0),$BH$45,IF(AND(BS69&gt;0,BT69&gt;0),$BH$46))))</f>
        <v/>
      </c>
      <c r="BT70" s="716" t="str">
        <f>IF(AND(BS69=0,BT69=0),"",IF(AND(BS69=0,BT69&gt;0),$BH$47,IF(AND(BS69&gt;0,BT69=0),"",IF(AND(BS69&gt;0,BT69&gt;0),$BH$47))))</f>
        <v/>
      </c>
      <c r="BU70" s="717" t="str">
        <f>IF(AND(BU69=0,BV69=0),"",IF(AND(BU69=0,BV69&gt;0),"",IF(AND(BU69&gt;0,BV69=0),$BH$45,IF(AND(BU69&gt;0,BV69&gt;0),$BH$46))))</f>
        <v/>
      </c>
      <c r="BV70" s="716" t="str">
        <f>IF(AND(BU69=0,BV69=0),"",IF(AND(BU69=0,BV69&gt;0),$BH$47,IF(AND(BU69&gt;0,BV69=0),"",IF(AND(BU69&gt;0,BV69&gt;0),$BH$47))))</f>
        <v/>
      </c>
      <c r="BW70" s="717" t="str">
        <f>IF(AND(BW69=0,BX69=0),"",IF(AND(BW69=0,BX69&gt;0),"",IF(AND(BW69&gt;0,BX69=0),$BH$45,IF(AND(BW69&gt;0,BX69&gt;0),$BH$46))))</f>
        <v/>
      </c>
      <c r="BX70" s="716" t="str">
        <f>IF(AND(BW69=0,BX69=0),"",IF(AND(BW69=0,BX69&gt;0),$BH$47,IF(AND(BW69&gt;0,BX69=0),"",IF(AND(BW69&gt;0,BX69&gt;0),$BH$47))))</f>
        <v/>
      </c>
    </row>
    <row r="71" spans="1:77" ht="15" customHeight="1" x14ac:dyDescent="0.2">
      <c r="A71" s="888" t="str">
        <f>IF(Dados!$W$32=0,$BH$224,"")</f>
        <v>NÃO HOUVE</v>
      </c>
      <c r="B71" s="367"/>
      <c r="C71" s="367"/>
      <c r="D71" s="367"/>
      <c r="E71" s="367"/>
      <c r="F71" s="367"/>
      <c r="G71" s="367"/>
      <c r="H71" s="1305"/>
      <c r="I71" s="1305"/>
      <c r="J71" s="1305"/>
      <c r="K71" s="1305"/>
      <c r="L71" s="1305"/>
      <c r="M71" s="1305"/>
      <c r="N71" s="1305"/>
      <c r="O71" s="1305"/>
      <c r="P71" s="1305"/>
      <c r="Q71" s="1305"/>
      <c r="R71" s="1305"/>
      <c r="S71" s="1305"/>
      <c r="T71" s="1305"/>
      <c r="U71" s="1305"/>
      <c r="V71" s="1305"/>
      <c r="W71" s="1305" t="s">
        <v>181</v>
      </c>
      <c r="X71" s="1305"/>
      <c r="Y71" s="1305"/>
      <c r="Z71" s="1305"/>
      <c r="AA71" s="1305"/>
      <c r="AB71" s="1305"/>
      <c r="AC71" s="1305"/>
      <c r="AD71" s="1305"/>
      <c r="AE71" s="1305"/>
      <c r="AF71" s="1305" t="s">
        <v>182</v>
      </c>
      <c r="AG71" s="1305"/>
      <c r="AH71" s="1305"/>
      <c r="AI71" s="1305"/>
      <c r="AJ71" s="1305"/>
      <c r="AK71" s="1305"/>
      <c r="AL71" s="1305"/>
      <c r="AM71" s="1305"/>
      <c r="AN71" s="1305"/>
      <c r="AO71" s="1305" t="s">
        <v>440</v>
      </c>
      <c r="AP71" s="1305"/>
      <c r="AQ71" s="1305"/>
      <c r="AR71" s="1305"/>
      <c r="AS71" s="1305"/>
      <c r="AT71" s="1305"/>
      <c r="AU71" s="1305"/>
      <c r="AV71" s="1305"/>
      <c r="AW71" s="1305"/>
      <c r="AX71" s="367"/>
      <c r="AY71" s="367"/>
      <c r="AZ71" s="367"/>
      <c r="BA71" s="367"/>
      <c r="BB71" s="367"/>
      <c r="BC71" s="367"/>
      <c r="BD71" s="367"/>
      <c r="BE71" s="367"/>
      <c r="BF71" s="882"/>
    </row>
    <row r="72" spans="1:77" ht="15" customHeight="1" x14ac:dyDescent="0.2">
      <c r="A72" s="874" t="str">
        <f>IF(Dados!$W$32=0,$BH$224,"")</f>
        <v>NÃO HOUVE</v>
      </c>
      <c r="B72" s="367"/>
      <c r="C72" s="367"/>
      <c r="D72" s="367"/>
      <c r="E72" s="367"/>
      <c r="F72" s="367"/>
      <c r="G72" s="367"/>
      <c r="H72" s="1295" t="s">
        <v>1323</v>
      </c>
      <c r="I72" s="1296"/>
      <c r="J72" s="1296"/>
      <c r="K72" s="1296"/>
      <c r="L72" s="1296"/>
      <c r="M72" s="1296"/>
      <c r="N72" s="1296"/>
      <c r="O72" s="1296"/>
      <c r="P72" s="1296"/>
      <c r="Q72" s="1296"/>
      <c r="R72" s="1296"/>
      <c r="S72" s="1296"/>
      <c r="T72" s="1296"/>
      <c r="U72" s="1296"/>
      <c r="V72" s="1297"/>
      <c r="W72" s="1302" t="str">
        <f>Dados!$F$32</f>
        <v/>
      </c>
      <c r="X72" s="1302"/>
      <c r="Y72" s="1302"/>
      <c r="Z72" s="1302"/>
      <c r="AA72" s="1302"/>
      <c r="AB72" s="1302"/>
      <c r="AC72" s="1302"/>
      <c r="AD72" s="1302"/>
      <c r="AE72" s="1302"/>
      <c r="AF72" s="1308"/>
      <c r="AG72" s="1308"/>
      <c r="AH72" s="1308"/>
      <c r="AI72" s="1308"/>
      <c r="AJ72" s="1308"/>
      <c r="AK72" s="1308"/>
      <c r="AL72" s="1308"/>
      <c r="AM72" s="1308"/>
      <c r="AN72" s="1308"/>
      <c r="AO72" s="1298" t="e">
        <f>W72+AF72</f>
        <v>#VALUE!</v>
      </c>
      <c r="AP72" s="1298"/>
      <c r="AQ72" s="1298"/>
      <c r="AR72" s="1298"/>
      <c r="AS72" s="1298"/>
      <c r="AT72" s="1298"/>
      <c r="AU72" s="1298"/>
      <c r="AV72" s="1298"/>
      <c r="AW72" s="1298"/>
      <c r="AX72" s="367"/>
      <c r="AY72" s="367"/>
      <c r="AZ72" s="367"/>
      <c r="BA72" s="367"/>
      <c r="BB72" s="367"/>
      <c r="BC72" s="367"/>
      <c r="BD72" s="367"/>
      <c r="BE72" s="367"/>
      <c r="BF72" s="882"/>
      <c r="BG72" s="718" t="s">
        <v>444</v>
      </c>
      <c r="BO72" s="168"/>
      <c r="BP72" s="168"/>
    </row>
    <row r="73" spans="1:77" ht="15" customHeight="1" x14ac:dyDescent="0.2">
      <c r="A73" s="874" t="str">
        <f>IF(Dados!$W$32=0,$BH$224,"")</f>
        <v>NÃO HOUVE</v>
      </c>
      <c r="B73" s="367"/>
      <c r="C73" s="367"/>
      <c r="D73" s="367"/>
      <c r="E73" s="367"/>
      <c r="F73" s="367"/>
      <c r="G73" s="367"/>
      <c r="H73" s="1295" t="s">
        <v>1326</v>
      </c>
      <c r="I73" s="1296"/>
      <c r="J73" s="1296"/>
      <c r="K73" s="1296"/>
      <c r="L73" s="1296"/>
      <c r="M73" s="1296"/>
      <c r="N73" s="1296"/>
      <c r="O73" s="1296"/>
      <c r="P73" s="1296"/>
      <c r="Q73" s="1296"/>
      <c r="R73" s="1296"/>
      <c r="S73" s="1296"/>
      <c r="T73" s="1296"/>
      <c r="U73" s="1296"/>
      <c r="V73" s="1297"/>
      <c r="W73" s="1302" t="str">
        <f>Dados!$F$30</f>
        <v/>
      </c>
      <c r="X73" s="1302"/>
      <c r="Y73" s="1302"/>
      <c r="Z73" s="1302"/>
      <c r="AA73" s="1302"/>
      <c r="AB73" s="1302"/>
      <c r="AC73" s="1302"/>
      <c r="AD73" s="1302"/>
      <c r="AE73" s="1302"/>
      <c r="AF73" s="1308"/>
      <c r="AG73" s="1308"/>
      <c r="AH73" s="1308"/>
      <c r="AI73" s="1308"/>
      <c r="AJ73" s="1308"/>
      <c r="AK73" s="1308"/>
      <c r="AL73" s="1308"/>
      <c r="AM73" s="1308"/>
      <c r="AN73" s="1308"/>
      <c r="AO73" s="1298" t="e">
        <f>W73+AF73</f>
        <v>#VALUE!</v>
      </c>
      <c r="AP73" s="1298"/>
      <c r="AQ73" s="1298"/>
      <c r="AR73" s="1298"/>
      <c r="AS73" s="1298"/>
      <c r="AT73" s="1298"/>
      <c r="AU73" s="1298"/>
      <c r="AV73" s="1298"/>
      <c r="AW73" s="1298"/>
      <c r="AX73" s="367"/>
      <c r="AY73" s="367"/>
      <c r="AZ73" s="367"/>
      <c r="BA73" s="367"/>
      <c r="BB73" s="367"/>
      <c r="BC73" s="367"/>
      <c r="BD73" s="367"/>
      <c r="BE73" s="367"/>
      <c r="BF73" s="882"/>
      <c r="BG73" s="484" t="e">
        <f>SUM(BG64,BI64,BK64,BM64,BO64,BQ64,BS64,BU64,BW64)</f>
        <v>#VALUE!</v>
      </c>
      <c r="BH73" s="484" t="e">
        <f>SUM(BH64,BJ64,BL64,BN64,BP64,BR64,BT64,BV64,BX64)</f>
        <v>#VALUE!</v>
      </c>
      <c r="BO73" s="168"/>
      <c r="BP73" s="168"/>
    </row>
    <row r="74" spans="1:77" ht="15" customHeight="1" x14ac:dyDescent="0.2">
      <c r="A74" s="874" t="str">
        <f>IF(Dados!$W$32=0,$BH$224,"")</f>
        <v>NÃO HOUVE</v>
      </c>
      <c r="B74" s="367"/>
      <c r="C74" s="367"/>
      <c r="D74" s="367"/>
      <c r="E74" s="367"/>
      <c r="F74" s="367"/>
      <c r="G74" s="367"/>
      <c r="H74" s="1295" t="s">
        <v>1325</v>
      </c>
      <c r="I74" s="1296"/>
      <c r="J74" s="1296"/>
      <c r="K74" s="1296"/>
      <c r="L74" s="1296"/>
      <c r="M74" s="1296"/>
      <c r="N74" s="1296"/>
      <c r="O74" s="1296"/>
      <c r="P74" s="1296"/>
      <c r="Q74" s="1296"/>
      <c r="R74" s="1296"/>
      <c r="S74" s="1296"/>
      <c r="T74" s="1296"/>
      <c r="U74" s="1296"/>
      <c r="V74" s="1297"/>
      <c r="W74" s="1302" t="str">
        <f>IF(Dados!$E$3="","",MOD_2_transporte!$P$15)</f>
        <v/>
      </c>
      <c r="X74" s="1302"/>
      <c r="Y74" s="1302"/>
      <c r="Z74" s="1302"/>
      <c r="AA74" s="1302"/>
      <c r="AB74" s="1302"/>
      <c r="AC74" s="1302"/>
      <c r="AD74" s="1302"/>
      <c r="AE74" s="1302"/>
      <c r="AF74" s="1308"/>
      <c r="AG74" s="1308"/>
      <c r="AH74" s="1308"/>
      <c r="AI74" s="1308"/>
      <c r="AJ74" s="1308"/>
      <c r="AK74" s="1308"/>
      <c r="AL74" s="1308"/>
      <c r="AM74" s="1308"/>
      <c r="AN74" s="1308"/>
      <c r="AO74" s="1298" t="e">
        <f>W74+AF74</f>
        <v>#VALUE!</v>
      </c>
      <c r="AP74" s="1298"/>
      <c r="AQ74" s="1298"/>
      <c r="AR74" s="1298"/>
      <c r="AS74" s="1298"/>
      <c r="AT74" s="1298"/>
      <c r="AU74" s="1298"/>
      <c r="AV74" s="1298"/>
      <c r="AW74" s="1298"/>
      <c r="AX74" s="367"/>
      <c r="AY74" s="367"/>
      <c r="AZ74" s="367"/>
      <c r="BA74" s="367"/>
      <c r="BB74" s="367"/>
      <c r="BC74" s="367"/>
      <c r="BD74" s="367"/>
      <c r="BE74" s="367"/>
      <c r="BF74" s="882"/>
      <c r="BO74" s="758"/>
      <c r="BP74" s="758"/>
    </row>
    <row r="75" spans="1:77" ht="15" customHeight="1" x14ac:dyDescent="0.2">
      <c r="A75" s="874" t="str">
        <f>IF(Dados!$W$32=0,$BH$224,"")</f>
        <v>NÃO HOUVE</v>
      </c>
      <c r="B75" s="367"/>
      <c r="C75" s="367"/>
      <c r="D75" s="367"/>
      <c r="E75" s="367"/>
      <c r="F75" s="367"/>
      <c r="G75" s="367"/>
      <c r="H75" s="1295" t="s">
        <v>1324</v>
      </c>
      <c r="I75" s="1296"/>
      <c r="J75" s="1296"/>
      <c r="K75" s="1296"/>
      <c r="L75" s="1296"/>
      <c r="M75" s="1296"/>
      <c r="N75" s="1296"/>
      <c r="O75" s="1296"/>
      <c r="P75" s="1296"/>
      <c r="Q75" s="1296"/>
      <c r="R75" s="1296"/>
      <c r="S75" s="1296"/>
      <c r="T75" s="1296"/>
      <c r="U75" s="1296"/>
      <c r="V75" s="1297"/>
      <c r="W75" s="1298" t="e">
        <f>SUM(W72:AE73)-W74</f>
        <v>#VALUE!</v>
      </c>
      <c r="X75" s="1298"/>
      <c r="Y75" s="1298"/>
      <c r="Z75" s="1298"/>
      <c r="AA75" s="1298"/>
      <c r="AB75" s="1298"/>
      <c r="AC75" s="1298"/>
      <c r="AD75" s="1298"/>
      <c r="AE75" s="1298"/>
      <c r="AF75" s="1311"/>
      <c r="AG75" s="1311"/>
      <c r="AH75" s="1311"/>
      <c r="AI75" s="1311"/>
      <c r="AJ75" s="1311"/>
      <c r="AK75" s="1311"/>
      <c r="AL75" s="1311"/>
      <c r="AM75" s="1311"/>
      <c r="AN75" s="1311"/>
      <c r="AO75" s="1298" t="e">
        <f>W75+AF75</f>
        <v>#VALUE!</v>
      </c>
      <c r="AP75" s="1298"/>
      <c r="AQ75" s="1298"/>
      <c r="AR75" s="1298"/>
      <c r="AS75" s="1298"/>
      <c r="AT75" s="1298"/>
      <c r="AU75" s="1298"/>
      <c r="AV75" s="1298"/>
      <c r="AW75" s="1298"/>
      <c r="AX75" s="367"/>
      <c r="AY75" s="367"/>
      <c r="AZ75" s="367"/>
      <c r="BA75" s="367"/>
      <c r="BB75" s="367"/>
      <c r="BC75" s="367"/>
      <c r="BD75" s="367"/>
      <c r="BE75" s="367"/>
      <c r="BF75" s="882"/>
      <c r="BO75" s="758"/>
      <c r="BP75" s="758"/>
    </row>
    <row r="76" spans="1:77" ht="9.75" customHeight="1" x14ac:dyDescent="0.2">
      <c r="A76" s="874" t="str">
        <f>IF(Dados!$W$32=0,$BH$224,"")</f>
        <v>NÃO HOUVE</v>
      </c>
      <c r="B76" s="1310"/>
      <c r="C76" s="1310"/>
      <c r="D76" s="1310"/>
      <c r="E76" s="1310"/>
      <c r="F76" s="1310"/>
      <c r="G76" s="1310"/>
      <c r="H76" s="1310"/>
      <c r="I76" s="1310"/>
      <c r="J76" s="1310"/>
      <c r="K76" s="1310"/>
      <c r="L76" s="1310"/>
      <c r="M76" s="1310"/>
      <c r="N76" s="1310"/>
      <c r="O76" s="1310"/>
      <c r="P76" s="1310"/>
      <c r="Q76" s="1310"/>
      <c r="R76" s="1310"/>
      <c r="S76" s="1310"/>
      <c r="T76" s="1310"/>
      <c r="U76" s="1310"/>
      <c r="V76" s="1310"/>
      <c r="W76" s="1310"/>
      <c r="X76" s="1310"/>
      <c r="Y76" s="1310"/>
      <c r="Z76" s="1310"/>
      <c r="AA76" s="1310"/>
      <c r="AB76" s="1310"/>
      <c r="AC76" s="1310"/>
      <c r="AD76" s="1310"/>
      <c r="AE76" s="1310"/>
      <c r="AF76" s="1310"/>
      <c r="AG76" s="1310"/>
      <c r="AH76" s="1310"/>
      <c r="AI76" s="1310"/>
      <c r="AJ76" s="1310"/>
      <c r="AK76" s="1310"/>
      <c r="AL76" s="1310"/>
      <c r="AM76" s="1310"/>
      <c r="AN76" s="1310"/>
      <c r="AO76" s="1310"/>
      <c r="AP76" s="1310"/>
      <c r="AQ76" s="1310"/>
      <c r="AR76" s="1310"/>
      <c r="AS76" s="1310"/>
      <c r="AT76" s="1310"/>
      <c r="AU76" s="1310"/>
      <c r="AV76" s="1310"/>
      <c r="AW76" s="1310"/>
      <c r="AX76" s="1310"/>
      <c r="AY76" s="1310"/>
      <c r="AZ76" s="1310"/>
      <c r="BA76" s="1310"/>
      <c r="BB76" s="1310"/>
      <c r="BC76" s="1310"/>
      <c r="BD76" s="1310"/>
      <c r="BE76" s="1310"/>
      <c r="BF76" s="882"/>
      <c r="BO76" s="758"/>
      <c r="BP76" s="758"/>
    </row>
    <row r="77" spans="1:77" ht="15" customHeight="1" x14ac:dyDescent="0.2">
      <c r="A77" s="889" t="str">
        <f>IF(Dados!$W$32=0,$BH$224,"")</f>
        <v>NÃO HOUVE</v>
      </c>
      <c r="B77" s="1299" t="str">
        <f>IF($W$74=0,$BH$41,$BH$39)</f>
        <v>- As aquisições com os recursos de custeio foram da ordem de</v>
      </c>
      <c r="C77" s="1299"/>
      <c r="D77" s="1299"/>
      <c r="E77" s="1299"/>
      <c r="F77" s="1299"/>
      <c r="G77" s="1299"/>
      <c r="H77" s="1299"/>
      <c r="I77" s="1299"/>
      <c r="J77" s="1299"/>
      <c r="K77" s="1299"/>
      <c r="L77" s="1299"/>
      <c r="M77" s="1299"/>
      <c r="N77" s="1299"/>
      <c r="O77" s="1299"/>
      <c r="P77" s="1299"/>
      <c r="Q77" s="1299"/>
      <c r="R77" s="1299"/>
      <c r="S77" s="1299"/>
      <c r="T77" s="1299"/>
      <c r="U77" s="1299"/>
      <c r="V77" s="1299"/>
      <c r="W77" s="1299"/>
      <c r="X77" s="1299"/>
      <c r="Y77" s="1299"/>
      <c r="Z77" s="1299"/>
      <c r="AA77" s="1299"/>
      <c r="AB77" s="1299"/>
      <c r="AC77" s="1299"/>
      <c r="AD77" s="1299"/>
      <c r="AE77" s="1299"/>
      <c r="AF77" s="1299"/>
      <c r="AG77" s="1300" t="str">
        <f>IF($W$74=0,"",$W$74)</f>
        <v/>
      </c>
      <c r="AH77" s="1300"/>
      <c r="AI77" s="1300"/>
      <c r="AJ77" s="1300"/>
      <c r="AK77" s="1300"/>
      <c r="AL77" s="1300"/>
      <c r="AM77" s="1300"/>
      <c r="AN77" s="1300"/>
      <c r="AO77" s="1300"/>
      <c r="AP77" s="1300"/>
      <c r="AQ77" s="1289" t="str">
        <f>IF($W$74&gt;0,$BI$39,"")</f>
        <v>e relacionadas a seguir:</v>
      </c>
      <c r="AR77" s="1289"/>
      <c r="AS77" s="1289"/>
      <c r="AT77" s="1289"/>
      <c r="AU77" s="1289"/>
      <c r="AV77" s="1289"/>
      <c r="AW77" s="1289"/>
      <c r="AX77" s="1289"/>
      <c r="AY77" s="1289"/>
      <c r="AZ77" s="1289"/>
      <c r="BA77" s="1289"/>
      <c r="BB77" s="1289"/>
      <c r="BC77" s="1289"/>
      <c r="BD77" s="1289"/>
      <c r="BE77" s="681"/>
      <c r="BF77" s="882"/>
      <c r="BJ77" s="192"/>
      <c r="BO77" s="168"/>
      <c r="BP77" s="168"/>
    </row>
    <row r="78" spans="1:77" ht="35.25" hidden="1" customHeight="1" x14ac:dyDescent="0.2">
      <c r="A78" s="885" t="str">
        <f>IF(Dados!$W$32=0,$BH$224,IF($W$74=0,$BH$224,IF($B$78&gt;0,"Aumente ou diminua a altura da linha 78")))</f>
        <v>NÃO HOUVE</v>
      </c>
      <c r="B78" s="1290" t="str">
        <f>IF(Despesas!$FQ$1=0,"",Despesas!$FQ$1)</f>
        <v/>
      </c>
      <c r="C78" s="1290"/>
      <c r="D78" s="1290"/>
      <c r="E78" s="1290"/>
      <c r="F78" s="1290"/>
      <c r="G78" s="1290"/>
      <c r="H78" s="1290"/>
      <c r="I78" s="1290"/>
      <c r="J78" s="1290"/>
      <c r="K78" s="1290"/>
      <c r="L78" s="1290"/>
      <c r="M78" s="1290"/>
      <c r="N78" s="1290"/>
      <c r="O78" s="1290"/>
      <c r="P78" s="1290"/>
      <c r="Q78" s="1290"/>
      <c r="R78" s="1290"/>
      <c r="S78" s="1290"/>
      <c r="T78" s="1290"/>
      <c r="U78" s="1290"/>
      <c r="V78" s="1290"/>
      <c r="W78" s="1290"/>
      <c r="X78" s="1290"/>
      <c r="Y78" s="1290"/>
      <c r="Z78" s="1290"/>
      <c r="AA78" s="1290"/>
      <c r="AB78" s="1290"/>
      <c r="AC78" s="1290"/>
      <c r="AD78" s="1290"/>
      <c r="AE78" s="1290"/>
      <c r="AF78" s="1290"/>
      <c r="AG78" s="1290"/>
      <c r="AH78" s="1290"/>
      <c r="AI78" s="1290"/>
      <c r="AJ78" s="1290"/>
      <c r="AK78" s="1290"/>
      <c r="AL78" s="1290"/>
      <c r="AM78" s="1290"/>
      <c r="AN78" s="1290"/>
      <c r="AO78" s="1290"/>
      <c r="AP78" s="1290"/>
      <c r="AQ78" s="1290"/>
      <c r="AR78" s="1290"/>
      <c r="AS78" s="1290"/>
      <c r="AT78" s="1290"/>
      <c r="AU78" s="1290"/>
      <c r="AV78" s="1290"/>
      <c r="AW78" s="1290"/>
      <c r="AX78" s="1290"/>
      <c r="AY78" s="1290"/>
      <c r="AZ78" s="1290"/>
      <c r="BA78" s="1290"/>
      <c r="BB78" s="1290"/>
      <c r="BC78" s="1290"/>
      <c r="BD78" s="1290"/>
      <c r="BE78" s="1290"/>
      <c r="BF78" s="882"/>
      <c r="BO78" s="168"/>
      <c r="BP78" s="168"/>
    </row>
    <row r="79" spans="1:77" ht="35.25" hidden="1" customHeight="1" x14ac:dyDescent="0.2">
      <c r="A79" s="885" t="str">
        <f>IF(Dados!$W$32=0,$BH$224,IF($W$74=0,$BH$224,IF($B$79="","Observações se houverem","Aumente ou diminua a altura da linha 79")))</f>
        <v>NÃO HOUVE</v>
      </c>
      <c r="B79" s="1291" t="s">
        <v>1322</v>
      </c>
      <c r="C79" s="1292"/>
      <c r="D79" s="1292"/>
      <c r="E79" s="1292"/>
      <c r="F79" s="1292"/>
      <c r="G79" s="1292"/>
      <c r="H79" s="1292"/>
      <c r="I79" s="1292"/>
      <c r="J79" s="1292"/>
      <c r="K79" s="1292"/>
      <c r="L79" s="1292"/>
      <c r="M79" s="1292"/>
      <c r="N79" s="1292"/>
      <c r="O79" s="1292"/>
      <c r="P79" s="1292"/>
      <c r="Q79" s="1292"/>
      <c r="R79" s="1292"/>
      <c r="S79" s="1292"/>
      <c r="T79" s="1292"/>
      <c r="U79" s="1292"/>
      <c r="V79" s="1292"/>
      <c r="W79" s="1292"/>
      <c r="X79" s="1292"/>
      <c r="Y79" s="1292"/>
      <c r="Z79" s="1292"/>
      <c r="AA79" s="1292"/>
      <c r="AB79" s="1292"/>
      <c r="AC79" s="1292"/>
      <c r="AD79" s="1292"/>
      <c r="AE79" s="1292"/>
      <c r="AF79" s="1292"/>
      <c r="AG79" s="1292"/>
      <c r="AH79" s="1292"/>
      <c r="AI79" s="1292"/>
      <c r="AJ79" s="1292"/>
      <c r="AK79" s="1292"/>
      <c r="AL79" s="1292"/>
      <c r="AM79" s="1292"/>
      <c r="AN79" s="1292"/>
      <c r="AO79" s="1292"/>
      <c r="AP79" s="1292"/>
      <c r="AQ79" s="1292"/>
      <c r="AR79" s="1292"/>
      <c r="AS79" s="1292"/>
      <c r="AT79" s="1292"/>
      <c r="AU79" s="1292"/>
      <c r="AV79" s="1292"/>
      <c r="AW79" s="1292"/>
      <c r="AX79" s="1292"/>
      <c r="AY79" s="1292"/>
      <c r="AZ79" s="1292"/>
      <c r="BA79" s="1292"/>
      <c r="BB79" s="1292"/>
      <c r="BC79" s="1292"/>
      <c r="BD79" s="1292"/>
      <c r="BE79" s="1292"/>
      <c r="BF79" s="874"/>
      <c r="BO79" s="168"/>
      <c r="BP79" s="168"/>
    </row>
    <row r="80" spans="1:77" ht="15" hidden="1" customHeight="1" x14ac:dyDescent="0.2">
      <c r="A80" s="894" t="str">
        <f>IF(AND($A$81=$BK$46,$A$82=$BK$46),$BK$46,$BK$47)</f>
        <v>NÃO HOUVE</v>
      </c>
      <c r="B80" s="1293"/>
      <c r="C80" s="1293"/>
      <c r="D80" s="1293"/>
      <c r="E80" s="1293"/>
      <c r="F80" s="1293"/>
      <c r="G80" s="1293"/>
      <c r="H80" s="1293"/>
      <c r="I80" s="1293"/>
      <c r="J80" s="1293"/>
      <c r="K80" s="1293"/>
      <c r="L80" s="1293"/>
      <c r="M80" s="1293"/>
      <c r="N80" s="1293"/>
      <c r="O80" s="1293"/>
      <c r="P80" s="1293"/>
      <c r="Q80" s="1293"/>
      <c r="R80" s="1293"/>
      <c r="S80" s="1293"/>
      <c r="T80" s="1293"/>
      <c r="U80" s="1293"/>
      <c r="V80" s="1293"/>
      <c r="W80" s="1293"/>
      <c r="X80" s="1293"/>
      <c r="Y80" s="1293"/>
      <c r="Z80" s="1293"/>
      <c r="AA80" s="1293"/>
      <c r="AB80" s="1293"/>
      <c r="AC80" s="1293"/>
      <c r="AD80" s="1293"/>
      <c r="AE80" s="1293"/>
      <c r="AF80" s="1293"/>
      <c r="AG80" s="1293"/>
      <c r="AH80" s="1293"/>
      <c r="AI80" s="1293"/>
      <c r="AJ80" s="1293"/>
      <c r="AK80" s="1293"/>
      <c r="AL80" s="1293"/>
      <c r="AM80" s="1293"/>
      <c r="AN80" s="1293"/>
      <c r="AO80" s="1293"/>
      <c r="AP80" s="1293"/>
      <c r="AQ80" s="1293"/>
      <c r="AR80" s="1293"/>
      <c r="AS80" s="1293"/>
      <c r="AT80" s="1293"/>
      <c r="AU80" s="1293"/>
      <c r="AV80" s="1293"/>
      <c r="AW80" s="1293"/>
      <c r="AX80" s="1293"/>
      <c r="AY80" s="1293"/>
      <c r="AZ80" s="1293"/>
      <c r="BA80" s="1293"/>
      <c r="BB80" s="1293"/>
      <c r="BC80" s="1293"/>
      <c r="BD80" s="1293"/>
      <c r="BE80" s="1293"/>
      <c r="BF80" s="874"/>
      <c r="BO80" s="168"/>
      <c r="BP80" s="168"/>
    </row>
    <row r="81" spans="1:68" ht="18.75" hidden="1" customHeight="1" x14ac:dyDescent="0.2">
      <c r="A81" s="887" t="str">
        <f>IF(Dados!$W$32=0,$BH$224,IF(AND($BM$69=0,$BN$69=0),$BH$224,IF(AND($BM$69&gt;0,$BN$69=0),$BH$226,IF(AND($BM$69=0,$BN$69&gt;0),$BH$227,IF(AND($BM$69&gt;0,$BN$69&gt;0),$BH$228)))))</f>
        <v>NÃO HOUVE</v>
      </c>
      <c r="B81" s="1286" t="str">
        <f>IF(AND($BM$69=0,$BN$69=0),"",$BG$72)</f>
        <v/>
      </c>
      <c r="C81" s="1286"/>
      <c r="D81" s="1286"/>
      <c r="E81" s="1286"/>
      <c r="F81" s="1286"/>
      <c r="G81" s="1286"/>
      <c r="H81" s="1286"/>
      <c r="I81" s="1286"/>
      <c r="J81" s="1286"/>
      <c r="K81" s="1286"/>
      <c r="L81" s="1286"/>
      <c r="M81" s="1286"/>
      <c r="N81" s="1286"/>
      <c r="O81" s="1286"/>
      <c r="P81" s="1286"/>
      <c r="Q81" s="1286"/>
      <c r="R81" s="1294" t="str">
        <f>IF(AND($BM$69=0,$BN$69=0),"",IF(AND($BM$69=0,$BN$69&gt;0),"",IF(AND($BM$69&gt;0,$BN$69=0),$BM$69,IF(AND($BM$69&gt;0,$BN$69&gt;0),$BM$69))))</f>
        <v/>
      </c>
      <c r="S81" s="1294"/>
      <c r="T81" s="1294"/>
      <c r="U81" s="1294"/>
      <c r="V81" s="1294"/>
      <c r="W81" s="1294"/>
      <c r="X81" s="1294"/>
      <c r="Y81" s="1288" t="str">
        <f>IF(AND($BM$69=0,$BN$69=0),"",IF(AND($BM$69=0,$BN$69&gt;0),"",IF(AND($BM$69&gt;0,$BN$69=0),$BM$70,IF(AND($BM$69&gt;0,$BN$69&gt;0),$BM$70))))</f>
        <v/>
      </c>
      <c r="Z81" s="1288"/>
      <c r="AA81" s="1288"/>
      <c r="AB81" s="1288"/>
      <c r="AC81" s="1288"/>
      <c r="AD81" s="1288"/>
      <c r="AE81" s="1288"/>
      <c r="AF81" s="1288"/>
      <c r="AG81" s="1288"/>
      <c r="AH81" s="1288"/>
      <c r="AI81" s="1288"/>
      <c r="AJ81" s="1288"/>
      <c r="AK81" s="1288"/>
      <c r="AL81" s="1294" t="str">
        <f>IF(AND($BM$69=0,$BN$69=0),"",IF(AND($BM$69=0,$BN$69&gt;0),$BN$69,IF(AND($BM$69&gt;0,$BN$69=0),"",IF(AND($BM$69&gt;0,$BN$69&gt;0),$BN$69))))</f>
        <v/>
      </c>
      <c r="AM81" s="1294"/>
      <c r="AN81" s="1294"/>
      <c r="AO81" s="1294"/>
      <c r="AP81" s="1294"/>
      <c r="AQ81" s="1294"/>
      <c r="AR81" s="1294"/>
      <c r="AS81" s="1289" t="str">
        <f>IF(AND($BM$69=0,$BN$69=0),"",IF(AND($BM$69=0,$BN$69&gt;0),$BN$70,IF(AND($BM$69&gt;0,$BN$69=0),"",IF(AND($BM$69&gt;0,$BN$69&gt;0),$BN$70))))</f>
        <v/>
      </c>
      <c r="AT81" s="1289"/>
      <c r="AU81" s="1289"/>
      <c r="AV81" s="1289"/>
      <c r="AW81" s="1289"/>
      <c r="AX81" s="1289"/>
      <c r="AY81" s="1289"/>
      <c r="AZ81" s="1289"/>
      <c r="BA81" s="1289"/>
      <c r="BB81" s="1289"/>
      <c r="BC81" s="1289"/>
      <c r="BD81" s="1289"/>
      <c r="BE81" s="1289"/>
      <c r="BF81" s="874"/>
      <c r="BO81" s="168"/>
      <c r="BP81" s="168"/>
    </row>
    <row r="82" spans="1:68" ht="18.75" hidden="1" customHeight="1" x14ac:dyDescent="0.2">
      <c r="A82" s="887" t="str">
        <f>IF(Dados!$W$32=0,$BH$224,IF(AND($BM$66=0,$BN$66=0),$BH$224,IF(AND($BM$66&gt;0,$BN$66=0),$BH$226,IF(AND($BM$66="",$BN$66&gt;0),$BH$227,IF(AND($BM$66&gt;0,$BN$66&gt;0),$BH$228)))))</f>
        <v>NÃO HOUVE</v>
      </c>
      <c r="B82" s="1286" t="str">
        <f>IF(OR($A$82=$BH$224,$A$82=$BH$225),"",$BG$72)</f>
        <v/>
      </c>
      <c r="C82" s="1286"/>
      <c r="D82" s="1286"/>
      <c r="E82" s="1286"/>
      <c r="F82" s="1286"/>
      <c r="G82" s="1286"/>
      <c r="H82" s="1286"/>
      <c r="I82" s="1286"/>
      <c r="J82" s="1286"/>
      <c r="K82" s="1286"/>
      <c r="L82" s="1286"/>
      <c r="M82" s="1286"/>
      <c r="N82" s="1286"/>
      <c r="O82" s="1286"/>
      <c r="P82" s="1286"/>
      <c r="Q82" s="1286"/>
      <c r="R82" s="1294" t="e">
        <f>IF(AND($BM$66=0,$BN$66=0),"",IF(AND($BM$66=0,$BN$66&gt;0),$BN$66,IF(AND($BM$66&gt;0,$BN$66=0),$BM$66,IF(AND($BM$66&gt;0,$BN$66&gt;0),$BM$66))))</f>
        <v>#VALUE!</v>
      </c>
      <c r="S82" s="1294"/>
      <c r="T82" s="1294"/>
      <c r="U82" s="1294"/>
      <c r="V82" s="1294"/>
      <c r="W82" s="1294"/>
      <c r="X82" s="1294"/>
      <c r="Y82" s="1288" t="str">
        <f>IF(OR($A$82=$BH$224,$A$82=$BH$225),"",IF($A$82=$BH$226,$BH$45,IF($A$82=$BH$227,"",IF($A$82=$BH$228,$BH$46))))</f>
        <v/>
      </c>
      <c r="Z82" s="1288"/>
      <c r="AA82" s="1288"/>
      <c r="AB82" s="1288"/>
      <c r="AC82" s="1288"/>
      <c r="AD82" s="1288"/>
      <c r="AE82" s="1288"/>
      <c r="AF82" s="1288"/>
      <c r="AG82" s="1288"/>
      <c r="AH82" s="1288"/>
      <c r="AI82" s="1288"/>
      <c r="AJ82" s="1288"/>
      <c r="AK82" s="1288"/>
      <c r="AL82" s="1294" t="e">
        <f>IF(AND($BM$66=0,$BN$66=0),"",IF(AND($BM$66=0,$BN$66&gt;0),"",IF(AND($BM$66&gt;0,$BN$66=0),"",IF(AND($BM$66&gt;0,$BN$66&gt;0),$BN$66))))</f>
        <v>#VALUE!</v>
      </c>
      <c r="AM82" s="1294"/>
      <c r="AN82" s="1294"/>
      <c r="AO82" s="1294"/>
      <c r="AP82" s="1294"/>
      <c r="AQ82" s="1294"/>
      <c r="AR82" s="1294"/>
      <c r="AS82" s="1289" t="str">
        <f>IF(OR($A$82=$BH$224,$A$82=$BH$225,$A$82=$BH$226),"",$BH$47)</f>
        <v/>
      </c>
      <c r="AT82" s="1289"/>
      <c r="AU82" s="1289"/>
      <c r="AV82" s="1289"/>
      <c r="AW82" s="1289"/>
      <c r="AX82" s="1289"/>
      <c r="AY82" s="1289"/>
      <c r="AZ82" s="1289"/>
      <c r="BA82" s="1289"/>
      <c r="BB82" s="1289"/>
      <c r="BC82" s="1289"/>
      <c r="BD82" s="1289"/>
      <c r="BE82" s="1289"/>
      <c r="BF82" s="874"/>
      <c r="BO82" s="168"/>
      <c r="BP82" s="168"/>
    </row>
    <row r="83" spans="1:68" ht="18.75" customHeight="1" x14ac:dyDescent="0.2">
      <c r="A83" s="970" t="s">
        <v>1386</v>
      </c>
      <c r="B83" s="1286" t="str">
        <f>IF($A$83=$BH$230,"",$BG$72)</f>
        <v/>
      </c>
      <c r="C83" s="1286"/>
      <c r="D83" s="1286"/>
      <c r="E83" s="1286"/>
      <c r="F83" s="1286"/>
      <c r="G83" s="1286"/>
      <c r="H83" s="1286"/>
      <c r="I83" s="1286"/>
      <c r="J83" s="1286"/>
      <c r="K83" s="1286"/>
      <c r="L83" s="1286"/>
      <c r="M83" s="1286"/>
      <c r="N83" s="1286"/>
      <c r="O83" s="1286"/>
      <c r="P83" s="1286"/>
      <c r="Q83" s="1286"/>
      <c r="R83" s="1287"/>
      <c r="S83" s="1287"/>
      <c r="T83" s="1287"/>
      <c r="U83" s="1287"/>
      <c r="V83" s="1287"/>
      <c r="W83" s="1287"/>
      <c r="X83" s="1287"/>
      <c r="Y83" s="1288" t="str">
        <f>IF($A$83=$BH$230,"",IF($A$83=$BH$226,$BH$45,IF($A$83=$BH$227,"",IF($A$83=$BH$228,$BH$46))))</f>
        <v/>
      </c>
      <c r="Z83" s="1288"/>
      <c r="AA83" s="1288"/>
      <c r="AB83" s="1288"/>
      <c r="AC83" s="1288"/>
      <c r="AD83" s="1288"/>
      <c r="AE83" s="1288"/>
      <c r="AF83" s="1288"/>
      <c r="AG83" s="1288"/>
      <c r="AH83" s="1288"/>
      <c r="AI83" s="1288"/>
      <c r="AJ83" s="1288"/>
      <c r="AK83" s="1288"/>
      <c r="AL83" s="1287"/>
      <c r="AM83" s="1287"/>
      <c r="AN83" s="1287"/>
      <c r="AO83" s="1287"/>
      <c r="AP83" s="1287"/>
      <c r="AQ83" s="1287"/>
      <c r="AR83" s="1287"/>
      <c r="AS83" s="1289" t="str">
        <f>IF(OR($A$83=$BH$230,$A$83=$BH$231),"",$BH$47)</f>
        <v/>
      </c>
      <c r="AT83" s="1289"/>
      <c r="AU83" s="1289"/>
      <c r="AV83" s="1289"/>
      <c r="AW83" s="1289"/>
      <c r="AX83" s="1289"/>
      <c r="AY83" s="1289"/>
      <c r="AZ83" s="1289"/>
      <c r="BA83" s="1289"/>
      <c r="BB83" s="1289"/>
      <c r="BC83" s="1289"/>
      <c r="BD83" s="1289"/>
      <c r="BE83" s="1289"/>
      <c r="BF83" s="874"/>
      <c r="BO83" s="969"/>
      <c r="BP83" s="969"/>
    </row>
    <row r="84" spans="1:68" ht="44.25" hidden="1" customHeight="1" x14ac:dyDescent="0.2">
      <c r="A84" s="895" t="str">
        <f>IF(AND($A$81=$BH$224,$A$82=$BH$224,$A$83=$BH$230),$BH$224,$BH$221)</f>
        <v>NÃO HOUVE</v>
      </c>
      <c r="B84" s="1274"/>
      <c r="C84" s="1274"/>
      <c r="D84" s="1274"/>
      <c r="E84" s="1274"/>
      <c r="F84" s="1274"/>
      <c r="G84" s="1274"/>
      <c r="H84" s="1274"/>
      <c r="I84" s="1274"/>
      <c r="J84" s="1274"/>
      <c r="K84" s="1274"/>
      <c r="L84" s="1274"/>
      <c r="M84" s="1274"/>
      <c r="N84" s="1274"/>
      <c r="O84" s="1274"/>
      <c r="P84" s="1274"/>
      <c r="Q84" s="1274"/>
      <c r="R84" s="1274"/>
      <c r="S84" s="1274"/>
      <c r="T84" s="1274"/>
      <c r="U84" s="1274"/>
      <c r="V84" s="1274"/>
      <c r="W84" s="1274"/>
      <c r="X84" s="1274"/>
      <c r="Y84" s="1274"/>
      <c r="Z84" s="1274"/>
      <c r="AA84" s="1274"/>
      <c r="AB84" s="1274"/>
      <c r="AC84" s="1274"/>
      <c r="AD84" s="1274"/>
      <c r="AE84" s="1274"/>
      <c r="AF84" s="1274"/>
      <c r="AG84" s="1274"/>
      <c r="AH84" s="1274"/>
      <c r="AI84" s="1274"/>
      <c r="AJ84" s="1274"/>
      <c r="AK84" s="1274"/>
      <c r="AL84" s="1274"/>
      <c r="AM84" s="1274"/>
      <c r="AN84" s="1274"/>
      <c r="AO84" s="1274"/>
      <c r="AP84" s="1274"/>
      <c r="AQ84" s="1274"/>
      <c r="AR84" s="1274"/>
      <c r="AS84" s="1274"/>
      <c r="AT84" s="1274"/>
      <c r="AU84" s="1274"/>
      <c r="AV84" s="1274"/>
      <c r="AW84" s="1274"/>
      <c r="AX84" s="1274"/>
      <c r="AY84" s="1274"/>
      <c r="AZ84" s="1274"/>
      <c r="BA84" s="1274"/>
      <c r="BB84" s="1274"/>
      <c r="BC84" s="1274"/>
      <c r="BD84" s="1274"/>
      <c r="BE84" s="1274"/>
      <c r="BF84" s="874"/>
      <c r="BO84" s="168"/>
      <c r="BP84" s="168"/>
    </row>
    <row r="85" spans="1:68" ht="27.75" hidden="1" customHeight="1" x14ac:dyDescent="0.2">
      <c r="A85" s="888" t="str">
        <f>IF(Dados!$W$38=0,$BH$224,"")</f>
        <v>NÃO HOUVE</v>
      </c>
      <c r="B85" s="1303" t="str">
        <f>$BO$62</f>
        <v>IMPRENSA JOVEM</v>
      </c>
      <c r="C85" s="1303"/>
      <c r="D85" s="1303"/>
      <c r="E85" s="1303"/>
      <c r="F85" s="1303"/>
      <c r="G85" s="1303"/>
      <c r="H85" s="1303"/>
      <c r="I85" s="1303"/>
      <c r="J85" s="1303"/>
      <c r="K85" s="1303"/>
      <c r="L85" s="1303"/>
      <c r="M85" s="1303"/>
      <c r="N85" s="1303"/>
      <c r="O85" s="1303"/>
      <c r="P85" s="1303"/>
      <c r="Q85" s="1303"/>
      <c r="R85" s="1303"/>
      <c r="S85" s="1303"/>
      <c r="T85" s="1303"/>
      <c r="U85" s="1303"/>
      <c r="V85" s="1303"/>
      <c r="W85" s="1303"/>
      <c r="X85" s="1303"/>
      <c r="Y85" s="1303"/>
      <c r="Z85" s="1303"/>
      <c r="AA85" s="1303"/>
      <c r="AB85" s="1303"/>
      <c r="AC85" s="1303"/>
      <c r="AD85" s="1303"/>
      <c r="AE85" s="1303"/>
      <c r="AF85" s="1303"/>
      <c r="AG85" s="1303"/>
      <c r="AH85" s="1303"/>
      <c r="AI85" s="1303"/>
      <c r="AJ85" s="1303"/>
      <c r="AK85" s="1303"/>
      <c r="AL85" s="1303"/>
      <c r="AM85" s="1303"/>
      <c r="AN85" s="1303"/>
      <c r="AO85" s="1303"/>
      <c r="AP85" s="1303"/>
      <c r="AQ85" s="1303"/>
      <c r="AR85" s="1303"/>
      <c r="AS85" s="1303"/>
      <c r="AT85" s="1303"/>
      <c r="AU85" s="1303"/>
      <c r="AV85" s="1303"/>
      <c r="AW85" s="1303"/>
      <c r="AX85" s="1303"/>
      <c r="AY85" s="1303"/>
      <c r="AZ85" s="1303"/>
      <c r="BA85" s="1303"/>
      <c r="BB85" s="1303"/>
      <c r="BC85" s="1303"/>
      <c r="BD85" s="1303"/>
      <c r="BE85" s="1303"/>
      <c r="BF85" s="874"/>
      <c r="BO85" s="168"/>
      <c r="BP85" s="168"/>
    </row>
    <row r="86" spans="1:68" ht="9.75" hidden="1" customHeight="1" x14ac:dyDescent="0.2">
      <c r="A86" s="874" t="s">
        <v>1308</v>
      </c>
      <c r="B86" s="1310"/>
      <c r="C86" s="1310"/>
      <c r="D86" s="1310"/>
      <c r="E86" s="1310"/>
      <c r="F86" s="1310"/>
      <c r="G86" s="1310"/>
      <c r="H86" s="1310"/>
      <c r="I86" s="1310"/>
      <c r="J86" s="1310"/>
      <c r="K86" s="1310"/>
      <c r="L86" s="1310"/>
      <c r="M86" s="1310"/>
      <c r="N86" s="1310"/>
      <c r="O86" s="1310"/>
      <c r="P86" s="1310"/>
      <c r="Q86" s="1310"/>
      <c r="R86" s="1310"/>
      <c r="S86" s="1310"/>
      <c r="T86" s="1310"/>
      <c r="U86" s="1310"/>
      <c r="V86" s="1310"/>
      <c r="W86" s="1310"/>
      <c r="X86" s="1310"/>
      <c r="Y86" s="1310"/>
      <c r="Z86" s="1310"/>
      <c r="AA86" s="1310"/>
      <c r="AB86" s="1310"/>
      <c r="AC86" s="1310"/>
      <c r="AD86" s="1310"/>
      <c r="AE86" s="1310"/>
      <c r="AF86" s="1310"/>
      <c r="AG86" s="1310"/>
      <c r="AH86" s="1310"/>
      <c r="AI86" s="1310"/>
      <c r="AJ86" s="1310"/>
      <c r="AK86" s="1310"/>
      <c r="AL86" s="1310"/>
      <c r="AM86" s="1310"/>
      <c r="AN86" s="1310"/>
      <c r="AO86" s="1310"/>
      <c r="AP86" s="1310"/>
      <c r="AQ86" s="1310"/>
      <c r="AR86" s="1310"/>
      <c r="AS86" s="1310"/>
      <c r="AT86" s="1310"/>
      <c r="AU86" s="1310"/>
      <c r="AV86" s="1310"/>
      <c r="AW86" s="1310"/>
      <c r="AX86" s="1310"/>
      <c r="AY86" s="1310"/>
      <c r="AZ86" s="1310"/>
      <c r="BA86" s="1310"/>
      <c r="BB86" s="1310"/>
      <c r="BC86" s="1310"/>
      <c r="BD86" s="1310"/>
      <c r="BE86" s="1310"/>
      <c r="BF86" s="874"/>
      <c r="BO86" s="168"/>
      <c r="BP86" s="168"/>
    </row>
    <row r="87" spans="1:68" ht="15.75" hidden="1" customHeight="1" x14ac:dyDescent="0.2">
      <c r="A87" s="874" t="str">
        <f>IF(Dados!$W$38=0,$BH$224,"")</f>
        <v>NÃO HOUVE</v>
      </c>
      <c r="B87" s="367"/>
      <c r="C87" s="367"/>
      <c r="D87" s="367"/>
      <c r="E87" s="367"/>
      <c r="F87" s="367"/>
      <c r="G87" s="367"/>
      <c r="H87" s="1305"/>
      <c r="I87" s="1305"/>
      <c r="J87" s="1305"/>
      <c r="K87" s="1305"/>
      <c r="L87" s="1305"/>
      <c r="M87" s="1305"/>
      <c r="N87" s="1305"/>
      <c r="O87" s="1305"/>
      <c r="P87" s="1305"/>
      <c r="Q87" s="1305"/>
      <c r="R87" s="1305"/>
      <c r="S87" s="1305"/>
      <c r="T87" s="1305"/>
      <c r="U87" s="1305"/>
      <c r="V87" s="1305"/>
      <c r="W87" s="1305" t="s">
        <v>181</v>
      </c>
      <c r="X87" s="1305"/>
      <c r="Y87" s="1305"/>
      <c r="Z87" s="1305"/>
      <c r="AA87" s="1305"/>
      <c r="AB87" s="1305"/>
      <c r="AC87" s="1305"/>
      <c r="AD87" s="1305"/>
      <c r="AE87" s="1305"/>
      <c r="AF87" s="1305" t="s">
        <v>182</v>
      </c>
      <c r="AG87" s="1305"/>
      <c r="AH87" s="1305"/>
      <c r="AI87" s="1305"/>
      <c r="AJ87" s="1305"/>
      <c r="AK87" s="1305"/>
      <c r="AL87" s="1305"/>
      <c r="AM87" s="1305"/>
      <c r="AN87" s="1305"/>
      <c r="AO87" s="1305" t="s">
        <v>440</v>
      </c>
      <c r="AP87" s="1305"/>
      <c r="AQ87" s="1305"/>
      <c r="AR87" s="1305"/>
      <c r="AS87" s="1305"/>
      <c r="AT87" s="1305"/>
      <c r="AU87" s="1305"/>
      <c r="AV87" s="1305"/>
      <c r="AW87" s="1305"/>
      <c r="AY87" s="367"/>
      <c r="AZ87" s="367"/>
      <c r="BA87" s="367"/>
      <c r="BB87" s="367"/>
      <c r="BC87" s="367"/>
      <c r="BD87" s="367"/>
      <c r="BE87" s="367"/>
      <c r="BF87" s="874"/>
      <c r="BO87" s="168"/>
      <c r="BP87" s="168"/>
    </row>
    <row r="88" spans="1:68" ht="15.75" hidden="1" customHeight="1" x14ac:dyDescent="0.2">
      <c r="A88" s="874" t="str">
        <f>IF(Dados!$W$38=0,$BH$224,"")</f>
        <v>NÃO HOUVE</v>
      </c>
      <c r="B88" s="367"/>
      <c r="C88" s="367"/>
      <c r="D88" s="367"/>
      <c r="E88" s="367"/>
      <c r="F88" s="367"/>
      <c r="G88" s="367"/>
      <c r="H88" s="1295" t="s">
        <v>1323</v>
      </c>
      <c r="I88" s="1296"/>
      <c r="J88" s="1296"/>
      <c r="K88" s="1296"/>
      <c r="L88" s="1296"/>
      <c r="M88" s="1296"/>
      <c r="N88" s="1296"/>
      <c r="O88" s="1296"/>
      <c r="P88" s="1296"/>
      <c r="Q88" s="1296"/>
      <c r="R88" s="1296"/>
      <c r="S88" s="1296"/>
      <c r="T88" s="1296"/>
      <c r="U88" s="1296"/>
      <c r="V88" s="1297"/>
      <c r="W88" s="1302" t="str">
        <f>Dados!$F$38</f>
        <v/>
      </c>
      <c r="X88" s="1302"/>
      <c r="Y88" s="1302"/>
      <c r="Z88" s="1302"/>
      <c r="AA88" s="1302"/>
      <c r="AB88" s="1302"/>
      <c r="AC88" s="1302"/>
      <c r="AD88" s="1302"/>
      <c r="AE88" s="1302"/>
      <c r="AF88" s="1302" t="str">
        <f>Dados!$I$38</f>
        <v/>
      </c>
      <c r="AG88" s="1302"/>
      <c r="AH88" s="1302"/>
      <c r="AI88" s="1302"/>
      <c r="AJ88" s="1302"/>
      <c r="AK88" s="1302"/>
      <c r="AL88" s="1302"/>
      <c r="AM88" s="1302"/>
      <c r="AN88" s="1302"/>
      <c r="AO88" s="1298" t="e">
        <f>W88+AF88</f>
        <v>#VALUE!</v>
      </c>
      <c r="AP88" s="1298"/>
      <c r="AQ88" s="1298"/>
      <c r="AR88" s="1298"/>
      <c r="AS88" s="1298"/>
      <c r="AT88" s="1298"/>
      <c r="AU88" s="1298"/>
      <c r="AV88" s="1298"/>
      <c r="AW88" s="1298"/>
      <c r="AY88" s="367"/>
      <c r="AZ88" s="367"/>
      <c r="BA88" s="367"/>
      <c r="BB88" s="367"/>
      <c r="BC88" s="367"/>
      <c r="BD88" s="367"/>
      <c r="BE88" s="367"/>
      <c r="BF88" s="874"/>
      <c r="BO88" s="758"/>
      <c r="BP88" s="758"/>
    </row>
    <row r="89" spans="1:68" ht="15.75" hidden="1" customHeight="1" x14ac:dyDescent="0.2">
      <c r="A89" s="874" t="str">
        <f>IF(Dados!$W$38=0,$BH$224,"")</f>
        <v>NÃO HOUVE</v>
      </c>
      <c r="B89" s="367"/>
      <c r="C89" s="367"/>
      <c r="D89" s="367"/>
      <c r="E89" s="367"/>
      <c r="F89" s="367"/>
      <c r="G89" s="367"/>
      <c r="H89" s="1295" t="s">
        <v>1326</v>
      </c>
      <c r="I89" s="1296"/>
      <c r="J89" s="1296"/>
      <c r="K89" s="1296"/>
      <c r="L89" s="1296"/>
      <c r="M89" s="1296"/>
      <c r="N89" s="1296"/>
      <c r="O89" s="1296"/>
      <c r="P89" s="1296"/>
      <c r="Q89" s="1296"/>
      <c r="R89" s="1296"/>
      <c r="S89" s="1296"/>
      <c r="T89" s="1296"/>
      <c r="U89" s="1296"/>
      <c r="V89" s="1297"/>
      <c r="W89" s="1302" t="str">
        <f>Dados!$F$36</f>
        <v/>
      </c>
      <c r="X89" s="1302"/>
      <c r="Y89" s="1302"/>
      <c r="Z89" s="1302"/>
      <c r="AA89" s="1302"/>
      <c r="AB89" s="1302"/>
      <c r="AC89" s="1302"/>
      <c r="AD89" s="1302"/>
      <c r="AE89" s="1302"/>
      <c r="AF89" s="1302" t="str">
        <f>Dados!$I$36</f>
        <v/>
      </c>
      <c r="AG89" s="1302"/>
      <c r="AH89" s="1302"/>
      <c r="AI89" s="1302"/>
      <c r="AJ89" s="1302"/>
      <c r="AK89" s="1302"/>
      <c r="AL89" s="1302"/>
      <c r="AM89" s="1302"/>
      <c r="AN89" s="1302"/>
      <c r="AO89" s="1298" t="e">
        <f>W89+AF89</f>
        <v>#VALUE!</v>
      </c>
      <c r="AP89" s="1298"/>
      <c r="AQ89" s="1298"/>
      <c r="AR89" s="1298"/>
      <c r="AS89" s="1298"/>
      <c r="AT89" s="1298"/>
      <c r="AU89" s="1298"/>
      <c r="AV89" s="1298"/>
      <c r="AW89" s="1298"/>
      <c r="AY89" s="367"/>
      <c r="AZ89" s="367"/>
      <c r="BA89" s="367"/>
      <c r="BB89" s="367"/>
      <c r="BC89" s="367"/>
      <c r="BD89" s="367"/>
      <c r="BE89" s="367"/>
      <c r="BF89" s="874"/>
      <c r="BO89" s="758"/>
      <c r="BP89" s="758"/>
    </row>
    <row r="90" spans="1:68" ht="15.75" hidden="1" customHeight="1" x14ac:dyDescent="0.2">
      <c r="A90" s="874" t="str">
        <f>IF(Dados!$W$38=0,$BH$224,"")</f>
        <v>NÃO HOUVE</v>
      </c>
      <c r="B90" s="367"/>
      <c r="C90" s="367"/>
      <c r="D90" s="367"/>
      <c r="E90" s="367"/>
      <c r="F90" s="367"/>
      <c r="G90" s="367"/>
      <c r="H90" s="1295" t="s">
        <v>1325</v>
      </c>
      <c r="I90" s="1296"/>
      <c r="J90" s="1296"/>
      <c r="K90" s="1296"/>
      <c r="L90" s="1296"/>
      <c r="M90" s="1296"/>
      <c r="N90" s="1296"/>
      <c r="O90" s="1296"/>
      <c r="P90" s="1296"/>
      <c r="Q90" s="1296"/>
      <c r="R90" s="1296"/>
      <c r="S90" s="1296"/>
      <c r="T90" s="1296"/>
      <c r="U90" s="1296"/>
      <c r="V90" s="1297"/>
      <c r="W90" s="1302" t="str">
        <f>IF(Dados!$E$3="","",MOD_2_imprensa!$P$15)</f>
        <v/>
      </c>
      <c r="X90" s="1302"/>
      <c r="Y90" s="1302"/>
      <c r="Z90" s="1302"/>
      <c r="AA90" s="1302"/>
      <c r="AB90" s="1302"/>
      <c r="AC90" s="1302"/>
      <c r="AD90" s="1302"/>
      <c r="AE90" s="1302"/>
      <c r="AF90" s="1302" t="str">
        <f>IF(Dados!$E$3="","",MOD_2_imprensa!$P$16)</f>
        <v/>
      </c>
      <c r="AG90" s="1302"/>
      <c r="AH90" s="1302"/>
      <c r="AI90" s="1302"/>
      <c r="AJ90" s="1302"/>
      <c r="AK90" s="1302"/>
      <c r="AL90" s="1302"/>
      <c r="AM90" s="1302"/>
      <c r="AN90" s="1302"/>
      <c r="AO90" s="1298" t="e">
        <f>W90+AF90</f>
        <v>#VALUE!</v>
      </c>
      <c r="AP90" s="1298"/>
      <c r="AQ90" s="1298"/>
      <c r="AR90" s="1298"/>
      <c r="AS90" s="1298"/>
      <c r="AT90" s="1298"/>
      <c r="AU90" s="1298"/>
      <c r="AV90" s="1298"/>
      <c r="AW90" s="1298"/>
      <c r="AY90" s="367"/>
      <c r="AZ90" s="367"/>
      <c r="BA90" s="367"/>
      <c r="BB90" s="367"/>
      <c r="BC90" s="367"/>
      <c r="BD90" s="367"/>
      <c r="BE90" s="367"/>
      <c r="BF90" s="874"/>
      <c r="BO90" s="758"/>
      <c r="BP90" s="758"/>
    </row>
    <row r="91" spans="1:68" ht="15.75" hidden="1" customHeight="1" x14ac:dyDescent="0.2">
      <c r="A91" s="874" t="str">
        <f>IF(Dados!$W$38=0,$BH$224,"")</f>
        <v>NÃO HOUVE</v>
      </c>
      <c r="B91" s="367"/>
      <c r="C91" s="367"/>
      <c r="D91" s="367"/>
      <c r="E91" s="367"/>
      <c r="F91" s="367"/>
      <c r="G91" s="367"/>
      <c r="H91" s="1295" t="s">
        <v>1324</v>
      </c>
      <c r="I91" s="1296"/>
      <c r="J91" s="1296"/>
      <c r="K91" s="1296"/>
      <c r="L91" s="1296"/>
      <c r="M91" s="1296"/>
      <c r="N91" s="1296"/>
      <c r="O91" s="1296"/>
      <c r="P91" s="1296"/>
      <c r="Q91" s="1296"/>
      <c r="R91" s="1296"/>
      <c r="S91" s="1296"/>
      <c r="T91" s="1296"/>
      <c r="U91" s="1296"/>
      <c r="V91" s="1297"/>
      <c r="W91" s="1298" t="e">
        <f>SUM(W88:AE89)-W90</f>
        <v>#VALUE!</v>
      </c>
      <c r="X91" s="1298"/>
      <c r="Y91" s="1298"/>
      <c r="Z91" s="1298"/>
      <c r="AA91" s="1298"/>
      <c r="AB91" s="1298"/>
      <c r="AC91" s="1298"/>
      <c r="AD91" s="1298"/>
      <c r="AE91" s="1298"/>
      <c r="AF91" s="1298" t="e">
        <f>SUM(AF88:AN89)-AF90</f>
        <v>#VALUE!</v>
      </c>
      <c r="AG91" s="1298"/>
      <c r="AH91" s="1298"/>
      <c r="AI91" s="1298"/>
      <c r="AJ91" s="1298"/>
      <c r="AK91" s="1298"/>
      <c r="AL91" s="1298"/>
      <c r="AM91" s="1298"/>
      <c r="AN91" s="1298"/>
      <c r="AO91" s="1298" t="e">
        <f>W91+AF91</f>
        <v>#VALUE!</v>
      </c>
      <c r="AP91" s="1298"/>
      <c r="AQ91" s="1298"/>
      <c r="AR91" s="1298"/>
      <c r="AS91" s="1298"/>
      <c r="AT91" s="1298"/>
      <c r="AU91" s="1298"/>
      <c r="AV91" s="1298"/>
      <c r="AW91" s="1298"/>
      <c r="AY91" s="367"/>
      <c r="AZ91" s="367"/>
      <c r="BA91" s="367"/>
      <c r="BB91" s="367"/>
      <c r="BC91" s="367"/>
      <c r="BD91" s="367"/>
      <c r="BE91" s="367"/>
      <c r="BF91" s="874"/>
      <c r="BO91" s="168"/>
      <c r="BP91" s="168"/>
    </row>
    <row r="92" spans="1:68" ht="9.75" hidden="1" customHeight="1" x14ac:dyDescent="0.2">
      <c r="A92" s="874" t="str">
        <f>IF(Dados!$W$38=0,$BH$224,"")</f>
        <v>NÃO HOUVE</v>
      </c>
      <c r="B92" s="1310"/>
      <c r="C92" s="1310"/>
      <c r="D92" s="1310"/>
      <c r="E92" s="1310"/>
      <c r="F92" s="1310"/>
      <c r="G92" s="1310"/>
      <c r="H92" s="1310"/>
      <c r="I92" s="1310"/>
      <c r="J92" s="1310"/>
      <c r="K92" s="1310"/>
      <c r="L92" s="1310"/>
      <c r="M92" s="1310"/>
      <c r="N92" s="1310"/>
      <c r="O92" s="1310"/>
      <c r="P92" s="1310"/>
      <c r="Q92" s="1310"/>
      <c r="R92" s="1310"/>
      <c r="S92" s="1310"/>
      <c r="T92" s="1310"/>
      <c r="U92" s="1310"/>
      <c r="V92" s="1310"/>
      <c r="W92" s="1310"/>
      <c r="X92" s="1310"/>
      <c r="Y92" s="1310"/>
      <c r="Z92" s="1310"/>
      <c r="AA92" s="1310"/>
      <c r="AB92" s="1310"/>
      <c r="AC92" s="1310"/>
      <c r="AD92" s="1310"/>
      <c r="AE92" s="1310"/>
      <c r="AF92" s="1310"/>
      <c r="AG92" s="1310"/>
      <c r="AH92" s="1310"/>
      <c r="AI92" s="1310"/>
      <c r="AJ92" s="1310"/>
      <c r="AK92" s="1310"/>
      <c r="AL92" s="1310"/>
      <c r="AM92" s="1310"/>
      <c r="AN92" s="1310"/>
      <c r="AO92" s="1310"/>
      <c r="AP92" s="1310"/>
      <c r="AQ92" s="1310"/>
      <c r="AR92" s="1310"/>
      <c r="AS92" s="1310"/>
      <c r="AT92" s="1310"/>
      <c r="AU92" s="1310"/>
      <c r="AV92" s="1310"/>
      <c r="AW92" s="1310"/>
      <c r="AX92" s="1310"/>
      <c r="AY92" s="1310"/>
      <c r="AZ92" s="1310"/>
      <c r="BA92" s="1310"/>
      <c r="BB92" s="1310"/>
      <c r="BC92" s="1310"/>
      <c r="BD92" s="1310"/>
      <c r="BE92" s="1310"/>
      <c r="BF92" s="874"/>
      <c r="BO92" s="168"/>
      <c r="BP92" s="168"/>
    </row>
    <row r="93" spans="1:68" ht="15" hidden="1" customHeight="1" x14ac:dyDescent="0.2">
      <c r="A93" s="888" t="str">
        <f>IF(Dados!$W$38=0,$BH$224,"")</f>
        <v>NÃO HOUVE</v>
      </c>
      <c r="B93" s="1299" t="str">
        <f>IF($W$90=0,$BH$41,$BH$39)</f>
        <v>- As aquisições com os recursos de custeio foram da ordem de</v>
      </c>
      <c r="C93" s="1299"/>
      <c r="D93" s="1299"/>
      <c r="E93" s="1299"/>
      <c r="F93" s="1299"/>
      <c r="G93" s="1299"/>
      <c r="H93" s="1299"/>
      <c r="I93" s="1299"/>
      <c r="J93" s="1299"/>
      <c r="K93" s="1299"/>
      <c r="L93" s="1299"/>
      <c r="M93" s="1299"/>
      <c r="N93" s="1299"/>
      <c r="O93" s="1299"/>
      <c r="P93" s="1299"/>
      <c r="Q93" s="1299"/>
      <c r="R93" s="1299"/>
      <c r="S93" s="1299"/>
      <c r="T93" s="1299"/>
      <c r="U93" s="1299"/>
      <c r="V93" s="1299"/>
      <c r="W93" s="1299"/>
      <c r="X93" s="1299"/>
      <c r="Y93" s="1299"/>
      <c r="Z93" s="1299"/>
      <c r="AA93" s="1299"/>
      <c r="AB93" s="1299"/>
      <c r="AC93" s="1299"/>
      <c r="AD93" s="1299"/>
      <c r="AE93" s="1299"/>
      <c r="AF93" s="1299"/>
      <c r="AG93" s="1300" t="str">
        <f>IF($W$90=0,"",$W$90)</f>
        <v/>
      </c>
      <c r="AH93" s="1300"/>
      <c r="AI93" s="1300"/>
      <c r="AJ93" s="1300"/>
      <c r="AK93" s="1300"/>
      <c r="AL93" s="1300"/>
      <c r="AM93" s="1300"/>
      <c r="AN93" s="1300"/>
      <c r="AO93" s="1300"/>
      <c r="AP93" s="1300"/>
      <c r="AQ93" s="1289" t="str">
        <f>IF($W$90&gt;0,$BI$39,"")</f>
        <v>e relacionadas a seguir:</v>
      </c>
      <c r="AR93" s="1289"/>
      <c r="AS93" s="1289"/>
      <c r="AT93" s="1289"/>
      <c r="AU93" s="1289"/>
      <c r="AV93" s="1289"/>
      <c r="AW93" s="1289"/>
      <c r="AX93" s="1289"/>
      <c r="AY93" s="1289"/>
      <c r="AZ93" s="1289"/>
      <c r="BA93" s="1289"/>
      <c r="BB93" s="1289"/>
      <c r="BC93" s="1289"/>
      <c r="BD93" s="1289"/>
      <c r="BE93" s="854"/>
      <c r="BF93" s="874"/>
      <c r="BO93" s="168"/>
      <c r="BP93" s="168"/>
    </row>
    <row r="94" spans="1:68" ht="35.25" hidden="1" customHeight="1" x14ac:dyDescent="0.2">
      <c r="A94" s="885" t="str">
        <f>IF(Dados!$W$38=0,$BH$224,IF($W$90=0,$BH$224,IF($B$94&gt;0,"Aumente ou diminua a altura da linha 94")))</f>
        <v>NÃO HOUVE</v>
      </c>
      <c r="B94" s="1290" t="str">
        <f>IF(Despesas!$FX$1=0,"",Despesas!$FX$1)</f>
        <v/>
      </c>
      <c r="C94" s="1290"/>
      <c r="D94" s="1290"/>
      <c r="E94" s="1290"/>
      <c r="F94" s="1290"/>
      <c r="G94" s="1290"/>
      <c r="H94" s="1290"/>
      <c r="I94" s="1290"/>
      <c r="J94" s="1290"/>
      <c r="K94" s="1290"/>
      <c r="L94" s="1290"/>
      <c r="M94" s="1290"/>
      <c r="N94" s="1290"/>
      <c r="O94" s="1290"/>
      <c r="P94" s="1290"/>
      <c r="Q94" s="1290"/>
      <c r="R94" s="1290"/>
      <c r="S94" s="1290"/>
      <c r="T94" s="1290"/>
      <c r="U94" s="1290"/>
      <c r="V94" s="1290"/>
      <c r="W94" s="1290"/>
      <c r="X94" s="1290"/>
      <c r="Y94" s="1290"/>
      <c r="Z94" s="1290"/>
      <c r="AA94" s="1290"/>
      <c r="AB94" s="1290"/>
      <c r="AC94" s="1290"/>
      <c r="AD94" s="1290"/>
      <c r="AE94" s="1290"/>
      <c r="AF94" s="1290"/>
      <c r="AG94" s="1290"/>
      <c r="AH94" s="1290"/>
      <c r="AI94" s="1290"/>
      <c r="AJ94" s="1290"/>
      <c r="AK94" s="1290"/>
      <c r="AL94" s="1290"/>
      <c r="AM94" s="1290"/>
      <c r="AN94" s="1290"/>
      <c r="AO94" s="1290"/>
      <c r="AP94" s="1290"/>
      <c r="AQ94" s="1290"/>
      <c r="AR94" s="1290"/>
      <c r="AS94" s="1290"/>
      <c r="AT94" s="1290"/>
      <c r="AU94" s="1290"/>
      <c r="AV94" s="1290"/>
      <c r="AW94" s="1290"/>
      <c r="AX94" s="1290"/>
      <c r="AY94" s="1290"/>
      <c r="AZ94" s="1290"/>
      <c r="BA94" s="1290"/>
      <c r="BB94" s="1290"/>
      <c r="BC94" s="1290"/>
      <c r="BD94" s="1290"/>
      <c r="BE94" s="1290"/>
      <c r="BF94" s="874"/>
      <c r="BO94" s="168"/>
      <c r="BP94" s="168"/>
    </row>
    <row r="95" spans="1:68" ht="18" hidden="1" customHeight="1" x14ac:dyDescent="0.2">
      <c r="A95" s="888" t="str">
        <f>IF(Dados!$W$38=0,$BH$224,"")</f>
        <v>NÃO HOUVE</v>
      </c>
      <c r="B95" s="1301" t="str">
        <f>IF($AF$90=0,$BH$42,$BH$40)</f>
        <v>- As aquisições com os recursos de capital foram da ordem de</v>
      </c>
      <c r="C95" s="1299"/>
      <c r="D95" s="1299"/>
      <c r="E95" s="1299"/>
      <c r="F95" s="1299"/>
      <c r="G95" s="1299"/>
      <c r="H95" s="1299"/>
      <c r="I95" s="1299"/>
      <c r="J95" s="1299"/>
      <c r="K95" s="1299"/>
      <c r="L95" s="1299"/>
      <c r="M95" s="1299"/>
      <c r="N95" s="1299"/>
      <c r="O95" s="1299"/>
      <c r="P95" s="1299"/>
      <c r="Q95" s="1299"/>
      <c r="R95" s="1299"/>
      <c r="S95" s="1299"/>
      <c r="T95" s="1299"/>
      <c r="U95" s="1299"/>
      <c r="V95" s="1299"/>
      <c r="W95" s="1299"/>
      <c r="X95" s="1299"/>
      <c r="Y95" s="1299"/>
      <c r="Z95" s="1299"/>
      <c r="AA95" s="1299"/>
      <c r="AB95" s="1299"/>
      <c r="AC95" s="1299"/>
      <c r="AD95" s="1299"/>
      <c r="AE95" s="1299"/>
      <c r="AF95" s="1299"/>
      <c r="AG95" s="1300" t="str">
        <f>IF($AF$90=0,"",$AF$90)</f>
        <v/>
      </c>
      <c r="AH95" s="1300"/>
      <c r="AI95" s="1300"/>
      <c r="AJ95" s="1300"/>
      <c r="AK95" s="1300"/>
      <c r="AL95" s="1300"/>
      <c r="AM95" s="1300"/>
      <c r="AN95" s="1300"/>
      <c r="AO95" s="1300"/>
      <c r="AP95" s="1300"/>
      <c r="AQ95" s="1289" t="str">
        <f>IF($AF$90&gt;0,$BI$39,"")</f>
        <v>e relacionadas a seguir:</v>
      </c>
      <c r="AR95" s="1289"/>
      <c r="AS95" s="1289"/>
      <c r="AT95" s="1289"/>
      <c r="AU95" s="1289"/>
      <c r="AV95" s="1289"/>
      <c r="AW95" s="1289"/>
      <c r="AX95" s="1289"/>
      <c r="AY95" s="1289"/>
      <c r="AZ95" s="1289"/>
      <c r="BA95" s="1289"/>
      <c r="BB95" s="1289"/>
      <c r="BC95" s="1289"/>
      <c r="BD95" s="1289"/>
      <c r="BE95" s="174"/>
      <c r="BF95" s="874"/>
      <c r="BO95" s="168"/>
      <c r="BP95" s="168"/>
    </row>
    <row r="96" spans="1:68" ht="35.25" hidden="1" customHeight="1" x14ac:dyDescent="0.2">
      <c r="A96" s="885" t="str">
        <f>IF(Dados!$W$38=0,$BH$224,IF($AF$90=0,$BH$224,IF($B$96&gt;0,"Aumente ou diminua a altura da linha 96")))</f>
        <v>NÃO HOUVE</v>
      </c>
      <c r="B96" s="1290" t="str">
        <f>IF(Despesas!$FX$2=0,"",Despesas!$FX$2)</f>
        <v/>
      </c>
      <c r="C96" s="1290"/>
      <c r="D96" s="1290"/>
      <c r="E96" s="1290"/>
      <c r="F96" s="1290"/>
      <c r="G96" s="1290"/>
      <c r="H96" s="1290"/>
      <c r="I96" s="1290"/>
      <c r="J96" s="1290"/>
      <c r="K96" s="1290"/>
      <c r="L96" s="1290"/>
      <c r="M96" s="1290"/>
      <c r="N96" s="1290"/>
      <c r="O96" s="1290"/>
      <c r="P96" s="1290"/>
      <c r="Q96" s="1290"/>
      <c r="R96" s="1290"/>
      <c r="S96" s="1290"/>
      <c r="T96" s="1290"/>
      <c r="U96" s="1290"/>
      <c r="V96" s="1290"/>
      <c r="W96" s="1290"/>
      <c r="X96" s="1290"/>
      <c r="Y96" s="1290"/>
      <c r="Z96" s="1290"/>
      <c r="AA96" s="1290"/>
      <c r="AB96" s="1290"/>
      <c r="AC96" s="1290"/>
      <c r="AD96" s="1290"/>
      <c r="AE96" s="1290"/>
      <c r="AF96" s="1290"/>
      <c r="AG96" s="1290"/>
      <c r="AH96" s="1290"/>
      <c r="AI96" s="1290"/>
      <c r="AJ96" s="1290"/>
      <c r="AK96" s="1290"/>
      <c r="AL96" s="1290"/>
      <c r="AM96" s="1290"/>
      <c r="AN96" s="1290"/>
      <c r="AO96" s="1290"/>
      <c r="AP96" s="1290"/>
      <c r="AQ96" s="1290"/>
      <c r="AR96" s="1290"/>
      <c r="AS96" s="1290"/>
      <c r="AT96" s="1290"/>
      <c r="AU96" s="1290"/>
      <c r="AV96" s="1290"/>
      <c r="AW96" s="1290"/>
      <c r="AX96" s="1290"/>
      <c r="AY96" s="1290"/>
      <c r="AZ96" s="1290"/>
      <c r="BA96" s="1290"/>
      <c r="BB96" s="1290"/>
      <c r="BC96" s="1290"/>
      <c r="BD96" s="1290"/>
      <c r="BE96" s="1290"/>
      <c r="BF96" s="874"/>
      <c r="BO96" s="168"/>
      <c r="BP96" s="168"/>
    </row>
    <row r="97" spans="1:68" ht="35.25" hidden="1" customHeight="1" x14ac:dyDescent="0.2">
      <c r="A97" s="885" t="str">
        <f>IF(Dados!$W$38=0,$BH$224,IF(AND($W$90=0,$AF$90=0),$BH$224,IF($B$97="","Observações se houverem","Aumente ou diminua a altura da linha 97")))</f>
        <v>NÃO HOUVE</v>
      </c>
      <c r="B97" s="1291"/>
      <c r="C97" s="1292"/>
      <c r="D97" s="1292"/>
      <c r="E97" s="1292"/>
      <c r="F97" s="1292"/>
      <c r="G97" s="1292"/>
      <c r="H97" s="1292"/>
      <c r="I97" s="1292"/>
      <c r="J97" s="1292"/>
      <c r="K97" s="1292"/>
      <c r="L97" s="1292"/>
      <c r="M97" s="1292"/>
      <c r="N97" s="1292"/>
      <c r="O97" s="1292"/>
      <c r="P97" s="1292"/>
      <c r="Q97" s="1292"/>
      <c r="R97" s="1292"/>
      <c r="S97" s="1292"/>
      <c r="T97" s="1292"/>
      <c r="U97" s="1292"/>
      <c r="V97" s="1292"/>
      <c r="W97" s="1292"/>
      <c r="X97" s="1292"/>
      <c r="Y97" s="1292"/>
      <c r="Z97" s="1292"/>
      <c r="AA97" s="1292"/>
      <c r="AB97" s="1292"/>
      <c r="AC97" s="1292"/>
      <c r="AD97" s="1292"/>
      <c r="AE97" s="1292"/>
      <c r="AF97" s="1292"/>
      <c r="AG97" s="1292"/>
      <c r="AH97" s="1292"/>
      <c r="AI97" s="1292"/>
      <c r="AJ97" s="1292"/>
      <c r="AK97" s="1292"/>
      <c r="AL97" s="1292"/>
      <c r="AM97" s="1292"/>
      <c r="AN97" s="1292"/>
      <c r="AO97" s="1292"/>
      <c r="AP97" s="1292"/>
      <c r="AQ97" s="1292"/>
      <c r="AR97" s="1292"/>
      <c r="AS97" s="1292"/>
      <c r="AT97" s="1292"/>
      <c r="AU97" s="1292"/>
      <c r="AV97" s="1292"/>
      <c r="AW97" s="1292"/>
      <c r="AX97" s="1292"/>
      <c r="AY97" s="1292"/>
      <c r="AZ97" s="1292"/>
      <c r="BA97" s="1292"/>
      <c r="BB97" s="1292"/>
      <c r="BC97" s="1292"/>
      <c r="BD97" s="1292"/>
      <c r="BE97" s="1292"/>
      <c r="BF97" s="874"/>
      <c r="BO97" s="168"/>
      <c r="BP97" s="168"/>
    </row>
    <row r="98" spans="1:68" ht="15" hidden="1" customHeight="1" x14ac:dyDescent="0.2">
      <c r="A98" s="894" t="str">
        <f>IF(AND($A$99=$BK$46,$A$100=$BK$46),$BK$46,$BK$47)</f>
        <v>NÃO HOUVE</v>
      </c>
      <c r="B98" s="1293"/>
      <c r="C98" s="1293"/>
      <c r="D98" s="1293"/>
      <c r="E98" s="1293"/>
      <c r="F98" s="1293"/>
      <c r="G98" s="1293"/>
      <c r="H98" s="1293"/>
      <c r="I98" s="1293"/>
      <c r="J98" s="1293"/>
      <c r="K98" s="1293"/>
      <c r="L98" s="1293"/>
      <c r="M98" s="1293"/>
      <c r="N98" s="1293"/>
      <c r="O98" s="1293"/>
      <c r="P98" s="1293"/>
      <c r="Q98" s="1293"/>
      <c r="R98" s="1293"/>
      <c r="S98" s="1293"/>
      <c r="T98" s="1293"/>
      <c r="U98" s="1293"/>
      <c r="V98" s="1293"/>
      <c r="W98" s="1293"/>
      <c r="X98" s="1293"/>
      <c r="Y98" s="1293"/>
      <c r="Z98" s="1293"/>
      <c r="AA98" s="1293"/>
      <c r="AB98" s="1293"/>
      <c r="AC98" s="1293"/>
      <c r="AD98" s="1293"/>
      <c r="AE98" s="1293"/>
      <c r="AF98" s="1293"/>
      <c r="AG98" s="1293"/>
      <c r="AH98" s="1293"/>
      <c r="AI98" s="1293"/>
      <c r="AJ98" s="1293"/>
      <c r="AK98" s="1293"/>
      <c r="AL98" s="1293"/>
      <c r="AM98" s="1293"/>
      <c r="AN98" s="1293"/>
      <c r="AO98" s="1293"/>
      <c r="AP98" s="1293"/>
      <c r="AQ98" s="1293"/>
      <c r="AR98" s="1293"/>
      <c r="AS98" s="1293"/>
      <c r="AT98" s="1293"/>
      <c r="AU98" s="1293"/>
      <c r="AV98" s="1293"/>
      <c r="AW98" s="1293"/>
      <c r="AX98" s="1293"/>
      <c r="AY98" s="1293"/>
      <c r="AZ98" s="1293"/>
      <c r="BA98" s="1293"/>
      <c r="BB98" s="1293"/>
      <c r="BC98" s="1293"/>
      <c r="BD98" s="1293"/>
      <c r="BE98" s="1293"/>
      <c r="BF98" s="874"/>
      <c r="BO98" s="168"/>
      <c r="BP98" s="168"/>
    </row>
    <row r="99" spans="1:68" ht="18.75" hidden="1" customHeight="1" x14ac:dyDescent="0.2">
      <c r="A99" s="887" t="str">
        <f>IF(Dados!$W$38=0,$BH$224,IF(AND($BO$69=0,$BP$69=0),$BH$224,IF(AND($BO$69&gt;0,$BP$69=0),$BH$226,IF(AND($BO$69=0,$BP$69&gt;0),$BH$227,IF(AND($BO$69&gt;0,$BP$69&gt;0),$BH$228)))))</f>
        <v>NÃO HOUVE</v>
      </c>
      <c r="B99" s="1286" t="str">
        <f>IF(AND($BO$69=0,$BP$69=0),"",$BG$72)</f>
        <v/>
      </c>
      <c r="C99" s="1286"/>
      <c r="D99" s="1286"/>
      <c r="E99" s="1286"/>
      <c r="F99" s="1286"/>
      <c r="G99" s="1286"/>
      <c r="H99" s="1286"/>
      <c r="I99" s="1286"/>
      <c r="J99" s="1286"/>
      <c r="K99" s="1286"/>
      <c r="L99" s="1286"/>
      <c r="M99" s="1286"/>
      <c r="N99" s="1286"/>
      <c r="O99" s="1286"/>
      <c r="P99" s="1286"/>
      <c r="Q99" s="1286"/>
      <c r="R99" s="1294" t="str">
        <f>IF(AND($BO$69=0,$BP$69=0),"",IF(AND($BO$69=0,$BP$69&gt;0),"",IF(AND($BO$69&gt;0,$BP$69=0),$BO$69,IF(AND($BO$69&gt;0,$BP$69&gt;0),$BO$69))))</f>
        <v/>
      </c>
      <c r="S99" s="1294"/>
      <c r="T99" s="1294"/>
      <c r="U99" s="1294"/>
      <c r="V99" s="1294"/>
      <c r="W99" s="1294"/>
      <c r="X99" s="1294"/>
      <c r="Y99" s="1288" t="str">
        <f>IF(AND($BO$69=0,$BP$69=0),"",IF(AND($BO$69=0,$BP$69&gt;0),"",IF(AND($BO$69&gt;0,$BP$69=0),$BO$70,IF(AND($BO$69&gt;0,$BP$69&gt;0),$BO$70))))</f>
        <v/>
      </c>
      <c r="Z99" s="1288"/>
      <c r="AA99" s="1288"/>
      <c r="AB99" s="1288"/>
      <c r="AC99" s="1288"/>
      <c r="AD99" s="1288"/>
      <c r="AE99" s="1288"/>
      <c r="AF99" s="1288"/>
      <c r="AG99" s="1288"/>
      <c r="AH99" s="1288"/>
      <c r="AI99" s="1288"/>
      <c r="AJ99" s="1288"/>
      <c r="AK99" s="1288"/>
      <c r="AL99" s="1294" t="str">
        <f>IF(AND($BO$69=0,$BP$69=0),"",IF(AND($BO$69=0,$BP$69&gt;0),$BP$69,IF(AND($BO$69&gt;0,$BP$69=0),"",IF(AND($BO$69&gt;0,$BP$69&gt;0),$BP$69))))</f>
        <v/>
      </c>
      <c r="AM99" s="1294"/>
      <c r="AN99" s="1294"/>
      <c r="AO99" s="1294"/>
      <c r="AP99" s="1294"/>
      <c r="AQ99" s="1294"/>
      <c r="AR99" s="1294"/>
      <c r="AS99" s="1289" t="str">
        <f>IF(AND($BO$69=0,$BP$69=0),"",IF(AND($BO$69=0,$BP$69&gt;0),$BP$70,IF(AND($BO$69&gt;0,$BP$69=0),"",IF(AND($BO$69&gt;0,$BP$69&gt;0),$BP$70))))</f>
        <v/>
      </c>
      <c r="AT99" s="1289"/>
      <c r="AU99" s="1289"/>
      <c r="AV99" s="1289"/>
      <c r="AW99" s="1289"/>
      <c r="AX99" s="1289"/>
      <c r="AY99" s="1289"/>
      <c r="AZ99" s="1289"/>
      <c r="BA99" s="1289"/>
      <c r="BB99" s="1289"/>
      <c r="BC99" s="1289"/>
      <c r="BD99" s="1289"/>
      <c r="BE99" s="1289"/>
      <c r="BF99" s="874"/>
      <c r="BO99" s="168"/>
      <c r="BP99" s="168"/>
    </row>
    <row r="100" spans="1:68" ht="18.75" hidden="1" customHeight="1" x14ac:dyDescent="0.2">
      <c r="A100" s="887" t="str">
        <f>IF(Dados!$W$38=0,$BH$224,IF(AND($BO$66=0,$BP$66=0),$BH$224,IF(AND($BO$66&gt;0,$BP$66=0),$BH$226,IF(AND($BO$66=0,$BP$66&gt;0),$BH$227,IF(AND($BO$66&gt;0,$BP$66&gt;0),$BH$228)))))</f>
        <v>NÃO HOUVE</v>
      </c>
      <c r="B100" s="1286" t="str">
        <f>IF(OR($A$100=$BH$224,$A$100=$BH$225),"",$BG$72)</f>
        <v/>
      </c>
      <c r="C100" s="1286"/>
      <c r="D100" s="1286"/>
      <c r="E100" s="1286"/>
      <c r="F100" s="1286"/>
      <c r="G100" s="1286"/>
      <c r="H100" s="1286"/>
      <c r="I100" s="1286"/>
      <c r="J100" s="1286"/>
      <c r="K100" s="1286"/>
      <c r="L100" s="1286"/>
      <c r="M100" s="1286"/>
      <c r="N100" s="1286"/>
      <c r="O100" s="1286"/>
      <c r="P100" s="1286"/>
      <c r="Q100" s="1286"/>
      <c r="R100" s="1294" t="e">
        <f>IF(AND($BO$66=0,$BP$66=0),"",IF(AND($BO$66=0,$BP$66&gt;0),$BP$66,IF(AND($BO$66&gt;0,$BP$66=0),$BO$66,IF(AND($BO$66&gt;0,$BP$66&gt;0),$BO$66))))</f>
        <v>#VALUE!</v>
      </c>
      <c r="S100" s="1294"/>
      <c r="T100" s="1294"/>
      <c r="U100" s="1294"/>
      <c r="V100" s="1294"/>
      <c r="W100" s="1294"/>
      <c r="X100" s="1294"/>
      <c r="Y100" s="1288" t="str">
        <f>IF(OR($A$100=$BH$224,$A$100=$BH$225),"",IF($A$100=$BH$226,$BH$45,IF($A$100=$BH$227,"",IF($A$100=$BH$228,$BH$46))))</f>
        <v/>
      </c>
      <c r="Z100" s="1288"/>
      <c r="AA100" s="1288"/>
      <c r="AB100" s="1288"/>
      <c r="AC100" s="1288"/>
      <c r="AD100" s="1288"/>
      <c r="AE100" s="1288"/>
      <c r="AF100" s="1288"/>
      <c r="AG100" s="1288"/>
      <c r="AH100" s="1288"/>
      <c r="AI100" s="1288"/>
      <c r="AJ100" s="1288"/>
      <c r="AK100" s="1288"/>
      <c r="AL100" s="1294" t="e">
        <f>IF(AND($BO$66=0,$BP$66=0),"",IF(AND($BO$66=0,$BP$66&gt;0),"",IF(AND($BO$66&gt;0,$BP$66=0),"",IF(AND($BO$66&gt;0,$BP$66&gt;0),$BP$66))))</f>
        <v>#VALUE!</v>
      </c>
      <c r="AM100" s="1294"/>
      <c r="AN100" s="1294"/>
      <c r="AO100" s="1294"/>
      <c r="AP100" s="1294"/>
      <c r="AQ100" s="1294"/>
      <c r="AR100" s="1294"/>
      <c r="AS100" s="1289" t="str">
        <f>IF(OR($A$100=$BH$224,$A$100=$BH$225,$A$100=$BH$226),"",$BH$47)</f>
        <v/>
      </c>
      <c r="AT100" s="1289"/>
      <c r="AU100" s="1289"/>
      <c r="AV100" s="1289"/>
      <c r="AW100" s="1289"/>
      <c r="AX100" s="1289"/>
      <c r="AY100" s="1289"/>
      <c r="AZ100" s="1289"/>
      <c r="BA100" s="1289"/>
      <c r="BB100" s="1289"/>
      <c r="BC100" s="1289"/>
      <c r="BD100" s="1289"/>
      <c r="BE100" s="1289"/>
      <c r="BF100" s="874"/>
      <c r="BO100" s="168"/>
      <c r="BP100" s="168"/>
    </row>
    <row r="101" spans="1:68" ht="17.25" customHeight="1" x14ac:dyDescent="0.2">
      <c r="A101" s="970" t="s">
        <v>1386</v>
      </c>
      <c r="B101" s="1286" t="str">
        <f>IF($A$101=$BH$230,"",$BG$72)</f>
        <v/>
      </c>
      <c r="C101" s="1286"/>
      <c r="D101" s="1286"/>
      <c r="E101" s="1286"/>
      <c r="F101" s="1286"/>
      <c r="G101" s="1286"/>
      <c r="H101" s="1286"/>
      <c r="I101" s="1286"/>
      <c r="J101" s="1286"/>
      <c r="K101" s="1286"/>
      <c r="L101" s="1286"/>
      <c r="M101" s="1286"/>
      <c r="N101" s="1286"/>
      <c r="O101" s="1286"/>
      <c r="P101" s="1286"/>
      <c r="Q101" s="1286"/>
      <c r="R101" s="1287"/>
      <c r="S101" s="1287"/>
      <c r="T101" s="1287"/>
      <c r="U101" s="1287"/>
      <c r="V101" s="1287"/>
      <c r="W101" s="1287"/>
      <c r="X101" s="1287"/>
      <c r="Y101" s="1288" t="str">
        <f>IF($A$101=$BH$230,"",IF($A$101=$BH$226,$BH$45,IF($A$101=$BH$227,"",IF($A$101=$BH$228,$BH$46))))</f>
        <v/>
      </c>
      <c r="Z101" s="1288"/>
      <c r="AA101" s="1288"/>
      <c r="AB101" s="1288"/>
      <c r="AC101" s="1288"/>
      <c r="AD101" s="1288"/>
      <c r="AE101" s="1288"/>
      <c r="AF101" s="1288"/>
      <c r="AG101" s="1288"/>
      <c r="AH101" s="1288"/>
      <c r="AI101" s="1288"/>
      <c r="AJ101" s="1288"/>
      <c r="AK101" s="1288"/>
      <c r="AL101" s="1287"/>
      <c r="AM101" s="1287"/>
      <c r="AN101" s="1287"/>
      <c r="AO101" s="1287"/>
      <c r="AP101" s="1287"/>
      <c r="AQ101" s="1287"/>
      <c r="AR101" s="1287"/>
      <c r="AS101" s="1289" t="str">
        <f>IF(OR($A$101=$BH$230,$A$101=$BH$231),"",$BH$47)</f>
        <v/>
      </c>
      <c r="AT101" s="1289"/>
      <c r="AU101" s="1289"/>
      <c r="AV101" s="1289"/>
      <c r="AW101" s="1289"/>
      <c r="AX101" s="1289"/>
      <c r="AY101" s="1289"/>
      <c r="AZ101" s="1289"/>
      <c r="BA101" s="1289"/>
      <c r="BB101" s="1289"/>
      <c r="BC101" s="1289"/>
      <c r="BD101" s="1289"/>
      <c r="BE101" s="1289"/>
      <c r="BF101" s="874"/>
      <c r="BO101" s="969"/>
      <c r="BP101" s="969"/>
    </row>
    <row r="102" spans="1:68" ht="44.25" hidden="1" customHeight="1" x14ac:dyDescent="0.2">
      <c r="A102" s="895" t="str">
        <f>IF(AND($A$99=$BH$224,$A$100=$BH$224,$A$101=$BH$230),$BH$224,$BH$221)</f>
        <v>NÃO HOUVE</v>
      </c>
      <c r="B102" s="1274" t="s">
        <v>12309</v>
      </c>
      <c r="C102" s="1274"/>
      <c r="D102" s="1274"/>
      <c r="E102" s="1274"/>
      <c r="F102" s="1274"/>
      <c r="G102" s="1274"/>
      <c r="H102" s="1274"/>
      <c r="I102" s="1274"/>
      <c r="J102" s="1274"/>
      <c r="K102" s="1274"/>
      <c r="L102" s="1274"/>
      <c r="M102" s="1274"/>
      <c r="N102" s="1274"/>
      <c r="O102" s="1274"/>
      <c r="P102" s="1274"/>
      <c r="Q102" s="1274"/>
      <c r="R102" s="1274"/>
      <c r="S102" s="1274"/>
      <c r="T102" s="1274"/>
      <c r="U102" s="1274"/>
      <c r="V102" s="1274"/>
      <c r="W102" s="1274"/>
      <c r="X102" s="1274"/>
      <c r="Y102" s="1274"/>
      <c r="Z102" s="1274"/>
      <c r="AA102" s="1274"/>
      <c r="AB102" s="1274"/>
      <c r="AC102" s="1274"/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1274"/>
      <c r="BB102" s="1274"/>
      <c r="BC102" s="1274"/>
      <c r="BD102" s="1274"/>
      <c r="BE102" s="1274"/>
      <c r="BF102" s="874"/>
      <c r="BO102" s="168"/>
      <c r="BP102" s="168"/>
    </row>
    <row r="103" spans="1:68" ht="27.75" hidden="1" customHeight="1" x14ac:dyDescent="0.2">
      <c r="A103" s="888" t="str">
        <f>IF(Dados!$W$44=0,$BH$224,"")</f>
        <v>NÃO HOUVE</v>
      </c>
      <c r="B103" s="1303" t="str">
        <f>$BQ$62</f>
        <v>GRÊMIO</v>
      </c>
      <c r="C103" s="1303"/>
      <c r="D103" s="1303"/>
      <c r="E103" s="1303"/>
      <c r="F103" s="1303"/>
      <c r="G103" s="1303"/>
      <c r="H103" s="1303"/>
      <c r="I103" s="1303"/>
      <c r="J103" s="1303"/>
      <c r="K103" s="1303"/>
      <c r="L103" s="1303"/>
      <c r="M103" s="1303"/>
      <c r="N103" s="1303"/>
      <c r="O103" s="1303"/>
      <c r="P103" s="1303"/>
      <c r="Q103" s="1303"/>
      <c r="R103" s="1303"/>
      <c r="S103" s="1303"/>
      <c r="T103" s="1303"/>
      <c r="U103" s="1303"/>
      <c r="V103" s="1303"/>
      <c r="W103" s="1303"/>
      <c r="X103" s="1303"/>
      <c r="Y103" s="1303"/>
      <c r="Z103" s="1303"/>
      <c r="AA103" s="1303"/>
      <c r="AB103" s="1303"/>
      <c r="AC103" s="1303"/>
      <c r="AD103" s="1303"/>
      <c r="AE103" s="1303"/>
      <c r="AF103" s="1303"/>
      <c r="AG103" s="1303"/>
      <c r="AH103" s="1303"/>
      <c r="AI103" s="1303"/>
      <c r="AJ103" s="1303"/>
      <c r="AK103" s="1303"/>
      <c r="AL103" s="1303"/>
      <c r="AM103" s="1303"/>
      <c r="AN103" s="1303"/>
      <c r="AO103" s="1303"/>
      <c r="AP103" s="1303"/>
      <c r="AQ103" s="1303"/>
      <c r="AR103" s="1303"/>
      <c r="AS103" s="1303"/>
      <c r="AT103" s="1303"/>
      <c r="AU103" s="1303"/>
      <c r="AV103" s="1303"/>
      <c r="AW103" s="1303"/>
      <c r="AX103" s="1303"/>
      <c r="AY103" s="1303"/>
      <c r="AZ103" s="1303"/>
      <c r="BA103" s="1303"/>
      <c r="BB103" s="1303"/>
      <c r="BC103" s="1303"/>
      <c r="BD103" s="1303"/>
      <c r="BE103" s="1303"/>
      <c r="BF103" s="874"/>
      <c r="BO103" s="168"/>
      <c r="BP103" s="168"/>
    </row>
    <row r="104" spans="1:68" ht="9.9499999999999993" hidden="1" customHeight="1" x14ac:dyDescent="0.2">
      <c r="A104" s="892" t="s">
        <v>1308</v>
      </c>
      <c r="B104" s="1304"/>
      <c r="C104" s="1304"/>
      <c r="D104" s="1304"/>
      <c r="E104" s="1304"/>
      <c r="F104" s="1304"/>
      <c r="G104" s="1304"/>
      <c r="H104" s="1304"/>
      <c r="I104" s="1304"/>
      <c r="J104" s="1304"/>
      <c r="K104" s="1304"/>
      <c r="L104" s="1304"/>
      <c r="M104" s="1304"/>
      <c r="N104" s="1304"/>
      <c r="O104" s="1304"/>
      <c r="P104" s="1304"/>
      <c r="Q104" s="1304"/>
      <c r="R104" s="1304"/>
      <c r="S104" s="1304"/>
      <c r="T104" s="1304"/>
      <c r="U104" s="1304"/>
      <c r="V104" s="1304"/>
      <c r="W104" s="1304"/>
      <c r="X104" s="1304"/>
      <c r="Y104" s="1304"/>
      <c r="Z104" s="1304"/>
      <c r="AA104" s="1304"/>
      <c r="AB104" s="1304"/>
      <c r="AC104" s="1304"/>
      <c r="AD104" s="1304"/>
      <c r="AE104" s="1304"/>
      <c r="AF104" s="1304"/>
      <c r="AG104" s="1304"/>
      <c r="AH104" s="1304"/>
      <c r="AI104" s="1304"/>
      <c r="AJ104" s="1304"/>
      <c r="AK104" s="1304"/>
      <c r="AL104" s="1304"/>
      <c r="AM104" s="1304"/>
      <c r="AN104" s="1304"/>
      <c r="AO104" s="1304"/>
      <c r="AP104" s="1304"/>
      <c r="AQ104" s="1304"/>
      <c r="AR104" s="1304"/>
      <c r="AS104" s="1304"/>
      <c r="AT104" s="1304"/>
      <c r="AU104" s="1304"/>
      <c r="AV104" s="1304"/>
      <c r="AW104" s="1304"/>
      <c r="AX104" s="1304"/>
      <c r="AY104" s="1304"/>
      <c r="AZ104" s="1304"/>
      <c r="BA104" s="1304"/>
      <c r="BB104" s="1304"/>
      <c r="BC104" s="1304"/>
      <c r="BD104" s="1304"/>
      <c r="BE104" s="1304"/>
      <c r="BF104" s="874"/>
      <c r="BO104" s="168"/>
      <c r="BP104" s="168"/>
    </row>
    <row r="105" spans="1:68" ht="15" hidden="1" customHeight="1" x14ac:dyDescent="0.2">
      <c r="A105" s="892" t="str">
        <f>IF(Dados!$W$44=0,$BH$224,"")</f>
        <v>NÃO HOUVE</v>
      </c>
      <c r="B105" s="855"/>
      <c r="C105" s="855"/>
      <c r="D105" s="855"/>
      <c r="E105" s="855"/>
      <c r="F105" s="855"/>
      <c r="G105" s="855"/>
      <c r="H105" s="1305"/>
      <c r="I105" s="1305"/>
      <c r="J105" s="1305"/>
      <c r="K105" s="1305"/>
      <c r="L105" s="1305"/>
      <c r="M105" s="1305"/>
      <c r="N105" s="1305"/>
      <c r="O105" s="1305"/>
      <c r="P105" s="1305"/>
      <c r="Q105" s="1305"/>
      <c r="R105" s="1305"/>
      <c r="S105" s="1305"/>
      <c r="T105" s="1305"/>
      <c r="U105" s="1305"/>
      <c r="V105" s="1305"/>
      <c r="W105" s="1305" t="s">
        <v>181</v>
      </c>
      <c r="X105" s="1305"/>
      <c r="Y105" s="1305"/>
      <c r="Z105" s="1305"/>
      <c r="AA105" s="1305"/>
      <c r="AB105" s="1305"/>
      <c r="AC105" s="1305"/>
      <c r="AD105" s="1305"/>
      <c r="AE105" s="1305"/>
      <c r="AF105" s="1305" t="s">
        <v>182</v>
      </c>
      <c r="AG105" s="1305"/>
      <c r="AH105" s="1305"/>
      <c r="AI105" s="1305"/>
      <c r="AJ105" s="1305"/>
      <c r="AK105" s="1305"/>
      <c r="AL105" s="1305"/>
      <c r="AM105" s="1305"/>
      <c r="AN105" s="1305"/>
      <c r="AO105" s="1305" t="s">
        <v>440</v>
      </c>
      <c r="AP105" s="1305"/>
      <c r="AQ105" s="1305"/>
      <c r="AR105" s="1305"/>
      <c r="AS105" s="1305"/>
      <c r="AT105" s="1305"/>
      <c r="AU105" s="1305"/>
      <c r="AV105" s="1305"/>
      <c r="AW105" s="1305"/>
      <c r="AY105" s="855"/>
      <c r="AZ105" s="855"/>
      <c r="BA105" s="855"/>
      <c r="BB105" s="855"/>
      <c r="BC105" s="855"/>
      <c r="BD105" s="855"/>
      <c r="BE105" s="855"/>
      <c r="BF105" s="874"/>
      <c r="BO105" s="168"/>
      <c r="BP105" s="168"/>
    </row>
    <row r="106" spans="1:68" ht="18" hidden="1" customHeight="1" x14ac:dyDescent="0.2">
      <c r="A106" s="892" t="str">
        <f>IF(Dados!$W$44=0,$BH$224,"")</f>
        <v>NÃO HOUVE</v>
      </c>
      <c r="B106" s="855"/>
      <c r="C106" s="855"/>
      <c r="D106" s="855"/>
      <c r="E106" s="855"/>
      <c r="F106" s="855"/>
      <c r="G106" s="855"/>
      <c r="H106" s="1295" t="s">
        <v>1323</v>
      </c>
      <c r="I106" s="1296"/>
      <c r="J106" s="1296"/>
      <c r="K106" s="1296"/>
      <c r="L106" s="1296"/>
      <c r="M106" s="1296"/>
      <c r="N106" s="1296"/>
      <c r="O106" s="1296"/>
      <c r="P106" s="1296"/>
      <c r="Q106" s="1296"/>
      <c r="R106" s="1296"/>
      <c r="S106" s="1296"/>
      <c r="T106" s="1296"/>
      <c r="U106" s="1296"/>
      <c r="V106" s="1297"/>
      <c r="W106" s="1302" t="str">
        <f>Dados!$F$44</f>
        <v/>
      </c>
      <c r="X106" s="1302"/>
      <c r="Y106" s="1302"/>
      <c r="Z106" s="1302"/>
      <c r="AA106" s="1302"/>
      <c r="AB106" s="1302"/>
      <c r="AC106" s="1302"/>
      <c r="AD106" s="1302"/>
      <c r="AE106" s="1302"/>
      <c r="AF106" s="1302" t="str">
        <f>Dados!$I$44</f>
        <v/>
      </c>
      <c r="AG106" s="1302"/>
      <c r="AH106" s="1302"/>
      <c r="AI106" s="1302"/>
      <c r="AJ106" s="1302"/>
      <c r="AK106" s="1302"/>
      <c r="AL106" s="1302"/>
      <c r="AM106" s="1302"/>
      <c r="AN106" s="1302"/>
      <c r="AO106" s="1298" t="e">
        <f>W106+AF106</f>
        <v>#VALUE!</v>
      </c>
      <c r="AP106" s="1298"/>
      <c r="AQ106" s="1298"/>
      <c r="AR106" s="1298"/>
      <c r="AS106" s="1298"/>
      <c r="AT106" s="1298"/>
      <c r="AU106" s="1298"/>
      <c r="AV106" s="1298"/>
      <c r="AW106" s="1298"/>
      <c r="AY106" s="855"/>
      <c r="AZ106" s="855"/>
      <c r="BA106" s="855"/>
      <c r="BB106" s="855"/>
      <c r="BC106" s="855"/>
      <c r="BD106" s="855"/>
      <c r="BE106" s="855"/>
      <c r="BF106" s="874"/>
      <c r="BO106" s="168"/>
      <c r="BP106" s="168"/>
    </row>
    <row r="107" spans="1:68" ht="18" hidden="1" customHeight="1" x14ac:dyDescent="0.2">
      <c r="A107" s="892" t="str">
        <f>IF(Dados!$W$44=0,$BH$224,"")</f>
        <v>NÃO HOUVE</v>
      </c>
      <c r="B107" s="855"/>
      <c r="C107" s="855"/>
      <c r="D107" s="855"/>
      <c r="E107" s="855"/>
      <c r="F107" s="855"/>
      <c r="G107" s="855"/>
      <c r="H107" s="1295" t="s">
        <v>1326</v>
      </c>
      <c r="I107" s="1296"/>
      <c r="J107" s="1296"/>
      <c r="K107" s="1296"/>
      <c r="L107" s="1296"/>
      <c r="M107" s="1296"/>
      <c r="N107" s="1296"/>
      <c r="O107" s="1296"/>
      <c r="P107" s="1296"/>
      <c r="Q107" s="1296"/>
      <c r="R107" s="1296"/>
      <c r="S107" s="1296"/>
      <c r="T107" s="1296"/>
      <c r="U107" s="1296"/>
      <c r="V107" s="1297"/>
      <c r="W107" s="1302" t="str">
        <f>Dados!$F$42</f>
        <v/>
      </c>
      <c r="X107" s="1302"/>
      <c r="Y107" s="1302"/>
      <c r="Z107" s="1302"/>
      <c r="AA107" s="1302"/>
      <c r="AB107" s="1302"/>
      <c r="AC107" s="1302"/>
      <c r="AD107" s="1302"/>
      <c r="AE107" s="1302"/>
      <c r="AF107" s="1302" t="str">
        <f>Dados!$I$42</f>
        <v/>
      </c>
      <c r="AG107" s="1302"/>
      <c r="AH107" s="1302"/>
      <c r="AI107" s="1302"/>
      <c r="AJ107" s="1302"/>
      <c r="AK107" s="1302"/>
      <c r="AL107" s="1302"/>
      <c r="AM107" s="1302"/>
      <c r="AN107" s="1302"/>
      <c r="AO107" s="1298" t="e">
        <f>W107+AF107</f>
        <v>#VALUE!</v>
      </c>
      <c r="AP107" s="1298"/>
      <c r="AQ107" s="1298"/>
      <c r="AR107" s="1298"/>
      <c r="AS107" s="1298"/>
      <c r="AT107" s="1298"/>
      <c r="AU107" s="1298"/>
      <c r="AV107" s="1298"/>
      <c r="AW107" s="1298"/>
      <c r="AY107" s="855"/>
      <c r="AZ107" s="855"/>
      <c r="BA107" s="855"/>
      <c r="BB107" s="855"/>
      <c r="BC107" s="855"/>
      <c r="BD107" s="855"/>
      <c r="BE107" s="855"/>
      <c r="BF107" s="874"/>
      <c r="BO107" s="168"/>
      <c r="BP107" s="168"/>
    </row>
    <row r="108" spans="1:68" ht="18" hidden="1" customHeight="1" x14ac:dyDescent="0.2">
      <c r="A108" s="892" t="str">
        <f>IF(Dados!$W$44=0,$BH$224,"")</f>
        <v>NÃO HOUVE</v>
      </c>
      <c r="B108" s="855"/>
      <c r="C108" s="855"/>
      <c r="D108" s="855"/>
      <c r="E108" s="855"/>
      <c r="F108" s="855"/>
      <c r="G108" s="855"/>
      <c r="H108" s="1295" t="s">
        <v>1325</v>
      </c>
      <c r="I108" s="1296"/>
      <c r="J108" s="1296"/>
      <c r="K108" s="1296"/>
      <c r="L108" s="1296"/>
      <c r="M108" s="1296"/>
      <c r="N108" s="1296"/>
      <c r="O108" s="1296"/>
      <c r="P108" s="1296"/>
      <c r="Q108" s="1296"/>
      <c r="R108" s="1296"/>
      <c r="S108" s="1296"/>
      <c r="T108" s="1296"/>
      <c r="U108" s="1296"/>
      <c r="V108" s="1297"/>
      <c r="W108" s="1302" t="str">
        <f>IF(Dados!$E$3="","",MOD_2_gremio!$P$15)</f>
        <v/>
      </c>
      <c r="X108" s="1302"/>
      <c r="Y108" s="1302"/>
      <c r="Z108" s="1302"/>
      <c r="AA108" s="1302"/>
      <c r="AB108" s="1302"/>
      <c r="AC108" s="1302"/>
      <c r="AD108" s="1302"/>
      <c r="AE108" s="1302"/>
      <c r="AF108" s="1302" t="str">
        <f>IF(Dados!$E$3="","",MOD_2_gremio!$P$16)</f>
        <v/>
      </c>
      <c r="AG108" s="1302"/>
      <c r="AH108" s="1302"/>
      <c r="AI108" s="1302"/>
      <c r="AJ108" s="1302"/>
      <c r="AK108" s="1302"/>
      <c r="AL108" s="1302"/>
      <c r="AM108" s="1302"/>
      <c r="AN108" s="1302"/>
      <c r="AO108" s="1298" t="e">
        <f>W108+AF108</f>
        <v>#VALUE!</v>
      </c>
      <c r="AP108" s="1298"/>
      <c r="AQ108" s="1298"/>
      <c r="AR108" s="1298"/>
      <c r="AS108" s="1298"/>
      <c r="AT108" s="1298"/>
      <c r="AU108" s="1298"/>
      <c r="AV108" s="1298"/>
      <c r="AW108" s="1298"/>
      <c r="AY108" s="855"/>
      <c r="AZ108" s="855"/>
      <c r="BA108" s="855"/>
      <c r="BB108" s="855"/>
      <c r="BC108" s="855"/>
      <c r="BD108" s="855"/>
      <c r="BE108" s="855"/>
      <c r="BF108" s="874"/>
      <c r="BO108" s="168"/>
      <c r="BP108" s="168"/>
    </row>
    <row r="109" spans="1:68" ht="18" hidden="1" customHeight="1" x14ac:dyDescent="0.2">
      <c r="A109" s="892" t="str">
        <f>IF(Dados!$W$44=0,$BH$224,"")</f>
        <v>NÃO HOUVE</v>
      </c>
      <c r="B109" s="855"/>
      <c r="C109" s="855"/>
      <c r="D109" s="855"/>
      <c r="E109" s="855"/>
      <c r="F109" s="855"/>
      <c r="G109" s="855"/>
      <c r="H109" s="1295" t="s">
        <v>1324</v>
      </c>
      <c r="I109" s="1296"/>
      <c r="J109" s="1296"/>
      <c r="K109" s="1296"/>
      <c r="L109" s="1296"/>
      <c r="M109" s="1296"/>
      <c r="N109" s="1296"/>
      <c r="O109" s="1296"/>
      <c r="P109" s="1296"/>
      <c r="Q109" s="1296"/>
      <c r="R109" s="1296"/>
      <c r="S109" s="1296"/>
      <c r="T109" s="1296"/>
      <c r="U109" s="1296"/>
      <c r="V109" s="1297"/>
      <c r="W109" s="1298" t="e">
        <f>SUM(W106:AE107)-W108</f>
        <v>#VALUE!</v>
      </c>
      <c r="X109" s="1298"/>
      <c r="Y109" s="1298"/>
      <c r="Z109" s="1298"/>
      <c r="AA109" s="1298"/>
      <c r="AB109" s="1298"/>
      <c r="AC109" s="1298"/>
      <c r="AD109" s="1298"/>
      <c r="AE109" s="1298"/>
      <c r="AF109" s="1298" t="e">
        <f>SUM(AF106:AN107)-AF108</f>
        <v>#VALUE!</v>
      </c>
      <c r="AG109" s="1298"/>
      <c r="AH109" s="1298"/>
      <c r="AI109" s="1298"/>
      <c r="AJ109" s="1298"/>
      <c r="AK109" s="1298"/>
      <c r="AL109" s="1298"/>
      <c r="AM109" s="1298"/>
      <c r="AN109" s="1298"/>
      <c r="AO109" s="1298" t="e">
        <f>W109+AF109</f>
        <v>#VALUE!</v>
      </c>
      <c r="AP109" s="1298"/>
      <c r="AQ109" s="1298"/>
      <c r="AR109" s="1298"/>
      <c r="AS109" s="1298"/>
      <c r="AT109" s="1298"/>
      <c r="AU109" s="1298"/>
      <c r="AV109" s="1298"/>
      <c r="AW109" s="1298"/>
      <c r="AY109" s="855"/>
      <c r="AZ109" s="855"/>
      <c r="BA109" s="855"/>
      <c r="BB109" s="855"/>
      <c r="BC109" s="855"/>
      <c r="BD109" s="855"/>
      <c r="BE109" s="855"/>
      <c r="BF109" s="874"/>
    </row>
    <row r="110" spans="1:68" ht="9.9499999999999993" hidden="1" customHeight="1" x14ac:dyDescent="0.2">
      <c r="A110" s="892" t="str">
        <f>IF(Dados!$W$44=0,$BH$224,"")</f>
        <v>NÃO HOUVE</v>
      </c>
      <c r="B110" s="855"/>
      <c r="C110" s="85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855"/>
      <c r="S110" s="855"/>
      <c r="T110" s="855"/>
      <c r="U110" s="855"/>
      <c r="V110" s="855"/>
      <c r="W110" s="855"/>
      <c r="X110" s="855"/>
      <c r="Y110" s="855"/>
      <c r="Z110" s="855"/>
      <c r="AA110" s="855"/>
      <c r="AB110" s="855"/>
      <c r="AC110" s="855"/>
      <c r="AD110" s="855"/>
      <c r="AE110" s="855"/>
      <c r="AF110" s="855"/>
      <c r="AG110" s="855"/>
      <c r="AH110" s="855"/>
      <c r="AI110" s="855"/>
      <c r="AJ110" s="855"/>
      <c r="AK110" s="855"/>
      <c r="AL110" s="855"/>
      <c r="AM110" s="855"/>
      <c r="AN110" s="855"/>
      <c r="AO110" s="855"/>
      <c r="AP110" s="855"/>
      <c r="AQ110" s="855"/>
      <c r="AR110" s="855"/>
      <c r="AS110" s="855"/>
      <c r="AT110" s="855"/>
      <c r="AU110" s="855"/>
      <c r="AV110" s="855"/>
      <c r="AW110" s="855"/>
      <c r="AX110" s="855"/>
      <c r="AY110" s="855"/>
      <c r="AZ110" s="855"/>
      <c r="BA110" s="855"/>
      <c r="BB110" s="855"/>
      <c r="BC110" s="855"/>
      <c r="BD110" s="855"/>
      <c r="BE110" s="855"/>
      <c r="BF110" s="874"/>
    </row>
    <row r="111" spans="1:68" ht="18" hidden="1" customHeight="1" x14ac:dyDescent="0.2">
      <c r="A111" s="888" t="str">
        <f>IF(Dados!$W$44=0,$BH$224,"")</f>
        <v>NÃO HOUVE</v>
      </c>
      <c r="B111" s="1299" t="str">
        <f>IF($W$108=0,$BH$41,$BH$39)</f>
        <v>- As aquisições com os recursos de custeio foram da ordem de</v>
      </c>
      <c r="C111" s="1299"/>
      <c r="D111" s="1299"/>
      <c r="E111" s="1299"/>
      <c r="F111" s="1299"/>
      <c r="G111" s="1299"/>
      <c r="H111" s="1299"/>
      <c r="I111" s="1299"/>
      <c r="J111" s="1299"/>
      <c r="K111" s="1299"/>
      <c r="L111" s="1299"/>
      <c r="M111" s="1299"/>
      <c r="N111" s="1299"/>
      <c r="O111" s="1299"/>
      <c r="P111" s="1299"/>
      <c r="Q111" s="1299"/>
      <c r="R111" s="1299"/>
      <c r="S111" s="1299"/>
      <c r="T111" s="1299"/>
      <c r="U111" s="1299"/>
      <c r="V111" s="1299"/>
      <c r="W111" s="1299"/>
      <c r="X111" s="1299"/>
      <c r="Y111" s="1299"/>
      <c r="Z111" s="1299"/>
      <c r="AA111" s="1299"/>
      <c r="AB111" s="1299"/>
      <c r="AC111" s="1299"/>
      <c r="AD111" s="1299"/>
      <c r="AE111" s="1299"/>
      <c r="AF111" s="1299"/>
      <c r="AG111" s="1300" t="str">
        <f>IF($W$108=0,"",$W$108)</f>
        <v/>
      </c>
      <c r="AH111" s="1300"/>
      <c r="AI111" s="1300"/>
      <c r="AJ111" s="1300"/>
      <c r="AK111" s="1300"/>
      <c r="AL111" s="1300"/>
      <c r="AM111" s="1300"/>
      <c r="AN111" s="1300"/>
      <c r="AO111" s="1300"/>
      <c r="AP111" s="1300"/>
      <c r="AQ111" s="1289" t="str">
        <f>IF($W$108&gt;0,$BI$39,"")</f>
        <v>e relacionadas a seguir:</v>
      </c>
      <c r="AR111" s="1289"/>
      <c r="AS111" s="1289"/>
      <c r="AT111" s="1289"/>
      <c r="AU111" s="1289"/>
      <c r="AV111" s="1289"/>
      <c r="AW111" s="1289"/>
      <c r="AX111" s="1289"/>
      <c r="AY111" s="1289"/>
      <c r="AZ111" s="1289"/>
      <c r="BA111" s="1289"/>
      <c r="BB111" s="1289"/>
      <c r="BC111" s="1289"/>
      <c r="BD111" s="1289"/>
      <c r="BE111" s="683"/>
      <c r="BF111" s="874"/>
    </row>
    <row r="112" spans="1:68" ht="35.25" hidden="1" customHeight="1" x14ac:dyDescent="0.2">
      <c r="A112" s="885" t="str">
        <f>IF(Dados!$W$44=0,$BH$224,IF($W$108=0,$BH$224,IF($B$112&gt;0,"Aumente ou diminua a altura da linha 112")))</f>
        <v>NÃO HOUVE</v>
      </c>
      <c r="B112" s="1290" t="str">
        <f>IF(Despesas!$GE$1=0,"",Despesas!$GE$1)</f>
        <v/>
      </c>
      <c r="C112" s="1290"/>
      <c r="D112" s="1290"/>
      <c r="E112" s="1290"/>
      <c r="F112" s="1290"/>
      <c r="G112" s="1290"/>
      <c r="H112" s="1290"/>
      <c r="I112" s="1290"/>
      <c r="J112" s="1290"/>
      <c r="K112" s="1290"/>
      <c r="L112" s="1290"/>
      <c r="M112" s="1290"/>
      <c r="N112" s="1290"/>
      <c r="O112" s="1290"/>
      <c r="P112" s="1290"/>
      <c r="Q112" s="1290"/>
      <c r="R112" s="1290"/>
      <c r="S112" s="1290"/>
      <c r="T112" s="1290"/>
      <c r="U112" s="1290"/>
      <c r="V112" s="1290"/>
      <c r="W112" s="1290"/>
      <c r="X112" s="1290"/>
      <c r="Y112" s="1290"/>
      <c r="Z112" s="1290"/>
      <c r="AA112" s="1290"/>
      <c r="AB112" s="1290"/>
      <c r="AC112" s="1290"/>
      <c r="AD112" s="1290"/>
      <c r="AE112" s="1290"/>
      <c r="AF112" s="1290"/>
      <c r="AG112" s="1290"/>
      <c r="AH112" s="1290"/>
      <c r="AI112" s="1290"/>
      <c r="AJ112" s="1290"/>
      <c r="AK112" s="1290"/>
      <c r="AL112" s="1290"/>
      <c r="AM112" s="1290"/>
      <c r="AN112" s="1290"/>
      <c r="AO112" s="1290"/>
      <c r="AP112" s="1290"/>
      <c r="AQ112" s="1290"/>
      <c r="AR112" s="1290"/>
      <c r="AS112" s="1290"/>
      <c r="AT112" s="1290"/>
      <c r="AU112" s="1290"/>
      <c r="AV112" s="1290"/>
      <c r="AW112" s="1290"/>
      <c r="AX112" s="1290"/>
      <c r="AY112" s="1290"/>
      <c r="AZ112" s="1290"/>
      <c r="BA112" s="1290"/>
      <c r="BB112" s="1290"/>
      <c r="BC112" s="1290"/>
      <c r="BD112" s="1290"/>
      <c r="BE112" s="1290"/>
      <c r="BF112" s="874"/>
    </row>
    <row r="113" spans="1:68" ht="18" hidden="1" customHeight="1" x14ac:dyDescent="0.2">
      <c r="A113" s="888" t="str">
        <f>IF(Dados!$W$44=0,$BH$224,"")</f>
        <v>NÃO HOUVE</v>
      </c>
      <c r="B113" s="1301" t="str">
        <f>IF($AF$108=0,$BH$42,$BH$40)</f>
        <v>- As aquisições com os recursos de capital foram da ordem de</v>
      </c>
      <c r="C113" s="1299"/>
      <c r="D113" s="1299"/>
      <c r="E113" s="1299"/>
      <c r="F113" s="1299"/>
      <c r="G113" s="1299"/>
      <c r="H113" s="1299"/>
      <c r="I113" s="1299"/>
      <c r="J113" s="1299"/>
      <c r="K113" s="1299"/>
      <c r="L113" s="1299"/>
      <c r="M113" s="1299"/>
      <c r="N113" s="1299"/>
      <c r="O113" s="1299"/>
      <c r="P113" s="1299"/>
      <c r="Q113" s="1299"/>
      <c r="R113" s="1299"/>
      <c r="S113" s="1299"/>
      <c r="T113" s="1299"/>
      <c r="U113" s="1299"/>
      <c r="V113" s="1299"/>
      <c r="W113" s="1299"/>
      <c r="X113" s="1299"/>
      <c r="Y113" s="1299"/>
      <c r="Z113" s="1299"/>
      <c r="AA113" s="1299"/>
      <c r="AB113" s="1299"/>
      <c r="AC113" s="1299"/>
      <c r="AD113" s="1299"/>
      <c r="AE113" s="1299"/>
      <c r="AF113" s="1299"/>
      <c r="AG113" s="1300" t="str">
        <f>IF($AF$108=0,"",$AF$108)</f>
        <v/>
      </c>
      <c r="AH113" s="1300"/>
      <c r="AI113" s="1300"/>
      <c r="AJ113" s="1300"/>
      <c r="AK113" s="1300"/>
      <c r="AL113" s="1300"/>
      <c r="AM113" s="1300"/>
      <c r="AN113" s="1300"/>
      <c r="AO113" s="1300"/>
      <c r="AP113" s="1300"/>
      <c r="AQ113" s="1289" t="str">
        <f>IF($AF$108&gt;0,$BI$39,"")</f>
        <v>e relacionadas a seguir:</v>
      </c>
      <c r="AR113" s="1289"/>
      <c r="AS113" s="1289"/>
      <c r="AT113" s="1289"/>
      <c r="AU113" s="1289"/>
      <c r="AV113" s="1289"/>
      <c r="AW113" s="1289"/>
      <c r="AX113" s="1289"/>
      <c r="AY113" s="1289"/>
      <c r="AZ113" s="1289"/>
      <c r="BA113" s="1289"/>
      <c r="BB113" s="1289"/>
      <c r="BC113" s="1289"/>
      <c r="BD113" s="1289"/>
      <c r="BE113" s="174"/>
      <c r="BF113" s="874"/>
    </row>
    <row r="114" spans="1:68" ht="35.25" hidden="1" customHeight="1" x14ac:dyDescent="0.2">
      <c r="A114" s="885" t="str">
        <f>IF(Dados!$W$44=0,$BH$224,IF($AF$108=0,$BH$224,IF($B$114&gt;0,"Aumente ou diminua a altura da linha 114")))</f>
        <v>NÃO HOUVE</v>
      </c>
      <c r="B114" s="1290" t="str">
        <f>IF(Despesas!$GE$2=0,"",Despesas!$GE$2)</f>
        <v/>
      </c>
      <c r="C114" s="1290"/>
      <c r="D114" s="1290"/>
      <c r="E114" s="1290"/>
      <c r="F114" s="1290"/>
      <c r="G114" s="1290"/>
      <c r="H114" s="1290"/>
      <c r="I114" s="1290"/>
      <c r="J114" s="1290"/>
      <c r="K114" s="1290"/>
      <c r="L114" s="1290"/>
      <c r="M114" s="1290"/>
      <c r="N114" s="1290"/>
      <c r="O114" s="1290"/>
      <c r="P114" s="1290"/>
      <c r="Q114" s="1290"/>
      <c r="R114" s="1290"/>
      <c r="S114" s="1290"/>
      <c r="T114" s="1290"/>
      <c r="U114" s="1290"/>
      <c r="V114" s="1290"/>
      <c r="W114" s="1290"/>
      <c r="X114" s="1290"/>
      <c r="Y114" s="1290"/>
      <c r="Z114" s="1290"/>
      <c r="AA114" s="1290"/>
      <c r="AB114" s="1290"/>
      <c r="AC114" s="1290"/>
      <c r="AD114" s="1290"/>
      <c r="AE114" s="1290"/>
      <c r="AF114" s="1290"/>
      <c r="AG114" s="1290"/>
      <c r="AH114" s="1290"/>
      <c r="AI114" s="1290"/>
      <c r="AJ114" s="1290"/>
      <c r="AK114" s="1290"/>
      <c r="AL114" s="1290"/>
      <c r="AM114" s="1290"/>
      <c r="AN114" s="1290"/>
      <c r="AO114" s="1290"/>
      <c r="AP114" s="1290"/>
      <c r="AQ114" s="1290"/>
      <c r="AR114" s="1290"/>
      <c r="AS114" s="1290"/>
      <c r="AT114" s="1290"/>
      <c r="AU114" s="1290"/>
      <c r="AV114" s="1290"/>
      <c r="AW114" s="1290"/>
      <c r="AX114" s="1290"/>
      <c r="AY114" s="1290"/>
      <c r="AZ114" s="1290"/>
      <c r="BA114" s="1290"/>
      <c r="BB114" s="1290"/>
      <c r="BC114" s="1290"/>
      <c r="BD114" s="1290"/>
      <c r="BE114" s="1290"/>
      <c r="BF114" s="874"/>
    </row>
    <row r="115" spans="1:68" ht="35.25" hidden="1" customHeight="1" x14ac:dyDescent="0.2">
      <c r="A115" s="885" t="str">
        <f>IF(Dados!$W$44=0,$BH$224,IF(AND($W$108=0,$AF$108=0),$BH$224,IF($B$115="","Observações se houverem","Aumente ou diminua a altura da linha 115")))</f>
        <v>NÃO HOUVE</v>
      </c>
      <c r="B115" s="1291"/>
      <c r="C115" s="1292"/>
      <c r="D115" s="1292"/>
      <c r="E115" s="1292"/>
      <c r="F115" s="1292"/>
      <c r="G115" s="1292"/>
      <c r="H115" s="1292"/>
      <c r="I115" s="1292"/>
      <c r="J115" s="1292"/>
      <c r="K115" s="1292"/>
      <c r="L115" s="1292"/>
      <c r="M115" s="1292"/>
      <c r="N115" s="1292"/>
      <c r="O115" s="1292"/>
      <c r="P115" s="1292"/>
      <c r="Q115" s="1292"/>
      <c r="R115" s="1292"/>
      <c r="S115" s="1292"/>
      <c r="T115" s="1292"/>
      <c r="U115" s="1292"/>
      <c r="V115" s="1292"/>
      <c r="W115" s="1292"/>
      <c r="X115" s="1292"/>
      <c r="Y115" s="1292"/>
      <c r="Z115" s="1292"/>
      <c r="AA115" s="1292"/>
      <c r="AB115" s="1292"/>
      <c r="AC115" s="1292"/>
      <c r="AD115" s="1292"/>
      <c r="AE115" s="1292"/>
      <c r="AF115" s="1292"/>
      <c r="AG115" s="1292"/>
      <c r="AH115" s="1292"/>
      <c r="AI115" s="1292"/>
      <c r="AJ115" s="1292"/>
      <c r="AK115" s="1292"/>
      <c r="AL115" s="1292"/>
      <c r="AM115" s="1292"/>
      <c r="AN115" s="1292"/>
      <c r="AO115" s="1292"/>
      <c r="AP115" s="1292"/>
      <c r="AQ115" s="1292"/>
      <c r="AR115" s="1292"/>
      <c r="AS115" s="1292"/>
      <c r="AT115" s="1292"/>
      <c r="AU115" s="1292"/>
      <c r="AV115" s="1292"/>
      <c r="AW115" s="1292"/>
      <c r="AX115" s="1292"/>
      <c r="AY115" s="1292"/>
      <c r="AZ115" s="1292"/>
      <c r="BA115" s="1292"/>
      <c r="BB115" s="1292"/>
      <c r="BC115" s="1292"/>
      <c r="BD115" s="1292"/>
      <c r="BE115" s="1292"/>
      <c r="BF115" s="874"/>
      <c r="BO115" s="168"/>
      <c r="BP115" s="168"/>
    </row>
    <row r="116" spans="1:68" ht="18" hidden="1" customHeight="1" x14ac:dyDescent="0.2">
      <c r="A116" s="894" t="str">
        <f>IF(AND($A$117=$BK$46,$A$118=$BK$46),$BK$46,$BK$47)</f>
        <v>NÃO HOUVE</v>
      </c>
      <c r="B116" s="1293"/>
      <c r="C116" s="1293"/>
      <c r="D116" s="1293"/>
      <c r="E116" s="1293"/>
      <c r="F116" s="1293"/>
      <c r="G116" s="1293"/>
      <c r="H116" s="1293"/>
      <c r="I116" s="1293"/>
      <c r="J116" s="1293"/>
      <c r="K116" s="1293"/>
      <c r="L116" s="1293"/>
      <c r="M116" s="1293"/>
      <c r="N116" s="1293"/>
      <c r="O116" s="1293"/>
      <c r="P116" s="1293"/>
      <c r="Q116" s="1293"/>
      <c r="R116" s="1293"/>
      <c r="S116" s="1293"/>
      <c r="T116" s="1293"/>
      <c r="U116" s="1293"/>
      <c r="V116" s="1293"/>
      <c r="W116" s="1293"/>
      <c r="X116" s="1293"/>
      <c r="Y116" s="1293"/>
      <c r="Z116" s="1293"/>
      <c r="AA116" s="1293"/>
      <c r="AB116" s="1293"/>
      <c r="AC116" s="1293"/>
      <c r="AD116" s="1293"/>
      <c r="AE116" s="1293"/>
      <c r="AF116" s="1293"/>
      <c r="AG116" s="1293"/>
      <c r="AH116" s="1293"/>
      <c r="AI116" s="1293"/>
      <c r="AJ116" s="1293"/>
      <c r="AK116" s="1293"/>
      <c r="AL116" s="1293"/>
      <c r="AM116" s="1293"/>
      <c r="AN116" s="1293"/>
      <c r="AO116" s="1293"/>
      <c r="AP116" s="1293"/>
      <c r="AQ116" s="1293"/>
      <c r="AR116" s="1293"/>
      <c r="AS116" s="1293"/>
      <c r="AT116" s="1293"/>
      <c r="AU116" s="1293"/>
      <c r="AV116" s="1293"/>
      <c r="AW116" s="1293"/>
      <c r="AX116" s="1293"/>
      <c r="AY116" s="1293"/>
      <c r="AZ116" s="1293"/>
      <c r="BA116" s="1293"/>
      <c r="BB116" s="1293"/>
      <c r="BC116" s="1293"/>
      <c r="BD116" s="1293"/>
      <c r="BE116" s="1293"/>
      <c r="BF116" s="874"/>
      <c r="BO116" s="168"/>
      <c r="BP116" s="168"/>
    </row>
    <row r="117" spans="1:68" ht="18.75" hidden="1" customHeight="1" x14ac:dyDescent="0.2">
      <c r="A117" s="887" t="str">
        <f>IF(Dados!$W$44=0,$BH$224,IF(AND($BQ$69=0,$BR$69=0),$BH$224,IF(AND($BQ$69&gt;0,$BR$69=0),$BH$226,IF(AND($BQ$69=0,$BR$69&gt;0),$BH$227,IF(AND($BQ$69&gt;0,$BR$69&gt;0),$BH$228)))))</f>
        <v>NÃO HOUVE</v>
      </c>
      <c r="B117" s="1286" t="str">
        <f>IF(AND($BQ$69=0,$BR$69=0),"",$BG$72)</f>
        <v/>
      </c>
      <c r="C117" s="1286"/>
      <c r="D117" s="1286"/>
      <c r="E117" s="1286"/>
      <c r="F117" s="1286"/>
      <c r="G117" s="1286"/>
      <c r="H117" s="1286"/>
      <c r="I117" s="1286"/>
      <c r="J117" s="1286"/>
      <c r="K117" s="1286"/>
      <c r="L117" s="1286"/>
      <c r="M117" s="1286"/>
      <c r="N117" s="1286"/>
      <c r="O117" s="1286"/>
      <c r="P117" s="1286"/>
      <c r="Q117" s="1286"/>
      <c r="R117" s="1294" t="str">
        <f>IF(AND($BQ$69=0,$BR$69=0),"",IF(AND($BQ$69=0,$BR$69&gt;0),"",IF(AND($BQ$69&gt;0,$BR$69=0),$BQ$69,IF(AND($BQ$69&gt;0,$BR$69&gt;0),$BQ$69))))</f>
        <v/>
      </c>
      <c r="S117" s="1294"/>
      <c r="T117" s="1294"/>
      <c r="U117" s="1294"/>
      <c r="V117" s="1294"/>
      <c r="W117" s="1294"/>
      <c r="X117" s="1294"/>
      <c r="Y117" s="1288" t="str">
        <f>IF(AND($BQ$69=0,$BR$69=0),"",IF(AND($BQ$69=0,$BR$69&gt;0),"",IF(AND($BQ$69&gt;0,$BR$69=0),$BQ$70,IF(AND($BQ$69&gt;0,$BR$69&gt;0),$BQ$70))))</f>
        <v/>
      </c>
      <c r="Z117" s="1288"/>
      <c r="AA117" s="1288"/>
      <c r="AB117" s="1288"/>
      <c r="AC117" s="1288"/>
      <c r="AD117" s="1288"/>
      <c r="AE117" s="1288"/>
      <c r="AF117" s="1288"/>
      <c r="AG117" s="1288"/>
      <c r="AH117" s="1288"/>
      <c r="AI117" s="1288"/>
      <c r="AJ117" s="1288"/>
      <c r="AK117" s="1288"/>
      <c r="AL117" s="1294" t="str">
        <f>IF(AND($BQ$69=0,$BR$69=0),"",IF(AND($BQ$69=0,$BR$69&gt;0),$BR$69,IF(AND($BQ$69&gt;0,$BR$69=0),"",IF(AND($BQ$69&gt;0,$BR$69&gt;0),$BR$69))))</f>
        <v/>
      </c>
      <c r="AM117" s="1294"/>
      <c r="AN117" s="1294"/>
      <c r="AO117" s="1294"/>
      <c r="AP117" s="1294"/>
      <c r="AQ117" s="1294"/>
      <c r="AR117" s="1294"/>
      <c r="AS117" s="1289" t="str">
        <f>IF(AND($BQ$69=0,$BR$69=0),"",IF(AND($BQ$69=0,$BR$69&gt;0),$BR$70,IF(AND($BQ$69&gt;0,$BR$69=0),"",IF(AND($BQ$69&gt;0,$BR$69&gt;0),$BR$70))))</f>
        <v/>
      </c>
      <c r="AT117" s="1289"/>
      <c r="AU117" s="1289"/>
      <c r="AV117" s="1289"/>
      <c r="AW117" s="1289"/>
      <c r="AX117" s="1289"/>
      <c r="AY117" s="1289"/>
      <c r="AZ117" s="1289"/>
      <c r="BA117" s="1289"/>
      <c r="BB117" s="1289"/>
      <c r="BC117" s="1289"/>
      <c r="BD117" s="1289"/>
      <c r="BE117" s="1289"/>
      <c r="BF117" s="874"/>
      <c r="BO117" s="168"/>
      <c r="BP117" s="168"/>
    </row>
    <row r="118" spans="1:68" ht="18.75" hidden="1" customHeight="1" x14ac:dyDescent="0.2">
      <c r="A118" s="887" t="str">
        <f>IF(Dados!$W$44=0,$BH$224,IF(AND($BQ$66=0,$BR$66=0),$BH$224,IF(AND($BQ$66&gt;0,$BR$66=0),$BH$226,IF(AND($BQ$66=0,$BR$66&gt;0),$BH$227,IF(AND($BQ$66&gt;0,$BR$66&gt;0),$BH$228)))))</f>
        <v>NÃO HOUVE</v>
      </c>
      <c r="B118" s="1286" t="str">
        <f>IF(OR($A$118=$BH$224,$A$118=$BH$225),"",$BG$72)</f>
        <v/>
      </c>
      <c r="C118" s="1286"/>
      <c r="D118" s="1286"/>
      <c r="E118" s="1286"/>
      <c r="F118" s="1286"/>
      <c r="G118" s="1286"/>
      <c r="H118" s="1286"/>
      <c r="I118" s="1286"/>
      <c r="J118" s="1286"/>
      <c r="K118" s="1286"/>
      <c r="L118" s="1286"/>
      <c r="M118" s="1286"/>
      <c r="N118" s="1286"/>
      <c r="O118" s="1286"/>
      <c r="P118" s="1286"/>
      <c r="Q118" s="1286"/>
      <c r="R118" s="1294" t="e">
        <f>IF(AND($BQ$66=0,$BR$66=0),"",IF(AND($BQ$66=0,$BR$66&gt;0),$BR$66,IF(AND($BQ$66&gt;0,$BR$66=0),$BQ$66,IF(AND($BQ$66&gt;0,$BR$66&gt;0),$BQ$66))))</f>
        <v>#VALUE!</v>
      </c>
      <c r="S118" s="1294"/>
      <c r="T118" s="1294"/>
      <c r="U118" s="1294"/>
      <c r="V118" s="1294"/>
      <c r="W118" s="1294"/>
      <c r="X118" s="1294"/>
      <c r="Y118" s="1288" t="str">
        <f>IF(OR($A$118=$BH$224,$A$118=$BH$225),"",IF($A$118=$BH$226,$BH$45,IF($A$118=$BH$227,"",IF($A$118=$BH$228,$BH$46))))</f>
        <v/>
      </c>
      <c r="Z118" s="1288"/>
      <c r="AA118" s="1288"/>
      <c r="AB118" s="1288"/>
      <c r="AC118" s="1288"/>
      <c r="AD118" s="1288"/>
      <c r="AE118" s="1288"/>
      <c r="AF118" s="1288"/>
      <c r="AG118" s="1288"/>
      <c r="AH118" s="1288"/>
      <c r="AI118" s="1288"/>
      <c r="AJ118" s="1288"/>
      <c r="AK118" s="1288"/>
      <c r="AL118" s="1294" t="e">
        <f>IF(AND($BQ$66=0,$BR$66=0),"",IF(AND($BQ$66=0,$BR$66&gt;0),"",IF(AND($BQ$66&gt;0,$BR$66=0),"",IF(AND($BQ$66&gt;0,$BR$66&gt;0),$BR$66))))</f>
        <v>#VALUE!</v>
      </c>
      <c r="AM118" s="1294"/>
      <c r="AN118" s="1294"/>
      <c r="AO118" s="1294"/>
      <c r="AP118" s="1294"/>
      <c r="AQ118" s="1294"/>
      <c r="AR118" s="1294"/>
      <c r="AS118" s="1289" t="str">
        <f>IF(OR($A$118=$BH$224,$A$118=$BH$225,$A$118=$BH$226),"",$BH$47)</f>
        <v/>
      </c>
      <c r="AT118" s="1289"/>
      <c r="AU118" s="1289"/>
      <c r="AV118" s="1289"/>
      <c r="AW118" s="1289"/>
      <c r="AX118" s="1289"/>
      <c r="AY118" s="1289"/>
      <c r="AZ118" s="1289"/>
      <c r="BA118" s="1289"/>
      <c r="BB118" s="1289"/>
      <c r="BC118" s="1289"/>
      <c r="BD118" s="1289"/>
      <c r="BE118" s="1289"/>
      <c r="BF118" s="874"/>
      <c r="BO118" s="168"/>
      <c r="BP118" s="168"/>
    </row>
    <row r="119" spans="1:68" ht="19.5" customHeight="1" x14ac:dyDescent="0.2">
      <c r="A119" s="970" t="s">
        <v>1386</v>
      </c>
      <c r="B119" s="1286" t="str">
        <f>IF($A$119=$BH$230,"",$BG$72)</f>
        <v/>
      </c>
      <c r="C119" s="1286"/>
      <c r="D119" s="1286"/>
      <c r="E119" s="1286"/>
      <c r="F119" s="1286"/>
      <c r="G119" s="1286"/>
      <c r="H119" s="1286"/>
      <c r="I119" s="1286"/>
      <c r="J119" s="1286"/>
      <c r="K119" s="1286"/>
      <c r="L119" s="1286"/>
      <c r="M119" s="1286"/>
      <c r="N119" s="1286"/>
      <c r="O119" s="1286"/>
      <c r="P119" s="1286"/>
      <c r="Q119" s="1286"/>
      <c r="R119" s="1287"/>
      <c r="S119" s="1287"/>
      <c r="T119" s="1287"/>
      <c r="U119" s="1287"/>
      <c r="V119" s="1287"/>
      <c r="W119" s="1287"/>
      <c r="X119" s="1287"/>
      <c r="Y119" s="1288" t="str">
        <f>IF($A$119=$BH$230,"",IF($A$119=$BH$226,$BH$45,IF($A$119=$BH$227,"",IF($A$119=$BH$228,$BH$46))))</f>
        <v/>
      </c>
      <c r="Z119" s="1288"/>
      <c r="AA119" s="1288"/>
      <c r="AB119" s="1288"/>
      <c r="AC119" s="1288"/>
      <c r="AD119" s="1288"/>
      <c r="AE119" s="1288"/>
      <c r="AF119" s="1288"/>
      <c r="AG119" s="1288"/>
      <c r="AH119" s="1288"/>
      <c r="AI119" s="1288"/>
      <c r="AJ119" s="1288"/>
      <c r="AK119" s="1288"/>
      <c r="AL119" s="1287"/>
      <c r="AM119" s="1287"/>
      <c r="AN119" s="1287"/>
      <c r="AO119" s="1287"/>
      <c r="AP119" s="1287"/>
      <c r="AQ119" s="1287"/>
      <c r="AR119" s="1287"/>
      <c r="AS119" s="1289" t="str">
        <f>IF(OR($A$119=$BH$230,$A$119=$BH$231),"",$BH$47)</f>
        <v/>
      </c>
      <c r="AT119" s="1289"/>
      <c r="AU119" s="1289"/>
      <c r="AV119" s="1289"/>
      <c r="AW119" s="1289"/>
      <c r="AX119" s="1289"/>
      <c r="AY119" s="1289"/>
      <c r="AZ119" s="1289"/>
      <c r="BA119" s="1289"/>
      <c r="BB119" s="1289"/>
      <c r="BC119" s="1289"/>
      <c r="BD119" s="1289"/>
      <c r="BE119" s="1289"/>
      <c r="BF119" s="874"/>
      <c r="BO119" s="969"/>
      <c r="BP119" s="969"/>
    </row>
    <row r="120" spans="1:68" ht="44.25" hidden="1" customHeight="1" x14ac:dyDescent="0.2">
      <c r="A120" s="895" t="str">
        <f>IF(AND($A$117=$BH$224,$A$118=$BH$224,$A$119=$BH$230),$BH$224,$BH$221)</f>
        <v>NÃO HOUVE</v>
      </c>
      <c r="B120" s="1274" t="s">
        <v>12309</v>
      </c>
      <c r="C120" s="1274"/>
      <c r="D120" s="1274"/>
      <c r="E120" s="1274"/>
      <c r="F120" s="1274"/>
      <c r="G120" s="1274"/>
      <c r="H120" s="1274"/>
      <c r="I120" s="1274"/>
      <c r="J120" s="1274"/>
      <c r="K120" s="1274"/>
      <c r="L120" s="1274"/>
      <c r="M120" s="1274"/>
      <c r="N120" s="1274"/>
      <c r="O120" s="1274"/>
      <c r="P120" s="1274"/>
      <c r="Q120" s="1274"/>
      <c r="R120" s="1274"/>
      <c r="S120" s="1274"/>
      <c r="T120" s="1274"/>
      <c r="U120" s="1274"/>
      <c r="V120" s="1274"/>
      <c r="W120" s="1274"/>
      <c r="X120" s="1274"/>
      <c r="Y120" s="1274"/>
      <c r="Z120" s="1274"/>
      <c r="AA120" s="1274"/>
      <c r="AB120" s="1274"/>
      <c r="AC120" s="1274"/>
      <c r="AD120" s="1274"/>
      <c r="AE120" s="1274"/>
      <c r="AF120" s="1274"/>
      <c r="AG120" s="1274"/>
      <c r="AH120" s="1274"/>
      <c r="AI120" s="1274"/>
      <c r="AJ120" s="1274"/>
      <c r="AK120" s="1274"/>
      <c r="AL120" s="1274"/>
      <c r="AM120" s="1274"/>
      <c r="AN120" s="1274"/>
      <c r="AO120" s="1274"/>
      <c r="AP120" s="1274"/>
      <c r="AQ120" s="1274"/>
      <c r="AR120" s="1274"/>
      <c r="AS120" s="1274"/>
      <c r="AT120" s="1274"/>
      <c r="AU120" s="1274"/>
      <c r="AV120" s="1274"/>
      <c r="AW120" s="1274"/>
      <c r="AX120" s="1274"/>
      <c r="AY120" s="1274"/>
      <c r="AZ120" s="1274"/>
      <c r="BA120" s="1274"/>
      <c r="BB120" s="1274"/>
      <c r="BC120" s="1274"/>
      <c r="BD120" s="1274"/>
      <c r="BE120" s="1274"/>
      <c r="BF120" s="874"/>
      <c r="BO120" s="168"/>
      <c r="BP120" s="168"/>
    </row>
    <row r="121" spans="1:68" ht="19.5" customHeight="1" x14ac:dyDescent="0.2">
      <c r="A121" s="896"/>
      <c r="B121" s="855"/>
      <c r="C121" s="855"/>
      <c r="D121" s="855"/>
      <c r="E121" s="855"/>
      <c r="F121" s="855"/>
      <c r="G121" s="855"/>
      <c r="H121" s="855"/>
      <c r="I121" s="855"/>
      <c r="J121" s="855"/>
      <c r="K121" s="855"/>
      <c r="L121" s="855"/>
      <c r="M121" s="855"/>
      <c r="N121" s="855"/>
      <c r="O121" s="855"/>
      <c r="P121" s="855"/>
      <c r="Q121" s="855"/>
      <c r="R121" s="855"/>
      <c r="S121" s="855"/>
      <c r="T121" s="855"/>
      <c r="U121" s="855"/>
      <c r="V121" s="855"/>
      <c r="W121" s="855"/>
      <c r="X121" s="855"/>
      <c r="Y121" s="855"/>
      <c r="Z121" s="855"/>
      <c r="AA121" s="855"/>
      <c r="AB121" s="855"/>
      <c r="AC121" s="855"/>
      <c r="AD121" s="855"/>
      <c r="AE121" s="855"/>
      <c r="AF121" s="855"/>
      <c r="AG121" s="855"/>
      <c r="AH121" s="855"/>
      <c r="AI121" s="855"/>
      <c r="AJ121" s="855"/>
      <c r="AK121" s="855"/>
      <c r="AL121" s="855"/>
      <c r="AM121" s="855"/>
      <c r="AN121" s="855"/>
      <c r="AO121" s="855"/>
      <c r="AP121" s="855"/>
      <c r="AQ121" s="855"/>
      <c r="AR121" s="855"/>
      <c r="AS121" s="855"/>
      <c r="AT121" s="855"/>
      <c r="AU121" s="855"/>
      <c r="AV121" s="855"/>
      <c r="AW121" s="855"/>
      <c r="AX121" s="855"/>
      <c r="AY121" s="855"/>
      <c r="AZ121" s="855"/>
      <c r="BA121" s="855"/>
      <c r="BB121" s="855"/>
      <c r="BC121" s="855"/>
      <c r="BD121" s="855"/>
      <c r="BE121" s="855"/>
      <c r="BF121" s="874"/>
      <c r="BO121" s="168"/>
      <c r="BP121" s="168"/>
    </row>
    <row r="122" spans="1:68" ht="19.5" customHeight="1" x14ac:dyDescent="0.2">
      <c r="A122" s="888" t="str">
        <f>IF(Dados!$W$50=0,$BH$224,"")</f>
        <v>NÃO HOUVE</v>
      </c>
      <c r="B122" s="1303" t="str">
        <f>$BS$62</f>
        <v>FORMAÇÃO</v>
      </c>
      <c r="C122" s="1303"/>
      <c r="D122" s="1303"/>
      <c r="E122" s="1303"/>
      <c r="F122" s="1303"/>
      <c r="G122" s="1303"/>
      <c r="H122" s="1303"/>
      <c r="I122" s="1303"/>
      <c r="J122" s="1303"/>
      <c r="K122" s="1303"/>
      <c r="L122" s="1303"/>
      <c r="M122" s="1303"/>
      <c r="N122" s="1303"/>
      <c r="O122" s="1303"/>
      <c r="P122" s="1303"/>
      <c r="Q122" s="1303"/>
      <c r="R122" s="1303"/>
      <c r="S122" s="1303"/>
      <c r="T122" s="1303"/>
      <c r="U122" s="1303"/>
      <c r="V122" s="1303"/>
      <c r="W122" s="1303"/>
      <c r="X122" s="1303"/>
      <c r="Y122" s="1303"/>
      <c r="Z122" s="1303"/>
      <c r="AA122" s="1303"/>
      <c r="AB122" s="1303"/>
      <c r="AC122" s="1303"/>
      <c r="AD122" s="1303"/>
      <c r="AE122" s="1303"/>
      <c r="AF122" s="1303"/>
      <c r="AG122" s="1303"/>
      <c r="AH122" s="1303"/>
      <c r="AI122" s="1303"/>
      <c r="AJ122" s="1303"/>
      <c r="AK122" s="1303"/>
      <c r="AL122" s="1303"/>
      <c r="AM122" s="1303"/>
      <c r="AN122" s="1303"/>
      <c r="AO122" s="1303"/>
      <c r="AP122" s="1303"/>
      <c r="AQ122" s="1303"/>
      <c r="AR122" s="1303"/>
      <c r="AS122" s="1303"/>
      <c r="AT122" s="1303"/>
      <c r="AU122" s="1303"/>
      <c r="AV122" s="1303"/>
      <c r="AW122" s="1303"/>
      <c r="AX122" s="1303"/>
      <c r="AY122" s="1303"/>
      <c r="AZ122" s="1303"/>
      <c r="BA122" s="1303"/>
      <c r="BB122" s="1303"/>
      <c r="BC122" s="1303"/>
      <c r="BD122" s="1303"/>
      <c r="BE122" s="1303"/>
      <c r="BF122" s="874"/>
      <c r="BO122" s="974"/>
      <c r="BP122" s="974"/>
    </row>
    <row r="123" spans="1:68" ht="19.5" hidden="1" customHeight="1" x14ac:dyDescent="0.2">
      <c r="A123" s="892" t="s">
        <v>1308</v>
      </c>
      <c r="B123" s="1304"/>
      <c r="C123" s="1304"/>
      <c r="D123" s="1304"/>
      <c r="E123" s="1304"/>
      <c r="F123" s="1304"/>
      <c r="G123" s="1304"/>
      <c r="H123" s="1304"/>
      <c r="I123" s="1304"/>
      <c r="J123" s="1304"/>
      <c r="K123" s="1304"/>
      <c r="L123" s="1304"/>
      <c r="M123" s="1304"/>
      <c r="N123" s="1304"/>
      <c r="O123" s="1304"/>
      <c r="P123" s="1304"/>
      <c r="Q123" s="1304"/>
      <c r="R123" s="1304"/>
      <c r="S123" s="1304"/>
      <c r="T123" s="1304"/>
      <c r="U123" s="1304"/>
      <c r="V123" s="1304"/>
      <c r="W123" s="1304"/>
      <c r="X123" s="1304"/>
      <c r="Y123" s="1304"/>
      <c r="Z123" s="1304"/>
      <c r="AA123" s="1304"/>
      <c r="AB123" s="1304"/>
      <c r="AC123" s="1304"/>
      <c r="AD123" s="1304"/>
      <c r="AE123" s="1304"/>
      <c r="AF123" s="1304"/>
      <c r="AG123" s="1304"/>
      <c r="AH123" s="1304"/>
      <c r="AI123" s="1304"/>
      <c r="AJ123" s="1304"/>
      <c r="AK123" s="1304"/>
      <c r="AL123" s="1304"/>
      <c r="AM123" s="1304"/>
      <c r="AN123" s="1304"/>
      <c r="AO123" s="1304"/>
      <c r="AP123" s="1304"/>
      <c r="AQ123" s="1304"/>
      <c r="AR123" s="1304"/>
      <c r="AS123" s="1304"/>
      <c r="AT123" s="1304"/>
      <c r="AU123" s="1304"/>
      <c r="AV123" s="1304"/>
      <c r="AW123" s="1304"/>
      <c r="AX123" s="1304"/>
      <c r="AY123" s="1304"/>
      <c r="AZ123" s="1304"/>
      <c r="BA123" s="1304"/>
      <c r="BB123" s="1304"/>
      <c r="BC123" s="1304"/>
      <c r="BD123" s="1304"/>
      <c r="BE123" s="1304"/>
      <c r="BF123" s="874"/>
      <c r="BO123" s="974"/>
      <c r="BP123" s="974"/>
    </row>
    <row r="124" spans="1:68" ht="19.5" customHeight="1" x14ac:dyDescent="0.2">
      <c r="A124" s="892" t="str">
        <f>IF(Dados!$W$50=0,$BH$224,"")</f>
        <v>NÃO HOUVE</v>
      </c>
      <c r="B124" s="855"/>
      <c r="C124" s="855"/>
      <c r="D124" s="855"/>
      <c r="E124" s="855"/>
      <c r="F124" s="855"/>
      <c r="G124" s="855"/>
      <c r="H124" s="1305"/>
      <c r="I124" s="1305"/>
      <c r="J124" s="1305"/>
      <c r="K124" s="1305"/>
      <c r="L124" s="1305"/>
      <c r="M124" s="1305"/>
      <c r="N124" s="1305"/>
      <c r="O124" s="1305"/>
      <c r="P124" s="1305"/>
      <c r="Q124" s="1305"/>
      <c r="R124" s="1305"/>
      <c r="S124" s="1305"/>
      <c r="T124" s="1305"/>
      <c r="U124" s="1305"/>
      <c r="V124" s="1305"/>
      <c r="W124" s="1305" t="s">
        <v>181</v>
      </c>
      <c r="X124" s="1305"/>
      <c r="Y124" s="1305"/>
      <c r="Z124" s="1305"/>
      <c r="AA124" s="1305"/>
      <c r="AB124" s="1305"/>
      <c r="AC124" s="1305"/>
      <c r="AD124" s="1305"/>
      <c r="AE124" s="1305"/>
      <c r="AF124" s="1305" t="s">
        <v>182</v>
      </c>
      <c r="AG124" s="1305"/>
      <c r="AH124" s="1305"/>
      <c r="AI124" s="1305"/>
      <c r="AJ124" s="1305"/>
      <c r="AK124" s="1305"/>
      <c r="AL124" s="1305"/>
      <c r="AM124" s="1305"/>
      <c r="AN124" s="1305"/>
      <c r="AO124" s="1305" t="s">
        <v>440</v>
      </c>
      <c r="AP124" s="1305"/>
      <c r="AQ124" s="1305"/>
      <c r="AR124" s="1305"/>
      <c r="AS124" s="1305"/>
      <c r="AT124" s="1305"/>
      <c r="AU124" s="1305"/>
      <c r="AV124" s="1305"/>
      <c r="AW124" s="1305"/>
      <c r="AY124" s="855"/>
      <c r="AZ124" s="855"/>
      <c r="BA124" s="855"/>
      <c r="BB124" s="855"/>
      <c r="BC124" s="855"/>
      <c r="BD124" s="855"/>
      <c r="BE124" s="855"/>
      <c r="BF124" s="874"/>
      <c r="BO124" s="974"/>
      <c r="BP124" s="974"/>
    </row>
    <row r="125" spans="1:68" ht="19.5" customHeight="1" x14ac:dyDescent="0.2">
      <c r="A125" s="892" t="str">
        <f>IF(Dados!$W$50=0,$BH$224,"")</f>
        <v>NÃO HOUVE</v>
      </c>
      <c r="B125" s="855"/>
      <c r="C125" s="855"/>
      <c r="D125" s="855"/>
      <c r="E125" s="855"/>
      <c r="F125" s="855"/>
      <c r="G125" s="855"/>
      <c r="H125" s="1295" t="s">
        <v>1323</v>
      </c>
      <c r="I125" s="1296"/>
      <c r="J125" s="1296"/>
      <c r="K125" s="1296"/>
      <c r="L125" s="1296"/>
      <c r="M125" s="1296"/>
      <c r="N125" s="1296"/>
      <c r="O125" s="1296"/>
      <c r="P125" s="1296"/>
      <c r="Q125" s="1296"/>
      <c r="R125" s="1296"/>
      <c r="S125" s="1296"/>
      <c r="T125" s="1296"/>
      <c r="U125" s="1296"/>
      <c r="V125" s="1297"/>
      <c r="W125" s="1302" t="str">
        <f>Dados!$F$50</f>
        <v/>
      </c>
      <c r="X125" s="1302"/>
      <c r="Y125" s="1302"/>
      <c r="Z125" s="1302"/>
      <c r="AA125" s="1302"/>
      <c r="AB125" s="1302"/>
      <c r="AC125" s="1302"/>
      <c r="AD125" s="1302"/>
      <c r="AE125" s="1302"/>
      <c r="AF125" s="1302" t="str">
        <f>Dados!$I$50</f>
        <v/>
      </c>
      <c r="AG125" s="1302"/>
      <c r="AH125" s="1302"/>
      <c r="AI125" s="1302"/>
      <c r="AJ125" s="1302"/>
      <c r="AK125" s="1302"/>
      <c r="AL125" s="1302"/>
      <c r="AM125" s="1302"/>
      <c r="AN125" s="1302"/>
      <c r="AO125" s="1298" t="e">
        <f>W125+AF125</f>
        <v>#VALUE!</v>
      </c>
      <c r="AP125" s="1298"/>
      <c r="AQ125" s="1298"/>
      <c r="AR125" s="1298"/>
      <c r="AS125" s="1298"/>
      <c r="AT125" s="1298"/>
      <c r="AU125" s="1298"/>
      <c r="AV125" s="1298"/>
      <c r="AW125" s="1298"/>
      <c r="AY125" s="855"/>
      <c r="AZ125" s="855"/>
      <c r="BA125" s="855"/>
      <c r="BB125" s="855"/>
      <c r="BC125" s="855"/>
      <c r="BD125" s="855"/>
      <c r="BE125" s="855"/>
      <c r="BF125" s="874"/>
      <c r="BO125" s="974"/>
      <c r="BP125" s="974"/>
    </row>
    <row r="126" spans="1:68" ht="19.5" customHeight="1" x14ac:dyDescent="0.2">
      <c r="A126" s="892" t="str">
        <f>IF(Dados!$W$50=0,$BH$224,"")</f>
        <v>NÃO HOUVE</v>
      </c>
      <c r="B126" s="855"/>
      <c r="C126" s="855"/>
      <c r="D126" s="855"/>
      <c r="E126" s="855"/>
      <c r="F126" s="855"/>
      <c r="G126" s="855"/>
      <c r="H126" s="1295" t="s">
        <v>1326</v>
      </c>
      <c r="I126" s="1296"/>
      <c r="J126" s="1296"/>
      <c r="K126" s="1296"/>
      <c r="L126" s="1296"/>
      <c r="M126" s="1296"/>
      <c r="N126" s="1296"/>
      <c r="O126" s="1296"/>
      <c r="P126" s="1296"/>
      <c r="Q126" s="1296"/>
      <c r="R126" s="1296"/>
      <c r="S126" s="1296"/>
      <c r="T126" s="1296"/>
      <c r="U126" s="1296"/>
      <c r="V126" s="1297"/>
      <c r="W126" s="1302" t="str">
        <f>Dados!$F$48</f>
        <v/>
      </c>
      <c r="X126" s="1302"/>
      <c r="Y126" s="1302"/>
      <c r="Z126" s="1302"/>
      <c r="AA126" s="1302"/>
      <c r="AB126" s="1302"/>
      <c r="AC126" s="1302"/>
      <c r="AD126" s="1302"/>
      <c r="AE126" s="1302"/>
      <c r="AF126" s="1302" t="str">
        <f>Dados!$I$48</f>
        <v/>
      </c>
      <c r="AG126" s="1302"/>
      <c r="AH126" s="1302"/>
      <c r="AI126" s="1302"/>
      <c r="AJ126" s="1302"/>
      <c r="AK126" s="1302"/>
      <c r="AL126" s="1302"/>
      <c r="AM126" s="1302"/>
      <c r="AN126" s="1302"/>
      <c r="AO126" s="1298" t="e">
        <f>W126+AF126</f>
        <v>#VALUE!</v>
      </c>
      <c r="AP126" s="1298"/>
      <c r="AQ126" s="1298"/>
      <c r="AR126" s="1298"/>
      <c r="AS126" s="1298"/>
      <c r="AT126" s="1298"/>
      <c r="AU126" s="1298"/>
      <c r="AV126" s="1298"/>
      <c r="AW126" s="1298"/>
      <c r="AY126" s="855"/>
      <c r="AZ126" s="855"/>
      <c r="BA126" s="855"/>
      <c r="BB126" s="855"/>
      <c r="BC126" s="855"/>
      <c r="BD126" s="855"/>
      <c r="BE126" s="855"/>
      <c r="BF126" s="874"/>
      <c r="BO126" s="974"/>
      <c r="BP126" s="974"/>
    </row>
    <row r="127" spans="1:68" ht="19.5" customHeight="1" x14ac:dyDescent="0.2">
      <c r="A127" s="892" t="str">
        <f>IF(Dados!$W$50=0,$BH$224,"")</f>
        <v>NÃO HOUVE</v>
      </c>
      <c r="B127" s="855"/>
      <c r="C127" s="855"/>
      <c r="D127" s="855"/>
      <c r="E127" s="855"/>
      <c r="F127" s="855"/>
      <c r="G127" s="855"/>
      <c r="H127" s="1295" t="s">
        <v>1325</v>
      </c>
      <c r="I127" s="1296"/>
      <c r="J127" s="1296"/>
      <c r="K127" s="1296"/>
      <c r="L127" s="1296"/>
      <c r="M127" s="1296"/>
      <c r="N127" s="1296"/>
      <c r="O127" s="1296"/>
      <c r="P127" s="1296"/>
      <c r="Q127" s="1296"/>
      <c r="R127" s="1296"/>
      <c r="S127" s="1296"/>
      <c r="T127" s="1296"/>
      <c r="U127" s="1296"/>
      <c r="V127" s="1297"/>
      <c r="W127" s="1302" t="str">
        <f>IF(Dados!$E$3="","",MOD_2_formacao!$P$15)</f>
        <v/>
      </c>
      <c r="X127" s="1302"/>
      <c r="Y127" s="1302"/>
      <c r="Z127" s="1302"/>
      <c r="AA127" s="1302"/>
      <c r="AB127" s="1302"/>
      <c r="AC127" s="1302"/>
      <c r="AD127" s="1302"/>
      <c r="AE127" s="1302"/>
      <c r="AF127" s="1302" t="str">
        <f>IF(Dados!$E$3="","",MOD_2_formacao!$P$16)</f>
        <v/>
      </c>
      <c r="AG127" s="1302"/>
      <c r="AH127" s="1302"/>
      <c r="AI127" s="1302"/>
      <c r="AJ127" s="1302"/>
      <c r="AK127" s="1302"/>
      <c r="AL127" s="1302"/>
      <c r="AM127" s="1302"/>
      <c r="AN127" s="1302"/>
      <c r="AO127" s="1298" t="e">
        <f>W127+AF127</f>
        <v>#VALUE!</v>
      </c>
      <c r="AP127" s="1298"/>
      <c r="AQ127" s="1298"/>
      <c r="AR127" s="1298"/>
      <c r="AS127" s="1298"/>
      <c r="AT127" s="1298"/>
      <c r="AU127" s="1298"/>
      <c r="AV127" s="1298"/>
      <c r="AW127" s="1298"/>
      <c r="AY127" s="855"/>
      <c r="AZ127" s="855"/>
      <c r="BA127" s="855"/>
      <c r="BB127" s="855"/>
      <c r="BC127" s="855"/>
      <c r="BD127" s="855"/>
      <c r="BE127" s="855"/>
      <c r="BF127" s="874"/>
      <c r="BO127" s="974"/>
      <c r="BP127" s="974"/>
    </row>
    <row r="128" spans="1:68" ht="19.5" customHeight="1" x14ac:dyDescent="0.2">
      <c r="A128" s="892" t="str">
        <f>IF(Dados!$W$50=0,$BH$224,"")</f>
        <v>NÃO HOUVE</v>
      </c>
      <c r="B128" s="855"/>
      <c r="C128" s="855"/>
      <c r="D128" s="855"/>
      <c r="E128" s="855"/>
      <c r="F128" s="855"/>
      <c r="G128" s="855"/>
      <c r="H128" s="1295" t="s">
        <v>1324</v>
      </c>
      <c r="I128" s="1296"/>
      <c r="J128" s="1296"/>
      <c r="K128" s="1296"/>
      <c r="L128" s="1296"/>
      <c r="M128" s="1296"/>
      <c r="N128" s="1296"/>
      <c r="O128" s="1296"/>
      <c r="P128" s="1296"/>
      <c r="Q128" s="1296"/>
      <c r="R128" s="1296"/>
      <c r="S128" s="1296"/>
      <c r="T128" s="1296"/>
      <c r="U128" s="1296"/>
      <c r="V128" s="1297"/>
      <c r="W128" s="1298" t="e">
        <f>SUM(W125:AE126)-W127</f>
        <v>#VALUE!</v>
      </c>
      <c r="X128" s="1298"/>
      <c r="Y128" s="1298"/>
      <c r="Z128" s="1298"/>
      <c r="AA128" s="1298"/>
      <c r="AB128" s="1298"/>
      <c r="AC128" s="1298"/>
      <c r="AD128" s="1298"/>
      <c r="AE128" s="1298"/>
      <c r="AF128" s="1298" t="e">
        <f>SUM(AF125:AN126)-AF127</f>
        <v>#VALUE!</v>
      </c>
      <c r="AG128" s="1298"/>
      <c r="AH128" s="1298"/>
      <c r="AI128" s="1298"/>
      <c r="AJ128" s="1298"/>
      <c r="AK128" s="1298"/>
      <c r="AL128" s="1298"/>
      <c r="AM128" s="1298"/>
      <c r="AN128" s="1298"/>
      <c r="AO128" s="1298" t="e">
        <f>W128+AF128</f>
        <v>#VALUE!</v>
      </c>
      <c r="AP128" s="1298"/>
      <c r="AQ128" s="1298"/>
      <c r="AR128" s="1298"/>
      <c r="AS128" s="1298"/>
      <c r="AT128" s="1298"/>
      <c r="AU128" s="1298"/>
      <c r="AV128" s="1298"/>
      <c r="AW128" s="1298"/>
      <c r="AY128" s="855"/>
      <c r="AZ128" s="855"/>
      <c r="BA128" s="855"/>
      <c r="BB128" s="855"/>
      <c r="BC128" s="855"/>
      <c r="BD128" s="855"/>
      <c r="BE128" s="855"/>
      <c r="BF128" s="874"/>
      <c r="BO128" s="974"/>
      <c r="BP128" s="974"/>
    </row>
    <row r="129" spans="1:68" ht="19.5" customHeight="1" x14ac:dyDescent="0.2">
      <c r="A129" s="892" t="str">
        <f>IF(Dados!$W$50=0,$BH$224,"")</f>
        <v>NÃO HOUVE</v>
      </c>
      <c r="B129" s="855"/>
      <c r="C129" s="855"/>
      <c r="D129" s="855"/>
      <c r="E129" s="855"/>
      <c r="F129" s="855"/>
      <c r="G129" s="855"/>
      <c r="H129" s="855"/>
      <c r="I129" s="855"/>
      <c r="J129" s="855"/>
      <c r="K129" s="855"/>
      <c r="L129" s="855"/>
      <c r="M129" s="855"/>
      <c r="N129" s="855"/>
      <c r="O129" s="855"/>
      <c r="P129" s="855"/>
      <c r="Q129" s="855"/>
      <c r="R129" s="855"/>
      <c r="S129" s="855"/>
      <c r="T129" s="855"/>
      <c r="U129" s="855"/>
      <c r="V129" s="855"/>
      <c r="W129" s="855"/>
      <c r="X129" s="855"/>
      <c r="Y129" s="855"/>
      <c r="Z129" s="855"/>
      <c r="AA129" s="855"/>
      <c r="AB129" s="855"/>
      <c r="AC129" s="855"/>
      <c r="AD129" s="855"/>
      <c r="AE129" s="855"/>
      <c r="AF129" s="855"/>
      <c r="AG129" s="855"/>
      <c r="AH129" s="855"/>
      <c r="AI129" s="855"/>
      <c r="AJ129" s="855"/>
      <c r="AK129" s="855"/>
      <c r="AL129" s="855"/>
      <c r="AM129" s="855"/>
      <c r="AN129" s="855"/>
      <c r="AO129" s="855"/>
      <c r="AP129" s="855"/>
      <c r="AQ129" s="855"/>
      <c r="AR129" s="855"/>
      <c r="AS129" s="855"/>
      <c r="AT129" s="855"/>
      <c r="AU129" s="855"/>
      <c r="AV129" s="855"/>
      <c r="AW129" s="855"/>
      <c r="AX129" s="855"/>
      <c r="AY129" s="855"/>
      <c r="AZ129" s="855"/>
      <c r="BA129" s="855"/>
      <c r="BB129" s="855"/>
      <c r="BC129" s="855"/>
      <c r="BD129" s="855"/>
      <c r="BE129" s="855"/>
      <c r="BF129" s="874"/>
      <c r="BO129" s="974"/>
      <c r="BP129" s="974"/>
    </row>
    <row r="130" spans="1:68" ht="19.5" customHeight="1" x14ac:dyDescent="0.2">
      <c r="A130" s="888" t="str">
        <f>IF(Dados!$W$50=0,$BH$224,"")</f>
        <v>NÃO HOUVE</v>
      </c>
      <c r="B130" s="1299" t="str">
        <f>IF($W$127=0,$BH$41,$BH$39)</f>
        <v>- As aquisições com os recursos de custeio foram da ordem de</v>
      </c>
      <c r="C130" s="1299"/>
      <c r="D130" s="1299"/>
      <c r="E130" s="1299"/>
      <c r="F130" s="1299"/>
      <c r="G130" s="1299"/>
      <c r="H130" s="1299"/>
      <c r="I130" s="1299"/>
      <c r="J130" s="1299"/>
      <c r="K130" s="1299"/>
      <c r="L130" s="1299"/>
      <c r="M130" s="1299"/>
      <c r="N130" s="1299"/>
      <c r="O130" s="1299"/>
      <c r="P130" s="1299"/>
      <c r="Q130" s="1299"/>
      <c r="R130" s="1299"/>
      <c r="S130" s="1299"/>
      <c r="T130" s="1299"/>
      <c r="U130" s="1299"/>
      <c r="V130" s="1299"/>
      <c r="W130" s="1299"/>
      <c r="X130" s="1299"/>
      <c r="Y130" s="1299"/>
      <c r="Z130" s="1299"/>
      <c r="AA130" s="1299"/>
      <c r="AB130" s="1299"/>
      <c r="AC130" s="1299"/>
      <c r="AD130" s="1299"/>
      <c r="AE130" s="1299"/>
      <c r="AF130" s="1299"/>
      <c r="AG130" s="1300" t="str">
        <f>IF($W$127=0,"",$W$127)</f>
        <v/>
      </c>
      <c r="AH130" s="1300"/>
      <c r="AI130" s="1300"/>
      <c r="AJ130" s="1300"/>
      <c r="AK130" s="1300"/>
      <c r="AL130" s="1300"/>
      <c r="AM130" s="1300"/>
      <c r="AN130" s="1300"/>
      <c r="AO130" s="1300"/>
      <c r="AP130" s="1300"/>
      <c r="AQ130" s="1289" t="str">
        <f>IF($W$127&gt;0,$BI$39,"")</f>
        <v>e relacionadas a seguir:</v>
      </c>
      <c r="AR130" s="1289"/>
      <c r="AS130" s="1289"/>
      <c r="AT130" s="1289"/>
      <c r="AU130" s="1289"/>
      <c r="AV130" s="1289"/>
      <c r="AW130" s="1289"/>
      <c r="AX130" s="1289"/>
      <c r="AY130" s="1289"/>
      <c r="AZ130" s="1289"/>
      <c r="BA130" s="1289"/>
      <c r="BB130" s="1289"/>
      <c r="BC130" s="1289"/>
      <c r="BD130" s="1289"/>
      <c r="BE130" s="683"/>
      <c r="BF130" s="874"/>
      <c r="BO130" s="974"/>
      <c r="BP130" s="974"/>
    </row>
    <row r="131" spans="1:68" ht="32.25" hidden="1" customHeight="1" x14ac:dyDescent="0.2">
      <c r="A131" s="885" t="str">
        <f>IF(Dados!$W$50=0,$BH$224,IF($W$127=0,$BH$224,IF($B$131&gt;0,"Aumente ou diminua a altura da linha 131")))</f>
        <v>NÃO HOUVE</v>
      </c>
      <c r="B131" s="1290" t="str">
        <f>IF(Despesas!$GL$1=0,"",Despesas!$GL$1)</f>
        <v/>
      </c>
      <c r="C131" s="1290"/>
      <c r="D131" s="1290"/>
      <c r="E131" s="1290"/>
      <c r="F131" s="1290"/>
      <c r="G131" s="1290"/>
      <c r="H131" s="1290"/>
      <c r="I131" s="1290"/>
      <c r="J131" s="1290"/>
      <c r="K131" s="1290"/>
      <c r="L131" s="1290"/>
      <c r="M131" s="1290"/>
      <c r="N131" s="1290"/>
      <c r="O131" s="1290"/>
      <c r="P131" s="1290"/>
      <c r="Q131" s="1290"/>
      <c r="R131" s="1290"/>
      <c r="S131" s="1290"/>
      <c r="T131" s="1290"/>
      <c r="U131" s="1290"/>
      <c r="V131" s="1290"/>
      <c r="W131" s="1290"/>
      <c r="X131" s="1290"/>
      <c r="Y131" s="1290"/>
      <c r="Z131" s="1290"/>
      <c r="AA131" s="1290"/>
      <c r="AB131" s="1290"/>
      <c r="AC131" s="1290"/>
      <c r="AD131" s="1290"/>
      <c r="AE131" s="1290"/>
      <c r="AF131" s="1290"/>
      <c r="AG131" s="1290"/>
      <c r="AH131" s="1290"/>
      <c r="AI131" s="1290"/>
      <c r="AJ131" s="1290"/>
      <c r="AK131" s="1290"/>
      <c r="AL131" s="1290"/>
      <c r="AM131" s="1290"/>
      <c r="AN131" s="1290"/>
      <c r="AO131" s="1290"/>
      <c r="AP131" s="1290"/>
      <c r="AQ131" s="1290"/>
      <c r="AR131" s="1290"/>
      <c r="AS131" s="1290"/>
      <c r="AT131" s="1290"/>
      <c r="AU131" s="1290"/>
      <c r="AV131" s="1290"/>
      <c r="AW131" s="1290"/>
      <c r="AX131" s="1290"/>
      <c r="AY131" s="1290"/>
      <c r="AZ131" s="1290"/>
      <c r="BA131" s="1290"/>
      <c r="BB131" s="1290"/>
      <c r="BC131" s="1290"/>
      <c r="BD131" s="1290"/>
      <c r="BE131" s="1290"/>
      <c r="BF131" s="874"/>
      <c r="BO131" s="974"/>
      <c r="BP131" s="974"/>
    </row>
    <row r="132" spans="1:68" ht="19.5" customHeight="1" x14ac:dyDescent="0.2">
      <c r="A132" s="888" t="str">
        <f>IF(Dados!$W$50=0,$BH$224,"")</f>
        <v>NÃO HOUVE</v>
      </c>
      <c r="B132" s="1301" t="str">
        <f>IF($AF$127=0,$BH$42,$BH$40)</f>
        <v>- As aquisições com os recursos de capital foram da ordem de</v>
      </c>
      <c r="C132" s="1299"/>
      <c r="D132" s="1299"/>
      <c r="E132" s="1299"/>
      <c r="F132" s="1299"/>
      <c r="G132" s="1299"/>
      <c r="H132" s="1299"/>
      <c r="I132" s="1299"/>
      <c r="J132" s="1299"/>
      <c r="K132" s="1299"/>
      <c r="L132" s="1299"/>
      <c r="M132" s="1299"/>
      <c r="N132" s="1299"/>
      <c r="O132" s="1299"/>
      <c r="P132" s="1299"/>
      <c r="Q132" s="1299"/>
      <c r="R132" s="1299"/>
      <c r="S132" s="1299"/>
      <c r="T132" s="1299"/>
      <c r="U132" s="1299"/>
      <c r="V132" s="1299"/>
      <c r="W132" s="1299"/>
      <c r="X132" s="1299"/>
      <c r="Y132" s="1299"/>
      <c r="Z132" s="1299"/>
      <c r="AA132" s="1299"/>
      <c r="AB132" s="1299"/>
      <c r="AC132" s="1299"/>
      <c r="AD132" s="1299"/>
      <c r="AE132" s="1299"/>
      <c r="AF132" s="1299"/>
      <c r="AG132" s="1300" t="str">
        <f>IF($AF$127=0,"",$AF$127)</f>
        <v/>
      </c>
      <c r="AH132" s="1300"/>
      <c r="AI132" s="1300"/>
      <c r="AJ132" s="1300"/>
      <c r="AK132" s="1300"/>
      <c r="AL132" s="1300"/>
      <c r="AM132" s="1300"/>
      <c r="AN132" s="1300"/>
      <c r="AO132" s="1300"/>
      <c r="AP132" s="1300"/>
      <c r="AQ132" s="1289" t="str">
        <f>IF($AF$127&gt;0,$BI$39,"")</f>
        <v>e relacionadas a seguir:</v>
      </c>
      <c r="AR132" s="1289"/>
      <c r="AS132" s="1289"/>
      <c r="AT132" s="1289"/>
      <c r="AU132" s="1289"/>
      <c r="AV132" s="1289"/>
      <c r="AW132" s="1289"/>
      <c r="AX132" s="1289"/>
      <c r="AY132" s="1289"/>
      <c r="AZ132" s="1289"/>
      <c r="BA132" s="1289"/>
      <c r="BB132" s="1289"/>
      <c r="BC132" s="1289"/>
      <c r="BD132" s="1289"/>
      <c r="BE132" s="174"/>
      <c r="BF132" s="874"/>
      <c r="BO132" s="974"/>
      <c r="BP132" s="974"/>
    </row>
    <row r="133" spans="1:68" ht="19.5" hidden="1" customHeight="1" x14ac:dyDescent="0.2">
      <c r="A133" s="885" t="str">
        <f>IF(Dados!$W$50=0,$BH$224,IF($AF$127=0,$BH$224,IF($B$133&gt;0,"Aumente ou diminua a altura da linha 133")))</f>
        <v>NÃO HOUVE</v>
      </c>
      <c r="B133" s="1290" t="str">
        <f>IF(Despesas!$GL$2=0,"",Despesas!$GL$2)</f>
        <v/>
      </c>
      <c r="C133" s="1290"/>
      <c r="D133" s="1290"/>
      <c r="E133" s="1290"/>
      <c r="F133" s="1290"/>
      <c r="G133" s="1290"/>
      <c r="H133" s="1290"/>
      <c r="I133" s="1290"/>
      <c r="J133" s="1290"/>
      <c r="K133" s="1290"/>
      <c r="L133" s="1290"/>
      <c r="M133" s="1290"/>
      <c r="N133" s="1290"/>
      <c r="O133" s="1290"/>
      <c r="P133" s="1290"/>
      <c r="Q133" s="1290"/>
      <c r="R133" s="1290"/>
      <c r="S133" s="1290"/>
      <c r="T133" s="1290"/>
      <c r="U133" s="1290"/>
      <c r="V133" s="1290"/>
      <c r="W133" s="1290"/>
      <c r="X133" s="1290"/>
      <c r="Y133" s="1290"/>
      <c r="Z133" s="1290"/>
      <c r="AA133" s="1290"/>
      <c r="AB133" s="1290"/>
      <c r="AC133" s="1290"/>
      <c r="AD133" s="1290"/>
      <c r="AE133" s="1290"/>
      <c r="AF133" s="1290"/>
      <c r="AG133" s="1290"/>
      <c r="AH133" s="1290"/>
      <c r="AI133" s="1290"/>
      <c r="AJ133" s="1290"/>
      <c r="AK133" s="1290"/>
      <c r="AL133" s="1290"/>
      <c r="AM133" s="1290"/>
      <c r="AN133" s="1290"/>
      <c r="AO133" s="1290"/>
      <c r="AP133" s="1290"/>
      <c r="AQ133" s="1290"/>
      <c r="AR133" s="1290"/>
      <c r="AS133" s="1290"/>
      <c r="AT133" s="1290"/>
      <c r="AU133" s="1290"/>
      <c r="AV133" s="1290"/>
      <c r="AW133" s="1290"/>
      <c r="AX133" s="1290"/>
      <c r="AY133" s="1290"/>
      <c r="AZ133" s="1290"/>
      <c r="BA133" s="1290"/>
      <c r="BB133" s="1290"/>
      <c r="BC133" s="1290"/>
      <c r="BD133" s="1290"/>
      <c r="BE133" s="1290"/>
      <c r="BF133" s="874"/>
      <c r="BO133" s="974"/>
      <c r="BP133" s="974"/>
    </row>
    <row r="134" spans="1:68" ht="19.5" hidden="1" customHeight="1" x14ac:dyDescent="0.2">
      <c r="A134" s="885" t="str">
        <f>IF(Dados!$W$50=0,$BH$224,IF(AND($W$127=0,$AF$127=0),$BH$224,IF($B$134="","Observações se houverem","Aumente ou diminua a altura da linha 134")))</f>
        <v>NÃO HOUVE</v>
      </c>
      <c r="B134" s="1291"/>
      <c r="C134" s="1292"/>
      <c r="D134" s="1292"/>
      <c r="E134" s="1292"/>
      <c r="F134" s="1292"/>
      <c r="G134" s="1292"/>
      <c r="H134" s="1292"/>
      <c r="I134" s="1292"/>
      <c r="J134" s="1292"/>
      <c r="K134" s="1292"/>
      <c r="L134" s="1292"/>
      <c r="M134" s="1292"/>
      <c r="N134" s="1292"/>
      <c r="O134" s="1292"/>
      <c r="P134" s="1292"/>
      <c r="Q134" s="1292"/>
      <c r="R134" s="1292"/>
      <c r="S134" s="1292"/>
      <c r="T134" s="1292"/>
      <c r="U134" s="1292"/>
      <c r="V134" s="1292"/>
      <c r="W134" s="1292"/>
      <c r="X134" s="1292"/>
      <c r="Y134" s="1292"/>
      <c r="Z134" s="1292"/>
      <c r="AA134" s="1292"/>
      <c r="AB134" s="1292"/>
      <c r="AC134" s="1292"/>
      <c r="AD134" s="1292"/>
      <c r="AE134" s="1292"/>
      <c r="AF134" s="1292"/>
      <c r="AG134" s="1292"/>
      <c r="AH134" s="1292"/>
      <c r="AI134" s="1292"/>
      <c r="AJ134" s="1292"/>
      <c r="AK134" s="1292"/>
      <c r="AL134" s="1292"/>
      <c r="AM134" s="1292"/>
      <c r="AN134" s="1292"/>
      <c r="AO134" s="1292"/>
      <c r="AP134" s="1292"/>
      <c r="AQ134" s="1292"/>
      <c r="AR134" s="1292"/>
      <c r="AS134" s="1292"/>
      <c r="AT134" s="1292"/>
      <c r="AU134" s="1292"/>
      <c r="AV134" s="1292"/>
      <c r="AW134" s="1292"/>
      <c r="AX134" s="1292"/>
      <c r="AY134" s="1292"/>
      <c r="AZ134" s="1292"/>
      <c r="BA134" s="1292"/>
      <c r="BB134" s="1292"/>
      <c r="BC134" s="1292"/>
      <c r="BD134" s="1292"/>
      <c r="BE134" s="1292"/>
      <c r="BF134" s="874"/>
      <c r="BO134" s="974"/>
      <c r="BP134" s="974"/>
    </row>
    <row r="135" spans="1:68" ht="19.5" hidden="1" customHeight="1" x14ac:dyDescent="0.2">
      <c r="A135" s="894" t="str">
        <f>IF(AND($A$136=$BK$46,$A$137=$BK$46),$BK$46,$BK$47)</f>
        <v>NÃO HOUVE</v>
      </c>
      <c r="B135" s="1293"/>
      <c r="C135" s="1293"/>
      <c r="D135" s="1293"/>
      <c r="E135" s="1293"/>
      <c r="F135" s="1293"/>
      <c r="G135" s="1293"/>
      <c r="H135" s="1293"/>
      <c r="I135" s="1293"/>
      <c r="J135" s="1293"/>
      <c r="K135" s="1293"/>
      <c r="L135" s="1293"/>
      <c r="M135" s="1293"/>
      <c r="N135" s="1293"/>
      <c r="O135" s="1293"/>
      <c r="P135" s="1293"/>
      <c r="Q135" s="1293"/>
      <c r="R135" s="1293"/>
      <c r="S135" s="1293"/>
      <c r="T135" s="1293"/>
      <c r="U135" s="1293"/>
      <c r="V135" s="1293"/>
      <c r="W135" s="1293"/>
      <c r="X135" s="1293"/>
      <c r="Y135" s="1293"/>
      <c r="Z135" s="1293"/>
      <c r="AA135" s="1293"/>
      <c r="AB135" s="1293"/>
      <c r="AC135" s="1293"/>
      <c r="AD135" s="1293"/>
      <c r="AE135" s="1293"/>
      <c r="AF135" s="1293"/>
      <c r="AG135" s="1293"/>
      <c r="AH135" s="1293"/>
      <c r="AI135" s="1293"/>
      <c r="AJ135" s="1293"/>
      <c r="AK135" s="1293"/>
      <c r="AL135" s="1293"/>
      <c r="AM135" s="1293"/>
      <c r="AN135" s="1293"/>
      <c r="AO135" s="1293"/>
      <c r="AP135" s="1293"/>
      <c r="AQ135" s="1293"/>
      <c r="AR135" s="1293"/>
      <c r="AS135" s="1293"/>
      <c r="AT135" s="1293"/>
      <c r="AU135" s="1293"/>
      <c r="AV135" s="1293"/>
      <c r="AW135" s="1293"/>
      <c r="AX135" s="1293"/>
      <c r="AY135" s="1293"/>
      <c r="AZ135" s="1293"/>
      <c r="BA135" s="1293"/>
      <c r="BB135" s="1293"/>
      <c r="BC135" s="1293"/>
      <c r="BD135" s="1293"/>
      <c r="BE135" s="1293"/>
      <c r="BF135" s="874"/>
      <c r="BO135" s="974"/>
      <c r="BP135" s="974"/>
    </row>
    <row r="136" spans="1:68" ht="19.5" hidden="1" customHeight="1" x14ac:dyDescent="0.2">
      <c r="A136" s="887" t="str">
        <f>IF(Dados!$W$50=0,$BH$224,IF(AND($BS$69=0,$BT$69=0),$BH$224,IF(AND($BS$69&gt;0,$BT$69=0),$BH$226,IF(AND($BS$69=0,$BT$69&gt;0),$BH$227,IF(AND($BS$69&gt;0,$BT$69&gt;0),$BH$228)))))</f>
        <v>NÃO HOUVE</v>
      </c>
      <c r="B136" s="1286" t="str">
        <f>IF(AND($BS$69=0,$BT$69=0),"",$BG$72)</f>
        <v/>
      </c>
      <c r="C136" s="1286"/>
      <c r="D136" s="1286"/>
      <c r="E136" s="1286"/>
      <c r="F136" s="1286"/>
      <c r="G136" s="1286"/>
      <c r="H136" s="1286"/>
      <c r="I136" s="1286"/>
      <c r="J136" s="1286"/>
      <c r="K136" s="1286"/>
      <c r="L136" s="1286"/>
      <c r="M136" s="1286"/>
      <c r="N136" s="1286"/>
      <c r="O136" s="1286"/>
      <c r="P136" s="1286"/>
      <c r="Q136" s="1286"/>
      <c r="R136" s="1294" t="str">
        <f>IF(AND($BQ$69=0,$BR$69=0),"",IF(AND($BQ$69=0,$BR$69&gt;0),"",IF(AND($BQ$69&gt;0,$BR$69=0),$BQ$69,IF(AND($BQ$69&gt;0,$BR$69&gt;0),$BQ$69))))</f>
        <v/>
      </c>
      <c r="S136" s="1294"/>
      <c r="T136" s="1294"/>
      <c r="U136" s="1294"/>
      <c r="V136" s="1294"/>
      <c r="W136" s="1294"/>
      <c r="X136" s="1294"/>
      <c r="Y136" s="1288" t="str">
        <f>IF(AND($BQ$69=0,$BR$69=0),"",IF(AND($BQ$69=0,$BR$69&gt;0),"",IF(AND($BQ$69&gt;0,$BR$69=0),$BQ$70,IF(AND($BQ$69&gt;0,$BR$69&gt;0),$BQ$70))))</f>
        <v/>
      </c>
      <c r="Z136" s="1288"/>
      <c r="AA136" s="1288"/>
      <c r="AB136" s="1288"/>
      <c r="AC136" s="1288"/>
      <c r="AD136" s="1288"/>
      <c r="AE136" s="1288"/>
      <c r="AF136" s="1288"/>
      <c r="AG136" s="1288"/>
      <c r="AH136" s="1288"/>
      <c r="AI136" s="1288"/>
      <c r="AJ136" s="1288"/>
      <c r="AK136" s="1288"/>
      <c r="AL136" s="1294" t="str">
        <f>IF(AND($BQ$69=0,$BR$69=0),"",IF(AND($BQ$69=0,$BR$69&gt;0),$BR$69,IF(AND($BQ$69&gt;0,$BR$69=0),"",IF(AND($BQ$69&gt;0,$BR$69&gt;0),$BR$69))))</f>
        <v/>
      </c>
      <c r="AM136" s="1294"/>
      <c r="AN136" s="1294"/>
      <c r="AO136" s="1294"/>
      <c r="AP136" s="1294"/>
      <c r="AQ136" s="1294"/>
      <c r="AR136" s="1294"/>
      <c r="AS136" s="1289" t="str">
        <f>IF(AND($BQ$69=0,$BR$69=0),"",IF(AND($BQ$69=0,$BR$69&gt;0),$BR$70,IF(AND($BQ$69&gt;0,$BR$69=0),"",IF(AND($BQ$69&gt;0,$BR$69&gt;0),$BR$70))))</f>
        <v/>
      </c>
      <c r="AT136" s="1289"/>
      <c r="AU136" s="1289"/>
      <c r="AV136" s="1289"/>
      <c r="AW136" s="1289"/>
      <c r="AX136" s="1289"/>
      <c r="AY136" s="1289"/>
      <c r="AZ136" s="1289"/>
      <c r="BA136" s="1289"/>
      <c r="BB136" s="1289"/>
      <c r="BC136" s="1289"/>
      <c r="BD136" s="1289"/>
      <c r="BE136" s="1289"/>
      <c r="BF136" s="874"/>
      <c r="BO136" s="974"/>
      <c r="BP136" s="974"/>
    </row>
    <row r="137" spans="1:68" ht="19.5" hidden="1" customHeight="1" x14ac:dyDescent="0.2">
      <c r="A137" s="887" t="str">
        <f>IF(Dados!$W$50=0,$BH$224,IF(AND($BS$66=0,$BT$66=0),$BH$224,IF(AND($BS$66&gt;0,$BT$66=0),$BH$226,IF(AND($BS$66=0,$BT$66&gt;0),$BH$227,IF(AND($BS$66&gt;0,$BT$66&gt;0),$BH$228)))))</f>
        <v>NÃO HOUVE</v>
      </c>
      <c r="B137" s="1286" t="str">
        <f>IF(OR($A$137=$BH$224,$A$137=$BH$225),"",$BG$72)</f>
        <v/>
      </c>
      <c r="C137" s="1286"/>
      <c r="D137" s="1286"/>
      <c r="E137" s="1286"/>
      <c r="F137" s="1286"/>
      <c r="G137" s="1286"/>
      <c r="H137" s="1286"/>
      <c r="I137" s="1286"/>
      <c r="J137" s="1286"/>
      <c r="K137" s="1286"/>
      <c r="L137" s="1286"/>
      <c r="M137" s="1286"/>
      <c r="N137" s="1286"/>
      <c r="O137" s="1286"/>
      <c r="P137" s="1286"/>
      <c r="Q137" s="1286"/>
      <c r="R137" s="1294" t="e">
        <f>IF(AND($BQ$66=0,$BR$66=0),"",IF(AND($BQ$66=0,$BR$66&gt;0),$BR$66,IF(AND($BQ$66&gt;0,$BR$66=0),$BQ$66,IF(AND($BQ$66&gt;0,$BR$66&gt;0),$BQ$66))))</f>
        <v>#VALUE!</v>
      </c>
      <c r="S137" s="1294"/>
      <c r="T137" s="1294"/>
      <c r="U137" s="1294"/>
      <c r="V137" s="1294"/>
      <c r="W137" s="1294"/>
      <c r="X137" s="1294"/>
      <c r="Y137" s="1288" t="str">
        <f>IF(OR($A$118=$BH$224,$A$118=$BH$225),"",IF($A$118=$BH$226,$BH$45,IF($A$118=$BH$227,"",IF($A$118=$BH$228,$BH$46))))</f>
        <v/>
      </c>
      <c r="Z137" s="1288"/>
      <c r="AA137" s="1288"/>
      <c r="AB137" s="1288"/>
      <c r="AC137" s="1288"/>
      <c r="AD137" s="1288"/>
      <c r="AE137" s="1288"/>
      <c r="AF137" s="1288"/>
      <c r="AG137" s="1288"/>
      <c r="AH137" s="1288"/>
      <c r="AI137" s="1288"/>
      <c r="AJ137" s="1288"/>
      <c r="AK137" s="1288"/>
      <c r="AL137" s="1294" t="e">
        <f>IF(AND($BQ$66=0,$BR$66=0),"",IF(AND($BQ$66=0,$BR$66&gt;0),"",IF(AND($BQ$66&gt;0,$BR$66=0),"",IF(AND($BQ$66&gt;0,$BR$66&gt;0),$BR$66))))</f>
        <v>#VALUE!</v>
      </c>
      <c r="AM137" s="1294"/>
      <c r="AN137" s="1294"/>
      <c r="AO137" s="1294"/>
      <c r="AP137" s="1294"/>
      <c r="AQ137" s="1294"/>
      <c r="AR137" s="1294"/>
      <c r="AS137" s="1289" t="str">
        <f>IF(OR($A$118=$BH$224,$A$118=$BH$225,$A$118=$BH$226),"",$BH$47)</f>
        <v/>
      </c>
      <c r="AT137" s="1289"/>
      <c r="AU137" s="1289"/>
      <c r="AV137" s="1289"/>
      <c r="AW137" s="1289"/>
      <c r="AX137" s="1289"/>
      <c r="AY137" s="1289"/>
      <c r="AZ137" s="1289"/>
      <c r="BA137" s="1289"/>
      <c r="BB137" s="1289"/>
      <c r="BC137" s="1289"/>
      <c r="BD137" s="1289"/>
      <c r="BE137" s="1289"/>
      <c r="BF137" s="874"/>
      <c r="BO137" s="974"/>
      <c r="BP137" s="974"/>
    </row>
    <row r="138" spans="1:68" ht="19.5" customHeight="1" x14ac:dyDescent="0.2">
      <c r="A138" s="970" t="s">
        <v>1386</v>
      </c>
      <c r="B138" s="1286" t="str">
        <f>IF($A$138=$BH$230,"",$BG$72)</f>
        <v/>
      </c>
      <c r="C138" s="1286"/>
      <c r="D138" s="1286"/>
      <c r="E138" s="1286"/>
      <c r="F138" s="1286"/>
      <c r="G138" s="1286"/>
      <c r="H138" s="1286"/>
      <c r="I138" s="1286"/>
      <c r="J138" s="1286"/>
      <c r="K138" s="1286"/>
      <c r="L138" s="1286"/>
      <c r="M138" s="1286"/>
      <c r="N138" s="1286"/>
      <c r="O138" s="1286"/>
      <c r="P138" s="1286"/>
      <c r="Q138" s="1286"/>
      <c r="R138" s="1287"/>
      <c r="S138" s="1287"/>
      <c r="T138" s="1287"/>
      <c r="U138" s="1287"/>
      <c r="V138" s="1287"/>
      <c r="W138" s="1287"/>
      <c r="X138" s="1287"/>
      <c r="Y138" s="1288" t="str">
        <f>IF($A$119=$BH$230,"",IF($A$119=$BH$226,$BH$45,IF($A$119=$BH$227,"",IF($A$119=$BH$228,$BH$46))))</f>
        <v/>
      </c>
      <c r="Z138" s="1288"/>
      <c r="AA138" s="1288"/>
      <c r="AB138" s="1288"/>
      <c r="AC138" s="1288"/>
      <c r="AD138" s="1288"/>
      <c r="AE138" s="1288"/>
      <c r="AF138" s="1288"/>
      <c r="AG138" s="1288"/>
      <c r="AH138" s="1288"/>
      <c r="AI138" s="1288"/>
      <c r="AJ138" s="1288"/>
      <c r="AK138" s="1288"/>
      <c r="AL138" s="1287"/>
      <c r="AM138" s="1287"/>
      <c r="AN138" s="1287"/>
      <c r="AO138" s="1287"/>
      <c r="AP138" s="1287"/>
      <c r="AQ138" s="1287"/>
      <c r="AR138" s="1287"/>
      <c r="AS138" s="1289" t="str">
        <f>IF(OR($A$119=$BH$230,$A$119=$BH$231),"",$BH$47)</f>
        <v/>
      </c>
      <c r="AT138" s="1289"/>
      <c r="AU138" s="1289"/>
      <c r="AV138" s="1289"/>
      <c r="AW138" s="1289"/>
      <c r="AX138" s="1289"/>
      <c r="AY138" s="1289"/>
      <c r="AZ138" s="1289"/>
      <c r="BA138" s="1289"/>
      <c r="BB138" s="1289"/>
      <c r="BC138" s="1289"/>
      <c r="BD138" s="1289"/>
      <c r="BE138" s="1289"/>
      <c r="BF138" s="874"/>
      <c r="BO138" s="974"/>
      <c r="BP138" s="974"/>
    </row>
    <row r="139" spans="1:68" ht="19.5" hidden="1" customHeight="1" x14ac:dyDescent="0.2">
      <c r="A139" s="895" t="str">
        <f>IF(AND($A$136=$BH$224,$A$137=$BH$224,$A$138=$BH$230),$BH$224,$BH$221)</f>
        <v>NÃO HOUVE</v>
      </c>
      <c r="B139" s="1274"/>
      <c r="C139" s="1274"/>
      <c r="D139" s="1274"/>
      <c r="E139" s="1274"/>
      <c r="F139" s="1274"/>
      <c r="G139" s="1274"/>
      <c r="H139" s="1274"/>
      <c r="I139" s="1274"/>
      <c r="J139" s="1274"/>
      <c r="K139" s="1274"/>
      <c r="L139" s="1274"/>
      <c r="M139" s="1274"/>
      <c r="N139" s="1274"/>
      <c r="O139" s="1274"/>
      <c r="P139" s="1274"/>
      <c r="Q139" s="1274"/>
      <c r="R139" s="1274"/>
      <c r="S139" s="1274"/>
      <c r="T139" s="1274"/>
      <c r="U139" s="1274"/>
      <c r="V139" s="1274"/>
      <c r="W139" s="1274"/>
      <c r="X139" s="1274"/>
      <c r="Y139" s="1274"/>
      <c r="Z139" s="1274"/>
      <c r="AA139" s="1274"/>
      <c r="AB139" s="1274"/>
      <c r="AC139" s="1274"/>
      <c r="AD139" s="1274"/>
      <c r="AE139" s="1274"/>
      <c r="AF139" s="1274"/>
      <c r="AG139" s="1274"/>
      <c r="AH139" s="1274"/>
      <c r="AI139" s="1274"/>
      <c r="AJ139" s="1274"/>
      <c r="AK139" s="1274"/>
      <c r="AL139" s="1274"/>
      <c r="AM139" s="1274"/>
      <c r="AN139" s="1274"/>
      <c r="AO139" s="1274"/>
      <c r="AP139" s="1274"/>
      <c r="AQ139" s="1274"/>
      <c r="AR139" s="1274"/>
      <c r="AS139" s="1274"/>
      <c r="AT139" s="1274"/>
      <c r="AU139" s="1274"/>
      <c r="AV139" s="1274"/>
      <c r="AW139" s="1274"/>
      <c r="AX139" s="1274"/>
      <c r="AY139" s="1274"/>
      <c r="AZ139" s="1274"/>
      <c r="BA139" s="1274"/>
      <c r="BB139" s="1274"/>
      <c r="BC139" s="1274"/>
      <c r="BD139" s="1274"/>
      <c r="BE139" s="1274"/>
      <c r="BF139" s="874"/>
      <c r="BO139" s="974"/>
      <c r="BP139" s="974"/>
    </row>
    <row r="140" spans="1:68" ht="19.5" customHeight="1" x14ac:dyDescent="0.2">
      <c r="A140" s="896"/>
      <c r="B140" s="855"/>
      <c r="C140" s="855"/>
      <c r="D140" s="855"/>
      <c r="E140" s="855"/>
      <c r="F140" s="855"/>
      <c r="G140" s="855"/>
      <c r="H140" s="855"/>
      <c r="I140" s="855"/>
      <c r="J140" s="855"/>
      <c r="K140" s="855"/>
      <c r="L140" s="855"/>
      <c r="M140" s="855"/>
      <c r="N140" s="855"/>
      <c r="O140" s="855"/>
      <c r="P140" s="855"/>
      <c r="Q140" s="855"/>
      <c r="R140" s="855"/>
      <c r="S140" s="855"/>
      <c r="T140" s="855"/>
      <c r="U140" s="855"/>
      <c r="V140" s="855"/>
      <c r="W140" s="855"/>
      <c r="X140" s="855"/>
      <c r="Y140" s="855"/>
      <c r="Z140" s="855"/>
      <c r="AA140" s="855"/>
      <c r="AB140" s="855"/>
      <c r="AC140" s="855"/>
      <c r="AD140" s="855"/>
      <c r="AE140" s="855"/>
      <c r="AF140" s="855"/>
      <c r="AG140" s="855"/>
      <c r="AH140" s="855"/>
      <c r="AI140" s="855"/>
      <c r="AJ140" s="855"/>
      <c r="AK140" s="855"/>
      <c r="AL140" s="855"/>
      <c r="AM140" s="855"/>
      <c r="AN140" s="855"/>
      <c r="AO140" s="855"/>
      <c r="AP140" s="855"/>
      <c r="AQ140" s="855"/>
      <c r="AR140" s="855"/>
      <c r="AS140" s="855"/>
      <c r="AT140" s="855"/>
      <c r="AU140" s="855"/>
      <c r="AV140" s="855"/>
      <c r="AW140" s="855"/>
      <c r="AX140" s="855"/>
      <c r="AY140" s="855"/>
      <c r="AZ140" s="855"/>
      <c r="BA140" s="855"/>
      <c r="BB140" s="855"/>
      <c r="BC140" s="855"/>
      <c r="BD140" s="855"/>
      <c r="BE140" s="855"/>
      <c r="BF140" s="874"/>
      <c r="BO140" s="974"/>
      <c r="BP140" s="974"/>
    </row>
    <row r="141" spans="1:68" ht="19.5" hidden="1" customHeight="1" x14ac:dyDescent="0.2">
      <c r="A141" s="888" t="str">
        <f>IF(Dados!$W$56=0,$BH$224,"")</f>
        <v>NÃO HOUVE</v>
      </c>
      <c r="B141" s="1303" t="str">
        <f>$BU$62</f>
        <v>MAIS ESCOLA</v>
      </c>
      <c r="C141" s="1303"/>
      <c r="D141" s="1303"/>
      <c r="E141" s="1303"/>
      <c r="F141" s="1303"/>
      <c r="G141" s="1303"/>
      <c r="H141" s="1303"/>
      <c r="I141" s="1303"/>
      <c r="J141" s="1303"/>
      <c r="K141" s="1303"/>
      <c r="L141" s="1303"/>
      <c r="M141" s="1303"/>
      <c r="N141" s="1303"/>
      <c r="O141" s="1303"/>
      <c r="P141" s="1303"/>
      <c r="Q141" s="1303"/>
      <c r="R141" s="1303"/>
      <c r="S141" s="1303"/>
      <c r="T141" s="1303"/>
      <c r="U141" s="1303"/>
      <c r="V141" s="1303"/>
      <c r="W141" s="1303"/>
      <c r="X141" s="1303"/>
      <c r="Y141" s="1303"/>
      <c r="Z141" s="1303"/>
      <c r="AA141" s="1303"/>
      <c r="AB141" s="1303"/>
      <c r="AC141" s="1303"/>
      <c r="AD141" s="1303"/>
      <c r="AE141" s="1303"/>
      <c r="AF141" s="1303"/>
      <c r="AG141" s="1303"/>
      <c r="AH141" s="1303"/>
      <c r="AI141" s="1303"/>
      <c r="AJ141" s="1303"/>
      <c r="AK141" s="1303"/>
      <c r="AL141" s="1303"/>
      <c r="AM141" s="1303"/>
      <c r="AN141" s="1303"/>
      <c r="AO141" s="1303"/>
      <c r="AP141" s="1303"/>
      <c r="AQ141" s="1303"/>
      <c r="AR141" s="1303"/>
      <c r="AS141" s="1303"/>
      <c r="AT141" s="1303"/>
      <c r="AU141" s="1303"/>
      <c r="AV141" s="1303"/>
      <c r="AW141" s="1303"/>
      <c r="AX141" s="1303"/>
      <c r="AY141" s="1303"/>
      <c r="AZ141" s="1303"/>
      <c r="BA141" s="1303"/>
      <c r="BB141" s="1303"/>
      <c r="BC141" s="1303"/>
      <c r="BD141" s="1303"/>
      <c r="BE141" s="1303"/>
      <c r="BF141" s="874"/>
      <c r="BO141" s="974"/>
      <c r="BP141" s="974"/>
    </row>
    <row r="142" spans="1:68" ht="19.5" hidden="1" customHeight="1" x14ac:dyDescent="0.2">
      <c r="A142" s="892" t="s">
        <v>1308</v>
      </c>
      <c r="B142" s="1304"/>
      <c r="C142" s="1304"/>
      <c r="D142" s="1304"/>
      <c r="E142" s="1304"/>
      <c r="F142" s="1304"/>
      <c r="G142" s="1304"/>
      <c r="H142" s="1304"/>
      <c r="I142" s="1304"/>
      <c r="J142" s="1304"/>
      <c r="K142" s="1304"/>
      <c r="L142" s="1304"/>
      <c r="M142" s="1304"/>
      <c r="N142" s="1304"/>
      <c r="O142" s="1304"/>
      <c r="P142" s="1304"/>
      <c r="Q142" s="1304"/>
      <c r="R142" s="1304"/>
      <c r="S142" s="1304"/>
      <c r="T142" s="1304"/>
      <c r="U142" s="1304"/>
      <c r="V142" s="1304"/>
      <c r="W142" s="1304"/>
      <c r="X142" s="1304"/>
      <c r="Y142" s="1304"/>
      <c r="Z142" s="1304"/>
      <c r="AA142" s="1304"/>
      <c r="AB142" s="1304"/>
      <c r="AC142" s="1304"/>
      <c r="AD142" s="1304"/>
      <c r="AE142" s="1304"/>
      <c r="AF142" s="1304"/>
      <c r="AG142" s="1304"/>
      <c r="AH142" s="1304"/>
      <c r="AI142" s="1304"/>
      <c r="AJ142" s="1304"/>
      <c r="AK142" s="1304"/>
      <c r="AL142" s="1304"/>
      <c r="AM142" s="1304"/>
      <c r="AN142" s="1304"/>
      <c r="AO142" s="1304"/>
      <c r="AP142" s="1304"/>
      <c r="AQ142" s="1304"/>
      <c r="AR142" s="1304"/>
      <c r="AS142" s="1304"/>
      <c r="AT142" s="1304"/>
      <c r="AU142" s="1304"/>
      <c r="AV142" s="1304"/>
      <c r="AW142" s="1304"/>
      <c r="AX142" s="1304"/>
      <c r="AY142" s="1304"/>
      <c r="AZ142" s="1304"/>
      <c r="BA142" s="1304"/>
      <c r="BB142" s="1304"/>
      <c r="BC142" s="1304"/>
      <c r="BD142" s="1304"/>
      <c r="BE142" s="1304"/>
      <c r="BF142" s="874"/>
      <c r="BO142" s="974"/>
      <c r="BP142" s="974"/>
    </row>
    <row r="143" spans="1:68" ht="19.5" hidden="1" customHeight="1" x14ac:dyDescent="0.2">
      <c r="A143" s="892" t="str">
        <f>IF(Dados!$W$56=0,$BH$224,"")</f>
        <v>NÃO HOUVE</v>
      </c>
      <c r="B143" s="855"/>
      <c r="C143" s="855"/>
      <c r="D143" s="855"/>
      <c r="E143" s="855"/>
      <c r="F143" s="855"/>
      <c r="G143" s="855"/>
      <c r="H143" s="1305"/>
      <c r="I143" s="1305"/>
      <c r="J143" s="1305"/>
      <c r="K143" s="1305"/>
      <c r="L143" s="1305"/>
      <c r="M143" s="1305"/>
      <c r="N143" s="1305"/>
      <c r="O143" s="1305"/>
      <c r="P143" s="1305"/>
      <c r="Q143" s="1305"/>
      <c r="R143" s="1305"/>
      <c r="S143" s="1305"/>
      <c r="T143" s="1305"/>
      <c r="U143" s="1305"/>
      <c r="V143" s="1305"/>
      <c r="W143" s="1305" t="s">
        <v>181</v>
      </c>
      <c r="X143" s="1305"/>
      <c r="Y143" s="1305"/>
      <c r="Z143" s="1305"/>
      <c r="AA143" s="1305"/>
      <c r="AB143" s="1305"/>
      <c r="AC143" s="1305"/>
      <c r="AD143" s="1305"/>
      <c r="AE143" s="1305"/>
      <c r="AF143" s="1305" t="s">
        <v>182</v>
      </c>
      <c r="AG143" s="1305"/>
      <c r="AH143" s="1305"/>
      <c r="AI143" s="1305"/>
      <c r="AJ143" s="1305"/>
      <c r="AK143" s="1305"/>
      <c r="AL143" s="1305"/>
      <c r="AM143" s="1305"/>
      <c r="AN143" s="1305"/>
      <c r="AO143" s="1305" t="s">
        <v>440</v>
      </c>
      <c r="AP143" s="1305"/>
      <c r="AQ143" s="1305"/>
      <c r="AR143" s="1305"/>
      <c r="AS143" s="1305"/>
      <c r="AT143" s="1305"/>
      <c r="AU143" s="1305"/>
      <c r="AV143" s="1305"/>
      <c r="AW143" s="1305"/>
      <c r="AY143" s="855"/>
      <c r="AZ143" s="855"/>
      <c r="BA143" s="855"/>
      <c r="BB143" s="855"/>
      <c r="BC143" s="855"/>
      <c r="BD143" s="855"/>
      <c r="BE143" s="855"/>
      <c r="BF143" s="874"/>
      <c r="BO143" s="974"/>
      <c r="BP143" s="974"/>
    </row>
    <row r="144" spans="1:68" ht="19.5" hidden="1" customHeight="1" x14ac:dyDescent="0.2">
      <c r="A144" s="892" t="str">
        <f>IF(Dados!$W$56=0,$BH$224,"")</f>
        <v>NÃO HOUVE</v>
      </c>
      <c r="B144" s="855"/>
      <c r="C144" s="855"/>
      <c r="D144" s="855"/>
      <c r="E144" s="855"/>
      <c r="F144" s="855"/>
      <c r="G144" s="855"/>
      <c r="H144" s="1295" t="s">
        <v>1323</v>
      </c>
      <c r="I144" s="1296"/>
      <c r="J144" s="1296"/>
      <c r="K144" s="1296"/>
      <c r="L144" s="1296"/>
      <c r="M144" s="1296"/>
      <c r="N144" s="1296"/>
      <c r="O144" s="1296"/>
      <c r="P144" s="1296"/>
      <c r="Q144" s="1296"/>
      <c r="R144" s="1296"/>
      <c r="S144" s="1296"/>
      <c r="T144" s="1296"/>
      <c r="U144" s="1296"/>
      <c r="V144" s="1297"/>
      <c r="W144" s="1302" t="str">
        <f>Dados!$F$56</f>
        <v/>
      </c>
      <c r="X144" s="1302"/>
      <c r="Y144" s="1302"/>
      <c r="Z144" s="1302"/>
      <c r="AA144" s="1302"/>
      <c r="AB144" s="1302"/>
      <c r="AC144" s="1302"/>
      <c r="AD144" s="1302"/>
      <c r="AE144" s="1302"/>
      <c r="AF144" s="1302" t="str">
        <f>Dados!$I$56</f>
        <v/>
      </c>
      <c r="AG144" s="1302"/>
      <c r="AH144" s="1302"/>
      <c r="AI144" s="1302"/>
      <c r="AJ144" s="1302"/>
      <c r="AK144" s="1302"/>
      <c r="AL144" s="1302"/>
      <c r="AM144" s="1302"/>
      <c r="AN144" s="1302"/>
      <c r="AO144" s="1298" t="e">
        <f>W144+AF144</f>
        <v>#VALUE!</v>
      </c>
      <c r="AP144" s="1298"/>
      <c r="AQ144" s="1298"/>
      <c r="AR144" s="1298"/>
      <c r="AS144" s="1298"/>
      <c r="AT144" s="1298"/>
      <c r="AU144" s="1298"/>
      <c r="AV144" s="1298"/>
      <c r="AW144" s="1298"/>
      <c r="AY144" s="855"/>
      <c r="AZ144" s="855"/>
      <c r="BA144" s="855"/>
      <c r="BB144" s="855"/>
      <c r="BC144" s="855"/>
      <c r="BD144" s="855"/>
      <c r="BE144" s="855"/>
      <c r="BF144" s="874"/>
      <c r="BO144" s="974"/>
      <c r="BP144" s="974"/>
    </row>
    <row r="145" spans="1:68" ht="19.5" hidden="1" customHeight="1" x14ac:dyDescent="0.2">
      <c r="A145" s="892" t="str">
        <f>IF(Dados!$W$56=0,$BH$224,"")</f>
        <v>NÃO HOUVE</v>
      </c>
      <c r="B145" s="855"/>
      <c r="C145" s="855"/>
      <c r="D145" s="855"/>
      <c r="E145" s="855"/>
      <c r="F145" s="855"/>
      <c r="G145" s="855"/>
      <c r="H145" s="1295" t="s">
        <v>1326</v>
      </c>
      <c r="I145" s="1296"/>
      <c r="J145" s="1296"/>
      <c r="K145" s="1296"/>
      <c r="L145" s="1296"/>
      <c r="M145" s="1296"/>
      <c r="N145" s="1296"/>
      <c r="O145" s="1296"/>
      <c r="P145" s="1296"/>
      <c r="Q145" s="1296"/>
      <c r="R145" s="1296"/>
      <c r="S145" s="1296"/>
      <c r="T145" s="1296"/>
      <c r="U145" s="1296"/>
      <c r="V145" s="1297"/>
      <c r="W145" s="1302" t="str">
        <f>Dados!$F$54</f>
        <v/>
      </c>
      <c r="X145" s="1302"/>
      <c r="Y145" s="1302"/>
      <c r="Z145" s="1302"/>
      <c r="AA145" s="1302"/>
      <c r="AB145" s="1302"/>
      <c r="AC145" s="1302"/>
      <c r="AD145" s="1302"/>
      <c r="AE145" s="1302"/>
      <c r="AF145" s="1302" t="str">
        <f>Dados!$I$54</f>
        <v/>
      </c>
      <c r="AG145" s="1302"/>
      <c r="AH145" s="1302"/>
      <c r="AI145" s="1302"/>
      <c r="AJ145" s="1302"/>
      <c r="AK145" s="1302"/>
      <c r="AL145" s="1302"/>
      <c r="AM145" s="1302"/>
      <c r="AN145" s="1302"/>
      <c r="AO145" s="1298" t="e">
        <f>W145+AF145</f>
        <v>#VALUE!</v>
      </c>
      <c r="AP145" s="1298"/>
      <c r="AQ145" s="1298"/>
      <c r="AR145" s="1298"/>
      <c r="AS145" s="1298"/>
      <c r="AT145" s="1298"/>
      <c r="AU145" s="1298"/>
      <c r="AV145" s="1298"/>
      <c r="AW145" s="1298"/>
      <c r="AY145" s="855"/>
      <c r="AZ145" s="855"/>
      <c r="BA145" s="855"/>
      <c r="BB145" s="855"/>
      <c r="BC145" s="855"/>
      <c r="BD145" s="855"/>
      <c r="BE145" s="855"/>
      <c r="BF145" s="874"/>
      <c r="BO145" s="974"/>
      <c r="BP145" s="974"/>
    </row>
    <row r="146" spans="1:68" ht="19.5" hidden="1" customHeight="1" x14ac:dyDescent="0.2">
      <c r="A146" s="892" t="str">
        <f>IF(Dados!$W$56=0,$BH$224,"")</f>
        <v>NÃO HOUVE</v>
      </c>
      <c r="B146" s="855"/>
      <c r="C146" s="855"/>
      <c r="D146" s="855"/>
      <c r="E146" s="855"/>
      <c r="F146" s="855"/>
      <c r="G146" s="855"/>
      <c r="H146" s="1295" t="s">
        <v>1325</v>
      </c>
      <c r="I146" s="1296"/>
      <c r="J146" s="1296"/>
      <c r="K146" s="1296"/>
      <c r="L146" s="1296"/>
      <c r="M146" s="1296"/>
      <c r="N146" s="1296"/>
      <c r="O146" s="1296"/>
      <c r="P146" s="1296"/>
      <c r="Q146" s="1296"/>
      <c r="R146" s="1296"/>
      <c r="S146" s="1296"/>
      <c r="T146" s="1296"/>
      <c r="U146" s="1296"/>
      <c r="V146" s="1297"/>
      <c r="W146" s="1302" t="str">
        <f>IF(Dados!$E$3="","",MOD_2_mais_escola!$P$15)</f>
        <v/>
      </c>
      <c r="X146" s="1302"/>
      <c r="Y146" s="1302"/>
      <c r="Z146" s="1302"/>
      <c r="AA146" s="1302"/>
      <c r="AB146" s="1302"/>
      <c r="AC146" s="1302"/>
      <c r="AD146" s="1302"/>
      <c r="AE146" s="1302"/>
      <c r="AF146" s="1302" t="str">
        <f>IF(Dados!$E$3="","",MOD_2_mais_escola!$P$16)</f>
        <v/>
      </c>
      <c r="AG146" s="1302"/>
      <c r="AH146" s="1302"/>
      <c r="AI146" s="1302"/>
      <c r="AJ146" s="1302"/>
      <c r="AK146" s="1302"/>
      <c r="AL146" s="1302"/>
      <c r="AM146" s="1302"/>
      <c r="AN146" s="1302"/>
      <c r="AO146" s="1298" t="e">
        <f>W146+AF146</f>
        <v>#VALUE!</v>
      </c>
      <c r="AP146" s="1298"/>
      <c r="AQ146" s="1298"/>
      <c r="AR146" s="1298"/>
      <c r="AS146" s="1298"/>
      <c r="AT146" s="1298"/>
      <c r="AU146" s="1298"/>
      <c r="AV146" s="1298"/>
      <c r="AW146" s="1298"/>
      <c r="AY146" s="855"/>
      <c r="AZ146" s="855"/>
      <c r="BA146" s="855"/>
      <c r="BB146" s="855"/>
      <c r="BC146" s="855"/>
      <c r="BD146" s="855"/>
      <c r="BE146" s="855"/>
      <c r="BF146" s="874"/>
      <c r="BO146" s="974"/>
      <c r="BP146" s="974"/>
    </row>
    <row r="147" spans="1:68" ht="19.5" hidden="1" customHeight="1" x14ac:dyDescent="0.2">
      <c r="A147" s="892" t="str">
        <f>IF(Dados!$W$56=0,$BH$224,"")</f>
        <v>NÃO HOUVE</v>
      </c>
      <c r="B147" s="855"/>
      <c r="C147" s="855"/>
      <c r="D147" s="855"/>
      <c r="E147" s="855"/>
      <c r="F147" s="855"/>
      <c r="G147" s="855"/>
      <c r="H147" s="1295" t="s">
        <v>1324</v>
      </c>
      <c r="I147" s="1296"/>
      <c r="J147" s="1296"/>
      <c r="K147" s="1296"/>
      <c r="L147" s="1296"/>
      <c r="M147" s="1296"/>
      <c r="N147" s="1296"/>
      <c r="O147" s="1296"/>
      <c r="P147" s="1296"/>
      <c r="Q147" s="1296"/>
      <c r="R147" s="1296"/>
      <c r="S147" s="1296"/>
      <c r="T147" s="1296"/>
      <c r="U147" s="1296"/>
      <c r="V147" s="1297"/>
      <c r="W147" s="1298" t="e">
        <f>SUM(W144:AE145)-W146</f>
        <v>#VALUE!</v>
      </c>
      <c r="X147" s="1298"/>
      <c r="Y147" s="1298"/>
      <c r="Z147" s="1298"/>
      <c r="AA147" s="1298"/>
      <c r="AB147" s="1298"/>
      <c r="AC147" s="1298"/>
      <c r="AD147" s="1298"/>
      <c r="AE147" s="1298"/>
      <c r="AF147" s="1298" t="e">
        <f>SUM(AF144:AN145)-AF146</f>
        <v>#VALUE!</v>
      </c>
      <c r="AG147" s="1298"/>
      <c r="AH147" s="1298"/>
      <c r="AI147" s="1298"/>
      <c r="AJ147" s="1298"/>
      <c r="AK147" s="1298"/>
      <c r="AL147" s="1298"/>
      <c r="AM147" s="1298"/>
      <c r="AN147" s="1298"/>
      <c r="AO147" s="1298" t="e">
        <f>W147+AF147</f>
        <v>#VALUE!</v>
      </c>
      <c r="AP147" s="1298"/>
      <c r="AQ147" s="1298"/>
      <c r="AR147" s="1298"/>
      <c r="AS147" s="1298"/>
      <c r="AT147" s="1298"/>
      <c r="AU147" s="1298"/>
      <c r="AV147" s="1298"/>
      <c r="AW147" s="1298"/>
      <c r="AY147" s="855"/>
      <c r="AZ147" s="855"/>
      <c r="BA147" s="855"/>
      <c r="BB147" s="855"/>
      <c r="BC147" s="855"/>
      <c r="BD147" s="855"/>
      <c r="BE147" s="855"/>
      <c r="BF147" s="874"/>
      <c r="BO147" s="974"/>
      <c r="BP147" s="974"/>
    </row>
    <row r="148" spans="1:68" ht="19.5" hidden="1" customHeight="1" x14ac:dyDescent="0.2">
      <c r="A148" s="892" t="str">
        <f>IF(Dados!$W$56=0,$BH$224,"")</f>
        <v>NÃO HOUVE</v>
      </c>
      <c r="B148" s="855"/>
      <c r="C148" s="855"/>
      <c r="D148" s="855"/>
      <c r="E148" s="855"/>
      <c r="F148" s="855"/>
      <c r="G148" s="855"/>
      <c r="H148" s="855"/>
      <c r="I148" s="855"/>
      <c r="J148" s="855"/>
      <c r="K148" s="855"/>
      <c r="L148" s="855"/>
      <c r="M148" s="855"/>
      <c r="N148" s="855"/>
      <c r="O148" s="855"/>
      <c r="P148" s="855"/>
      <c r="Q148" s="855"/>
      <c r="R148" s="855"/>
      <c r="S148" s="855"/>
      <c r="T148" s="855"/>
      <c r="U148" s="855"/>
      <c r="V148" s="855"/>
      <c r="W148" s="855"/>
      <c r="X148" s="855"/>
      <c r="Y148" s="855"/>
      <c r="Z148" s="855"/>
      <c r="AA148" s="855"/>
      <c r="AB148" s="855"/>
      <c r="AC148" s="855"/>
      <c r="AD148" s="855"/>
      <c r="AE148" s="855"/>
      <c r="AF148" s="855"/>
      <c r="AG148" s="855"/>
      <c r="AH148" s="855"/>
      <c r="AI148" s="855"/>
      <c r="AJ148" s="855"/>
      <c r="AK148" s="855"/>
      <c r="AL148" s="855"/>
      <c r="AM148" s="855"/>
      <c r="AN148" s="855"/>
      <c r="AO148" s="855"/>
      <c r="AP148" s="855"/>
      <c r="AQ148" s="855"/>
      <c r="AR148" s="855"/>
      <c r="AS148" s="855"/>
      <c r="AT148" s="855"/>
      <c r="AU148" s="855"/>
      <c r="AV148" s="855"/>
      <c r="AW148" s="855"/>
      <c r="AX148" s="855"/>
      <c r="AY148" s="855"/>
      <c r="AZ148" s="855"/>
      <c r="BA148" s="855"/>
      <c r="BB148" s="855"/>
      <c r="BC148" s="855"/>
      <c r="BD148" s="855"/>
      <c r="BE148" s="855"/>
      <c r="BF148" s="874"/>
      <c r="BO148" s="974"/>
      <c r="BP148" s="974"/>
    </row>
    <row r="149" spans="1:68" ht="19.5" hidden="1" customHeight="1" x14ac:dyDescent="0.2">
      <c r="A149" s="888" t="str">
        <f>IF(Dados!$W$56=0,$BH$224,"")</f>
        <v>NÃO HOUVE</v>
      </c>
      <c r="B149" s="1299" t="str">
        <f>IF($W$146=0,$BH$41,$BH$39)</f>
        <v>- As aquisições com os recursos de custeio foram da ordem de</v>
      </c>
      <c r="C149" s="1299"/>
      <c r="D149" s="1299"/>
      <c r="E149" s="1299"/>
      <c r="F149" s="1299"/>
      <c r="G149" s="1299"/>
      <c r="H149" s="1299"/>
      <c r="I149" s="1299"/>
      <c r="J149" s="1299"/>
      <c r="K149" s="1299"/>
      <c r="L149" s="1299"/>
      <c r="M149" s="1299"/>
      <c r="N149" s="1299"/>
      <c r="O149" s="1299"/>
      <c r="P149" s="1299"/>
      <c r="Q149" s="1299"/>
      <c r="R149" s="1299"/>
      <c r="S149" s="1299"/>
      <c r="T149" s="1299"/>
      <c r="U149" s="1299"/>
      <c r="V149" s="1299"/>
      <c r="W149" s="1299"/>
      <c r="X149" s="1299"/>
      <c r="Y149" s="1299"/>
      <c r="Z149" s="1299"/>
      <c r="AA149" s="1299"/>
      <c r="AB149" s="1299"/>
      <c r="AC149" s="1299"/>
      <c r="AD149" s="1299"/>
      <c r="AE149" s="1299"/>
      <c r="AF149" s="1299"/>
      <c r="AG149" s="1300" t="str">
        <f>IF($W$146=0,"",$W$146)</f>
        <v/>
      </c>
      <c r="AH149" s="1300"/>
      <c r="AI149" s="1300"/>
      <c r="AJ149" s="1300"/>
      <c r="AK149" s="1300"/>
      <c r="AL149" s="1300"/>
      <c r="AM149" s="1300"/>
      <c r="AN149" s="1300"/>
      <c r="AO149" s="1300"/>
      <c r="AP149" s="1300"/>
      <c r="AQ149" s="1289" t="str">
        <f>IF($W$146&gt;0,$BI$39,"")</f>
        <v>e relacionadas a seguir:</v>
      </c>
      <c r="AR149" s="1289"/>
      <c r="AS149" s="1289"/>
      <c r="AT149" s="1289"/>
      <c r="AU149" s="1289"/>
      <c r="AV149" s="1289"/>
      <c r="AW149" s="1289"/>
      <c r="AX149" s="1289"/>
      <c r="AY149" s="1289"/>
      <c r="AZ149" s="1289"/>
      <c r="BA149" s="1289"/>
      <c r="BB149" s="1289"/>
      <c r="BC149" s="1289"/>
      <c r="BD149" s="1289"/>
      <c r="BE149" s="683"/>
      <c r="BF149" s="874"/>
      <c r="BO149" s="974"/>
      <c r="BP149" s="974"/>
    </row>
    <row r="150" spans="1:68" ht="34.5" hidden="1" customHeight="1" x14ac:dyDescent="0.2">
      <c r="A150" s="885" t="str">
        <f>IF(Dados!$W$56=0,$BH$224,IF($W$146=0,$BH$224,IF($B$150&gt;0,"Aumente ou diminua a altura da linha 150")))</f>
        <v>NÃO HOUVE</v>
      </c>
      <c r="B150" s="1290" t="str">
        <f>IF(Despesas!$GS$1=0,"",Despesas!$GS$1)</f>
        <v/>
      </c>
      <c r="C150" s="1290"/>
      <c r="D150" s="1290"/>
      <c r="E150" s="1290"/>
      <c r="F150" s="1290"/>
      <c r="G150" s="1290"/>
      <c r="H150" s="1290"/>
      <c r="I150" s="1290"/>
      <c r="J150" s="1290"/>
      <c r="K150" s="1290"/>
      <c r="L150" s="1290"/>
      <c r="M150" s="1290"/>
      <c r="N150" s="1290"/>
      <c r="O150" s="1290"/>
      <c r="P150" s="1290"/>
      <c r="Q150" s="1290"/>
      <c r="R150" s="1290"/>
      <c r="S150" s="1290"/>
      <c r="T150" s="1290"/>
      <c r="U150" s="1290"/>
      <c r="V150" s="1290"/>
      <c r="W150" s="1290"/>
      <c r="X150" s="1290"/>
      <c r="Y150" s="1290"/>
      <c r="Z150" s="1290"/>
      <c r="AA150" s="1290"/>
      <c r="AB150" s="1290"/>
      <c r="AC150" s="1290"/>
      <c r="AD150" s="1290"/>
      <c r="AE150" s="1290"/>
      <c r="AF150" s="1290"/>
      <c r="AG150" s="1290"/>
      <c r="AH150" s="1290"/>
      <c r="AI150" s="1290"/>
      <c r="AJ150" s="1290"/>
      <c r="AK150" s="1290"/>
      <c r="AL150" s="1290"/>
      <c r="AM150" s="1290"/>
      <c r="AN150" s="1290"/>
      <c r="AO150" s="1290"/>
      <c r="AP150" s="1290"/>
      <c r="AQ150" s="1290"/>
      <c r="AR150" s="1290"/>
      <c r="AS150" s="1290"/>
      <c r="AT150" s="1290"/>
      <c r="AU150" s="1290"/>
      <c r="AV150" s="1290"/>
      <c r="AW150" s="1290"/>
      <c r="AX150" s="1290"/>
      <c r="AY150" s="1290"/>
      <c r="AZ150" s="1290"/>
      <c r="BA150" s="1290"/>
      <c r="BB150" s="1290"/>
      <c r="BC150" s="1290"/>
      <c r="BD150" s="1290"/>
      <c r="BE150" s="1290"/>
      <c r="BF150" s="874"/>
      <c r="BO150" s="974"/>
      <c r="BP150" s="974"/>
    </row>
    <row r="151" spans="1:68" ht="19.5" hidden="1" customHeight="1" x14ac:dyDescent="0.2">
      <c r="A151" s="888" t="str">
        <f>IF(Dados!$W$56=0,$BH$224,"")</f>
        <v>NÃO HOUVE</v>
      </c>
      <c r="B151" s="1301" t="str">
        <f>IF($AF$146=0,$BH$42,$BH$40)</f>
        <v>- As aquisições com os recursos de capital foram da ordem de</v>
      </c>
      <c r="C151" s="1299"/>
      <c r="D151" s="1299"/>
      <c r="E151" s="1299"/>
      <c r="F151" s="1299"/>
      <c r="G151" s="1299"/>
      <c r="H151" s="1299"/>
      <c r="I151" s="1299"/>
      <c r="J151" s="1299"/>
      <c r="K151" s="1299"/>
      <c r="L151" s="1299"/>
      <c r="M151" s="1299"/>
      <c r="N151" s="1299"/>
      <c r="O151" s="1299"/>
      <c r="P151" s="1299"/>
      <c r="Q151" s="1299"/>
      <c r="R151" s="1299"/>
      <c r="S151" s="1299"/>
      <c r="T151" s="1299"/>
      <c r="U151" s="1299"/>
      <c r="V151" s="1299"/>
      <c r="W151" s="1299"/>
      <c r="X151" s="1299"/>
      <c r="Y151" s="1299"/>
      <c r="Z151" s="1299"/>
      <c r="AA151" s="1299"/>
      <c r="AB151" s="1299"/>
      <c r="AC151" s="1299"/>
      <c r="AD151" s="1299"/>
      <c r="AE151" s="1299"/>
      <c r="AF151" s="1299"/>
      <c r="AG151" s="1300" t="str">
        <f>IF($AF$146=0,"",$AF$146)</f>
        <v/>
      </c>
      <c r="AH151" s="1300"/>
      <c r="AI151" s="1300"/>
      <c r="AJ151" s="1300"/>
      <c r="AK151" s="1300"/>
      <c r="AL151" s="1300"/>
      <c r="AM151" s="1300"/>
      <c r="AN151" s="1300"/>
      <c r="AO151" s="1300"/>
      <c r="AP151" s="1300"/>
      <c r="AQ151" s="1289" t="str">
        <f>IF($AF$146&gt;0,$BI$39,"")</f>
        <v>e relacionadas a seguir:</v>
      </c>
      <c r="AR151" s="1289"/>
      <c r="AS151" s="1289"/>
      <c r="AT151" s="1289"/>
      <c r="AU151" s="1289"/>
      <c r="AV151" s="1289"/>
      <c r="AW151" s="1289"/>
      <c r="AX151" s="1289"/>
      <c r="AY151" s="1289"/>
      <c r="AZ151" s="1289"/>
      <c r="BA151" s="1289"/>
      <c r="BB151" s="1289"/>
      <c r="BC151" s="1289"/>
      <c r="BD151" s="1289"/>
      <c r="BE151" s="174"/>
      <c r="BF151" s="874"/>
      <c r="BO151" s="974"/>
      <c r="BP151" s="974"/>
    </row>
    <row r="152" spans="1:68" ht="19.5" hidden="1" customHeight="1" x14ac:dyDescent="0.2">
      <c r="A152" s="885" t="str">
        <f>IF(Dados!$W$56=0,$BH$224,IF($AF$146=0,$BH$224,IF($B$152&gt;0,"Aumente ou diminua a altura da linha 152")))</f>
        <v>NÃO HOUVE</v>
      </c>
      <c r="B152" s="1290" t="str">
        <f>IF(Despesas!$GS$2=0,"",Despesas!$GS$2)</f>
        <v/>
      </c>
      <c r="C152" s="1290"/>
      <c r="D152" s="1290"/>
      <c r="E152" s="1290"/>
      <c r="F152" s="1290"/>
      <c r="G152" s="1290"/>
      <c r="H152" s="1290"/>
      <c r="I152" s="1290"/>
      <c r="J152" s="1290"/>
      <c r="K152" s="1290"/>
      <c r="L152" s="1290"/>
      <c r="M152" s="1290"/>
      <c r="N152" s="1290"/>
      <c r="O152" s="1290"/>
      <c r="P152" s="1290"/>
      <c r="Q152" s="1290"/>
      <c r="R152" s="1290"/>
      <c r="S152" s="1290"/>
      <c r="T152" s="1290"/>
      <c r="U152" s="1290"/>
      <c r="V152" s="1290"/>
      <c r="W152" s="1290"/>
      <c r="X152" s="1290"/>
      <c r="Y152" s="1290"/>
      <c r="Z152" s="1290"/>
      <c r="AA152" s="1290"/>
      <c r="AB152" s="1290"/>
      <c r="AC152" s="1290"/>
      <c r="AD152" s="1290"/>
      <c r="AE152" s="1290"/>
      <c r="AF152" s="1290"/>
      <c r="AG152" s="1290"/>
      <c r="AH152" s="1290"/>
      <c r="AI152" s="1290"/>
      <c r="AJ152" s="1290"/>
      <c r="AK152" s="1290"/>
      <c r="AL152" s="1290"/>
      <c r="AM152" s="1290"/>
      <c r="AN152" s="1290"/>
      <c r="AO152" s="1290"/>
      <c r="AP152" s="1290"/>
      <c r="AQ152" s="1290"/>
      <c r="AR152" s="1290"/>
      <c r="AS152" s="1290"/>
      <c r="AT152" s="1290"/>
      <c r="AU152" s="1290"/>
      <c r="AV152" s="1290"/>
      <c r="AW152" s="1290"/>
      <c r="AX152" s="1290"/>
      <c r="AY152" s="1290"/>
      <c r="AZ152" s="1290"/>
      <c r="BA152" s="1290"/>
      <c r="BB152" s="1290"/>
      <c r="BC152" s="1290"/>
      <c r="BD152" s="1290"/>
      <c r="BE152" s="1290"/>
      <c r="BF152" s="874"/>
      <c r="BO152" s="974"/>
      <c r="BP152" s="974"/>
    </row>
    <row r="153" spans="1:68" ht="19.5" hidden="1" customHeight="1" x14ac:dyDescent="0.2">
      <c r="A153" s="885" t="str">
        <f>IF(Dados!$W$56=0,$BH$224,IF(AND($W$146=0,$AF$146=0),$BH$224,IF($B$153="","Observações se houverem","Aumente ou diminua a altura da linha 153")))</f>
        <v>NÃO HOUVE</v>
      </c>
      <c r="B153" s="1291"/>
      <c r="C153" s="1292"/>
      <c r="D153" s="1292"/>
      <c r="E153" s="1292"/>
      <c r="F153" s="1292"/>
      <c r="G153" s="1292"/>
      <c r="H153" s="1292"/>
      <c r="I153" s="1292"/>
      <c r="J153" s="1292"/>
      <c r="K153" s="1292"/>
      <c r="L153" s="1292"/>
      <c r="M153" s="1292"/>
      <c r="N153" s="1292"/>
      <c r="O153" s="1292"/>
      <c r="P153" s="1292"/>
      <c r="Q153" s="1292"/>
      <c r="R153" s="1292"/>
      <c r="S153" s="1292"/>
      <c r="T153" s="1292"/>
      <c r="U153" s="1292"/>
      <c r="V153" s="1292"/>
      <c r="W153" s="1292"/>
      <c r="X153" s="1292"/>
      <c r="Y153" s="1292"/>
      <c r="Z153" s="1292"/>
      <c r="AA153" s="1292"/>
      <c r="AB153" s="1292"/>
      <c r="AC153" s="1292"/>
      <c r="AD153" s="1292"/>
      <c r="AE153" s="1292"/>
      <c r="AF153" s="1292"/>
      <c r="AG153" s="1292"/>
      <c r="AH153" s="1292"/>
      <c r="AI153" s="1292"/>
      <c r="AJ153" s="1292"/>
      <c r="AK153" s="1292"/>
      <c r="AL153" s="1292"/>
      <c r="AM153" s="1292"/>
      <c r="AN153" s="1292"/>
      <c r="AO153" s="1292"/>
      <c r="AP153" s="1292"/>
      <c r="AQ153" s="1292"/>
      <c r="AR153" s="1292"/>
      <c r="AS153" s="1292"/>
      <c r="AT153" s="1292"/>
      <c r="AU153" s="1292"/>
      <c r="AV153" s="1292"/>
      <c r="AW153" s="1292"/>
      <c r="AX153" s="1292"/>
      <c r="AY153" s="1292"/>
      <c r="AZ153" s="1292"/>
      <c r="BA153" s="1292"/>
      <c r="BB153" s="1292"/>
      <c r="BC153" s="1292"/>
      <c r="BD153" s="1292"/>
      <c r="BE153" s="1292"/>
      <c r="BF153" s="874"/>
      <c r="BO153" s="974"/>
      <c r="BP153" s="974"/>
    </row>
    <row r="154" spans="1:68" ht="19.5" hidden="1" customHeight="1" x14ac:dyDescent="0.2">
      <c r="A154" s="894" t="str">
        <f>IF(AND($A$155=$BK$46,$A$156=$BK$46),$BK$46,$BK$47)</f>
        <v>NÃO HOUVE</v>
      </c>
      <c r="B154" s="1293"/>
      <c r="C154" s="1293"/>
      <c r="D154" s="1293"/>
      <c r="E154" s="1293"/>
      <c r="F154" s="1293"/>
      <c r="G154" s="1293"/>
      <c r="H154" s="1293"/>
      <c r="I154" s="1293"/>
      <c r="J154" s="1293"/>
      <c r="K154" s="1293"/>
      <c r="L154" s="1293"/>
      <c r="M154" s="1293"/>
      <c r="N154" s="1293"/>
      <c r="O154" s="1293"/>
      <c r="P154" s="1293"/>
      <c r="Q154" s="1293"/>
      <c r="R154" s="1293"/>
      <c r="S154" s="1293"/>
      <c r="T154" s="1293"/>
      <c r="U154" s="1293"/>
      <c r="V154" s="1293"/>
      <c r="W154" s="1293"/>
      <c r="X154" s="1293"/>
      <c r="Y154" s="1293"/>
      <c r="Z154" s="1293"/>
      <c r="AA154" s="1293"/>
      <c r="AB154" s="1293"/>
      <c r="AC154" s="1293"/>
      <c r="AD154" s="1293"/>
      <c r="AE154" s="1293"/>
      <c r="AF154" s="1293"/>
      <c r="AG154" s="1293"/>
      <c r="AH154" s="1293"/>
      <c r="AI154" s="1293"/>
      <c r="AJ154" s="1293"/>
      <c r="AK154" s="1293"/>
      <c r="AL154" s="1293"/>
      <c r="AM154" s="1293"/>
      <c r="AN154" s="1293"/>
      <c r="AO154" s="1293"/>
      <c r="AP154" s="1293"/>
      <c r="AQ154" s="1293"/>
      <c r="AR154" s="1293"/>
      <c r="AS154" s="1293"/>
      <c r="AT154" s="1293"/>
      <c r="AU154" s="1293"/>
      <c r="AV154" s="1293"/>
      <c r="AW154" s="1293"/>
      <c r="AX154" s="1293"/>
      <c r="AY154" s="1293"/>
      <c r="AZ154" s="1293"/>
      <c r="BA154" s="1293"/>
      <c r="BB154" s="1293"/>
      <c r="BC154" s="1293"/>
      <c r="BD154" s="1293"/>
      <c r="BE154" s="1293"/>
      <c r="BF154" s="874"/>
      <c r="BO154" s="974"/>
      <c r="BP154" s="974"/>
    </row>
    <row r="155" spans="1:68" ht="19.5" hidden="1" customHeight="1" x14ac:dyDescent="0.2">
      <c r="A155" s="887" t="str">
        <f>IF(Dados!$W$56=0,$BH$224,IF(AND($BU$69=0,$BV$69=0),$BH$224,IF(AND($BU$69&gt;0,$BV$69=0),$BH$226,IF(AND($BU$69=0,$BV$69&gt;0),$BH$227,IF(AND($BU$69&gt;0,$BV$69&gt;0),$BH$228)))))</f>
        <v>NÃO HOUVE</v>
      </c>
      <c r="B155" s="1286" t="str">
        <f>IF(AND($BU$69=0,$BV$69=0),"",$BG$72)</f>
        <v/>
      </c>
      <c r="C155" s="1286"/>
      <c r="D155" s="1286"/>
      <c r="E155" s="1286"/>
      <c r="F155" s="1286"/>
      <c r="G155" s="1286"/>
      <c r="H155" s="1286"/>
      <c r="I155" s="1286"/>
      <c r="J155" s="1286"/>
      <c r="K155" s="1286"/>
      <c r="L155" s="1286"/>
      <c r="M155" s="1286"/>
      <c r="N155" s="1286"/>
      <c r="O155" s="1286"/>
      <c r="P155" s="1286"/>
      <c r="Q155" s="1286"/>
      <c r="R155" s="1294" t="str">
        <f>IF(AND($BQ$69=0,$BR$69=0),"",IF(AND($BQ$69=0,$BR$69&gt;0),"",IF(AND($BQ$69&gt;0,$BR$69=0),$BQ$69,IF(AND($BQ$69&gt;0,$BR$69&gt;0),$BQ$69))))</f>
        <v/>
      </c>
      <c r="S155" s="1294"/>
      <c r="T155" s="1294"/>
      <c r="U155" s="1294"/>
      <c r="V155" s="1294"/>
      <c r="W155" s="1294"/>
      <c r="X155" s="1294"/>
      <c r="Y155" s="1288" t="str">
        <f>IF(AND($BQ$69=0,$BR$69=0),"",IF(AND($BQ$69=0,$BR$69&gt;0),"",IF(AND($BQ$69&gt;0,$BR$69=0),$BQ$70,IF(AND($BQ$69&gt;0,$BR$69&gt;0),$BQ$70))))</f>
        <v/>
      </c>
      <c r="Z155" s="1288"/>
      <c r="AA155" s="1288"/>
      <c r="AB155" s="1288"/>
      <c r="AC155" s="1288"/>
      <c r="AD155" s="1288"/>
      <c r="AE155" s="1288"/>
      <c r="AF155" s="1288"/>
      <c r="AG155" s="1288"/>
      <c r="AH155" s="1288"/>
      <c r="AI155" s="1288"/>
      <c r="AJ155" s="1288"/>
      <c r="AK155" s="1288"/>
      <c r="AL155" s="1294" t="str">
        <f>IF(AND($BQ$69=0,$BR$69=0),"",IF(AND($BQ$69=0,$BR$69&gt;0),$BR$69,IF(AND($BQ$69&gt;0,$BR$69=0),"",IF(AND($BQ$69&gt;0,$BR$69&gt;0),$BR$69))))</f>
        <v/>
      </c>
      <c r="AM155" s="1294"/>
      <c r="AN155" s="1294"/>
      <c r="AO155" s="1294"/>
      <c r="AP155" s="1294"/>
      <c r="AQ155" s="1294"/>
      <c r="AR155" s="1294"/>
      <c r="AS155" s="1289" t="str">
        <f>IF(AND($BQ$69=0,$BR$69=0),"",IF(AND($BQ$69=0,$BR$69&gt;0),$BR$70,IF(AND($BQ$69&gt;0,$BR$69=0),"",IF(AND($BQ$69&gt;0,$BR$69&gt;0),$BR$70))))</f>
        <v/>
      </c>
      <c r="AT155" s="1289"/>
      <c r="AU155" s="1289"/>
      <c r="AV155" s="1289"/>
      <c r="AW155" s="1289"/>
      <c r="AX155" s="1289"/>
      <c r="AY155" s="1289"/>
      <c r="AZ155" s="1289"/>
      <c r="BA155" s="1289"/>
      <c r="BB155" s="1289"/>
      <c r="BC155" s="1289"/>
      <c r="BD155" s="1289"/>
      <c r="BE155" s="1289"/>
      <c r="BF155" s="874"/>
      <c r="BO155" s="974"/>
      <c r="BP155" s="974"/>
    </row>
    <row r="156" spans="1:68" ht="19.5" hidden="1" customHeight="1" x14ac:dyDescent="0.2">
      <c r="A156" s="887" t="str">
        <f>IF(Dados!$W$56=0,$BH$224,IF(AND($BU$66=0,$BV$66=0),$BH$224,IF(AND($BU$66&gt;0,$BV$66=0),$BH$226,IF(AND($BU$66=0,$BV$66&gt;0),$BH$227,IF(AND($BU$66&gt;0,$BV$66&gt;0),$BH$228)))))</f>
        <v>NÃO HOUVE</v>
      </c>
      <c r="B156" s="1286" t="str">
        <f>IF(OR($A$156=$BH$224,$A$156=$BH$225),"",$BG$72)</f>
        <v/>
      </c>
      <c r="C156" s="1286"/>
      <c r="D156" s="1286"/>
      <c r="E156" s="1286"/>
      <c r="F156" s="1286"/>
      <c r="G156" s="1286"/>
      <c r="H156" s="1286"/>
      <c r="I156" s="1286"/>
      <c r="J156" s="1286"/>
      <c r="K156" s="1286"/>
      <c r="L156" s="1286"/>
      <c r="M156" s="1286"/>
      <c r="N156" s="1286"/>
      <c r="O156" s="1286"/>
      <c r="P156" s="1286"/>
      <c r="Q156" s="1286"/>
      <c r="R156" s="1294" t="e">
        <f>IF(AND($BQ$66=0,$BR$66=0),"",IF(AND($BQ$66=0,$BR$66&gt;0),$BR$66,IF(AND($BQ$66&gt;0,$BR$66=0),$BQ$66,IF(AND($BQ$66&gt;0,$BR$66&gt;0),$BQ$66))))</f>
        <v>#VALUE!</v>
      </c>
      <c r="S156" s="1294"/>
      <c r="T156" s="1294"/>
      <c r="U156" s="1294"/>
      <c r="V156" s="1294"/>
      <c r="W156" s="1294"/>
      <c r="X156" s="1294"/>
      <c r="Y156" s="1288" t="str">
        <f>IF(OR($A$118=$BH$224,$A$118=$BH$225),"",IF($A$118=$BH$226,$BH$45,IF($A$118=$BH$227,"",IF($A$118=$BH$228,$BH$46))))</f>
        <v/>
      </c>
      <c r="Z156" s="1288"/>
      <c r="AA156" s="1288"/>
      <c r="AB156" s="1288"/>
      <c r="AC156" s="1288"/>
      <c r="AD156" s="1288"/>
      <c r="AE156" s="1288"/>
      <c r="AF156" s="1288"/>
      <c r="AG156" s="1288"/>
      <c r="AH156" s="1288"/>
      <c r="AI156" s="1288"/>
      <c r="AJ156" s="1288"/>
      <c r="AK156" s="1288"/>
      <c r="AL156" s="1294" t="e">
        <f>IF(AND($BQ$66=0,$BR$66=0),"",IF(AND($BQ$66=0,$BR$66&gt;0),"",IF(AND($BQ$66&gt;0,$BR$66=0),"",IF(AND($BQ$66&gt;0,$BR$66&gt;0),$BR$66))))</f>
        <v>#VALUE!</v>
      </c>
      <c r="AM156" s="1294"/>
      <c r="AN156" s="1294"/>
      <c r="AO156" s="1294"/>
      <c r="AP156" s="1294"/>
      <c r="AQ156" s="1294"/>
      <c r="AR156" s="1294"/>
      <c r="AS156" s="1289" t="str">
        <f>IF(OR($A$118=$BH$224,$A$118=$BH$225,$A$118=$BH$226),"",$BH$47)</f>
        <v/>
      </c>
      <c r="AT156" s="1289"/>
      <c r="AU156" s="1289"/>
      <c r="AV156" s="1289"/>
      <c r="AW156" s="1289"/>
      <c r="AX156" s="1289"/>
      <c r="AY156" s="1289"/>
      <c r="AZ156" s="1289"/>
      <c r="BA156" s="1289"/>
      <c r="BB156" s="1289"/>
      <c r="BC156" s="1289"/>
      <c r="BD156" s="1289"/>
      <c r="BE156" s="1289"/>
      <c r="BF156" s="874"/>
      <c r="BO156" s="974"/>
      <c r="BP156" s="974"/>
    </row>
    <row r="157" spans="1:68" ht="19.5" customHeight="1" x14ac:dyDescent="0.2">
      <c r="A157" s="970" t="s">
        <v>1386</v>
      </c>
      <c r="B157" s="1286" t="str">
        <f>IF($A$157=$BH$230,"",$BG$72)</f>
        <v/>
      </c>
      <c r="C157" s="1286"/>
      <c r="D157" s="1286"/>
      <c r="E157" s="1286"/>
      <c r="F157" s="1286"/>
      <c r="G157" s="1286"/>
      <c r="H157" s="1286"/>
      <c r="I157" s="1286"/>
      <c r="J157" s="1286"/>
      <c r="K157" s="1286"/>
      <c r="L157" s="1286"/>
      <c r="M157" s="1286"/>
      <c r="N157" s="1286"/>
      <c r="O157" s="1286"/>
      <c r="P157" s="1286"/>
      <c r="Q157" s="1286"/>
      <c r="R157" s="1287"/>
      <c r="S157" s="1287"/>
      <c r="T157" s="1287"/>
      <c r="U157" s="1287"/>
      <c r="V157" s="1287"/>
      <c r="W157" s="1287"/>
      <c r="X157" s="1287"/>
      <c r="Y157" s="1288" t="str">
        <f>IF($A$119=$BH$230,"",IF($A$119=$BH$226,$BH$45,IF($A$119=$BH$227,"",IF($A$119=$BH$228,$BH$46))))</f>
        <v/>
      </c>
      <c r="Z157" s="1288"/>
      <c r="AA157" s="1288"/>
      <c r="AB157" s="1288"/>
      <c r="AC157" s="1288"/>
      <c r="AD157" s="1288"/>
      <c r="AE157" s="1288"/>
      <c r="AF157" s="1288"/>
      <c r="AG157" s="1288"/>
      <c r="AH157" s="1288"/>
      <c r="AI157" s="1288"/>
      <c r="AJ157" s="1288"/>
      <c r="AK157" s="1288"/>
      <c r="AL157" s="1287"/>
      <c r="AM157" s="1287"/>
      <c r="AN157" s="1287"/>
      <c r="AO157" s="1287"/>
      <c r="AP157" s="1287"/>
      <c r="AQ157" s="1287"/>
      <c r="AR157" s="1287"/>
      <c r="AS157" s="1289" t="str">
        <f>IF(OR($A$119=$BH$230,$A$119=$BH$231),"",$BH$47)</f>
        <v/>
      </c>
      <c r="AT157" s="1289"/>
      <c r="AU157" s="1289"/>
      <c r="AV157" s="1289"/>
      <c r="AW157" s="1289"/>
      <c r="AX157" s="1289"/>
      <c r="AY157" s="1289"/>
      <c r="AZ157" s="1289"/>
      <c r="BA157" s="1289"/>
      <c r="BB157" s="1289"/>
      <c r="BC157" s="1289"/>
      <c r="BD157" s="1289"/>
      <c r="BE157" s="1289"/>
      <c r="BF157" s="874"/>
      <c r="BO157" s="974"/>
      <c r="BP157" s="974"/>
    </row>
    <row r="158" spans="1:68" ht="19.5" hidden="1" customHeight="1" x14ac:dyDescent="0.2">
      <c r="A158" s="895" t="str">
        <f>IF(AND($A$155=$BH$224,$A$156=$BH$224,$A$157=$BH$230),$BH$224,$BH$221)</f>
        <v>NÃO HOUVE</v>
      </c>
      <c r="B158" s="1274"/>
      <c r="C158" s="1274"/>
      <c r="D158" s="1274"/>
      <c r="E158" s="1274"/>
      <c r="F158" s="1274"/>
      <c r="G158" s="1274"/>
      <c r="H158" s="1274"/>
      <c r="I158" s="1274"/>
      <c r="J158" s="1274"/>
      <c r="K158" s="1274"/>
      <c r="L158" s="1274"/>
      <c r="M158" s="1274"/>
      <c r="N158" s="1274"/>
      <c r="O158" s="1274"/>
      <c r="P158" s="1274"/>
      <c r="Q158" s="1274"/>
      <c r="R158" s="1274"/>
      <c r="S158" s="1274"/>
      <c r="T158" s="1274"/>
      <c r="U158" s="1274"/>
      <c r="V158" s="1274"/>
      <c r="W158" s="1274"/>
      <c r="X158" s="1274"/>
      <c r="Y158" s="1274"/>
      <c r="Z158" s="1274"/>
      <c r="AA158" s="1274"/>
      <c r="AB158" s="1274"/>
      <c r="AC158" s="1274"/>
      <c r="AD158" s="1274"/>
      <c r="AE158" s="1274"/>
      <c r="AF158" s="1274"/>
      <c r="AG158" s="1274"/>
      <c r="AH158" s="1274"/>
      <c r="AI158" s="1274"/>
      <c r="AJ158" s="1274"/>
      <c r="AK158" s="1274"/>
      <c r="AL158" s="1274"/>
      <c r="AM158" s="1274"/>
      <c r="AN158" s="1274"/>
      <c r="AO158" s="1274"/>
      <c r="AP158" s="1274"/>
      <c r="AQ158" s="1274"/>
      <c r="AR158" s="1274"/>
      <c r="AS158" s="1274"/>
      <c r="AT158" s="1274"/>
      <c r="AU158" s="1274"/>
      <c r="AV158" s="1274"/>
      <c r="AW158" s="1274"/>
      <c r="AX158" s="1274"/>
      <c r="AY158" s="1274"/>
      <c r="AZ158" s="1274"/>
      <c r="BA158" s="1274"/>
      <c r="BB158" s="1274"/>
      <c r="BC158" s="1274"/>
      <c r="BD158" s="1274"/>
      <c r="BE158" s="1274"/>
      <c r="BF158" s="874"/>
      <c r="BO158" s="974"/>
      <c r="BP158" s="974"/>
    </row>
    <row r="159" spans="1:68" ht="19.5" customHeight="1" x14ac:dyDescent="0.2">
      <c r="A159" s="896"/>
      <c r="B159" s="855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855"/>
      <c r="AL159" s="855"/>
      <c r="AM159" s="855"/>
      <c r="AN159" s="855"/>
      <c r="AO159" s="855"/>
      <c r="AP159" s="855"/>
      <c r="AQ159" s="855"/>
      <c r="AR159" s="855"/>
      <c r="AS159" s="855"/>
      <c r="AT159" s="855"/>
      <c r="AU159" s="855"/>
      <c r="AV159" s="855"/>
      <c r="AW159" s="855"/>
      <c r="AX159" s="855"/>
      <c r="AY159" s="855"/>
      <c r="AZ159" s="855"/>
      <c r="BA159" s="855"/>
      <c r="BB159" s="855"/>
      <c r="BC159" s="855"/>
      <c r="BD159" s="855"/>
      <c r="BE159" s="855"/>
      <c r="BF159" s="874"/>
      <c r="BO159" s="974"/>
      <c r="BP159" s="974"/>
    </row>
    <row r="160" spans="1:68" ht="19.5" customHeight="1" x14ac:dyDescent="0.2">
      <c r="A160" s="888" t="str">
        <f>IF(Dados!$W$62=0,$BH$224,"")</f>
        <v>NÃO HOUVE</v>
      </c>
      <c r="B160" s="1303" t="str">
        <f>$BW$62</f>
        <v>LIVRE APLICAÇÃO</v>
      </c>
      <c r="C160" s="1303"/>
      <c r="D160" s="1303"/>
      <c r="E160" s="1303"/>
      <c r="F160" s="1303"/>
      <c r="G160" s="1303"/>
      <c r="H160" s="1303"/>
      <c r="I160" s="1303"/>
      <c r="J160" s="1303"/>
      <c r="K160" s="1303"/>
      <c r="L160" s="1303"/>
      <c r="M160" s="1303"/>
      <c r="N160" s="1303"/>
      <c r="O160" s="1303"/>
      <c r="P160" s="1303"/>
      <c r="Q160" s="1303"/>
      <c r="R160" s="1303"/>
      <c r="S160" s="1303"/>
      <c r="T160" s="1303"/>
      <c r="U160" s="1303"/>
      <c r="V160" s="1303"/>
      <c r="W160" s="1303"/>
      <c r="X160" s="1303"/>
      <c r="Y160" s="1303"/>
      <c r="Z160" s="1303"/>
      <c r="AA160" s="1303"/>
      <c r="AB160" s="1303"/>
      <c r="AC160" s="1303"/>
      <c r="AD160" s="1303"/>
      <c r="AE160" s="1303"/>
      <c r="AF160" s="1303"/>
      <c r="AG160" s="1303"/>
      <c r="AH160" s="1303"/>
      <c r="AI160" s="1303"/>
      <c r="AJ160" s="1303"/>
      <c r="AK160" s="1303"/>
      <c r="AL160" s="1303"/>
      <c r="AM160" s="1303"/>
      <c r="AN160" s="1303"/>
      <c r="AO160" s="1303"/>
      <c r="AP160" s="1303"/>
      <c r="AQ160" s="1303"/>
      <c r="AR160" s="1303"/>
      <c r="AS160" s="1303"/>
      <c r="AT160" s="1303"/>
      <c r="AU160" s="1303"/>
      <c r="AV160" s="1303"/>
      <c r="AW160" s="1303"/>
      <c r="AX160" s="1303"/>
      <c r="AY160" s="1303"/>
      <c r="AZ160" s="1303"/>
      <c r="BA160" s="1303"/>
      <c r="BB160" s="1303"/>
      <c r="BC160" s="1303"/>
      <c r="BD160" s="1303"/>
      <c r="BE160" s="1303"/>
      <c r="BF160" s="874"/>
      <c r="BO160" s="974"/>
      <c r="BP160" s="974"/>
    </row>
    <row r="161" spans="1:68" ht="19.5" hidden="1" customHeight="1" x14ac:dyDescent="0.2">
      <c r="A161" s="892" t="s">
        <v>1308</v>
      </c>
      <c r="B161" s="1304"/>
      <c r="C161" s="1304"/>
      <c r="D161" s="1304"/>
      <c r="E161" s="1304"/>
      <c r="F161" s="1304"/>
      <c r="G161" s="1304"/>
      <c r="H161" s="1304"/>
      <c r="I161" s="1304"/>
      <c r="J161" s="1304"/>
      <c r="K161" s="1304"/>
      <c r="L161" s="1304"/>
      <c r="M161" s="1304"/>
      <c r="N161" s="1304"/>
      <c r="O161" s="1304"/>
      <c r="P161" s="1304"/>
      <c r="Q161" s="1304"/>
      <c r="R161" s="1304"/>
      <c r="S161" s="1304"/>
      <c r="T161" s="1304"/>
      <c r="U161" s="1304"/>
      <c r="V161" s="1304"/>
      <c r="W161" s="1304"/>
      <c r="X161" s="1304"/>
      <c r="Y161" s="1304"/>
      <c r="Z161" s="1304"/>
      <c r="AA161" s="1304"/>
      <c r="AB161" s="1304"/>
      <c r="AC161" s="1304"/>
      <c r="AD161" s="1304"/>
      <c r="AE161" s="1304"/>
      <c r="AF161" s="1304"/>
      <c r="AG161" s="1304"/>
      <c r="AH161" s="1304"/>
      <c r="AI161" s="1304"/>
      <c r="AJ161" s="1304"/>
      <c r="AK161" s="1304"/>
      <c r="AL161" s="1304"/>
      <c r="AM161" s="1304"/>
      <c r="AN161" s="1304"/>
      <c r="AO161" s="1304"/>
      <c r="AP161" s="1304"/>
      <c r="AQ161" s="1304"/>
      <c r="AR161" s="1304"/>
      <c r="AS161" s="1304"/>
      <c r="AT161" s="1304"/>
      <c r="AU161" s="1304"/>
      <c r="AV161" s="1304"/>
      <c r="AW161" s="1304"/>
      <c r="AX161" s="1304"/>
      <c r="AY161" s="1304"/>
      <c r="AZ161" s="1304"/>
      <c r="BA161" s="1304"/>
      <c r="BB161" s="1304"/>
      <c r="BC161" s="1304"/>
      <c r="BD161" s="1304"/>
      <c r="BE161" s="1304"/>
      <c r="BF161" s="874"/>
      <c r="BO161" s="974"/>
      <c r="BP161" s="974"/>
    </row>
    <row r="162" spans="1:68" ht="19.5" customHeight="1" x14ac:dyDescent="0.2">
      <c r="A162" s="892" t="str">
        <f>IF(Dados!$W$62=0,$BH$224,"")</f>
        <v>NÃO HOUVE</v>
      </c>
      <c r="B162" s="855"/>
      <c r="C162" s="855"/>
      <c r="D162" s="855"/>
      <c r="E162" s="855"/>
      <c r="F162" s="855"/>
      <c r="G162" s="855"/>
      <c r="H162" s="1305"/>
      <c r="I162" s="1305"/>
      <c r="J162" s="1305"/>
      <c r="K162" s="1305"/>
      <c r="L162" s="1305"/>
      <c r="M162" s="1305"/>
      <c r="N162" s="1305"/>
      <c r="O162" s="1305"/>
      <c r="P162" s="1305"/>
      <c r="Q162" s="1305"/>
      <c r="R162" s="1305"/>
      <c r="S162" s="1305"/>
      <c r="T162" s="1305"/>
      <c r="U162" s="1305"/>
      <c r="V162" s="1305"/>
      <c r="W162" s="1305" t="s">
        <v>181</v>
      </c>
      <c r="X162" s="1305"/>
      <c r="Y162" s="1305"/>
      <c r="Z162" s="1305"/>
      <c r="AA162" s="1305"/>
      <c r="AB162" s="1305"/>
      <c r="AC162" s="1305"/>
      <c r="AD162" s="1305"/>
      <c r="AE162" s="1305"/>
      <c r="AF162" s="1305" t="s">
        <v>182</v>
      </c>
      <c r="AG162" s="1305"/>
      <c r="AH162" s="1305"/>
      <c r="AI162" s="1305"/>
      <c r="AJ162" s="1305"/>
      <c r="AK162" s="1305"/>
      <c r="AL162" s="1305"/>
      <c r="AM162" s="1305"/>
      <c r="AN162" s="1305"/>
      <c r="AO162" s="1305" t="s">
        <v>440</v>
      </c>
      <c r="AP162" s="1305"/>
      <c r="AQ162" s="1305"/>
      <c r="AR162" s="1305"/>
      <c r="AS162" s="1305"/>
      <c r="AT162" s="1305"/>
      <c r="AU162" s="1305"/>
      <c r="AV162" s="1305"/>
      <c r="AW162" s="1305"/>
      <c r="AY162" s="855"/>
      <c r="AZ162" s="855"/>
      <c r="BA162" s="855"/>
      <c r="BB162" s="855"/>
      <c r="BC162" s="855"/>
      <c r="BD162" s="855"/>
      <c r="BE162" s="855"/>
      <c r="BF162" s="874"/>
      <c r="BO162" s="974"/>
      <c r="BP162" s="974"/>
    </row>
    <row r="163" spans="1:68" ht="19.5" customHeight="1" x14ac:dyDescent="0.2">
      <c r="A163" s="892" t="str">
        <f>IF(Dados!$W$62=0,$BH$224,"")</f>
        <v>NÃO HOUVE</v>
      </c>
      <c r="B163" s="855"/>
      <c r="C163" s="855"/>
      <c r="D163" s="855"/>
      <c r="E163" s="855"/>
      <c r="F163" s="855"/>
      <c r="G163" s="855"/>
      <c r="H163" s="1295" t="s">
        <v>1323</v>
      </c>
      <c r="I163" s="1296"/>
      <c r="J163" s="1296"/>
      <c r="K163" s="1296"/>
      <c r="L163" s="1296"/>
      <c r="M163" s="1296"/>
      <c r="N163" s="1296"/>
      <c r="O163" s="1296"/>
      <c r="P163" s="1296"/>
      <c r="Q163" s="1296"/>
      <c r="R163" s="1296"/>
      <c r="S163" s="1296"/>
      <c r="T163" s="1296"/>
      <c r="U163" s="1296"/>
      <c r="V163" s="1297"/>
      <c r="W163" s="1302" t="str">
        <f>Dados!$F$62</f>
        <v/>
      </c>
      <c r="X163" s="1302"/>
      <c r="Y163" s="1302"/>
      <c r="Z163" s="1302"/>
      <c r="AA163" s="1302"/>
      <c r="AB163" s="1302"/>
      <c r="AC163" s="1302"/>
      <c r="AD163" s="1302"/>
      <c r="AE163" s="1302"/>
      <c r="AF163" s="1302" t="str">
        <f>Dados!$I$62</f>
        <v/>
      </c>
      <c r="AG163" s="1302"/>
      <c r="AH163" s="1302"/>
      <c r="AI163" s="1302"/>
      <c r="AJ163" s="1302"/>
      <c r="AK163" s="1302"/>
      <c r="AL163" s="1302"/>
      <c r="AM163" s="1302"/>
      <c r="AN163" s="1302"/>
      <c r="AO163" s="1298" t="e">
        <f>W163+AF163</f>
        <v>#VALUE!</v>
      </c>
      <c r="AP163" s="1298"/>
      <c r="AQ163" s="1298"/>
      <c r="AR163" s="1298"/>
      <c r="AS163" s="1298"/>
      <c r="AT163" s="1298"/>
      <c r="AU163" s="1298"/>
      <c r="AV163" s="1298"/>
      <c r="AW163" s="1298"/>
      <c r="AY163" s="855"/>
      <c r="AZ163" s="855"/>
      <c r="BA163" s="855"/>
      <c r="BB163" s="855"/>
      <c r="BC163" s="855"/>
      <c r="BD163" s="855"/>
      <c r="BE163" s="855"/>
      <c r="BF163" s="874"/>
      <c r="BO163" s="974"/>
      <c r="BP163" s="974"/>
    </row>
    <row r="164" spans="1:68" ht="19.5" customHeight="1" x14ac:dyDescent="0.2">
      <c r="A164" s="892" t="str">
        <f>IF(Dados!$W$62=0,$BH$224,"")</f>
        <v>NÃO HOUVE</v>
      </c>
      <c r="B164" s="855"/>
      <c r="C164" s="855"/>
      <c r="D164" s="855"/>
      <c r="E164" s="855"/>
      <c r="F164" s="855"/>
      <c r="G164" s="855"/>
      <c r="H164" s="1295" t="s">
        <v>1326</v>
      </c>
      <c r="I164" s="1296"/>
      <c r="J164" s="1296"/>
      <c r="K164" s="1296"/>
      <c r="L164" s="1296"/>
      <c r="M164" s="1296"/>
      <c r="N164" s="1296"/>
      <c r="O164" s="1296"/>
      <c r="P164" s="1296"/>
      <c r="Q164" s="1296"/>
      <c r="R164" s="1296"/>
      <c r="S164" s="1296"/>
      <c r="T164" s="1296"/>
      <c r="U164" s="1296"/>
      <c r="V164" s="1297"/>
      <c r="W164" s="1302" t="str">
        <f>Dados!$F$60</f>
        <v/>
      </c>
      <c r="X164" s="1302"/>
      <c r="Y164" s="1302"/>
      <c r="Z164" s="1302"/>
      <c r="AA164" s="1302"/>
      <c r="AB164" s="1302"/>
      <c r="AC164" s="1302"/>
      <c r="AD164" s="1302"/>
      <c r="AE164" s="1302"/>
      <c r="AF164" s="1302" t="str">
        <f>Dados!$I$60</f>
        <v/>
      </c>
      <c r="AG164" s="1302"/>
      <c r="AH164" s="1302"/>
      <c r="AI164" s="1302"/>
      <c r="AJ164" s="1302"/>
      <c r="AK164" s="1302"/>
      <c r="AL164" s="1302"/>
      <c r="AM164" s="1302"/>
      <c r="AN164" s="1302"/>
      <c r="AO164" s="1298" t="e">
        <f>W164+AF164</f>
        <v>#VALUE!</v>
      </c>
      <c r="AP164" s="1298"/>
      <c r="AQ164" s="1298"/>
      <c r="AR164" s="1298"/>
      <c r="AS164" s="1298"/>
      <c r="AT164" s="1298"/>
      <c r="AU164" s="1298"/>
      <c r="AV164" s="1298"/>
      <c r="AW164" s="1298"/>
      <c r="AY164" s="855"/>
      <c r="AZ164" s="855"/>
      <c r="BA164" s="855"/>
      <c r="BB164" s="855"/>
      <c r="BC164" s="855"/>
      <c r="BD164" s="855"/>
      <c r="BE164" s="855"/>
      <c r="BF164" s="874"/>
      <c r="BO164" s="974"/>
      <c r="BP164" s="974"/>
    </row>
    <row r="165" spans="1:68" ht="19.5" customHeight="1" x14ac:dyDescent="0.2">
      <c r="A165" s="892" t="str">
        <f>IF(Dados!$W$62=0,$BH$224,"")</f>
        <v>NÃO HOUVE</v>
      </c>
      <c r="B165" s="855"/>
      <c r="C165" s="855"/>
      <c r="D165" s="855"/>
      <c r="E165" s="855"/>
      <c r="F165" s="855"/>
      <c r="G165" s="855"/>
      <c r="H165" s="1295" t="s">
        <v>1325</v>
      </c>
      <c r="I165" s="1296"/>
      <c r="J165" s="1296"/>
      <c r="K165" s="1296"/>
      <c r="L165" s="1296"/>
      <c r="M165" s="1296"/>
      <c r="N165" s="1296"/>
      <c r="O165" s="1296"/>
      <c r="P165" s="1296"/>
      <c r="Q165" s="1296"/>
      <c r="R165" s="1296"/>
      <c r="S165" s="1296"/>
      <c r="T165" s="1296"/>
      <c r="U165" s="1296"/>
      <c r="V165" s="1297"/>
      <c r="W165" s="1302" t="str">
        <f>IF(Dados!$E$3="","",MOD_2_livre_aplicacao!$P$15)</f>
        <v/>
      </c>
      <c r="X165" s="1302"/>
      <c r="Y165" s="1302"/>
      <c r="Z165" s="1302"/>
      <c r="AA165" s="1302"/>
      <c r="AB165" s="1302"/>
      <c r="AC165" s="1302"/>
      <c r="AD165" s="1302"/>
      <c r="AE165" s="1302"/>
      <c r="AF165" s="1302" t="str">
        <f>IF(Dados!$E$3="","",MOD_2_livre_aplicacao!$P$16)</f>
        <v/>
      </c>
      <c r="AG165" s="1302"/>
      <c r="AH165" s="1302"/>
      <c r="AI165" s="1302"/>
      <c r="AJ165" s="1302"/>
      <c r="AK165" s="1302"/>
      <c r="AL165" s="1302"/>
      <c r="AM165" s="1302"/>
      <c r="AN165" s="1302"/>
      <c r="AO165" s="1298" t="e">
        <f>W165+AF165</f>
        <v>#VALUE!</v>
      </c>
      <c r="AP165" s="1298"/>
      <c r="AQ165" s="1298"/>
      <c r="AR165" s="1298"/>
      <c r="AS165" s="1298"/>
      <c r="AT165" s="1298"/>
      <c r="AU165" s="1298"/>
      <c r="AV165" s="1298"/>
      <c r="AW165" s="1298"/>
      <c r="AY165" s="855"/>
      <c r="AZ165" s="855"/>
      <c r="BA165" s="855"/>
      <c r="BB165" s="855"/>
      <c r="BC165" s="855"/>
      <c r="BD165" s="855"/>
      <c r="BE165" s="855"/>
      <c r="BF165" s="874"/>
      <c r="BO165" s="974"/>
      <c r="BP165" s="974"/>
    </row>
    <row r="166" spans="1:68" ht="19.5" customHeight="1" x14ac:dyDescent="0.2">
      <c r="A166" s="892" t="str">
        <f>IF(Dados!$W$62=0,$BH$224,"")</f>
        <v>NÃO HOUVE</v>
      </c>
      <c r="B166" s="855"/>
      <c r="C166" s="855"/>
      <c r="D166" s="855"/>
      <c r="E166" s="855"/>
      <c r="F166" s="855"/>
      <c r="G166" s="855"/>
      <c r="H166" s="1295" t="s">
        <v>1324</v>
      </c>
      <c r="I166" s="1296"/>
      <c r="J166" s="1296"/>
      <c r="K166" s="1296"/>
      <c r="L166" s="1296"/>
      <c r="M166" s="1296"/>
      <c r="N166" s="1296"/>
      <c r="O166" s="1296"/>
      <c r="P166" s="1296"/>
      <c r="Q166" s="1296"/>
      <c r="R166" s="1296"/>
      <c r="S166" s="1296"/>
      <c r="T166" s="1296"/>
      <c r="U166" s="1296"/>
      <c r="V166" s="1297"/>
      <c r="W166" s="1298" t="e">
        <f>SUM(W163:AE164)-W165</f>
        <v>#VALUE!</v>
      </c>
      <c r="X166" s="1298"/>
      <c r="Y166" s="1298"/>
      <c r="Z166" s="1298"/>
      <c r="AA166" s="1298"/>
      <c r="AB166" s="1298"/>
      <c r="AC166" s="1298"/>
      <c r="AD166" s="1298"/>
      <c r="AE166" s="1298"/>
      <c r="AF166" s="1298" t="e">
        <f>SUM(AF163:AN164)-AF165</f>
        <v>#VALUE!</v>
      </c>
      <c r="AG166" s="1298"/>
      <c r="AH166" s="1298"/>
      <c r="AI166" s="1298"/>
      <c r="AJ166" s="1298"/>
      <c r="AK166" s="1298"/>
      <c r="AL166" s="1298"/>
      <c r="AM166" s="1298"/>
      <c r="AN166" s="1298"/>
      <c r="AO166" s="1298" t="e">
        <f>W166+AF166</f>
        <v>#VALUE!</v>
      </c>
      <c r="AP166" s="1298"/>
      <c r="AQ166" s="1298"/>
      <c r="AR166" s="1298"/>
      <c r="AS166" s="1298"/>
      <c r="AT166" s="1298"/>
      <c r="AU166" s="1298"/>
      <c r="AV166" s="1298"/>
      <c r="AW166" s="1298"/>
      <c r="AY166" s="855"/>
      <c r="AZ166" s="855"/>
      <c r="BA166" s="855"/>
      <c r="BB166" s="855"/>
      <c r="BC166" s="855"/>
      <c r="BD166" s="855"/>
      <c r="BE166" s="855"/>
      <c r="BF166" s="874"/>
      <c r="BO166" s="974"/>
      <c r="BP166" s="974"/>
    </row>
    <row r="167" spans="1:68" ht="19.5" customHeight="1" x14ac:dyDescent="0.2">
      <c r="A167" s="892" t="str">
        <f>IF(Dados!$W$62=0,$BH$224,"")</f>
        <v>NÃO HOUVE</v>
      </c>
      <c r="B167" s="855"/>
      <c r="C167" s="855"/>
      <c r="D167" s="855"/>
      <c r="E167" s="855"/>
      <c r="F167" s="855"/>
      <c r="G167" s="855"/>
      <c r="H167" s="855"/>
      <c r="I167" s="855"/>
      <c r="J167" s="855"/>
      <c r="K167" s="855"/>
      <c r="L167" s="855"/>
      <c r="M167" s="855"/>
      <c r="N167" s="855"/>
      <c r="O167" s="855"/>
      <c r="P167" s="855"/>
      <c r="Q167" s="855"/>
      <c r="R167" s="855"/>
      <c r="S167" s="855"/>
      <c r="T167" s="855"/>
      <c r="U167" s="855"/>
      <c r="V167" s="855"/>
      <c r="W167" s="855"/>
      <c r="X167" s="855"/>
      <c r="Y167" s="855"/>
      <c r="Z167" s="855"/>
      <c r="AA167" s="855"/>
      <c r="AB167" s="855"/>
      <c r="AC167" s="855"/>
      <c r="AD167" s="855"/>
      <c r="AE167" s="855"/>
      <c r="AF167" s="855"/>
      <c r="AG167" s="855"/>
      <c r="AH167" s="855"/>
      <c r="AI167" s="855"/>
      <c r="AJ167" s="855"/>
      <c r="AK167" s="855"/>
      <c r="AL167" s="855"/>
      <c r="AM167" s="855"/>
      <c r="AN167" s="855"/>
      <c r="AO167" s="855"/>
      <c r="AP167" s="855"/>
      <c r="AQ167" s="855"/>
      <c r="AR167" s="855"/>
      <c r="AS167" s="855"/>
      <c r="AT167" s="855"/>
      <c r="AU167" s="855"/>
      <c r="AV167" s="855"/>
      <c r="AW167" s="855"/>
      <c r="AX167" s="855"/>
      <c r="AY167" s="855"/>
      <c r="AZ167" s="855"/>
      <c r="BA167" s="855"/>
      <c r="BB167" s="855"/>
      <c r="BC167" s="855"/>
      <c r="BD167" s="855"/>
      <c r="BE167" s="855"/>
      <c r="BF167" s="874"/>
      <c r="BO167" s="974"/>
      <c r="BP167" s="974"/>
    </row>
    <row r="168" spans="1:68" ht="19.5" customHeight="1" x14ac:dyDescent="0.2">
      <c r="A168" s="888" t="str">
        <f>IF(Dados!$W$62=0,$BH$224,"")</f>
        <v>NÃO HOUVE</v>
      </c>
      <c r="B168" s="1299" t="str">
        <f>IF($W$165=0,$BH$41,$BH$39)</f>
        <v>- As aquisições com os recursos de custeio foram da ordem de</v>
      </c>
      <c r="C168" s="1299"/>
      <c r="D168" s="1299"/>
      <c r="E168" s="1299"/>
      <c r="F168" s="1299"/>
      <c r="G168" s="1299"/>
      <c r="H168" s="1299"/>
      <c r="I168" s="1299"/>
      <c r="J168" s="1299"/>
      <c r="K168" s="1299"/>
      <c r="L168" s="1299"/>
      <c r="M168" s="1299"/>
      <c r="N168" s="1299"/>
      <c r="O168" s="1299"/>
      <c r="P168" s="1299"/>
      <c r="Q168" s="1299"/>
      <c r="R168" s="1299"/>
      <c r="S168" s="1299"/>
      <c r="T168" s="1299"/>
      <c r="U168" s="1299"/>
      <c r="V168" s="1299"/>
      <c r="W168" s="1299"/>
      <c r="X168" s="1299"/>
      <c r="Y168" s="1299"/>
      <c r="Z168" s="1299"/>
      <c r="AA168" s="1299"/>
      <c r="AB168" s="1299"/>
      <c r="AC168" s="1299"/>
      <c r="AD168" s="1299"/>
      <c r="AE168" s="1299"/>
      <c r="AF168" s="1299"/>
      <c r="AG168" s="1300" t="str">
        <f>IF($W$165=0,"",$W$165)</f>
        <v/>
      </c>
      <c r="AH168" s="1300"/>
      <c r="AI168" s="1300"/>
      <c r="AJ168" s="1300"/>
      <c r="AK168" s="1300"/>
      <c r="AL168" s="1300"/>
      <c r="AM168" s="1300"/>
      <c r="AN168" s="1300"/>
      <c r="AO168" s="1300"/>
      <c r="AP168" s="1300"/>
      <c r="AQ168" s="1289" t="str">
        <f>IF($W$165&gt;0,$BI$39,"")</f>
        <v>e relacionadas a seguir:</v>
      </c>
      <c r="AR168" s="1289"/>
      <c r="AS168" s="1289"/>
      <c r="AT168" s="1289"/>
      <c r="AU168" s="1289"/>
      <c r="AV168" s="1289"/>
      <c r="AW168" s="1289"/>
      <c r="AX168" s="1289"/>
      <c r="AY168" s="1289"/>
      <c r="AZ168" s="1289"/>
      <c r="BA168" s="1289"/>
      <c r="BB168" s="1289"/>
      <c r="BC168" s="1289"/>
      <c r="BD168" s="1289"/>
      <c r="BE168" s="683"/>
      <c r="BF168" s="874"/>
      <c r="BO168" s="974"/>
      <c r="BP168" s="974"/>
    </row>
    <row r="169" spans="1:68" ht="36.75" hidden="1" customHeight="1" x14ac:dyDescent="0.2">
      <c r="A169" s="885" t="str">
        <f>IF(Dados!$W$62=0,$BH$224,IF($W$165=0,$BH$224,IF($B$169&gt;0,"Aumente ou diminua a altura da linha 169")))</f>
        <v>NÃO HOUVE</v>
      </c>
      <c r="B169" s="1290" t="str">
        <f>IF(Despesas!$GZ$1=0,"",Despesas!$GZ$1)</f>
        <v/>
      </c>
      <c r="C169" s="1290"/>
      <c r="D169" s="1290"/>
      <c r="E169" s="1290"/>
      <c r="F169" s="1290"/>
      <c r="G169" s="1290"/>
      <c r="H169" s="1290"/>
      <c r="I169" s="1290"/>
      <c r="J169" s="1290"/>
      <c r="K169" s="1290"/>
      <c r="L169" s="1290"/>
      <c r="M169" s="1290"/>
      <c r="N169" s="1290"/>
      <c r="O169" s="1290"/>
      <c r="P169" s="1290"/>
      <c r="Q169" s="1290"/>
      <c r="R169" s="1290"/>
      <c r="S169" s="1290"/>
      <c r="T169" s="1290"/>
      <c r="U169" s="1290"/>
      <c r="V169" s="1290"/>
      <c r="W169" s="1290"/>
      <c r="X169" s="1290"/>
      <c r="Y169" s="1290"/>
      <c r="Z169" s="1290"/>
      <c r="AA169" s="1290"/>
      <c r="AB169" s="1290"/>
      <c r="AC169" s="1290"/>
      <c r="AD169" s="1290"/>
      <c r="AE169" s="1290"/>
      <c r="AF169" s="1290"/>
      <c r="AG169" s="1290"/>
      <c r="AH169" s="1290"/>
      <c r="AI169" s="1290"/>
      <c r="AJ169" s="1290"/>
      <c r="AK169" s="1290"/>
      <c r="AL169" s="1290"/>
      <c r="AM169" s="1290"/>
      <c r="AN169" s="1290"/>
      <c r="AO169" s="1290"/>
      <c r="AP169" s="1290"/>
      <c r="AQ169" s="1290"/>
      <c r="AR169" s="1290"/>
      <c r="AS169" s="1290"/>
      <c r="AT169" s="1290"/>
      <c r="AU169" s="1290"/>
      <c r="AV169" s="1290"/>
      <c r="AW169" s="1290"/>
      <c r="AX169" s="1290"/>
      <c r="AY169" s="1290"/>
      <c r="AZ169" s="1290"/>
      <c r="BA169" s="1290"/>
      <c r="BB169" s="1290"/>
      <c r="BC169" s="1290"/>
      <c r="BD169" s="1290"/>
      <c r="BE169" s="1290"/>
      <c r="BF169" s="874"/>
      <c r="BO169" s="974"/>
      <c r="BP169" s="974"/>
    </row>
    <row r="170" spans="1:68" ht="19.5" customHeight="1" x14ac:dyDescent="0.2">
      <c r="A170" s="888" t="str">
        <f>IF(Dados!$W$62=0,$BH$224,"")</f>
        <v>NÃO HOUVE</v>
      </c>
      <c r="B170" s="1301" t="str">
        <f>IF($AF$165=0,$BH$42,$BH$40)</f>
        <v>- As aquisições com os recursos de capital foram da ordem de</v>
      </c>
      <c r="C170" s="1299"/>
      <c r="D170" s="1299"/>
      <c r="E170" s="1299"/>
      <c r="F170" s="1299"/>
      <c r="G170" s="1299"/>
      <c r="H170" s="1299"/>
      <c r="I170" s="1299"/>
      <c r="J170" s="1299"/>
      <c r="K170" s="1299"/>
      <c r="L170" s="1299"/>
      <c r="M170" s="1299"/>
      <c r="N170" s="1299"/>
      <c r="O170" s="1299"/>
      <c r="P170" s="1299"/>
      <c r="Q170" s="1299"/>
      <c r="R170" s="1299"/>
      <c r="S170" s="1299"/>
      <c r="T170" s="1299"/>
      <c r="U170" s="1299"/>
      <c r="V170" s="1299"/>
      <c r="W170" s="1299"/>
      <c r="X170" s="1299"/>
      <c r="Y170" s="1299"/>
      <c r="Z170" s="1299"/>
      <c r="AA170" s="1299"/>
      <c r="AB170" s="1299"/>
      <c r="AC170" s="1299"/>
      <c r="AD170" s="1299"/>
      <c r="AE170" s="1299"/>
      <c r="AF170" s="1299"/>
      <c r="AG170" s="1300" t="str">
        <f>IF($AF$165=0,"",$AF$165)</f>
        <v/>
      </c>
      <c r="AH170" s="1300"/>
      <c r="AI170" s="1300"/>
      <c r="AJ170" s="1300"/>
      <c r="AK170" s="1300"/>
      <c r="AL170" s="1300"/>
      <c r="AM170" s="1300"/>
      <c r="AN170" s="1300"/>
      <c r="AO170" s="1300"/>
      <c r="AP170" s="1300"/>
      <c r="AQ170" s="1289" t="str">
        <f>IF($AF$165&gt;0,$BI$39,"")</f>
        <v>e relacionadas a seguir:</v>
      </c>
      <c r="AR170" s="1289"/>
      <c r="AS170" s="1289"/>
      <c r="AT170" s="1289"/>
      <c r="AU170" s="1289"/>
      <c r="AV170" s="1289"/>
      <c r="AW170" s="1289"/>
      <c r="AX170" s="1289"/>
      <c r="AY170" s="1289"/>
      <c r="AZ170" s="1289"/>
      <c r="BA170" s="1289"/>
      <c r="BB170" s="1289"/>
      <c r="BC170" s="1289"/>
      <c r="BD170" s="1289"/>
      <c r="BE170" s="174"/>
      <c r="BF170" s="874"/>
      <c r="BO170" s="974"/>
      <c r="BP170" s="974"/>
    </row>
    <row r="171" spans="1:68" ht="19.5" hidden="1" customHeight="1" x14ac:dyDescent="0.2">
      <c r="A171" s="885" t="str">
        <f>IF(Dados!$W$62=0,$BH$224,IF($AF$165=0,$BH$224,IF($B$171&gt;0,"Aumente ou diminua a altura da linha 171")))</f>
        <v>NÃO HOUVE</v>
      </c>
      <c r="B171" s="1290" t="str">
        <f>IF(Despesas!$GZ$2=0,"",Despesas!$GZ$2)</f>
        <v/>
      </c>
      <c r="C171" s="1290"/>
      <c r="D171" s="1290"/>
      <c r="E171" s="1290"/>
      <c r="F171" s="1290"/>
      <c r="G171" s="1290"/>
      <c r="H171" s="1290"/>
      <c r="I171" s="1290"/>
      <c r="J171" s="1290"/>
      <c r="K171" s="1290"/>
      <c r="L171" s="1290"/>
      <c r="M171" s="1290"/>
      <c r="N171" s="1290"/>
      <c r="O171" s="1290"/>
      <c r="P171" s="1290"/>
      <c r="Q171" s="1290"/>
      <c r="R171" s="1290"/>
      <c r="S171" s="1290"/>
      <c r="T171" s="1290"/>
      <c r="U171" s="1290"/>
      <c r="V171" s="1290"/>
      <c r="W171" s="1290"/>
      <c r="X171" s="1290"/>
      <c r="Y171" s="1290"/>
      <c r="Z171" s="1290"/>
      <c r="AA171" s="1290"/>
      <c r="AB171" s="1290"/>
      <c r="AC171" s="1290"/>
      <c r="AD171" s="1290"/>
      <c r="AE171" s="1290"/>
      <c r="AF171" s="1290"/>
      <c r="AG171" s="1290"/>
      <c r="AH171" s="1290"/>
      <c r="AI171" s="1290"/>
      <c r="AJ171" s="1290"/>
      <c r="AK171" s="1290"/>
      <c r="AL171" s="1290"/>
      <c r="AM171" s="1290"/>
      <c r="AN171" s="1290"/>
      <c r="AO171" s="1290"/>
      <c r="AP171" s="1290"/>
      <c r="AQ171" s="1290"/>
      <c r="AR171" s="1290"/>
      <c r="AS171" s="1290"/>
      <c r="AT171" s="1290"/>
      <c r="AU171" s="1290"/>
      <c r="AV171" s="1290"/>
      <c r="AW171" s="1290"/>
      <c r="AX171" s="1290"/>
      <c r="AY171" s="1290"/>
      <c r="AZ171" s="1290"/>
      <c r="BA171" s="1290"/>
      <c r="BB171" s="1290"/>
      <c r="BC171" s="1290"/>
      <c r="BD171" s="1290"/>
      <c r="BE171" s="1290"/>
      <c r="BF171" s="874"/>
      <c r="BO171" s="974"/>
      <c r="BP171" s="974"/>
    </row>
    <row r="172" spans="1:68" ht="19.5" hidden="1" customHeight="1" x14ac:dyDescent="0.2">
      <c r="A172" s="885" t="str">
        <f>IF(Dados!$W$62=0,$BH$224,IF(AND($W$165=0,$AF$165=0),$BH$224,IF($B$172="","Observações se houverem","Aumente ou diminua a altura da linha 172")))</f>
        <v>NÃO HOUVE</v>
      </c>
      <c r="B172" s="1291"/>
      <c r="C172" s="1292"/>
      <c r="D172" s="1292"/>
      <c r="E172" s="1292"/>
      <c r="F172" s="1292"/>
      <c r="G172" s="1292"/>
      <c r="H172" s="1292"/>
      <c r="I172" s="1292"/>
      <c r="J172" s="1292"/>
      <c r="K172" s="1292"/>
      <c r="L172" s="1292"/>
      <c r="M172" s="1292"/>
      <c r="N172" s="1292"/>
      <c r="O172" s="1292"/>
      <c r="P172" s="1292"/>
      <c r="Q172" s="1292"/>
      <c r="R172" s="1292"/>
      <c r="S172" s="1292"/>
      <c r="T172" s="1292"/>
      <c r="U172" s="1292"/>
      <c r="V172" s="1292"/>
      <c r="W172" s="1292"/>
      <c r="X172" s="1292"/>
      <c r="Y172" s="1292"/>
      <c r="Z172" s="1292"/>
      <c r="AA172" s="1292"/>
      <c r="AB172" s="1292"/>
      <c r="AC172" s="1292"/>
      <c r="AD172" s="1292"/>
      <c r="AE172" s="1292"/>
      <c r="AF172" s="1292"/>
      <c r="AG172" s="1292"/>
      <c r="AH172" s="1292"/>
      <c r="AI172" s="1292"/>
      <c r="AJ172" s="1292"/>
      <c r="AK172" s="1292"/>
      <c r="AL172" s="1292"/>
      <c r="AM172" s="1292"/>
      <c r="AN172" s="1292"/>
      <c r="AO172" s="1292"/>
      <c r="AP172" s="1292"/>
      <c r="AQ172" s="1292"/>
      <c r="AR172" s="1292"/>
      <c r="AS172" s="1292"/>
      <c r="AT172" s="1292"/>
      <c r="AU172" s="1292"/>
      <c r="AV172" s="1292"/>
      <c r="AW172" s="1292"/>
      <c r="AX172" s="1292"/>
      <c r="AY172" s="1292"/>
      <c r="AZ172" s="1292"/>
      <c r="BA172" s="1292"/>
      <c r="BB172" s="1292"/>
      <c r="BC172" s="1292"/>
      <c r="BD172" s="1292"/>
      <c r="BE172" s="1292"/>
      <c r="BF172" s="874"/>
      <c r="BO172" s="974"/>
      <c r="BP172" s="974"/>
    </row>
    <row r="173" spans="1:68" ht="19.5" hidden="1" customHeight="1" x14ac:dyDescent="0.2">
      <c r="A173" s="894" t="str">
        <f>IF(AND($A$174=$BK$46,$A$175=$BK$46),$BK$46,$BK$47)</f>
        <v>NÃO HOUVE</v>
      </c>
      <c r="B173" s="1293"/>
      <c r="C173" s="1293"/>
      <c r="D173" s="1293"/>
      <c r="E173" s="1293"/>
      <c r="F173" s="1293"/>
      <c r="G173" s="1293"/>
      <c r="H173" s="1293"/>
      <c r="I173" s="1293"/>
      <c r="J173" s="1293"/>
      <c r="K173" s="1293"/>
      <c r="L173" s="1293"/>
      <c r="M173" s="1293"/>
      <c r="N173" s="1293"/>
      <c r="O173" s="1293"/>
      <c r="P173" s="1293"/>
      <c r="Q173" s="1293"/>
      <c r="R173" s="1293"/>
      <c r="S173" s="1293"/>
      <c r="T173" s="1293"/>
      <c r="U173" s="1293"/>
      <c r="V173" s="1293"/>
      <c r="W173" s="1293"/>
      <c r="X173" s="1293"/>
      <c r="Y173" s="1293"/>
      <c r="Z173" s="1293"/>
      <c r="AA173" s="1293"/>
      <c r="AB173" s="1293"/>
      <c r="AC173" s="1293"/>
      <c r="AD173" s="1293"/>
      <c r="AE173" s="1293"/>
      <c r="AF173" s="1293"/>
      <c r="AG173" s="1293"/>
      <c r="AH173" s="1293"/>
      <c r="AI173" s="1293"/>
      <c r="AJ173" s="1293"/>
      <c r="AK173" s="1293"/>
      <c r="AL173" s="1293"/>
      <c r="AM173" s="1293"/>
      <c r="AN173" s="1293"/>
      <c r="AO173" s="1293"/>
      <c r="AP173" s="1293"/>
      <c r="AQ173" s="1293"/>
      <c r="AR173" s="1293"/>
      <c r="AS173" s="1293"/>
      <c r="AT173" s="1293"/>
      <c r="AU173" s="1293"/>
      <c r="AV173" s="1293"/>
      <c r="AW173" s="1293"/>
      <c r="AX173" s="1293"/>
      <c r="AY173" s="1293"/>
      <c r="AZ173" s="1293"/>
      <c r="BA173" s="1293"/>
      <c r="BB173" s="1293"/>
      <c r="BC173" s="1293"/>
      <c r="BD173" s="1293"/>
      <c r="BE173" s="1293"/>
      <c r="BF173" s="874"/>
      <c r="BO173" s="974"/>
      <c r="BP173" s="974"/>
    </row>
    <row r="174" spans="1:68" ht="19.5" hidden="1" customHeight="1" x14ac:dyDescent="0.2">
      <c r="A174" s="887" t="str">
        <f>IF(Dados!$W$62=0,$BH$224,IF(AND($BW$69=0,$BX$69=0),$BH$224,IF(AND($BW$69&gt;0,$BX$69=0),$BH$226,IF(AND($BW$69=0,$BX$69&gt;0),$BH$227,IF(AND($BW$69&gt;0,$BX$69&gt;0),$BH$228)))))</f>
        <v>NÃO HOUVE</v>
      </c>
      <c r="B174" s="1286" t="str">
        <f>IF(AND($BW$69=0,$BX$69=0),"",$BG$72)</f>
        <v/>
      </c>
      <c r="C174" s="1286"/>
      <c r="D174" s="1286"/>
      <c r="E174" s="1286"/>
      <c r="F174" s="1286"/>
      <c r="G174" s="1286"/>
      <c r="H174" s="1286"/>
      <c r="I174" s="1286"/>
      <c r="J174" s="1286"/>
      <c r="K174" s="1286"/>
      <c r="L174" s="1286"/>
      <c r="M174" s="1286"/>
      <c r="N174" s="1286"/>
      <c r="O174" s="1286"/>
      <c r="P174" s="1286"/>
      <c r="Q174" s="1286"/>
      <c r="R174" s="1294" t="str">
        <f>IF(AND($BQ$69=0,$BR$69=0),"",IF(AND($BQ$69=0,$BR$69&gt;0),"",IF(AND($BQ$69&gt;0,$BR$69=0),$BQ$69,IF(AND($BQ$69&gt;0,$BR$69&gt;0),$BQ$69))))</f>
        <v/>
      </c>
      <c r="S174" s="1294"/>
      <c r="T174" s="1294"/>
      <c r="U174" s="1294"/>
      <c r="V174" s="1294"/>
      <c r="W174" s="1294"/>
      <c r="X174" s="1294"/>
      <c r="Y174" s="1288" t="str">
        <f>IF(AND($BQ$69=0,$BR$69=0),"",IF(AND($BQ$69=0,$BR$69&gt;0),"",IF(AND($BQ$69&gt;0,$BR$69=0),$BQ$70,IF(AND($BQ$69&gt;0,$BR$69&gt;0),$BQ$70))))</f>
        <v/>
      </c>
      <c r="Z174" s="1288"/>
      <c r="AA174" s="1288"/>
      <c r="AB174" s="1288"/>
      <c r="AC174" s="1288"/>
      <c r="AD174" s="1288"/>
      <c r="AE174" s="1288"/>
      <c r="AF174" s="1288"/>
      <c r="AG174" s="1288"/>
      <c r="AH174" s="1288"/>
      <c r="AI174" s="1288"/>
      <c r="AJ174" s="1288"/>
      <c r="AK174" s="1288"/>
      <c r="AL174" s="1294" t="str">
        <f>IF(AND($BQ$69=0,$BR$69=0),"",IF(AND($BQ$69=0,$BR$69&gt;0),$BR$69,IF(AND($BQ$69&gt;0,$BR$69=0),"",IF(AND($BQ$69&gt;0,$BR$69&gt;0),$BR$69))))</f>
        <v/>
      </c>
      <c r="AM174" s="1294"/>
      <c r="AN174" s="1294"/>
      <c r="AO174" s="1294"/>
      <c r="AP174" s="1294"/>
      <c r="AQ174" s="1294"/>
      <c r="AR174" s="1294"/>
      <c r="AS174" s="1289" t="str">
        <f>IF(AND($BQ$69=0,$BR$69=0),"",IF(AND($BQ$69=0,$BR$69&gt;0),$BR$70,IF(AND($BQ$69&gt;0,$BR$69=0),"",IF(AND($BQ$69&gt;0,$BR$69&gt;0),$BR$70))))</f>
        <v/>
      </c>
      <c r="AT174" s="1289"/>
      <c r="AU174" s="1289"/>
      <c r="AV174" s="1289"/>
      <c r="AW174" s="1289"/>
      <c r="AX174" s="1289"/>
      <c r="AY174" s="1289"/>
      <c r="AZ174" s="1289"/>
      <c r="BA174" s="1289"/>
      <c r="BB174" s="1289"/>
      <c r="BC174" s="1289"/>
      <c r="BD174" s="1289"/>
      <c r="BE174" s="1289"/>
      <c r="BF174" s="874"/>
      <c r="BO174" s="974"/>
      <c r="BP174" s="974"/>
    </row>
    <row r="175" spans="1:68" ht="19.5" hidden="1" customHeight="1" x14ac:dyDescent="0.2">
      <c r="A175" s="887" t="str">
        <f>IF(Dados!$W$62=0,$BH$224,IF(AND($BW$66=0,$BX$66=0),$BH$224,IF(AND($BW$66&gt;0,$BX$66=0),$BH$226,IF(AND($BW$66=0,$BX$66&gt;0),$BH$227,IF(AND($BW$66&gt;0,$BX$66&gt;0),$BH$228)))))</f>
        <v>NÃO HOUVE</v>
      </c>
      <c r="B175" s="1286" t="str">
        <f>IF(OR($A$175=$BH$224,$A$175=$BH$225),"",$BG$72)</f>
        <v/>
      </c>
      <c r="C175" s="1286"/>
      <c r="D175" s="1286"/>
      <c r="E175" s="1286"/>
      <c r="F175" s="1286"/>
      <c r="G175" s="1286"/>
      <c r="H175" s="1286"/>
      <c r="I175" s="1286"/>
      <c r="J175" s="1286"/>
      <c r="K175" s="1286"/>
      <c r="L175" s="1286"/>
      <c r="M175" s="1286"/>
      <c r="N175" s="1286"/>
      <c r="O175" s="1286"/>
      <c r="P175" s="1286"/>
      <c r="Q175" s="1286"/>
      <c r="R175" s="1294" t="e">
        <f>IF(AND($BQ$66=0,$BR$66=0),"",IF(AND($BQ$66=0,$BR$66&gt;0),$BR$66,IF(AND($BQ$66&gt;0,$BR$66=0),$BQ$66,IF(AND($BQ$66&gt;0,$BR$66&gt;0),$BQ$66))))</f>
        <v>#VALUE!</v>
      </c>
      <c r="S175" s="1294"/>
      <c r="T175" s="1294"/>
      <c r="U175" s="1294"/>
      <c r="V175" s="1294"/>
      <c r="W175" s="1294"/>
      <c r="X175" s="1294"/>
      <c r="Y175" s="1288" t="str">
        <f>IF(OR($A$118=$BH$224,$A$118=$BH$225),"",IF($A$118=$BH$226,$BH$45,IF($A$118=$BH$227,"",IF($A$118=$BH$228,$BH$46))))</f>
        <v/>
      </c>
      <c r="Z175" s="1288"/>
      <c r="AA175" s="1288"/>
      <c r="AB175" s="1288"/>
      <c r="AC175" s="1288"/>
      <c r="AD175" s="1288"/>
      <c r="AE175" s="1288"/>
      <c r="AF175" s="1288"/>
      <c r="AG175" s="1288"/>
      <c r="AH175" s="1288"/>
      <c r="AI175" s="1288"/>
      <c r="AJ175" s="1288"/>
      <c r="AK175" s="1288"/>
      <c r="AL175" s="1294" t="e">
        <f>IF(AND($BQ$66=0,$BR$66=0),"",IF(AND($BQ$66=0,$BR$66&gt;0),"",IF(AND($BQ$66&gt;0,$BR$66=0),"",IF(AND($BQ$66&gt;0,$BR$66&gt;0),$BR$66))))</f>
        <v>#VALUE!</v>
      </c>
      <c r="AM175" s="1294"/>
      <c r="AN175" s="1294"/>
      <c r="AO175" s="1294"/>
      <c r="AP175" s="1294"/>
      <c r="AQ175" s="1294"/>
      <c r="AR175" s="1294"/>
      <c r="AS175" s="1289" t="str">
        <f>IF(OR($A$118=$BH$224,$A$118=$BH$225,$A$118=$BH$226),"",$BH$47)</f>
        <v/>
      </c>
      <c r="AT175" s="1289"/>
      <c r="AU175" s="1289"/>
      <c r="AV175" s="1289"/>
      <c r="AW175" s="1289"/>
      <c r="AX175" s="1289"/>
      <c r="AY175" s="1289"/>
      <c r="AZ175" s="1289"/>
      <c r="BA175" s="1289"/>
      <c r="BB175" s="1289"/>
      <c r="BC175" s="1289"/>
      <c r="BD175" s="1289"/>
      <c r="BE175" s="1289"/>
      <c r="BF175" s="874"/>
      <c r="BO175" s="974"/>
      <c r="BP175" s="974"/>
    </row>
    <row r="176" spans="1:68" ht="19.5" customHeight="1" x14ac:dyDescent="0.2">
      <c r="A176" s="970" t="s">
        <v>1386</v>
      </c>
      <c r="B176" s="1286" t="str">
        <f>IF($A$176=$BH$230,"",$BG$72)</f>
        <v/>
      </c>
      <c r="C176" s="1286"/>
      <c r="D176" s="1286"/>
      <c r="E176" s="1286"/>
      <c r="F176" s="1286"/>
      <c r="G176" s="1286"/>
      <c r="H176" s="1286"/>
      <c r="I176" s="1286"/>
      <c r="J176" s="1286"/>
      <c r="K176" s="1286"/>
      <c r="L176" s="1286"/>
      <c r="M176" s="1286"/>
      <c r="N176" s="1286"/>
      <c r="O176" s="1286"/>
      <c r="P176" s="1286"/>
      <c r="Q176" s="1286"/>
      <c r="R176" s="1287"/>
      <c r="S176" s="1287"/>
      <c r="T176" s="1287"/>
      <c r="U176" s="1287"/>
      <c r="V176" s="1287"/>
      <c r="W176" s="1287"/>
      <c r="X176" s="1287"/>
      <c r="Y176" s="1288" t="str">
        <f>IF($A$119=$BH$230,"",IF($A$119=$BH$226,$BH$45,IF($A$119=$BH$227,"",IF($A$119=$BH$228,$BH$46))))</f>
        <v/>
      </c>
      <c r="Z176" s="1288"/>
      <c r="AA176" s="1288"/>
      <c r="AB176" s="1288"/>
      <c r="AC176" s="1288"/>
      <c r="AD176" s="1288"/>
      <c r="AE176" s="1288"/>
      <c r="AF176" s="1288"/>
      <c r="AG176" s="1288"/>
      <c r="AH176" s="1288"/>
      <c r="AI176" s="1288"/>
      <c r="AJ176" s="1288"/>
      <c r="AK176" s="1288"/>
      <c r="AL176" s="1287"/>
      <c r="AM176" s="1287"/>
      <c r="AN176" s="1287"/>
      <c r="AO176" s="1287"/>
      <c r="AP176" s="1287"/>
      <c r="AQ176" s="1287"/>
      <c r="AR176" s="1287"/>
      <c r="AS176" s="1289" t="str">
        <f>IF(OR($A$119=$BH$230,$A$119=$BH$231),"",$BH$47)</f>
        <v/>
      </c>
      <c r="AT176" s="1289"/>
      <c r="AU176" s="1289"/>
      <c r="AV176" s="1289"/>
      <c r="AW176" s="1289"/>
      <c r="AX176" s="1289"/>
      <c r="AY176" s="1289"/>
      <c r="AZ176" s="1289"/>
      <c r="BA176" s="1289"/>
      <c r="BB176" s="1289"/>
      <c r="BC176" s="1289"/>
      <c r="BD176" s="1289"/>
      <c r="BE176" s="1289"/>
      <c r="BF176" s="874"/>
      <c r="BO176" s="974"/>
      <c r="BP176" s="974"/>
    </row>
    <row r="177" spans="1:68" ht="19.5" hidden="1" customHeight="1" x14ac:dyDescent="0.2">
      <c r="A177" s="895" t="str">
        <f>IF(AND($A$174=$BH$224,$A$175=$BH$224,$A$176=$BH$230),$BH$224,$BH$221)</f>
        <v>NÃO HOUVE</v>
      </c>
      <c r="B177" s="1274"/>
      <c r="C177" s="1274"/>
      <c r="D177" s="1274"/>
      <c r="E177" s="1274"/>
      <c r="F177" s="1274"/>
      <c r="G177" s="1274"/>
      <c r="H177" s="1274"/>
      <c r="I177" s="1274"/>
      <c r="J177" s="1274"/>
      <c r="K177" s="1274"/>
      <c r="L177" s="1274"/>
      <c r="M177" s="1274"/>
      <c r="N177" s="1274"/>
      <c r="O177" s="1274"/>
      <c r="P177" s="1274"/>
      <c r="Q177" s="1274"/>
      <c r="R177" s="1274"/>
      <c r="S177" s="1274"/>
      <c r="T177" s="1274"/>
      <c r="U177" s="1274"/>
      <c r="V177" s="1274"/>
      <c r="W177" s="1274"/>
      <c r="X177" s="1274"/>
      <c r="Y177" s="1274"/>
      <c r="Z177" s="1274"/>
      <c r="AA177" s="1274"/>
      <c r="AB177" s="1274"/>
      <c r="AC177" s="1274"/>
      <c r="AD177" s="1274"/>
      <c r="AE177" s="1274"/>
      <c r="AF177" s="1274"/>
      <c r="AG177" s="1274"/>
      <c r="AH177" s="1274"/>
      <c r="AI177" s="1274"/>
      <c r="AJ177" s="1274"/>
      <c r="AK177" s="1274"/>
      <c r="AL177" s="1274"/>
      <c r="AM177" s="1274"/>
      <c r="AN177" s="1274"/>
      <c r="AO177" s="1274"/>
      <c r="AP177" s="1274"/>
      <c r="AQ177" s="1274"/>
      <c r="AR177" s="1274"/>
      <c r="AS177" s="1274"/>
      <c r="AT177" s="1274"/>
      <c r="AU177" s="1274"/>
      <c r="AV177" s="1274"/>
      <c r="AW177" s="1274"/>
      <c r="AX177" s="1274"/>
      <c r="AY177" s="1274"/>
      <c r="AZ177" s="1274"/>
      <c r="BA177" s="1274"/>
      <c r="BB177" s="1274"/>
      <c r="BC177" s="1274"/>
      <c r="BD177" s="1274"/>
      <c r="BE177" s="1274"/>
      <c r="BF177" s="874"/>
      <c r="BO177" s="974"/>
      <c r="BP177" s="974"/>
    </row>
    <row r="178" spans="1:68" ht="18" customHeight="1" x14ac:dyDescent="0.2">
      <c r="A178" s="897"/>
      <c r="B178" s="855"/>
      <c r="C178" s="855"/>
      <c r="D178" s="855"/>
      <c r="E178" s="855"/>
      <c r="F178" s="855"/>
      <c r="G178" s="855"/>
      <c r="H178" s="855"/>
      <c r="I178" s="855"/>
      <c r="J178" s="855"/>
      <c r="K178" s="855"/>
      <c r="L178" s="855"/>
      <c r="M178" s="855"/>
      <c r="N178" s="855"/>
      <c r="O178" s="855"/>
      <c r="P178" s="855"/>
      <c r="Q178" s="855"/>
      <c r="R178" s="855"/>
      <c r="S178" s="855"/>
      <c r="T178" s="855"/>
      <c r="U178" s="855"/>
      <c r="V178" s="855"/>
      <c r="W178" s="855"/>
      <c r="X178" s="855"/>
      <c r="Y178" s="855"/>
      <c r="Z178" s="855"/>
      <c r="AA178" s="855"/>
      <c r="AB178" s="855"/>
      <c r="AC178" s="855"/>
      <c r="AD178" s="855"/>
      <c r="AE178" s="855"/>
      <c r="AF178" s="855"/>
      <c r="AG178" s="855"/>
      <c r="AH178" s="855"/>
      <c r="AI178" s="855"/>
      <c r="AJ178" s="855"/>
      <c r="AK178" s="855"/>
      <c r="AL178" s="855"/>
      <c r="AM178" s="855"/>
      <c r="AN178" s="855"/>
      <c r="AO178" s="855"/>
      <c r="AP178" s="855"/>
      <c r="AQ178" s="855"/>
      <c r="AR178" s="855"/>
      <c r="AS178" s="855"/>
      <c r="AT178" s="855"/>
      <c r="AU178" s="855"/>
      <c r="AV178" s="855"/>
      <c r="AW178" s="855"/>
      <c r="AX178" s="855"/>
      <c r="AY178" s="855"/>
      <c r="AZ178" s="855"/>
      <c r="BA178" s="855"/>
      <c r="BB178" s="855"/>
      <c r="BC178" s="855"/>
      <c r="BD178" s="855"/>
      <c r="BE178" s="855"/>
      <c r="BF178" s="874"/>
      <c r="BO178" s="168"/>
      <c r="BP178" s="168"/>
    </row>
    <row r="179" spans="1:68" ht="18" customHeight="1" x14ac:dyDescent="0.2">
      <c r="A179" s="897"/>
      <c r="B179" s="855"/>
      <c r="C179" s="855"/>
      <c r="D179" s="855"/>
      <c r="E179" s="855"/>
      <c r="F179" s="855"/>
      <c r="G179" s="855"/>
      <c r="H179" s="855"/>
      <c r="I179" s="855"/>
      <c r="J179" s="855"/>
      <c r="K179" s="855"/>
      <c r="L179" s="855"/>
      <c r="M179" s="855"/>
      <c r="N179" s="855"/>
      <c r="O179" s="855"/>
      <c r="P179" s="855"/>
      <c r="Q179" s="855"/>
      <c r="R179" s="855"/>
      <c r="S179" s="855"/>
      <c r="T179" s="855"/>
      <c r="U179" s="855"/>
      <c r="V179" s="855"/>
      <c r="W179" s="855"/>
      <c r="X179" s="855"/>
      <c r="Y179" s="855"/>
      <c r="Z179" s="855"/>
      <c r="AA179" s="855"/>
      <c r="AB179" s="855"/>
      <c r="AC179" s="855"/>
      <c r="AD179" s="855"/>
      <c r="AE179" s="855"/>
      <c r="AF179" s="855"/>
      <c r="AG179" s="855"/>
      <c r="AH179" s="855"/>
      <c r="AI179" s="855"/>
      <c r="AJ179" s="855"/>
      <c r="AK179" s="855"/>
      <c r="AL179" s="855"/>
      <c r="AM179" s="855"/>
      <c r="AN179" s="855"/>
      <c r="AO179" s="855"/>
      <c r="AP179" s="855"/>
      <c r="AQ179" s="855"/>
      <c r="AR179" s="855"/>
      <c r="AS179" s="855"/>
      <c r="AT179" s="855"/>
      <c r="AU179" s="855"/>
      <c r="AV179" s="855"/>
      <c r="AW179" s="855"/>
      <c r="AX179" s="855"/>
      <c r="AY179" s="855"/>
      <c r="AZ179" s="855"/>
      <c r="BA179" s="855"/>
      <c r="BB179" s="855"/>
      <c r="BC179" s="855"/>
      <c r="BD179" s="855"/>
      <c r="BE179" s="855"/>
      <c r="BF179" s="874"/>
      <c r="BO179" s="168"/>
      <c r="BP179" s="168"/>
    </row>
    <row r="180" spans="1:68" ht="18" customHeight="1" x14ac:dyDescent="0.2">
      <c r="A180" s="897"/>
      <c r="B180" s="683"/>
      <c r="C180" s="683"/>
      <c r="D180" s="683"/>
      <c r="E180" s="683"/>
      <c r="F180" s="683"/>
      <c r="G180" s="683"/>
      <c r="H180" s="683"/>
      <c r="I180" s="683"/>
      <c r="J180" s="683"/>
      <c r="K180" s="683"/>
      <c r="L180" s="683"/>
      <c r="M180" s="683"/>
      <c r="N180" s="683"/>
      <c r="O180" s="683"/>
      <c r="P180" s="683"/>
      <c r="Q180" s="683"/>
      <c r="R180" s="683"/>
      <c r="S180" s="683"/>
      <c r="T180" s="683"/>
      <c r="U180" s="683"/>
      <c r="V180" s="683"/>
      <c r="W180" s="683"/>
      <c r="X180" s="683"/>
      <c r="Y180" s="683"/>
      <c r="Z180" s="683"/>
      <c r="AA180" s="683"/>
      <c r="AB180" s="683"/>
      <c r="AC180" s="683"/>
      <c r="AD180" s="683"/>
      <c r="AE180" s="683"/>
      <c r="AF180" s="683"/>
      <c r="AG180" s="683"/>
      <c r="AH180" s="683"/>
      <c r="AI180" s="683"/>
      <c r="AJ180" s="683"/>
      <c r="AK180" s="683"/>
      <c r="AL180" s="683"/>
      <c r="AM180" s="683"/>
      <c r="AN180" s="683"/>
      <c r="AO180" s="683"/>
      <c r="AP180" s="683"/>
      <c r="AQ180" s="683"/>
      <c r="AR180" s="683"/>
      <c r="AS180" s="683"/>
      <c r="AT180" s="683"/>
      <c r="AU180" s="683"/>
      <c r="AV180" s="683"/>
      <c r="AW180" s="683"/>
      <c r="AX180" s="683"/>
      <c r="AY180" s="683"/>
      <c r="AZ180" s="683"/>
      <c r="BA180" s="683"/>
      <c r="BB180" s="683"/>
      <c r="BC180" s="683"/>
      <c r="BD180" s="683"/>
      <c r="BE180" s="683"/>
      <c r="BF180" s="874"/>
      <c r="BO180" s="168"/>
      <c r="BP180" s="168"/>
    </row>
    <row r="181" spans="1:68" ht="30" customHeight="1" x14ac:dyDescent="0.2">
      <c r="A181" s="874"/>
      <c r="B181" s="1352" t="str">
        <f>BG192&amp;K10&amp;BH192</f>
        <v>O (a) Sr (a)  esclareceu que as aquisições e serviços atenderam às prioridades registradas na(s) Ata(s) da(s) reunião(ões) da APM.</v>
      </c>
      <c r="C181" s="1352"/>
      <c r="D181" s="1352"/>
      <c r="E181" s="1352"/>
      <c r="F181" s="1352"/>
      <c r="G181" s="1352"/>
      <c r="H181" s="1352"/>
      <c r="I181" s="1352"/>
      <c r="J181" s="1352"/>
      <c r="K181" s="1352"/>
      <c r="L181" s="1352"/>
      <c r="M181" s="1352"/>
      <c r="N181" s="1352"/>
      <c r="O181" s="1352"/>
      <c r="P181" s="1352"/>
      <c r="Q181" s="1352"/>
      <c r="R181" s="1352"/>
      <c r="S181" s="1352"/>
      <c r="T181" s="1352"/>
      <c r="U181" s="1352"/>
      <c r="V181" s="1352"/>
      <c r="W181" s="1352"/>
      <c r="X181" s="1352"/>
      <c r="Y181" s="1352"/>
      <c r="Z181" s="1352"/>
      <c r="AA181" s="1352"/>
      <c r="AB181" s="1352"/>
      <c r="AC181" s="1352"/>
      <c r="AD181" s="1352"/>
      <c r="AE181" s="1352"/>
      <c r="AF181" s="1352"/>
      <c r="AG181" s="1352"/>
      <c r="AH181" s="1352"/>
      <c r="AI181" s="1352"/>
      <c r="AJ181" s="1352"/>
      <c r="AK181" s="1352"/>
      <c r="AL181" s="1352"/>
      <c r="AM181" s="1352"/>
      <c r="AN181" s="1352"/>
      <c r="AO181" s="1352"/>
      <c r="AP181" s="1352"/>
      <c r="AQ181" s="1352"/>
      <c r="AR181" s="1352"/>
      <c r="AS181" s="1352"/>
      <c r="AT181" s="1352"/>
      <c r="AU181" s="1352"/>
      <c r="AV181" s="1352"/>
      <c r="AW181" s="1352"/>
      <c r="AX181" s="1352"/>
      <c r="AY181" s="1352"/>
      <c r="AZ181" s="1352"/>
      <c r="BA181" s="1352"/>
      <c r="BB181" s="1352"/>
      <c r="BC181" s="1352"/>
      <c r="BD181" s="1352"/>
      <c r="BE181" s="1352"/>
      <c r="BF181" s="874"/>
      <c r="BG181" s="169" t="s">
        <v>53</v>
      </c>
      <c r="BH181" s="499" t="str">
        <f>IF(MENU!C41&lt;=0,"",MENU!C41)</f>
        <v/>
      </c>
      <c r="BI181" s="170"/>
      <c r="BJ181" s="170"/>
    </row>
    <row r="182" spans="1:68" ht="13.5" customHeight="1" x14ac:dyDescent="0.2">
      <c r="A182" s="874"/>
      <c r="B182" s="1343" t="s">
        <v>60</v>
      </c>
      <c r="C182" s="1343"/>
      <c r="D182" s="1343"/>
      <c r="E182" s="1343"/>
      <c r="F182" s="1343"/>
      <c r="G182" s="1343"/>
      <c r="H182" s="1343"/>
      <c r="I182" s="1343"/>
      <c r="J182" s="1343"/>
      <c r="K182" s="1343"/>
      <c r="L182" s="1343"/>
      <c r="M182" s="1343"/>
      <c r="N182" s="1343"/>
      <c r="O182" s="1343"/>
      <c r="P182" s="1343"/>
      <c r="Q182" s="1343"/>
      <c r="R182" s="1343"/>
      <c r="S182" s="1343"/>
      <c r="T182" s="1343"/>
      <c r="U182" s="1343"/>
      <c r="V182" s="1343"/>
      <c r="W182" s="1343"/>
      <c r="X182" s="1343"/>
      <c r="Y182" s="1343"/>
      <c r="Z182" s="1343"/>
      <c r="AA182" s="1343"/>
      <c r="AB182" s="1343"/>
      <c r="AC182" s="1343"/>
      <c r="AD182" s="1343"/>
      <c r="AE182" s="1343"/>
      <c r="AF182" s="1343"/>
      <c r="AG182" s="1343"/>
      <c r="AH182" s="1343"/>
      <c r="AI182" s="1343"/>
      <c r="AJ182" s="1343"/>
      <c r="AK182" s="1343"/>
      <c r="AL182" s="1343"/>
      <c r="AM182" s="1343"/>
      <c r="AN182" s="1343"/>
      <c r="AO182" s="1393" t="str">
        <f>BG16&amp;V4</f>
        <v/>
      </c>
      <c r="AP182" s="1393"/>
      <c r="AQ182" s="1393"/>
      <c r="AR182" s="1393"/>
      <c r="AS182" s="1393"/>
      <c r="AT182" s="1393"/>
      <c r="AU182" s="1393"/>
      <c r="AV182" s="1393"/>
      <c r="AW182" s="1393"/>
      <c r="AX182" s="1393"/>
      <c r="AY182" s="1382" t="s">
        <v>32</v>
      </c>
      <c r="AZ182" s="1382"/>
      <c r="BA182" s="1382"/>
      <c r="BB182" s="1382"/>
      <c r="BC182" s="1382"/>
      <c r="BD182" s="1382"/>
      <c r="BE182" s="1382"/>
      <c r="BF182" s="874"/>
      <c r="BG182" s="164" t="s">
        <v>54</v>
      </c>
      <c r="BH182" s="171" t="str">
        <f>MOD_2!$C$15</f>
        <v/>
      </c>
      <c r="BI182" s="169" t="s">
        <v>247</v>
      </c>
    </row>
    <row r="183" spans="1:68" ht="13.5" customHeight="1" x14ac:dyDescent="0.2">
      <c r="A183" s="874"/>
      <c r="B183" s="1343" t="s">
        <v>33</v>
      </c>
      <c r="C183" s="1343"/>
      <c r="D183" s="1343"/>
      <c r="E183" s="1343"/>
      <c r="F183" s="1343"/>
      <c r="G183" s="1383" t="str">
        <f>Dados!$G$96</f>
        <v/>
      </c>
      <c r="H183" s="1383"/>
      <c r="I183" s="1383"/>
      <c r="J183" s="1383"/>
      <c r="K183" s="1383"/>
      <c r="L183" s="1355" t="s">
        <v>221</v>
      </c>
      <c r="M183" s="1355"/>
      <c r="N183" s="1355"/>
      <c r="O183" s="1355"/>
      <c r="P183" s="1355"/>
      <c r="Q183" s="1355"/>
      <c r="R183" s="1355"/>
      <c r="S183" s="1355"/>
      <c r="T183" s="1355"/>
      <c r="U183" s="1355"/>
      <c r="V183" s="1355"/>
      <c r="W183" s="1355"/>
      <c r="X183" s="1355"/>
      <c r="Y183" s="1355"/>
      <c r="Z183" s="1355"/>
      <c r="AA183" s="1355"/>
      <c r="AB183" s="1356" t="str">
        <f>Dados!$E$96</f>
        <v/>
      </c>
      <c r="AC183" s="1356"/>
      <c r="AD183" s="1356"/>
      <c r="AE183" s="1356"/>
      <c r="AF183" s="1355" t="s">
        <v>34</v>
      </c>
      <c r="AG183" s="1355"/>
      <c r="AH183" s="1355"/>
      <c r="AI183" s="1355"/>
      <c r="AJ183" s="1355"/>
      <c r="AK183" s="1355"/>
      <c r="AL183" s="1355"/>
      <c r="AM183" s="1355"/>
      <c r="AN183" s="1355"/>
      <c r="AO183" s="1355"/>
      <c r="AP183" s="1355"/>
      <c r="AQ183" s="1355"/>
      <c r="AR183" s="1355"/>
      <c r="AS183" s="1365" t="str">
        <f>IF(Dados!E3="","",MOD_2!$T$15+MOD_2_volta_aulas!$T$15+MOD_2_futuro!$T$15+MOD_2_transporte!$T$15+MOD_2_imprensa!$T$15+MOD_2_gremio!$T$15+MOD_2_formacao!$T$15+MOD_2_mais_escola!$T$15+MOD_2_livre_aplicacao!$T$15)</f>
        <v/>
      </c>
      <c r="AT183" s="1365"/>
      <c r="AU183" s="1365"/>
      <c r="AV183" s="1365"/>
      <c r="AW183" s="1365"/>
      <c r="AX183" s="1365"/>
      <c r="AY183" s="1365"/>
      <c r="AZ183" s="1365"/>
      <c r="BA183" s="1365"/>
      <c r="BB183" s="1365"/>
      <c r="BC183" s="1381" t="s">
        <v>14</v>
      </c>
      <c r="BD183" s="1381"/>
      <c r="BE183" s="1381"/>
      <c r="BF183" s="874"/>
      <c r="BG183" s="164" t="s">
        <v>57</v>
      </c>
      <c r="BH183" s="171" t="str">
        <f>MOD_2!$C$16</f>
        <v/>
      </c>
      <c r="BI183" s="57" t="s">
        <v>55</v>
      </c>
    </row>
    <row r="184" spans="1:68" ht="13.5" customHeight="1" x14ac:dyDescent="0.2">
      <c r="A184" s="874"/>
      <c r="B184" s="1364" t="s">
        <v>35</v>
      </c>
      <c r="C184" s="1364"/>
      <c r="D184" s="1364"/>
      <c r="E184" s="1364"/>
      <c r="F184" s="1364"/>
      <c r="G184" s="1365" t="str">
        <f>IF(Dados!E3="","",MOD_2!$T$16+MOD_2_volta_aulas!$T$16+MOD_2_futuro!$T$16+MOD_2_transporte!$T$16+MOD_2_imprensa!$T$16+MOD_2_gremio!$T$16+MOD_2_formacao!$T$16+MOD_2_mais_escola!$T$16+MOD_2_livre_aplicacao!$T$16)</f>
        <v/>
      </c>
      <c r="H184" s="1365"/>
      <c r="I184" s="1365"/>
      <c r="J184" s="1365"/>
      <c r="K184" s="1365"/>
      <c r="L184" s="1365"/>
      <c r="M184" s="1365"/>
      <c r="N184" s="1365"/>
      <c r="O184" s="1365"/>
      <c r="P184" s="1365"/>
      <c r="Q184" s="1364" t="s">
        <v>36</v>
      </c>
      <c r="R184" s="1364"/>
      <c r="S184" s="1364"/>
      <c r="T184" s="1364"/>
      <c r="U184" s="1364"/>
      <c r="V184" s="1364"/>
      <c r="W184" s="1364"/>
      <c r="X184" s="1364"/>
      <c r="Y184" s="1364"/>
      <c r="Z184" s="1364"/>
      <c r="AA184" s="1364"/>
      <c r="AB184" s="1364"/>
      <c r="AC184" s="1364"/>
      <c r="AD184" s="1364"/>
      <c r="AE184" s="1364"/>
      <c r="AF184" s="1364"/>
      <c r="AG184" s="1364"/>
      <c r="AH184" s="1364"/>
      <c r="AI184" s="1364"/>
      <c r="AJ184" s="1364"/>
      <c r="AK184" s="1364"/>
      <c r="AL184" s="1364"/>
      <c r="AM184" s="1364"/>
      <c r="AN184" s="1364"/>
      <c r="AO184" s="1364"/>
      <c r="AP184" s="1364"/>
      <c r="AQ184" s="1364"/>
      <c r="AR184" s="1364"/>
      <c r="AS184" s="1364"/>
      <c r="AT184" s="1364"/>
      <c r="AU184" s="1364"/>
      <c r="AV184" s="1364"/>
      <c r="AW184" s="1364"/>
      <c r="AX184" s="1364"/>
      <c r="AY184" s="1364"/>
      <c r="AZ184" s="1364"/>
      <c r="BA184" s="1364"/>
      <c r="BB184" s="1364"/>
      <c r="BC184" s="1364"/>
      <c r="BD184" s="1364"/>
      <c r="BE184" s="1364"/>
      <c r="BF184" s="874"/>
      <c r="BH184" s="171" t="e">
        <f>MOD_2!$M$15</f>
        <v>#VALUE!</v>
      </c>
      <c r="BI184" s="171" t="str">
        <f>MOD_2!$M$16</f>
        <v/>
      </c>
    </row>
    <row r="185" spans="1:68" ht="6" customHeight="1" x14ac:dyDescent="0.2">
      <c r="A185" s="874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874"/>
    </row>
    <row r="186" spans="1:68" ht="6" customHeight="1" x14ac:dyDescent="0.2">
      <c r="A186" s="874"/>
      <c r="B186" s="1310"/>
      <c r="C186" s="1310"/>
      <c r="D186" s="1310"/>
      <c r="E186" s="1310"/>
      <c r="F186" s="1310"/>
      <c r="G186" s="1310"/>
      <c r="H186" s="1310"/>
      <c r="I186" s="1310"/>
      <c r="J186" s="1310"/>
      <c r="K186" s="1310"/>
      <c r="L186" s="1310"/>
      <c r="M186" s="1310"/>
      <c r="N186" s="1310"/>
      <c r="O186" s="1310"/>
      <c r="P186" s="1310"/>
      <c r="Q186" s="1310"/>
      <c r="R186" s="1310"/>
      <c r="S186" s="1310"/>
      <c r="T186" s="1310"/>
      <c r="U186" s="1310"/>
      <c r="V186" s="1310"/>
      <c r="W186" s="1310"/>
      <c r="X186" s="1310"/>
      <c r="Y186" s="1310"/>
      <c r="Z186" s="1310"/>
      <c r="AA186" s="1310"/>
      <c r="AB186" s="1310"/>
      <c r="AC186" s="1310"/>
      <c r="AD186" s="1310"/>
      <c r="AE186" s="1310"/>
      <c r="AF186" s="1310"/>
      <c r="AG186" s="1310"/>
      <c r="AH186" s="1310"/>
      <c r="AI186" s="1310"/>
      <c r="AJ186" s="1310"/>
      <c r="AK186" s="1310"/>
      <c r="AL186" s="1310"/>
      <c r="AM186" s="1310"/>
      <c r="AN186" s="1310"/>
      <c r="AO186" s="1310"/>
      <c r="AP186" s="1310"/>
      <c r="AQ186" s="1310"/>
      <c r="AR186" s="1310"/>
      <c r="AS186" s="1310"/>
      <c r="AT186" s="1310"/>
      <c r="AU186" s="1310"/>
      <c r="AV186" s="1310"/>
      <c r="AW186" s="1310"/>
      <c r="AX186" s="1310"/>
      <c r="AY186" s="1310"/>
      <c r="AZ186" s="1310"/>
      <c r="BA186" s="1310"/>
      <c r="BB186" s="1310"/>
      <c r="BC186" s="1310"/>
      <c r="BD186" s="1310"/>
      <c r="BE186" s="1310"/>
      <c r="BF186" s="874"/>
    </row>
    <row r="187" spans="1:68" ht="92.25" customHeight="1" x14ac:dyDescent="0.2">
      <c r="A187" s="874"/>
      <c r="B187" s="1392" t="str">
        <f>BG196&amp;BG197&amp;BG252&amp;K10&amp;BG253&amp;J12&amp;BG254</f>
        <v>Os membros do Conselho Fiscal, à vista dos registros contábeis e verificando nos documentos apresentados a exatidão das despesas realizadas, julgaram exata a presente prestação de contas considerando-a em condições de ser aprovada, emitindo Parecer Favorável à aprovação da referida Prestação de Contas. Esgotados os assuntos o(a) Presidente da Diretoria Executiva, Sr(a)  ofereceu a palavra a quem dela desejasse fazer uso e como não houve manifestação agradeceu a presença de todos, considerando encerrada a reunião, a qual, eu, lavrei-a na presente ata, que vai por mim assinada e pelos demais presentes.</v>
      </c>
      <c r="C187" s="1392"/>
      <c r="D187" s="1392"/>
      <c r="E187" s="1392"/>
      <c r="F187" s="1392"/>
      <c r="G187" s="1392"/>
      <c r="H187" s="1392"/>
      <c r="I187" s="1392"/>
      <c r="J187" s="1392"/>
      <c r="K187" s="1392"/>
      <c r="L187" s="1392"/>
      <c r="M187" s="1392"/>
      <c r="N187" s="1392"/>
      <c r="O187" s="1392"/>
      <c r="P187" s="1392"/>
      <c r="Q187" s="1392"/>
      <c r="R187" s="1392"/>
      <c r="S187" s="1392"/>
      <c r="T187" s="1392"/>
      <c r="U187" s="1392"/>
      <c r="V187" s="1392"/>
      <c r="W187" s="1392"/>
      <c r="X187" s="1392"/>
      <c r="Y187" s="1392"/>
      <c r="Z187" s="1392"/>
      <c r="AA187" s="1392"/>
      <c r="AB187" s="1392"/>
      <c r="AC187" s="1392"/>
      <c r="AD187" s="1392"/>
      <c r="AE187" s="1392"/>
      <c r="AF187" s="1392"/>
      <c r="AG187" s="1392"/>
      <c r="AH187" s="1392"/>
      <c r="AI187" s="1392"/>
      <c r="AJ187" s="1392"/>
      <c r="AK187" s="1392"/>
      <c r="AL187" s="1392"/>
      <c r="AM187" s="1392"/>
      <c r="AN187" s="1392"/>
      <c r="AO187" s="1392"/>
      <c r="AP187" s="1392"/>
      <c r="AQ187" s="1392"/>
      <c r="AR187" s="1392"/>
      <c r="AS187" s="1392"/>
      <c r="AT187" s="1392"/>
      <c r="AU187" s="1392"/>
      <c r="AV187" s="1392"/>
      <c r="AW187" s="1392"/>
      <c r="AX187" s="1392"/>
      <c r="AY187" s="1392"/>
      <c r="AZ187" s="1392"/>
      <c r="BA187" s="1392"/>
      <c r="BB187" s="1392"/>
      <c r="BC187" s="1392"/>
      <c r="BD187" s="1392"/>
      <c r="BE187" s="1392"/>
      <c r="BF187" s="874"/>
      <c r="BG187" s="169" t="s">
        <v>30</v>
      </c>
      <c r="BH187" s="169" t="s">
        <v>29</v>
      </c>
    </row>
    <row r="188" spans="1:68" x14ac:dyDescent="0.2">
      <c r="A188" s="874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874"/>
    </row>
    <row r="189" spans="1:68" x14ac:dyDescent="0.2">
      <c r="A189" s="874"/>
      <c r="B189" s="1380" t="str">
        <f>"São Paulo, "&amp;$E$4&amp;" de "&amp;$K$4&amp;" de "&amp;$V$4&amp;"."</f>
        <v>São Paulo,  de  de .</v>
      </c>
      <c r="C189" s="1380"/>
      <c r="D189" s="1380"/>
      <c r="E189" s="1380"/>
      <c r="F189" s="1380"/>
      <c r="G189" s="1380"/>
      <c r="H189" s="1380"/>
      <c r="I189" s="1380"/>
      <c r="J189" s="1380"/>
      <c r="K189" s="1380"/>
      <c r="L189" s="1380"/>
      <c r="M189" s="1380"/>
      <c r="N189" s="1380"/>
      <c r="O189" s="1380"/>
      <c r="P189" s="1380"/>
      <c r="Q189" s="1380"/>
      <c r="R189" s="1380"/>
      <c r="S189" s="1380"/>
      <c r="T189" s="1380"/>
      <c r="U189" s="1380"/>
      <c r="V189" s="1380"/>
      <c r="W189" s="1380"/>
      <c r="X189" s="1380"/>
      <c r="Y189" s="1380"/>
      <c r="Z189" s="1380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874"/>
      <c r="BG189" s="171">
        <f>MOD_2!$P$12</f>
        <v>0</v>
      </c>
      <c r="BH189" s="57" t="s">
        <v>27</v>
      </c>
    </row>
    <row r="190" spans="1:68" ht="61.5" customHeight="1" x14ac:dyDescent="0.2">
      <c r="A190" s="874"/>
      <c r="B190" s="367"/>
      <c r="C190" s="1391"/>
      <c r="D190" s="1391"/>
      <c r="E190" s="1391"/>
      <c r="F190" s="1391"/>
      <c r="G190" s="1391"/>
      <c r="H190" s="1391"/>
      <c r="I190" s="1391"/>
      <c r="J190" s="1391"/>
      <c r="K190" s="1391"/>
      <c r="L190" s="1391"/>
      <c r="M190" s="1391"/>
      <c r="N190" s="1391"/>
      <c r="O190" s="1391"/>
      <c r="P190" s="1391"/>
      <c r="Q190" s="1391"/>
      <c r="R190" s="1391"/>
      <c r="S190" s="1391"/>
      <c r="T190" s="1391"/>
      <c r="U190" s="1391"/>
      <c r="V190" s="1391"/>
      <c r="W190" s="1391"/>
      <c r="X190" s="1391"/>
      <c r="Y190" s="1391"/>
      <c r="Z190" s="1391"/>
      <c r="AA190" s="367"/>
      <c r="AB190" s="367"/>
      <c r="AC190" s="367"/>
      <c r="AD190" s="1391"/>
      <c r="AE190" s="1391"/>
      <c r="AF190" s="1391"/>
      <c r="AG190" s="1391"/>
      <c r="AH190" s="1391"/>
      <c r="AI190" s="1391"/>
      <c r="AJ190" s="1391"/>
      <c r="AK190" s="1391"/>
      <c r="AL190" s="1391"/>
      <c r="AM190" s="1391"/>
      <c r="AN190" s="1391"/>
      <c r="AO190" s="1391"/>
      <c r="AP190" s="1391"/>
      <c r="AQ190" s="1391"/>
      <c r="AR190" s="1391"/>
      <c r="AS190" s="1391"/>
      <c r="AT190" s="1391"/>
      <c r="AU190" s="1391"/>
      <c r="AV190" s="1391"/>
      <c r="AW190" s="1391"/>
      <c r="AX190" s="1391"/>
      <c r="AY190" s="1391"/>
      <c r="AZ190" s="1391"/>
      <c r="BA190" s="1391"/>
      <c r="BB190" s="367"/>
      <c r="BC190" s="367"/>
      <c r="BD190" s="367"/>
      <c r="BE190" s="367"/>
      <c r="BF190" s="874"/>
      <c r="BG190" s="169" t="s">
        <v>58</v>
      </c>
    </row>
    <row r="191" spans="1:68" ht="12.75" customHeight="1" x14ac:dyDescent="0.2">
      <c r="A191" s="874"/>
      <c r="B191" s="56"/>
      <c r="C191" s="1337" t="str">
        <f>IF($J$12="","",$J$12)</f>
        <v/>
      </c>
      <c r="D191" s="1337"/>
      <c r="E191" s="1337"/>
      <c r="F191" s="1337"/>
      <c r="G191" s="1337"/>
      <c r="H191" s="1337"/>
      <c r="I191" s="1337"/>
      <c r="J191" s="1337"/>
      <c r="K191" s="1337"/>
      <c r="L191" s="1337"/>
      <c r="M191" s="1337"/>
      <c r="N191" s="1337"/>
      <c r="O191" s="1337"/>
      <c r="P191" s="1337"/>
      <c r="Q191" s="1337"/>
      <c r="R191" s="1337"/>
      <c r="S191" s="1337"/>
      <c r="T191" s="1337"/>
      <c r="U191" s="1337"/>
      <c r="V191" s="1337"/>
      <c r="W191" s="1337"/>
      <c r="X191" s="1337"/>
      <c r="Y191" s="1337"/>
      <c r="Z191" s="1337"/>
      <c r="AA191" s="56"/>
      <c r="AB191" s="56"/>
      <c r="AC191" s="56"/>
      <c r="AD191" s="1337" t="str">
        <f>IF($K$10="","",$K$10)</f>
        <v/>
      </c>
      <c r="AE191" s="1337"/>
      <c r="AF191" s="1337"/>
      <c r="AG191" s="1337"/>
      <c r="AH191" s="1337"/>
      <c r="AI191" s="1337"/>
      <c r="AJ191" s="1337"/>
      <c r="AK191" s="1337"/>
      <c r="AL191" s="1337"/>
      <c r="AM191" s="1337"/>
      <c r="AN191" s="1337"/>
      <c r="AO191" s="1337"/>
      <c r="AP191" s="1337"/>
      <c r="AQ191" s="1337"/>
      <c r="AR191" s="1337"/>
      <c r="AS191" s="1337"/>
      <c r="AT191" s="1337"/>
      <c r="AU191" s="1337"/>
      <c r="AV191" s="1337"/>
      <c r="AW191" s="1337"/>
      <c r="AX191" s="1337"/>
      <c r="AY191" s="1337"/>
      <c r="AZ191" s="1337"/>
      <c r="BA191" s="1337"/>
      <c r="BB191" s="56"/>
      <c r="BC191" s="56"/>
      <c r="BD191" s="56"/>
      <c r="BE191" s="56"/>
      <c r="BF191" s="874"/>
      <c r="BG191" s="171">
        <f>MOD_2!$P$13</f>
        <v>0</v>
      </c>
      <c r="BH191" s="181" t="s">
        <v>340</v>
      </c>
    </row>
    <row r="192" spans="1:68" x14ac:dyDescent="0.2">
      <c r="A192" s="874"/>
      <c r="B192" s="175"/>
      <c r="C192" s="1321"/>
      <c r="D192" s="1321"/>
      <c r="E192" s="1321"/>
      <c r="F192" s="1321"/>
      <c r="G192" s="1321"/>
      <c r="H192" s="1321"/>
      <c r="I192" s="1321"/>
      <c r="J192" s="1321"/>
      <c r="K192" s="1321"/>
      <c r="L192" s="1321"/>
      <c r="M192" s="1321"/>
      <c r="N192" s="1321"/>
      <c r="O192" s="1321"/>
      <c r="P192" s="1321"/>
      <c r="Q192" s="1321"/>
      <c r="R192" s="1321"/>
      <c r="S192" s="1321"/>
      <c r="T192" s="1321"/>
      <c r="U192" s="1321"/>
      <c r="V192" s="1321"/>
      <c r="W192" s="1321"/>
      <c r="X192" s="1321"/>
      <c r="Y192" s="1321"/>
      <c r="Z192" s="1321"/>
      <c r="AA192" s="175"/>
      <c r="AB192" s="175"/>
      <c r="AC192" s="175"/>
      <c r="AD192" s="175"/>
      <c r="AE192" s="175"/>
      <c r="AF192" s="175"/>
      <c r="AG192" s="175"/>
      <c r="AH192" s="176"/>
      <c r="AI192" s="176"/>
      <c r="AJ192" s="176"/>
      <c r="AK192" s="176"/>
      <c r="AL192" s="176"/>
      <c r="AM192" s="176"/>
      <c r="AN192" s="176"/>
      <c r="AO192" s="176"/>
      <c r="AP192" s="176"/>
      <c r="AQ192" s="176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874"/>
      <c r="BG192" s="169" t="s">
        <v>59</v>
      </c>
      <c r="BH192" s="169" t="str">
        <f>" esclareceu que as aquisições e serviços atenderam às prioridades registradas na(s) Ata(s) da(s) reunião(ões) da "&amp;BI192&amp;"."</f>
        <v xml:space="preserve"> esclareceu que as aquisições e serviços atenderam às prioridades registradas na(s) Ata(s) da(s) reunião(ões) da APM.</v>
      </c>
      <c r="BI192" s="57" t="str">
        <f>IF(BG22="CEU",BH208,BH207)</f>
        <v>APM</v>
      </c>
    </row>
    <row r="193" spans="1:63" x14ac:dyDescent="0.2">
      <c r="A193" s="874"/>
      <c r="B193" s="175"/>
      <c r="C193" s="1321"/>
      <c r="D193" s="1321"/>
      <c r="E193" s="1321"/>
      <c r="F193" s="1321"/>
      <c r="G193" s="1321"/>
      <c r="H193" s="1321"/>
      <c r="I193" s="1321"/>
      <c r="J193" s="1321"/>
      <c r="K193" s="1321"/>
      <c r="L193" s="1321"/>
      <c r="M193" s="1321"/>
      <c r="N193" s="1321"/>
      <c r="O193" s="1321"/>
      <c r="P193" s="1321"/>
      <c r="Q193" s="1321"/>
      <c r="R193" s="1321"/>
      <c r="S193" s="1321"/>
      <c r="T193" s="1321"/>
      <c r="U193" s="1321"/>
      <c r="V193" s="1321"/>
      <c r="W193" s="1321"/>
      <c r="X193" s="1321"/>
      <c r="Y193" s="1321"/>
      <c r="Z193" s="1321"/>
      <c r="AA193" s="177"/>
      <c r="AB193" s="177"/>
      <c r="AC193" s="177"/>
      <c r="AD193" s="62"/>
      <c r="AE193" s="177"/>
      <c r="AF193" s="177"/>
      <c r="AG193" s="177"/>
      <c r="AH193" s="177"/>
      <c r="AI193" s="177"/>
      <c r="AJ193" s="177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874"/>
      <c r="BG193" s="169" t="s">
        <v>60</v>
      </c>
    </row>
    <row r="194" spans="1:63" x14ac:dyDescent="0.2">
      <c r="A194" s="874"/>
      <c r="B194" s="17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6"/>
      <c r="O194" s="176"/>
      <c r="P194" s="176"/>
      <c r="Q194" s="176"/>
      <c r="R194" s="176"/>
      <c r="S194" s="176"/>
      <c r="T194" s="176"/>
      <c r="U194" s="176"/>
      <c r="V194" s="176"/>
      <c r="W194" s="175"/>
      <c r="X194" s="175"/>
      <c r="Y194" s="175"/>
      <c r="Z194" s="175"/>
      <c r="AA194" s="175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874"/>
      <c r="BG194" s="169" t="s">
        <v>61</v>
      </c>
      <c r="BH194" s="172"/>
      <c r="BI194" s="169" t="s">
        <v>222</v>
      </c>
      <c r="BJ194" s="173"/>
    </row>
    <row r="195" spans="1:63" ht="18" x14ac:dyDescent="0.25">
      <c r="A195" s="874"/>
      <c r="B195" s="1389"/>
      <c r="C195" s="1389"/>
      <c r="D195" s="1389"/>
      <c r="E195" s="1389"/>
      <c r="F195" s="1389"/>
      <c r="G195" s="1389"/>
      <c r="H195" s="1389"/>
      <c r="I195" s="1389"/>
      <c r="J195" s="1389"/>
      <c r="K195" s="1389"/>
      <c r="L195" s="1389"/>
      <c r="M195" s="1389"/>
      <c r="N195" s="1389"/>
      <c r="O195" s="1389"/>
      <c r="P195" s="1389"/>
      <c r="Q195" s="1389"/>
      <c r="R195" s="176"/>
      <c r="S195" s="175"/>
      <c r="T195" s="175"/>
      <c r="U195" s="175"/>
      <c r="V195" s="175"/>
      <c r="W195" s="175"/>
      <c r="X195" s="175"/>
      <c r="Y195" s="175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1388"/>
      <c r="AT195" s="1388"/>
      <c r="AU195" s="1388"/>
      <c r="AV195" s="1388"/>
      <c r="AW195" s="1388"/>
      <c r="AX195" s="1388"/>
      <c r="AY195" s="1388"/>
      <c r="AZ195" s="1388"/>
      <c r="BA195" s="1388"/>
      <c r="BB195" s="1388"/>
      <c r="BC195" s="1388"/>
      <c r="BD195" s="1388"/>
      <c r="BE195" s="1388"/>
      <c r="BF195" s="874"/>
      <c r="BG195" s="169" t="s">
        <v>63</v>
      </c>
      <c r="BH195" s="171">
        <f>MOD_2!$T$12</f>
        <v>0</v>
      </c>
      <c r="BI195" s="164" t="s">
        <v>62</v>
      </c>
      <c r="BJ195" s="171">
        <f>MOD_2!$T$13</f>
        <v>0</v>
      </c>
      <c r="BK195" s="169" t="s">
        <v>64</v>
      </c>
    </row>
    <row r="196" spans="1:63" ht="15.75" x14ac:dyDescent="0.25">
      <c r="A196" s="874"/>
      <c r="B196" s="1363" t="s">
        <v>232</v>
      </c>
      <c r="C196" s="1363"/>
      <c r="D196" s="1363"/>
      <c r="E196" s="1363"/>
      <c r="F196" s="1363"/>
      <c r="G196" s="1363"/>
      <c r="H196" s="1363"/>
      <c r="I196" s="1363"/>
      <c r="J196" s="1363"/>
      <c r="K196" s="1363"/>
      <c r="L196" s="1363"/>
      <c r="M196" s="1363"/>
      <c r="N196" s="1363"/>
      <c r="O196" s="1363"/>
      <c r="P196" s="1363"/>
      <c r="Q196" s="1363"/>
      <c r="R196" s="1363"/>
      <c r="S196" s="1363"/>
      <c r="T196" s="1363"/>
      <c r="U196" s="1363"/>
      <c r="V196" s="1363"/>
      <c r="W196" s="1363"/>
      <c r="X196" s="1363"/>
      <c r="Y196" s="1363"/>
      <c r="Z196" s="1363"/>
      <c r="AA196" s="1363"/>
      <c r="AB196" s="1363"/>
      <c r="AC196" s="1363"/>
      <c r="AD196" s="1363"/>
      <c r="AE196" s="1363"/>
      <c r="AF196" s="1363"/>
      <c r="AG196" s="1363"/>
      <c r="AH196" s="1363"/>
      <c r="AI196" s="1363"/>
      <c r="AJ196" s="1363"/>
      <c r="AK196" s="1363"/>
      <c r="AL196" s="1363"/>
      <c r="AM196" s="1363"/>
      <c r="AN196" s="1363"/>
      <c r="AO196" s="1363"/>
      <c r="AP196" s="1363"/>
      <c r="AQ196" s="1363"/>
      <c r="AR196" s="1363"/>
      <c r="AS196" s="1363"/>
      <c r="AT196" s="1363"/>
      <c r="AU196" s="1363"/>
      <c r="AV196" s="1363"/>
      <c r="AW196" s="1363"/>
      <c r="AX196" s="1363"/>
      <c r="AY196" s="1363"/>
      <c r="AZ196" s="1363"/>
      <c r="BA196" s="1363"/>
      <c r="BB196" s="1363"/>
      <c r="BC196" s="1363"/>
      <c r="BD196" s="1363"/>
      <c r="BE196" s="1363"/>
      <c r="BF196" s="874"/>
      <c r="BG196" s="169" t="s">
        <v>1304</v>
      </c>
    </row>
    <row r="197" spans="1:63" ht="26.25" customHeight="1" x14ac:dyDescent="0.2">
      <c r="A197" s="874"/>
      <c r="B197" s="1331" t="str">
        <f>BH209</f>
        <v>REUNIÃO DE PRESTAÇÃO DE CONTAS DA APM</v>
      </c>
      <c r="C197" s="1331"/>
      <c r="D197" s="1331"/>
      <c r="E197" s="1331"/>
      <c r="F197" s="1331"/>
      <c r="G197" s="1331"/>
      <c r="H197" s="1331"/>
      <c r="I197" s="1331"/>
      <c r="J197" s="1331"/>
      <c r="K197" s="1331"/>
      <c r="L197" s="1331"/>
      <c r="M197" s="1331"/>
      <c r="N197" s="1331"/>
      <c r="O197" s="1331"/>
      <c r="P197" s="1331"/>
      <c r="Q197" s="1331"/>
      <c r="R197" s="1331"/>
      <c r="S197" s="1331"/>
      <c r="T197" s="1331"/>
      <c r="U197" s="1331"/>
      <c r="V197" s="1331"/>
      <c r="W197" s="1331"/>
      <c r="X197" s="1331"/>
      <c r="Y197" s="1331"/>
      <c r="Z197" s="1331"/>
      <c r="AA197" s="1331"/>
      <c r="AB197" s="1331"/>
      <c r="AC197" s="1331"/>
      <c r="AD197" s="1331"/>
      <c r="AE197" s="1331"/>
      <c r="AF197" s="1331"/>
      <c r="AG197" s="1331"/>
      <c r="AH197" s="1331"/>
      <c r="AI197" s="1331"/>
      <c r="AJ197" s="1331"/>
      <c r="AK197" s="1331"/>
      <c r="AL197" s="1331"/>
      <c r="AM197" s="1331"/>
      <c r="AN197" s="1331"/>
      <c r="AO197" s="1331"/>
      <c r="AP197" s="1331"/>
      <c r="AQ197" s="1331"/>
      <c r="AR197" s="1331"/>
      <c r="AS197" s="1331"/>
      <c r="AT197" s="1331"/>
      <c r="AU197" s="1331"/>
      <c r="AV197" s="1331"/>
      <c r="AW197" s="1331"/>
      <c r="AX197" s="1331"/>
      <c r="AY197" s="1331"/>
      <c r="AZ197" s="1331"/>
      <c r="BA197" s="1331"/>
      <c r="BB197" s="1331"/>
      <c r="BC197" s="1331"/>
      <c r="BD197" s="1331"/>
      <c r="BE197" s="1331"/>
      <c r="BF197" s="874"/>
      <c r="BG197" s="169" t="s">
        <v>229</v>
      </c>
    </row>
    <row r="198" spans="1:63" ht="21.75" customHeight="1" x14ac:dyDescent="0.2">
      <c r="A198" s="874"/>
      <c r="B198" s="1332" t="str">
        <f>BI16</f>
        <v/>
      </c>
      <c r="C198" s="1331"/>
      <c r="D198" s="1331"/>
      <c r="E198" s="1331"/>
      <c r="F198" s="1331"/>
      <c r="G198" s="1331"/>
      <c r="H198" s="1331"/>
      <c r="I198" s="1331"/>
      <c r="J198" s="1331"/>
      <c r="K198" s="1331"/>
      <c r="L198" s="1331"/>
      <c r="M198" s="1331"/>
      <c r="N198" s="1331"/>
      <c r="O198" s="1331"/>
      <c r="P198" s="1331"/>
      <c r="Q198" s="1331"/>
      <c r="R198" s="1331"/>
      <c r="S198" s="1331"/>
      <c r="T198" s="1331"/>
      <c r="U198" s="1331"/>
      <c r="V198" s="1331"/>
      <c r="W198" s="1331"/>
      <c r="X198" s="1331"/>
      <c r="Y198" s="1331"/>
      <c r="Z198" s="1331"/>
      <c r="AA198" s="1331"/>
      <c r="AB198" s="1331"/>
      <c r="AC198" s="1331"/>
      <c r="AD198" s="1331"/>
      <c r="AE198" s="1331"/>
      <c r="AF198" s="1331"/>
      <c r="AG198" s="1331"/>
      <c r="AH198" s="1331"/>
      <c r="AI198" s="1331"/>
      <c r="AJ198" s="1331"/>
      <c r="AK198" s="1331"/>
      <c r="AL198" s="1331"/>
      <c r="AM198" s="1331"/>
      <c r="AN198" s="1331"/>
      <c r="AO198" s="1331"/>
      <c r="AP198" s="1331"/>
      <c r="AQ198" s="1331"/>
      <c r="AR198" s="1331"/>
      <c r="AS198" s="1331"/>
      <c r="AT198" s="1331"/>
      <c r="AU198" s="1331"/>
      <c r="AV198" s="1331"/>
      <c r="AW198" s="1331"/>
      <c r="AX198" s="1331"/>
      <c r="AY198" s="1331"/>
      <c r="AZ198" s="1331"/>
      <c r="BA198" s="1331"/>
      <c r="BB198" s="1331"/>
      <c r="BC198" s="1331"/>
      <c r="BD198" s="1331"/>
      <c r="BE198" s="1331"/>
      <c r="BF198" s="874"/>
    </row>
    <row r="199" spans="1:63" x14ac:dyDescent="0.2">
      <c r="A199" s="874"/>
      <c r="B199" s="1394" t="str">
        <f>E4&amp;" de "&amp;K4&amp;" de "&amp;V4</f>
        <v xml:space="preserve"> de  de </v>
      </c>
      <c r="C199" s="1394"/>
      <c r="D199" s="1394"/>
      <c r="E199" s="1394"/>
      <c r="F199" s="1394"/>
      <c r="G199" s="1394"/>
      <c r="H199" s="1394"/>
      <c r="I199" s="1394"/>
      <c r="J199" s="1394"/>
      <c r="K199" s="1394"/>
      <c r="L199" s="1394"/>
      <c r="M199" s="1394"/>
      <c r="N199" s="1394"/>
      <c r="O199" s="1394"/>
      <c r="P199" s="1394"/>
      <c r="Q199" s="1394"/>
      <c r="R199" s="1394"/>
      <c r="S199" s="1394"/>
      <c r="T199" s="1394"/>
      <c r="U199" s="1394"/>
      <c r="V199" s="1394"/>
      <c r="W199" s="1394"/>
      <c r="X199" s="1394"/>
      <c r="Y199" s="1394"/>
      <c r="Z199" s="1394"/>
      <c r="AA199" s="1394"/>
      <c r="AB199" s="1394"/>
      <c r="AC199" s="1394"/>
      <c r="AD199" s="1394"/>
      <c r="AE199" s="1394"/>
      <c r="AF199" s="1394"/>
      <c r="AG199" s="1394"/>
      <c r="AH199" s="1394"/>
      <c r="AI199" s="1394"/>
      <c r="AJ199" s="1394"/>
      <c r="AK199" s="1394"/>
      <c r="AL199" s="1394"/>
      <c r="AM199" s="1394"/>
      <c r="AN199" s="1394"/>
      <c r="AO199" s="1394"/>
      <c r="AP199" s="1394"/>
      <c r="AQ199" s="1394"/>
      <c r="AR199" s="1394"/>
      <c r="AS199" s="1394"/>
      <c r="AT199" s="1394"/>
      <c r="AU199" s="1394"/>
      <c r="AV199" s="1394"/>
      <c r="AW199" s="1394"/>
      <c r="AX199" s="1394"/>
      <c r="AY199" s="1394"/>
      <c r="AZ199" s="1394"/>
      <c r="BA199" s="1394"/>
      <c r="BB199" s="1394"/>
      <c r="BC199" s="1394"/>
      <c r="BD199" s="1394"/>
      <c r="BE199" s="1394"/>
      <c r="BF199" s="874"/>
    </row>
    <row r="200" spans="1:63" ht="13.5" thickBot="1" x14ac:dyDescent="0.25">
      <c r="A200" s="874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874"/>
    </row>
    <row r="201" spans="1:63" ht="13.5" thickBot="1" x14ac:dyDescent="0.25">
      <c r="A201" s="874"/>
      <c r="B201" s="1328" t="s">
        <v>227</v>
      </c>
      <c r="C201" s="1329"/>
      <c r="D201" s="1329"/>
      <c r="E201" s="1329"/>
      <c r="F201" s="1329"/>
      <c r="G201" s="1329"/>
      <c r="H201" s="1329"/>
      <c r="I201" s="1329"/>
      <c r="J201" s="1329"/>
      <c r="K201" s="1329"/>
      <c r="L201" s="1329"/>
      <c r="M201" s="1329"/>
      <c r="N201" s="1329"/>
      <c r="O201" s="1329"/>
      <c r="P201" s="1329"/>
      <c r="Q201" s="1329"/>
      <c r="R201" s="1329"/>
      <c r="S201" s="1329"/>
      <c r="T201" s="1329"/>
      <c r="U201" s="1329"/>
      <c r="V201" s="1329"/>
      <c r="W201" s="1329"/>
      <c r="X201" s="1329"/>
      <c r="Y201" s="1329"/>
      <c r="Z201" s="1329"/>
      <c r="AA201" s="1329"/>
      <c r="AB201" s="1329"/>
      <c r="AC201" s="1330"/>
      <c r="AD201" s="1366" t="s">
        <v>233</v>
      </c>
      <c r="AE201" s="1329"/>
      <c r="AF201" s="1329"/>
      <c r="AG201" s="1329"/>
      <c r="AH201" s="1329"/>
      <c r="AI201" s="1329"/>
      <c r="AJ201" s="1329"/>
      <c r="AK201" s="1329"/>
      <c r="AL201" s="1329"/>
      <c r="AM201" s="1329"/>
      <c r="AN201" s="1329"/>
      <c r="AO201" s="1329"/>
      <c r="AP201" s="1329"/>
      <c r="AQ201" s="1329"/>
      <c r="AR201" s="1329"/>
      <c r="AS201" s="1329"/>
      <c r="AT201" s="1329"/>
      <c r="AU201" s="1329"/>
      <c r="AV201" s="1329"/>
      <c r="AW201" s="1329"/>
      <c r="AX201" s="1329"/>
      <c r="AY201" s="1329"/>
      <c r="AZ201" s="1329"/>
      <c r="BA201" s="1329"/>
      <c r="BB201" s="1329"/>
      <c r="BC201" s="1329"/>
      <c r="BD201" s="1329"/>
      <c r="BE201" s="1367"/>
      <c r="BF201" s="874"/>
    </row>
    <row r="202" spans="1:63" x14ac:dyDescent="0.2">
      <c r="A202" s="874"/>
      <c r="B202" s="1325" t="s">
        <v>231</v>
      </c>
      <c r="C202" s="1326"/>
      <c r="D202" s="1326"/>
      <c r="E202" s="1326"/>
      <c r="F202" s="1326"/>
      <c r="G202" s="1326"/>
      <c r="H202" s="1326"/>
      <c r="I202" s="1326"/>
      <c r="J202" s="1326"/>
      <c r="K202" s="1326"/>
      <c r="L202" s="1326"/>
      <c r="M202" s="1326"/>
      <c r="N202" s="1326"/>
      <c r="O202" s="1326"/>
      <c r="P202" s="1326"/>
      <c r="Q202" s="1326"/>
      <c r="R202" s="1326"/>
      <c r="S202" s="1326"/>
      <c r="T202" s="1326"/>
      <c r="U202" s="1326"/>
      <c r="V202" s="1326"/>
      <c r="W202" s="1326"/>
      <c r="X202" s="1326"/>
      <c r="Y202" s="1326"/>
      <c r="Z202" s="1326"/>
      <c r="AA202" s="1326"/>
      <c r="AB202" s="1326"/>
      <c r="AC202" s="1327"/>
      <c r="AD202" s="1357"/>
      <c r="AE202" s="1358"/>
      <c r="AF202" s="1358"/>
      <c r="AG202" s="1358"/>
      <c r="AH202" s="1358"/>
      <c r="AI202" s="1358"/>
      <c r="AJ202" s="1358"/>
      <c r="AK202" s="1358"/>
      <c r="AL202" s="1358"/>
      <c r="AM202" s="1358"/>
      <c r="AN202" s="1358"/>
      <c r="AO202" s="1358"/>
      <c r="AP202" s="1358"/>
      <c r="AQ202" s="1358"/>
      <c r="AR202" s="1358"/>
      <c r="AS202" s="1358"/>
      <c r="AT202" s="1358"/>
      <c r="AU202" s="1358"/>
      <c r="AV202" s="1358"/>
      <c r="AW202" s="1358"/>
      <c r="AX202" s="1358"/>
      <c r="AY202" s="1358"/>
      <c r="AZ202" s="1358"/>
      <c r="BA202" s="1358"/>
      <c r="BB202" s="1358"/>
      <c r="BC202" s="1358"/>
      <c r="BD202" s="1358"/>
      <c r="BE202" s="1359"/>
      <c r="BF202" s="874"/>
    </row>
    <row r="203" spans="1:63" ht="13.5" thickBot="1" x14ac:dyDescent="0.25">
      <c r="A203" s="874"/>
      <c r="B203" s="1322"/>
      <c r="C203" s="1323"/>
      <c r="D203" s="1323"/>
      <c r="E203" s="1323"/>
      <c r="F203" s="1323"/>
      <c r="G203" s="1323"/>
      <c r="H203" s="1323"/>
      <c r="I203" s="1323"/>
      <c r="J203" s="1323"/>
      <c r="K203" s="1323"/>
      <c r="L203" s="1323"/>
      <c r="M203" s="1323"/>
      <c r="N203" s="1323"/>
      <c r="O203" s="1323"/>
      <c r="P203" s="1323"/>
      <c r="Q203" s="1323"/>
      <c r="R203" s="1323"/>
      <c r="S203" s="1323"/>
      <c r="T203" s="1323"/>
      <c r="U203" s="1323"/>
      <c r="V203" s="1323"/>
      <c r="W203" s="1323"/>
      <c r="X203" s="1323"/>
      <c r="Y203" s="1323"/>
      <c r="Z203" s="1323"/>
      <c r="AA203" s="1323"/>
      <c r="AB203" s="1323"/>
      <c r="AC203" s="1324"/>
      <c r="AD203" s="1360"/>
      <c r="AE203" s="1361"/>
      <c r="AF203" s="1361"/>
      <c r="AG203" s="1361"/>
      <c r="AH203" s="1361"/>
      <c r="AI203" s="1361"/>
      <c r="AJ203" s="1361"/>
      <c r="AK203" s="1361"/>
      <c r="AL203" s="1361"/>
      <c r="AM203" s="1361"/>
      <c r="AN203" s="1361"/>
      <c r="AO203" s="1361"/>
      <c r="AP203" s="1361"/>
      <c r="AQ203" s="1361"/>
      <c r="AR203" s="1361"/>
      <c r="AS203" s="1361"/>
      <c r="AT203" s="1361"/>
      <c r="AU203" s="1361"/>
      <c r="AV203" s="1361"/>
      <c r="AW203" s="1361"/>
      <c r="AX203" s="1361"/>
      <c r="AY203" s="1361"/>
      <c r="AZ203" s="1361"/>
      <c r="BA203" s="1361"/>
      <c r="BB203" s="1361"/>
      <c r="BC203" s="1361"/>
      <c r="BD203" s="1361"/>
      <c r="BE203" s="1362"/>
      <c r="BF203" s="874"/>
    </row>
    <row r="204" spans="1:63" x14ac:dyDescent="0.2">
      <c r="A204" s="874"/>
      <c r="B204" s="1325" t="s">
        <v>234</v>
      </c>
      <c r="C204" s="1326"/>
      <c r="D204" s="1326"/>
      <c r="E204" s="1326"/>
      <c r="F204" s="1326"/>
      <c r="G204" s="1326"/>
      <c r="H204" s="1326"/>
      <c r="I204" s="1326"/>
      <c r="J204" s="1326"/>
      <c r="K204" s="1326"/>
      <c r="L204" s="1326"/>
      <c r="M204" s="1326"/>
      <c r="N204" s="1326"/>
      <c r="O204" s="1326"/>
      <c r="P204" s="1326"/>
      <c r="Q204" s="1326"/>
      <c r="R204" s="1326"/>
      <c r="S204" s="1326"/>
      <c r="T204" s="1326"/>
      <c r="U204" s="1326"/>
      <c r="V204" s="1326"/>
      <c r="W204" s="1326"/>
      <c r="X204" s="1326"/>
      <c r="Y204" s="1326"/>
      <c r="Z204" s="1326"/>
      <c r="AA204" s="1326"/>
      <c r="AB204" s="1326"/>
      <c r="AC204" s="1327"/>
      <c r="AD204" s="1357"/>
      <c r="AE204" s="1358"/>
      <c r="AF204" s="1358"/>
      <c r="AG204" s="1358"/>
      <c r="AH204" s="1358"/>
      <c r="AI204" s="1358"/>
      <c r="AJ204" s="1358"/>
      <c r="AK204" s="1358"/>
      <c r="AL204" s="1358"/>
      <c r="AM204" s="1358"/>
      <c r="AN204" s="1358"/>
      <c r="AO204" s="1358"/>
      <c r="AP204" s="1358"/>
      <c r="AQ204" s="1358"/>
      <c r="AR204" s="1358"/>
      <c r="AS204" s="1358"/>
      <c r="AT204" s="1358"/>
      <c r="AU204" s="1358"/>
      <c r="AV204" s="1358"/>
      <c r="AW204" s="1358"/>
      <c r="AX204" s="1358"/>
      <c r="AY204" s="1358"/>
      <c r="AZ204" s="1358"/>
      <c r="BA204" s="1358"/>
      <c r="BB204" s="1358"/>
      <c r="BC204" s="1358"/>
      <c r="BD204" s="1358"/>
      <c r="BE204" s="1359"/>
      <c r="BF204" s="874"/>
      <c r="BG204" s="169"/>
    </row>
    <row r="205" spans="1:63" ht="13.5" thickBot="1" x14ac:dyDescent="0.25">
      <c r="A205" s="874"/>
      <c r="B205" s="1322"/>
      <c r="C205" s="1323"/>
      <c r="D205" s="1323"/>
      <c r="E205" s="1323"/>
      <c r="F205" s="1323"/>
      <c r="G205" s="1323"/>
      <c r="H205" s="1323"/>
      <c r="I205" s="1323"/>
      <c r="J205" s="1323"/>
      <c r="K205" s="1323"/>
      <c r="L205" s="1323"/>
      <c r="M205" s="1323"/>
      <c r="N205" s="1323"/>
      <c r="O205" s="1323"/>
      <c r="P205" s="1323"/>
      <c r="Q205" s="1323"/>
      <c r="R205" s="1323"/>
      <c r="S205" s="1323"/>
      <c r="T205" s="1323"/>
      <c r="U205" s="1323"/>
      <c r="V205" s="1323"/>
      <c r="W205" s="1323"/>
      <c r="X205" s="1323"/>
      <c r="Y205" s="1323"/>
      <c r="Z205" s="1323"/>
      <c r="AA205" s="1323"/>
      <c r="AB205" s="1323"/>
      <c r="AC205" s="1324"/>
      <c r="AD205" s="1360"/>
      <c r="AE205" s="1361"/>
      <c r="AF205" s="1361"/>
      <c r="AG205" s="1361"/>
      <c r="AH205" s="1361"/>
      <c r="AI205" s="1361"/>
      <c r="AJ205" s="1361"/>
      <c r="AK205" s="1361"/>
      <c r="AL205" s="1361"/>
      <c r="AM205" s="1361"/>
      <c r="AN205" s="1361"/>
      <c r="AO205" s="1361"/>
      <c r="AP205" s="1361"/>
      <c r="AQ205" s="1361"/>
      <c r="AR205" s="1361"/>
      <c r="AS205" s="1361"/>
      <c r="AT205" s="1361"/>
      <c r="AU205" s="1361"/>
      <c r="AV205" s="1361"/>
      <c r="AW205" s="1361"/>
      <c r="AX205" s="1361"/>
      <c r="AY205" s="1361"/>
      <c r="AZ205" s="1361"/>
      <c r="BA205" s="1361"/>
      <c r="BB205" s="1361"/>
      <c r="BC205" s="1361"/>
      <c r="BD205" s="1361"/>
      <c r="BE205" s="1362"/>
      <c r="BF205" s="874"/>
      <c r="BG205" s="169"/>
    </row>
    <row r="206" spans="1:63" x14ac:dyDescent="0.2">
      <c r="A206" s="874"/>
      <c r="B206" s="1325" t="s">
        <v>235</v>
      </c>
      <c r="C206" s="1326"/>
      <c r="D206" s="1326"/>
      <c r="E206" s="1326"/>
      <c r="F206" s="1326"/>
      <c r="G206" s="1326"/>
      <c r="H206" s="1326"/>
      <c r="I206" s="1326"/>
      <c r="J206" s="1326"/>
      <c r="K206" s="1326"/>
      <c r="L206" s="1326"/>
      <c r="M206" s="1326"/>
      <c r="N206" s="1326"/>
      <c r="O206" s="1326"/>
      <c r="P206" s="1326"/>
      <c r="Q206" s="1326"/>
      <c r="R206" s="1326"/>
      <c r="S206" s="1326"/>
      <c r="T206" s="1326"/>
      <c r="U206" s="1326"/>
      <c r="V206" s="1326"/>
      <c r="W206" s="1326"/>
      <c r="X206" s="1326"/>
      <c r="Y206" s="1326"/>
      <c r="Z206" s="1326"/>
      <c r="AA206" s="1326"/>
      <c r="AB206" s="1326"/>
      <c r="AC206" s="1327"/>
      <c r="AD206" s="1357"/>
      <c r="AE206" s="1358"/>
      <c r="AF206" s="1358"/>
      <c r="AG206" s="1358"/>
      <c r="AH206" s="1358"/>
      <c r="AI206" s="1358"/>
      <c r="AJ206" s="1358"/>
      <c r="AK206" s="1358"/>
      <c r="AL206" s="1358"/>
      <c r="AM206" s="1358"/>
      <c r="AN206" s="1358"/>
      <c r="AO206" s="1358"/>
      <c r="AP206" s="1358"/>
      <c r="AQ206" s="1358"/>
      <c r="AR206" s="1358"/>
      <c r="AS206" s="1358"/>
      <c r="AT206" s="1358"/>
      <c r="AU206" s="1358"/>
      <c r="AV206" s="1358"/>
      <c r="AW206" s="1358"/>
      <c r="AX206" s="1358"/>
      <c r="AY206" s="1358"/>
      <c r="AZ206" s="1358"/>
      <c r="BA206" s="1358"/>
      <c r="BB206" s="1358"/>
      <c r="BC206" s="1358"/>
      <c r="BD206" s="1358"/>
      <c r="BE206" s="1359"/>
      <c r="BF206" s="874"/>
      <c r="BG206" s="169"/>
      <c r="BH206" s="192" t="s">
        <v>455</v>
      </c>
    </row>
    <row r="207" spans="1:63" ht="13.5" thickBot="1" x14ac:dyDescent="0.25">
      <c r="A207" s="874"/>
      <c r="B207" s="1322"/>
      <c r="C207" s="1323"/>
      <c r="D207" s="1323"/>
      <c r="E207" s="1323"/>
      <c r="F207" s="1323"/>
      <c r="G207" s="1323"/>
      <c r="H207" s="1323"/>
      <c r="I207" s="1323"/>
      <c r="J207" s="1323"/>
      <c r="K207" s="1323"/>
      <c r="L207" s="1323"/>
      <c r="M207" s="1323"/>
      <c r="N207" s="1323"/>
      <c r="O207" s="1323"/>
      <c r="P207" s="1323"/>
      <c r="Q207" s="1323"/>
      <c r="R207" s="1323"/>
      <c r="S207" s="1323"/>
      <c r="T207" s="1323"/>
      <c r="U207" s="1323"/>
      <c r="V207" s="1323"/>
      <c r="W207" s="1323"/>
      <c r="X207" s="1323"/>
      <c r="Y207" s="1323"/>
      <c r="Z207" s="1323"/>
      <c r="AA207" s="1323"/>
      <c r="AB207" s="1323"/>
      <c r="AC207" s="1324"/>
      <c r="AD207" s="1360"/>
      <c r="AE207" s="1361"/>
      <c r="AF207" s="1361"/>
      <c r="AG207" s="1361"/>
      <c r="AH207" s="1361"/>
      <c r="AI207" s="1361"/>
      <c r="AJ207" s="1361"/>
      <c r="AK207" s="1361"/>
      <c r="AL207" s="1361"/>
      <c r="AM207" s="1361"/>
      <c r="AN207" s="1361"/>
      <c r="AO207" s="1361"/>
      <c r="AP207" s="1361"/>
      <c r="AQ207" s="1361"/>
      <c r="AR207" s="1361"/>
      <c r="AS207" s="1361"/>
      <c r="AT207" s="1361"/>
      <c r="AU207" s="1361"/>
      <c r="AV207" s="1361"/>
      <c r="AW207" s="1361"/>
      <c r="AX207" s="1361"/>
      <c r="AY207" s="1361"/>
      <c r="AZ207" s="1361"/>
      <c r="BA207" s="1361"/>
      <c r="BB207" s="1361"/>
      <c r="BC207" s="1361"/>
      <c r="BD207" s="1361"/>
      <c r="BE207" s="1362"/>
      <c r="BF207" s="874"/>
      <c r="BG207" s="169"/>
      <c r="BH207" s="192" t="s">
        <v>452</v>
      </c>
    </row>
    <row r="208" spans="1:63" x14ac:dyDescent="0.2">
      <c r="A208" s="874"/>
      <c r="B208" s="1325" t="s">
        <v>511</v>
      </c>
      <c r="C208" s="1326"/>
      <c r="D208" s="1326"/>
      <c r="E208" s="1326"/>
      <c r="F208" s="1326"/>
      <c r="G208" s="1326"/>
      <c r="H208" s="1326"/>
      <c r="I208" s="1326"/>
      <c r="J208" s="1326"/>
      <c r="K208" s="1326"/>
      <c r="L208" s="1326"/>
      <c r="M208" s="1326"/>
      <c r="N208" s="1326"/>
      <c r="O208" s="1326"/>
      <c r="P208" s="1326"/>
      <c r="Q208" s="1326"/>
      <c r="R208" s="1326"/>
      <c r="S208" s="1326"/>
      <c r="T208" s="1326"/>
      <c r="U208" s="1326"/>
      <c r="V208" s="1326"/>
      <c r="W208" s="1326"/>
      <c r="X208" s="1326"/>
      <c r="Y208" s="1326"/>
      <c r="Z208" s="1326"/>
      <c r="AA208" s="1326"/>
      <c r="AB208" s="1326"/>
      <c r="AC208" s="1327"/>
      <c r="AD208" s="1357"/>
      <c r="AE208" s="1358"/>
      <c r="AF208" s="1358"/>
      <c r="AG208" s="1358"/>
      <c r="AH208" s="1358"/>
      <c r="AI208" s="1358"/>
      <c r="AJ208" s="1358"/>
      <c r="AK208" s="1358"/>
      <c r="AL208" s="1358"/>
      <c r="AM208" s="1358"/>
      <c r="AN208" s="1358"/>
      <c r="AO208" s="1358"/>
      <c r="AP208" s="1358"/>
      <c r="AQ208" s="1358"/>
      <c r="AR208" s="1358"/>
      <c r="AS208" s="1358"/>
      <c r="AT208" s="1358"/>
      <c r="AU208" s="1358"/>
      <c r="AV208" s="1358"/>
      <c r="AW208" s="1358"/>
      <c r="AX208" s="1358"/>
      <c r="AY208" s="1358"/>
      <c r="AZ208" s="1358"/>
      <c r="BA208" s="1358"/>
      <c r="BB208" s="1358"/>
      <c r="BC208" s="1358"/>
      <c r="BD208" s="1358"/>
      <c r="BE208" s="1359"/>
      <c r="BF208" s="874"/>
      <c r="BG208" s="169"/>
      <c r="BH208" s="192" t="s">
        <v>453</v>
      </c>
    </row>
    <row r="209" spans="1:60" ht="13.5" thickBot="1" x14ac:dyDescent="0.25">
      <c r="A209" s="874"/>
      <c r="B209" s="1322"/>
      <c r="C209" s="1323"/>
      <c r="D209" s="1323"/>
      <c r="E209" s="1323"/>
      <c r="F209" s="1323"/>
      <c r="G209" s="1323"/>
      <c r="H209" s="1323"/>
      <c r="I209" s="1323"/>
      <c r="J209" s="1323"/>
      <c r="K209" s="1323"/>
      <c r="L209" s="1323"/>
      <c r="M209" s="1323"/>
      <c r="N209" s="1323"/>
      <c r="O209" s="1323"/>
      <c r="P209" s="1323"/>
      <c r="Q209" s="1323"/>
      <c r="R209" s="1323"/>
      <c r="S209" s="1323"/>
      <c r="T209" s="1323"/>
      <c r="U209" s="1323"/>
      <c r="V209" s="1323"/>
      <c r="W209" s="1323"/>
      <c r="X209" s="1323"/>
      <c r="Y209" s="1323"/>
      <c r="Z209" s="1323"/>
      <c r="AA209" s="1323"/>
      <c r="AB209" s="1323"/>
      <c r="AC209" s="1324"/>
      <c r="AD209" s="1360"/>
      <c r="AE209" s="1361"/>
      <c r="AF209" s="1361"/>
      <c r="AG209" s="1361"/>
      <c r="AH209" s="1361"/>
      <c r="AI209" s="1361"/>
      <c r="AJ209" s="1361"/>
      <c r="AK209" s="1361"/>
      <c r="AL209" s="1361"/>
      <c r="AM209" s="1361"/>
      <c r="AN209" s="1361"/>
      <c r="AO209" s="1361"/>
      <c r="AP209" s="1361"/>
      <c r="AQ209" s="1361"/>
      <c r="AR209" s="1361"/>
      <c r="AS209" s="1361"/>
      <c r="AT209" s="1361"/>
      <c r="AU209" s="1361"/>
      <c r="AV209" s="1361"/>
      <c r="AW209" s="1361"/>
      <c r="AX209" s="1361"/>
      <c r="AY209" s="1361"/>
      <c r="AZ209" s="1361"/>
      <c r="BA209" s="1361"/>
      <c r="BB209" s="1361"/>
      <c r="BC209" s="1361"/>
      <c r="BD209" s="1361"/>
      <c r="BE209" s="1362"/>
      <c r="BF209" s="874"/>
      <c r="BG209" s="169"/>
      <c r="BH209" s="57" t="str">
        <f>IF($BG$22="CEU",$BH$206&amp;$BH$208,$BH$206&amp;$BH$207)</f>
        <v>REUNIÃO DE PRESTAÇÃO DE CONTAS DA APM</v>
      </c>
    </row>
    <row r="210" spans="1:60" x14ac:dyDescent="0.2">
      <c r="A210" s="874"/>
      <c r="B210" s="1325" t="s">
        <v>647</v>
      </c>
      <c r="C210" s="1326"/>
      <c r="D210" s="1326"/>
      <c r="E210" s="1326"/>
      <c r="F210" s="1326"/>
      <c r="G210" s="1326"/>
      <c r="H210" s="1326"/>
      <c r="I210" s="1326"/>
      <c r="J210" s="1326"/>
      <c r="K210" s="1326"/>
      <c r="L210" s="1326"/>
      <c r="M210" s="1326"/>
      <c r="N210" s="1326"/>
      <c r="O210" s="1326"/>
      <c r="P210" s="1326"/>
      <c r="Q210" s="1326"/>
      <c r="R210" s="1326"/>
      <c r="S210" s="1326"/>
      <c r="T210" s="1326"/>
      <c r="U210" s="1326"/>
      <c r="V210" s="1326"/>
      <c r="W210" s="1326"/>
      <c r="X210" s="1326"/>
      <c r="Y210" s="1326"/>
      <c r="Z210" s="1326"/>
      <c r="AA210" s="1326"/>
      <c r="AB210" s="1326"/>
      <c r="AC210" s="1327"/>
      <c r="AD210" s="1357"/>
      <c r="AE210" s="1358"/>
      <c r="AF210" s="1358"/>
      <c r="AG210" s="1358"/>
      <c r="AH210" s="1358"/>
      <c r="AI210" s="1358"/>
      <c r="AJ210" s="1358"/>
      <c r="AK210" s="1358"/>
      <c r="AL210" s="1358"/>
      <c r="AM210" s="1358"/>
      <c r="AN210" s="1358"/>
      <c r="AO210" s="1358"/>
      <c r="AP210" s="1358"/>
      <c r="AQ210" s="1358"/>
      <c r="AR210" s="1358"/>
      <c r="AS210" s="1358"/>
      <c r="AT210" s="1358"/>
      <c r="AU210" s="1358"/>
      <c r="AV210" s="1358"/>
      <c r="AW210" s="1358"/>
      <c r="AX210" s="1358"/>
      <c r="AY210" s="1358"/>
      <c r="AZ210" s="1358"/>
      <c r="BA210" s="1358"/>
      <c r="BB210" s="1358"/>
      <c r="BC210" s="1358"/>
      <c r="BD210" s="1358"/>
      <c r="BE210" s="1359"/>
      <c r="BF210" s="874"/>
      <c r="BG210" s="169"/>
    </row>
    <row r="211" spans="1:60" ht="13.5" thickBot="1" x14ac:dyDescent="0.25">
      <c r="A211" s="874"/>
      <c r="B211" s="1322"/>
      <c r="C211" s="1323"/>
      <c r="D211" s="1323"/>
      <c r="E211" s="1323"/>
      <c r="F211" s="1323"/>
      <c r="G211" s="1323"/>
      <c r="H211" s="1323"/>
      <c r="I211" s="1323"/>
      <c r="J211" s="1323"/>
      <c r="K211" s="1323"/>
      <c r="L211" s="1323"/>
      <c r="M211" s="1323"/>
      <c r="N211" s="1323"/>
      <c r="O211" s="1323"/>
      <c r="P211" s="1323"/>
      <c r="Q211" s="1323"/>
      <c r="R211" s="1323"/>
      <c r="S211" s="1323"/>
      <c r="T211" s="1323"/>
      <c r="U211" s="1323"/>
      <c r="V211" s="1323"/>
      <c r="W211" s="1323"/>
      <c r="X211" s="1323"/>
      <c r="Y211" s="1323"/>
      <c r="Z211" s="1323"/>
      <c r="AA211" s="1323"/>
      <c r="AB211" s="1323"/>
      <c r="AC211" s="1324"/>
      <c r="AD211" s="1360"/>
      <c r="AE211" s="1361"/>
      <c r="AF211" s="1361"/>
      <c r="AG211" s="1361"/>
      <c r="AH211" s="1361"/>
      <c r="AI211" s="1361"/>
      <c r="AJ211" s="1361"/>
      <c r="AK211" s="1361"/>
      <c r="AL211" s="1361"/>
      <c r="AM211" s="1361"/>
      <c r="AN211" s="1361"/>
      <c r="AO211" s="1361"/>
      <c r="AP211" s="1361"/>
      <c r="AQ211" s="1361"/>
      <c r="AR211" s="1361"/>
      <c r="AS211" s="1361"/>
      <c r="AT211" s="1361"/>
      <c r="AU211" s="1361"/>
      <c r="AV211" s="1361"/>
      <c r="AW211" s="1361"/>
      <c r="AX211" s="1361"/>
      <c r="AY211" s="1361"/>
      <c r="AZ211" s="1361"/>
      <c r="BA211" s="1361"/>
      <c r="BB211" s="1361"/>
      <c r="BC211" s="1361"/>
      <c r="BD211" s="1361"/>
      <c r="BE211" s="1362"/>
      <c r="BF211" s="874"/>
      <c r="BG211" s="169"/>
      <c r="BH211" s="192" t="s">
        <v>456</v>
      </c>
    </row>
    <row r="212" spans="1:60" x14ac:dyDescent="0.2">
      <c r="A212" s="874"/>
      <c r="B212" s="1325" t="s">
        <v>647</v>
      </c>
      <c r="C212" s="1326"/>
      <c r="D212" s="1326"/>
      <c r="E212" s="1326"/>
      <c r="F212" s="1326"/>
      <c r="G212" s="1326"/>
      <c r="H212" s="1326"/>
      <c r="I212" s="1326"/>
      <c r="J212" s="1326"/>
      <c r="K212" s="1326"/>
      <c r="L212" s="1326"/>
      <c r="M212" s="1326"/>
      <c r="N212" s="1326"/>
      <c r="O212" s="1326"/>
      <c r="P212" s="1326"/>
      <c r="Q212" s="1326"/>
      <c r="R212" s="1326"/>
      <c r="S212" s="1326"/>
      <c r="T212" s="1326"/>
      <c r="U212" s="1326"/>
      <c r="V212" s="1326"/>
      <c r="W212" s="1326"/>
      <c r="X212" s="1326"/>
      <c r="Y212" s="1326"/>
      <c r="Z212" s="1326"/>
      <c r="AA212" s="1326"/>
      <c r="AB212" s="1326"/>
      <c r="AC212" s="1327"/>
      <c r="AD212" s="1357"/>
      <c r="AE212" s="1358"/>
      <c r="AF212" s="1358"/>
      <c r="AG212" s="1358"/>
      <c r="AH212" s="1358"/>
      <c r="AI212" s="1358"/>
      <c r="AJ212" s="1358"/>
      <c r="AK212" s="1358"/>
      <c r="AL212" s="1358"/>
      <c r="AM212" s="1358"/>
      <c r="AN212" s="1358"/>
      <c r="AO212" s="1358"/>
      <c r="AP212" s="1358"/>
      <c r="AQ212" s="1358"/>
      <c r="AR212" s="1358"/>
      <c r="AS212" s="1358"/>
      <c r="AT212" s="1358"/>
      <c r="AU212" s="1358"/>
      <c r="AV212" s="1358"/>
      <c r="AW212" s="1358"/>
      <c r="AX212" s="1358"/>
      <c r="AY212" s="1358"/>
      <c r="AZ212" s="1358"/>
      <c r="BA212" s="1358"/>
      <c r="BB212" s="1358"/>
      <c r="BC212" s="1358"/>
      <c r="BD212" s="1358"/>
      <c r="BE212" s="1359"/>
      <c r="BF212" s="874"/>
      <c r="BG212" s="169"/>
      <c r="BH212" s="57" t="str">
        <f>IF($BG$22="CEU",$BH$211&amp;$BH$208,$BH$211&amp;$BH$207)</f>
        <v>PARECER DO CONSELHO FISCAL DA APM</v>
      </c>
    </row>
    <row r="213" spans="1:60" ht="13.5" thickBot="1" x14ac:dyDescent="0.25">
      <c r="A213" s="874"/>
      <c r="B213" s="1322"/>
      <c r="C213" s="1323"/>
      <c r="D213" s="1323"/>
      <c r="E213" s="1323"/>
      <c r="F213" s="1323"/>
      <c r="G213" s="1323"/>
      <c r="H213" s="1323"/>
      <c r="I213" s="1323"/>
      <c r="J213" s="1323"/>
      <c r="K213" s="1323"/>
      <c r="L213" s="1323"/>
      <c r="M213" s="1323"/>
      <c r="N213" s="1323"/>
      <c r="O213" s="1323"/>
      <c r="P213" s="1323"/>
      <c r="Q213" s="1323"/>
      <c r="R213" s="1323"/>
      <c r="S213" s="1323"/>
      <c r="T213" s="1323"/>
      <c r="U213" s="1323"/>
      <c r="V213" s="1323"/>
      <c r="W213" s="1323"/>
      <c r="X213" s="1323"/>
      <c r="Y213" s="1323"/>
      <c r="Z213" s="1323"/>
      <c r="AA213" s="1323"/>
      <c r="AB213" s="1323"/>
      <c r="AC213" s="1324"/>
      <c r="AD213" s="1360"/>
      <c r="AE213" s="1361"/>
      <c r="AF213" s="1361"/>
      <c r="AG213" s="1361"/>
      <c r="AH213" s="1361"/>
      <c r="AI213" s="1361"/>
      <c r="AJ213" s="1361"/>
      <c r="AK213" s="1361"/>
      <c r="AL213" s="1361"/>
      <c r="AM213" s="1361"/>
      <c r="AN213" s="1361"/>
      <c r="AO213" s="1361"/>
      <c r="AP213" s="1361"/>
      <c r="AQ213" s="1361"/>
      <c r="AR213" s="1361"/>
      <c r="AS213" s="1361"/>
      <c r="AT213" s="1361"/>
      <c r="AU213" s="1361"/>
      <c r="AV213" s="1361"/>
      <c r="AW213" s="1361"/>
      <c r="AX213" s="1361"/>
      <c r="AY213" s="1361"/>
      <c r="AZ213" s="1361"/>
      <c r="BA213" s="1361"/>
      <c r="BB213" s="1361"/>
      <c r="BC213" s="1361"/>
      <c r="BD213" s="1361"/>
      <c r="BE213" s="1362"/>
      <c r="BF213" s="874"/>
      <c r="BG213" s="169"/>
    </row>
    <row r="214" spans="1:60" x14ac:dyDescent="0.2">
      <c r="A214" s="874"/>
      <c r="B214" s="1325" t="s">
        <v>647</v>
      </c>
      <c r="C214" s="1326"/>
      <c r="D214" s="1326"/>
      <c r="E214" s="1326"/>
      <c r="F214" s="1326"/>
      <c r="G214" s="1326"/>
      <c r="H214" s="1326"/>
      <c r="I214" s="1326"/>
      <c r="J214" s="1326"/>
      <c r="K214" s="1326"/>
      <c r="L214" s="1326"/>
      <c r="M214" s="1326"/>
      <c r="N214" s="1326"/>
      <c r="O214" s="1326"/>
      <c r="P214" s="1326"/>
      <c r="Q214" s="1326"/>
      <c r="R214" s="1326"/>
      <c r="S214" s="1326"/>
      <c r="T214" s="1326"/>
      <c r="U214" s="1326"/>
      <c r="V214" s="1326"/>
      <c r="W214" s="1326"/>
      <c r="X214" s="1326"/>
      <c r="Y214" s="1326"/>
      <c r="Z214" s="1326"/>
      <c r="AA214" s="1326"/>
      <c r="AB214" s="1326"/>
      <c r="AC214" s="1327"/>
      <c r="AD214" s="1357"/>
      <c r="AE214" s="1358"/>
      <c r="AF214" s="1358"/>
      <c r="AG214" s="1358"/>
      <c r="AH214" s="1358"/>
      <c r="AI214" s="1358"/>
      <c r="AJ214" s="1358"/>
      <c r="AK214" s="1358"/>
      <c r="AL214" s="1358"/>
      <c r="AM214" s="1358"/>
      <c r="AN214" s="1358"/>
      <c r="AO214" s="1358"/>
      <c r="AP214" s="1358"/>
      <c r="AQ214" s="1358"/>
      <c r="AR214" s="1358"/>
      <c r="AS214" s="1358"/>
      <c r="AT214" s="1358"/>
      <c r="AU214" s="1358"/>
      <c r="AV214" s="1358"/>
      <c r="AW214" s="1358"/>
      <c r="AX214" s="1358"/>
      <c r="AY214" s="1358"/>
      <c r="AZ214" s="1358"/>
      <c r="BA214" s="1358"/>
      <c r="BB214" s="1358"/>
      <c r="BC214" s="1358"/>
      <c r="BD214" s="1358"/>
      <c r="BE214" s="1359"/>
      <c r="BF214" s="874"/>
      <c r="BG214" s="169"/>
      <c r="BH214" s="192" t="s">
        <v>457</v>
      </c>
    </row>
    <row r="215" spans="1:60" ht="13.5" thickBot="1" x14ac:dyDescent="0.25">
      <c r="A215" s="874"/>
      <c r="B215" s="1322"/>
      <c r="C215" s="1323"/>
      <c r="D215" s="1323"/>
      <c r="E215" s="1323"/>
      <c r="F215" s="1323"/>
      <c r="G215" s="1323"/>
      <c r="H215" s="1323"/>
      <c r="I215" s="1323"/>
      <c r="J215" s="1323"/>
      <c r="K215" s="1323"/>
      <c r="L215" s="1323"/>
      <c r="M215" s="1323"/>
      <c r="N215" s="1323"/>
      <c r="O215" s="1323"/>
      <c r="P215" s="1323"/>
      <c r="Q215" s="1323"/>
      <c r="R215" s="1323"/>
      <c r="S215" s="1323"/>
      <c r="T215" s="1323"/>
      <c r="U215" s="1323"/>
      <c r="V215" s="1323"/>
      <c r="W215" s="1323"/>
      <c r="X215" s="1323"/>
      <c r="Y215" s="1323"/>
      <c r="Z215" s="1323"/>
      <c r="AA215" s="1323"/>
      <c r="AB215" s="1323"/>
      <c r="AC215" s="1324"/>
      <c r="AD215" s="1360"/>
      <c r="AE215" s="1361"/>
      <c r="AF215" s="1361"/>
      <c r="AG215" s="1361"/>
      <c r="AH215" s="1361"/>
      <c r="AI215" s="1361"/>
      <c r="AJ215" s="1361"/>
      <c r="AK215" s="1361"/>
      <c r="AL215" s="1361"/>
      <c r="AM215" s="1361"/>
      <c r="AN215" s="1361"/>
      <c r="AO215" s="1361"/>
      <c r="AP215" s="1361"/>
      <c r="AQ215" s="1361"/>
      <c r="AR215" s="1361"/>
      <c r="AS215" s="1361"/>
      <c r="AT215" s="1361"/>
      <c r="AU215" s="1361"/>
      <c r="AV215" s="1361"/>
      <c r="AW215" s="1361"/>
      <c r="AX215" s="1361"/>
      <c r="AY215" s="1361"/>
      <c r="AZ215" s="1361"/>
      <c r="BA215" s="1361"/>
      <c r="BB215" s="1361"/>
      <c r="BC215" s="1361"/>
      <c r="BD215" s="1361"/>
      <c r="BE215" s="1362"/>
      <c r="BF215" s="874"/>
      <c r="BG215" s="169"/>
      <c r="BH215" s="192" t="s">
        <v>458</v>
      </c>
    </row>
    <row r="216" spans="1:60" x14ac:dyDescent="0.2">
      <c r="A216" s="874"/>
      <c r="B216" s="1325" t="s">
        <v>647</v>
      </c>
      <c r="C216" s="1326"/>
      <c r="D216" s="1326"/>
      <c r="E216" s="1326"/>
      <c r="F216" s="1326"/>
      <c r="G216" s="1326"/>
      <c r="H216" s="1326"/>
      <c r="I216" s="1326"/>
      <c r="J216" s="1326"/>
      <c r="K216" s="1326"/>
      <c r="L216" s="1326"/>
      <c r="M216" s="1326"/>
      <c r="N216" s="1326"/>
      <c r="O216" s="1326"/>
      <c r="P216" s="1326"/>
      <c r="Q216" s="1326"/>
      <c r="R216" s="1326"/>
      <c r="S216" s="1326"/>
      <c r="T216" s="1326"/>
      <c r="U216" s="1326"/>
      <c r="V216" s="1326"/>
      <c r="W216" s="1326"/>
      <c r="X216" s="1326"/>
      <c r="Y216" s="1326"/>
      <c r="Z216" s="1326"/>
      <c r="AA216" s="1326"/>
      <c r="AB216" s="1326"/>
      <c r="AC216" s="1327"/>
      <c r="AD216" s="1357"/>
      <c r="AE216" s="1358"/>
      <c r="AF216" s="1358"/>
      <c r="AG216" s="1358"/>
      <c r="AH216" s="1358"/>
      <c r="AI216" s="1358"/>
      <c r="AJ216" s="1358"/>
      <c r="AK216" s="1358"/>
      <c r="AL216" s="1358"/>
      <c r="AM216" s="1358"/>
      <c r="AN216" s="1358"/>
      <c r="AO216" s="1358"/>
      <c r="AP216" s="1358"/>
      <c r="AQ216" s="1358"/>
      <c r="AR216" s="1358"/>
      <c r="AS216" s="1358"/>
      <c r="AT216" s="1358"/>
      <c r="AU216" s="1358"/>
      <c r="AV216" s="1358"/>
      <c r="AW216" s="1358"/>
      <c r="AX216" s="1358"/>
      <c r="AY216" s="1358"/>
      <c r="AZ216" s="1358"/>
      <c r="BA216" s="1358"/>
      <c r="BB216" s="1358"/>
      <c r="BC216" s="1358"/>
      <c r="BD216" s="1358"/>
      <c r="BE216" s="1359"/>
      <c r="BF216" s="874"/>
      <c r="BG216" s="169"/>
      <c r="BH216" s="192" t="s">
        <v>475</v>
      </c>
    </row>
    <row r="217" spans="1:60" ht="13.5" thickBot="1" x14ac:dyDescent="0.25">
      <c r="A217" s="874"/>
      <c r="B217" s="1322"/>
      <c r="C217" s="1323"/>
      <c r="D217" s="1323"/>
      <c r="E217" s="1323"/>
      <c r="F217" s="1323"/>
      <c r="G217" s="1323"/>
      <c r="H217" s="1323"/>
      <c r="I217" s="1323"/>
      <c r="J217" s="1323"/>
      <c r="K217" s="1323"/>
      <c r="L217" s="1323"/>
      <c r="M217" s="1323"/>
      <c r="N217" s="1323"/>
      <c r="O217" s="1323"/>
      <c r="P217" s="1323"/>
      <c r="Q217" s="1323"/>
      <c r="R217" s="1323"/>
      <c r="S217" s="1323"/>
      <c r="T217" s="1323"/>
      <c r="U217" s="1323"/>
      <c r="V217" s="1323"/>
      <c r="W217" s="1323"/>
      <c r="X217" s="1323"/>
      <c r="Y217" s="1323"/>
      <c r="Z217" s="1323"/>
      <c r="AA217" s="1323"/>
      <c r="AB217" s="1323"/>
      <c r="AC217" s="1324"/>
      <c r="AD217" s="1360"/>
      <c r="AE217" s="1361"/>
      <c r="AF217" s="1361"/>
      <c r="AG217" s="1361"/>
      <c r="AH217" s="1361"/>
      <c r="AI217" s="1361"/>
      <c r="AJ217" s="1361"/>
      <c r="AK217" s="1361"/>
      <c r="AL217" s="1361"/>
      <c r="AM217" s="1361"/>
      <c r="AN217" s="1361"/>
      <c r="AO217" s="1361"/>
      <c r="AP217" s="1361"/>
      <c r="AQ217" s="1361"/>
      <c r="AR217" s="1361"/>
      <c r="AS217" s="1361"/>
      <c r="AT217" s="1361"/>
      <c r="AU217" s="1361"/>
      <c r="AV217" s="1361"/>
      <c r="AW217" s="1361"/>
      <c r="AX217" s="1361"/>
      <c r="AY217" s="1361"/>
      <c r="AZ217" s="1361"/>
      <c r="BA217" s="1361"/>
      <c r="BB217" s="1361"/>
      <c r="BC217" s="1361"/>
      <c r="BD217" s="1361"/>
      <c r="BE217" s="1362"/>
      <c r="BF217" s="874"/>
      <c r="BG217" s="169"/>
    </row>
    <row r="218" spans="1:60" x14ac:dyDescent="0.2">
      <c r="A218" s="874"/>
      <c r="B218" s="1325" t="s">
        <v>647</v>
      </c>
      <c r="C218" s="1326"/>
      <c r="D218" s="1326"/>
      <c r="E218" s="1326"/>
      <c r="F218" s="1326"/>
      <c r="G218" s="1326"/>
      <c r="H218" s="1326"/>
      <c r="I218" s="1326"/>
      <c r="J218" s="1326"/>
      <c r="K218" s="1326"/>
      <c r="L218" s="1326"/>
      <c r="M218" s="1326"/>
      <c r="N218" s="1326"/>
      <c r="O218" s="1326"/>
      <c r="P218" s="1326"/>
      <c r="Q218" s="1326"/>
      <c r="R218" s="1326"/>
      <c r="S218" s="1326"/>
      <c r="T218" s="1326"/>
      <c r="U218" s="1326"/>
      <c r="V218" s="1326"/>
      <c r="W218" s="1326"/>
      <c r="X218" s="1326"/>
      <c r="Y218" s="1326"/>
      <c r="Z218" s="1326"/>
      <c r="AA218" s="1326"/>
      <c r="AB218" s="1326"/>
      <c r="AC218" s="1327"/>
      <c r="AD218" s="1357"/>
      <c r="AE218" s="1358"/>
      <c r="AF218" s="1358"/>
      <c r="AG218" s="1358"/>
      <c r="AH218" s="1358"/>
      <c r="AI218" s="1358"/>
      <c r="AJ218" s="1358"/>
      <c r="AK218" s="1358"/>
      <c r="AL218" s="1358"/>
      <c r="AM218" s="1358"/>
      <c r="AN218" s="1358"/>
      <c r="AO218" s="1358"/>
      <c r="AP218" s="1358"/>
      <c r="AQ218" s="1358"/>
      <c r="AR218" s="1358"/>
      <c r="AS218" s="1358"/>
      <c r="AT218" s="1358"/>
      <c r="AU218" s="1358"/>
      <c r="AV218" s="1358"/>
      <c r="AW218" s="1358"/>
      <c r="AX218" s="1358"/>
      <c r="AY218" s="1358"/>
      <c r="AZ218" s="1358"/>
      <c r="BA218" s="1358"/>
      <c r="BB218" s="1358"/>
      <c r="BC218" s="1358"/>
      <c r="BD218" s="1358"/>
      <c r="BE218" s="1359"/>
      <c r="BF218" s="874"/>
      <c r="BG218" s="169"/>
      <c r="BH218" s="57" t="str">
        <f>IF($BG$22="CEU",$BH$214&amp;$BH$216,$BH$214&amp;$BH$215)</f>
        <v xml:space="preserve">ATA DE PRESTAÇÃO DE CONTAS DA ASSOCIAÇÃO DE PAIS E MESTRES </v>
      </c>
    </row>
    <row r="219" spans="1:60" ht="13.5" thickBot="1" x14ac:dyDescent="0.25">
      <c r="A219" s="874"/>
      <c r="B219" s="1322"/>
      <c r="C219" s="1323"/>
      <c r="D219" s="1323"/>
      <c r="E219" s="1323"/>
      <c r="F219" s="1323"/>
      <c r="G219" s="1323"/>
      <c r="H219" s="1323"/>
      <c r="I219" s="1323"/>
      <c r="J219" s="1323"/>
      <c r="K219" s="1323"/>
      <c r="L219" s="1323"/>
      <c r="M219" s="1323"/>
      <c r="N219" s="1323"/>
      <c r="O219" s="1323"/>
      <c r="P219" s="1323"/>
      <c r="Q219" s="1323"/>
      <c r="R219" s="1323"/>
      <c r="S219" s="1323"/>
      <c r="T219" s="1323"/>
      <c r="U219" s="1323"/>
      <c r="V219" s="1323"/>
      <c r="W219" s="1323"/>
      <c r="X219" s="1323"/>
      <c r="Y219" s="1323"/>
      <c r="Z219" s="1323"/>
      <c r="AA219" s="1323"/>
      <c r="AB219" s="1323"/>
      <c r="AC219" s="1324"/>
      <c r="AD219" s="1360"/>
      <c r="AE219" s="1361"/>
      <c r="AF219" s="1361"/>
      <c r="AG219" s="1361"/>
      <c r="AH219" s="1361"/>
      <c r="AI219" s="1361"/>
      <c r="AJ219" s="1361"/>
      <c r="AK219" s="1361"/>
      <c r="AL219" s="1361"/>
      <c r="AM219" s="1361"/>
      <c r="AN219" s="1361"/>
      <c r="AO219" s="1361"/>
      <c r="AP219" s="1361"/>
      <c r="AQ219" s="1361"/>
      <c r="AR219" s="1361"/>
      <c r="AS219" s="1361"/>
      <c r="AT219" s="1361"/>
      <c r="AU219" s="1361"/>
      <c r="AV219" s="1361"/>
      <c r="AW219" s="1361"/>
      <c r="AX219" s="1361"/>
      <c r="AY219" s="1361"/>
      <c r="AZ219" s="1361"/>
      <c r="BA219" s="1361"/>
      <c r="BB219" s="1361"/>
      <c r="BC219" s="1361"/>
      <c r="BD219" s="1361"/>
      <c r="BE219" s="1362"/>
      <c r="BF219" s="874"/>
      <c r="BG219" s="169"/>
    </row>
    <row r="220" spans="1:60" ht="13.5" thickBot="1" x14ac:dyDescent="0.25">
      <c r="A220" s="874"/>
      <c r="B220" s="1387"/>
      <c r="C220" s="1387"/>
      <c r="D220" s="1387"/>
      <c r="E220" s="1387"/>
      <c r="F220" s="1387"/>
      <c r="G220" s="1387"/>
      <c r="H220" s="1387"/>
      <c r="I220" s="1387"/>
      <c r="J220" s="1387"/>
      <c r="K220" s="1387"/>
      <c r="L220" s="1387"/>
      <c r="M220" s="1387"/>
      <c r="N220" s="1387"/>
      <c r="O220" s="1387"/>
      <c r="P220" s="1387"/>
      <c r="Q220" s="1387"/>
      <c r="R220" s="1387"/>
      <c r="S220" s="1387"/>
      <c r="T220" s="1387"/>
      <c r="U220" s="1387"/>
      <c r="V220" s="1387"/>
      <c r="W220" s="1387"/>
      <c r="X220" s="1387"/>
      <c r="Y220" s="1387"/>
      <c r="Z220" s="1387"/>
      <c r="AA220" s="1387"/>
      <c r="AB220" s="1387"/>
      <c r="AC220" s="1387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874"/>
      <c r="BG220" s="169"/>
    </row>
    <row r="221" spans="1:60" ht="13.5" thickBot="1" x14ac:dyDescent="0.25">
      <c r="A221" s="874"/>
      <c r="B221" s="1328" t="s">
        <v>236</v>
      </c>
      <c r="C221" s="1329"/>
      <c r="D221" s="1329"/>
      <c r="E221" s="1329"/>
      <c r="F221" s="1329"/>
      <c r="G221" s="1329"/>
      <c r="H221" s="1329"/>
      <c r="I221" s="1329"/>
      <c r="J221" s="1329"/>
      <c r="K221" s="1329"/>
      <c r="L221" s="1329"/>
      <c r="M221" s="1329"/>
      <c r="N221" s="1329"/>
      <c r="O221" s="1329"/>
      <c r="P221" s="1329"/>
      <c r="Q221" s="1329"/>
      <c r="R221" s="1329"/>
      <c r="S221" s="1329"/>
      <c r="T221" s="1329"/>
      <c r="U221" s="1329"/>
      <c r="V221" s="1329"/>
      <c r="W221" s="1329"/>
      <c r="X221" s="1329"/>
      <c r="Y221" s="1329"/>
      <c r="Z221" s="1329"/>
      <c r="AA221" s="1329"/>
      <c r="AB221" s="1329"/>
      <c r="AC221" s="1330"/>
      <c r="AD221" s="1366" t="s">
        <v>233</v>
      </c>
      <c r="AE221" s="1329"/>
      <c r="AF221" s="1329"/>
      <c r="AG221" s="1329"/>
      <c r="AH221" s="1329"/>
      <c r="AI221" s="1329"/>
      <c r="AJ221" s="1329"/>
      <c r="AK221" s="1329"/>
      <c r="AL221" s="1329"/>
      <c r="AM221" s="1329"/>
      <c r="AN221" s="1329"/>
      <c r="AO221" s="1329"/>
      <c r="AP221" s="1329"/>
      <c r="AQ221" s="1329"/>
      <c r="AR221" s="1329"/>
      <c r="AS221" s="1329"/>
      <c r="AT221" s="1329"/>
      <c r="AU221" s="1329"/>
      <c r="AV221" s="1329"/>
      <c r="AW221" s="1329"/>
      <c r="AX221" s="1329"/>
      <c r="AY221" s="1329"/>
      <c r="AZ221" s="1329"/>
      <c r="BA221" s="1329"/>
      <c r="BB221" s="1329"/>
      <c r="BC221" s="1329"/>
      <c r="BD221" s="1329"/>
      <c r="BE221" s="1367"/>
      <c r="BF221" s="874"/>
      <c r="BG221" s="169"/>
      <c r="BH221" s="192" t="s">
        <v>585</v>
      </c>
    </row>
    <row r="222" spans="1:60" x14ac:dyDescent="0.2">
      <c r="A222" s="874"/>
      <c r="B222" s="1325" t="s">
        <v>672</v>
      </c>
      <c r="C222" s="1326"/>
      <c r="D222" s="1326"/>
      <c r="E222" s="1326"/>
      <c r="F222" s="1326"/>
      <c r="G222" s="1326"/>
      <c r="H222" s="1326"/>
      <c r="I222" s="1326"/>
      <c r="J222" s="1326"/>
      <c r="K222" s="1326"/>
      <c r="L222" s="1326"/>
      <c r="M222" s="1326"/>
      <c r="N222" s="1326"/>
      <c r="O222" s="1326"/>
      <c r="P222" s="1326"/>
      <c r="Q222" s="1326"/>
      <c r="R222" s="1326"/>
      <c r="S222" s="1326"/>
      <c r="T222" s="1326"/>
      <c r="U222" s="1326"/>
      <c r="V222" s="1326"/>
      <c r="W222" s="1326"/>
      <c r="X222" s="1326"/>
      <c r="Y222" s="1326"/>
      <c r="Z222" s="1326"/>
      <c r="AA222" s="1326"/>
      <c r="AB222" s="1326"/>
      <c r="AC222" s="1327"/>
      <c r="AD222" s="1357"/>
      <c r="AE222" s="1358"/>
      <c r="AF222" s="1358"/>
      <c r="AG222" s="1358"/>
      <c r="AH222" s="1358"/>
      <c r="AI222" s="1358"/>
      <c r="AJ222" s="1358"/>
      <c r="AK222" s="1358"/>
      <c r="AL222" s="1358"/>
      <c r="AM222" s="1358"/>
      <c r="AN222" s="1358"/>
      <c r="AO222" s="1358"/>
      <c r="AP222" s="1358"/>
      <c r="AQ222" s="1358"/>
      <c r="AR222" s="1358"/>
      <c r="AS222" s="1358"/>
      <c r="AT222" s="1358"/>
      <c r="AU222" s="1358"/>
      <c r="AV222" s="1358"/>
      <c r="AW222" s="1358"/>
      <c r="AX222" s="1358"/>
      <c r="AY222" s="1358"/>
      <c r="AZ222" s="1358"/>
      <c r="BA222" s="1358"/>
      <c r="BB222" s="1358"/>
      <c r="BC222" s="1358"/>
      <c r="BD222" s="1358"/>
      <c r="BE222" s="1359"/>
      <c r="BF222" s="874"/>
      <c r="BG222" s="169"/>
      <c r="BH222" s="192" t="s">
        <v>510</v>
      </c>
    </row>
    <row r="223" spans="1:60" ht="13.5" thickBot="1" x14ac:dyDescent="0.25">
      <c r="A223" s="874"/>
      <c r="B223" s="1322"/>
      <c r="C223" s="1323"/>
      <c r="D223" s="1323"/>
      <c r="E223" s="1323"/>
      <c r="F223" s="1323"/>
      <c r="G223" s="1323"/>
      <c r="H223" s="1323"/>
      <c r="I223" s="1323"/>
      <c r="J223" s="1323"/>
      <c r="K223" s="1323"/>
      <c r="L223" s="1323"/>
      <c r="M223" s="1323"/>
      <c r="N223" s="1323"/>
      <c r="O223" s="1323"/>
      <c r="P223" s="1323"/>
      <c r="Q223" s="1323"/>
      <c r="R223" s="1323"/>
      <c r="S223" s="1323"/>
      <c r="T223" s="1323"/>
      <c r="U223" s="1323"/>
      <c r="V223" s="1323"/>
      <c r="W223" s="1323"/>
      <c r="X223" s="1323"/>
      <c r="Y223" s="1323"/>
      <c r="Z223" s="1323"/>
      <c r="AA223" s="1323"/>
      <c r="AB223" s="1323"/>
      <c r="AC223" s="1324"/>
      <c r="AD223" s="1360"/>
      <c r="AE223" s="1361"/>
      <c r="AF223" s="1361"/>
      <c r="AG223" s="1361"/>
      <c r="AH223" s="1361"/>
      <c r="AI223" s="1361"/>
      <c r="AJ223" s="1361"/>
      <c r="AK223" s="1361"/>
      <c r="AL223" s="1361"/>
      <c r="AM223" s="1361"/>
      <c r="AN223" s="1361"/>
      <c r="AO223" s="1361"/>
      <c r="AP223" s="1361"/>
      <c r="AQ223" s="1361"/>
      <c r="AR223" s="1361"/>
      <c r="AS223" s="1361"/>
      <c r="AT223" s="1361"/>
      <c r="AU223" s="1361"/>
      <c r="AV223" s="1361"/>
      <c r="AW223" s="1361"/>
      <c r="AX223" s="1361"/>
      <c r="AY223" s="1361"/>
      <c r="AZ223" s="1361"/>
      <c r="BA223" s="1361"/>
      <c r="BB223" s="1361"/>
      <c r="BC223" s="1361"/>
      <c r="BD223" s="1361"/>
      <c r="BE223" s="1362"/>
      <c r="BF223" s="874"/>
      <c r="BG223" s="169"/>
    </row>
    <row r="224" spans="1:60" x14ac:dyDescent="0.2">
      <c r="A224" s="874"/>
      <c r="B224" s="1325" t="s">
        <v>648</v>
      </c>
      <c r="C224" s="1326"/>
      <c r="D224" s="1326"/>
      <c r="E224" s="1326"/>
      <c r="F224" s="1326"/>
      <c r="G224" s="1326"/>
      <c r="H224" s="1326"/>
      <c r="I224" s="1326"/>
      <c r="J224" s="1326"/>
      <c r="K224" s="1326"/>
      <c r="L224" s="1326"/>
      <c r="M224" s="1326"/>
      <c r="N224" s="1326"/>
      <c r="O224" s="1326"/>
      <c r="P224" s="1326"/>
      <c r="Q224" s="1326"/>
      <c r="R224" s="1326"/>
      <c r="S224" s="1326"/>
      <c r="T224" s="1326"/>
      <c r="U224" s="1326"/>
      <c r="V224" s="1326"/>
      <c r="W224" s="1326"/>
      <c r="X224" s="1326"/>
      <c r="Y224" s="1326"/>
      <c r="Z224" s="1326"/>
      <c r="AA224" s="1326"/>
      <c r="AB224" s="1326"/>
      <c r="AC224" s="1327"/>
      <c r="AD224" s="1357"/>
      <c r="AE224" s="1358"/>
      <c r="AF224" s="1358"/>
      <c r="AG224" s="1358"/>
      <c r="AH224" s="1358"/>
      <c r="AI224" s="1358"/>
      <c r="AJ224" s="1358"/>
      <c r="AK224" s="1358"/>
      <c r="AL224" s="1358"/>
      <c r="AM224" s="1358"/>
      <c r="AN224" s="1358"/>
      <c r="AO224" s="1358"/>
      <c r="AP224" s="1358"/>
      <c r="AQ224" s="1358"/>
      <c r="AR224" s="1358"/>
      <c r="AS224" s="1358"/>
      <c r="AT224" s="1358"/>
      <c r="AU224" s="1358"/>
      <c r="AV224" s="1358"/>
      <c r="AW224" s="1358"/>
      <c r="AX224" s="1358"/>
      <c r="AY224" s="1358"/>
      <c r="AZ224" s="1358"/>
      <c r="BA224" s="1358"/>
      <c r="BB224" s="1358"/>
      <c r="BC224" s="1358"/>
      <c r="BD224" s="1358"/>
      <c r="BE224" s="1359"/>
      <c r="BF224" s="874"/>
      <c r="BG224" s="169"/>
      <c r="BH224" s="850" t="s">
        <v>1308</v>
      </c>
    </row>
    <row r="225" spans="1:60" ht="13.5" thickBot="1" x14ac:dyDescent="0.25">
      <c r="A225" s="874"/>
      <c r="B225" s="1322"/>
      <c r="C225" s="1323"/>
      <c r="D225" s="1323"/>
      <c r="E225" s="1323"/>
      <c r="F225" s="1323"/>
      <c r="G225" s="1323"/>
      <c r="H225" s="1323"/>
      <c r="I225" s="1323"/>
      <c r="J225" s="1323"/>
      <c r="K225" s="1323"/>
      <c r="L225" s="1323"/>
      <c r="M225" s="1323"/>
      <c r="N225" s="1323"/>
      <c r="O225" s="1323"/>
      <c r="P225" s="1323"/>
      <c r="Q225" s="1323"/>
      <c r="R225" s="1323"/>
      <c r="S225" s="1323"/>
      <c r="T225" s="1323"/>
      <c r="U225" s="1323"/>
      <c r="V225" s="1323"/>
      <c r="W225" s="1323"/>
      <c r="X225" s="1323"/>
      <c r="Y225" s="1323"/>
      <c r="Z225" s="1323"/>
      <c r="AA225" s="1323"/>
      <c r="AB225" s="1323"/>
      <c r="AC225" s="1324"/>
      <c r="AD225" s="1360"/>
      <c r="AE225" s="1361"/>
      <c r="AF225" s="1361"/>
      <c r="AG225" s="1361"/>
      <c r="AH225" s="1361"/>
      <c r="AI225" s="1361"/>
      <c r="AJ225" s="1361"/>
      <c r="AK225" s="1361"/>
      <c r="AL225" s="1361"/>
      <c r="AM225" s="1361"/>
      <c r="AN225" s="1361"/>
      <c r="AO225" s="1361"/>
      <c r="AP225" s="1361"/>
      <c r="AQ225" s="1361"/>
      <c r="AR225" s="1361"/>
      <c r="AS225" s="1361"/>
      <c r="AT225" s="1361"/>
      <c r="AU225" s="1361"/>
      <c r="AV225" s="1361"/>
      <c r="AW225" s="1361"/>
      <c r="AX225" s="1361"/>
      <c r="AY225" s="1361"/>
      <c r="AZ225" s="1361"/>
      <c r="BA225" s="1361"/>
      <c r="BB225" s="1361"/>
      <c r="BC225" s="1361"/>
      <c r="BD225" s="1361"/>
      <c r="BE225" s="1362"/>
      <c r="BF225" s="874"/>
      <c r="BG225" s="169"/>
      <c r="BH225" s="57" t="s">
        <v>514</v>
      </c>
    </row>
    <row r="226" spans="1:60" x14ac:dyDescent="0.2">
      <c r="A226" s="874"/>
      <c r="B226" s="1325" t="s">
        <v>648</v>
      </c>
      <c r="C226" s="1326"/>
      <c r="D226" s="1326"/>
      <c r="E226" s="1326"/>
      <c r="F226" s="1326"/>
      <c r="G226" s="1326"/>
      <c r="H226" s="1326"/>
      <c r="I226" s="1326"/>
      <c r="J226" s="1326"/>
      <c r="K226" s="1326"/>
      <c r="L226" s="1326"/>
      <c r="M226" s="1326"/>
      <c r="N226" s="1326"/>
      <c r="O226" s="1326"/>
      <c r="P226" s="1326"/>
      <c r="Q226" s="1326"/>
      <c r="R226" s="1326"/>
      <c r="S226" s="1326"/>
      <c r="T226" s="1326"/>
      <c r="U226" s="1326"/>
      <c r="V226" s="1326"/>
      <c r="W226" s="1326"/>
      <c r="X226" s="1326"/>
      <c r="Y226" s="1326"/>
      <c r="Z226" s="1326"/>
      <c r="AA226" s="1326"/>
      <c r="AB226" s="1326"/>
      <c r="AC226" s="1327"/>
      <c r="AD226" s="1357"/>
      <c r="AE226" s="1358"/>
      <c r="AF226" s="1358"/>
      <c r="AG226" s="1358"/>
      <c r="AH226" s="1358"/>
      <c r="AI226" s="1358"/>
      <c r="AJ226" s="1358"/>
      <c r="AK226" s="1358"/>
      <c r="AL226" s="1358"/>
      <c r="AM226" s="1358"/>
      <c r="AN226" s="1358"/>
      <c r="AO226" s="1358"/>
      <c r="AP226" s="1358"/>
      <c r="AQ226" s="1358"/>
      <c r="AR226" s="1358"/>
      <c r="AS226" s="1358"/>
      <c r="AT226" s="1358"/>
      <c r="AU226" s="1358"/>
      <c r="AV226" s="1358"/>
      <c r="AW226" s="1358"/>
      <c r="AX226" s="1358"/>
      <c r="AY226" s="1358"/>
      <c r="AZ226" s="1358"/>
      <c r="BA226" s="1358"/>
      <c r="BB226" s="1358"/>
      <c r="BC226" s="1358"/>
      <c r="BD226" s="1358"/>
      <c r="BE226" s="1359"/>
      <c r="BF226" s="874"/>
      <c r="BG226" s="169"/>
      <c r="BH226" s="57" t="s">
        <v>334</v>
      </c>
    </row>
    <row r="227" spans="1:60" ht="13.5" thickBot="1" x14ac:dyDescent="0.25">
      <c r="A227" s="874"/>
      <c r="B227" s="1322"/>
      <c r="C227" s="1323"/>
      <c r="D227" s="1323"/>
      <c r="E227" s="1323"/>
      <c r="F227" s="1323"/>
      <c r="G227" s="1323"/>
      <c r="H227" s="1323"/>
      <c r="I227" s="1323"/>
      <c r="J227" s="1323"/>
      <c r="K227" s="1323"/>
      <c r="L227" s="1323"/>
      <c r="M227" s="1323"/>
      <c r="N227" s="1323"/>
      <c r="O227" s="1323"/>
      <c r="P227" s="1323"/>
      <c r="Q227" s="1323"/>
      <c r="R227" s="1323"/>
      <c r="S227" s="1323"/>
      <c r="T227" s="1323"/>
      <c r="U227" s="1323"/>
      <c r="V227" s="1323"/>
      <c r="W227" s="1323"/>
      <c r="X227" s="1323"/>
      <c r="Y227" s="1323"/>
      <c r="Z227" s="1323"/>
      <c r="AA227" s="1323"/>
      <c r="AB227" s="1323"/>
      <c r="AC227" s="1324"/>
      <c r="AD227" s="1360"/>
      <c r="AE227" s="1361"/>
      <c r="AF227" s="1361"/>
      <c r="AG227" s="1361"/>
      <c r="AH227" s="1361"/>
      <c r="AI227" s="1361"/>
      <c r="AJ227" s="1361"/>
      <c r="AK227" s="1361"/>
      <c r="AL227" s="1361"/>
      <c r="AM227" s="1361"/>
      <c r="AN227" s="1361"/>
      <c r="AO227" s="1361"/>
      <c r="AP227" s="1361"/>
      <c r="AQ227" s="1361"/>
      <c r="AR227" s="1361"/>
      <c r="AS227" s="1361"/>
      <c r="AT227" s="1361"/>
      <c r="AU227" s="1361"/>
      <c r="AV227" s="1361"/>
      <c r="AW227" s="1361"/>
      <c r="AX227" s="1361"/>
      <c r="AY227" s="1361"/>
      <c r="AZ227" s="1361"/>
      <c r="BA227" s="1361"/>
      <c r="BB227" s="1361"/>
      <c r="BC227" s="1361"/>
      <c r="BD227" s="1361"/>
      <c r="BE227" s="1362"/>
      <c r="BF227" s="874"/>
      <c r="BG227" s="169"/>
      <c r="BH227" s="57" t="s">
        <v>335</v>
      </c>
    </row>
    <row r="228" spans="1:60" x14ac:dyDescent="0.2">
      <c r="A228" s="874"/>
      <c r="B228" s="1325" t="s">
        <v>648</v>
      </c>
      <c r="C228" s="1326"/>
      <c r="D228" s="1326"/>
      <c r="E228" s="1326"/>
      <c r="F228" s="1326"/>
      <c r="G228" s="1326"/>
      <c r="H228" s="1326"/>
      <c r="I228" s="1326"/>
      <c r="J228" s="1326"/>
      <c r="K228" s="1326"/>
      <c r="L228" s="1326"/>
      <c r="M228" s="1326"/>
      <c r="N228" s="1326"/>
      <c r="O228" s="1326"/>
      <c r="P228" s="1326"/>
      <c r="Q228" s="1326"/>
      <c r="R228" s="1326"/>
      <c r="S228" s="1326"/>
      <c r="T228" s="1326"/>
      <c r="U228" s="1326"/>
      <c r="V228" s="1326"/>
      <c r="W228" s="1326"/>
      <c r="X228" s="1326"/>
      <c r="Y228" s="1326"/>
      <c r="Z228" s="1326"/>
      <c r="AA228" s="1326"/>
      <c r="AB228" s="1326"/>
      <c r="AC228" s="1327"/>
      <c r="AD228" s="1357"/>
      <c r="AE228" s="1358"/>
      <c r="AF228" s="1358"/>
      <c r="AG228" s="1358"/>
      <c r="AH228" s="1358"/>
      <c r="AI228" s="1358"/>
      <c r="AJ228" s="1358"/>
      <c r="AK228" s="1358"/>
      <c r="AL228" s="1358"/>
      <c r="AM228" s="1358"/>
      <c r="AN228" s="1358"/>
      <c r="AO228" s="1358"/>
      <c r="AP228" s="1358"/>
      <c r="AQ228" s="1358"/>
      <c r="AR228" s="1358"/>
      <c r="AS228" s="1358"/>
      <c r="AT228" s="1358"/>
      <c r="AU228" s="1358"/>
      <c r="AV228" s="1358"/>
      <c r="AW228" s="1358"/>
      <c r="AX228" s="1358"/>
      <c r="AY228" s="1358"/>
      <c r="AZ228" s="1358"/>
      <c r="BA228" s="1358"/>
      <c r="BB228" s="1358"/>
      <c r="BC228" s="1358"/>
      <c r="BD228" s="1358"/>
      <c r="BE228" s="1359"/>
      <c r="BF228" s="874"/>
      <c r="BG228" s="169"/>
      <c r="BH228" s="57" t="s">
        <v>586</v>
      </c>
    </row>
    <row r="229" spans="1:60" ht="13.5" thickBot="1" x14ac:dyDescent="0.25">
      <c r="A229" s="874"/>
      <c r="B229" s="1322"/>
      <c r="C229" s="1323"/>
      <c r="D229" s="1323"/>
      <c r="E229" s="1323"/>
      <c r="F229" s="1323"/>
      <c r="G229" s="1323"/>
      <c r="H229" s="1323"/>
      <c r="I229" s="1323"/>
      <c r="J229" s="1323"/>
      <c r="K229" s="1323"/>
      <c r="L229" s="1323"/>
      <c r="M229" s="1323"/>
      <c r="N229" s="1323"/>
      <c r="O229" s="1323"/>
      <c r="P229" s="1323"/>
      <c r="Q229" s="1323"/>
      <c r="R229" s="1323"/>
      <c r="S229" s="1323"/>
      <c r="T229" s="1323"/>
      <c r="U229" s="1323"/>
      <c r="V229" s="1323"/>
      <c r="W229" s="1323"/>
      <c r="X229" s="1323"/>
      <c r="Y229" s="1323"/>
      <c r="Z229" s="1323"/>
      <c r="AA229" s="1323"/>
      <c r="AB229" s="1323"/>
      <c r="AC229" s="1324"/>
      <c r="AD229" s="1360"/>
      <c r="AE229" s="1361"/>
      <c r="AF229" s="1361"/>
      <c r="AG229" s="1361"/>
      <c r="AH229" s="1361"/>
      <c r="AI229" s="1361"/>
      <c r="AJ229" s="1361"/>
      <c r="AK229" s="1361"/>
      <c r="AL229" s="1361"/>
      <c r="AM229" s="1361"/>
      <c r="AN229" s="1361"/>
      <c r="AO229" s="1361"/>
      <c r="AP229" s="1361"/>
      <c r="AQ229" s="1361"/>
      <c r="AR229" s="1361"/>
      <c r="AS229" s="1361"/>
      <c r="AT229" s="1361"/>
      <c r="AU229" s="1361"/>
      <c r="AV229" s="1361"/>
      <c r="AW229" s="1361"/>
      <c r="AX229" s="1361"/>
      <c r="AY229" s="1361"/>
      <c r="AZ229" s="1361"/>
      <c r="BA229" s="1361"/>
      <c r="BB229" s="1361"/>
      <c r="BC229" s="1361"/>
      <c r="BD229" s="1361"/>
      <c r="BE229" s="1362"/>
      <c r="BF229" s="874"/>
      <c r="BG229" s="169"/>
    </row>
    <row r="230" spans="1:60" x14ac:dyDescent="0.2">
      <c r="A230" s="874"/>
      <c r="B230" s="1325" t="s">
        <v>648</v>
      </c>
      <c r="C230" s="1326"/>
      <c r="D230" s="1326"/>
      <c r="E230" s="1326"/>
      <c r="F230" s="1326"/>
      <c r="G230" s="1326"/>
      <c r="H230" s="1326"/>
      <c r="I230" s="1326"/>
      <c r="J230" s="1326"/>
      <c r="K230" s="1326"/>
      <c r="L230" s="1326"/>
      <c r="M230" s="1326"/>
      <c r="N230" s="1326"/>
      <c r="O230" s="1326"/>
      <c r="P230" s="1326"/>
      <c r="Q230" s="1326"/>
      <c r="R230" s="1326"/>
      <c r="S230" s="1326"/>
      <c r="T230" s="1326"/>
      <c r="U230" s="1326"/>
      <c r="V230" s="1326"/>
      <c r="W230" s="1326"/>
      <c r="X230" s="1326"/>
      <c r="Y230" s="1326"/>
      <c r="Z230" s="1326"/>
      <c r="AA230" s="1326"/>
      <c r="AB230" s="1326"/>
      <c r="AC230" s="1327"/>
      <c r="AD230" s="1357"/>
      <c r="AE230" s="1358"/>
      <c r="AF230" s="1358"/>
      <c r="AG230" s="1358"/>
      <c r="AH230" s="1358"/>
      <c r="AI230" s="1358"/>
      <c r="AJ230" s="1358"/>
      <c r="AK230" s="1358"/>
      <c r="AL230" s="1358"/>
      <c r="AM230" s="1358"/>
      <c r="AN230" s="1358"/>
      <c r="AO230" s="1358"/>
      <c r="AP230" s="1358"/>
      <c r="AQ230" s="1358"/>
      <c r="AR230" s="1358"/>
      <c r="AS230" s="1358"/>
      <c r="AT230" s="1358"/>
      <c r="AU230" s="1358"/>
      <c r="AV230" s="1358"/>
      <c r="AW230" s="1358"/>
      <c r="AX230" s="1358"/>
      <c r="AY230" s="1358"/>
      <c r="AZ230" s="1358"/>
      <c r="BA230" s="1358"/>
      <c r="BB230" s="1358"/>
      <c r="BC230" s="1358"/>
      <c r="BD230" s="1358"/>
      <c r="BE230" s="1359"/>
      <c r="BF230" s="874"/>
      <c r="BG230" s="169"/>
      <c r="BH230" s="192" t="s">
        <v>1386</v>
      </c>
    </row>
    <row r="231" spans="1:60" ht="13.5" thickBot="1" x14ac:dyDescent="0.25">
      <c r="A231" s="874"/>
      <c r="B231" s="1322"/>
      <c r="C231" s="1323"/>
      <c r="D231" s="1323"/>
      <c r="E231" s="1323"/>
      <c r="F231" s="1323"/>
      <c r="G231" s="1323"/>
      <c r="H231" s="1323"/>
      <c r="I231" s="1323"/>
      <c r="J231" s="1323"/>
      <c r="K231" s="1323"/>
      <c r="L231" s="1323"/>
      <c r="M231" s="1323"/>
      <c r="N231" s="1323"/>
      <c r="O231" s="1323"/>
      <c r="P231" s="1323"/>
      <c r="Q231" s="1323"/>
      <c r="R231" s="1323"/>
      <c r="S231" s="1323"/>
      <c r="T231" s="1323"/>
      <c r="U231" s="1323"/>
      <c r="V231" s="1323"/>
      <c r="W231" s="1323"/>
      <c r="X231" s="1323"/>
      <c r="Y231" s="1323"/>
      <c r="Z231" s="1323"/>
      <c r="AA231" s="1323"/>
      <c r="AB231" s="1323"/>
      <c r="AC231" s="1324"/>
      <c r="AD231" s="1360"/>
      <c r="AE231" s="1361"/>
      <c r="AF231" s="1361"/>
      <c r="AG231" s="1361"/>
      <c r="AH231" s="1361"/>
      <c r="AI231" s="1361"/>
      <c r="AJ231" s="1361"/>
      <c r="AK231" s="1361"/>
      <c r="AL231" s="1361"/>
      <c r="AM231" s="1361"/>
      <c r="AN231" s="1361"/>
      <c r="AO231" s="1361"/>
      <c r="AP231" s="1361"/>
      <c r="AQ231" s="1361"/>
      <c r="AR231" s="1361"/>
      <c r="AS231" s="1361"/>
      <c r="AT231" s="1361"/>
      <c r="AU231" s="1361"/>
      <c r="AV231" s="1361"/>
      <c r="AW231" s="1361"/>
      <c r="AX231" s="1361"/>
      <c r="AY231" s="1361"/>
      <c r="AZ231" s="1361"/>
      <c r="BA231" s="1361"/>
      <c r="BB231" s="1361"/>
      <c r="BC231" s="1361"/>
      <c r="BD231" s="1361"/>
      <c r="BE231" s="1362"/>
      <c r="BF231" s="874"/>
      <c r="BG231" s="169"/>
      <c r="BH231" s="192" t="s">
        <v>334</v>
      </c>
    </row>
    <row r="232" spans="1:60" ht="13.5" thickBot="1" x14ac:dyDescent="0.25">
      <c r="A232" s="874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874"/>
      <c r="BG232" s="169"/>
      <c r="BH232" s="192" t="s">
        <v>335</v>
      </c>
    </row>
    <row r="233" spans="1:60" ht="13.5" thickBot="1" x14ac:dyDescent="0.25">
      <c r="A233" s="874"/>
      <c r="B233" s="1328" t="s">
        <v>237</v>
      </c>
      <c r="C233" s="1329"/>
      <c r="D233" s="1329"/>
      <c r="E233" s="1329"/>
      <c r="F233" s="1329"/>
      <c r="G233" s="1329"/>
      <c r="H233" s="1329"/>
      <c r="I233" s="1329"/>
      <c r="J233" s="1329"/>
      <c r="K233" s="1329"/>
      <c r="L233" s="1329"/>
      <c r="M233" s="1329"/>
      <c r="N233" s="1329"/>
      <c r="O233" s="1329"/>
      <c r="P233" s="1329"/>
      <c r="Q233" s="1329"/>
      <c r="R233" s="1329"/>
      <c r="S233" s="1329"/>
      <c r="T233" s="1329"/>
      <c r="U233" s="1329"/>
      <c r="V233" s="1329"/>
      <c r="W233" s="1329"/>
      <c r="X233" s="1329"/>
      <c r="Y233" s="1329"/>
      <c r="Z233" s="1329"/>
      <c r="AA233" s="1329"/>
      <c r="AB233" s="1329"/>
      <c r="AC233" s="1330"/>
      <c r="AD233" s="1366" t="s">
        <v>233</v>
      </c>
      <c r="AE233" s="1329"/>
      <c r="AF233" s="1329"/>
      <c r="AG233" s="1329"/>
      <c r="AH233" s="1329"/>
      <c r="AI233" s="1329"/>
      <c r="AJ233" s="1329"/>
      <c r="AK233" s="1329"/>
      <c r="AL233" s="1329"/>
      <c r="AM233" s="1329"/>
      <c r="AN233" s="1329"/>
      <c r="AO233" s="1329"/>
      <c r="AP233" s="1329"/>
      <c r="AQ233" s="1329"/>
      <c r="AR233" s="1329"/>
      <c r="AS233" s="1329"/>
      <c r="AT233" s="1329"/>
      <c r="AU233" s="1329"/>
      <c r="AV233" s="1329"/>
      <c r="AW233" s="1329"/>
      <c r="AX233" s="1329"/>
      <c r="AY233" s="1329"/>
      <c r="AZ233" s="1329"/>
      <c r="BA233" s="1329"/>
      <c r="BB233" s="1329"/>
      <c r="BC233" s="1329"/>
      <c r="BD233" s="1329"/>
      <c r="BE233" s="1367"/>
      <c r="BF233" s="874"/>
      <c r="BG233" s="169"/>
      <c r="BH233" s="192" t="s">
        <v>586</v>
      </c>
    </row>
    <row r="234" spans="1:60" x14ac:dyDescent="0.2">
      <c r="A234" s="874"/>
      <c r="B234" s="1333"/>
      <c r="C234" s="1334"/>
      <c r="D234" s="1334"/>
      <c r="E234" s="1334"/>
      <c r="F234" s="1334"/>
      <c r="G234" s="1334"/>
      <c r="H234" s="1334"/>
      <c r="I234" s="1334"/>
      <c r="J234" s="1334"/>
      <c r="K234" s="1334"/>
      <c r="L234" s="1334"/>
      <c r="M234" s="1334"/>
      <c r="N234" s="1334"/>
      <c r="O234" s="1334"/>
      <c r="P234" s="1334"/>
      <c r="Q234" s="1334"/>
      <c r="R234" s="1334"/>
      <c r="S234" s="1334"/>
      <c r="T234" s="1334"/>
      <c r="U234" s="1334"/>
      <c r="V234" s="1334"/>
      <c r="W234" s="1334"/>
      <c r="X234" s="1334"/>
      <c r="Y234" s="1334"/>
      <c r="Z234" s="1334"/>
      <c r="AA234" s="1334"/>
      <c r="AB234" s="1334"/>
      <c r="AC234" s="1335"/>
      <c r="AD234" s="1368"/>
      <c r="AE234" s="1369"/>
      <c r="AF234" s="1369"/>
      <c r="AG234" s="1369"/>
      <c r="AH234" s="1369"/>
      <c r="AI234" s="1369"/>
      <c r="AJ234" s="1369"/>
      <c r="AK234" s="1369"/>
      <c r="AL234" s="1369"/>
      <c r="AM234" s="1369"/>
      <c r="AN234" s="1369"/>
      <c r="AO234" s="1369"/>
      <c r="AP234" s="1369"/>
      <c r="AQ234" s="1369"/>
      <c r="AR234" s="1369"/>
      <c r="AS234" s="1369"/>
      <c r="AT234" s="1369"/>
      <c r="AU234" s="1369"/>
      <c r="AV234" s="1369"/>
      <c r="AW234" s="1369"/>
      <c r="AX234" s="1369"/>
      <c r="AY234" s="1369"/>
      <c r="AZ234" s="1369"/>
      <c r="BA234" s="1369"/>
      <c r="BB234" s="1369"/>
      <c r="BC234" s="1369"/>
      <c r="BD234" s="1369"/>
      <c r="BE234" s="1370"/>
      <c r="BF234" s="874"/>
      <c r="BG234" s="169"/>
    </row>
    <row r="235" spans="1:60" x14ac:dyDescent="0.2">
      <c r="A235" s="874"/>
      <c r="B235" s="1314"/>
      <c r="C235" s="1315"/>
      <c r="D235" s="1315"/>
      <c r="E235" s="1315"/>
      <c r="F235" s="1315"/>
      <c r="G235" s="1315"/>
      <c r="H235" s="1315"/>
      <c r="I235" s="1315"/>
      <c r="J235" s="1315"/>
      <c r="K235" s="1315"/>
      <c r="L235" s="1315"/>
      <c r="M235" s="1315"/>
      <c r="N235" s="1315"/>
      <c r="O235" s="1315"/>
      <c r="P235" s="1315"/>
      <c r="Q235" s="1315"/>
      <c r="R235" s="1315"/>
      <c r="S235" s="1315"/>
      <c r="T235" s="1315"/>
      <c r="U235" s="1315"/>
      <c r="V235" s="1315"/>
      <c r="W235" s="1315"/>
      <c r="X235" s="1315"/>
      <c r="Y235" s="1315"/>
      <c r="Z235" s="1315"/>
      <c r="AA235" s="1315"/>
      <c r="AB235" s="1315"/>
      <c r="AC235" s="1316"/>
      <c r="AD235" s="1317"/>
      <c r="AE235" s="1318"/>
      <c r="AF235" s="1318"/>
      <c r="AG235" s="1318"/>
      <c r="AH235" s="1318"/>
      <c r="AI235" s="1318"/>
      <c r="AJ235" s="1318"/>
      <c r="AK235" s="1318"/>
      <c r="AL235" s="1318"/>
      <c r="AM235" s="1318"/>
      <c r="AN235" s="1318"/>
      <c r="AO235" s="1318"/>
      <c r="AP235" s="1318"/>
      <c r="AQ235" s="1318"/>
      <c r="AR235" s="1318"/>
      <c r="AS235" s="1318"/>
      <c r="AT235" s="1318"/>
      <c r="AU235" s="1318"/>
      <c r="AV235" s="1318"/>
      <c r="AW235" s="1318"/>
      <c r="AX235" s="1318"/>
      <c r="AY235" s="1318"/>
      <c r="AZ235" s="1318"/>
      <c r="BA235" s="1318"/>
      <c r="BB235" s="1318"/>
      <c r="BC235" s="1318"/>
      <c r="BD235" s="1318"/>
      <c r="BE235" s="1319"/>
      <c r="BF235" s="874"/>
      <c r="BG235" s="169"/>
    </row>
    <row r="236" spans="1:60" x14ac:dyDescent="0.2">
      <c r="A236" s="874"/>
      <c r="B236" s="1314"/>
      <c r="C236" s="1315"/>
      <c r="D236" s="1315"/>
      <c r="E236" s="1315"/>
      <c r="F236" s="1315"/>
      <c r="G236" s="1315"/>
      <c r="H236" s="1315"/>
      <c r="I236" s="1315"/>
      <c r="J236" s="1315"/>
      <c r="K236" s="1315"/>
      <c r="L236" s="1315"/>
      <c r="M236" s="1315"/>
      <c r="N236" s="1315"/>
      <c r="O236" s="1315"/>
      <c r="P236" s="1315"/>
      <c r="Q236" s="1315"/>
      <c r="R236" s="1315"/>
      <c r="S236" s="1315"/>
      <c r="T236" s="1315"/>
      <c r="U236" s="1315"/>
      <c r="V236" s="1315"/>
      <c r="W236" s="1315"/>
      <c r="X236" s="1315"/>
      <c r="Y236" s="1315"/>
      <c r="Z236" s="1315"/>
      <c r="AA236" s="1315"/>
      <c r="AB236" s="1315"/>
      <c r="AC236" s="1316"/>
      <c r="AD236" s="1317"/>
      <c r="AE236" s="1318"/>
      <c r="AF236" s="1318"/>
      <c r="AG236" s="1318"/>
      <c r="AH236" s="1318"/>
      <c r="AI236" s="1318"/>
      <c r="AJ236" s="1318"/>
      <c r="AK236" s="1318"/>
      <c r="AL236" s="1318"/>
      <c r="AM236" s="1318"/>
      <c r="AN236" s="1318"/>
      <c r="AO236" s="1318"/>
      <c r="AP236" s="1318"/>
      <c r="AQ236" s="1318"/>
      <c r="AR236" s="1318"/>
      <c r="AS236" s="1318"/>
      <c r="AT236" s="1318"/>
      <c r="AU236" s="1318"/>
      <c r="AV236" s="1318"/>
      <c r="AW236" s="1318"/>
      <c r="AX236" s="1318"/>
      <c r="AY236" s="1318"/>
      <c r="AZ236" s="1318"/>
      <c r="BA236" s="1318"/>
      <c r="BB236" s="1318"/>
      <c r="BC236" s="1318"/>
      <c r="BD236" s="1318"/>
      <c r="BE236" s="1319"/>
      <c r="BF236" s="874"/>
      <c r="BG236" s="169"/>
    </row>
    <row r="237" spans="1:60" x14ac:dyDescent="0.2">
      <c r="A237" s="874"/>
      <c r="B237" s="1314"/>
      <c r="C237" s="1315"/>
      <c r="D237" s="1315"/>
      <c r="E237" s="1315"/>
      <c r="F237" s="1315"/>
      <c r="G237" s="1315"/>
      <c r="H237" s="1315"/>
      <c r="I237" s="1315"/>
      <c r="J237" s="1315"/>
      <c r="K237" s="1315"/>
      <c r="L237" s="1315"/>
      <c r="M237" s="1315"/>
      <c r="N237" s="1315"/>
      <c r="O237" s="1315"/>
      <c r="P237" s="1315"/>
      <c r="Q237" s="1315"/>
      <c r="R237" s="1315"/>
      <c r="S237" s="1315"/>
      <c r="T237" s="1315"/>
      <c r="U237" s="1315"/>
      <c r="V237" s="1315"/>
      <c r="W237" s="1315"/>
      <c r="X237" s="1315"/>
      <c r="Y237" s="1315"/>
      <c r="Z237" s="1315"/>
      <c r="AA237" s="1315"/>
      <c r="AB237" s="1315"/>
      <c r="AC237" s="1316"/>
      <c r="AD237" s="1317"/>
      <c r="AE237" s="1318"/>
      <c r="AF237" s="1318"/>
      <c r="AG237" s="1318"/>
      <c r="AH237" s="1318"/>
      <c r="AI237" s="1318"/>
      <c r="AJ237" s="1318"/>
      <c r="AK237" s="1318"/>
      <c r="AL237" s="1318"/>
      <c r="AM237" s="1318"/>
      <c r="AN237" s="1318"/>
      <c r="AO237" s="1318"/>
      <c r="AP237" s="1318"/>
      <c r="AQ237" s="1318"/>
      <c r="AR237" s="1318"/>
      <c r="AS237" s="1318"/>
      <c r="AT237" s="1318"/>
      <c r="AU237" s="1318"/>
      <c r="AV237" s="1318"/>
      <c r="AW237" s="1318"/>
      <c r="AX237" s="1318"/>
      <c r="AY237" s="1318"/>
      <c r="AZ237" s="1318"/>
      <c r="BA237" s="1318"/>
      <c r="BB237" s="1318"/>
      <c r="BC237" s="1318"/>
      <c r="BD237" s="1318"/>
      <c r="BE237" s="1319"/>
      <c r="BF237" s="874"/>
      <c r="BG237" s="169"/>
    </row>
    <row r="238" spans="1:60" x14ac:dyDescent="0.2">
      <c r="A238" s="874"/>
      <c r="B238" s="1314"/>
      <c r="C238" s="1315"/>
      <c r="D238" s="1315"/>
      <c r="E238" s="1315"/>
      <c r="F238" s="1315"/>
      <c r="G238" s="1315"/>
      <c r="H238" s="1315"/>
      <c r="I238" s="1315"/>
      <c r="J238" s="1315"/>
      <c r="K238" s="1315"/>
      <c r="L238" s="1315"/>
      <c r="M238" s="1315"/>
      <c r="N238" s="1315"/>
      <c r="O238" s="1315"/>
      <c r="P238" s="1315"/>
      <c r="Q238" s="1315"/>
      <c r="R238" s="1315"/>
      <c r="S238" s="1315"/>
      <c r="T238" s="1315"/>
      <c r="U238" s="1315"/>
      <c r="V238" s="1315"/>
      <c r="W238" s="1315"/>
      <c r="X238" s="1315"/>
      <c r="Y238" s="1315"/>
      <c r="Z238" s="1315"/>
      <c r="AA238" s="1315"/>
      <c r="AB238" s="1315"/>
      <c r="AC238" s="1316"/>
      <c r="AD238" s="1317"/>
      <c r="AE238" s="1318"/>
      <c r="AF238" s="1318"/>
      <c r="AG238" s="1318"/>
      <c r="AH238" s="1318"/>
      <c r="AI238" s="1318"/>
      <c r="AJ238" s="1318"/>
      <c r="AK238" s="1318"/>
      <c r="AL238" s="1318"/>
      <c r="AM238" s="1318"/>
      <c r="AN238" s="1318"/>
      <c r="AO238" s="1318"/>
      <c r="AP238" s="1318"/>
      <c r="AQ238" s="1318"/>
      <c r="AR238" s="1318"/>
      <c r="AS238" s="1318"/>
      <c r="AT238" s="1318"/>
      <c r="AU238" s="1318"/>
      <c r="AV238" s="1318"/>
      <c r="AW238" s="1318"/>
      <c r="AX238" s="1318"/>
      <c r="AY238" s="1318"/>
      <c r="AZ238" s="1318"/>
      <c r="BA238" s="1318"/>
      <c r="BB238" s="1318"/>
      <c r="BC238" s="1318"/>
      <c r="BD238" s="1318"/>
      <c r="BE238" s="1319"/>
      <c r="BF238" s="874"/>
      <c r="BG238" s="169"/>
    </row>
    <row r="239" spans="1:60" x14ac:dyDescent="0.2">
      <c r="A239" s="874"/>
      <c r="B239" s="1314"/>
      <c r="C239" s="1315"/>
      <c r="D239" s="1315"/>
      <c r="E239" s="1315"/>
      <c r="F239" s="1315"/>
      <c r="G239" s="1315"/>
      <c r="H239" s="1315"/>
      <c r="I239" s="1315"/>
      <c r="J239" s="1315"/>
      <c r="K239" s="1315"/>
      <c r="L239" s="1315"/>
      <c r="M239" s="1315"/>
      <c r="N239" s="1315"/>
      <c r="O239" s="1315"/>
      <c r="P239" s="1315"/>
      <c r="Q239" s="1315"/>
      <c r="R239" s="1315"/>
      <c r="S239" s="1315"/>
      <c r="T239" s="1315"/>
      <c r="U239" s="1315"/>
      <c r="V239" s="1315"/>
      <c r="W239" s="1315"/>
      <c r="X239" s="1315"/>
      <c r="Y239" s="1315"/>
      <c r="Z239" s="1315"/>
      <c r="AA239" s="1315"/>
      <c r="AB239" s="1315"/>
      <c r="AC239" s="1316"/>
      <c r="AD239" s="1317"/>
      <c r="AE239" s="1318"/>
      <c r="AF239" s="1318"/>
      <c r="AG239" s="1318"/>
      <c r="AH239" s="1318"/>
      <c r="AI239" s="1318"/>
      <c r="AJ239" s="1318"/>
      <c r="AK239" s="1318"/>
      <c r="AL239" s="1318"/>
      <c r="AM239" s="1318"/>
      <c r="AN239" s="1318"/>
      <c r="AO239" s="1318"/>
      <c r="AP239" s="1318"/>
      <c r="AQ239" s="1318"/>
      <c r="AR239" s="1318"/>
      <c r="AS239" s="1318"/>
      <c r="AT239" s="1318"/>
      <c r="AU239" s="1318"/>
      <c r="AV239" s="1318"/>
      <c r="AW239" s="1318"/>
      <c r="AX239" s="1318"/>
      <c r="AY239" s="1318"/>
      <c r="AZ239" s="1318"/>
      <c r="BA239" s="1318"/>
      <c r="BB239" s="1318"/>
      <c r="BC239" s="1318"/>
      <c r="BD239" s="1318"/>
      <c r="BE239" s="1319"/>
      <c r="BF239" s="874"/>
      <c r="BG239" s="169"/>
    </row>
    <row r="240" spans="1:60" x14ac:dyDescent="0.2">
      <c r="A240" s="874"/>
      <c r="B240" s="1314"/>
      <c r="C240" s="1315"/>
      <c r="D240" s="1315"/>
      <c r="E240" s="1315"/>
      <c r="F240" s="1315"/>
      <c r="G240" s="1315"/>
      <c r="H240" s="1315"/>
      <c r="I240" s="1315"/>
      <c r="J240" s="1315"/>
      <c r="K240" s="1315"/>
      <c r="L240" s="1315"/>
      <c r="M240" s="1315"/>
      <c r="N240" s="1315"/>
      <c r="O240" s="1315"/>
      <c r="P240" s="1315"/>
      <c r="Q240" s="1315"/>
      <c r="R240" s="1315"/>
      <c r="S240" s="1315"/>
      <c r="T240" s="1315"/>
      <c r="U240" s="1315"/>
      <c r="V240" s="1315"/>
      <c r="W240" s="1315"/>
      <c r="X240" s="1315"/>
      <c r="Y240" s="1315"/>
      <c r="Z240" s="1315"/>
      <c r="AA240" s="1315"/>
      <c r="AB240" s="1315"/>
      <c r="AC240" s="1316"/>
      <c r="AD240" s="1317"/>
      <c r="AE240" s="1318"/>
      <c r="AF240" s="1318"/>
      <c r="AG240" s="1318"/>
      <c r="AH240" s="1318"/>
      <c r="AI240" s="1318"/>
      <c r="AJ240" s="1318"/>
      <c r="AK240" s="1318"/>
      <c r="AL240" s="1318"/>
      <c r="AM240" s="1318"/>
      <c r="AN240" s="1318"/>
      <c r="AO240" s="1318"/>
      <c r="AP240" s="1318"/>
      <c r="AQ240" s="1318"/>
      <c r="AR240" s="1318"/>
      <c r="AS240" s="1318"/>
      <c r="AT240" s="1318"/>
      <c r="AU240" s="1318"/>
      <c r="AV240" s="1318"/>
      <c r="AW240" s="1318"/>
      <c r="AX240" s="1318"/>
      <c r="AY240" s="1318"/>
      <c r="AZ240" s="1318"/>
      <c r="BA240" s="1318"/>
      <c r="BB240" s="1318"/>
      <c r="BC240" s="1318"/>
      <c r="BD240" s="1318"/>
      <c r="BE240" s="1319"/>
      <c r="BF240" s="874"/>
      <c r="BG240" s="169"/>
    </row>
    <row r="241" spans="1:60" x14ac:dyDescent="0.2">
      <c r="A241" s="874"/>
      <c r="B241" s="1314"/>
      <c r="C241" s="1315"/>
      <c r="D241" s="1315"/>
      <c r="E241" s="1315"/>
      <c r="F241" s="1315"/>
      <c r="G241" s="1315"/>
      <c r="H241" s="1315"/>
      <c r="I241" s="1315"/>
      <c r="J241" s="1315"/>
      <c r="K241" s="1315"/>
      <c r="L241" s="1315"/>
      <c r="M241" s="1315"/>
      <c r="N241" s="1315"/>
      <c r="O241" s="1315"/>
      <c r="P241" s="1315"/>
      <c r="Q241" s="1315"/>
      <c r="R241" s="1315"/>
      <c r="S241" s="1315"/>
      <c r="T241" s="1315"/>
      <c r="U241" s="1315"/>
      <c r="V241" s="1315"/>
      <c r="W241" s="1315"/>
      <c r="X241" s="1315"/>
      <c r="Y241" s="1315"/>
      <c r="Z241" s="1315"/>
      <c r="AA241" s="1315"/>
      <c r="AB241" s="1315"/>
      <c r="AC241" s="1316"/>
      <c r="AD241" s="1317"/>
      <c r="AE241" s="1318"/>
      <c r="AF241" s="1318"/>
      <c r="AG241" s="1318"/>
      <c r="AH241" s="1318"/>
      <c r="AI241" s="1318"/>
      <c r="AJ241" s="1318"/>
      <c r="AK241" s="1318"/>
      <c r="AL241" s="1318"/>
      <c r="AM241" s="1318"/>
      <c r="AN241" s="1318"/>
      <c r="AO241" s="1318"/>
      <c r="AP241" s="1318"/>
      <c r="AQ241" s="1318"/>
      <c r="AR241" s="1318"/>
      <c r="AS241" s="1318"/>
      <c r="AT241" s="1318"/>
      <c r="AU241" s="1318"/>
      <c r="AV241" s="1318"/>
      <c r="AW241" s="1318"/>
      <c r="AX241" s="1318"/>
      <c r="AY241" s="1318"/>
      <c r="AZ241" s="1318"/>
      <c r="BA241" s="1318"/>
      <c r="BB241" s="1318"/>
      <c r="BC241" s="1318"/>
      <c r="BD241" s="1318"/>
      <c r="BE241" s="1319"/>
      <c r="BF241" s="874"/>
      <c r="BG241" s="169"/>
    </row>
    <row r="242" spans="1:60" x14ac:dyDescent="0.2">
      <c r="A242" s="874"/>
      <c r="B242" s="1314"/>
      <c r="C242" s="1315"/>
      <c r="D242" s="1315"/>
      <c r="E242" s="1315"/>
      <c r="F242" s="1315"/>
      <c r="G242" s="1315"/>
      <c r="H242" s="1315"/>
      <c r="I242" s="1315"/>
      <c r="J242" s="1315"/>
      <c r="K242" s="1315"/>
      <c r="L242" s="1315"/>
      <c r="M242" s="1315"/>
      <c r="N242" s="1315"/>
      <c r="O242" s="1315"/>
      <c r="P242" s="1315"/>
      <c r="Q242" s="1315"/>
      <c r="R242" s="1315"/>
      <c r="S242" s="1315"/>
      <c r="T242" s="1315"/>
      <c r="U242" s="1315"/>
      <c r="V242" s="1315"/>
      <c r="W242" s="1315"/>
      <c r="X242" s="1315"/>
      <c r="Y242" s="1315"/>
      <c r="Z242" s="1315"/>
      <c r="AA242" s="1315"/>
      <c r="AB242" s="1315"/>
      <c r="AC242" s="1316"/>
      <c r="AD242" s="1317"/>
      <c r="AE242" s="1318"/>
      <c r="AF242" s="1318"/>
      <c r="AG242" s="1318"/>
      <c r="AH242" s="1318"/>
      <c r="AI242" s="1318"/>
      <c r="AJ242" s="1318"/>
      <c r="AK242" s="1318"/>
      <c r="AL242" s="1318"/>
      <c r="AM242" s="1318"/>
      <c r="AN242" s="1318"/>
      <c r="AO242" s="1318"/>
      <c r="AP242" s="1318"/>
      <c r="AQ242" s="1318"/>
      <c r="AR242" s="1318"/>
      <c r="AS242" s="1318"/>
      <c r="AT242" s="1318"/>
      <c r="AU242" s="1318"/>
      <c r="AV242" s="1318"/>
      <c r="AW242" s="1318"/>
      <c r="AX242" s="1318"/>
      <c r="AY242" s="1318"/>
      <c r="AZ242" s="1318"/>
      <c r="BA242" s="1318"/>
      <c r="BB242" s="1318"/>
      <c r="BC242" s="1318"/>
      <c r="BD242" s="1318"/>
      <c r="BE242" s="1319"/>
      <c r="BF242" s="874"/>
      <c r="BG242" s="169"/>
    </row>
    <row r="243" spans="1:60" x14ac:dyDescent="0.2">
      <c r="A243" s="874"/>
      <c r="B243" s="1314"/>
      <c r="C243" s="1315"/>
      <c r="D243" s="1315"/>
      <c r="E243" s="1315"/>
      <c r="F243" s="1315"/>
      <c r="G243" s="1315"/>
      <c r="H243" s="1315"/>
      <c r="I243" s="1315"/>
      <c r="J243" s="1315"/>
      <c r="K243" s="1315"/>
      <c r="L243" s="1315"/>
      <c r="M243" s="1315"/>
      <c r="N243" s="1315"/>
      <c r="O243" s="1315"/>
      <c r="P243" s="1315"/>
      <c r="Q243" s="1315"/>
      <c r="R243" s="1315"/>
      <c r="S243" s="1315"/>
      <c r="T243" s="1315"/>
      <c r="U243" s="1315"/>
      <c r="V243" s="1315"/>
      <c r="W243" s="1315"/>
      <c r="X243" s="1315"/>
      <c r="Y243" s="1315"/>
      <c r="Z243" s="1315"/>
      <c r="AA243" s="1315"/>
      <c r="AB243" s="1315"/>
      <c r="AC243" s="1316"/>
      <c r="AD243" s="1317"/>
      <c r="AE243" s="1318"/>
      <c r="AF243" s="1318"/>
      <c r="AG243" s="1318"/>
      <c r="AH243" s="1318"/>
      <c r="AI243" s="1318"/>
      <c r="AJ243" s="1318"/>
      <c r="AK243" s="1318"/>
      <c r="AL243" s="1318"/>
      <c r="AM243" s="1318"/>
      <c r="AN243" s="1318"/>
      <c r="AO243" s="1318"/>
      <c r="AP243" s="1318"/>
      <c r="AQ243" s="1318"/>
      <c r="AR243" s="1318"/>
      <c r="AS243" s="1318"/>
      <c r="AT243" s="1318"/>
      <c r="AU243" s="1318"/>
      <c r="AV243" s="1318"/>
      <c r="AW243" s="1318"/>
      <c r="AX243" s="1318"/>
      <c r="AY243" s="1318"/>
      <c r="AZ243" s="1318"/>
      <c r="BA243" s="1318"/>
      <c r="BB243" s="1318"/>
      <c r="BC243" s="1318"/>
      <c r="BD243" s="1318"/>
      <c r="BE243" s="1319"/>
      <c r="BF243" s="874"/>
      <c r="BG243" s="169"/>
    </row>
    <row r="244" spans="1:60" x14ac:dyDescent="0.2">
      <c r="A244" s="874"/>
      <c r="B244" s="1314"/>
      <c r="C244" s="1315"/>
      <c r="D244" s="1315"/>
      <c r="E244" s="1315"/>
      <c r="F244" s="1315"/>
      <c r="G244" s="1315"/>
      <c r="H244" s="1315"/>
      <c r="I244" s="1315"/>
      <c r="J244" s="1315"/>
      <c r="K244" s="1315"/>
      <c r="L244" s="1315"/>
      <c r="M244" s="1315"/>
      <c r="N244" s="1315"/>
      <c r="O244" s="1315"/>
      <c r="P244" s="1315"/>
      <c r="Q244" s="1315"/>
      <c r="R244" s="1315"/>
      <c r="S244" s="1315"/>
      <c r="T244" s="1315"/>
      <c r="U244" s="1315"/>
      <c r="V244" s="1315"/>
      <c r="W244" s="1315"/>
      <c r="X244" s="1315"/>
      <c r="Y244" s="1315"/>
      <c r="Z244" s="1315"/>
      <c r="AA244" s="1315"/>
      <c r="AB244" s="1315"/>
      <c r="AC244" s="1316"/>
      <c r="AD244" s="1317"/>
      <c r="AE244" s="1318"/>
      <c r="AF244" s="1318"/>
      <c r="AG244" s="1318"/>
      <c r="AH244" s="1318"/>
      <c r="AI244" s="1318"/>
      <c r="AJ244" s="1318"/>
      <c r="AK244" s="1318"/>
      <c r="AL244" s="1318"/>
      <c r="AM244" s="1318"/>
      <c r="AN244" s="1318"/>
      <c r="AO244" s="1318"/>
      <c r="AP244" s="1318"/>
      <c r="AQ244" s="1318"/>
      <c r="AR244" s="1318"/>
      <c r="AS244" s="1318"/>
      <c r="AT244" s="1318"/>
      <c r="AU244" s="1318"/>
      <c r="AV244" s="1318"/>
      <c r="AW244" s="1318"/>
      <c r="AX244" s="1318"/>
      <c r="AY244" s="1318"/>
      <c r="AZ244" s="1318"/>
      <c r="BA244" s="1318"/>
      <c r="BB244" s="1318"/>
      <c r="BC244" s="1318"/>
      <c r="BD244" s="1318"/>
      <c r="BE244" s="1319"/>
      <c r="BF244" s="874"/>
      <c r="BG244" s="169"/>
    </row>
    <row r="245" spans="1:60" x14ac:dyDescent="0.2">
      <c r="A245" s="874"/>
      <c r="B245" s="1314"/>
      <c r="C245" s="1315"/>
      <c r="D245" s="1315"/>
      <c r="E245" s="1315"/>
      <c r="F245" s="1315"/>
      <c r="G245" s="1315"/>
      <c r="H245" s="1315"/>
      <c r="I245" s="1315"/>
      <c r="J245" s="1315"/>
      <c r="K245" s="1315"/>
      <c r="L245" s="1315"/>
      <c r="M245" s="1315"/>
      <c r="N245" s="1315"/>
      <c r="O245" s="1315"/>
      <c r="P245" s="1315"/>
      <c r="Q245" s="1315"/>
      <c r="R245" s="1315"/>
      <c r="S245" s="1315"/>
      <c r="T245" s="1315"/>
      <c r="U245" s="1315"/>
      <c r="V245" s="1315"/>
      <c r="W245" s="1315"/>
      <c r="X245" s="1315"/>
      <c r="Y245" s="1315"/>
      <c r="Z245" s="1315"/>
      <c r="AA245" s="1315"/>
      <c r="AB245" s="1315"/>
      <c r="AC245" s="1316"/>
      <c r="AD245" s="1317"/>
      <c r="AE245" s="1318"/>
      <c r="AF245" s="1318"/>
      <c r="AG245" s="1318"/>
      <c r="AH245" s="1318"/>
      <c r="AI245" s="1318"/>
      <c r="AJ245" s="1318"/>
      <c r="AK245" s="1318"/>
      <c r="AL245" s="1318"/>
      <c r="AM245" s="1318"/>
      <c r="AN245" s="1318"/>
      <c r="AO245" s="1318"/>
      <c r="AP245" s="1318"/>
      <c r="AQ245" s="1318"/>
      <c r="AR245" s="1318"/>
      <c r="AS245" s="1318"/>
      <c r="AT245" s="1318"/>
      <c r="AU245" s="1318"/>
      <c r="AV245" s="1318"/>
      <c r="AW245" s="1318"/>
      <c r="AX245" s="1318"/>
      <c r="AY245" s="1318"/>
      <c r="AZ245" s="1318"/>
      <c r="BA245" s="1318"/>
      <c r="BB245" s="1318"/>
      <c r="BC245" s="1318"/>
      <c r="BD245" s="1318"/>
      <c r="BE245" s="1319"/>
      <c r="BF245" s="874"/>
      <c r="BG245" s="169"/>
    </row>
    <row r="246" spans="1:60" x14ac:dyDescent="0.2">
      <c r="A246" s="874"/>
      <c r="B246" s="1314"/>
      <c r="C246" s="1315"/>
      <c r="D246" s="1315"/>
      <c r="E246" s="1315"/>
      <c r="F246" s="1315"/>
      <c r="G246" s="1315"/>
      <c r="H246" s="1315"/>
      <c r="I246" s="1315"/>
      <c r="J246" s="1315"/>
      <c r="K246" s="1315"/>
      <c r="L246" s="1315"/>
      <c r="M246" s="1315"/>
      <c r="N246" s="1315"/>
      <c r="O246" s="1315"/>
      <c r="P246" s="1315"/>
      <c r="Q246" s="1315"/>
      <c r="R246" s="1315"/>
      <c r="S246" s="1315"/>
      <c r="T246" s="1315"/>
      <c r="U246" s="1315"/>
      <c r="V246" s="1315"/>
      <c r="W246" s="1315"/>
      <c r="X246" s="1315"/>
      <c r="Y246" s="1315"/>
      <c r="Z246" s="1315"/>
      <c r="AA246" s="1315"/>
      <c r="AB246" s="1315"/>
      <c r="AC246" s="1316"/>
      <c r="AD246" s="1317"/>
      <c r="AE246" s="1318"/>
      <c r="AF246" s="1318"/>
      <c r="AG246" s="1318"/>
      <c r="AH246" s="1318"/>
      <c r="AI246" s="1318"/>
      <c r="AJ246" s="1318"/>
      <c r="AK246" s="1318"/>
      <c r="AL246" s="1318"/>
      <c r="AM246" s="1318"/>
      <c r="AN246" s="1318"/>
      <c r="AO246" s="1318"/>
      <c r="AP246" s="1318"/>
      <c r="AQ246" s="1318"/>
      <c r="AR246" s="1318"/>
      <c r="AS246" s="1318"/>
      <c r="AT246" s="1318"/>
      <c r="AU246" s="1318"/>
      <c r="AV246" s="1318"/>
      <c r="AW246" s="1318"/>
      <c r="AX246" s="1318"/>
      <c r="AY246" s="1318"/>
      <c r="AZ246" s="1318"/>
      <c r="BA246" s="1318"/>
      <c r="BB246" s="1318"/>
      <c r="BC246" s="1318"/>
      <c r="BD246" s="1318"/>
      <c r="BE246" s="1319"/>
      <c r="BF246" s="874"/>
      <c r="BG246" s="169"/>
    </row>
    <row r="247" spans="1:60" x14ac:dyDescent="0.2">
      <c r="A247" s="874"/>
      <c r="B247" s="1314"/>
      <c r="C247" s="1315"/>
      <c r="D247" s="1315"/>
      <c r="E247" s="1315"/>
      <c r="F247" s="1315"/>
      <c r="G247" s="1315"/>
      <c r="H247" s="1315"/>
      <c r="I247" s="1315"/>
      <c r="J247" s="1315"/>
      <c r="K247" s="1315"/>
      <c r="L247" s="1315"/>
      <c r="M247" s="1315"/>
      <c r="N247" s="1315"/>
      <c r="O247" s="1315"/>
      <c r="P247" s="1315"/>
      <c r="Q247" s="1315"/>
      <c r="R247" s="1315"/>
      <c r="S247" s="1315"/>
      <c r="T247" s="1315"/>
      <c r="U247" s="1315"/>
      <c r="V247" s="1315"/>
      <c r="W247" s="1315"/>
      <c r="X247" s="1315"/>
      <c r="Y247" s="1315"/>
      <c r="Z247" s="1315"/>
      <c r="AA247" s="1315"/>
      <c r="AB247" s="1315"/>
      <c r="AC247" s="1316"/>
      <c r="AD247" s="1317"/>
      <c r="AE247" s="1318"/>
      <c r="AF247" s="1318"/>
      <c r="AG247" s="1318"/>
      <c r="AH247" s="1318"/>
      <c r="AI247" s="1318"/>
      <c r="AJ247" s="1318"/>
      <c r="AK247" s="1318"/>
      <c r="AL247" s="1318"/>
      <c r="AM247" s="1318"/>
      <c r="AN247" s="1318"/>
      <c r="AO247" s="1318"/>
      <c r="AP247" s="1318"/>
      <c r="AQ247" s="1318"/>
      <c r="AR247" s="1318"/>
      <c r="AS247" s="1318"/>
      <c r="AT247" s="1318"/>
      <c r="AU247" s="1318"/>
      <c r="AV247" s="1318"/>
      <c r="AW247" s="1318"/>
      <c r="AX247" s="1318"/>
      <c r="AY247" s="1318"/>
      <c r="AZ247" s="1318"/>
      <c r="BA247" s="1318"/>
      <c r="BB247" s="1318"/>
      <c r="BC247" s="1318"/>
      <c r="BD247" s="1318"/>
      <c r="BE247" s="1319"/>
      <c r="BF247" s="874"/>
      <c r="BG247" s="169"/>
    </row>
    <row r="248" spans="1:60" x14ac:dyDescent="0.2">
      <c r="A248" s="874"/>
      <c r="B248" s="1314"/>
      <c r="C248" s="1315"/>
      <c r="D248" s="1315"/>
      <c r="E248" s="1315"/>
      <c r="F248" s="1315"/>
      <c r="G248" s="1315"/>
      <c r="H248" s="1315"/>
      <c r="I248" s="1315"/>
      <c r="J248" s="1315"/>
      <c r="K248" s="1315"/>
      <c r="L248" s="1315"/>
      <c r="M248" s="1315"/>
      <c r="N248" s="1315"/>
      <c r="O248" s="1315"/>
      <c r="P248" s="1315"/>
      <c r="Q248" s="1315"/>
      <c r="R248" s="1315"/>
      <c r="S248" s="1315"/>
      <c r="T248" s="1315"/>
      <c r="U248" s="1315"/>
      <c r="V248" s="1315"/>
      <c r="W248" s="1315"/>
      <c r="X248" s="1315"/>
      <c r="Y248" s="1315"/>
      <c r="Z248" s="1315"/>
      <c r="AA248" s="1315"/>
      <c r="AB248" s="1315"/>
      <c r="AC248" s="1316"/>
      <c r="AD248" s="1317"/>
      <c r="AE248" s="1318"/>
      <c r="AF248" s="1318"/>
      <c r="AG248" s="1318"/>
      <c r="AH248" s="1318"/>
      <c r="AI248" s="1318"/>
      <c r="AJ248" s="1318"/>
      <c r="AK248" s="1318"/>
      <c r="AL248" s="1318"/>
      <c r="AM248" s="1318"/>
      <c r="AN248" s="1318"/>
      <c r="AO248" s="1318"/>
      <c r="AP248" s="1318"/>
      <c r="AQ248" s="1318"/>
      <c r="AR248" s="1318"/>
      <c r="AS248" s="1318"/>
      <c r="AT248" s="1318"/>
      <c r="AU248" s="1318"/>
      <c r="AV248" s="1318"/>
      <c r="AW248" s="1318"/>
      <c r="AX248" s="1318"/>
      <c r="AY248" s="1318"/>
      <c r="AZ248" s="1318"/>
      <c r="BA248" s="1318"/>
      <c r="BB248" s="1318"/>
      <c r="BC248" s="1318"/>
      <c r="BD248" s="1318"/>
      <c r="BE248" s="1319"/>
      <c r="BF248" s="874"/>
      <c r="BG248" s="169"/>
    </row>
    <row r="249" spans="1:60" x14ac:dyDescent="0.2">
      <c r="A249" s="874"/>
      <c r="B249" s="1314"/>
      <c r="C249" s="1315"/>
      <c r="D249" s="1315"/>
      <c r="E249" s="1315"/>
      <c r="F249" s="1315"/>
      <c r="G249" s="1315"/>
      <c r="H249" s="1315"/>
      <c r="I249" s="1315"/>
      <c r="J249" s="1315"/>
      <c r="K249" s="1315"/>
      <c r="L249" s="1315"/>
      <c r="M249" s="1315"/>
      <c r="N249" s="1315"/>
      <c r="O249" s="1315"/>
      <c r="P249" s="1315"/>
      <c r="Q249" s="1315"/>
      <c r="R249" s="1315"/>
      <c r="S249" s="1315"/>
      <c r="T249" s="1315"/>
      <c r="U249" s="1315"/>
      <c r="V249" s="1315"/>
      <c r="W249" s="1315"/>
      <c r="X249" s="1315"/>
      <c r="Y249" s="1315"/>
      <c r="Z249" s="1315"/>
      <c r="AA249" s="1315"/>
      <c r="AB249" s="1315"/>
      <c r="AC249" s="1316"/>
      <c r="AD249" s="1317"/>
      <c r="AE249" s="1318"/>
      <c r="AF249" s="1318"/>
      <c r="AG249" s="1318"/>
      <c r="AH249" s="1318"/>
      <c r="AI249" s="1318"/>
      <c r="AJ249" s="1318"/>
      <c r="AK249" s="1318"/>
      <c r="AL249" s="1318"/>
      <c r="AM249" s="1318"/>
      <c r="AN249" s="1318"/>
      <c r="AO249" s="1318"/>
      <c r="AP249" s="1318"/>
      <c r="AQ249" s="1318"/>
      <c r="AR249" s="1318"/>
      <c r="AS249" s="1318"/>
      <c r="AT249" s="1318"/>
      <c r="AU249" s="1318"/>
      <c r="AV249" s="1318"/>
      <c r="AW249" s="1318"/>
      <c r="AX249" s="1318"/>
      <c r="AY249" s="1318"/>
      <c r="AZ249" s="1318"/>
      <c r="BA249" s="1318"/>
      <c r="BB249" s="1318"/>
      <c r="BC249" s="1318"/>
      <c r="BD249" s="1318"/>
      <c r="BE249" s="1319"/>
      <c r="BF249" s="874"/>
      <c r="BG249" s="169"/>
    </row>
    <row r="250" spans="1:60" ht="13.5" customHeight="1" thickBot="1" x14ac:dyDescent="0.25">
      <c r="A250" s="874"/>
      <c r="B250" s="1346"/>
      <c r="C250" s="1347"/>
      <c r="D250" s="1347"/>
      <c r="E250" s="1347"/>
      <c r="F250" s="1347"/>
      <c r="G250" s="1347"/>
      <c r="H250" s="1347"/>
      <c r="I250" s="1347"/>
      <c r="J250" s="1347"/>
      <c r="K250" s="1347"/>
      <c r="L250" s="1347"/>
      <c r="M250" s="1347"/>
      <c r="N250" s="1347"/>
      <c r="O250" s="1347"/>
      <c r="P250" s="1347"/>
      <c r="Q250" s="1347"/>
      <c r="R250" s="1347"/>
      <c r="S250" s="1347"/>
      <c r="T250" s="1347"/>
      <c r="U250" s="1347"/>
      <c r="V250" s="1347"/>
      <c r="W250" s="1347"/>
      <c r="X250" s="1347"/>
      <c r="Y250" s="1347"/>
      <c r="Z250" s="1347"/>
      <c r="AA250" s="1347"/>
      <c r="AB250" s="1347"/>
      <c r="AC250" s="1348"/>
      <c r="AD250" s="1349"/>
      <c r="AE250" s="1350"/>
      <c r="AF250" s="1350"/>
      <c r="AG250" s="1350"/>
      <c r="AH250" s="1350"/>
      <c r="AI250" s="1350"/>
      <c r="AJ250" s="1350"/>
      <c r="AK250" s="1350"/>
      <c r="AL250" s="1350"/>
      <c r="AM250" s="1350"/>
      <c r="AN250" s="1350"/>
      <c r="AO250" s="1350"/>
      <c r="AP250" s="1350"/>
      <c r="AQ250" s="1350"/>
      <c r="AR250" s="1350"/>
      <c r="AS250" s="1350"/>
      <c r="AT250" s="1350"/>
      <c r="AU250" s="1350"/>
      <c r="AV250" s="1350"/>
      <c r="AW250" s="1350"/>
      <c r="AX250" s="1350"/>
      <c r="AY250" s="1350"/>
      <c r="AZ250" s="1350"/>
      <c r="BA250" s="1350"/>
      <c r="BB250" s="1350"/>
      <c r="BC250" s="1350"/>
      <c r="BD250" s="1350"/>
      <c r="BE250" s="1351"/>
      <c r="BF250" s="874"/>
      <c r="BG250" s="169"/>
    </row>
    <row r="251" spans="1:60" x14ac:dyDescent="0.2">
      <c r="A251" s="874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874"/>
      <c r="BG251" s="169"/>
    </row>
    <row r="252" spans="1:60" ht="18" x14ac:dyDescent="0.25">
      <c r="A252" s="874"/>
      <c r="B252" s="1339"/>
      <c r="C252" s="1339"/>
      <c r="D252" s="1339"/>
      <c r="E252" s="1339"/>
      <c r="F252" s="1339"/>
      <c r="G252" s="1339"/>
      <c r="H252" s="1339"/>
      <c r="I252" s="1339"/>
      <c r="J252" s="1339"/>
      <c r="K252" s="1339"/>
      <c r="L252" s="1339"/>
      <c r="M252" s="1339"/>
      <c r="N252" s="1339"/>
      <c r="O252" s="1339"/>
      <c r="P252" s="1339"/>
      <c r="Q252" s="1339"/>
      <c r="R252" s="511"/>
      <c r="S252" s="511"/>
      <c r="T252" s="511"/>
      <c r="U252" s="511"/>
      <c r="V252" s="511"/>
      <c r="W252" s="511"/>
      <c r="X252" s="511"/>
      <c r="Y252" s="511"/>
      <c r="Z252" s="511"/>
      <c r="AA252" s="511"/>
      <c r="AB252" s="511"/>
      <c r="AC252" s="511"/>
      <c r="AD252" s="511"/>
      <c r="AE252" s="511"/>
      <c r="AF252" s="511"/>
      <c r="AG252" s="511"/>
      <c r="AH252" s="511"/>
      <c r="AI252" s="511"/>
      <c r="AJ252" s="511"/>
      <c r="AK252" s="511"/>
      <c r="AL252" s="511"/>
      <c r="AM252" s="511"/>
      <c r="AN252" s="511"/>
      <c r="AO252" s="511"/>
      <c r="AP252" s="511"/>
      <c r="AQ252" s="511"/>
      <c r="AR252" s="511"/>
      <c r="AS252" s="1320"/>
      <c r="AT252" s="1320"/>
      <c r="AU252" s="1320"/>
      <c r="AV252" s="1320"/>
      <c r="AW252" s="1320"/>
      <c r="AX252" s="1320"/>
      <c r="AY252" s="1320"/>
      <c r="AZ252" s="1320"/>
      <c r="BA252" s="1320"/>
      <c r="BB252" s="1320"/>
      <c r="BC252" s="1320"/>
      <c r="BD252" s="1320"/>
      <c r="BE252" s="1320"/>
      <c r="BF252" s="874"/>
      <c r="BG252" s="169" t="s">
        <v>228</v>
      </c>
    </row>
    <row r="253" spans="1:60" ht="28.5" customHeight="1" x14ac:dyDescent="0.25">
      <c r="A253" s="874"/>
      <c r="B253" s="1345" t="str">
        <f>BH212</f>
        <v>PARECER DO CONSELHO FISCAL DA APM</v>
      </c>
      <c r="C253" s="1345"/>
      <c r="D253" s="1345"/>
      <c r="E253" s="1345"/>
      <c r="F253" s="1345"/>
      <c r="G253" s="1345"/>
      <c r="H253" s="1345"/>
      <c r="I253" s="1345"/>
      <c r="J253" s="1345"/>
      <c r="K253" s="1345"/>
      <c r="L253" s="1345"/>
      <c r="M253" s="1345"/>
      <c r="N253" s="1345"/>
      <c r="O253" s="1345"/>
      <c r="P253" s="1345"/>
      <c r="Q253" s="1345"/>
      <c r="R253" s="1345"/>
      <c r="S253" s="1345"/>
      <c r="T253" s="1345"/>
      <c r="U253" s="1345"/>
      <c r="V253" s="1345"/>
      <c r="W253" s="1345"/>
      <c r="X253" s="1345"/>
      <c r="Y253" s="1345"/>
      <c r="Z253" s="1345"/>
      <c r="AA253" s="1345"/>
      <c r="AB253" s="1345"/>
      <c r="AC253" s="1345"/>
      <c r="AD253" s="1345"/>
      <c r="AE253" s="1345"/>
      <c r="AF253" s="1345"/>
      <c r="AG253" s="1345"/>
      <c r="AH253" s="1345"/>
      <c r="AI253" s="1345"/>
      <c r="AJ253" s="1345"/>
      <c r="AK253" s="1345"/>
      <c r="AL253" s="1345"/>
      <c r="AM253" s="1345"/>
      <c r="AN253" s="1345"/>
      <c r="AO253" s="1345"/>
      <c r="AP253" s="1345"/>
      <c r="AQ253" s="1345"/>
      <c r="AR253" s="1345"/>
      <c r="AS253" s="1345"/>
      <c r="AT253" s="1345"/>
      <c r="AU253" s="1345"/>
      <c r="AV253" s="1345"/>
      <c r="AW253" s="1345"/>
      <c r="AX253" s="1345"/>
      <c r="AY253" s="1345"/>
      <c r="AZ253" s="1345"/>
      <c r="BA253" s="1345"/>
      <c r="BB253" s="1345"/>
      <c r="BC253" s="1345"/>
      <c r="BD253" s="1345"/>
      <c r="BE253" s="1345"/>
      <c r="BF253" s="874"/>
      <c r="BG253" s="169" t="s">
        <v>65</v>
      </c>
    </row>
    <row r="254" spans="1:60" ht="29.25" customHeight="1" x14ac:dyDescent="0.2">
      <c r="A254" s="874"/>
      <c r="B254" s="1353" t="str">
        <f>BI16</f>
        <v/>
      </c>
      <c r="C254" s="1354"/>
      <c r="D254" s="1354"/>
      <c r="E254" s="1354"/>
      <c r="F254" s="1354"/>
      <c r="G254" s="1354"/>
      <c r="H254" s="1354"/>
      <c r="I254" s="1354"/>
      <c r="J254" s="1354"/>
      <c r="K254" s="1354"/>
      <c r="L254" s="1354"/>
      <c r="M254" s="1354"/>
      <c r="N254" s="1354"/>
      <c r="O254" s="1354"/>
      <c r="P254" s="1354"/>
      <c r="Q254" s="1354"/>
      <c r="R254" s="1354"/>
      <c r="S254" s="1354"/>
      <c r="T254" s="1354"/>
      <c r="U254" s="1354"/>
      <c r="V254" s="1354"/>
      <c r="W254" s="1354"/>
      <c r="X254" s="1354"/>
      <c r="Y254" s="1354"/>
      <c r="Z254" s="1354"/>
      <c r="AA254" s="1354"/>
      <c r="AB254" s="1354"/>
      <c r="AC254" s="1354"/>
      <c r="AD254" s="1354"/>
      <c r="AE254" s="1354"/>
      <c r="AF254" s="1354"/>
      <c r="AG254" s="1354"/>
      <c r="AH254" s="1354"/>
      <c r="AI254" s="1354"/>
      <c r="AJ254" s="1354"/>
      <c r="AK254" s="1354"/>
      <c r="AL254" s="1354"/>
      <c r="AM254" s="1354"/>
      <c r="AN254" s="1354"/>
      <c r="AO254" s="1354"/>
      <c r="AP254" s="1354"/>
      <c r="AQ254" s="1354"/>
      <c r="AR254" s="1354"/>
      <c r="AS254" s="1354"/>
      <c r="AT254" s="1354"/>
      <c r="AU254" s="1354"/>
      <c r="AV254" s="1354"/>
      <c r="AW254" s="1354"/>
      <c r="AX254" s="1354"/>
      <c r="AY254" s="1354"/>
      <c r="AZ254" s="1354"/>
      <c r="BA254" s="1354"/>
      <c r="BB254" s="1354"/>
      <c r="BC254" s="1354"/>
      <c r="BD254" s="1354"/>
      <c r="BE254" s="1354"/>
      <c r="BF254" s="874"/>
      <c r="BG254" s="169" t="s">
        <v>68</v>
      </c>
    </row>
    <row r="255" spans="1:60" ht="69.75" customHeight="1" x14ac:dyDescent="0.2">
      <c r="A255" s="874"/>
      <c r="B255" s="1344" t="str">
        <f>BG255&amp;" "&amp;BH255&amp;" "&amp;TEXT(AF4,"dd/mm/aaaa")&amp;BG264&amp;TEXT(AM4,"dd/mm/aaaa")&amp;BH264&amp;BG256&amp;BH20&amp;BH21&amp;BG23&amp;BJ22&amp;", "&amp;BG257</f>
        <v>Após a análise dos documentos apresentados referentes à aplicação de recursos do Programa de Transferência de Recursos Financeiros – PTRF, período de   a , o Conselho Fiscal da Associação de Pais e Mestres da , confirma a exatidão dos documentos julgando-os em ordem e em condições de serem aprovados.</v>
      </c>
      <c r="C255" s="1340"/>
      <c r="D255" s="1340"/>
      <c r="E255" s="1340"/>
      <c r="F255" s="1340"/>
      <c r="G255" s="1340"/>
      <c r="H255" s="1340"/>
      <c r="I255" s="1340"/>
      <c r="J255" s="1340"/>
      <c r="K255" s="1340"/>
      <c r="L255" s="1340"/>
      <c r="M255" s="1340"/>
      <c r="N255" s="1340"/>
      <c r="O255" s="1340"/>
      <c r="P255" s="1340"/>
      <c r="Q255" s="1340"/>
      <c r="R255" s="1340"/>
      <c r="S255" s="1340"/>
      <c r="T255" s="1340"/>
      <c r="U255" s="1340"/>
      <c r="V255" s="1340"/>
      <c r="W255" s="1340"/>
      <c r="X255" s="1340"/>
      <c r="Y255" s="1340"/>
      <c r="Z255" s="1340"/>
      <c r="AA255" s="1340"/>
      <c r="AB255" s="1340"/>
      <c r="AC255" s="1340"/>
      <c r="AD255" s="1340"/>
      <c r="AE255" s="1340"/>
      <c r="AF255" s="1340"/>
      <c r="AG255" s="1340"/>
      <c r="AH255" s="1340"/>
      <c r="AI255" s="1340"/>
      <c r="AJ255" s="1340"/>
      <c r="AK255" s="1340"/>
      <c r="AL255" s="1340"/>
      <c r="AM255" s="1340"/>
      <c r="AN255" s="1340"/>
      <c r="AO255" s="1340"/>
      <c r="AP255" s="1340"/>
      <c r="AQ255" s="1340"/>
      <c r="AR255" s="1340"/>
      <c r="AS255" s="1340"/>
      <c r="AT255" s="1340"/>
      <c r="AU255" s="1340"/>
      <c r="AV255" s="1340"/>
      <c r="AW255" s="1340"/>
      <c r="AX255" s="1340"/>
      <c r="AY255" s="1340"/>
      <c r="AZ255" s="1340"/>
      <c r="BA255" s="1340"/>
      <c r="BB255" s="1340"/>
      <c r="BC255" s="1340"/>
      <c r="BD255" s="1340"/>
      <c r="BE255" s="1340"/>
      <c r="BF255" s="874"/>
      <c r="BG255" s="57" t="s">
        <v>223</v>
      </c>
      <c r="BH255" s="57" t="s">
        <v>224</v>
      </c>
    </row>
    <row r="256" spans="1:60" ht="15" customHeight="1" x14ac:dyDescent="0.2">
      <c r="A256" s="874"/>
      <c r="B256" s="1343"/>
      <c r="C256" s="1343"/>
      <c r="D256" s="1343"/>
      <c r="E256" s="1343"/>
      <c r="F256" s="1343"/>
      <c r="G256" s="1343"/>
      <c r="H256" s="1343"/>
      <c r="I256" s="1343"/>
      <c r="J256" s="1343"/>
      <c r="K256" s="1343"/>
      <c r="L256" s="1343"/>
      <c r="M256" s="1343"/>
      <c r="N256" s="1343"/>
      <c r="O256" s="1343"/>
      <c r="P256" s="1343"/>
      <c r="Q256" s="1343"/>
      <c r="R256" s="1343"/>
      <c r="S256" s="1343"/>
      <c r="T256" s="1343"/>
      <c r="U256" s="1343"/>
      <c r="V256" s="1343"/>
      <c r="W256" s="1341"/>
      <c r="X256" s="1341"/>
      <c r="Y256" s="1341"/>
      <c r="Z256" s="1341"/>
      <c r="AA256" s="1341"/>
      <c r="AB256" s="1341"/>
      <c r="AC256" s="1342"/>
      <c r="AD256" s="1341"/>
      <c r="AE256" s="1341"/>
      <c r="AF256" s="1341"/>
      <c r="AG256" s="1341"/>
      <c r="AH256" s="1341"/>
      <c r="AI256" s="1341"/>
      <c r="AJ256" s="1341"/>
      <c r="AK256" s="1343"/>
      <c r="AL256" s="1343"/>
      <c r="AM256" s="1343"/>
      <c r="AN256" s="1343"/>
      <c r="AO256" s="1343"/>
      <c r="AP256" s="1343"/>
      <c r="AQ256" s="1343"/>
      <c r="AR256" s="1343"/>
      <c r="AS256" s="1343"/>
      <c r="AT256" s="1343"/>
      <c r="AU256" s="1343"/>
      <c r="AV256" s="1343"/>
      <c r="AW256" s="1343"/>
      <c r="AX256" s="1343"/>
      <c r="AY256" s="1343"/>
      <c r="AZ256" s="1343"/>
      <c r="BA256" s="1343"/>
      <c r="BB256" s="1343"/>
      <c r="BC256" s="1343"/>
      <c r="BD256" s="1343"/>
      <c r="BE256" s="1343"/>
      <c r="BF256" s="874"/>
      <c r="BG256" s="300" t="s">
        <v>225</v>
      </c>
    </row>
    <row r="257" spans="1:67" ht="25.5" customHeight="1" x14ac:dyDescent="0.2">
      <c r="A257" s="874"/>
      <c r="B257" s="1340"/>
      <c r="C257" s="1340"/>
      <c r="D257" s="1340"/>
      <c r="E257" s="1340"/>
      <c r="F257" s="1340"/>
      <c r="G257" s="1340"/>
      <c r="H257" s="1340"/>
      <c r="I257" s="1340"/>
      <c r="J257" s="1340"/>
      <c r="K257" s="1340"/>
      <c r="L257" s="1340"/>
      <c r="M257" s="1340"/>
      <c r="N257" s="1340"/>
      <c r="O257" s="1340"/>
      <c r="P257" s="1340"/>
      <c r="Q257" s="1340"/>
      <c r="R257" s="1340"/>
      <c r="S257" s="1340"/>
      <c r="T257" s="1340"/>
      <c r="U257" s="1340"/>
      <c r="V257" s="1340"/>
      <c r="W257" s="1340"/>
      <c r="X257" s="1340"/>
      <c r="Y257" s="1340"/>
      <c r="Z257" s="1340"/>
      <c r="AA257" s="1340"/>
      <c r="AB257" s="1340"/>
      <c r="AC257" s="1340"/>
      <c r="AD257" s="1340"/>
      <c r="AE257" s="1340"/>
      <c r="AF257" s="1340"/>
      <c r="AG257" s="1340"/>
      <c r="AH257" s="1340"/>
      <c r="AI257" s="1340"/>
      <c r="AJ257" s="1340"/>
      <c r="AK257" s="1340"/>
      <c r="AL257" s="1340"/>
      <c r="AM257" s="1340"/>
      <c r="AN257" s="1340"/>
      <c r="AO257" s="1340"/>
      <c r="AP257" s="1340"/>
      <c r="AQ257" s="1340"/>
      <c r="AR257" s="1340"/>
      <c r="AS257" s="1340"/>
      <c r="AT257" s="1340"/>
      <c r="AU257" s="1340"/>
      <c r="AV257" s="1340"/>
      <c r="AW257" s="1340"/>
      <c r="AX257" s="1340"/>
      <c r="AY257" s="1340"/>
      <c r="AZ257" s="1340"/>
      <c r="BA257" s="1340"/>
      <c r="BB257" s="1340"/>
      <c r="BC257" s="1340"/>
      <c r="BD257" s="1340"/>
      <c r="BE257" s="1340"/>
      <c r="BF257" s="874"/>
      <c r="BG257" s="57" t="s">
        <v>226</v>
      </c>
    </row>
    <row r="258" spans="1:67" ht="21" customHeight="1" x14ac:dyDescent="0.2">
      <c r="A258" s="874"/>
      <c r="B258" s="1340"/>
      <c r="C258" s="1340"/>
      <c r="D258" s="1340"/>
      <c r="E258" s="1340"/>
      <c r="F258" s="1340"/>
      <c r="G258" s="1340"/>
      <c r="H258" s="1340"/>
      <c r="I258" s="1340"/>
      <c r="J258" s="1340"/>
      <c r="K258" s="1340"/>
      <c r="L258" s="1340"/>
      <c r="M258" s="1340"/>
      <c r="N258" s="1340"/>
      <c r="O258" s="1340"/>
      <c r="P258" s="1340"/>
      <c r="Q258" s="1340"/>
      <c r="R258" s="1340"/>
      <c r="S258" s="1340"/>
      <c r="T258" s="1340"/>
      <c r="U258" s="1340"/>
      <c r="V258" s="1340"/>
      <c r="W258" s="1340"/>
      <c r="X258" s="1340"/>
      <c r="Y258" s="1340"/>
      <c r="Z258" s="1340"/>
      <c r="AA258" s="1340"/>
      <c r="AB258" s="1340"/>
      <c r="AC258" s="1340"/>
      <c r="AD258" s="1340"/>
      <c r="AE258" s="1340"/>
      <c r="AF258" s="1340"/>
      <c r="AG258" s="1340"/>
      <c r="AH258" s="1340"/>
      <c r="AI258" s="1340"/>
      <c r="AJ258" s="1340"/>
      <c r="AK258" s="1340"/>
      <c r="AL258" s="1340"/>
      <c r="AM258" s="1340"/>
      <c r="AN258" s="1340"/>
      <c r="AO258" s="1340"/>
      <c r="AP258" s="1340"/>
      <c r="AQ258" s="1340"/>
      <c r="AR258" s="1340"/>
      <c r="AS258" s="1340"/>
      <c r="AT258" s="1340"/>
      <c r="AU258" s="1340"/>
      <c r="AV258" s="1340"/>
      <c r="AW258" s="1340"/>
      <c r="AX258" s="1340"/>
      <c r="AY258" s="1340"/>
      <c r="AZ258" s="1340"/>
      <c r="BA258" s="1340"/>
      <c r="BB258" s="1340"/>
      <c r="BC258" s="1340"/>
      <c r="BD258" s="1340"/>
      <c r="BE258" s="1340"/>
      <c r="BF258" s="874"/>
    </row>
    <row r="259" spans="1:67" x14ac:dyDescent="0.2">
      <c r="A259" s="874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874"/>
      <c r="BG259" s="192" t="s">
        <v>223</v>
      </c>
      <c r="BH259" s="192" t="s">
        <v>224</v>
      </c>
    </row>
    <row r="260" spans="1:67" x14ac:dyDescent="0.2">
      <c r="A260" s="874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 t="str">
        <f>"São Paulo, "&amp;$E$4&amp;" de "&amp;$K$4&amp;" de "&amp;$V$4&amp;"."</f>
        <v>São Paulo,  de  de .</v>
      </c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874"/>
      <c r="BG260" s="300" t="s">
        <v>225</v>
      </c>
      <c r="BH260" s="168"/>
      <c r="BI260" s="168"/>
    </row>
    <row r="261" spans="1:67" x14ac:dyDescent="0.2">
      <c r="A261" s="874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874"/>
      <c r="BG261" s="57" t="s">
        <v>226</v>
      </c>
      <c r="BH261" s="168"/>
      <c r="BI261" s="168"/>
    </row>
    <row r="262" spans="1:67" ht="12.75" customHeight="1" x14ac:dyDescent="0.2">
      <c r="A262" s="874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874"/>
      <c r="BG262" s="168"/>
      <c r="BH262" s="168"/>
      <c r="BI262" s="168"/>
    </row>
    <row r="263" spans="1:67" ht="12.75" customHeight="1" x14ac:dyDescent="0.2">
      <c r="A263" s="874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874"/>
      <c r="BG263" s="168"/>
      <c r="BH263" s="168"/>
      <c r="BI263" s="168"/>
    </row>
    <row r="264" spans="1:67" ht="12.75" customHeight="1" x14ac:dyDescent="0.2">
      <c r="A264" s="874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874"/>
      <c r="BG264" s="948" t="s">
        <v>49</v>
      </c>
      <c r="BH264" s="948" t="s">
        <v>45</v>
      </c>
      <c r="BI264" s="168"/>
    </row>
    <row r="265" spans="1:67" ht="12.75" customHeight="1" x14ac:dyDescent="0.2">
      <c r="A265" s="874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1338"/>
      <c r="Q265" s="1338"/>
      <c r="R265" s="1338"/>
      <c r="S265" s="1338"/>
      <c r="T265" s="1338"/>
      <c r="U265" s="1338"/>
      <c r="V265" s="1267"/>
      <c r="W265" s="1267"/>
      <c r="X265" s="1267"/>
      <c r="Y265" s="1267"/>
      <c r="Z265" s="1267"/>
      <c r="AA265" s="1267"/>
      <c r="AB265" s="1267"/>
      <c r="AC265" s="1267"/>
      <c r="AD265" s="1267"/>
      <c r="AE265" s="1267"/>
      <c r="AF265" s="1267"/>
      <c r="AG265" s="1267"/>
      <c r="AH265" s="1267"/>
      <c r="AI265" s="1267"/>
      <c r="AJ265" s="1267"/>
      <c r="AK265" s="1267"/>
      <c r="AL265" s="1267"/>
      <c r="AM265" s="1267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874"/>
      <c r="BH265" s="168"/>
      <c r="BI265" s="168"/>
    </row>
    <row r="266" spans="1:67" ht="12.75" customHeight="1" x14ac:dyDescent="0.2">
      <c r="A266" s="874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874"/>
      <c r="BG266" s="949"/>
      <c r="BH266" s="949"/>
      <c r="BI266" s="949"/>
      <c r="BJ266" s="949"/>
      <c r="BK266" s="949"/>
      <c r="BL266" s="949"/>
      <c r="BM266" s="949"/>
      <c r="BN266" s="949"/>
      <c r="BO266" s="949"/>
    </row>
    <row r="267" spans="1:67" ht="12.75" customHeight="1" x14ac:dyDescent="0.2">
      <c r="A267" s="874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874"/>
      <c r="BG267" s="168"/>
      <c r="BH267" s="168"/>
      <c r="BI267" s="168"/>
    </row>
    <row r="268" spans="1:67" x14ac:dyDescent="0.2">
      <c r="A268" s="874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874"/>
      <c r="BG268" s="168"/>
      <c r="BH268" s="168"/>
      <c r="BI268" s="168"/>
    </row>
    <row r="269" spans="1:67" x14ac:dyDescent="0.2">
      <c r="A269" s="874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874"/>
      <c r="BG269" s="168"/>
      <c r="BH269" s="168"/>
      <c r="BI269" s="168"/>
    </row>
    <row r="270" spans="1:67" x14ac:dyDescent="0.2">
      <c r="A270" s="874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1336"/>
      <c r="Q270" s="1336"/>
      <c r="R270" s="1336"/>
      <c r="S270" s="1336"/>
      <c r="T270" s="1336"/>
      <c r="U270" s="1336"/>
      <c r="V270" s="1336"/>
      <c r="W270" s="1336"/>
      <c r="X270" s="1336"/>
      <c r="Y270" s="1336"/>
      <c r="Z270" s="1336"/>
      <c r="AA270" s="1336"/>
      <c r="AB270" s="1336"/>
      <c r="AC270" s="1336"/>
      <c r="AD270" s="1336"/>
      <c r="AE270" s="1336"/>
      <c r="AF270" s="1336"/>
      <c r="AG270" s="1336"/>
      <c r="AH270" s="1336"/>
      <c r="AI270" s="1336"/>
      <c r="AJ270" s="1336"/>
      <c r="AK270" s="1336"/>
      <c r="AL270" s="1336"/>
      <c r="AM270" s="133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874"/>
      <c r="BG270" s="168"/>
      <c r="BH270" s="168"/>
      <c r="BI270" s="168"/>
    </row>
    <row r="271" spans="1:67" x14ac:dyDescent="0.2">
      <c r="A271" s="874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1337" t="s">
        <v>671</v>
      </c>
      <c r="Q271" s="1337"/>
      <c r="R271" s="1337"/>
      <c r="S271" s="1337"/>
      <c r="T271" s="1337"/>
      <c r="U271" s="1337"/>
      <c r="V271" s="1337"/>
      <c r="W271" s="1337"/>
      <c r="X271" s="1337"/>
      <c r="Y271" s="1337"/>
      <c r="Z271" s="1337"/>
      <c r="AA271" s="1337"/>
      <c r="AB271" s="1337"/>
      <c r="AC271" s="1337"/>
      <c r="AD271" s="1337"/>
      <c r="AE271" s="1337"/>
      <c r="AF271" s="1337"/>
      <c r="AG271" s="1337"/>
      <c r="AH271" s="1337"/>
      <c r="AI271" s="1337"/>
      <c r="AJ271" s="1337"/>
      <c r="AK271" s="1337"/>
      <c r="AL271" s="1337"/>
      <c r="AM271" s="1337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874"/>
      <c r="BG271" s="168"/>
      <c r="BH271" s="168"/>
      <c r="BI271" s="168"/>
    </row>
    <row r="272" spans="1:67" x14ac:dyDescent="0.2">
      <c r="A272" s="874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874"/>
      <c r="BG272" s="168"/>
      <c r="BH272" s="168"/>
      <c r="BI272" s="168"/>
    </row>
    <row r="273" spans="1:61" x14ac:dyDescent="0.2">
      <c r="A273" s="874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874"/>
      <c r="BG273" s="168"/>
      <c r="BH273" s="168"/>
      <c r="BI273" s="168"/>
    </row>
    <row r="274" spans="1:61" x14ac:dyDescent="0.2">
      <c r="A274" s="874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874"/>
      <c r="BG274" s="168"/>
      <c r="BH274" s="168"/>
      <c r="BI274" s="168"/>
    </row>
    <row r="275" spans="1:61" x14ac:dyDescent="0.2">
      <c r="A275" s="874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874"/>
      <c r="BG275" s="168"/>
      <c r="BH275" s="168"/>
      <c r="BI275" s="168"/>
    </row>
    <row r="276" spans="1:61" x14ac:dyDescent="0.2">
      <c r="A276" s="874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874"/>
      <c r="BG276" s="168"/>
      <c r="BH276" s="168"/>
      <c r="BI276" s="168"/>
    </row>
    <row r="277" spans="1:61" x14ac:dyDescent="0.2">
      <c r="A277" s="874"/>
      <c r="B277" s="56"/>
      <c r="C277" s="56"/>
      <c r="D277" s="56"/>
      <c r="E277" s="56"/>
      <c r="F277" s="1336"/>
      <c r="G277" s="1336"/>
      <c r="H277" s="1336"/>
      <c r="I277" s="1336"/>
      <c r="J277" s="1336"/>
      <c r="K277" s="1336"/>
      <c r="L277" s="1336"/>
      <c r="M277" s="1336"/>
      <c r="N277" s="1336"/>
      <c r="O277" s="1336"/>
      <c r="P277" s="1336"/>
      <c r="Q277" s="1336"/>
      <c r="R277" s="1336"/>
      <c r="S277" s="133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1336"/>
      <c r="AN277" s="1336"/>
      <c r="AO277" s="1336"/>
      <c r="AP277" s="1336"/>
      <c r="AQ277" s="1336"/>
      <c r="AR277" s="1336"/>
      <c r="AS277" s="1336"/>
      <c r="AT277" s="1336"/>
      <c r="AU277" s="1336"/>
      <c r="AV277" s="1336"/>
      <c r="AW277" s="1336"/>
      <c r="AX277" s="1336"/>
      <c r="AY277" s="1336"/>
      <c r="AZ277" s="1336"/>
      <c r="BA277" s="56"/>
      <c r="BB277" s="56"/>
      <c r="BC277" s="56"/>
      <c r="BD277" s="56"/>
      <c r="BE277" s="56"/>
      <c r="BF277" s="874"/>
      <c r="BG277" s="168"/>
      <c r="BH277" s="168"/>
      <c r="BI277" s="168"/>
    </row>
    <row r="278" spans="1:61" x14ac:dyDescent="0.2">
      <c r="A278" s="874"/>
      <c r="B278" s="56"/>
      <c r="C278" s="56"/>
      <c r="D278" s="56"/>
      <c r="E278" s="56"/>
      <c r="F278" s="1337" t="s">
        <v>648</v>
      </c>
      <c r="G278" s="1337"/>
      <c r="H278" s="1337"/>
      <c r="I278" s="1337"/>
      <c r="J278" s="1337"/>
      <c r="K278" s="1337"/>
      <c r="L278" s="1337"/>
      <c r="M278" s="1337"/>
      <c r="N278" s="1337"/>
      <c r="O278" s="1337"/>
      <c r="P278" s="1337"/>
      <c r="Q278" s="1337"/>
      <c r="R278" s="1337"/>
      <c r="S278" s="1337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1337" t="s">
        <v>648</v>
      </c>
      <c r="AN278" s="1337"/>
      <c r="AO278" s="1337"/>
      <c r="AP278" s="1337"/>
      <c r="AQ278" s="1337"/>
      <c r="AR278" s="1337"/>
      <c r="AS278" s="1337"/>
      <c r="AT278" s="1337"/>
      <c r="AU278" s="1337"/>
      <c r="AV278" s="1337"/>
      <c r="AW278" s="1337"/>
      <c r="AX278" s="1337"/>
      <c r="AY278" s="1337"/>
      <c r="AZ278" s="1337"/>
      <c r="BA278" s="56"/>
      <c r="BB278" s="56"/>
      <c r="BC278" s="56"/>
      <c r="BD278" s="56"/>
      <c r="BE278" s="56"/>
      <c r="BF278" s="874"/>
      <c r="BG278" s="168"/>
      <c r="BH278" s="168"/>
      <c r="BI278" s="168"/>
    </row>
    <row r="279" spans="1:61" x14ac:dyDescent="0.2">
      <c r="A279" s="874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874"/>
      <c r="BG279" s="168"/>
      <c r="BH279" s="168"/>
      <c r="BI279" s="168"/>
    </row>
    <row r="280" spans="1:61" x14ac:dyDescent="0.2">
      <c r="A280" s="874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874"/>
      <c r="BG280" s="168"/>
      <c r="BH280" s="168"/>
      <c r="BI280" s="168"/>
    </row>
    <row r="281" spans="1:61" ht="12.75" customHeight="1" x14ac:dyDescent="0.2">
      <c r="A281" s="874"/>
      <c r="B281" s="56"/>
      <c r="C281" s="56"/>
      <c r="D281" s="56"/>
      <c r="E281" s="56"/>
      <c r="F281" s="179"/>
      <c r="G281" s="179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  <c r="R281" s="179"/>
      <c r="S281" s="179"/>
      <c r="T281" s="179"/>
      <c r="U281" s="179"/>
      <c r="V281" s="179"/>
      <c r="W281" s="179"/>
      <c r="X281" s="179"/>
      <c r="Y281" s="179"/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179"/>
      <c r="AJ281" s="179"/>
      <c r="AK281" s="179"/>
      <c r="AL281" s="179"/>
      <c r="AM281" s="179"/>
      <c r="AN281" s="179"/>
      <c r="AO281" s="179"/>
      <c r="AP281" s="179"/>
      <c r="AQ281" s="179"/>
      <c r="AR281" s="179"/>
      <c r="AS281" s="179"/>
      <c r="AT281" s="179"/>
      <c r="AU281" s="179"/>
      <c r="AV281" s="179"/>
      <c r="AW281" s="179"/>
      <c r="AX281" s="179"/>
      <c r="AY281" s="179"/>
      <c r="AZ281" s="179"/>
      <c r="BA281" s="179"/>
      <c r="BB281" s="179"/>
      <c r="BC281" s="179"/>
      <c r="BD281" s="179"/>
      <c r="BE281" s="179"/>
      <c r="BF281" s="874"/>
      <c r="BG281" s="168"/>
      <c r="BH281" s="168"/>
      <c r="BI281" s="168"/>
    </row>
    <row r="282" spans="1:61" ht="12.75" customHeight="1" x14ac:dyDescent="0.2">
      <c r="A282" s="874"/>
      <c r="B282" s="56"/>
      <c r="C282" s="56"/>
      <c r="D282" s="56"/>
      <c r="E282" s="56"/>
      <c r="F282" s="179"/>
      <c r="G282" s="179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R282" s="179"/>
      <c r="S282" s="179"/>
      <c r="T282" s="179"/>
      <c r="U282" s="179"/>
      <c r="V282" s="179"/>
      <c r="W282" s="179"/>
      <c r="X282" s="179"/>
      <c r="Y282" s="179"/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179"/>
      <c r="AJ282" s="179"/>
      <c r="AK282" s="179"/>
      <c r="AL282" s="179"/>
      <c r="AM282" s="179"/>
      <c r="AN282" s="179"/>
      <c r="AO282" s="179"/>
      <c r="AP282" s="179"/>
      <c r="AQ282" s="179"/>
      <c r="AR282" s="179"/>
      <c r="AS282" s="179"/>
      <c r="AT282" s="179"/>
      <c r="AU282" s="179"/>
      <c r="AV282" s="179"/>
      <c r="AW282" s="179"/>
      <c r="AX282" s="179"/>
      <c r="AY282" s="179"/>
      <c r="AZ282" s="179"/>
      <c r="BA282" s="179"/>
      <c r="BB282" s="179"/>
      <c r="BC282" s="179"/>
      <c r="BD282" s="179"/>
      <c r="BE282" s="179"/>
      <c r="BF282" s="874"/>
      <c r="BG282" s="168"/>
      <c r="BH282" s="168"/>
      <c r="BI282" s="168"/>
    </row>
    <row r="283" spans="1:61" ht="12.75" customHeight="1" x14ac:dyDescent="0.2">
      <c r="A283" s="874"/>
      <c r="B283" s="56"/>
      <c r="C283" s="56"/>
      <c r="D283" s="56"/>
      <c r="E283" s="56"/>
      <c r="F283" s="179"/>
      <c r="G283" s="179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R283" s="179"/>
      <c r="S283" s="179"/>
      <c r="T283" s="179"/>
      <c r="U283" s="179"/>
      <c r="V283" s="179"/>
      <c r="W283" s="179"/>
      <c r="X283" s="179"/>
      <c r="Y283" s="179"/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179"/>
      <c r="AJ283" s="179"/>
      <c r="AK283" s="179"/>
      <c r="AL283" s="179"/>
      <c r="AM283" s="179"/>
      <c r="AN283" s="179"/>
      <c r="AO283" s="179"/>
      <c r="AP283" s="179"/>
      <c r="AQ283" s="179"/>
      <c r="AR283" s="179"/>
      <c r="AS283" s="179"/>
      <c r="AT283" s="179"/>
      <c r="AU283" s="179"/>
      <c r="AV283" s="179"/>
      <c r="AW283" s="179"/>
      <c r="AX283" s="179"/>
      <c r="AY283" s="179"/>
      <c r="AZ283" s="179"/>
      <c r="BA283" s="179"/>
      <c r="BB283" s="179"/>
      <c r="BC283" s="179"/>
      <c r="BD283" s="179"/>
      <c r="BE283" s="179"/>
      <c r="BF283" s="874"/>
      <c r="BG283" s="168"/>
      <c r="BH283" s="168"/>
      <c r="BI283" s="168"/>
    </row>
    <row r="284" spans="1:61" ht="12.75" customHeight="1" x14ac:dyDescent="0.2">
      <c r="A284" s="874"/>
      <c r="B284" s="56"/>
      <c r="C284" s="56"/>
      <c r="D284" s="56"/>
      <c r="E284" s="56"/>
      <c r="F284" s="179"/>
      <c r="G284" s="179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179"/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179"/>
      <c r="AJ284" s="179"/>
      <c r="AK284" s="179"/>
      <c r="AL284" s="179"/>
      <c r="AM284" s="179"/>
      <c r="AN284" s="179"/>
      <c r="AO284" s="179"/>
      <c r="AP284" s="179"/>
      <c r="AQ284" s="179"/>
      <c r="AR284" s="179"/>
      <c r="AS284" s="179"/>
      <c r="AT284" s="179"/>
      <c r="AU284" s="179"/>
      <c r="AV284" s="179"/>
      <c r="AW284" s="179"/>
      <c r="AX284" s="179"/>
      <c r="AY284" s="179"/>
      <c r="AZ284" s="179"/>
      <c r="BA284" s="179"/>
      <c r="BB284" s="179"/>
      <c r="BC284" s="179"/>
      <c r="BD284" s="179"/>
      <c r="BE284" s="179"/>
      <c r="BF284" s="874"/>
      <c r="BG284" s="168"/>
      <c r="BI284" s="168"/>
    </row>
    <row r="285" spans="1:61" ht="12.75" customHeight="1" x14ac:dyDescent="0.2">
      <c r="A285" s="874"/>
      <c r="B285" s="56"/>
      <c r="C285" s="56"/>
      <c r="D285" s="56"/>
      <c r="E285" s="56"/>
      <c r="F285" s="179"/>
      <c r="G285" s="179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R285" s="179"/>
      <c r="S285" s="179"/>
      <c r="T285" s="179"/>
      <c r="U285" s="179"/>
      <c r="V285" s="179"/>
      <c r="W285" s="179"/>
      <c r="X285" s="179"/>
      <c r="Y285" s="179"/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179"/>
      <c r="AJ285" s="179"/>
      <c r="AK285" s="179"/>
      <c r="AL285" s="179"/>
      <c r="AM285" s="179"/>
      <c r="AN285" s="179"/>
      <c r="AO285" s="179"/>
      <c r="AP285" s="179"/>
      <c r="AQ285" s="179"/>
      <c r="AR285" s="179"/>
      <c r="AS285" s="179"/>
      <c r="AT285" s="179"/>
      <c r="AU285" s="179"/>
      <c r="AV285" s="179"/>
      <c r="AW285" s="179"/>
      <c r="AX285" s="179"/>
      <c r="AY285" s="179"/>
      <c r="AZ285" s="179"/>
      <c r="BA285" s="179"/>
      <c r="BB285" s="179"/>
      <c r="BC285" s="179"/>
      <c r="BD285" s="179"/>
      <c r="BE285" s="179"/>
      <c r="BF285" s="874"/>
      <c r="BG285" s="168"/>
      <c r="BI285" s="168"/>
    </row>
    <row r="286" spans="1:61" ht="12.75" customHeight="1" x14ac:dyDescent="0.2">
      <c r="A286" s="874"/>
      <c r="B286" s="56"/>
      <c r="C286" s="56"/>
      <c r="D286" s="56"/>
      <c r="E286" s="56"/>
      <c r="F286" s="179"/>
      <c r="G286" s="179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R286" s="179"/>
      <c r="S286" s="179"/>
      <c r="T286" s="179"/>
      <c r="U286" s="179"/>
      <c r="V286" s="179"/>
      <c r="W286" s="179"/>
      <c r="X286" s="179"/>
      <c r="Y286" s="179"/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179"/>
      <c r="AJ286" s="179"/>
      <c r="AK286" s="179"/>
      <c r="AL286" s="179"/>
      <c r="AM286" s="179"/>
      <c r="AN286" s="179"/>
      <c r="AO286" s="179"/>
      <c r="AP286" s="179"/>
      <c r="AQ286" s="179"/>
      <c r="AR286" s="179"/>
      <c r="AS286" s="179"/>
      <c r="AT286" s="179"/>
      <c r="AU286" s="179"/>
      <c r="AV286" s="179"/>
      <c r="AW286" s="179"/>
      <c r="AX286" s="179"/>
      <c r="AY286" s="179"/>
      <c r="AZ286" s="179"/>
      <c r="BA286" s="179"/>
      <c r="BB286" s="179"/>
      <c r="BC286" s="179"/>
      <c r="BD286" s="179"/>
      <c r="BE286" s="179"/>
      <c r="BF286" s="874"/>
      <c r="BG286" s="168"/>
      <c r="BI286" s="168"/>
    </row>
    <row r="287" spans="1:61" x14ac:dyDescent="0.2">
      <c r="A287" s="874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874"/>
      <c r="BG287" s="168"/>
      <c r="BI287" s="168"/>
    </row>
    <row r="288" spans="1:61" x14ac:dyDescent="0.2">
      <c r="A288" s="874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874"/>
      <c r="BG288" s="168"/>
      <c r="BI288" s="168"/>
    </row>
    <row r="289" spans="1:61" x14ac:dyDescent="0.2">
      <c r="A289" s="874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874"/>
      <c r="BG289" s="168"/>
      <c r="BI289" s="168"/>
    </row>
    <row r="290" spans="1:61" x14ac:dyDescent="0.2">
      <c r="A290" s="874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874"/>
      <c r="BG290" s="168"/>
      <c r="BI290" s="168"/>
    </row>
    <row r="291" spans="1:61" x14ac:dyDescent="0.2">
      <c r="A291" s="874"/>
      <c r="B291" s="56"/>
      <c r="C291" s="56"/>
      <c r="D291" s="56"/>
      <c r="E291" s="56"/>
      <c r="F291" s="1336"/>
      <c r="G291" s="1336"/>
      <c r="H291" s="1336"/>
      <c r="I291" s="1336"/>
      <c r="J291" s="1336"/>
      <c r="K291" s="1336"/>
      <c r="L291" s="1336"/>
      <c r="M291" s="1336"/>
      <c r="N291" s="1336"/>
      <c r="O291" s="1336"/>
      <c r="P291" s="1336"/>
      <c r="Q291" s="1336"/>
      <c r="R291" s="1336"/>
      <c r="S291" s="133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1336"/>
      <c r="AN291" s="1336"/>
      <c r="AO291" s="1336"/>
      <c r="AP291" s="1336"/>
      <c r="AQ291" s="1336"/>
      <c r="AR291" s="1336"/>
      <c r="AS291" s="1336"/>
      <c r="AT291" s="1336"/>
      <c r="AU291" s="1336"/>
      <c r="AV291" s="1336"/>
      <c r="AW291" s="1336"/>
      <c r="AX291" s="1336"/>
      <c r="AY291" s="1336"/>
      <c r="AZ291" s="1336"/>
      <c r="BA291" s="56"/>
      <c r="BB291" s="56"/>
      <c r="BC291" s="56"/>
      <c r="BD291" s="56"/>
      <c r="BE291" s="56"/>
      <c r="BF291" s="874"/>
      <c r="BG291" s="168"/>
      <c r="BI291" s="168"/>
    </row>
    <row r="292" spans="1:61" x14ac:dyDescent="0.2">
      <c r="A292" s="874"/>
      <c r="B292" s="56"/>
      <c r="C292" s="56"/>
      <c r="D292" s="56"/>
      <c r="E292" s="56"/>
      <c r="F292" s="1337" t="s">
        <v>648</v>
      </c>
      <c r="G292" s="1337"/>
      <c r="H292" s="1337"/>
      <c r="I292" s="1337"/>
      <c r="J292" s="1337"/>
      <c r="K292" s="1337"/>
      <c r="L292" s="1337"/>
      <c r="M292" s="1337"/>
      <c r="N292" s="1337"/>
      <c r="O292" s="1337"/>
      <c r="P292" s="1337"/>
      <c r="Q292" s="1337"/>
      <c r="R292" s="1337"/>
      <c r="S292" s="1337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1337" t="s">
        <v>648</v>
      </c>
      <c r="AN292" s="1337"/>
      <c r="AO292" s="1337"/>
      <c r="AP292" s="1337"/>
      <c r="AQ292" s="1337"/>
      <c r="AR292" s="1337"/>
      <c r="AS292" s="1337"/>
      <c r="AT292" s="1337"/>
      <c r="AU292" s="1337"/>
      <c r="AV292" s="1337"/>
      <c r="AW292" s="1337"/>
      <c r="AX292" s="1337"/>
      <c r="AY292" s="1337"/>
      <c r="AZ292" s="1337"/>
      <c r="BA292" s="56"/>
      <c r="BB292" s="56"/>
      <c r="BC292" s="56"/>
      <c r="BD292" s="56"/>
      <c r="BE292" s="56"/>
      <c r="BF292" s="874"/>
      <c r="BG292" s="168"/>
      <c r="BI292" s="168"/>
    </row>
    <row r="293" spans="1:61" x14ac:dyDescent="0.2">
      <c r="A293" s="874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874"/>
      <c r="BG293" s="168"/>
      <c r="BI293" s="168"/>
    </row>
    <row r="294" spans="1:61" x14ac:dyDescent="0.2">
      <c r="A294" s="874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874"/>
      <c r="BG294" s="168"/>
      <c r="BI294" s="168"/>
    </row>
    <row r="295" spans="1:61" ht="46.5" customHeight="1" x14ac:dyDescent="0.2">
      <c r="A295" s="874"/>
      <c r="B295" s="874"/>
      <c r="C295" s="874"/>
      <c r="D295" s="874"/>
      <c r="E295" s="874"/>
      <c r="F295" s="874"/>
      <c r="G295" s="874"/>
      <c r="H295" s="874"/>
      <c r="I295" s="874"/>
      <c r="J295" s="874"/>
      <c r="K295" s="874"/>
      <c r="L295" s="874"/>
      <c r="M295" s="874"/>
      <c r="N295" s="874"/>
      <c r="O295" s="874"/>
      <c r="P295" s="874"/>
      <c r="Q295" s="874"/>
      <c r="R295" s="874"/>
      <c r="S295" s="874"/>
      <c r="T295" s="874"/>
      <c r="U295" s="874"/>
      <c r="V295" s="874"/>
      <c r="W295" s="874"/>
      <c r="X295" s="874"/>
      <c r="Y295" s="874"/>
      <c r="Z295" s="874"/>
      <c r="AA295" s="874"/>
      <c r="AB295" s="874"/>
      <c r="AC295" s="874"/>
      <c r="AD295" s="874"/>
      <c r="AE295" s="874"/>
      <c r="AF295" s="874"/>
      <c r="AG295" s="874"/>
      <c r="AH295" s="874"/>
      <c r="AI295" s="874"/>
      <c r="AJ295" s="874"/>
      <c r="AK295" s="874"/>
      <c r="AL295" s="874"/>
      <c r="AM295" s="874"/>
      <c r="AN295" s="874"/>
      <c r="AO295" s="874"/>
      <c r="AP295" s="874"/>
      <c r="AQ295" s="874"/>
      <c r="AR295" s="874"/>
      <c r="AS295" s="874"/>
      <c r="AT295" s="874"/>
      <c r="AU295" s="874"/>
      <c r="AV295" s="874"/>
      <c r="AW295" s="874"/>
      <c r="AX295" s="874"/>
      <c r="AY295" s="874"/>
      <c r="AZ295" s="874"/>
      <c r="BA295" s="874"/>
      <c r="BB295" s="874"/>
      <c r="BC295" s="874"/>
      <c r="BD295" s="874"/>
      <c r="BE295" s="874"/>
      <c r="BF295" s="874"/>
      <c r="BG295" s="168"/>
      <c r="BI295" s="168"/>
    </row>
    <row r="296" spans="1:61" ht="12.75" hidden="1" customHeight="1" x14ac:dyDescent="0.2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168"/>
      <c r="BI296" s="168"/>
    </row>
    <row r="297" spans="1:61" ht="12.75" hidden="1" customHeight="1" x14ac:dyDescent="0.2">
      <c r="A297" s="56"/>
      <c r="B297" s="56">
        <v>3</v>
      </c>
      <c r="C297" s="56">
        <v>3</v>
      </c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168"/>
      <c r="BI297" s="168"/>
    </row>
    <row r="298" spans="1:61" ht="12.75" hidden="1" customHeight="1" x14ac:dyDescent="0.2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168"/>
      <c r="BI298" s="168"/>
    </row>
    <row r="299" spans="1:61" ht="12.75" hidden="1" customHeight="1" x14ac:dyDescent="0.2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168"/>
      <c r="BI299" s="168"/>
    </row>
    <row r="300" spans="1:61" ht="12.75" hidden="1" customHeight="1" x14ac:dyDescent="0.2">
      <c r="BG300" s="168"/>
      <c r="BI300" s="168"/>
    </row>
    <row r="301" spans="1:61" ht="12.75" hidden="1" customHeight="1" x14ac:dyDescent="0.2">
      <c r="BG301" s="168"/>
      <c r="BI301" s="168"/>
    </row>
    <row r="302" spans="1:61" ht="12.75" hidden="1" customHeight="1" x14ac:dyDescent="0.2">
      <c r="BG302" s="168"/>
      <c r="BI302" s="168"/>
    </row>
    <row r="303" spans="1:61" ht="12.75" hidden="1" customHeight="1" x14ac:dyDescent="0.2">
      <c r="BG303" s="168"/>
      <c r="BI303" s="168"/>
    </row>
    <row r="304" spans="1:61" ht="12.75" hidden="1" customHeight="1" x14ac:dyDescent="0.2">
      <c r="BG304" s="168"/>
      <c r="BI304" s="168"/>
    </row>
    <row r="305" spans="59:61" ht="12.75" hidden="1" customHeight="1" x14ac:dyDescent="0.2">
      <c r="BG305" s="168"/>
      <c r="BI305" s="168"/>
    </row>
    <row r="306" spans="59:61" ht="12.75" hidden="1" customHeight="1" x14ac:dyDescent="0.2">
      <c r="BG306" s="168"/>
      <c r="BI306" s="168"/>
    </row>
    <row r="307" spans="59:61" ht="12.75" hidden="1" customHeight="1" x14ac:dyDescent="0.2">
      <c r="BG307" s="168"/>
      <c r="BI307" s="168"/>
    </row>
    <row r="308" spans="59:61" ht="12.75" hidden="1" customHeight="1" x14ac:dyDescent="0.2">
      <c r="BG308" s="168"/>
      <c r="BI308" s="168"/>
    </row>
    <row r="309" spans="59:61" ht="12.75" hidden="1" customHeight="1" x14ac:dyDescent="0.2">
      <c r="BG309" s="168"/>
      <c r="BI309" s="168"/>
    </row>
    <row r="310" spans="59:61" ht="12.75" hidden="1" customHeight="1" x14ac:dyDescent="0.2">
      <c r="BG310" s="168"/>
      <c r="BI310" s="168"/>
    </row>
    <row r="311" spans="59:61" ht="12.75" hidden="1" customHeight="1" x14ac:dyDescent="0.2">
      <c r="BG311" s="168"/>
      <c r="BI311" s="168"/>
    </row>
    <row r="312" spans="59:61" ht="12.75" hidden="1" customHeight="1" x14ac:dyDescent="0.2">
      <c r="BG312" s="168"/>
      <c r="BI312" s="168"/>
    </row>
    <row r="313" spans="59:61" ht="12.75" hidden="1" customHeight="1" x14ac:dyDescent="0.2">
      <c r="BG313" s="168"/>
      <c r="BI313" s="168"/>
    </row>
    <row r="314" spans="59:61" ht="12.75" hidden="1" customHeight="1" x14ac:dyDescent="0.2">
      <c r="BG314" s="168"/>
      <c r="BI314" s="168"/>
    </row>
    <row r="315" spans="59:61" ht="12.75" hidden="1" customHeight="1" x14ac:dyDescent="0.2">
      <c r="BG315" s="168"/>
      <c r="BI315" s="168"/>
    </row>
    <row r="316" spans="59:61" ht="12.75" hidden="1" customHeight="1" x14ac:dyDescent="0.2">
      <c r="BG316" s="168"/>
      <c r="BI316" s="168"/>
    </row>
    <row r="317" spans="59:61" ht="12.75" hidden="1" customHeight="1" x14ac:dyDescent="0.2">
      <c r="BG317" s="168"/>
      <c r="BI317" s="168"/>
    </row>
    <row r="318" spans="59:61" ht="12.75" hidden="1" customHeight="1" x14ac:dyDescent="0.2">
      <c r="BG318" s="168"/>
      <c r="BI318" s="168"/>
    </row>
    <row r="319" spans="59:61" ht="12.75" hidden="1" customHeight="1" x14ac:dyDescent="0.2">
      <c r="BG319" s="168"/>
      <c r="BI319" s="168"/>
    </row>
    <row r="320" spans="59:61" ht="12.75" hidden="1" customHeight="1" x14ac:dyDescent="0.2">
      <c r="BG320" s="168"/>
      <c r="BI320" s="168"/>
    </row>
    <row r="321" spans="59:61" ht="12.75" hidden="1" customHeight="1" x14ac:dyDescent="0.2">
      <c r="BG321" s="168"/>
      <c r="BI321" s="168"/>
    </row>
    <row r="322" spans="59:61" ht="12.75" hidden="1" customHeight="1" x14ac:dyDescent="0.2">
      <c r="BG322" s="168"/>
      <c r="BI322" s="168"/>
    </row>
    <row r="323" spans="59:61" ht="12.75" hidden="1" customHeight="1" x14ac:dyDescent="0.2">
      <c r="BG323" s="168"/>
      <c r="BI323" s="168"/>
    </row>
    <row r="324" spans="59:61" ht="12.75" hidden="1" customHeight="1" x14ac:dyDescent="0.2">
      <c r="BG324" s="168"/>
      <c r="BI324" s="168"/>
    </row>
    <row r="325" spans="59:61" ht="12.75" hidden="1" customHeight="1" x14ac:dyDescent="0.2">
      <c r="BG325" s="168"/>
      <c r="BI325" s="168"/>
    </row>
    <row r="326" spans="59:61" ht="12.75" hidden="1" customHeight="1" x14ac:dyDescent="0.2">
      <c r="BG326" s="168"/>
      <c r="BI326" s="168"/>
    </row>
    <row r="327" spans="59:61" ht="12.75" hidden="1" customHeight="1" x14ac:dyDescent="0.2">
      <c r="BG327" s="168"/>
      <c r="BI327" s="168"/>
    </row>
    <row r="328" spans="59:61" ht="12.75" hidden="1" customHeight="1" x14ac:dyDescent="0.2">
      <c r="BG328" s="168"/>
      <c r="BI328" s="168"/>
    </row>
    <row r="329" spans="59:61" ht="12.75" hidden="1" customHeight="1" x14ac:dyDescent="0.2">
      <c r="BG329" s="168"/>
      <c r="BI329" s="168"/>
    </row>
    <row r="330" spans="59:61" ht="12.75" hidden="1" customHeight="1" x14ac:dyDescent="0.2">
      <c r="BG330" s="168"/>
      <c r="BI330" s="168"/>
    </row>
    <row r="331" spans="59:61" ht="12.75" hidden="1" customHeight="1" x14ac:dyDescent="0.2">
      <c r="BG331" s="168"/>
      <c r="BI331" s="168"/>
    </row>
    <row r="332" spans="59:61" ht="12.75" hidden="1" customHeight="1" x14ac:dyDescent="0.2">
      <c r="BG332" s="168"/>
      <c r="BI332" s="168"/>
    </row>
    <row r="333" spans="59:61" ht="12.75" hidden="1" customHeight="1" x14ac:dyDescent="0.2">
      <c r="BG333" s="168"/>
      <c r="BI333" s="168"/>
    </row>
    <row r="334" spans="59:61" ht="12.75" hidden="1" customHeight="1" x14ac:dyDescent="0.2">
      <c r="BG334" s="168"/>
      <c r="BI334" s="168"/>
    </row>
    <row r="335" spans="59:61" ht="12.75" hidden="1" customHeight="1" x14ac:dyDescent="0.2">
      <c r="BG335" s="168"/>
      <c r="BI335" s="168"/>
    </row>
    <row r="336" spans="59:61" ht="12.75" hidden="1" customHeight="1" x14ac:dyDescent="0.2">
      <c r="BG336" s="168"/>
      <c r="BI336" s="168"/>
    </row>
    <row r="337" spans="59:61" ht="12.75" hidden="1" customHeight="1" x14ac:dyDescent="0.2">
      <c r="BG337" s="168"/>
      <c r="BI337" s="168"/>
    </row>
    <row r="338" spans="59:61" ht="12.75" hidden="1" customHeight="1" x14ac:dyDescent="0.2">
      <c r="BG338" s="168"/>
      <c r="BI338" s="168"/>
    </row>
    <row r="339" spans="59:61" ht="12.75" hidden="1" customHeight="1" x14ac:dyDescent="0.2">
      <c r="BG339" s="168"/>
      <c r="BI339" s="168"/>
    </row>
    <row r="340" spans="59:61" ht="12.75" hidden="1" customHeight="1" x14ac:dyDescent="0.2">
      <c r="BG340" s="168"/>
      <c r="BI340" s="168"/>
    </row>
    <row r="341" spans="59:61" ht="12.75" hidden="1" customHeight="1" x14ac:dyDescent="0.2">
      <c r="BG341" s="168"/>
      <c r="BI341" s="168"/>
    </row>
    <row r="342" spans="59:61" ht="12.75" hidden="1" customHeight="1" x14ac:dyDescent="0.2">
      <c r="BG342" s="168"/>
      <c r="BI342" s="168"/>
    </row>
    <row r="343" spans="59:61" ht="12.75" hidden="1" customHeight="1" x14ac:dyDescent="0.2">
      <c r="BG343" s="168"/>
      <c r="BI343" s="168"/>
    </row>
    <row r="344" spans="59:61" ht="12.75" hidden="1" customHeight="1" x14ac:dyDescent="0.2">
      <c r="BG344" s="168"/>
      <c r="BI344" s="168"/>
    </row>
    <row r="345" spans="59:61" ht="12.75" hidden="1" customHeight="1" x14ac:dyDescent="0.2">
      <c r="BG345" s="168"/>
      <c r="BI345" s="168"/>
    </row>
    <row r="346" spans="59:61" ht="12.75" hidden="1" customHeight="1" x14ac:dyDescent="0.2">
      <c r="BG346" s="168"/>
      <c r="BI346" s="168"/>
    </row>
    <row r="347" spans="59:61" ht="12.75" hidden="1" customHeight="1" x14ac:dyDescent="0.2">
      <c r="BG347" s="168"/>
      <c r="BI347" s="168"/>
    </row>
    <row r="348" spans="59:61" ht="12.75" hidden="1" customHeight="1" x14ac:dyDescent="0.2">
      <c r="BG348" s="168"/>
      <c r="BI348" s="168"/>
    </row>
    <row r="349" spans="59:61" ht="12.75" hidden="1" customHeight="1" x14ac:dyDescent="0.2">
      <c r="BG349" s="168"/>
      <c r="BI349" s="168"/>
    </row>
    <row r="350" spans="59:61" ht="12.75" hidden="1" customHeight="1" x14ac:dyDescent="0.2">
      <c r="BG350" s="168"/>
      <c r="BI350" s="168"/>
    </row>
    <row r="351" spans="59:61" ht="12.75" hidden="1" customHeight="1" x14ac:dyDescent="0.2">
      <c r="BG351" s="168"/>
      <c r="BI351" s="168"/>
    </row>
    <row r="352" spans="59:61" ht="12.75" hidden="1" customHeight="1" x14ac:dyDescent="0.2">
      <c r="BG352" s="168"/>
      <c r="BI352" s="168"/>
    </row>
    <row r="353" spans="2:61" hidden="1" x14ac:dyDescent="0.2">
      <c r="BG353" s="168"/>
      <c r="BI353" s="168"/>
    </row>
    <row r="354" spans="2:61" hidden="1" x14ac:dyDescent="0.2">
      <c r="BG354" s="168"/>
      <c r="BI354" s="168"/>
    </row>
    <row r="355" spans="2:61" hidden="1" x14ac:dyDescent="0.2">
      <c r="BG355" s="168"/>
      <c r="BI355" s="168"/>
    </row>
    <row r="356" spans="2:61" hidden="1" x14ac:dyDescent="0.2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</row>
  </sheetData>
  <sheetProtection password="F261" sheet="1" objects="1" scenarios="1" formatRows="0"/>
  <mergeCells count="612">
    <mergeCell ref="R101:X101"/>
    <mergeCell ref="Y101:AK101"/>
    <mergeCell ref="AL101:AR101"/>
    <mergeCell ref="AS101:BE101"/>
    <mergeCell ref="B119:Q119"/>
    <mergeCell ref="R119:X119"/>
    <mergeCell ref="Y119:AK119"/>
    <mergeCell ref="AL119:AR119"/>
    <mergeCell ref="AS119:BE119"/>
    <mergeCell ref="AF109:AN109"/>
    <mergeCell ref="AO106:AW106"/>
    <mergeCell ref="B102:BE102"/>
    <mergeCell ref="B103:BE103"/>
    <mergeCell ref="B111:AF111"/>
    <mergeCell ref="AG111:AP111"/>
    <mergeCell ref="AQ111:BD111"/>
    <mergeCell ref="B35:Q35"/>
    <mergeCell ref="R35:X35"/>
    <mergeCell ref="Y35:AK35"/>
    <mergeCell ref="AL35:AR35"/>
    <mergeCell ref="AS35:BE35"/>
    <mergeCell ref="B51:Q51"/>
    <mergeCell ref="R51:X51"/>
    <mergeCell ref="Y51:AK51"/>
    <mergeCell ref="AL51:AR51"/>
    <mergeCell ref="AS51:BE51"/>
    <mergeCell ref="AL49:AR49"/>
    <mergeCell ref="W41:AE41"/>
    <mergeCell ref="AF41:AN41"/>
    <mergeCell ref="AO41:AW41"/>
    <mergeCell ref="H42:V42"/>
    <mergeCell ref="W42:AE42"/>
    <mergeCell ref="AF42:AN42"/>
    <mergeCell ref="AO42:AW42"/>
    <mergeCell ref="H43:V43"/>
    <mergeCell ref="W43:AE43"/>
    <mergeCell ref="AF43:AN43"/>
    <mergeCell ref="AO43:AW43"/>
    <mergeCell ref="B38:BE38"/>
    <mergeCell ref="H39:V39"/>
    <mergeCell ref="B228:AC228"/>
    <mergeCell ref="AD226:BE227"/>
    <mergeCell ref="B230:AC230"/>
    <mergeCell ref="B233:AC233"/>
    <mergeCell ref="AD233:BE233"/>
    <mergeCell ref="AD230:BE231"/>
    <mergeCell ref="B222:AC222"/>
    <mergeCell ref="B225:AC225"/>
    <mergeCell ref="B231:AC231"/>
    <mergeCell ref="B224:AC224"/>
    <mergeCell ref="B229:AC229"/>
    <mergeCell ref="B227:AC227"/>
    <mergeCell ref="B226:AC226"/>
    <mergeCell ref="AD224:BE225"/>
    <mergeCell ref="B202:AC202"/>
    <mergeCell ref="B210:AC210"/>
    <mergeCell ref="B14:BE14"/>
    <mergeCell ref="B183:F183"/>
    <mergeCell ref="C191:Z191"/>
    <mergeCell ref="AD191:BA191"/>
    <mergeCell ref="AD190:BA190"/>
    <mergeCell ref="C190:Z190"/>
    <mergeCell ref="B187:BE187"/>
    <mergeCell ref="B31:BE31"/>
    <mergeCell ref="AF183:AR183"/>
    <mergeCell ref="B29:AF29"/>
    <mergeCell ref="AO182:AX182"/>
    <mergeCell ref="AQ29:BD29"/>
    <mergeCell ref="B28:BE28"/>
    <mergeCell ref="AG29:AP29"/>
    <mergeCell ref="B50:Q50"/>
    <mergeCell ref="B199:BE199"/>
    <mergeCell ref="AS49:BE49"/>
    <mergeCell ref="H20:V20"/>
    <mergeCell ref="W20:AE20"/>
    <mergeCell ref="AF20:AN20"/>
    <mergeCell ref="AO20:AW20"/>
    <mergeCell ref="Y49:AK49"/>
    <mergeCell ref="B220:AC220"/>
    <mergeCell ref="AD222:BE223"/>
    <mergeCell ref="B223:AC223"/>
    <mergeCell ref="C192:Z192"/>
    <mergeCell ref="AD202:BE203"/>
    <mergeCell ref="AD204:BE205"/>
    <mergeCell ref="B216:AC216"/>
    <mergeCell ref="AD201:BE201"/>
    <mergeCell ref="B201:AC201"/>
    <mergeCell ref="B213:AC213"/>
    <mergeCell ref="B211:AC211"/>
    <mergeCell ref="B207:AC207"/>
    <mergeCell ref="AS195:BE195"/>
    <mergeCell ref="B203:AC203"/>
    <mergeCell ref="AD208:BE209"/>
    <mergeCell ref="AD210:BE211"/>
    <mergeCell ref="B208:AC208"/>
    <mergeCell ref="B214:AC214"/>
    <mergeCell ref="B209:AC209"/>
    <mergeCell ref="AD206:BE207"/>
    <mergeCell ref="B204:AC204"/>
    <mergeCell ref="AD214:BE215"/>
    <mergeCell ref="B206:AC206"/>
    <mergeCell ref="B195:Q195"/>
    <mergeCell ref="G183:K183"/>
    <mergeCell ref="B53:BE53"/>
    <mergeCell ref="B61:AF61"/>
    <mergeCell ref="B84:BE84"/>
    <mergeCell ref="K4:Q4"/>
    <mergeCell ref="AM4:AR4"/>
    <mergeCell ref="AQ27:BD27"/>
    <mergeCell ref="AT8:BE8"/>
    <mergeCell ref="N8:O8"/>
    <mergeCell ref="F8:G8"/>
    <mergeCell ref="I8:J8"/>
    <mergeCell ref="AG27:AP27"/>
    <mergeCell ref="K10:AJ10"/>
    <mergeCell ref="B9:BD9"/>
    <mergeCell ref="B16:BE16"/>
    <mergeCell ref="AB8:AS8"/>
    <mergeCell ref="B10:J10"/>
    <mergeCell ref="F6:AA6"/>
    <mergeCell ref="B19:BE19"/>
    <mergeCell ref="B27:AF27"/>
    <mergeCell ref="AS50:BE50"/>
    <mergeCell ref="AL34:AR34"/>
    <mergeCell ref="B37:BE37"/>
    <mergeCell ref="AG45:AP45"/>
    <mergeCell ref="B189:Z189"/>
    <mergeCell ref="B52:BE52"/>
    <mergeCell ref="B186:BE186"/>
    <mergeCell ref="AS183:BB183"/>
    <mergeCell ref="BC183:BE183"/>
    <mergeCell ref="Q184:BE184"/>
    <mergeCell ref="AY182:BE182"/>
    <mergeCell ref="B182:AN182"/>
    <mergeCell ref="R50:X50"/>
    <mergeCell ref="B81:Q81"/>
    <mergeCell ref="AS99:BE99"/>
    <mergeCell ref="B100:Q100"/>
    <mergeCell ref="R100:X100"/>
    <mergeCell ref="Y100:AK100"/>
    <mergeCell ref="AL100:AR100"/>
    <mergeCell ref="AS100:BE100"/>
    <mergeCell ref="B95:AF95"/>
    <mergeCell ref="AG95:AP95"/>
    <mergeCell ref="AQ95:BD95"/>
    <mergeCell ref="B96:BE96"/>
    <mergeCell ref="B97:BE97"/>
    <mergeCell ref="B98:BE98"/>
    <mergeCell ref="B104:BE104"/>
    <mergeCell ref="B116:BE116"/>
    <mergeCell ref="G2:M2"/>
    <mergeCell ref="B3:BD3"/>
    <mergeCell ref="S4:U4"/>
    <mergeCell ref="V4:X4"/>
    <mergeCell ref="J12:AI12"/>
    <mergeCell ref="B15:BE15"/>
    <mergeCell ref="AH2:BE2"/>
    <mergeCell ref="AA4:AE4"/>
    <mergeCell ref="B5:BD5"/>
    <mergeCell ref="B6:E6"/>
    <mergeCell ref="AF4:AK4"/>
    <mergeCell ref="E4:F4"/>
    <mergeCell ref="K8:L8"/>
    <mergeCell ref="B8:E8"/>
    <mergeCell ref="P2:AG2"/>
    <mergeCell ref="B7:BD7"/>
    <mergeCell ref="B4:D4"/>
    <mergeCell ref="H4:J4"/>
    <mergeCell ref="F292:S292"/>
    <mergeCell ref="AM292:AZ292"/>
    <mergeCell ref="B30:BE30"/>
    <mergeCell ref="B181:BE181"/>
    <mergeCell ref="B254:BE254"/>
    <mergeCell ref="L183:AA183"/>
    <mergeCell ref="AB183:AE183"/>
    <mergeCell ref="B17:BE17"/>
    <mergeCell ref="AD212:BE213"/>
    <mergeCell ref="Z265:AG265"/>
    <mergeCell ref="AH265:AI265"/>
    <mergeCell ref="AD216:BE217"/>
    <mergeCell ref="AD218:BE219"/>
    <mergeCell ref="B219:AC219"/>
    <mergeCell ref="B218:AC218"/>
    <mergeCell ref="B215:AC215"/>
    <mergeCell ref="AJ265:AM265"/>
    <mergeCell ref="V265:W265"/>
    <mergeCell ref="B196:BE196"/>
    <mergeCell ref="B184:F184"/>
    <mergeCell ref="G184:P184"/>
    <mergeCell ref="AD221:BE221"/>
    <mergeCell ref="AD228:BE229"/>
    <mergeCell ref="AD234:BE234"/>
    <mergeCell ref="B257:BE257"/>
    <mergeCell ref="B258:BE258"/>
    <mergeCell ref="W256:AB256"/>
    <mergeCell ref="AC256:AD256"/>
    <mergeCell ref="AE256:AJ256"/>
    <mergeCell ref="AK256:BE256"/>
    <mergeCell ref="AD240:BE240"/>
    <mergeCell ref="B235:AC235"/>
    <mergeCell ref="B256:V256"/>
    <mergeCell ref="B255:BE255"/>
    <mergeCell ref="B253:BE253"/>
    <mergeCell ref="B249:AC249"/>
    <mergeCell ref="AD249:BE249"/>
    <mergeCell ref="AD235:BE235"/>
    <mergeCell ref="B244:AC244"/>
    <mergeCell ref="B237:AC237"/>
    <mergeCell ref="B246:AC246"/>
    <mergeCell ref="B243:AC243"/>
    <mergeCell ref="AD244:BE244"/>
    <mergeCell ref="B245:AC245"/>
    <mergeCell ref="B250:AC250"/>
    <mergeCell ref="B236:AC236"/>
    <mergeCell ref="AD246:BE246"/>
    <mergeCell ref="AD250:BE250"/>
    <mergeCell ref="B234:AC234"/>
    <mergeCell ref="AM291:AZ291"/>
    <mergeCell ref="P270:AM270"/>
    <mergeCell ref="P271:AM271"/>
    <mergeCell ref="F277:S277"/>
    <mergeCell ref="F278:S278"/>
    <mergeCell ref="AM277:AZ277"/>
    <mergeCell ref="AM278:AZ278"/>
    <mergeCell ref="X265:Y265"/>
    <mergeCell ref="P265:U265"/>
    <mergeCell ref="F291:S291"/>
    <mergeCell ref="B252:Q252"/>
    <mergeCell ref="B241:AC241"/>
    <mergeCell ref="AD245:BE245"/>
    <mergeCell ref="B240:AC240"/>
    <mergeCell ref="AD241:BE241"/>
    <mergeCell ref="AD237:BE237"/>
    <mergeCell ref="AD236:BE236"/>
    <mergeCell ref="AD238:BE238"/>
    <mergeCell ref="AD243:BE243"/>
    <mergeCell ref="B242:AC242"/>
    <mergeCell ref="B238:AC238"/>
    <mergeCell ref="AD242:BE242"/>
    <mergeCell ref="AD239:BE239"/>
    <mergeCell ref="B248:AC248"/>
    <mergeCell ref="B239:AC239"/>
    <mergeCell ref="B247:AC247"/>
    <mergeCell ref="AD247:BE247"/>
    <mergeCell ref="AS252:BE252"/>
    <mergeCell ref="AD248:BE248"/>
    <mergeCell ref="B13:BE13"/>
    <mergeCell ref="C193:Z193"/>
    <mergeCell ref="B205:AC205"/>
    <mergeCell ref="B212:AC212"/>
    <mergeCell ref="B221:AC221"/>
    <mergeCell ref="B197:BE197"/>
    <mergeCell ref="B198:BE198"/>
    <mergeCell ref="B217:AC217"/>
    <mergeCell ref="B46:BE46"/>
    <mergeCell ref="B47:BE47"/>
    <mergeCell ref="B33:Q33"/>
    <mergeCell ref="R33:X33"/>
    <mergeCell ref="Y33:AK33"/>
    <mergeCell ref="AL33:AR33"/>
    <mergeCell ref="AS33:BE33"/>
    <mergeCell ref="B34:Q34"/>
    <mergeCell ref="R34:X34"/>
    <mergeCell ref="Y34:AK34"/>
    <mergeCell ref="BQ62:BR62"/>
    <mergeCell ref="BG61:BR61"/>
    <mergeCell ref="B32:BE32"/>
    <mergeCell ref="B44:BE44"/>
    <mergeCell ref="B68:BE68"/>
    <mergeCell ref="B65:Q65"/>
    <mergeCell ref="R65:X65"/>
    <mergeCell ref="Y65:AK65"/>
    <mergeCell ref="AL65:AR65"/>
    <mergeCell ref="AS65:BE65"/>
    <mergeCell ref="B66:Q66"/>
    <mergeCell ref="R66:X66"/>
    <mergeCell ref="Y66:AK66"/>
    <mergeCell ref="AL66:AR66"/>
    <mergeCell ref="AS66:BE66"/>
    <mergeCell ref="BM62:BN62"/>
    <mergeCell ref="BO62:BP62"/>
    <mergeCell ref="BG60:BH60"/>
    <mergeCell ref="AQ45:BD45"/>
    <mergeCell ref="AG61:AP61"/>
    <mergeCell ref="AQ61:BD61"/>
    <mergeCell ref="B62:BE62"/>
    <mergeCell ref="B63:BE63"/>
    <mergeCell ref="H57:V57"/>
    <mergeCell ref="BK62:BL62"/>
    <mergeCell ref="AG77:AP77"/>
    <mergeCell ref="AQ77:BD77"/>
    <mergeCell ref="B64:BE64"/>
    <mergeCell ref="B69:BE69"/>
    <mergeCell ref="BG62:BH62"/>
    <mergeCell ref="BI62:BJ62"/>
    <mergeCell ref="B67:Q67"/>
    <mergeCell ref="R67:X67"/>
    <mergeCell ref="Y67:AK67"/>
    <mergeCell ref="AL67:AR67"/>
    <mergeCell ref="AS67:BE67"/>
    <mergeCell ref="B76:BE76"/>
    <mergeCell ref="AO73:AW73"/>
    <mergeCell ref="H74:V74"/>
    <mergeCell ref="W74:AE74"/>
    <mergeCell ref="AF74:AN74"/>
    <mergeCell ref="AO74:AW74"/>
    <mergeCell ref="H75:V75"/>
    <mergeCell ref="W75:AE75"/>
    <mergeCell ref="AF75:AN75"/>
    <mergeCell ref="AO75:AW75"/>
    <mergeCell ref="H73:V73"/>
    <mergeCell ref="H58:V58"/>
    <mergeCell ref="W58:AE58"/>
    <mergeCell ref="AF58:AN58"/>
    <mergeCell ref="AO58:AW58"/>
    <mergeCell ref="H59:V59"/>
    <mergeCell ref="W59:AE59"/>
    <mergeCell ref="AF59:AN59"/>
    <mergeCell ref="AO59:AW59"/>
    <mergeCell ref="AO72:AW72"/>
    <mergeCell ref="W56:AE56"/>
    <mergeCell ref="B54:BE54"/>
    <mergeCell ref="H55:V55"/>
    <mergeCell ref="W55:AE55"/>
    <mergeCell ref="AF55:AN55"/>
    <mergeCell ref="AO55:AW55"/>
    <mergeCell ref="H56:V56"/>
    <mergeCell ref="AF56:AN56"/>
    <mergeCell ref="W57:AE57"/>
    <mergeCell ref="AF57:AN57"/>
    <mergeCell ref="AO57:AW57"/>
    <mergeCell ref="B120:BE120"/>
    <mergeCell ref="B112:BE112"/>
    <mergeCell ref="B117:Q117"/>
    <mergeCell ref="R117:X117"/>
    <mergeCell ref="Y117:AK117"/>
    <mergeCell ref="AL117:AR117"/>
    <mergeCell ref="AS117:BE117"/>
    <mergeCell ref="B118:Q118"/>
    <mergeCell ref="R118:X118"/>
    <mergeCell ref="Y118:AK118"/>
    <mergeCell ref="AL118:AR118"/>
    <mergeCell ref="AS118:BE118"/>
    <mergeCell ref="B113:AF113"/>
    <mergeCell ref="AG113:AP113"/>
    <mergeCell ref="AQ113:BD113"/>
    <mergeCell ref="B114:BE114"/>
    <mergeCell ref="B115:BE115"/>
    <mergeCell ref="H24:V24"/>
    <mergeCell ref="W24:AE24"/>
    <mergeCell ref="AF24:AN24"/>
    <mergeCell ref="AO24:AW24"/>
    <mergeCell ref="B80:BE80"/>
    <mergeCell ref="H71:V71"/>
    <mergeCell ref="W71:AE71"/>
    <mergeCell ref="B36:BE36"/>
    <mergeCell ref="AS34:BE34"/>
    <mergeCell ref="B49:Q49"/>
    <mergeCell ref="R49:X49"/>
    <mergeCell ref="Y50:AK50"/>
    <mergeCell ref="AL50:AR50"/>
    <mergeCell ref="B45:AF45"/>
    <mergeCell ref="B70:BE70"/>
    <mergeCell ref="B60:BE60"/>
    <mergeCell ref="B48:BE48"/>
    <mergeCell ref="AF71:AN71"/>
    <mergeCell ref="AO71:AW71"/>
    <mergeCell ref="H72:V72"/>
    <mergeCell ref="W72:AE72"/>
    <mergeCell ref="AF72:AN72"/>
    <mergeCell ref="H41:V41"/>
    <mergeCell ref="AO56:AW56"/>
    <mergeCell ref="B94:BE94"/>
    <mergeCell ref="B99:Q99"/>
    <mergeCell ref="R99:X99"/>
    <mergeCell ref="Y99:AK99"/>
    <mergeCell ref="AL99:AR99"/>
    <mergeCell ref="AO109:AW109"/>
    <mergeCell ref="H106:V106"/>
    <mergeCell ref="H105:V105"/>
    <mergeCell ref="H107:V107"/>
    <mergeCell ref="H108:V108"/>
    <mergeCell ref="H109:V109"/>
    <mergeCell ref="W106:AE106"/>
    <mergeCell ref="W107:AE107"/>
    <mergeCell ref="W108:AE108"/>
    <mergeCell ref="W109:AE109"/>
    <mergeCell ref="AF106:AN106"/>
    <mergeCell ref="AF107:AN107"/>
    <mergeCell ref="AF108:AN108"/>
    <mergeCell ref="AO107:AW107"/>
    <mergeCell ref="AO108:AW108"/>
    <mergeCell ref="W105:AE105"/>
    <mergeCell ref="AF105:AN105"/>
    <mergeCell ref="AO105:AW105"/>
    <mergeCell ref="B101:Q101"/>
    <mergeCell ref="W90:AE90"/>
    <mergeCell ref="AF90:AN90"/>
    <mergeCell ref="AO90:AW90"/>
    <mergeCell ref="B85:BE85"/>
    <mergeCell ref="B93:AF93"/>
    <mergeCell ref="AG93:AP93"/>
    <mergeCell ref="AQ93:BD93"/>
    <mergeCell ref="B86:BE86"/>
    <mergeCell ref="H91:V91"/>
    <mergeCell ref="W91:AE91"/>
    <mergeCell ref="AF91:AN91"/>
    <mergeCell ref="AO91:AW91"/>
    <mergeCell ref="B92:BE92"/>
    <mergeCell ref="H89:V89"/>
    <mergeCell ref="W89:AE89"/>
    <mergeCell ref="AF89:AN89"/>
    <mergeCell ref="AO89:AW89"/>
    <mergeCell ref="H90:V90"/>
    <mergeCell ref="AS82:BE82"/>
    <mergeCell ref="B77:AF77"/>
    <mergeCell ref="B83:Q83"/>
    <mergeCell ref="R83:X83"/>
    <mergeCell ref="Y83:AK83"/>
    <mergeCell ref="AL83:AR83"/>
    <mergeCell ref="AS83:BE83"/>
    <mergeCell ref="H88:V88"/>
    <mergeCell ref="H87:V87"/>
    <mergeCell ref="W87:AE87"/>
    <mergeCell ref="AF87:AN87"/>
    <mergeCell ref="AO87:AW87"/>
    <mergeCell ref="W39:AE39"/>
    <mergeCell ref="AF39:AN39"/>
    <mergeCell ref="AO39:AW39"/>
    <mergeCell ref="H40:V40"/>
    <mergeCell ref="W40:AE40"/>
    <mergeCell ref="AF40:AN40"/>
    <mergeCell ref="AO40:AW40"/>
    <mergeCell ref="H21:V21"/>
    <mergeCell ref="W21:AE21"/>
    <mergeCell ref="AF21:AN21"/>
    <mergeCell ref="AO21:AW21"/>
    <mergeCell ref="H25:V25"/>
    <mergeCell ref="W25:AE25"/>
    <mergeCell ref="AF25:AN25"/>
    <mergeCell ref="AO25:AW25"/>
    <mergeCell ref="H23:V23"/>
    <mergeCell ref="W23:AE23"/>
    <mergeCell ref="AF23:AN23"/>
    <mergeCell ref="AO23:AW23"/>
    <mergeCell ref="H22:V22"/>
    <mergeCell ref="W22:AE22"/>
    <mergeCell ref="AF22:AN22"/>
    <mergeCell ref="AO22:AW22"/>
    <mergeCell ref="B26:BE26"/>
    <mergeCell ref="BS62:BT62"/>
    <mergeCell ref="BU62:BV62"/>
    <mergeCell ref="BW62:BX62"/>
    <mergeCell ref="B122:BE122"/>
    <mergeCell ref="B123:BE123"/>
    <mergeCell ref="H124:V124"/>
    <mergeCell ref="W124:AE124"/>
    <mergeCell ref="AF124:AN124"/>
    <mergeCell ref="AO124:AW124"/>
    <mergeCell ref="B82:Q82"/>
    <mergeCell ref="W73:AE73"/>
    <mergeCell ref="AF73:AN73"/>
    <mergeCell ref="B78:BE78"/>
    <mergeCell ref="B79:BE79"/>
    <mergeCell ref="W88:AE88"/>
    <mergeCell ref="AF88:AN88"/>
    <mergeCell ref="AO88:AW88"/>
    <mergeCell ref="R81:X81"/>
    <mergeCell ref="Y81:AK81"/>
    <mergeCell ref="AL81:AR81"/>
    <mergeCell ref="AS81:BE81"/>
    <mergeCell ref="R82:X82"/>
    <mergeCell ref="Y82:AK82"/>
    <mergeCell ref="AL82:AR82"/>
    <mergeCell ref="H125:V125"/>
    <mergeCell ref="W125:AE125"/>
    <mergeCell ref="AF125:AN125"/>
    <mergeCell ref="AO125:AW125"/>
    <mergeCell ref="H126:V126"/>
    <mergeCell ref="W126:AE126"/>
    <mergeCell ref="AF126:AN126"/>
    <mergeCell ref="AO126:AW126"/>
    <mergeCell ref="H127:V127"/>
    <mergeCell ref="W127:AE127"/>
    <mergeCell ref="AF127:AN127"/>
    <mergeCell ref="AO127:AW127"/>
    <mergeCell ref="H128:V128"/>
    <mergeCell ref="W128:AE128"/>
    <mergeCell ref="AF128:AN128"/>
    <mergeCell ref="AO128:AW128"/>
    <mergeCell ref="B130:AF130"/>
    <mergeCell ref="AG130:AP130"/>
    <mergeCell ref="AQ130:BD130"/>
    <mergeCell ref="B131:BE131"/>
    <mergeCell ref="B132:AF132"/>
    <mergeCell ref="AG132:AP132"/>
    <mergeCell ref="AQ132:BD132"/>
    <mergeCell ref="B133:BE133"/>
    <mergeCell ref="B134:BE134"/>
    <mergeCell ref="B135:BE135"/>
    <mergeCell ref="B136:Q136"/>
    <mergeCell ref="R136:X136"/>
    <mergeCell ref="Y136:AK136"/>
    <mergeCell ref="AL136:AR136"/>
    <mergeCell ref="AS136:BE136"/>
    <mergeCell ref="B137:Q137"/>
    <mergeCell ref="R137:X137"/>
    <mergeCell ref="Y137:AK137"/>
    <mergeCell ref="AL137:AR137"/>
    <mergeCell ref="AS137:BE137"/>
    <mergeCell ref="B138:Q138"/>
    <mergeCell ref="R138:X138"/>
    <mergeCell ref="Y138:AK138"/>
    <mergeCell ref="AL138:AR138"/>
    <mergeCell ref="AS138:BE138"/>
    <mergeCell ref="B139:BE139"/>
    <mergeCell ref="B141:BE141"/>
    <mergeCell ref="B142:BE142"/>
    <mergeCell ref="H143:V143"/>
    <mergeCell ref="W143:AE143"/>
    <mergeCell ref="AF143:AN143"/>
    <mergeCell ref="AO143:AW143"/>
    <mergeCell ref="H144:V144"/>
    <mergeCell ref="W144:AE144"/>
    <mergeCell ref="AF144:AN144"/>
    <mergeCell ref="AO144:AW144"/>
    <mergeCell ref="H145:V145"/>
    <mergeCell ref="W145:AE145"/>
    <mergeCell ref="AF145:AN145"/>
    <mergeCell ref="AO145:AW145"/>
    <mergeCell ref="H146:V146"/>
    <mergeCell ref="W146:AE146"/>
    <mergeCell ref="AF146:AN146"/>
    <mergeCell ref="AO146:AW146"/>
    <mergeCell ref="H147:V147"/>
    <mergeCell ref="W147:AE147"/>
    <mergeCell ref="AF147:AN147"/>
    <mergeCell ref="AO147:AW147"/>
    <mergeCell ref="B149:AF149"/>
    <mergeCell ref="AG149:AP149"/>
    <mergeCell ref="AQ149:BD149"/>
    <mergeCell ref="B150:BE150"/>
    <mergeCell ref="B151:AF151"/>
    <mergeCell ref="AG151:AP151"/>
    <mergeCell ref="AQ151:BD151"/>
    <mergeCell ref="B152:BE152"/>
    <mergeCell ref="B153:BE153"/>
    <mergeCell ref="B154:BE154"/>
    <mergeCell ref="B155:Q155"/>
    <mergeCell ref="R155:X155"/>
    <mergeCell ref="Y155:AK155"/>
    <mergeCell ref="AL155:AR155"/>
    <mergeCell ref="AS155:BE155"/>
    <mergeCell ref="B156:Q156"/>
    <mergeCell ref="R156:X156"/>
    <mergeCell ref="Y156:AK156"/>
    <mergeCell ref="AL156:AR156"/>
    <mergeCell ref="AS156:BE156"/>
    <mergeCell ref="B157:Q157"/>
    <mergeCell ref="R157:X157"/>
    <mergeCell ref="Y157:AK157"/>
    <mergeCell ref="AL157:AR157"/>
    <mergeCell ref="AS157:BE157"/>
    <mergeCell ref="B158:BE158"/>
    <mergeCell ref="B160:BE160"/>
    <mergeCell ref="B161:BE161"/>
    <mergeCell ref="H162:V162"/>
    <mergeCell ref="W162:AE162"/>
    <mergeCell ref="AF162:AN162"/>
    <mergeCell ref="AO162:AW162"/>
    <mergeCell ref="H163:V163"/>
    <mergeCell ref="W163:AE163"/>
    <mergeCell ref="AF163:AN163"/>
    <mergeCell ref="AO163:AW163"/>
    <mergeCell ref="H164:V164"/>
    <mergeCell ref="W164:AE164"/>
    <mergeCell ref="AF164:AN164"/>
    <mergeCell ref="AO164:AW164"/>
    <mergeCell ref="H165:V165"/>
    <mergeCell ref="W165:AE165"/>
    <mergeCell ref="AF165:AN165"/>
    <mergeCell ref="AO165:AW165"/>
    <mergeCell ref="H166:V166"/>
    <mergeCell ref="W166:AE166"/>
    <mergeCell ref="AF166:AN166"/>
    <mergeCell ref="AO166:AW166"/>
    <mergeCell ref="B168:AF168"/>
    <mergeCell ref="AG168:AP168"/>
    <mergeCell ref="AQ168:BD168"/>
    <mergeCell ref="B169:BE169"/>
    <mergeCell ref="B170:AF170"/>
    <mergeCell ref="AG170:AP170"/>
    <mergeCell ref="AQ170:BD170"/>
    <mergeCell ref="B176:Q176"/>
    <mergeCell ref="R176:X176"/>
    <mergeCell ref="Y176:AK176"/>
    <mergeCell ref="AL176:AR176"/>
    <mergeCell ref="AS176:BE176"/>
    <mergeCell ref="B177:BE177"/>
    <mergeCell ref="B171:BE171"/>
    <mergeCell ref="B172:BE172"/>
    <mergeCell ref="B173:BE173"/>
    <mergeCell ref="B174:Q174"/>
    <mergeCell ref="R174:X174"/>
    <mergeCell ref="Y174:AK174"/>
    <mergeCell ref="AL174:AR174"/>
    <mergeCell ref="AS174:BE174"/>
    <mergeCell ref="B175:Q175"/>
    <mergeCell ref="R175:X175"/>
    <mergeCell ref="Y175:AK175"/>
    <mergeCell ref="AL175:AR175"/>
    <mergeCell ref="AS175:BE175"/>
  </mergeCells>
  <phoneticPr fontId="0" type="noConversion"/>
  <conditionalFormatting sqref="F8 G2:M2 E4:F4 K4:Q4 J12:AI12 K10:AJ10 G183 F6 BH194 V4:X4 I8:J8">
    <cfRule type="cellIs" dxfId="380" priority="820" stopIfTrue="1" operator="equal">
      <formula>0</formula>
    </cfRule>
  </conditionalFormatting>
  <conditionalFormatting sqref="AE256:AJ256 W256:AB256 AA190:AC190">
    <cfRule type="cellIs" dxfId="379" priority="821" stopIfTrue="1" operator="equal">
      <formula>0</formula>
    </cfRule>
  </conditionalFormatting>
  <conditionalFormatting sqref="A120">
    <cfRule type="expression" dxfId="378" priority="2794">
      <formula>$A$120=$BH$222</formula>
    </cfRule>
    <cfRule type="expression" dxfId="377" priority="2795">
      <formula>$A$120=$BH$221</formula>
    </cfRule>
  </conditionalFormatting>
  <conditionalFormatting sqref="A102">
    <cfRule type="expression" dxfId="376" priority="2812">
      <formula>$A$102=$BH$222</formula>
    </cfRule>
    <cfRule type="expression" dxfId="375" priority="2813">
      <formula>$A$102=$BH$221</formula>
    </cfRule>
  </conditionalFormatting>
  <conditionalFormatting sqref="A36">
    <cfRule type="expression" dxfId="374" priority="2814">
      <formula>$A$36=$BH$222</formula>
    </cfRule>
    <cfRule type="expression" dxfId="373" priority="2815">
      <formula>$A$36=$BH$221</formula>
    </cfRule>
  </conditionalFormatting>
  <conditionalFormatting sqref="A52">
    <cfRule type="expression" dxfId="372" priority="2816">
      <formula>$A$52=$BH$222</formula>
    </cfRule>
    <cfRule type="expression" dxfId="371" priority="2817">
      <formula>$A$52=$BH$221</formula>
    </cfRule>
  </conditionalFormatting>
  <conditionalFormatting sqref="A68">
    <cfRule type="expression" dxfId="370" priority="2818">
      <formula>$A$68=$BH$222</formula>
    </cfRule>
    <cfRule type="expression" dxfId="369" priority="2819">
      <formula>$A$68=$BH$221</formula>
    </cfRule>
  </conditionalFormatting>
  <conditionalFormatting sqref="A84">
    <cfRule type="expression" dxfId="368" priority="2820">
      <formula>$A$84=$BH$222</formula>
    </cfRule>
    <cfRule type="expression" dxfId="367" priority="2821">
      <formula>$A$84=$BH$221</formula>
    </cfRule>
  </conditionalFormatting>
  <conditionalFormatting sqref="AL33:AR33">
    <cfRule type="cellIs" dxfId="366" priority="345" stopIfTrue="1" operator="equal">
      <formula>""</formula>
    </cfRule>
    <cfRule type="cellIs" dxfId="365" priority="347" stopIfTrue="1" operator="notEqual">
      <formula>""</formula>
    </cfRule>
  </conditionalFormatting>
  <conditionalFormatting sqref="B52:BE52">
    <cfRule type="cellIs" dxfId="364" priority="335" operator="equal">
      <formula>""</formula>
    </cfRule>
  </conditionalFormatting>
  <conditionalFormatting sqref="B68:BE68">
    <cfRule type="cellIs" dxfId="363" priority="325" operator="equal">
      <formula>""</formula>
    </cfRule>
  </conditionalFormatting>
  <conditionalFormatting sqref="B84:BE84">
    <cfRule type="cellIs" dxfId="362" priority="324" operator="equal">
      <formula>""</formula>
    </cfRule>
  </conditionalFormatting>
  <conditionalFormatting sqref="B102:BE102">
    <cfRule type="cellIs" dxfId="361" priority="323" operator="equal">
      <formula>""</formula>
    </cfRule>
  </conditionalFormatting>
  <conditionalFormatting sqref="B120:BE120">
    <cfRule type="cellIs" dxfId="360" priority="322" operator="equal">
      <formula>""</formula>
    </cfRule>
  </conditionalFormatting>
  <conditionalFormatting sqref="B36:BE36">
    <cfRule type="cellIs" dxfId="359" priority="321" operator="equal">
      <formula>""</formula>
    </cfRule>
  </conditionalFormatting>
  <conditionalFormatting sqref="Y66:AK66 Y82:AK82 Y50:AK50 Y34:AK34 Y100:AK100 Y118:AK118">
    <cfRule type="expression" dxfId="358" priority="300" stopIfTrue="1">
      <formula>IF($A34=$BH$63,TRUE)</formula>
    </cfRule>
  </conditionalFormatting>
  <conditionalFormatting sqref="Y65:AK65 Y81:AK81 Y49:AK49 Y33:AK33 Y99:AK99 Y117:AK117">
    <cfRule type="expression" dxfId="357" priority="294">
      <formula>IF($A33=$BH$63,TRUE)</formula>
    </cfRule>
  </conditionalFormatting>
  <conditionalFormatting sqref="R65:X65 R81:X81 R49:X49 R33:X33 R99:X99 R117:X117">
    <cfRule type="expression" dxfId="356" priority="218">
      <formula>IF($A33=$BH$63,TRUE)</formula>
    </cfRule>
    <cfRule type="cellIs" dxfId="355" priority="220" stopIfTrue="1" operator="equal">
      <formula>""</formula>
    </cfRule>
    <cfRule type="cellIs" dxfId="354" priority="222" stopIfTrue="1" operator="notEqual">
      <formula>""</formula>
    </cfRule>
  </conditionalFormatting>
  <conditionalFormatting sqref="R66:X66 R82:X82 R100:X100 R118:X118 R50:X50 R34:X34">
    <cfRule type="expression" dxfId="353" priority="192" stopIfTrue="1">
      <formula>IF($A34=$BH$63,TRUE)</formula>
    </cfRule>
    <cfRule type="expression" dxfId="352" priority="193" stopIfTrue="1">
      <formula>IF($A34=$BH$224,TRUE)</formula>
    </cfRule>
    <cfRule type="expression" dxfId="351" priority="194" stopIfTrue="1">
      <formula>IF($Y34&lt;&gt;"",TRUE)</formula>
    </cfRule>
  </conditionalFormatting>
  <conditionalFormatting sqref="AL118:AR118 AL100:AR100 AL82:AR82 AL66:AR66 AL50:AR50 AL34:AR34">
    <cfRule type="expression" dxfId="350" priority="161" stopIfTrue="1">
      <formula>IF($AS34&lt;&gt;"",TRUE)</formula>
    </cfRule>
  </conditionalFormatting>
  <conditionalFormatting sqref="AL49:AR49">
    <cfRule type="cellIs" dxfId="349" priority="159" stopIfTrue="1" operator="equal">
      <formula>""</formula>
    </cfRule>
    <cfRule type="cellIs" dxfId="348" priority="160" stopIfTrue="1" operator="notEqual">
      <formula>""</formula>
    </cfRule>
  </conditionalFormatting>
  <conditionalFormatting sqref="AL65:AR65">
    <cfRule type="cellIs" dxfId="347" priority="148" stopIfTrue="1" operator="equal">
      <formula>""</formula>
    </cfRule>
    <cfRule type="cellIs" dxfId="346" priority="149" stopIfTrue="1" operator="notEqual">
      <formula>""</formula>
    </cfRule>
  </conditionalFormatting>
  <conditionalFormatting sqref="AL81:AR81">
    <cfRule type="cellIs" dxfId="345" priority="129" stopIfTrue="1" operator="equal">
      <formula>""</formula>
    </cfRule>
    <cfRule type="cellIs" dxfId="344" priority="130" stopIfTrue="1" operator="notEqual">
      <formula>""</formula>
    </cfRule>
  </conditionalFormatting>
  <conditionalFormatting sqref="AL99:AR99">
    <cfRule type="cellIs" dxfId="343" priority="118" stopIfTrue="1" operator="equal">
      <formula>""</formula>
    </cfRule>
    <cfRule type="cellIs" dxfId="342" priority="119" stopIfTrue="1" operator="notEqual">
      <formula>""</formula>
    </cfRule>
  </conditionalFormatting>
  <conditionalFormatting sqref="AL117:AR117">
    <cfRule type="cellIs" dxfId="341" priority="107" stopIfTrue="1" operator="equal">
      <formula>""</formula>
    </cfRule>
    <cfRule type="cellIs" dxfId="340" priority="108" stopIfTrue="1" operator="notEqual">
      <formula>""</formula>
    </cfRule>
  </conditionalFormatting>
  <conditionalFormatting sqref="AG77:AP77">
    <cfRule type="expression" dxfId="339" priority="101">
      <formula>IF($W$74&lt;&gt;0,TRUE)</formula>
    </cfRule>
  </conditionalFormatting>
  <conditionalFormatting sqref="AG61:AP61">
    <cfRule type="expression" dxfId="338" priority="100">
      <formula>IF($W$58&lt;&gt;0,TRUE)</formula>
    </cfRule>
  </conditionalFormatting>
  <conditionalFormatting sqref="AG45:AP45">
    <cfRule type="expression" dxfId="337" priority="99">
      <formula>IF($W$42&lt;&gt;0,TRUE)</formula>
    </cfRule>
  </conditionalFormatting>
  <conditionalFormatting sqref="AG27:AP27">
    <cfRule type="expression" dxfId="336" priority="98">
      <formula>IF($W$24&lt;&gt;0,TRUE)</formula>
    </cfRule>
  </conditionalFormatting>
  <conditionalFormatting sqref="AG29:AP29">
    <cfRule type="expression" dxfId="335" priority="97">
      <formula>IF($AF$24&lt;&gt;0,TRUE)</formula>
    </cfRule>
  </conditionalFormatting>
  <conditionalFormatting sqref="AG93:AP93">
    <cfRule type="expression" dxfId="334" priority="2898">
      <formula>IF($W$90&lt;&gt;0,TRUE)</formula>
    </cfRule>
  </conditionalFormatting>
  <conditionalFormatting sqref="AG95:AP95">
    <cfRule type="expression" dxfId="333" priority="2899">
      <formula>IF($AF$90&lt;&gt;0,TRUE)</formula>
    </cfRule>
  </conditionalFormatting>
  <conditionalFormatting sqref="AG111:AP111">
    <cfRule type="expression" dxfId="332" priority="2968">
      <formula>IF($W$108&lt;&gt;0,TRUE)</formula>
    </cfRule>
  </conditionalFormatting>
  <conditionalFormatting sqref="AG113:AP113">
    <cfRule type="expression" dxfId="331" priority="2969">
      <formula>IF($AF$108&lt;&gt;0,TRUE)</formula>
    </cfRule>
  </conditionalFormatting>
  <conditionalFormatting sqref="Y35:AK35">
    <cfRule type="expression" dxfId="330" priority="96" stopIfTrue="1">
      <formula>IF($A35=$BH$63,TRUE)</formula>
    </cfRule>
  </conditionalFormatting>
  <conditionalFormatting sqref="AL35:AR35">
    <cfRule type="expression" dxfId="329" priority="92" stopIfTrue="1">
      <formula>IF($AS35&lt;&gt;"",TRUE)</formula>
    </cfRule>
  </conditionalFormatting>
  <conditionalFormatting sqref="R35:X35">
    <cfRule type="expression" dxfId="328" priority="89" stopIfTrue="1">
      <formula>IF($A35=$BH$63,TRUE)</formula>
    </cfRule>
    <cfRule type="expression" dxfId="327" priority="90" stopIfTrue="1">
      <formula>IF($A35=$BH$230,TRUE)</formula>
    </cfRule>
    <cfRule type="expression" dxfId="326" priority="91" stopIfTrue="1">
      <formula>IF($Y35&lt;&gt;"",TRUE)</formula>
    </cfRule>
  </conditionalFormatting>
  <conditionalFormatting sqref="Y51:AK51">
    <cfRule type="expression" dxfId="325" priority="88" stopIfTrue="1">
      <formula>IF($A51=$BH$63,TRUE)</formula>
    </cfRule>
  </conditionalFormatting>
  <conditionalFormatting sqref="AL51:AR51">
    <cfRule type="expression" dxfId="324" priority="87" stopIfTrue="1">
      <formula>IF($AS51&lt;&gt;"",TRUE)</formula>
    </cfRule>
  </conditionalFormatting>
  <conditionalFormatting sqref="R51:X51">
    <cfRule type="expression" dxfId="323" priority="84" stopIfTrue="1">
      <formula>IF($A51=$BH$63,TRUE)</formula>
    </cfRule>
    <cfRule type="expression" dxfId="322" priority="85" stopIfTrue="1">
      <formula>IF($A51=$BH$230,TRUE)</formula>
    </cfRule>
    <cfRule type="expression" dxfId="321" priority="86" stopIfTrue="1">
      <formula>IF($Y51&lt;&gt;"",TRUE)</formula>
    </cfRule>
  </conditionalFormatting>
  <conditionalFormatting sqref="Y67:AK67">
    <cfRule type="expression" dxfId="320" priority="83" stopIfTrue="1">
      <formula>IF($A67=$BH$63,TRUE)</formula>
    </cfRule>
  </conditionalFormatting>
  <conditionalFormatting sqref="AL67:AR67">
    <cfRule type="expression" dxfId="319" priority="82" stopIfTrue="1">
      <formula>IF($AS67&lt;&gt;"",TRUE)</formula>
    </cfRule>
  </conditionalFormatting>
  <conditionalFormatting sqref="R67:X67">
    <cfRule type="expression" dxfId="318" priority="79" stopIfTrue="1">
      <formula>IF($A67=$BH$63,TRUE)</formula>
    </cfRule>
    <cfRule type="expression" dxfId="317" priority="80" stopIfTrue="1">
      <formula>IF($A67=$BH$230,TRUE)</formula>
    </cfRule>
    <cfRule type="expression" dxfId="316" priority="81" stopIfTrue="1">
      <formula>IF($Y67&lt;&gt;"",TRUE)</formula>
    </cfRule>
  </conditionalFormatting>
  <conditionalFormatting sqref="Y83:AK83">
    <cfRule type="expression" dxfId="315" priority="78" stopIfTrue="1">
      <formula>IF($A83=$BH$63,TRUE)</formula>
    </cfRule>
  </conditionalFormatting>
  <conditionalFormatting sqref="AL83:AR83">
    <cfRule type="expression" dxfId="314" priority="77" stopIfTrue="1">
      <formula>IF($AS83&lt;&gt;"",TRUE)</formula>
    </cfRule>
  </conditionalFormatting>
  <conditionalFormatting sqref="R83:X83">
    <cfRule type="expression" dxfId="313" priority="74" stopIfTrue="1">
      <formula>IF($A83=$BH$63,TRUE)</formula>
    </cfRule>
    <cfRule type="expression" dxfId="312" priority="75" stopIfTrue="1">
      <formula>IF($A83=$BH$230,TRUE)</formula>
    </cfRule>
    <cfRule type="expression" dxfId="311" priority="76" stopIfTrue="1">
      <formula>IF($Y83&lt;&gt;"",TRUE)</formula>
    </cfRule>
  </conditionalFormatting>
  <conditionalFormatting sqref="Y101:AK101">
    <cfRule type="expression" dxfId="310" priority="73" stopIfTrue="1">
      <formula>IF($A101=$BH$63,TRUE)</formula>
    </cfRule>
  </conditionalFormatting>
  <conditionalFormatting sqref="AL101:AR101">
    <cfRule type="expression" dxfId="309" priority="72" stopIfTrue="1">
      <formula>IF($AS101&lt;&gt;"",TRUE)</formula>
    </cfRule>
  </conditionalFormatting>
  <conditionalFormatting sqref="R101:X101">
    <cfRule type="expression" dxfId="308" priority="69" stopIfTrue="1">
      <formula>IF($A101=$BH$63,TRUE)</formula>
    </cfRule>
    <cfRule type="expression" dxfId="307" priority="70" stopIfTrue="1">
      <formula>IF($A101=$BH$230,TRUE)</formula>
    </cfRule>
    <cfRule type="expression" dxfId="306" priority="71" stopIfTrue="1">
      <formula>IF($Y101&lt;&gt;"",TRUE)</formula>
    </cfRule>
  </conditionalFormatting>
  <conditionalFormatting sqref="Y119:AK119">
    <cfRule type="expression" dxfId="305" priority="68" stopIfTrue="1">
      <formula>IF($A119=$BH$63,TRUE)</formula>
    </cfRule>
  </conditionalFormatting>
  <conditionalFormatting sqref="AL119:AR119">
    <cfRule type="expression" dxfId="304" priority="67" stopIfTrue="1">
      <formula>IF($AS119&lt;&gt;"",TRUE)</formula>
    </cfRule>
  </conditionalFormatting>
  <conditionalFormatting sqref="R119:X119">
    <cfRule type="expression" dxfId="303" priority="64" stopIfTrue="1">
      <formula>IF($A119=$BH$63,TRUE)</formula>
    </cfRule>
    <cfRule type="expression" dxfId="302" priority="65" stopIfTrue="1">
      <formula>IF($A119=$BH$230,TRUE)</formula>
    </cfRule>
    <cfRule type="expression" dxfId="301" priority="66" stopIfTrue="1">
      <formula>IF($Y119&lt;&gt;"",TRUE)</formula>
    </cfRule>
  </conditionalFormatting>
  <conditionalFormatting sqref="A139">
    <cfRule type="expression" dxfId="300" priority="60">
      <formula>$A$120=$BH$222</formula>
    </cfRule>
    <cfRule type="expression" dxfId="299" priority="61">
      <formula>$A$120=$BH$221</formula>
    </cfRule>
  </conditionalFormatting>
  <conditionalFormatting sqref="B139:BE139">
    <cfRule type="cellIs" dxfId="298" priority="59" operator="equal">
      <formula>""</formula>
    </cfRule>
  </conditionalFormatting>
  <conditionalFormatting sqref="Y137:AK137">
    <cfRule type="expression" dxfId="297" priority="58" stopIfTrue="1">
      <formula>IF($A137=$BH$63,TRUE)</formula>
    </cfRule>
  </conditionalFormatting>
  <conditionalFormatting sqref="Y136:AK136">
    <cfRule type="expression" dxfId="296" priority="57">
      <formula>IF($A136=$BH$63,TRUE)</formula>
    </cfRule>
  </conditionalFormatting>
  <conditionalFormatting sqref="R136:X136">
    <cfRule type="expression" dxfId="295" priority="54">
      <formula>IF($A136=$BH$63,TRUE)</formula>
    </cfRule>
    <cfRule type="cellIs" dxfId="294" priority="55" stopIfTrue="1" operator="equal">
      <formula>""</formula>
    </cfRule>
    <cfRule type="cellIs" dxfId="293" priority="56" stopIfTrue="1" operator="notEqual">
      <formula>""</formula>
    </cfRule>
  </conditionalFormatting>
  <conditionalFormatting sqref="R137:X137">
    <cfRule type="expression" dxfId="292" priority="51" stopIfTrue="1">
      <formula>IF($A137=$BH$63,TRUE)</formula>
    </cfRule>
    <cfRule type="expression" dxfId="291" priority="52" stopIfTrue="1">
      <formula>IF($A137=$BH$224,TRUE)</formula>
    </cfRule>
    <cfRule type="expression" dxfId="290" priority="53" stopIfTrue="1">
      <formula>IF($Y137&lt;&gt;"",TRUE)</formula>
    </cfRule>
  </conditionalFormatting>
  <conditionalFormatting sqref="AL137:AR137">
    <cfRule type="expression" dxfId="289" priority="50" stopIfTrue="1">
      <formula>IF($AS137&lt;&gt;"",TRUE)</formula>
    </cfRule>
  </conditionalFormatting>
  <conditionalFormatting sqref="AL136:AR136">
    <cfRule type="cellIs" dxfId="288" priority="48" stopIfTrue="1" operator="equal">
      <formula>""</formula>
    </cfRule>
    <cfRule type="cellIs" dxfId="287" priority="49" stopIfTrue="1" operator="notEqual">
      <formula>""</formula>
    </cfRule>
  </conditionalFormatting>
  <conditionalFormatting sqref="AG130:AP130">
    <cfRule type="expression" dxfId="286" priority="62">
      <formula>IF($W$127&lt;&gt;0,TRUE)</formula>
    </cfRule>
  </conditionalFormatting>
  <conditionalFormatting sqref="AG132:AP132">
    <cfRule type="expression" dxfId="285" priority="63">
      <formula>IF($AF$127&lt;&gt;0,TRUE)</formula>
    </cfRule>
  </conditionalFormatting>
  <conditionalFormatting sqref="Y138:AK138">
    <cfRule type="expression" dxfId="284" priority="47" stopIfTrue="1">
      <formula>IF($A138=$BH$63,TRUE)</formula>
    </cfRule>
  </conditionalFormatting>
  <conditionalFormatting sqref="AL138:AR138">
    <cfRule type="expression" dxfId="283" priority="46" stopIfTrue="1">
      <formula>IF($AS138&lt;&gt;"",TRUE)</formula>
    </cfRule>
  </conditionalFormatting>
  <conditionalFormatting sqref="R138:X138">
    <cfRule type="expression" dxfId="282" priority="43" stopIfTrue="1">
      <formula>IF($A138=$BH$63,TRUE)</formula>
    </cfRule>
    <cfRule type="expression" dxfId="281" priority="44" stopIfTrue="1">
      <formula>IF($A138=$BH$230,TRUE)</formula>
    </cfRule>
    <cfRule type="expression" dxfId="280" priority="45" stopIfTrue="1">
      <formula>IF($Y138&lt;&gt;"",TRUE)</formula>
    </cfRule>
  </conditionalFormatting>
  <conditionalFormatting sqref="A158">
    <cfRule type="expression" dxfId="279" priority="39">
      <formula>$A$120=$BH$222</formula>
    </cfRule>
    <cfRule type="expression" dxfId="278" priority="40">
      <formula>$A$120=$BH$221</formula>
    </cfRule>
  </conditionalFormatting>
  <conditionalFormatting sqref="B158:BE158">
    <cfRule type="cellIs" dxfId="277" priority="38" operator="equal">
      <formula>""</formula>
    </cfRule>
  </conditionalFormatting>
  <conditionalFormatting sqref="Y156:AK156">
    <cfRule type="expression" dxfId="276" priority="37" stopIfTrue="1">
      <formula>IF($A156=$BH$63,TRUE)</formula>
    </cfRule>
  </conditionalFormatting>
  <conditionalFormatting sqref="Y155:AK155">
    <cfRule type="expression" dxfId="275" priority="36">
      <formula>IF($A155=$BH$63,TRUE)</formula>
    </cfRule>
  </conditionalFormatting>
  <conditionalFormatting sqref="R155:X155">
    <cfRule type="expression" dxfId="274" priority="33">
      <formula>IF($A155=$BH$63,TRUE)</formula>
    </cfRule>
    <cfRule type="cellIs" dxfId="273" priority="34" stopIfTrue="1" operator="equal">
      <formula>""</formula>
    </cfRule>
    <cfRule type="cellIs" dxfId="272" priority="35" stopIfTrue="1" operator="notEqual">
      <formula>""</formula>
    </cfRule>
  </conditionalFormatting>
  <conditionalFormatting sqref="R156:X156">
    <cfRule type="expression" dxfId="271" priority="30" stopIfTrue="1">
      <formula>IF($A156=$BH$63,TRUE)</formula>
    </cfRule>
    <cfRule type="expression" dxfId="270" priority="31" stopIfTrue="1">
      <formula>IF($A156=$BH$224,TRUE)</formula>
    </cfRule>
    <cfRule type="expression" dxfId="269" priority="32" stopIfTrue="1">
      <formula>IF($Y156&lt;&gt;"",TRUE)</formula>
    </cfRule>
  </conditionalFormatting>
  <conditionalFormatting sqref="AL156:AR156">
    <cfRule type="expression" dxfId="268" priority="29" stopIfTrue="1">
      <formula>IF($AS156&lt;&gt;"",TRUE)</formula>
    </cfRule>
  </conditionalFormatting>
  <conditionalFormatting sqref="AL155:AR155">
    <cfRule type="cellIs" dxfId="267" priority="27" stopIfTrue="1" operator="equal">
      <formula>""</formula>
    </cfRule>
    <cfRule type="cellIs" dxfId="266" priority="28" stopIfTrue="1" operator="notEqual">
      <formula>""</formula>
    </cfRule>
  </conditionalFormatting>
  <conditionalFormatting sqref="AG149:AP149">
    <cfRule type="expression" dxfId="265" priority="41">
      <formula>IF($W$146&lt;&gt;0,TRUE)</formula>
    </cfRule>
  </conditionalFormatting>
  <conditionalFormatting sqref="AG151:AP151">
    <cfRule type="expression" dxfId="264" priority="42">
      <formula>IF($AF$146&lt;&gt;0,TRUE)</formula>
    </cfRule>
  </conditionalFormatting>
  <conditionalFormatting sqref="Y157:AK157">
    <cfRule type="expression" dxfId="263" priority="26" stopIfTrue="1">
      <formula>IF($A157=$BH$63,TRUE)</formula>
    </cfRule>
  </conditionalFormatting>
  <conditionalFormatting sqref="AL157:AR157">
    <cfRule type="expression" dxfId="262" priority="25" stopIfTrue="1">
      <formula>IF($AS157&lt;&gt;"",TRUE)</formula>
    </cfRule>
  </conditionalFormatting>
  <conditionalFormatting sqref="R157:X157">
    <cfRule type="expression" dxfId="261" priority="22" stopIfTrue="1">
      <formula>IF($A157=$BH$63,TRUE)</formula>
    </cfRule>
    <cfRule type="expression" dxfId="260" priority="23" stopIfTrue="1">
      <formula>IF($A157=$BH$230,TRUE)</formula>
    </cfRule>
    <cfRule type="expression" dxfId="259" priority="24" stopIfTrue="1">
      <formula>IF($Y157&lt;&gt;"",TRUE)</formula>
    </cfRule>
  </conditionalFormatting>
  <conditionalFormatting sqref="A177">
    <cfRule type="expression" dxfId="258" priority="18">
      <formula>$A$120=$BH$222</formula>
    </cfRule>
    <cfRule type="expression" dxfId="257" priority="19">
      <formula>$A$120=$BH$221</formula>
    </cfRule>
  </conditionalFormatting>
  <conditionalFormatting sqref="B177:BE177">
    <cfRule type="cellIs" dxfId="256" priority="17" operator="equal">
      <formula>""</formula>
    </cfRule>
  </conditionalFormatting>
  <conditionalFormatting sqref="Y175:AK175">
    <cfRule type="expression" dxfId="255" priority="16" stopIfTrue="1">
      <formula>IF($A175=$BH$63,TRUE)</formula>
    </cfRule>
  </conditionalFormatting>
  <conditionalFormatting sqref="Y174:AK174">
    <cfRule type="expression" dxfId="254" priority="15">
      <formula>IF($A174=$BH$63,TRUE)</formula>
    </cfRule>
  </conditionalFormatting>
  <conditionalFormatting sqref="R174:X174">
    <cfRule type="expression" dxfId="253" priority="12">
      <formula>IF($A174=$BH$63,TRUE)</formula>
    </cfRule>
    <cfRule type="cellIs" dxfId="252" priority="13" stopIfTrue="1" operator="equal">
      <formula>""</formula>
    </cfRule>
    <cfRule type="cellIs" dxfId="251" priority="14" stopIfTrue="1" operator="notEqual">
      <formula>""</formula>
    </cfRule>
  </conditionalFormatting>
  <conditionalFormatting sqref="R175:X175">
    <cfRule type="expression" dxfId="250" priority="9" stopIfTrue="1">
      <formula>IF($A175=$BH$63,TRUE)</formula>
    </cfRule>
    <cfRule type="expression" dxfId="249" priority="10" stopIfTrue="1">
      <formula>IF($A175=$BH$224,TRUE)</formula>
    </cfRule>
    <cfRule type="expression" dxfId="248" priority="11" stopIfTrue="1">
      <formula>IF($Y175&lt;&gt;"",TRUE)</formula>
    </cfRule>
  </conditionalFormatting>
  <conditionalFormatting sqref="AL175:AR175">
    <cfRule type="expression" dxfId="247" priority="8" stopIfTrue="1">
      <formula>IF($AS175&lt;&gt;"",TRUE)</formula>
    </cfRule>
  </conditionalFormatting>
  <conditionalFormatting sqref="AL174:AR174">
    <cfRule type="cellIs" dxfId="246" priority="6" stopIfTrue="1" operator="equal">
      <formula>""</formula>
    </cfRule>
    <cfRule type="cellIs" dxfId="245" priority="7" stopIfTrue="1" operator="notEqual">
      <formula>""</formula>
    </cfRule>
  </conditionalFormatting>
  <conditionalFormatting sqref="AG168:AP168">
    <cfRule type="expression" dxfId="244" priority="20">
      <formula>IF($W$165&lt;&gt;0,TRUE)</formula>
    </cfRule>
  </conditionalFormatting>
  <conditionalFormatting sqref="AG170:AP170">
    <cfRule type="expression" dxfId="243" priority="21">
      <formula>IF($AF$165&lt;&gt;0,TRUE)</formula>
    </cfRule>
  </conditionalFormatting>
  <conditionalFormatting sqref="Y176:AK176">
    <cfRule type="expression" dxfId="242" priority="5" stopIfTrue="1">
      <formula>IF($A176=$BH$63,TRUE)</formula>
    </cfRule>
  </conditionalFormatting>
  <conditionalFormatting sqref="AL176:AR176">
    <cfRule type="expression" dxfId="241" priority="4" stopIfTrue="1">
      <formula>IF($AS176&lt;&gt;"",TRUE)</formula>
    </cfRule>
  </conditionalFormatting>
  <conditionalFormatting sqref="R176:X176">
    <cfRule type="expression" dxfId="240" priority="1" stopIfTrue="1">
      <formula>IF($A176=$BH$63,TRUE)</formula>
    </cfRule>
    <cfRule type="expression" dxfId="239" priority="2" stopIfTrue="1">
      <formula>IF($A176=$BH$230,TRUE)</formula>
    </cfRule>
    <cfRule type="expression" dxfId="238" priority="3" stopIfTrue="1">
      <formula>IF($Y176&lt;&gt;"",TRUE)</formula>
    </cfRule>
  </conditionalFormatting>
  <dataValidations count="3">
    <dataValidation type="list" allowBlank="1" showInputMessage="1" showErrorMessage="1" sqref="G2:M2">
      <formula1>"extraordinária,ordinária"</formula1>
    </dataValidation>
    <dataValidation type="list" allowBlank="1" showInputMessage="1" showErrorMessage="1" sqref="K4:Q4">
      <formula1>"janeiro,fevereiro,março,abril,maio,junho,julho,agosto,setembro,outubro,novembro,dezembro"</formula1>
    </dataValidation>
    <dataValidation type="list" allowBlank="1" showInputMessage="1" showErrorMessage="1" sqref="A35 A101 A67 A51 A83 A119 A138 A157 A176">
      <formula1>$BH$230:$BH$233</formula1>
    </dataValidation>
  </dataValidations>
  <printOptions horizontalCentered="1"/>
  <pageMargins left="0.43307086614173229" right="0" top="0.23622047244094491" bottom="0.43307086614173229" header="0.23622047244094491" footer="0.19685039370078741"/>
  <pageSetup paperSize="9" scale="95" orientation="portrait" r:id="rId1"/>
  <headerFooter alignWithMargins="0">
    <oddFooter>&amp;C&amp;P/&amp;N</oddFooter>
  </headerFooter>
  <rowBreaks count="2" manualBreakCount="2">
    <brk id="195" max="16383" man="1"/>
    <brk id="252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44"/>
    <pageSetUpPr fitToPage="1"/>
  </sheetPr>
  <dimension ref="A1:IU80"/>
  <sheetViews>
    <sheetView showGridLines="0" showRowColHeaders="0" view="pageBreakPreview" zoomScaleNormal="90" workbookViewId="0">
      <pane ySplit="1" topLeftCell="A2" activePane="bottomLeft" state="frozen"/>
      <selection pane="bottomLeft" activeCell="B2" sqref="B2"/>
    </sheetView>
  </sheetViews>
  <sheetFormatPr defaultColWidth="0" defaultRowHeight="12" zeroHeight="1" x14ac:dyDescent="0.2"/>
  <cols>
    <col min="1" max="1" width="9.7109375" style="1" customWidth="1"/>
    <col min="2" max="2" width="10" style="1" customWidth="1"/>
    <col min="3" max="3" width="8.7109375" style="1" customWidth="1"/>
    <col min="4" max="4" width="8.140625" style="1" customWidth="1"/>
    <col min="5" max="5" width="6.140625" style="1" customWidth="1"/>
    <col min="6" max="6" width="13.85546875" style="1" customWidth="1"/>
    <col min="7" max="7" width="10.42578125" style="1" customWidth="1"/>
    <col min="8" max="8" width="10" style="1" customWidth="1"/>
    <col min="9" max="9" width="13.5703125" style="1" customWidth="1"/>
    <col min="10" max="10" width="10.7109375" style="1" customWidth="1"/>
    <col min="11" max="11" width="12.140625" style="1" customWidth="1"/>
    <col min="12" max="12" width="3.140625" style="1" customWidth="1"/>
    <col min="13" max="255" width="3.140625" style="1" hidden="1" customWidth="1"/>
    <col min="256" max="16384" width="4.5703125" style="1" hidden="1"/>
  </cols>
  <sheetData>
    <row r="1" spans="1:17" ht="50.25" customHeight="1" x14ac:dyDescent="0.2">
      <c r="A1" s="1014" t="str">
        <f>IF(Dados!$E$3="","",Dados!$E$3)</f>
        <v/>
      </c>
      <c r="G1" s="208"/>
      <c r="H1" s="208"/>
      <c r="N1" s="1">
        <v>1</v>
      </c>
      <c r="O1" s="1">
        <v>1</v>
      </c>
    </row>
    <row r="2" spans="1:17" ht="18" x14ac:dyDescent="0.25">
      <c r="B2" s="2"/>
      <c r="C2" s="1442" t="s">
        <v>298</v>
      </c>
      <c r="D2" s="1442"/>
      <c r="E2" s="1442"/>
      <c r="F2" s="1442"/>
      <c r="G2" s="1442"/>
      <c r="H2" s="1443" t="str">
        <f>IF(Dados!$H$2="","",Dados!$H$2)</f>
        <v/>
      </c>
      <c r="I2" s="1443"/>
      <c r="J2" s="1443"/>
      <c r="K2" s="3" t="s">
        <v>299</v>
      </c>
    </row>
    <row r="3" spans="1:17" ht="12.75" customHeight="1" x14ac:dyDescent="0.2">
      <c r="B3" s="2"/>
      <c r="C3" s="1442" t="s">
        <v>300</v>
      </c>
      <c r="D3" s="1442"/>
      <c r="E3" s="1442"/>
      <c r="F3" s="1442"/>
      <c r="G3" s="1442"/>
      <c r="H3" s="1442"/>
      <c r="K3" s="4" t="str">
        <f>IF(Dados!$J$71="CEU",$Q$18,$Q$17)</f>
        <v>Cadastro da APM e do Dirigente</v>
      </c>
    </row>
    <row r="4" spans="1:17" ht="18.75" customHeight="1" x14ac:dyDescent="0.2">
      <c r="C4" s="1395" t="s">
        <v>302</v>
      </c>
      <c r="D4" s="1395"/>
      <c r="E4" s="1395"/>
      <c r="F4" s="1395"/>
      <c r="G4" s="1395"/>
      <c r="H4" s="1395"/>
    </row>
    <row r="5" spans="1:17" ht="18.75" customHeight="1" x14ac:dyDescent="0.2">
      <c r="H5" s="1444"/>
      <c r="I5" s="1444"/>
      <c r="J5" s="1444"/>
      <c r="K5" s="1444"/>
    </row>
    <row r="6" spans="1:17" ht="14.1" customHeight="1" x14ac:dyDescent="0.2">
      <c r="B6" s="1404" t="str">
        <f>IF(Dados!$J$71="CEU",$Q$7,$Q$6)</f>
        <v>BLOCO 1 - DADOS DA ASSOCIAÇÃO DE PAIS E MESTRES - APM</v>
      </c>
      <c r="C6" s="1404"/>
      <c r="D6" s="1404"/>
      <c r="E6" s="1404"/>
      <c r="F6" s="1404"/>
      <c r="G6" s="1404"/>
      <c r="H6" s="1404"/>
      <c r="I6" s="1404"/>
      <c r="J6" s="1404"/>
      <c r="K6" s="1404"/>
      <c r="Q6" s="1" t="s">
        <v>303</v>
      </c>
    </row>
    <row r="7" spans="1:17" x14ac:dyDescent="0.2">
      <c r="B7" s="1409" t="s">
        <v>134</v>
      </c>
      <c r="C7" s="1410"/>
      <c r="D7" s="1409" t="s">
        <v>304</v>
      </c>
      <c r="E7" s="1411"/>
      <c r="F7" s="1409" t="s">
        <v>305</v>
      </c>
      <c r="G7" s="1411"/>
      <c r="H7" s="1411"/>
      <c r="I7" s="1411"/>
      <c r="J7" s="1411"/>
      <c r="K7" s="1410"/>
      <c r="Q7" s="1" t="s">
        <v>459</v>
      </c>
    </row>
    <row r="8" spans="1:17" ht="14.1" customHeight="1" x14ac:dyDescent="0.2">
      <c r="B8" s="1450" t="str">
        <f>Dados!$E$71</f>
        <v/>
      </c>
      <c r="C8" s="1451"/>
      <c r="D8" s="1445" t="str">
        <f>Dados!$H$71</f>
        <v/>
      </c>
      <c r="E8" s="1446"/>
      <c r="F8" s="1447" t="str">
        <f>Oficio!$P$6</f>
        <v/>
      </c>
      <c r="G8" s="1448"/>
      <c r="H8" s="1448"/>
      <c r="I8" s="1448"/>
      <c r="J8" s="1448"/>
      <c r="K8" s="1449"/>
    </row>
    <row r="9" spans="1:17" ht="5.25" customHeight="1" x14ac:dyDescent="0.2"/>
    <row r="10" spans="1:17" x14ac:dyDescent="0.2">
      <c r="B10" s="1405" t="s">
        <v>306</v>
      </c>
      <c r="C10" s="1405"/>
      <c r="D10" s="1405"/>
      <c r="E10" s="1405"/>
      <c r="F10" s="1405"/>
      <c r="G10" s="1405"/>
      <c r="H10" s="1405"/>
      <c r="I10" s="1405"/>
      <c r="J10" s="1405"/>
      <c r="K10" s="1405"/>
      <c r="Q10" s="1" t="s">
        <v>327</v>
      </c>
    </row>
    <row r="11" spans="1:17" ht="14.1" customHeight="1" x14ac:dyDescent="0.2">
      <c r="B11" s="1406" t="str">
        <f>Dados!$E$73</f>
        <v/>
      </c>
      <c r="C11" s="1407"/>
      <c r="D11" s="1407"/>
      <c r="E11" s="1407"/>
      <c r="F11" s="1407"/>
      <c r="G11" s="1407"/>
      <c r="H11" s="1407"/>
      <c r="I11" s="1407"/>
      <c r="J11" s="1407"/>
      <c r="K11" s="1408"/>
      <c r="Q11" s="1" t="s">
        <v>460</v>
      </c>
    </row>
    <row r="12" spans="1:17" ht="6" customHeight="1" x14ac:dyDescent="0.2"/>
    <row r="13" spans="1:17" x14ac:dyDescent="0.2">
      <c r="B13" s="1405" t="s">
        <v>309</v>
      </c>
      <c r="C13" s="1405"/>
      <c r="D13" s="1405"/>
      <c r="E13" s="1405"/>
      <c r="F13" s="1405"/>
      <c r="G13" s="1405" t="s">
        <v>310</v>
      </c>
      <c r="H13" s="1405"/>
      <c r="I13" s="1405"/>
      <c r="J13" s="1405"/>
      <c r="K13" s="1405"/>
    </row>
    <row r="14" spans="1:17" ht="14.1" customHeight="1" x14ac:dyDescent="0.2">
      <c r="B14" s="1401">
        <f>Dados!$E$75</f>
        <v>0</v>
      </c>
      <c r="C14" s="1401"/>
      <c r="D14" s="1401"/>
      <c r="E14" s="1401"/>
      <c r="F14" s="1401"/>
      <c r="G14" s="1401" t="str">
        <f>Dados!$E$77</f>
        <v/>
      </c>
      <c r="H14" s="1401"/>
      <c r="I14" s="1401"/>
      <c r="J14" s="1401"/>
      <c r="K14" s="1401"/>
      <c r="Q14" s="7" t="s">
        <v>331</v>
      </c>
    </row>
    <row r="15" spans="1:17" ht="6" customHeight="1" x14ac:dyDescent="0.2">
      <c r="Q15" s="7" t="s">
        <v>461</v>
      </c>
    </row>
    <row r="16" spans="1:17" ht="12.75" customHeight="1" x14ac:dyDescent="0.2">
      <c r="B16" s="54" t="s">
        <v>311</v>
      </c>
      <c r="C16" s="1409" t="s">
        <v>312</v>
      </c>
      <c r="D16" s="1411"/>
      <c r="E16" s="1411"/>
      <c r="F16" s="1411"/>
      <c r="G16" s="1410"/>
      <c r="H16" s="1411" t="s">
        <v>313</v>
      </c>
      <c r="I16" s="1410"/>
      <c r="J16" s="1409" t="s">
        <v>314</v>
      </c>
      <c r="K16" s="1410"/>
    </row>
    <row r="17" spans="2:17" ht="14.1" customHeight="1" x14ac:dyDescent="0.2">
      <c r="B17" s="17" t="str">
        <f>Dados!$H$79</f>
        <v>SP</v>
      </c>
      <c r="C17" s="1398" t="str">
        <f>Dados!$E$79</f>
        <v>SÃO PAULO</v>
      </c>
      <c r="D17" s="1399"/>
      <c r="E17" s="1399"/>
      <c r="F17" s="1399"/>
      <c r="G17" s="1400"/>
      <c r="H17" s="1402" t="str">
        <f>Dados!$J$79</f>
        <v/>
      </c>
      <c r="I17" s="1403"/>
      <c r="J17" s="1401">
        <f>Dados!$J$83</f>
        <v>0</v>
      </c>
      <c r="K17" s="1401"/>
      <c r="Q17" s="1" t="s">
        <v>301</v>
      </c>
    </row>
    <row r="18" spans="2:17" ht="6" customHeight="1" x14ac:dyDescent="0.2">
      <c r="Q18" s="1" t="s">
        <v>463</v>
      </c>
    </row>
    <row r="19" spans="2:17" ht="12.75" customHeight="1" x14ac:dyDescent="0.2">
      <c r="B19" s="5" t="s">
        <v>315</v>
      </c>
      <c r="C19" s="1405" t="s">
        <v>316</v>
      </c>
      <c r="D19" s="1405"/>
      <c r="E19" s="1412" t="s">
        <v>317</v>
      </c>
      <c r="F19" s="1412"/>
      <c r="G19" s="1409" t="s">
        <v>318</v>
      </c>
      <c r="H19" s="1411"/>
      <c r="I19" s="1411"/>
      <c r="J19" s="1411"/>
      <c r="K19" s="1410"/>
    </row>
    <row r="20" spans="2:17" ht="14.1" customHeight="1" x14ac:dyDescent="0.2">
      <c r="B20" s="17">
        <f>Dados!$E$81</f>
        <v>11</v>
      </c>
      <c r="C20" s="1415" t="str">
        <f>Dados!$G$81</f>
        <v/>
      </c>
      <c r="D20" s="1416"/>
      <c r="E20" s="1414">
        <f>Dados!$I$81</f>
        <v>0</v>
      </c>
      <c r="F20" s="1414"/>
      <c r="G20" s="1417" t="str">
        <f>Dados!$E$83</f>
        <v/>
      </c>
      <c r="H20" s="1418"/>
      <c r="I20" s="1418"/>
      <c r="J20" s="1418"/>
      <c r="K20" s="1419"/>
      <c r="Q20" s="1" t="s">
        <v>84</v>
      </c>
    </row>
    <row r="21" spans="2:17" x14ac:dyDescent="0.2">
      <c r="Q21" s="1" t="s">
        <v>462</v>
      </c>
    </row>
    <row r="22" spans="2:17" ht="14.1" customHeight="1" x14ac:dyDescent="0.2">
      <c r="B22" s="1404" t="s">
        <v>319</v>
      </c>
      <c r="C22" s="1404"/>
      <c r="D22" s="1404"/>
      <c r="E22" s="1404"/>
      <c r="F22" s="1404"/>
      <c r="G22" s="1404"/>
      <c r="H22" s="1404"/>
      <c r="I22" s="1404"/>
      <c r="J22" s="1404"/>
      <c r="K22" s="1404"/>
    </row>
    <row r="23" spans="2:17" x14ac:dyDescent="0.2">
      <c r="B23" s="1405" t="s">
        <v>320</v>
      </c>
      <c r="C23" s="1405"/>
      <c r="D23" s="1421" t="s">
        <v>321</v>
      </c>
      <c r="E23" s="1422"/>
      <c r="F23" s="1422"/>
      <c r="G23" s="1423"/>
      <c r="H23" s="5" t="s">
        <v>322</v>
      </c>
      <c r="I23" s="1405" t="s">
        <v>323</v>
      </c>
      <c r="J23" s="1405"/>
      <c r="K23" s="1405"/>
    </row>
    <row r="24" spans="2:17" ht="14.1" customHeight="1" x14ac:dyDescent="0.2">
      <c r="B24" s="1441" t="str">
        <f>Dados!$H$100</f>
        <v/>
      </c>
      <c r="C24" s="1441"/>
      <c r="D24" s="1398" t="str">
        <f>Dados!$I$100</f>
        <v/>
      </c>
      <c r="E24" s="1399"/>
      <c r="F24" s="1399"/>
      <c r="G24" s="1400"/>
      <c r="H24" s="17" t="str">
        <f>Dados!$G$100</f>
        <v/>
      </c>
      <c r="I24" s="1401" t="str">
        <f>Dados!$E$100</f>
        <v>SÃO PAULO</v>
      </c>
      <c r="J24" s="1401"/>
      <c r="K24" s="1401"/>
    </row>
    <row r="25" spans="2:17" ht="6" customHeight="1" x14ac:dyDescent="0.2"/>
    <row r="26" spans="2:17" x14ac:dyDescent="0.2">
      <c r="B26" s="1405" t="s">
        <v>324</v>
      </c>
      <c r="C26" s="1405"/>
      <c r="D26" s="1405" t="s">
        <v>325</v>
      </c>
      <c r="E26" s="1405"/>
      <c r="F26" s="1405"/>
      <c r="G26" s="1405"/>
      <c r="H26" s="1405" t="s">
        <v>326</v>
      </c>
      <c r="I26" s="1405"/>
      <c r="J26" s="1405"/>
      <c r="K26" s="1405"/>
    </row>
    <row r="27" spans="2:17" ht="14.1" customHeight="1" x14ac:dyDescent="0.2">
      <c r="B27" s="1420" t="str">
        <f>Dados!$E$96</f>
        <v/>
      </c>
      <c r="C27" s="1420"/>
      <c r="D27" s="1401" t="str">
        <f>Dados!$E$98</f>
        <v/>
      </c>
      <c r="E27" s="1401"/>
      <c r="F27" s="1401"/>
      <c r="G27" s="1401"/>
      <c r="H27" s="1401" t="str">
        <f>Dados!$G$96</f>
        <v/>
      </c>
      <c r="I27" s="1401"/>
      <c r="J27" s="1401"/>
      <c r="K27" s="1401"/>
    </row>
    <row r="28" spans="2:17" ht="6.75" customHeight="1" x14ac:dyDescent="0.2"/>
    <row r="29" spans="2:17" ht="14.1" customHeight="1" x14ac:dyDescent="0.2">
      <c r="B29" s="1404" t="str">
        <f>IF(Dados!$J$71="CEU",$Q$11,$Q$10)</f>
        <v>BLOCO 3 - DADOS DO (A) DIRIGENTE (PRESIDENTE DA DIRETORIA EXECUTIVA DA APM)</v>
      </c>
      <c r="C29" s="1404"/>
      <c r="D29" s="1404"/>
      <c r="E29" s="1404"/>
      <c r="F29" s="1404"/>
      <c r="G29" s="1404"/>
      <c r="H29" s="1404"/>
      <c r="I29" s="1404"/>
      <c r="J29" s="1404"/>
      <c r="K29" s="1404"/>
    </row>
    <row r="30" spans="2:17" x14ac:dyDescent="0.2">
      <c r="B30" s="1405" t="s">
        <v>328</v>
      </c>
      <c r="C30" s="1405"/>
      <c r="D30" s="1405" t="s">
        <v>329</v>
      </c>
      <c r="E30" s="1405"/>
      <c r="F30" s="1405"/>
      <c r="G30" s="1405"/>
      <c r="H30" s="1405"/>
      <c r="I30" s="1405"/>
      <c r="J30" s="1405"/>
      <c r="K30" s="1405"/>
    </row>
    <row r="31" spans="2:17" ht="14.1" customHeight="1" x14ac:dyDescent="0.2">
      <c r="B31" s="1396">
        <f>Dados!$E$107</f>
        <v>0</v>
      </c>
      <c r="C31" s="1397"/>
      <c r="D31" s="1398" t="str">
        <f>Dados!$E$109</f>
        <v/>
      </c>
      <c r="E31" s="1399"/>
      <c r="F31" s="1399"/>
      <c r="G31" s="1399"/>
      <c r="H31" s="1399"/>
      <c r="I31" s="1399"/>
      <c r="J31" s="1399"/>
      <c r="K31" s="1400"/>
    </row>
    <row r="32" spans="2:17" ht="5.25" customHeight="1" x14ac:dyDescent="0.2"/>
    <row r="33" spans="2:11" x14ac:dyDescent="0.2">
      <c r="B33" s="1405" t="s">
        <v>69</v>
      </c>
      <c r="C33" s="1405"/>
      <c r="D33" s="1405"/>
      <c r="E33" s="1405"/>
      <c r="F33" s="1405"/>
      <c r="G33" s="1405"/>
      <c r="H33" s="1405"/>
      <c r="I33" s="1405"/>
      <c r="J33" s="1405"/>
      <c r="K33" s="1405"/>
    </row>
    <row r="34" spans="2:11" ht="14.1" customHeight="1" x14ac:dyDescent="0.2">
      <c r="B34" s="1401">
        <f>Dados!$E$111</f>
        <v>0</v>
      </c>
      <c r="C34" s="1401"/>
      <c r="D34" s="1401"/>
      <c r="E34" s="1401"/>
      <c r="F34" s="1401"/>
      <c r="G34" s="1401"/>
      <c r="H34" s="1401"/>
      <c r="I34" s="1401"/>
      <c r="J34" s="1401"/>
      <c r="K34" s="1401"/>
    </row>
    <row r="35" spans="2:11" ht="5.25" customHeight="1" x14ac:dyDescent="0.2"/>
    <row r="36" spans="2:11" x14ac:dyDescent="0.2">
      <c r="B36" s="1405" t="s">
        <v>70</v>
      </c>
      <c r="C36" s="1405"/>
      <c r="D36" s="1405"/>
      <c r="E36" s="1405"/>
      <c r="F36" s="1405"/>
      <c r="G36" s="1405" t="s">
        <v>71</v>
      </c>
      <c r="H36" s="1405"/>
      <c r="I36" s="1405"/>
      <c r="J36" s="1405"/>
      <c r="K36" s="1405"/>
    </row>
    <row r="37" spans="2:11" ht="14.1" customHeight="1" x14ac:dyDescent="0.2">
      <c r="B37" s="1401">
        <f>Dados!$E$113</f>
        <v>0</v>
      </c>
      <c r="C37" s="1401"/>
      <c r="D37" s="1401"/>
      <c r="E37" s="1401"/>
      <c r="F37" s="1401"/>
      <c r="G37" s="1401">
        <f>Dados!$E$115</f>
        <v>0</v>
      </c>
      <c r="H37" s="1401"/>
      <c r="I37" s="1401"/>
      <c r="J37" s="1401"/>
      <c r="K37" s="1401"/>
    </row>
    <row r="38" spans="2:11" ht="6" customHeight="1" x14ac:dyDescent="0.2"/>
    <row r="39" spans="2:11" x14ac:dyDescent="0.2">
      <c r="B39" s="1405" t="s">
        <v>72</v>
      </c>
      <c r="C39" s="1405"/>
      <c r="D39" s="1405" t="s">
        <v>73</v>
      </c>
      <c r="E39" s="1405"/>
      <c r="F39" s="1405"/>
      <c r="G39" s="1405"/>
      <c r="H39" s="1405"/>
      <c r="I39" s="1405" t="s">
        <v>74</v>
      </c>
      <c r="J39" s="1405"/>
      <c r="K39" s="1405"/>
    </row>
    <row r="40" spans="2:11" ht="14.1" customHeight="1" x14ac:dyDescent="0.2">
      <c r="B40" s="1401">
        <f>Dados!$I$115</f>
        <v>0</v>
      </c>
      <c r="C40" s="1401"/>
      <c r="D40" s="1401" t="str">
        <f>Dados!$E$117</f>
        <v>SÃO PAULO</v>
      </c>
      <c r="E40" s="1401"/>
      <c r="F40" s="1401"/>
      <c r="G40" s="1401"/>
      <c r="H40" s="1401"/>
      <c r="I40" s="1413">
        <f>Dados!$I$117</f>
        <v>0</v>
      </c>
      <c r="J40" s="1413"/>
      <c r="K40" s="1413"/>
    </row>
    <row r="41" spans="2:11" ht="6" customHeight="1" x14ac:dyDescent="0.2"/>
    <row r="42" spans="2:11" x14ac:dyDescent="0.2">
      <c r="B42" s="5" t="s">
        <v>75</v>
      </c>
      <c r="C42" s="1405" t="s">
        <v>76</v>
      </c>
      <c r="D42" s="1405"/>
      <c r="E42" s="1412" t="s">
        <v>77</v>
      </c>
      <c r="F42" s="1412"/>
      <c r="G42" s="1405" t="s">
        <v>78</v>
      </c>
      <c r="H42" s="1405"/>
      <c r="I42" s="1405"/>
      <c r="J42" s="1405"/>
      <c r="K42" s="1405"/>
    </row>
    <row r="43" spans="2:11" ht="14.1" customHeight="1" x14ac:dyDescent="0.2">
      <c r="B43" s="17">
        <f>Dados!$E$119</f>
        <v>11</v>
      </c>
      <c r="C43" s="1414">
        <f>Dados!$G$119</f>
        <v>0</v>
      </c>
      <c r="D43" s="1414"/>
      <c r="E43" s="1414" t="str">
        <f>Dados!$I$119</f>
        <v xml:space="preserve"> </v>
      </c>
      <c r="F43" s="1414"/>
      <c r="G43" s="1438">
        <f>Dados!$E$121</f>
        <v>0</v>
      </c>
      <c r="H43" s="1439"/>
      <c r="I43" s="1439"/>
      <c r="J43" s="1439"/>
      <c r="K43" s="1440"/>
    </row>
    <row r="44" spans="2:11" ht="6.75" customHeight="1" x14ac:dyDescent="0.2"/>
    <row r="45" spans="2:11" s="6" customFormat="1" ht="12" customHeight="1" x14ac:dyDescent="0.2">
      <c r="B45" s="1405" t="s">
        <v>79</v>
      </c>
      <c r="C45" s="1405"/>
      <c r="D45" s="1405"/>
      <c r="E45" s="1405" t="s">
        <v>80</v>
      </c>
      <c r="F45" s="1405"/>
      <c r="G45" s="1405"/>
      <c r="H45" s="1405" t="s">
        <v>81</v>
      </c>
      <c r="I45" s="1405"/>
      <c r="J45" s="1421" t="s">
        <v>332</v>
      </c>
      <c r="K45" s="1423"/>
    </row>
    <row r="46" spans="2:11" ht="14.1" customHeight="1" x14ac:dyDescent="0.2">
      <c r="B46" s="1401">
        <f>Dados!$E$123</f>
        <v>0</v>
      </c>
      <c r="C46" s="1401"/>
      <c r="D46" s="1401"/>
      <c r="E46" s="1401">
        <f>Dados!$E$125</f>
        <v>0</v>
      </c>
      <c r="F46" s="1401"/>
      <c r="G46" s="1401"/>
      <c r="H46" s="1436">
        <f>Dados!$G$125</f>
        <v>0</v>
      </c>
      <c r="I46" s="1436"/>
      <c r="J46" s="1437" t="str">
        <f>Dados!$J$125</f>
        <v>SSP-SP</v>
      </c>
      <c r="K46" s="1400"/>
    </row>
    <row r="47" spans="2:11" x14ac:dyDescent="0.2"/>
    <row r="48" spans="2:11" ht="14.1" customHeight="1" x14ac:dyDescent="0.2">
      <c r="B48" s="1404" t="s">
        <v>82</v>
      </c>
      <c r="C48" s="1404"/>
      <c r="D48" s="1404"/>
      <c r="E48" s="1404"/>
      <c r="F48" s="1404"/>
      <c r="G48" s="1404"/>
      <c r="H48" s="1404"/>
      <c r="I48" s="1404"/>
      <c r="J48" s="1404"/>
      <c r="K48" s="1404"/>
    </row>
    <row r="49" spans="2:11" s="7" customFormat="1" ht="66" customHeight="1" x14ac:dyDescent="0.2">
      <c r="B49" s="1426" t="str">
        <f>IF(Dados!$J$71="CEU",$Q$15,$Q$14)</f>
        <v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v>
      </c>
      <c r="C49" s="1427"/>
      <c r="D49" s="1427"/>
      <c r="E49" s="1427"/>
      <c r="F49" s="1427"/>
      <c r="G49" s="1427"/>
      <c r="H49" s="1427"/>
      <c r="I49" s="1427"/>
      <c r="J49" s="1427"/>
      <c r="K49" s="1428"/>
    </row>
    <row r="50" spans="2:11" x14ac:dyDescent="0.2">
      <c r="B50" s="1421" t="s">
        <v>83</v>
      </c>
      <c r="C50" s="1422"/>
      <c r="D50" s="1423"/>
      <c r="E50" s="1421" t="str">
        <f>IF(Dados!$J$71="CEU",$Q$21,$Q$20)</f>
        <v>39-NOME E ASSINATURA DO PRESIDENTE DA DIRETORIA EXECUTIVA DA APM</v>
      </c>
      <c r="F50" s="1422"/>
      <c r="G50" s="1422"/>
      <c r="H50" s="1422"/>
      <c r="I50" s="1422"/>
      <c r="J50" s="1422"/>
      <c r="K50" s="1423"/>
    </row>
    <row r="51" spans="2:11" x14ac:dyDescent="0.2">
      <c r="B51" s="8"/>
      <c r="C51" s="9"/>
      <c r="D51" s="10"/>
      <c r="E51" s="8"/>
      <c r="F51" s="9"/>
      <c r="G51" s="9"/>
      <c r="H51" s="9"/>
      <c r="I51" s="9"/>
      <c r="J51" s="9"/>
      <c r="K51" s="10"/>
    </row>
    <row r="52" spans="2:11" ht="15" customHeight="1" x14ac:dyDescent="0.2">
      <c r="B52" s="11" t="s">
        <v>85</v>
      </c>
      <c r="C52" s="1432" t="str">
        <f>Dados!$G$128</f>
        <v/>
      </c>
      <c r="D52" s="1433"/>
      <c r="E52" s="8" t="s">
        <v>86</v>
      </c>
      <c r="F52" s="1434" t="str">
        <f>Dados!$E$109</f>
        <v/>
      </c>
      <c r="G52" s="1434"/>
      <c r="H52" s="1434"/>
      <c r="I52" s="1434"/>
      <c r="J52" s="1434"/>
      <c r="K52" s="1435"/>
    </row>
    <row r="53" spans="2:11" x14ac:dyDescent="0.2">
      <c r="B53" s="8"/>
      <c r="C53" s="9"/>
      <c r="D53" s="10"/>
      <c r="E53" s="8"/>
      <c r="F53" s="9"/>
      <c r="G53" s="9"/>
      <c r="H53" s="9"/>
      <c r="I53" s="9"/>
      <c r="J53" s="9"/>
      <c r="K53" s="10"/>
    </row>
    <row r="54" spans="2:11" x14ac:dyDescent="0.2">
      <c r="B54" s="8"/>
      <c r="C54" s="9"/>
      <c r="D54" s="10"/>
      <c r="E54" s="1430" t="s">
        <v>87</v>
      </c>
      <c r="F54" s="1431"/>
      <c r="G54" s="157"/>
      <c r="H54" s="157"/>
      <c r="I54" s="157"/>
      <c r="J54" s="157"/>
      <c r="K54" s="158"/>
    </row>
    <row r="55" spans="2:11" x14ac:dyDescent="0.2">
      <c r="B55" s="12"/>
      <c r="C55" s="13"/>
      <c r="D55" s="14"/>
      <c r="E55" s="12"/>
      <c r="F55" s="13"/>
      <c r="G55" s="13"/>
      <c r="H55" s="13"/>
      <c r="I55" s="13"/>
      <c r="J55" s="13"/>
      <c r="K55" s="14"/>
    </row>
    <row r="56" spans="2:11" ht="31.5" customHeight="1" x14ac:dyDescent="0.2"/>
    <row r="57" spans="2:11" hidden="1" x14ac:dyDescent="0.2">
      <c r="G57" s="1424"/>
      <c r="H57" s="1425"/>
      <c r="I57" s="15"/>
      <c r="J57" s="1429"/>
      <c r="K57" s="1429"/>
    </row>
    <row r="58" spans="2:11" hidden="1" x14ac:dyDescent="0.2"/>
    <row r="59" spans="2:11" hidden="1" x14ac:dyDescent="0.2"/>
    <row r="60" spans="2:11" hidden="1" x14ac:dyDescent="0.2"/>
    <row r="61" spans="2:11" hidden="1" x14ac:dyDescent="0.2"/>
    <row r="62" spans="2:11" hidden="1" x14ac:dyDescent="0.2"/>
    <row r="63" spans="2:11" hidden="1" x14ac:dyDescent="0.2"/>
    <row r="64" spans="2: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t="12.75" hidden="1" customHeight="1" x14ac:dyDescent="0.2"/>
    <row r="80" hidden="1" x14ac:dyDescent="0.2"/>
  </sheetData>
  <sheetProtection password="F261" sheet="1" objects="1" scenarios="1" selectLockedCells="1"/>
  <mergeCells count="83">
    <mergeCell ref="G13:K13"/>
    <mergeCell ref="B13:F13"/>
    <mergeCell ref="B14:F14"/>
    <mergeCell ref="C2:G2"/>
    <mergeCell ref="H2:J2"/>
    <mergeCell ref="H5:K5"/>
    <mergeCell ref="B6:K6"/>
    <mergeCell ref="B10:K10"/>
    <mergeCell ref="B7:C7"/>
    <mergeCell ref="D7:E7"/>
    <mergeCell ref="F7:K7"/>
    <mergeCell ref="D8:E8"/>
    <mergeCell ref="F8:K8"/>
    <mergeCell ref="B8:C8"/>
    <mergeCell ref="C3:H3"/>
    <mergeCell ref="G14:K14"/>
    <mergeCell ref="B24:C24"/>
    <mergeCell ref="I24:K24"/>
    <mergeCell ref="D24:G24"/>
    <mergeCell ref="B26:C26"/>
    <mergeCell ref="D26:G26"/>
    <mergeCell ref="C16:G16"/>
    <mergeCell ref="C17:G17"/>
    <mergeCell ref="B48:K48"/>
    <mergeCell ref="B45:D45"/>
    <mergeCell ref="E45:G45"/>
    <mergeCell ref="H45:I45"/>
    <mergeCell ref="J45:K45"/>
    <mergeCell ref="B46:D46"/>
    <mergeCell ref="E46:G46"/>
    <mergeCell ref="H46:I46"/>
    <mergeCell ref="J46:K46"/>
    <mergeCell ref="C43:D43"/>
    <mergeCell ref="E43:F43"/>
    <mergeCell ref="G43:K43"/>
    <mergeCell ref="B37:F37"/>
    <mergeCell ref="B29:K29"/>
    <mergeCell ref="G57:H57"/>
    <mergeCell ref="B49:K49"/>
    <mergeCell ref="B50:D50"/>
    <mergeCell ref="E50:K50"/>
    <mergeCell ref="J57:K57"/>
    <mergeCell ref="E54:F54"/>
    <mergeCell ref="C52:D52"/>
    <mergeCell ref="F52:K52"/>
    <mergeCell ref="E19:F19"/>
    <mergeCell ref="B36:F36"/>
    <mergeCell ref="G36:K36"/>
    <mergeCell ref="G37:K37"/>
    <mergeCell ref="B40:C40"/>
    <mergeCell ref="D40:H40"/>
    <mergeCell ref="B39:C39"/>
    <mergeCell ref="D39:H39"/>
    <mergeCell ref="I40:K40"/>
    <mergeCell ref="G19:K19"/>
    <mergeCell ref="E20:F20"/>
    <mergeCell ref="C20:D20"/>
    <mergeCell ref="G20:K20"/>
    <mergeCell ref="B27:C27"/>
    <mergeCell ref="D23:G23"/>
    <mergeCell ref="I23:K23"/>
    <mergeCell ref="I39:K39"/>
    <mergeCell ref="E42:F42"/>
    <mergeCell ref="G42:K42"/>
    <mergeCell ref="B33:K33"/>
    <mergeCell ref="B34:K34"/>
    <mergeCell ref="C42:D42"/>
    <mergeCell ref="C4:H4"/>
    <mergeCell ref="B31:C31"/>
    <mergeCell ref="D31:K31"/>
    <mergeCell ref="D27:G27"/>
    <mergeCell ref="H27:K27"/>
    <mergeCell ref="H17:I17"/>
    <mergeCell ref="J17:K17"/>
    <mergeCell ref="B22:K22"/>
    <mergeCell ref="B23:C23"/>
    <mergeCell ref="B30:C30"/>
    <mergeCell ref="D30:K30"/>
    <mergeCell ref="B11:K11"/>
    <mergeCell ref="J16:K16"/>
    <mergeCell ref="C19:D19"/>
    <mergeCell ref="H26:K26"/>
    <mergeCell ref="H16:I16"/>
  </mergeCells>
  <phoneticPr fontId="23" type="noConversion"/>
  <conditionalFormatting sqref="D15:I15 B9:K10 B12:K13 J15:K16 B15:C16 B18:F19 G18:K18">
    <cfRule type="cellIs" dxfId="237" priority="1" stopIfTrue="1" operator="lessThanOrEqual">
      <formula>0</formula>
    </cfRule>
  </conditionalFormatting>
  <conditionalFormatting sqref="B43:F43 B11:K11 B14:K14 F52:K52 B17:C17 B24:K24 B27:K27 B31:K31 B34:K34 B37:K37 B40:K40 B20:F20 B46:K46 C52:D52 J17:K17 B8 D8 F8">
    <cfRule type="cellIs" dxfId="236" priority="2" stopIfTrue="1" operator="lessThanOrEqual">
      <formula>0</formula>
    </cfRule>
  </conditionalFormatting>
  <conditionalFormatting sqref="G20:K20 G43:K43">
    <cfRule type="cellIs" dxfId="235" priority="3" stopIfTrue="1" operator="equal">
      <formula>0</formula>
    </cfRule>
  </conditionalFormatting>
  <printOptions horizontalCentered="1"/>
  <pageMargins left="0.15748031496062992" right="7.874015748031496E-2" top="0.74803149606299213" bottom="0.7480314960629921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" style="304" customWidth="1"/>
    <col min="29" max="29" width="2.85546875" style="150" hidden="1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84"/>
      <c r="U4" s="84"/>
      <c r="V4" s="84"/>
      <c r="W4" s="84"/>
      <c r="X4" s="84"/>
      <c r="Y4" s="83"/>
      <c r="Z4" s="957">
        <f>Despesas!AM6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84"/>
      <c r="U5" s="84"/>
      <c r="V5" s="84"/>
      <c r="W5" s="84"/>
      <c r="X5" s="84"/>
      <c r="Y5" s="83"/>
      <c r="Z5" s="958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121</v>
      </c>
      <c r="R6" s="1363"/>
      <c r="S6" s="1363"/>
      <c r="T6" s="1363"/>
      <c r="U6" s="1363"/>
      <c r="V6" s="1363"/>
      <c r="W6" s="1363"/>
      <c r="X6" s="1363"/>
      <c r="Y6" s="1363"/>
      <c r="Z6" s="958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958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958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e">
        <f>IF(OR($T$15&lt;0,$T$16&lt;0),"O VALOR DO CAMPO 13 NÃO PODE SER NEGATIVO","")</f>
        <v>#VALUE!</v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958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958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483" t="str">
        <f>Dados!$I$7</f>
        <v/>
      </c>
      <c r="O11" s="1484"/>
      <c r="P11" s="1484"/>
      <c r="Q11" s="1485"/>
      <c r="R11" s="1483" t="str">
        <f>Dados!$E$7</f>
        <v/>
      </c>
      <c r="S11" s="1484"/>
      <c r="T11" s="1484"/>
      <c r="U11" s="1485"/>
      <c r="V11" s="127" t="str">
        <f>Dados!$G$9</f>
        <v/>
      </c>
      <c r="W11" s="86" t="s">
        <v>292</v>
      </c>
      <c r="X11" s="128" t="str">
        <f>Dados!$I$9</f>
        <v/>
      </c>
      <c r="Y11" s="126" t="str">
        <f>Dados!$E$9</f>
        <v/>
      </c>
      <c r="Z11" s="959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958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958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960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470" t="str">
        <f>Dados!$F$14</f>
        <v/>
      </c>
      <c r="D15" s="1470"/>
      <c r="E15" s="1470"/>
      <c r="F15" s="49" t="s">
        <v>294</v>
      </c>
      <c r="G15" s="1470" t="e">
        <f>Dados!$F$12+Dados!$F$16</f>
        <v>#VALUE!</v>
      </c>
      <c r="H15" s="1471"/>
      <c r="I15" s="49" t="s">
        <v>294</v>
      </c>
      <c r="J15" s="1470">
        <f>Dados!$I$98</f>
        <v>0</v>
      </c>
      <c r="K15" s="1470"/>
      <c r="L15" s="49" t="s">
        <v>294</v>
      </c>
      <c r="M15" s="1470" t="e">
        <f>IF(G15="","",IF(G15="BLOQUEADO",C15+J15,C15+G15+J15))</f>
        <v>#VALUE!</v>
      </c>
      <c r="N15" s="1471"/>
      <c r="O15" s="49" t="s">
        <v>294</v>
      </c>
      <c r="P15" s="1470">
        <f>Despesas!$AL$18</f>
        <v>0</v>
      </c>
      <c r="Q15" s="1470"/>
      <c r="R15" s="1470"/>
      <c r="S15" s="49" t="s">
        <v>294</v>
      </c>
      <c r="T15" s="1470" t="e">
        <f>IF(M15="","",(M15-P15))</f>
        <v>#VALUE!</v>
      </c>
      <c r="U15" s="1470"/>
      <c r="V15" s="1470"/>
      <c r="W15" s="1510" t="e">
        <f>IF(T15="","",T15+T16)</f>
        <v>#VALUE!</v>
      </c>
      <c r="X15" s="1511"/>
      <c r="Y15" s="1512"/>
      <c r="Z15" s="958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463" t="str">
        <f>Dados!$I$14</f>
        <v/>
      </c>
      <c r="D16" s="1463"/>
      <c r="E16" s="1463"/>
      <c r="F16" s="48" t="s">
        <v>293</v>
      </c>
      <c r="G16" s="1463" t="str">
        <f>Dados!$I$12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Despesas!$AM$18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958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958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e">
        <f>IF(OR($P$15&gt;$M$15,$P$16&gt;$M$16),"O VALOR DO CAMPO 12 NÃO PODE SER MAIOR QUE O VALOR TOTAL","")</f>
        <v>#VALUE!</v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958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958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89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958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IF(Despesas!$KF$34&gt;=1,"",IF($Q$2="","",IF($Q$2&gt;1,"",INDEX(Despesas!$CJ$1:$CV$163,($Q$2-1)*15+4,1))))</f>
        <v/>
      </c>
      <c r="C21" s="1554"/>
      <c r="D21" s="1559" t="str">
        <f>TRIM(IF(Despesas!$KF$34&gt;=1,"",IF($Q$2="","",IF($Q$2&gt;1,"De transporte ..........",PROPER(INDEX(Despesas!$CJ$1:$CV$163,($Q$2-1)*15+4,2))))))</f>
        <v/>
      </c>
      <c r="E21" s="1560"/>
      <c r="F21" s="1560"/>
      <c r="G21" s="1561"/>
      <c r="H21" s="1461">
        <f>IF(Despesas!$KF$34&gt;=1,"",IF($Q$2="","",IF($Q$2&gt;1,"",INDEX(Despesas!$CJ$1:$CV$163,($Q$2-1)*15+4,3))))</f>
        <v>0</v>
      </c>
      <c r="I21" s="1462"/>
      <c r="J21" s="1537" t="str">
        <f>TRIM(IF(Despesas!$KF$34&gt;=1,"",IF($Q$2="","",IF($Q$2&gt;1,"",PROPER(INDEX(Despesas!$CJ$1:$CV$163,($Q$2-1)*15+4,4))))))</f>
        <v/>
      </c>
      <c r="K21" s="1538"/>
      <c r="L21" s="1538"/>
      <c r="M21" s="1539"/>
      <c r="N21" s="765">
        <f>IF(Despesas!$KF$34&gt;=1,"",IF($Q$2="","",IF($Q$2&gt;1,"",INDEX(Despesas!$CJ$1:$CV$163,($Q$2-1)*15+4,5))))</f>
        <v>0</v>
      </c>
      <c r="O21" s="1555">
        <f>IF(Despesas!$KF$34&gt;=1,"",IF($Q$2="","",IF($Q$2&gt;1,"",INDEX(Despesas!$CJ$1:$CV$163,($Q$2-1)*15+4,6))))</f>
        <v>0</v>
      </c>
      <c r="P21" s="1556"/>
      <c r="Q21" s="1557"/>
      <c r="R21" s="1527">
        <f>IF(Despesas!$KF$34&gt;=1,"",IF($Q$2="","",IF($Q$2&gt;1,"",INDEX(Despesas!$CJ$1:$CV$163,($Q$2-1)*15+4,7))))</f>
        <v>0</v>
      </c>
      <c r="S21" s="1528"/>
      <c r="T21" s="1548">
        <f>IF(Despesas!$KF$34&gt;=1,"",IF($Q$2="","",IF($Q$2&gt;1,"",INDEX(Despesas!$CJ$1:$CV$163,($Q$2-1)*15+4,8))))</f>
        <v>0</v>
      </c>
      <c r="U21" s="1549"/>
      <c r="V21" s="1527">
        <f>IF(Despesas!$KF$34&gt;=1,"",IF($Q$2="","",IF($Q$2&gt;1,"",INDEX(Despesas!$CJ$1:$CV$163,($Q$2-1)*15+4,9))))</f>
        <v>0</v>
      </c>
      <c r="W21" s="1528"/>
      <c r="X21" s="476">
        <f>IF(Despesas!$KF$34&gt;=1,"",IF($Q$2="","",IF($Q$2&gt;1,INDEX(Despesas!$CW$4:$CX$15,($Q$2)-1,1),INDEX(Despesas!$CJ$1:$CV$163,($Q$2-1)*15+4,10))))</f>
        <v>0</v>
      </c>
      <c r="Y21" s="476">
        <f>IF(Despesas!$KF$34&gt;=1,"",IF($Q$2="","",IF($Q$2&gt;1,INDEX(Despesas!$CW$4:$CX$15,($Q$2)-1,2),INDEX(Despesas!$CJ$1:$CV$163,($Q$2-1)*15+4,11))))</f>
        <v>0</v>
      </c>
      <c r="Z21" s="961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IF(Despesas!$KF$34&gt;=1,"",IF($Q$2="","",IF($Q$2&gt;1,INDEX(Despesas!$CJ$19:$CV$163,($Q$2-2)*14+1,1),INDEX(Despesas!$CJ$1:$CV$163,($Q$2-1)*15+5,1))))</f>
        <v/>
      </c>
      <c r="C22" s="1507"/>
      <c r="D22" s="1452" t="str">
        <f>TRIM(IF(Despesas!$KF$34&gt;=1,"",IF($Q$2="","",IF($Q$2&gt;1,PROPER(INDEX(Despesas!$CJ$19:$CV$163,($Q$2-2)*14+1,2)),PROPER(INDEX(Despesas!$CJ$1:$CV$163,($Q$2-1)*15+5,2))))))</f>
        <v/>
      </c>
      <c r="E22" s="1453"/>
      <c r="F22" s="1453"/>
      <c r="G22" s="1454"/>
      <c r="H22" s="1474">
        <f>IF(Despesas!$KF$34&gt;=1,"",IF($Q$2="","",IF($Q$2&gt;1,INDEX(Despesas!$CJ$19:$CV$163,($Q$2-2)*14+1,3),INDEX(Despesas!$CJ$1:$CV$163,($Q$2-1)*15+5,3))))</f>
        <v>0</v>
      </c>
      <c r="I22" s="1475"/>
      <c r="J22" s="1458" t="str">
        <f>TRIM(IF(Despesas!$KF$34&gt;=1,"",IF($Q$2="","",IF($Q$2&gt;1,PROPER(INDEX(Despesas!$CJ$19:$CV$163,($Q$2-2)*14+1,4)),PROPER(INDEX(Despesas!$CJ$1:$CV$163,($Q$2-1)*15+5,4))))))</f>
        <v/>
      </c>
      <c r="K22" s="1459"/>
      <c r="L22" s="1459"/>
      <c r="M22" s="1460"/>
      <c r="N22" s="452">
        <f>IF(Despesas!$KF$34&gt;=1,"",IF($Q$2="","",IF($Q$2&gt;1,INDEX(Despesas!$CJ$19:$CV$163,($Q$2-2)*14+1,5),INDEX(Despesas!$CJ$1:$CV$163,($Q$2-1)*15+5,5))))</f>
        <v>0</v>
      </c>
      <c r="O22" s="1519">
        <f>IF(Despesas!$KF$34&gt;=1,"",IF($Q$2="","",IF($Q$2&gt;1,INDEX(Despesas!$CJ$19:$CV$163,($Q$2-2)*14+1,6),INDEX(Despesas!$CJ$1:$CV$163,($Q$2-1)*15+5,6))))</f>
        <v>0</v>
      </c>
      <c r="P22" s="1520"/>
      <c r="Q22" s="1521"/>
      <c r="R22" s="1508">
        <f>IF(Despesas!$KF$34&gt;=1,"",IF($Q$2="","",IF($Q$2&gt;1,INDEX(Despesas!$CJ$19:$CV$163,($Q$2-2)*14+1,7),INDEX(Despesas!$CJ$1:$CV$163,($Q$2-1)*15+5,7))))</f>
        <v>0</v>
      </c>
      <c r="S22" s="1509"/>
      <c r="T22" s="1517">
        <f>IF(Despesas!$KF$34&gt;=1,"",IF($Q$2="","",IF($Q$2&gt;1,INDEX(Despesas!$CJ$19:$CV$163,($Q$2-2)*14+1,8),INDEX(Despesas!$CJ$1:$CV$163,($Q$2-1)*15+5,8))))</f>
        <v>0</v>
      </c>
      <c r="U22" s="1518"/>
      <c r="V22" s="1508">
        <f>IF(Despesas!$KF$34&gt;=1,"",IF($Q$2="","",IF($Q$2&gt;1,INDEX(Despesas!$CJ$19:$CV$163,($Q$2-2)*14+1,9),INDEX(Despesas!$CJ$1:$CV$163,($Q$2-1)*15+5,9))))</f>
        <v>0</v>
      </c>
      <c r="W22" s="1509"/>
      <c r="X22" s="476">
        <f>IF(Despesas!$KF$34&gt;=1,"",IF($Q$2="","",IF($Q$2&gt;1,INDEX(Despesas!$CJ$19:$CV$163,($Q$2-2)*14+1,10),INDEX(Despesas!$CJ$1:$CV$163,($Q$2-1)*15+5,10))))</f>
        <v>0</v>
      </c>
      <c r="Y22" s="476">
        <f>IF(Despesas!$KF$34&gt;=1,"",IF($Q$2="","",IF($Q$2&gt;1,INDEX(Despesas!$CJ$19:$CV$163,($Q$2-2)*14+1,11),INDEX(Despesas!$CJ$1:$CV$163,($Q$2-1)*15+5,11))))</f>
        <v>0</v>
      </c>
      <c r="Z22" s="961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IF(Despesas!$KF$34&gt;=1,"",IF($Q$2="","",IF($Q$2&gt;1,INDEX(Despesas!$CJ$19:$CV$163,($Q$2-2)*14+2,1),INDEX(Despesas!$CJ$1:$CV$163,($Q$2-1)*15+6,1))))</f>
        <v/>
      </c>
      <c r="C23" s="1507"/>
      <c r="D23" s="1452" t="str">
        <f>TRIM(IF(Despesas!$KF$34&gt;=1,"",IF($Q$2="","",IF($Q$2&gt;1,PROPER(INDEX(Despesas!$CJ$19:$CV$163,($Q$2-2)*14+2,2)),PROPER(INDEX(Despesas!$CJ$1:$CV$163,($Q$2-1)*15+6,2))))))</f>
        <v/>
      </c>
      <c r="E23" s="1453"/>
      <c r="F23" s="1453"/>
      <c r="G23" s="1454"/>
      <c r="H23" s="1474">
        <f>IF(Despesas!$KF$34&gt;=1,"",IF($Q$2="","",IF($Q$2&gt;1,INDEX(Despesas!$CJ$19:$CV$163,($Q$2-2)*14+2,3),INDEX(Despesas!$CJ$1:$CV$163,($Q$2-1)*15+6,3))))</f>
        <v>0</v>
      </c>
      <c r="I23" s="1475"/>
      <c r="J23" s="1458" t="str">
        <f>TRIM(IF(Despesas!$KF$34&gt;=1,"",IF($Q$2="","",IF($Q$2&gt;1,PROPER(INDEX(Despesas!$CJ$19:$CV$163,($Q$2-2)*14+2,4)),PROPER(INDEX(Despesas!$CJ$1:$CV$163,($Q$2-1)*15+6,4))))))</f>
        <v/>
      </c>
      <c r="K23" s="1459"/>
      <c r="L23" s="1459"/>
      <c r="M23" s="1460"/>
      <c r="N23" s="765">
        <f>IF(Despesas!$KF$34&gt;=1,"",IF($Q$2="","",IF($Q$2&gt;1,INDEX(Despesas!$CJ$19:$CV$163,($Q$2-2)*14+2,5),INDEX(Despesas!$CJ$1:$CV$163,($Q$2-1)*15+6,5))))</f>
        <v>0</v>
      </c>
      <c r="O23" s="1519">
        <f>IF(Despesas!$KF$34&gt;=1,"",IF($Q$2="","",IF($Q$2&gt;1,INDEX(Despesas!$CJ$19:$CV$163,($Q$2-2)*14+2,6),INDEX(Despesas!$CJ$1:$CV$163,($Q$2-1)*15+6,6))))</f>
        <v>0</v>
      </c>
      <c r="P23" s="1520"/>
      <c r="Q23" s="1521"/>
      <c r="R23" s="1508">
        <f>IF(Despesas!$KF$34&gt;=1,"",IF($Q$2="","",IF($Q$2&gt;1,INDEX(Despesas!$CJ$19:$CV$163,($Q$2-2)*14+2,7),INDEX(Despesas!$CJ$1:$CV$163,($Q$2-1)*15+6,7))))</f>
        <v>0</v>
      </c>
      <c r="S23" s="1509"/>
      <c r="T23" s="1517">
        <f>IF(Despesas!$KF$34&gt;=1,"",IF($Q$2="","",IF($Q$2&gt;1,INDEX(Despesas!$CJ$19:$CV$163,($Q$2-2)*14+2,8),INDEX(Despesas!$CJ$1:$CV$163,($Q$2-1)*15+6,8))))</f>
        <v>0</v>
      </c>
      <c r="U23" s="1518"/>
      <c r="V23" s="1508">
        <f>IF(Despesas!$KF$34&gt;=1,"",IF($Q$2="","",IF($Q$2&gt;1,INDEX(Despesas!$CJ$19:$CV$163,($Q$2-2)*14+2,9),INDEX(Despesas!$CJ$1:$CV$163,($Q$2-1)*15+6,9))))</f>
        <v>0</v>
      </c>
      <c r="W23" s="1509"/>
      <c r="X23" s="476">
        <f>IF(Despesas!$KF$34&gt;=1,"",IF($Q$2="","",IF($Q$2&gt;1,INDEX(Despesas!$CJ$19:$CV$163,($Q$2-2)*14+2,10),INDEX(Despesas!$CJ$1:$CV$163,($Q$2-1)*15+6,10))))</f>
        <v>0</v>
      </c>
      <c r="Y23" s="476">
        <f>IF(Despesas!$KF$34&gt;=1,"",IF($Q$2="","",IF($Q$2&gt;1,INDEX(Despesas!$CJ$19:$CV$163,($Q$2-2)*14+2,11),INDEX(Despesas!$CJ$1:$CV$163,($Q$2-1)*15+6,11))))</f>
        <v>0</v>
      </c>
      <c r="Z23" s="961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IF(Despesas!$KF$34&gt;=1,"",IF($Q$2="","",IF($Q$2&gt;1,INDEX(Despesas!$CJ$19:$CV$163,($Q$2-2)*14+3,1),INDEX(Despesas!$CJ$1:$CV$163,($Q$2-1)*15+7,1))))</f>
        <v/>
      </c>
      <c r="C24" s="1507"/>
      <c r="D24" s="1452" t="str">
        <f>TRIM(IF(Despesas!$KF$34&gt;=1,"",IF($Q$2="","",IF($Q$2&gt;1,PROPER(INDEX(Despesas!$CJ$19:$CV$163,($Q$2-2)*14+3,2)),PROPER(INDEX(Despesas!$CJ$1:$CV$163,($Q$2-1)*15+7,2))))))</f>
        <v/>
      </c>
      <c r="E24" s="1453"/>
      <c r="F24" s="1453"/>
      <c r="G24" s="1454"/>
      <c r="H24" s="1474">
        <f>IF(Despesas!$KF$34&gt;=1,"",IF($Q$2="","",IF($Q$2&gt;1,INDEX(Despesas!$CJ$19:$CV$163,($Q$2-2)*14+3,3),INDEX(Despesas!$CJ$1:$CV$163,($Q$2-1)*15+7,3))))</f>
        <v>0</v>
      </c>
      <c r="I24" s="1475"/>
      <c r="J24" s="1458" t="str">
        <f>TRIM(IF(Despesas!$KF$34&gt;=1,"",IF($Q$2="","",IF($Q$2&gt;1,PROPER(INDEX(Despesas!$CJ$19:$CV$163,($Q$2-2)*14+3,4)),PROPER(INDEX(Despesas!$CJ$1:$CV$163,($Q$2-1)*15+7,4))))))</f>
        <v/>
      </c>
      <c r="K24" s="1459"/>
      <c r="L24" s="1459"/>
      <c r="M24" s="1460"/>
      <c r="N24" s="765">
        <f>IF(Despesas!$KF$34&gt;=1,"",IF($Q$2="","",IF($Q$2&gt;1,INDEX(Despesas!$CJ$19:$CV$163,($Q$2-2)*14+3,5),INDEX(Despesas!$CJ$1:$CV$163,($Q$2-1)*15+7,5))))</f>
        <v>0</v>
      </c>
      <c r="O24" s="1519">
        <f>IF(Despesas!$KF$34&gt;=1,"",IF($Q$2="","",IF($Q$2&gt;1,INDEX(Despesas!$CJ$19:$CV$163,($Q$2-2)*14+3,6),INDEX(Despesas!$CJ$1:$CV$163,($Q$2-1)*15+7,6))))</f>
        <v>0</v>
      </c>
      <c r="P24" s="1520"/>
      <c r="Q24" s="1521"/>
      <c r="R24" s="1508">
        <f>IF(Despesas!$KF$34&gt;=1,"",IF($Q$2="","",IF($Q$2&gt;1,INDEX(Despesas!$CJ$19:$CV$163,($Q$2-2)*14+3,7),INDEX(Despesas!$CJ$1:$CV$163,($Q$2-1)*15+7,7))))</f>
        <v>0</v>
      </c>
      <c r="S24" s="1509"/>
      <c r="T24" s="1517">
        <f>IF(Despesas!$KF$34&gt;=1,"",IF($Q$2="","",IF($Q$2&gt;1,INDEX(Despesas!$CJ$19:$CV$163,($Q$2-2)*14+3,8),INDEX(Despesas!$CJ$1:$CV$163,($Q$2-1)*15+7,8))))</f>
        <v>0</v>
      </c>
      <c r="U24" s="1518"/>
      <c r="V24" s="1508">
        <f>IF(Despesas!$KF$34&gt;=1,"",IF($Q$2="","",IF($Q$2&gt;1,INDEX(Despesas!$CJ$19:$CV$163,($Q$2-2)*14+3,9),INDEX(Despesas!$CJ$1:$CV$163,($Q$2-1)*15+7,9))))</f>
        <v>0</v>
      </c>
      <c r="W24" s="1509"/>
      <c r="X24" s="476">
        <f>IF(Despesas!$KF$34&gt;=1,"",IF($Q$2="","",IF($Q$2&gt;1,INDEX(Despesas!$CJ$19:$CV$163,($Q$2-2)*14+3,10),INDEX(Despesas!$CJ$1:$CV$163,($Q$2-1)*15+7,10))))</f>
        <v>0</v>
      </c>
      <c r="Y24" s="476">
        <f>IF(Despesas!$KF$34&gt;=1,"",IF($Q$2="","",IF($Q$2&gt;1,INDEX(Despesas!$CJ$19:$CV$163,($Q$2-2)*14+3,11),INDEX(Despesas!$CJ$1:$CV$163,($Q$2-1)*15+7,11))))</f>
        <v>0</v>
      </c>
      <c r="Z24" s="961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IF(Despesas!$KF$34&gt;=1,"",IF($Q$2="","",IF($Q$2&gt;1,INDEX(Despesas!$CJ$19:$CV$163,($Q$2-2)*14+4,1),INDEX(Despesas!$CJ$1:$CV$163,($Q$2-1)*15+8,1))))</f>
        <v/>
      </c>
      <c r="C25" s="1507"/>
      <c r="D25" s="1452" t="str">
        <f>TRIM(IF(Despesas!$KF$34&gt;=1,"",IF($Q$2="","",IF($Q$2&gt;1,PROPER(INDEX(Despesas!$CJ$19:$CV$163,($Q$2-2)*14+4,2)),PROPER(INDEX(Despesas!$CJ$1:$CV$163,($Q$2-1)*15+8,2))))))</f>
        <v/>
      </c>
      <c r="E25" s="1453"/>
      <c r="F25" s="1453"/>
      <c r="G25" s="1454"/>
      <c r="H25" s="1474">
        <f>IF(Despesas!$KF$34&gt;=1,"",IF($Q$2="","",IF($Q$2&gt;1,INDEX(Despesas!$CJ$19:$CV$163,($Q$2-2)*14+4,3),INDEX(Despesas!$CJ$1:$CV$163,($Q$2-1)*15+8,3))))</f>
        <v>0</v>
      </c>
      <c r="I25" s="1475"/>
      <c r="J25" s="1458" t="str">
        <f>TRIM(IF(Despesas!$KF$34&gt;=1,"",IF($Q$2="","",IF($Q$2&gt;1,PROPER(INDEX(Despesas!$CJ$19:$CV$163,($Q$2-2)*14+4,4)),PROPER(INDEX(Despesas!$CJ$1:$CV$163,($Q$2-1)*15+8,4))))))</f>
        <v/>
      </c>
      <c r="K25" s="1459"/>
      <c r="L25" s="1459"/>
      <c r="M25" s="1460"/>
      <c r="N25" s="765">
        <f>IF(Despesas!$KF$34&gt;=1,"",IF($Q$2="","",IF($Q$2&gt;1,INDEX(Despesas!$CJ$19:$CV$163,($Q$2-2)*14+4,5),INDEX(Despesas!$CJ$1:$CV$163,($Q$2-1)*15+8,5))))</f>
        <v>0</v>
      </c>
      <c r="O25" s="1519">
        <f>IF(Despesas!$KF$34&gt;=1,"",IF($Q$2="","",IF($Q$2&gt;1,INDEX(Despesas!$CJ$19:$CV$163,($Q$2-2)*14+4,6),INDEX(Despesas!$CJ$1:$CV$163,($Q$2-1)*15+8,6))))</f>
        <v>0</v>
      </c>
      <c r="P25" s="1520"/>
      <c r="Q25" s="1521"/>
      <c r="R25" s="1508">
        <f>IF(Despesas!$KF$34&gt;=1,"",IF($Q$2="","",IF($Q$2&gt;1,INDEX(Despesas!$CJ$19:$CV$163,($Q$2-2)*14+4,7),INDEX(Despesas!$CJ$1:$CV$163,($Q$2-1)*15+8,7))))</f>
        <v>0</v>
      </c>
      <c r="S25" s="1509"/>
      <c r="T25" s="1517">
        <f>IF(Despesas!$KF$34&gt;=1,"",IF($Q$2="","",IF($Q$2&gt;1,INDEX(Despesas!$CJ$19:$CV$163,($Q$2-2)*14+4,8),INDEX(Despesas!$CJ$1:$CV$163,($Q$2-1)*15+8,8))))</f>
        <v>0</v>
      </c>
      <c r="U25" s="1518"/>
      <c r="V25" s="1508">
        <f>IF(Despesas!$KF$34&gt;=1,"",IF($Q$2="","",IF($Q$2&gt;1,INDEX(Despesas!$CJ$19:$CV$163,($Q$2-2)*14+4,9),INDEX(Despesas!$CJ$1:$CV$163,($Q$2-1)*15+8,9))))</f>
        <v>0</v>
      </c>
      <c r="W25" s="1509"/>
      <c r="X25" s="476">
        <f>IF(Despesas!$KF$34&gt;=1,"",IF($Q$2="","",IF($Q$2&gt;1,INDEX(Despesas!$CJ$19:$CV$163,($Q$2-2)*14+4,10),INDEX(Despesas!$CJ$1:$CV$163,($Q$2-1)*15+8,10))))</f>
        <v>0</v>
      </c>
      <c r="Y25" s="476">
        <f>IF(Despesas!$KF$34&gt;=1,"",IF($Q$2="","",IF($Q$2&gt;1,INDEX(Despesas!$CJ$19:$CV$163,($Q$2-2)*14+4,11),INDEX(Despesas!$CJ$1:$CV$163,($Q$2-1)*15+8,11))))</f>
        <v>0</v>
      </c>
      <c r="Z25" s="961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IF(Despesas!$KF$34&gt;=1,"",IF($Q$2="","",IF($Q$2&gt;1,INDEX(Despesas!$CJ$19:$CV$163,($Q$2-2)*14+5,1),INDEX(Despesas!$CJ$1:$CV$163,($Q$2-1)*15+9,1))))</f>
        <v/>
      </c>
      <c r="C26" s="1507"/>
      <c r="D26" s="1452" t="str">
        <f>TRIM(IF(Despesas!$KF$34&gt;=1,"",IF($Q$2="","",IF($Q$2&gt;1,PROPER(INDEX(Despesas!$CJ$19:$CV$163,($Q$2-2)*14+5,2)),PROPER(INDEX(Despesas!$CJ$1:$CV$163,($Q$2-1)*15+9,2))))))</f>
        <v/>
      </c>
      <c r="E26" s="1453"/>
      <c r="F26" s="1453"/>
      <c r="G26" s="1454"/>
      <c r="H26" s="1474">
        <f>IF(Despesas!$KF$34&gt;=1,"",IF($Q$2="","",IF($Q$2&gt;1,INDEX(Despesas!$CJ$19:$CV$163,($Q$2-2)*14+5,3),INDEX(Despesas!$CJ$1:$CV$163,($Q$2-1)*15+9,3))))</f>
        <v>0</v>
      </c>
      <c r="I26" s="1475"/>
      <c r="J26" s="1458" t="str">
        <f>TRIM(IF(Despesas!$KF$34&gt;=1,"",IF($Q$2="","",IF($Q$2&gt;1,PROPER(INDEX(Despesas!$CJ$19:$CV$163,($Q$2-2)*14+5,4)),PROPER(INDEX(Despesas!$CJ$1:$CV$163,($Q$2-1)*15+9,4))))))</f>
        <v/>
      </c>
      <c r="K26" s="1459"/>
      <c r="L26" s="1459"/>
      <c r="M26" s="1460"/>
      <c r="N26" s="765">
        <f>IF(Despesas!$KF$34&gt;=1,"",IF($Q$2="","",IF($Q$2&gt;1,INDEX(Despesas!$CJ$19:$CV$163,($Q$2-2)*14+5,5),INDEX(Despesas!$CJ$1:$CV$163,($Q$2-1)*15+9,5))))</f>
        <v>0</v>
      </c>
      <c r="O26" s="1519">
        <f>IF(Despesas!$KF$34&gt;=1,"",IF($Q$2="","",IF($Q$2&gt;1,INDEX(Despesas!$CJ$19:$CV$163,($Q$2-2)*14+5,6),INDEX(Despesas!$CJ$1:$CV$163,($Q$2-1)*15+9,6))))</f>
        <v>0</v>
      </c>
      <c r="P26" s="1520"/>
      <c r="Q26" s="1521"/>
      <c r="R26" s="1508">
        <f>IF(Despesas!$KF$34&gt;=1,"",IF($Q$2="","",IF($Q$2&gt;1,INDEX(Despesas!$CJ$19:$CV$163,($Q$2-2)*14+5,7),INDEX(Despesas!$CJ$1:$CV$163,($Q$2-1)*15+9,7))))</f>
        <v>0</v>
      </c>
      <c r="S26" s="1509"/>
      <c r="T26" s="1517">
        <f>IF(Despesas!$KF$34&gt;=1,"",IF($Q$2="","",IF($Q$2&gt;1,INDEX(Despesas!$CJ$19:$CV$163,($Q$2-2)*14+5,8),INDEX(Despesas!$CJ$1:$CV$163,($Q$2-1)*15+9,8))))</f>
        <v>0</v>
      </c>
      <c r="U26" s="1518"/>
      <c r="V26" s="1508">
        <f>IF(Despesas!$KF$34&gt;=1,"",IF($Q$2="","",IF($Q$2&gt;1,INDEX(Despesas!$CJ$19:$CV$163,($Q$2-2)*14+5,9),INDEX(Despesas!$CJ$1:$CV$163,($Q$2-1)*15+9,9))))</f>
        <v>0</v>
      </c>
      <c r="W26" s="1509"/>
      <c r="X26" s="476">
        <f>IF(Despesas!$KF$34&gt;=1,"",IF($Q$2="","",IF($Q$2&gt;1,INDEX(Despesas!$CJ$19:$CV$163,($Q$2-2)*14+5,10),INDEX(Despesas!$CJ$1:$CV$163,($Q$2-1)*15+9,10))))</f>
        <v>0</v>
      </c>
      <c r="Y26" s="476">
        <f>IF(Despesas!$KF$34&gt;=1,"",IF($Q$2="","",IF($Q$2&gt;1,INDEX(Despesas!$CJ$19:$CV$163,($Q$2-2)*14+5,11),INDEX(Despesas!$CJ$1:$CV$163,($Q$2-1)*15+9,11))))</f>
        <v>0</v>
      </c>
      <c r="Z26" s="961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IF(Despesas!$KF$34&gt;=1,"",IF($Q$2="","",IF($Q$2&gt;1,INDEX(Despesas!$CJ$19:$CV$163,($Q$2-2)*14+6,1),INDEX(Despesas!$CJ$1:$CV$163,($Q$2-1)*15+10,1))))</f>
        <v/>
      </c>
      <c r="C27" s="1507"/>
      <c r="D27" s="1452" t="str">
        <f>TRIM(IF(Despesas!$KF$34&gt;=1,"",IF($Q$2="","",IF($Q$2&gt;1,PROPER(INDEX(Despesas!$CJ$19:$CV$163,($Q$2-2)*14+6,2)),PROPER(INDEX(Despesas!$CJ$1:$CV$163,($Q$2-1)*15+10,2))))))</f>
        <v/>
      </c>
      <c r="E27" s="1453"/>
      <c r="F27" s="1453"/>
      <c r="G27" s="1454"/>
      <c r="H27" s="1474">
        <f>IF(Despesas!$KF$34&gt;=1,"",IF($Q$2="","",IF($Q$2&gt;1,INDEX(Despesas!$CJ$19:$CV$163,($Q$2-2)*14+6,3),INDEX(Despesas!$CJ$1:$CV$163,($Q$2-1)*15+10,3))))</f>
        <v>0</v>
      </c>
      <c r="I27" s="1475"/>
      <c r="J27" s="1458" t="str">
        <f>TRIM(IF(Despesas!$KF$34&gt;=1,"",IF($Q$2="","",IF($Q$2&gt;1,PROPER(INDEX(Despesas!$CJ$19:$CV$163,($Q$2-2)*14+6,4)),PROPER(INDEX(Despesas!$CJ$1:$CV$163,($Q$2-1)*15+10,4))))))</f>
        <v/>
      </c>
      <c r="K27" s="1459"/>
      <c r="L27" s="1459"/>
      <c r="M27" s="1460"/>
      <c r="N27" s="765">
        <f>IF(Despesas!$KF$34&gt;=1,"",IF($Q$2="","",IF($Q$2&gt;1,INDEX(Despesas!$CJ$19:$CV$163,($Q$2-2)*14+6,5),INDEX(Despesas!$CJ$1:$CV$163,($Q$2-1)*15+10,5))))</f>
        <v>0</v>
      </c>
      <c r="O27" s="1519">
        <f>IF(Despesas!$KF$34&gt;=1,"",IF($Q$2="","",IF($Q$2&gt;1,INDEX(Despesas!$CJ$19:$CV$163,($Q$2-2)*14+6,6),INDEX(Despesas!$CJ$1:$CV$163,($Q$2-1)*15+10,6))))</f>
        <v>0</v>
      </c>
      <c r="P27" s="1520"/>
      <c r="Q27" s="1521"/>
      <c r="R27" s="1508">
        <f>IF(Despesas!$KF$34&gt;=1,"",IF($Q$2="","",IF($Q$2&gt;1,INDEX(Despesas!$CJ$19:$CV$163,($Q$2-2)*14+6,7),INDEX(Despesas!$CJ$1:$CV$163,($Q$2-1)*15+10,7))))</f>
        <v>0</v>
      </c>
      <c r="S27" s="1509"/>
      <c r="T27" s="1517">
        <f>IF(Despesas!$KF$34&gt;=1,"",IF($Q$2="","",IF($Q$2&gt;1,INDEX(Despesas!$CJ$19:$CV$163,($Q$2-2)*14+6,8),INDEX(Despesas!$CJ$1:$CV$163,($Q$2-1)*15+10,8))))</f>
        <v>0</v>
      </c>
      <c r="U27" s="1518"/>
      <c r="V27" s="1508">
        <f>IF(Despesas!$KF$34&gt;=1,"",IF($Q$2="","",IF($Q$2&gt;1,INDEX(Despesas!$CJ$19:$CV$163,($Q$2-2)*14+6,9),INDEX(Despesas!$CJ$1:$CV$163,($Q$2-1)*15+10,9))))</f>
        <v>0</v>
      </c>
      <c r="W27" s="1509"/>
      <c r="X27" s="476">
        <f>IF(Despesas!$KF$34&gt;=1,"",IF($Q$2="","",IF($Q$2&gt;1,INDEX(Despesas!$CJ$19:$CV$163,($Q$2-2)*14+6,10),INDEX(Despesas!$CJ$1:$CV$163,($Q$2-1)*15+10,10))))</f>
        <v>0</v>
      </c>
      <c r="Y27" s="476">
        <f>IF(Despesas!$KF$34&gt;=1,"",IF($Q$2="","",IF($Q$2&gt;1,INDEX(Despesas!$CJ$19:$CV$163,($Q$2-2)*14+6,11),INDEX(Despesas!$CJ$1:$CV$163,($Q$2-1)*15+10,11))))</f>
        <v>0</v>
      </c>
      <c r="Z27" s="961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IF(Despesas!$KF$34&gt;=1,"",IF($Q$2="","",IF($Q$2&gt;1,INDEX(Despesas!$CJ$19:$CV$163,($Q$2-2)*14+7,1),INDEX(Despesas!$CJ$1:$CV$163,($Q$2-1)*15+11,1))))</f>
        <v/>
      </c>
      <c r="C28" s="1507"/>
      <c r="D28" s="1452" t="str">
        <f>TRIM(IF(Despesas!$KF$34&gt;=1,"",IF($Q$2="","",IF($Q$2&gt;1,PROPER(INDEX(Despesas!$CJ$19:$CV$163,($Q$2-2)*14+7,2)),PROPER(INDEX(Despesas!$CJ$1:$CV$163,($Q$2-1)*15+11,2))))))</f>
        <v/>
      </c>
      <c r="E28" s="1453"/>
      <c r="F28" s="1453"/>
      <c r="G28" s="1454"/>
      <c r="H28" s="1474">
        <f>IF(Despesas!$KF$34&gt;=1,"",IF($Q$2="","",IF($Q$2&gt;1,INDEX(Despesas!$CJ$19:$CV$163,($Q$2-2)*14+7,3),INDEX(Despesas!$CJ$1:$CV$163,($Q$2-1)*15+11,3))))</f>
        <v>0</v>
      </c>
      <c r="I28" s="1475"/>
      <c r="J28" s="1458" t="str">
        <f>TRIM(IF(Despesas!$KF$34&gt;=1,"",IF($Q$2="","",IF($Q$2&gt;1,PROPER(INDEX(Despesas!$CJ$19:$CV$163,($Q$2-2)*14+7,4)),PROPER(INDEX(Despesas!$CJ$1:$CV$163,($Q$2-1)*15+11,4))))))</f>
        <v/>
      </c>
      <c r="K28" s="1459"/>
      <c r="L28" s="1459"/>
      <c r="M28" s="1460"/>
      <c r="N28" s="765">
        <f>IF(Despesas!$KF$34&gt;=1,"",IF($Q$2="","",IF($Q$2&gt;1,INDEX(Despesas!$CJ$19:$CV$163,($Q$2-2)*14+7,5),INDEX(Despesas!$CJ$1:$CV$163,($Q$2-1)*15+11,5))))</f>
        <v>0</v>
      </c>
      <c r="O28" s="1519">
        <f>IF(Despesas!$KF$34&gt;=1,"",IF($Q$2="","",IF($Q$2&gt;1,INDEX(Despesas!$CJ$19:$CV$163,($Q$2-2)*14+7,6),INDEX(Despesas!$CJ$1:$CV$163,($Q$2-1)*15+11,6))))</f>
        <v>0</v>
      </c>
      <c r="P28" s="1520"/>
      <c r="Q28" s="1521"/>
      <c r="R28" s="1508">
        <f>IF(Despesas!$KF$34&gt;=1,"",IF($Q$2="","",IF($Q$2&gt;1,INDEX(Despesas!$CJ$19:$CV$163,($Q$2-2)*14+7,7),INDEX(Despesas!$CJ$1:$CV$163,($Q$2-1)*15+11,7))))</f>
        <v>0</v>
      </c>
      <c r="S28" s="1509"/>
      <c r="T28" s="1517">
        <f>IF(Despesas!$KF$34&gt;=1,"",IF($Q$2="","",IF($Q$2&gt;1,INDEX(Despesas!$CJ$19:$CV$163,($Q$2-2)*14+7,8),INDEX(Despesas!$CJ$1:$CV$163,($Q$2-1)*15+11,8))))</f>
        <v>0</v>
      </c>
      <c r="U28" s="1518"/>
      <c r="V28" s="1508">
        <f>IF(Despesas!$KF$34&gt;=1,"",IF($Q$2="","",IF($Q$2&gt;1,INDEX(Despesas!$CJ$19:$CV$163,($Q$2-2)*14+7,9),INDEX(Despesas!$CJ$1:$CV$163,($Q$2-1)*15+11,9))))</f>
        <v>0</v>
      </c>
      <c r="W28" s="1509"/>
      <c r="X28" s="476">
        <f>IF(Despesas!$KF$34&gt;=1,"",IF($Q$2="","",IF($Q$2&gt;1,INDEX(Despesas!$CJ$19:$CV$163,($Q$2-2)*14+7,10),INDEX(Despesas!$CJ$1:$CV$163,($Q$2-1)*15+11,10))))</f>
        <v>0</v>
      </c>
      <c r="Y28" s="476">
        <f>IF(Despesas!$KF$34&gt;=1,"",IF($Q$2="","",IF($Q$2&gt;1,INDEX(Despesas!$CJ$19:$CV$163,($Q$2-2)*14+7,11),INDEX(Despesas!$CJ$1:$CV$163,($Q$2-1)*15+11,11))))</f>
        <v>0</v>
      </c>
      <c r="Z28" s="961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IF(Despesas!$KF$34&gt;=1,"",IF($Q$2="","",IF($Q$2&gt;1,INDEX(Despesas!$CJ$19:$CV$163,($Q$2-2)*14+8,1),INDEX(Despesas!$CJ$1:$CV$163,($Q$2-1)*15+12,1))))</f>
        <v/>
      </c>
      <c r="C29" s="1507"/>
      <c r="D29" s="1452" t="str">
        <f>TRIM(IF(Despesas!$KF$34&gt;=1,"",IF($Q$2="","",IF($Q$2&gt;1,PROPER(INDEX(Despesas!$CJ$19:$CV$163,($Q$2-2)*14+8,2)),PROPER(INDEX(Despesas!$CJ$1:$CV$163,($Q$2-1)*15+12,2))))))</f>
        <v/>
      </c>
      <c r="E29" s="1453"/>
      <c r="F29" s="1453"/>
      <c r="G29" s="1454"/>
      <c r="H29" s="1474">
        <f>IF(Despesas!$KF$34&gt;=1,"",IF($Q$2="","",IF($Q$2&gt;1,INDEX(Despesas!$CJ$19:$CV$163,($Q$2-2)*14+8,3),INDEX(Despesas!$CJ$1:$CV$163,($Q$2-1)*15+12,3))))</f>
        <v>0</v>
      </c>
      <c r="I29" s="1475"/>
      <c r="J29" s="1458" t="str">
        <f>TRIM(IF(Despesas!$KF$34&gt;=1,"",IF($Q$2="","",IF($Q$2&gt;1,PROPER(INDEX(Despesas!$CJ$19:$CV$163,($Q$2-2)*14+8,4)),PROPER(INDEX(Despesas!$CJ$1:$CV$163,($Q$2-1)*15+12,4))))))</f>
        <v/>
      </c>
      <c r="K29" s="1459"/>
      <c r="L29" s="1459"/>
      <c r="M29" s="1460"/>
      <c r="N29" s="765">
        <f>IF(Despesas!$KF$34&gt;=1,"",IF($Q$2="","",IF($Q$2&gt;1,INDEX(Despesas!$CJ$19:$CV$163,($Q$2-2)*14+8,5),INDEX(Despesas!$CJ$1:$CV$163,($Q$2-1)*15+12,5))))</f>
        <v>0</v>
      </c>
      <c r="O29" s="1519">
        <f>IF(Despesas!$KF$34&gt;=1,"",IF($Q$2="","",IF($Q$2&gt;1,INDEX(Despesas!$CJ$19:$CV$163,($Q$2-2)*14+8,6),INDEX(Despesas!$CJ$1:$CV$163,($Q$2-1)*15+12,6))))</f>
        <v>0</v>
      </c>
      <c r="P29" s="1520"/>
      <c r="Q29" s="1521"/>
      <c r="R29" s="1508">
        <f>IF(Despesas!$KF$34&gt;=1,"",IF($Q$2="","",IF($Q$2&gt;1,INDEX(Despesas!$CJ$19:$CV$163,($Q$2-2)*14+8,7),INDEX(Despesas!$CJ$1:$CV$163,($Q$2-1)*15+12,7))))</f>
        <v>0</v>
      </c>
      <c r="S29" s="1509"/>
      <c r="T29" s="1517">
        <f>IF(Despesas!$KF$34&gt;=1,"",IF($Q$2="","",IF($Q$2&gt;1,INDEX(Despesas!$CJ$19:$CV$163,($Q$2-2)*14+8,8),INDEX(Despesas!$CJ$1:$CV$163,($Q$2-1)*15+12,8))))</f>
        <v>0</v>
      </c>
      <c r="U29" s="1518"/>
      <c r="V29" s="1508">
        <f>IF(Despesas!$KF$34&gt;=1,"",IF($Q$2="","",IF($Q$2&gt;1,INDEX(Despesas!$CJ$19:$CV$163,($Q$2-2)*14+8,9),INDEX(Despesas!$CJ$1:$CV$163,($Q$2-1)*15+12,9))))</f>
        <v>0</v>
      </c>
      <c r="W29" s="1509"/>
      <c r="X29" s="476">
        <f>IF(Despesas!$KF$34&gt;=1,"",IF($Q$2="","",IF($Q$2&gt;1,INDEX(Despesas!$CJ$19:$CV$163,($Q$2-2)*14+8,10),INDEX(Despesas!$CJ$1:$CV$163,($Q$2-1)*15+12,10))))</f>
        <v>0</v>
      </c>
      <c r="Y29" s="476">
        <f>IF(Despesas!$KF$34&gt;=1,"",IF($Q$2="","",IF($Q$2&gt;1,INDEX(Despesas!$CJ$19:$CV$163,($Q$2-2)*14+8,11),INDEX(Despesas!$CJ$1:$CV$163,($Q$2-1)*15+12,11))))</f>
        <v>0</v>
      </c>
      <c r="Z29" s="961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IF(Despesas!$KF$34&gt;=1,"",IF($Q$2="","",IF($Q$2&gt;1,INDEX(Despesas!$CJ$19:$CV$163,($Q$2-2)*14+9,1),INDEX(Despesas!$CJ$1:$CV$163,($Q$2-1)*15+13,1))))</f>
        <v/>
      </c>
      <c r="C30" s="1507"/>
      <c r="D30" s="1452" t="str">
        <f>TRIM(IF(Despesas!$KF$34&gt;=1,"",IF($Q$2="","",IF($Q$2&gt;1,PROPER(INDEX(Despesas!$CJ$19:$CV$163,($Q$2-2)*14+9,2)),PROPER(INDEX(Despesas!$CJ$1:$CV$163,($Q$2-1)*15+13,2))))))</f>
        <v/>
      </c>
      <c r="E30" s="1453"/>
      <c r="F30" s="1453"/>
      <c r="G30" s="1454"/>
      <c r="H30" s="1474">
        <f>IF(Despesas!$KF$34&gt;=1,"",IF($Q$2="","",IF($Q$2&gt;1,INDEX(Despesas!$CJ$19:$CV$163,($Q$2-2)*14+9,3),INDEX(Despesas!$CJ$1:$CV$163,($Q$2-1)*15+13,3))))</f>
        <v>0</v>
      </c>
      <c r="I30" s="1475"/>
      <c r="J30" s="1458" t="str">
        <f>TRIM(IF(Despesas!$KF$34&gt;=1,"",IF($Q$2="","",IF($Q$2&gt;1,PROPER(INDEX(Despesas!$CJ$19:$CV$163,($Q$2-2)*14+9,4)),PROPER(INDEX(Despesas!$CJ$1:$CV$163,($Q$2-1)*15+13,4))))))</f>
        <v/>
      </c>
      <c r="K30" s="1459"/>
      <c r="L30" s="1459"/>
      <c r="M30" s="1460"/>
      <c r="N30" s="765">
        <f>IF(Despesas!$KF$34&gt;=1,"",IF($Q$2="","",IF($Q$2&gt;1,INDEX(Despesas!$CJ$19:$CV$163,($Q$2-2)*14+9,5),INDEX(Despesas!$CJ$1:$CV$163,($Q$2-1)*15+13,5))))</f>
        <v>0</v>
      </c>
      <c r="O30" s="1519">
        <f>IF(Despesas!$KF$34&gt;=1,"",IF($Q$2="","",IF($Q$2&gt;1,INDEX(Despesas!$CJ$19:$CV$163,($Q$2-2)*14+9,6),INDEX(Despesas!$CJ$1:$CV$163,($Q$2-1)*15+13,6))))</f>
        <v>0</v>
      </c>
      <c r="P30" s="1520"/>
      <c r="Q30" s="1521"/>
      <c r="R30" s="1508">
        <f>IF(Despesas!$KF$34&gt;=1,"",IF($Q$2="","",IF($Q$2&gt;1,INDEX(Despesas!$CJ$19:$CV$163,($Q$2-2)*14+9,7),INDEX(Despesas!$CJ$1:$CV$163,($Q$2-1)*15+13,7))))</f>
        <v>0</v>
      </c>
      <c r="S30" s="1509"/>
      <c r="T30" s="1517">
        <f>IF(Despesas!$KF$34&gt;=1,"",IF($Q$2="","",IF($Q$2&gt;1,INDEX(Despesas!$CJ$19:$CV$163,($Q$2-2)*14+9,8),INDEX(Despesas!$CJ$1:$CV$163,($Q$2-1)*15+13,8))))</f>
        <v>0</v>
      </c>
      <c r="U30" s="1518"/>
      <c r="V30" s="1508">
        <f>IF(Despesas!$KF$34&gt;=1,"",IF($Q$2="","",IF($Q$2&gt;1,INDEX(Despesas!$CJ$19:$CV$163,($Q$2-2)*14+9,9),INDEX(Despesas!$CJ$1:$CV$163,($Q$2-1)*15+13,9))))</f>
        <v>0</v>
      </c>
      <c r="W30" s="1509"/>
      <c r="X30" s="476">
        <f>IF(Despesas!$KF$34&gt;=1,"",IF($Q$2="","",IF($Q$2&gt;1,INDEX(Despesas!$CJ$19:$CV$163,($Q$2-2)*14+9,10),INDEX(Despesas!$CJ$1:$CV$163,($Q$2-1)*15+13,10))))</f>
        <v>0</v>
      </c>
      <c r="Y30" s="476">
        <f>IF(Despesas!$KF$34&gt;=1,"",IF($Q$2="","",IF($Q$2&gt;1,INDEX(Despesas!$CJ$19:$CV$163,($Q$2-2)*14+9,11),INDEX(Despesas!$CJ$1:$CV$163,($Q$2-1)*15+13,11))))</f>
        <v>0</v>
      </c>
      <c r="Z30" s="961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IF(Despesas!$KF$34&gt;=1,"",IF($Q$2="","",IF($Q$2&gt;1,INDEX(Despesas!$CJ$19:$CV$163,($Q$2-2)*14+10,1),INDEX(Despesas!$CJ$1:$CV$163,($Q$2-1)*15+14,1))))</f>
        <v/>
      </c>
      <c r="C31" s="1507"/>
      <c r="D31" s="1452" t="str">
        <f>TRIM(IF(Despesas!$KF$34&gt;=1,"",IF($Q$2="","",IF($Q$2&gt;1,PROPER(INDEX(Despesas!$CJ$19:$CV$163,($Q$2-2)*14+10,2)),PROPER(INDEX(Despesas!$CJ$1:$CV$163,($Q$2-1)*15+14,2))))))</f>
        <v/>
      </c>
      <c r="E31" s="1453"/>
      <c r="F31" s="1453"/>
      <c r="G31" s="1454"/>
      <c r="H31" s="1474">
        <f>IF(Despesas!$KF$34&gt;=1,"",IF($Q$2="","",IF($Q$2&gt;1,INDEX(Despesas!$CJ$19:$CV$163,($Q$2-2)*14+10,3),INDEX(Despesas!$CJ$1:$CV$163,($Q$2-1)*15+14,3))))</f>
        <v>0</v>
      </c>
      <c r="I31" s="1475"/>
      <c r="J31" s="1458" t="str">
        <f>TRIM(IF(Despesas!$KF$34&gt;=1,"",IF($Q$2="","",IF($Q$2&gt;1,PROPER(INDEX(Despesas!$CJ$19:$CV$163,($Q$2-2)*14+10,4)),PROPER(INDEX(Despesas!$CJ$1:$CV$163,($Q$2-1)*15+14,4))))))</f>
        <v/>
      </c>
      <c r="K31" s="1459"/>
      <c r="L31" s="1459"/>
      <c r="M31" s="1460"/>
      <c r="N31" s="765">
        <f>IF(Despesas!$KF$34&gt;=1,"",IF($Q$2="","",IF($Q$2&gt;1,INDEX(Despesas!$CJ$19:$CV$163,($Q$2-2)*14+10,5),INDEX(Despesas!$CJ$1:$CV$163,($Q$2-1)*15+14,5))))</f>
        <v>0</v>
      </c>
      <c r="O31" s="1519">
        <f>IF(Despesas!$KF$34&gt;=1,"",IF($Q$2="","",IF($Q$2&gt;1,INDEX(Despesas!$CJ$19:$CV$163,($Q$2-2)*14+10,6),INDEX(Despesas!$CJ$1:$CV$163,($Q$2-1)*15+14,6))))</f>
        <v>0</v>
      </c>
      <c r="P31" s="1520"/>
      <c r="Q31" s="1521"/>
      <c r="R31" s="1508">
        <f>IF(Despesas!$KF$34&gt;=1,"",IF($Q$2="","",IF($Q$2&gt;1,INDEX(Despesas!$CJ$19:$CV$163,($Q$2-2)*14+10,7),INDEX(Despesas!$CJ$1:$CV$163,($Q$2-1)*15+14,7))))</f>
        <v>0</v>
      </c>
      <c r="S31" s="1509"/>
      <c r="T31" s="1517">
        <f>IF(Despesas!$KF$34&gt;=1,"",IF($Q$2="","",IF($Q$2&gt;1,INDEX(Despesas!$CJ$19:$CV$163,($Q$2-2)*14+10,8),INDEX(Despesas!$CJ$1:$CV$163,($Q$2-1)*15+14,8))))</f>
        <v>0</v>
      </c>
      <c r="U31" s="1518"/>
      <c r="V31" s="1508">
        <f>IF(Despesas!$KF$34&gt;=1,"",IF($Q$2="","",IF($Q$2&gt;1,INDEX(Despesas!$CJ$19:$CV$163,($Q$2-2)*14+10,9),INDEX(Despesas!$CJ$1:$CV$163,($Q$2-1)*15+14,9))))</f>
        <v>0</v>
      </c>
      <c r="W31" s="1509"/>
      <c r="X31" s="476">
        <f>IF(Despesas!$KF$34&gt;=1,"",IF($Q$2="","",IF($Q$2&gt;1,INDEX(Despesas!$CJ$19:$CV$163,($Q$2-2)*14+10,10),INDEX(Despesas!$CJ$1:$CV$163,($Q$2-1)*15+14,10))))</f>
        <v>0</v>
      </c>
      <c r="Y31" s="476">
        <f>IF(Despesas!$KF$34&gt;=1,"",IF($Q$2="","",IF($Q$2&gt;1,INDEX(Despesas!$CJ$19:$CV$163,($Q$2-2)*14+10,11),INDEX(Despesas!$CJ$1:$CV$163,($Q$2-1)*15+14,11))))</f>
        <v>0</v>
      </c>
      <c r="Z31" s="961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IF(Despesas!$KF$34&gt;=1,"",IF($Q$2="","",IF($Q$2&gt;1,INDEX(Despesas!$CJ$19:$CV$163,($Q$2-2)*14+11,1),INDEX(Despesas!$CJ$1:$CV$163,($Q$2-1)*15+15,1))))</f>
        <v/>
      </c>
      <c r="C32" s="1507"/>
      <c r="D32" s="1452" t="str">
        <f>TRIM(IF(Despesas!$KF$34&gt;=1,"",IF($Q$2="","",IF($Q$2&gt;1,PROPER(INDEX(Despesas!$CJ$19:$CV$163,($Q$2-2)*14+11,2)),PROPER(INDEX(Despesas!$CJ$1:$CV$163,($Q$2-1)*15+15,2))))))</f>
        <v/>
      </c>
      <c r="E32" s="1453"/>
      <c r="F32" s="1453"/>
      <c r="G32" s="1454"/>
      <c r="H32" s="1474">
        <f>IF(Despesas!$KF$34&gt;=1,"",IF($Q$2="","",IF($Q$2&gt;1,INDEX(Despesas!$CJ$19:$CV$163,($Q$2-2)*14+11,3),INDEX(Despesas!$CJ$1:$CV$163,($Q$2-1)*15+15,3))))</f>
        <v>0</v>
      </c>
      <c r="I32" s="1475"/>
      <c r="J32" s="1458" t="str">
        <f>TRIM(IF(Despesas!$KF$34&gt;=1,"",IF($Q$2="","",IF($Q$2&gt;1,PROPER(INDEX(Despesas!$CJ$19:$CV$163,($Q$2-2)*14+11,4)),PROPER(INDEX(Despesas!$CJ$1:$CV$163,($Q$2-1)*15+15,4))))))</f>
        <v/>
      </c>
      <c r="K32" s="1459"/>
      <c r="L32" s="1459"/>
      <c r="M32" s="1460"/>
      <c r="N32" s="765">
        <f>IF(Despesas!$KF$34&gt;=1,"",IF($Q$2="","",IF($Q$2&gt;1,INDEX(Despesas!$CJ$19:$CV$163,($Q$2-2)*14+11,5),INDEX(Despesas!$CJ$1:$CV$163,($Q$2-1)*15+15,5))))</f>
        <v>0</v>
      </c>
      <c r="O32" s="1519">
        <f>IF(Despesas!$KF$34&gt;=1,"",IF($Q$2="","",IF($Q$2&gt;1,INDEX(Despesas!$CJ$19:$CV$163,($Q$2-2)*14+11,6),INDEX(Despesas!$CJ$1:$CV$163,($Q$2-1)*15+15,6))))</f>
        <v>0</v>
      </c>
      <c r="P32" s="1520"/>
      <c r="Q32" s="1521"/>
      <c r="R32" s="1508">
        <f>IF(Despesas!$KF$34&gt;=1,"",IF($Q$2="","",IF($Q$2&gt;1,INDEX(Despesas!$CJ$19:$CV$163,($Q$2-2)*14+11,7),INDEX(Despesas!$CJ$1:$CV$163,($Q$2-1)*15+15,7))))</f>
        <v>0</v>
      </c>
      <c r="S32" s="1509"/>
      <c r="T32" s="1517">
        <f>IF(Despesas!$KF$34&gt;=1,"",IF($Q$2="","",IF($Q$2&gt;1,INDEX(Despesas!$CJ$19:$CV$163,($Q$2-2)*14+11,8),INDEX(Despesas!$CJ$1:$CV$163,($Q$2-1)*15+15,8))))</f>
        <v>0</v>
      </c>
      <c r="U32" s="1518"/>
      <c r="V32" s="1508">
        <f>IF(Despesas!$KF$34&gt;=1,"",IF($Q$2="","",IF($Q$2&gt;1,INDEX(Despesas!$CJ$19:$CV$163,($Q$2-2)*14+11,9),INDEX(Despesas!$CJ$1:$CV$163,($Q$2-1)*15+15,9))))</f>
        <v>0</v>
      </c>
      <c r="W32" s="1509"/>
      <c r="X32" s="476">
        <f>IF(Despesas!$KF$34&gt;=1,"",IF($Q$2="","",IF($Q$2&gt;1,INDEX(Despesas!$CJ$19:$CV$163,($Q$2-2)*14+11,10),INDEX(Despesas!$CJ$1:$CV$163,($Q$2-1)*15+15,10))))</f>
        <v>0</v>
      </c>
      <c r="Y32" s="476">
        <f>IF(Despesas!$KF$34&gt;=1,"",IF($Q$2="","",IF($Q$2&gt;1,INDEX(Despesas!$CJ$19:$CV$163,($Q$2-2)*14+11,11),INDEX(Despesas!$CJ$1:$CV$163,($Q$2-1)*15+15,11))))</f>
        <v>0</v>
      </c>
      <c r="Z32" s="961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IF(Despesas!$KF$34&gt;=1,"",IF($Q$2="","",IF($Q$2&gt;1,INDEX(Despesas!$CJ$19:$CV$163,($Q$2-2)*14+12,1),INDEX(Despesas!$CJ$1:$CV$163,($Q$2-1)*15+16,1))))</f>
        <v/>
      </c>
      <c r="C33" s="1507"/>
      <c r="D33" s="1452" t="str">
        <f>TRIM(IF(Despesas!$KF$34&gt;=1,"",IF($Q$2="","",IF($Q$2&gt;1,PROPER(INDEX(Despesas!$CJ$19:$CV$163,($Q$2-2)*14+12,2)),PROPER(INDEX(Despesas!$CJ$1:$CV$163,($Q$2-1)*15+16,2))))))</f>
        <v/>
      </c>
      <c r="E33" s="1453"/>
      <c r="F33" s="1453"/>
      <c r="G33" s="1454"/>
      <c r="H33" s="1474">
        <f>IF(Despesas!$KF$34&gt;=1,"",IF($Q$2="","",IF($Q$2&gt;1,INDEX(Despesas!$CJ$19:$CV$163,($Q$2-2)*14+12,3),INDEX(Despesas!$CJ$1:$CV$163,($Q$2-1)*15+16,3))))</f>
        <v>0</v>
      </c>
      <c r="I33" s="1475"/>
      <c r="J33" s="1458" t="str">
        <f>TRIM(IF(Despesas!$KF$34&gt;=1,"",IF($Q$2="","",IF($Q$2&gt;1,PROPER(INDEX(Despesas!$CJ$19:$CV$163,($Q$2-2)*14+12,4)),PROPER(INDEX(Despesas!$CJ$1:$CV$163,($Q$2-1)*15+16,4))))))</f>
        <v/>
      </c>
      <c r="K33" s="1459"/>
      <c r="L33" s="1459"/>
      <c r="M33" s="1460"/>
      <c r="N33" s="765">
        <f>IF(Despesas!$KF$34&gt;=1,"",IF($Q$2="","",IF($Q$2&gt;1,INDEX(Despesas!$CJ$19:$CV$163,($Q$2-2)*14+12,5),INDEX(Despesas!$CJ$1:$CV$163,($Q$2-1)*15+16,5))))</f>
        <v>0</v>
      </c>
      <c r="O33" s="1519">
        <f>IF(Despesas!$KF$34&gt;=1,"",IF($Q$2="","",IF($Q$2&gt;1,INDEX(Despesas!$CJ$19:$CV$163,($Q$2-2)*14+12,6),INDEX(Despesas!$CJ$1:$CV$163,($Q$2-1)*15+16,6))))</f>
        <v>0</v>
      </c>
      <c r="P33" s="1520"/>
      <c r="Q33" s="1521"/>
      <c r="R33" s="1508">
        <f>IF(Despesas!$KF$34&gt;=1,"",IF($Q$2="","",IF($Q$2&gt;1,INDEX(Despesas!$CJ$19:$CV$163,($Q$2-2)*14+12,7),INDEX(Despesas!$CJ$1:$CV$163,($Q$2-1)*15+16,7))))</f>
        <v>0</v>
      </c>
      <c r="S33" s="1509"/>
      <c r="T33" s="1517">
        <f>IF(Despesas!$KF$34&gt;=1,"",IF($Q$2="","",IF($Q$2&gt;1,INDEX(Despesas!$CJ$19:$CV$163,($Q$2-2)*14+12,8),INDEX(Despesas!$CJ$1:$CV$163,($Q$2-1)*15+16,8))))</f>
        <v>0</v>
      </c>
      <c r="U33" s="1518"/>
      <c r="V33" s="1508">
        <f>IF(Despesas!$KF$34&gt;=1,"",IF($Q$2="","",IF($Q$2&gt;1,INDEX(Despesas!$CJ$19:$CV$163,($Q$2-2)*14+12,9),INDEX(Despesas!$CJ$1:$CV$163,($Q$2-1)*15+16,9))))</f>
        <v>0</v>
      </c>
      <c r="W33" s="1509"/>
      <c r="X33" s="476">
        <f>IF(Despesas!$KF$34&gt;=1,"",IF($Q$2="","",IF($Q$2&gt;1,INDEX(Despesas!$CJ$19:$CV$163,($Q$2-2)*14+12,10),INDEX(Despesas!$CJ$1:$CV$163,($Q$2-1)*15+16,10))))</f>
        <v>0</v>
      </c>
      <c r="Y33" s="476">
        <f>IF(Despesas!$KF$34&gt;=1,"",IF($Q$2="","",IF($Q$2&gt;1,INDEX(Despesas!$CJ$19:$CV$163,($Q$2-2)*14+12,11),INDEX(Despesas!$CJ$1:$CV$163,($Q$2-1)*15+16,11))))</f>
        <v>0</v>
      </c>
      <c r="Z33" s="961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IF(Despesas!$KF$34&gt;=1,"",IF($Q$2="","",IF($Q$2&gt;1,INDEX(Despesas!$CJ$19:$CV$163,($Q$2-2)*14+13,1),INDEX(Despesas!$CJ$1:$CV$163,($Q$2-1)*15+17,1))))</f>
        <v/>
      </c>
      <c r="C34" s="1507"/>
      <c r="D34" s="1452" t="str">
        <f>TRIM(IF(Despesas!$KF$34&gt;=1,"",IF($Q$2="","",IF($Q$2&gt;1,PROPER(INDEX(Despesas!$CJ$19:$CV$163,($Q$2-2)*14+13,2)),PROPER(INDEX(Despesas!$CJ$1:$CV$163,($Q$2-1)*15+17,2))))))</f>
        <v/>
      </c>
      <c r="E34" s="1453"/>
      <c r="F34" s="1453"/>
      <c r="G34" s="1454"/>
      <c r="H34" s="1474">
        <f>IF(Despesas!$KF$34&gt;=1,"",IF($Q$2="","",IF($Q$2&gt;1,INDEX(Despesas!$CJ$19:$CV$163,($Q$2-2)*14+13,3),INDEX(Despesas!$CJ$1:$CV$163,($Q$2-1)*15+17,3))))</f>
        <v>0</v>
      </c>
      <c r="I34" s="1475"/>
      <c r="J34" s="1458" t="str">
        <f>TRIM(IF(Despesas!$KF$34&gt;=1,"",IF($Q$2="","",IF($Q$2&gt;1,PROPER(INDEX(Despesas!$CJ$19:$CV$163,($Q$2-2)*14+13,4)),PROPER(INDEX(Despesas!$CJ$1:$CV$163,($Q$2-1)*15+17,4))))))</f>
        <v/>
      </c>
      <c r="K34" s="1459"/>
      <c r="L34" s="1459"/>
      <c r="M34" s="1460"/>
      <c r="N34" s="765">
        <f>IF(Despesas!$KF$34&gt;=1,"",IF($Q$2="","",IF($Q$2&gt;1,INDEX(Despesas!$CJ$19:$CV$163,($Q$2-2)*14+13,5),INDEX(Despesas!$CJ$1:$CV$163,($Q$2-1)*15+17,5))))</f>
        <v>0</v>
      </c>
      <c r="O34" s="1519">
        <f>IF(Despesas!$KF$34&gt;=1,"",IF($Q$2="","",IF($Q$2&gt;1,INDEX(Despesas!$CJ$19:$CV$163,($Q$2-2)*14+13,6),INDEX(Despesas!$CJ$1:$CV$163,($Q$2-1)*15+17,6))))</f>
        <v>0</v>
      </c>
      <c r="P34" s="1520"/>
      <c r="Q34" s="1521"/>
      <c r="R34" s="1508">
        <f>IF(Despesas!$KF$34&gt;=1,"",IF($Q$2="","",IF($Q$2&gt;1,INDEX(Despesas!$CJ$19:$CV$163,($Q$2-2)*14+13,7),INDEX(Despesas!$CJ$1:$CV$163,($Q$2-1)*15+17,7))))</f>
        <v>0</v>
      </c>
      <c r="S34" s="1509"/>
      <c r="T34" s="1517">
        <f>IF(Despesas!$KF$34&gt;=1,"",IF($Q$2="","",IF($Q$2&gt;1,INDEX(Despesas!$CJ$19:$CV$163,($Q$2-2)*14+13,8),INDEX(Despesas!$CJ$1:$CV$163,($Q$2-1)*15+17,8))))</f>
        <v>0</v>
      </c>
      <c r="U34" s="1518"/>
      <c r="V34" s="1508">
        <f>IF(Despesas!$KF$34&gt;=1,"",IF($Q$2="","",IF($Q$2&gt;1,INDEX(Despesas!$CJ$19:$CV$163,($Q$2-2)*14+13,9),INDEX(Despesas!$CJ$1:$CV$163,($Q$2-1)*15+17,9))))</f>
        <v>0</v>
      </c>
      <c r="W34" s="1509"/>
      <c r="X34" s="476">
        <f>IF(Despesas!$KF$34&gt;=1,"",IF($Q$2="","",IF($Q$2&gt;1,INDEX(Despesas!$CJ$19:$CV$163,($Q$2-2)*14+13,10),INDEX(Despesas!$CJ$1:$CV$163,($Q$2-1)*15+17,10))))</f>
        <v>0</v>
      </c>
      <c r="Y34" s="476">
        <f>IF(Despesas!$KF$34&gt;=1,"",IF($Q$2="","",IF($Q$2&gt;1,INDEX(Despesas!$CJ$19:$CV$163,($Q$2-2)*14+13,11),INDEX(Despesas!$CJ$1:$CV$163,($Q$2-1)*15+17,11))))</f>
        <v>0</v>
      </c>
      <c r="Z34" s="961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IF(Despesas!$KF$34&gt;=1,"",IF($Q$2="","",IF($Q$2&gt;1,INDEX(Despesas!$CJ$19:$CV$163,($Q$2-2)*14+14,1),INDEX(Despesas!$CJ$1:$CV$163,($Q$2-1)*15+18,1))))</f>
        <v/>
      </c>
      <c r="C35" s="1591"/>
      <c r="D35" s="1455" t="str">
        <f>TRIM(IF(Despesas!$KF$34&gt;=1,"",IF($Q$2="","",IF($Q$2&gt;1,PROPER(INDEX(Despesas!$CJ$19:$CV$163,($Q$2-2)*14+14,2)),PROPER(INDEX(Despesas!$CJ$1:$CV$163,($Q$2-1)*15+18,2))))))</f>
        <v/>
      </c>
      <c r="E35" s="1456"/>
      <c r="F35" s="1456"/>
      <c r="G35" s="1457"/>
      <c r="H35" s="1474">
        <f>IF(Despesas!$KF$34&gt;=1,"",IF($Q$2="","",IF($Q$2&gt;1,INDEX(Despesas!$CJ$19:$CV$163,($Q$2-2)*14+14,3),INDEX(Despesas!$CJ$1:$CV$163,($Q$2-1)*15+18,3))))</f>
        <v>0</v>
      </c>
      <c r="I35" s="1475"/>
      <c r="J35" s="1587" t="str">
        <f>TRIM(IF(Despesas!$KF$34&gt;=1,"",IF($Q$2="","",IF($Q$2&gt;1,PROPER(INDEX(Despesas!$CJ$19:$CV$163,($Q$2-2)*14+14,4)),PROPER(INDEX(Despesas!$CJ$1:$CV$163,($Q$2-1)*15+18,4))))))</f>
        <v/>
      </c>
      <c r="K35" s="1588"/>
      <c r="L35" s="1588"/>
      <c r="M35" s="1589"/>
      <c r="N35" s="765">
        <f>IF(Despesas!$KF$34&gt;=1,"",IF($Q$2="","",IF($Q$2&gt;1,INDEX(Despesas!$CJ$19:$CV$163,($Q$2-2)*14+14,5),INDEX(Despesas!$CJ$1:$CV$163,($Q$2-1)*15+18,5))))</f>
        <v>0</v>
      </c>
      <c r="O35" s="1519">
        <f>IF(Despesas!$KF$34&gt;=1,"",IF($Q$2="","",IF($Q$2&gt;1,INDEX(Despesas!$CJ$19:$CV$163,($Q$2-2)*14+14,6),INDEX(Despesas!$CJ$1:$CV$163,($Q$2-1)*15+18,6))))</f>
        <v>0</v>
      </c>
      <c r="P35" s="1520"/>
      <c r="Q35" s="1521"/>
      <c r="R35" s="1571">
        <f>IF(Despesas!$KF$34&gt;=1,"",IF($Q$2="","",IF($Q$2&gt;1,INDEX(Despesas!$CJ$19:$CV$163,($Q$2-2)*14+14,7),INDEX(Despesas!$CJ$1:$CV$163,($Q$2-1)*15+18,7))))</f>
        <v>0</v>
      </c>
      <c r="S35" s="1572"/>
      <c r="T35" s="1517">
        <f>IF(Despesas!$KF$34&gt;=1,"",IF($Q$2="","",IF($Q$2&gt;1,INDEX(Despesas!$CJ$19:$CV$163,($Q$2-2)*14+14,8),INDEX(Despesas!$CJ$1:$CV$163,($Q$2-1)*15+18,8))))</f>
        <v>0</v>
      </c>
      <c r="U35" s="1518"/>
      <c r="V35" s="1571">
        <f>IF(Despesas!$KF$34&gt;=1,"",IF($Q$2="","",IF($Q$2&gt;1,INDEX(Despesas!$CJ$19:$CV$163,($Q$2-2)*14+14,9),INDEX(Despesas!$CJ$1:$CV$163,($Q$2-1)*15+18,9))))</f>
        <v>0</v>
      </c>
      <c r="W35" s="1572"/>
      <c r="X35" s="476">
        <f>IF(Despesas!$KF$34&gt;=1,"",IF($Q$2="","",IF($Q$2&gt;1,INDEX(Despesas!$CJ$19:$CV$163,($Q$2-2)*14+14,10),INDEX(Despesas!$CJ$1:$CV$163,($Q$2-1)*15+18,10))))</f>
        <v>0</v>
      </c>
      <c r="Y35" s="476">
        <f>IF(Despesas!$KF$34&gt;=1,"",IF($Q$2="","",IF($Q$2&gt;1,INDEX(Despesas!$CJ$19:$CV$163,($Q$2-2)*14+14,11),INDEX(Despesas!$CJ$1:$CV$163,($Q$2-1)*15+18,11))))</f>
        <v>0</v>
      </c>
      <c r="Z35" s="961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961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961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961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IF($Z$40&gt;0,CONCATENATE($Z$41,CHAR(10),$Z$38,CHAR(10),$Z$42),$Z$42)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 t="str">
        <f>Dados!$F$12</f>
        <v/>
      </c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412" t="str">
        <f>Dados!$F$16</f>
        <v/>
      </c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IF(Ata!$BG$64&gt;0,Ata!$BG$64,"")</f>
        <v>#VALUE!</v>
      </c>
      <c r="E41" s="406" t="e">
        <f>IF(Ata!$BH$64&gt;0,Ata!$BH$64,"")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961" t="e">
        <f>IF($Z$40&gt;0,"Campo 09 - Recebimento no período ( Básico: "&amp;DOLLAR($Z$39)&amp;" + Ressarcimento: "&amp;DOLLAR($Z$40)&amp;" )","")</f>
        <v>#VALUE!</v>
      </c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961" t="e">
        <f>IF($G$41="","","Devolução referente a "&amp;(Ata!B36))</f>
        <v>#VALUE!</v>
      </c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958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958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958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958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958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101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958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958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96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958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958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customSheetViews>
    <customSheetView guid="{98525D82-E238-4C7D-9E63-FA5760F475F3}" hiddenColumns="1" showRuler="0" topLeftCell="C1">
      <selection activeCell="F29" sqref="F29"/>
      <rowBreaks count="1" manualBreakCount="1">
        <brk id="42" max="16383" man="1"/>
      </rowBreaks>
      <colBreaks count="1" manualBreakCount="1">
        <brk id="19" max="1048575" man="1"/>
      </colBreaks>
      <pageMargins left="0.19685039370078741" right="0.19685039370078741" top="0.59055118110236227" bottom="0.39370078740157483" header="0.51181102362204722" footer="0.51181102362204722"/>
      <pageSetup paperSize="9" scale="95" orientation="landscape" verticalDpi="0" r:id="rId1"/>
      <headerFooter alignWithMargins="0"/>
    </customSheetView>
  </customSheetViews>
  <mergeCells count="202">
    <mergeCell ref="AB4:AB52"/>
    <mergeCell ref="M5:R5"/>
    <mergeCell ref="J50:Q50"/>
    <mergeCell ref="J49:Q49"/>
    <mergeCell ref="T49:X49"/>
    <mergeCell ref="B49:D49"/>
    <mergeCell ref="J46:Q46"/>
    <mergeCell ref="T46:X46"/>
    <mergeCell ref="J47:Q47"/>
    <mergeCell ref="E50:F50"/>
    <mergeCell ref="T47:X47"/>
    <mergeCell ref="B50:D50"/>
    <mergeCell ref="B48:D48"/>
    <mergeCell ref="V25:W25"/>
    <mergeCell ref="V26:W26"/>
    <mergeCell ref="O26:Q26"/>
    <mergeCell ref="V28:W28"/>
    <mergeCell ref="V29:W29"/>
    <mergeCell ref="V27:W27"/>
    <mergeCell ref="T25:U25"/>
    <mergeCell ref="O28:Q28"/>
    <mergeCell ref="T29:U29"/>
    <mergeCell ref="B30:C30"/>
    <mergeCell ref="H28:I28"/>
    <mergeCell ref="D28:G28"/>
    <mergeCell ref="H30:I30"/>
    <mergeCell ref="H29:I29"/>
    <mergeCell ref="B29:C29"/>
    <mergeCell ref="D29:G29"/>
    <mergeCell ref="B26:C26"/>
    <mergeCell ref="T30:U30"/>
    <mergeCell ref="J29:M29"/>
    <mergeCell ref="J30:M30"/>
    <mergeCell ref="O30:Q30"/>
    <mergeCell ref="T28:U28"/>
    <mergeCell ref="T26:U26"/>
    <mergeCell ref="R26:S26"/>
    <mergeCell ref="J26:M26"/>
    <mergeCell ref="J27:M27"/>
    <mergeCell ref="R28:S28"/>
    <mergeCell ref="R29:S29"/>
    <mergeCell ref="J28:M28"/>
    <mergeCell ref="B27:C27"/>
    <mergeCell ref="D27:G27"/>
    <mergeCell ref="H27:I27"/>
    <mergeCell ref="H26:I26"/>
    <mergeCell ref="T27:U27"/>
    <mergeCell ref="H22:I22"/>
    <mergeCell ref="H23:I23"/>
    <mergeCell ref="B25:C25"/>
    <mergeCell ref="R22:S22"/>
    <mergeCell ref="T24:U24"/>
    <mergeCell ref="R23:S23"/>
    <mergeCell ref="T23:U23"/>
    <mergeCell ref="R24:S24"/>
    <mergeCell ref="J24:M24"/>
    <mergeCell ref="H25:I25"/>
    <mergeCell ref="O25:Q25"/>
    <mergeCell ref="R25:S25"/>
    <mergeCell ref="O23:Q23"/>
    <mergeCell ref="J25:M25"/>
    <mergeCell ref="H24:I24"/>
    <mergeCell ref="B38:Y38"/>
    <mergeCell ref="R35:S35"/>
    <mergeCell ref="E49:F49"/>
    <mergeCell ref="R34:S34"/>
    <mergeCell ref="T50:X50"/>
    <mergeCell ref="H35:I35"/>
    <mergeCell ref="V35:W35"/>
    <mergeCell ref="V23:W23"/>
    <mergeCell ref="B45:Y45"/>
    <mergeCell ref="B44:Y44"/>
    <mergeCell ref="B37:Y37"/>
    <mergeCell ref="T35:U35"/>
    <mergeCell ref="B36:U36"/>
    <mergeCell ref="V36:W36"/>
    <mergeCell ref="B43:Y43"/>
    <mergeCell ref="J35:M35"/>
    <mergeCell ref="B35:C35"/>
    <mergeCell ref="D24:G24"/>
    <mergeCell ref="D25:G25"/>
    <mergeCell ref="O24:Q24"/>
    <mergeCell ref="B28:C28"/>
    <mergeCell ref="D26:G26"/>
    <mergeCell ref="O27:Q27"/>
    <mergeCell ref="D30:G30"/>
    <mergeCell ref="N10:Q10"/>
    <mergeCell ref="O14:R14"/>
    <mergeCell ref="B17:Y17"/>
    <mergeCell ref="B21:C21"/>
    <mergeCell ref="R20:S20"/>
    <mergeCell ref="R33:S33"/>
    <mergeCell ref="O34:Q34"/>
    <mergeCell ref="V34:W34"/>
    <mergeCell ref="H33:I33"/>
    <mergeCell ref="O33:Q33"/>
    <mergeCell ref="V33:W33"/>
    <mergeCell ref="T34:U34"/>
    <mergeCell ref="J33:M33"/>
    <mergeCell ref="T33:U33"/>
    <mergeCell ref="N11:Q11"/>
    <mergeCell ref="O21:Q21"/>
    <mergeCell ref="H19:I20"/>
    <mergeCell ref="O20:Q20"/>
    <mergeCell ref="V20:W20"/>
    <mergeCell ref="G16:H16"/>
    <mergeCell ref="D21:G21"/>
    <mergeCell ref="V21:W21"/>
    <mergeCell ref="T19:W19"/>
    <mergeCell ref="B12:Y12"/>
    <mergeCell ref="V30:W30"/>
    <mergeCell ref="R32:S32"/>
    <mergeCell ref="R31:S31"/>
    <mergeCell ref="R30:S30"/>
    <mergeCell ref="O29:Q29"/>
    <mergeCell ref="R27:S27"/>
    <mergeCell ref="L11:M11"/>
    <mergeCell ref="J18:Y18"/>
    <mergeCell ref="J19:M20"/>
    <mergeCell ref="J16:K16"/>
    <mergeCell ref="T15:V15"/>
    <mergeCell ref="M15:N15"/>
    <mergeCell ref="N19:S19"/>
    <mergeCell ref="J23:M23"/>
    <mergeCell ref="O31:Q31"/>
    <mergeCell ref="V31:W31"/>
    <mergeCell ref="V32:W32"/>
    <mergeCell ref="O32:Q32"/>
    <mergeCell ref="T20:U20"/>
    <mergeCell ref="T21:U21"/>
    <mergeCell ref="V2:X2"/>
    <mergeCell ref="E4:J4"/>
    <mergeCell ref="E8:J8"/>
    <mergeCell ref="E5:K5"/>
    <mergeCell ref="Q7:Y7"/>
    <mergeCell ref="V24:W24"/>
    <mergeCell ref="R21:S21"/>
    <mergeCell ref="Q6:Y6"/>
    <mergeCell ref="E7:K7"/>
    <mergeCell ref="E6:K6"/>
    <mergeCell ref="F14:H14"/>
    <mergeCell ref="I14:K14"/>
    <mergeCell ref="S14:V14"/>
    <mergeCell ref="D23:G23"/>
    <mergeCell ref="Q8:Y8"/>
    <mergeCell ref="W14:Y14"/>
    <mergeCell ref="B9:I9"/>
    <mergeCell ref="J9:Y9"/>
    <mergeCell ref="B23:C23"/>
    <mergeCell ref="B11:I11"/>
    <mergeCell ref="B10:D10"/>
    <mergeCell ref="E10:I10"/>
    <mergeCell ref="J21:M21"/>
    <mergeCell ref="B22:C22"/>
    <mergeCell ref="D39:G39"/>
    <mergeCell ref="H39:Y41"/>
    <mergeCell ref="J15:K15"/>
    <mergeCell ref="B24:C24"/>
    <mergeCell ref="B18:I18"/>
    <mergeCell ref="V22:W22"/>
    <mergeCell ref="W15:Y16"/>
    <mergeCell ref="T16:V16"/>
    <mergeCell ref="P15:R15"/>
    <mergeCell ref="P16:R16"/>
    <mergeCell ref="H31:I31"/>
    <mergeCell ref="D32:G32"/>
    <mergeCell ref="B32:C32"/>
    <mergeCell ref="B31:C31"/>
    <mergeCell ref="D31:G31"/>
    <mergeCell ref="T31:U31"/>
    <mergeCell ref="T32:U32"/>
    <mergeCell ref="O35:Q35"/>
    <mergeCell ref="B33:C33"/>
    <mergeCell ref="J32:M32"/>
    <mergeCell ref="J22:M22"/>
    <mergeCell ref="T22:U22"/>
    <mergeCell ref="O22:Q22"/>
    <mergeCell ref="B34:C34"/>
    <mergeCell ref="D34:G34"/>
    <mergeCell ref="D33:G33"/>
    <mergeCell ref="D35:G35"/>
    <mergeCell ref="J31:M31"/>
    <mergeCell ref="H21:I21"/>
    <mergeCell ref="C16:E16"/>
    <mergeCell ref="D19:G20"/>
    <mergeCell ref="L10:M10"/>
    <mergeCell ref="J10:K10"/>
    <mergeCell ref="D22:G22"/>
    <mergeCell ref="C15:E15"/>
    <mergeCell ref="G15:H15"/>
    <mergeCell ref="B14:E14"/>
    <mergeCell ref="H32:I32"/>
    <mergeCell ref="H34:I34"/>
    <mergeCell ref="J34:M34"/>
    <mergeCell ref="M16:N16"/>
    <mergeCell ref="B13:Y13"/>
    <mergeCell ref="L14:N14"/>
    <mergeCell ref="J11:K11"/>
    <mergeCell ref="R11:U11"/>
    <mergeCell ref="B19:C20"/>
    <mergeCell ref="R10:U10"/>
    <mergeCell ref="V10:X10"/>
  </mergeCells>
  <phoneticPr fontId="16" type="noConversion"/>
  <conditionalFormatting sqref="B11 V11:Y11 R11 N11 L11 J11">
    <cfRule type="cellIs" dxfId="234" priority="27" stopIfTrue="1" operator="lessThanOrEqual">
      <formula>0</formula>
    </cfRule>
  </conditionalFormatting>
  <conditionalFormatting sqref="J18:Y18">
    <cfRule type="expression" dxfId="233" priority="25" stopIfTrue="1">
      <formula>$P$16&gt;$M$16</formula>
    </cfRule>
    <cfRule type="expression" dxfId="232" priority="29" stopIfTrue="1">
      <formula>$P$15&gt;$M$15</formula>
    </cfRule>
  </conditionalFormatting>
  <conditionalFormatting sqref="J9:Y9">
    <cfRule type="expression" dxfId="231" priority="30" stopIfTrue="1">
      <formula>$T$15&lt;0</formula>
    </cfRule>
    <cfRule type="expression" dxfId="230" priority="31" stopIfTrue="1">
      <formula>$T$16&lt;0</formula>
    </cfRule>
  </conditionalFormatting>
  <conditionalFormatting sqref="P15:R15">
    <cfRule type="expression" dxfId="229" priority="32" stopIfTrue="1">
      <formula>$P$15&gt;$M$15</formula>
    </cfRule>
  </conditionalFormatting>
  <conditionalFormatting sqref="P16:R16">
    <cfRule type="expression" dxfId="228" priority="33" stopIfTrue="1">
      <formula>$P$16&gt;$M$16</formula>
    </cfRule>
  </conditionalFormatting>
  <conditionalFormatting sqref="J46:Q46 J49:Q49">
    <cfRule type="cellIs" dxfId="227" priority="34" stopIfTrue="1" operator="equal">
      <formula>0</formula>
    </cfRule>
  </conditionalFormatting>
  <conditionalFormatting sqref="B21:Y35">
    <cfRule type="cellIs" dxfId="226" priority="1" operator="equal">
      <formula>0</formula>
    </cfRule>
    <cfRule type="expression" dxfId="22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.18" right="0" top="0.19685039370078741" bottom="0.19685039370078741" header="0.19685039370078741" footer="0.19685039370078741"/>
  <pageSetup paperSize="9" scale="80" orientation="landscape" r:id="rId2"/>
  <headerFooter alignWithMargins="0"/>
  <rowBreaks count="1" manualBreakCount="1">
    <brk id="52" max="16383" man="1"/>
  </row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534"/>
      <c r="U4" s="534"/>
      <c r="V4" s="534"/>
      <c r="W4" s="534"/>
      <c r="X4" s="534"/>
      <c r="Y4" s="83"/>
      <c r="Z4" s="310">
        <f>Despesas!AM22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534"/>
      <c r="U5" s="534"/>
      <c r="V5" s="534"/>
      <c r="W5" s="534"/>
      <c r="X5" s="534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601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537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Dados!$F$20</f>
        <v/>
      </c>
      <c r="D15" s="1607"/>
      <c r="E15" s="1607"/>
      <c r="F15" s="49" t="s">
        <v>294</v>
      </c>
      <c r="G15" s="1470" t="str">
        <f>Dados!$F$18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Despesas!$AL$34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Dados!$I$20</f>
        <v/>
      </c>
      <c r="D16" s="1606"/>
      <c r="E16" s="1606"/>
      <c r="F16" s="48" t="s">
        <v>293</v>
      </c>
      <c r="G16" s="1463" t="str">
        <f>Dados!$I$18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Despesas!$AM$34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536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IF(Despesas!$KF$34&gt;=1,"",IF($Q$2="","",IF($Q$2&gt;1,"",INDEX(Despesas!$BW$1:$CI$163,($Q$2-1)*15+4,1))))</f>
        <v/>
      </c>
      <c r="C21" s="1554"/>
      <c r="D21" s="1559" t="str">
        <f>TRIM(IF(Despesas!$KF$34&gt;=1,"",IF($Q$2="","",IF($Q$2&gt;1,"De transporte ..........",PROPER(INDEX(Despesas!$BW$1:$CI$163,($Q$2-1)*15+4,2))))))</f>
        <v/>
      </c>
      <c r="E21" s="1560"/>
      <c r="F21" s="1560"/>
      <c r="G21" s="1561"/>
      <c r="H21" s="1461">
        <f>IF(Despesas!$KF$34&gt;=1,"",IF($Q$2="","",IF($Q$2&gt;1,"",INDEX(Despesas!$BW$1:$CI$163,($Q$2-1)*15+4,3))))</f>
        <v>0</v>
      </c>
      <c r="I21" s="1462"/>
      <c r="J21" s="1537" t="str">
        <f>TRIM(IF(Despesas!$KF$34&gt;=1,"",IF($Q$2="","",IF($Q$2&gt;1,"",PROPER(INDEX(Despesas!$BW$1:$CI$163,($Q$2-1)*15+4,4))))))</f>
        <v/>
      </c>
      <c r="K21" s="1538"/>
      <c r="L21" s="1538"/>
      <c r="M21" s="1539"/>
      <c r="N21" s="765">
        <f>IF(Despesas!$KF$34&gt;=1,"",IF($Q$2="","",IF($Q$2&gt;1,"",INDEX(Despesas!$BW$1:$CI$163,($Q$2-1)*15+4,5))))</f>
        <v>0</v>
      </c>
      <c r="O21" s="1555">
        <f>IF(Despesas!$KF$34&gt;=1,"",IF($Q$2="","",IF($Q$2&gt;1,"",INDEX(Despesas!$BW$1:$CI$163,($Q$2-1)*15+4,6))))</f>
        <v>0</v>
      </c>
      <c r="P21" s="1556"/>
      <c r="Q21" s="1557"/>
      <c r="R21" s="1527">
        <f>IF(Despesas!$KF$34&gt;=1,"",IF($Q$2="","",IF($Q$2&gt;1,"",INDEX(Despesas!$BW$1:$CI$163,($Q$2-1)*15+4,7))))</f>
        <v>0</v>
      </c>
      <c r="S21" s="1528"/>
      <c r="T21" s="1548">
        <f>IF(Despesas!$KF$34&gt;=1,"",IF($Q$2="","",IF($Q$2&gt;1,"",INDEX(Despesas!$BW$1:$CI$163,($Q$2-1)*15+4,8))))</f>
        <v>0</v>
      </c>
      <c r="U21" s="1549"/>
      <c r="V21" s="1527">
        <f>IF(Despesas!$KF$34&gt;=1,"",IF($Q$2="","",IF($Q$2&gt;1,"",INDEX(Despesas!$BW$1:$CI$163,($Q$2-1)*15+4,9))))</f>
        <v>0</v>
      </c>
      <c r="W21" s="1528"/>
      <c r="X21" s="476">
        <f>IF(Despesas!$KF$34&gt;=1,"",IF($Q$2="","",IF($Q$2&gt;1,INDEX(Despesas!$CZ$4:$DA$15,($Q$2)-1,1),INDEX(Despesas!$BW$1:$CI$163,($Q$2-1)*15+4,10))))</f>
        <v>0</v>
      </c>
      <c r="Y21" s="476">
        <f>IF(Despesas!$KF$34&gt;=1,"",IF($Q$2="","",IF($Q$2&gt;1,INDEX(Despesas!$CZ$4:$DA$15,($Q$2)-1,2),INDEX(Despesas!$BW$1:$CI$163,($Q$2-1)*15+4,11))))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IF(Despesas!$KF$34&gt;=1,"",IF($Q$2="","",IF($Q$2&gt;1,INDEX(Despesas!$BW$19:$CI$163,($Q$2-2)*14+1,1),INDEX(Despesas!$BW$1:$CI$163,($Q$2-1)*15+5,1))))</f>
        <v/>
      </c>
      <c r="C22" s="1507"/>
      <c r="D22" s="1452" t="str">
        <f>TRIM(IF(Despesas!$KF$34&gt;=1,"",IF($Q$2="","",IF($Q$2&gt;1,PROPER(INDEX(Despesas!$BW$19:$CI$163,($Q$2-2)*14+1,2)),PROPER(INDEX(Despesas!$BW$1:$CI$163,($Q$2-1)*15+5,2))))))</f>
        <v/>
      </c>
      <c r="E22" s="1453"/>
      <c r="F22" s="1453"/>
      <c r="G22" s="1454"/>
      <c r="H22" s="1474">
        <f>IF(Despesas!$KF$34&gt;=1,"",IF($Q$2="","",IF($Q$2&gt;1,INDEX(Despesas!$BW$19:$CI$163,($Q$2-2)*14+1,3),INDEX(Despesas!$BW$1:$CI$163,($Q$2-1)*15+5,3))))</f>
        <v>0</v>
      </c>
      <c r="I22" s="1475"/>
      <c r="J22" s="1458" t="str">
        <f>TRIM(IF(Despesas!$KF$34&gt;=1,"",IF($Q$2="","",IF($Q$2&gt;1,PROPER(INDEX(Despesas!$BW$19:$CI$163,($Q$2-2)*14+1,4)),PROPER(INDEX(Despesas!$BW$1:$CI$163,($Q$2-1)*15+5,4))))))</f>
        <v/>
      </c>
      <c r="K22" s="1459"/>
      <c r="L22" s="1459"/>
      <c r="M22" s="1460"/>
      <c r="N22" s="452">
        <f>IF(Despesas!$KF$34&gt;=1,"",IF($Q$2="","",IF($Q$2&gt;1,INDEX(Despesas!$BW$19:$CI$163,($Q$2-2)*14+1,5),INDEX(Despesas!$BW$1:$CI$163,($Q$2-1)*15+5,5))))</f>
        <v>0</v>
      </c>
      <c r="O22" s="1519">
        <f>IF(Despesas!$KF$34&gt;=1,"",IF($Q$2="","",IF($Q$2&gt;1,INDEX(Despesas!$BW$19:$CI$163,($Q$2-2)*14+1,6),INDEX(Despesas!$BW$1:$CI$163,($Q$2-1)*15+5,6))))</f>
        <v>0</v>
      </c>
      <c r="P22" s="1520"/>
      <c r="Q22" s="1521"/>
      <c r="R22" s="1508">
        <f>IF(Despesas!$KF$34&gt;=1,"",IF($Q$2="","",IF($Q$2&gt;1,INDEX(Despesas!$BW$19:$CI$163,($Q$2-2)*14+1,7),INDEX(Despesas!$BW$1:$CI$163,($Q$2-1)*15+5,7))))</f>
        <v>0</v>
      </c>
      <c r="S22" s="1509"/>
      <c r="T22" s="1517">
        <f>IF(Despesas!$KF$34&gt;=1,"",IF($Q$2="","",IF($Q$2&gt;1,INDEX(Despesas!$BW$19:$CI$163,($Q$2-2)*14+1,8),INDEX(Despesas!$BW$1:$CI$163,($Q$2-1)*15+5,8))))</f>
        <v>0</v>
      </c>
      <c r="U22" s="1518"/>
      <c r="V22" s="1508">
        <f>IF(Despesas!$KF$34&gt;=1,"",IF($Q$2="","",IF($Q$2&gt;1,INDEX(Despesas!$BW$19:$CI$163,($Q$2-2)*14+1,9),INDEX(Despesas!$BW$1:$CI$163,($Q$2-1)*15+5,9))))</f>
        <v>0</v>
      </c>
      <c r="W22" s="1509"/>
      <c r="X22" s="476">
        <f>IF(Despesas!$KF$34&gt;=1,"",IF($Q$2="","",IF($Q$2&gt;1,INDEX(Despesas!$BW$19:$CI$163,($Q$2-2)*14+1,10),INDEX(Despesas!$BW$1:$CI$163,($Q$2-1)*15+5,10))))</f>
        <v>0</v>
      </c>
      <c r="Y22" s="476">
        <f>IF(Despesas!$KF$34&gt;=1,"",IF($Q$2="","",IF($Q$2&gt;1,INDEX(Despesas!$BW$19:$CI$163,($Q$2-2)*14+1,11),INDEX(Despesas!$BW$1:$CI$163,($Q$2-1)*15+5,11))))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IF(Despesas!$KF$34&gt;=1,"",IF($Q$2="","",IF($Q$2&gt;1,INDEX(Despesas!$BW$19:$CI$163,($Q$2-2)*14+2,1),INDEX(Despesas!$BW$1:$CI$163,($Q$2-1)*15+6,1))))</f>
        <v/>
      </c>
      <c r="C23" s="1507"/>
      <c r="D23" s="1452" t="str">
        <f>TRIM(IF(Despesas!$KF$34&gt;=1,"",IF($Q$2="","",IF($Q$2&gt;1,PROPER(INDEX(Despesas!$BW$19:$CI$163,($Q$2-2)*14+2,2)),PROPER(INDEX(Despesas!$BW$1:$CI$163,($Q$2-1)*15+6,2))))))</f>
        <v/>
      </c>
      <c r="E23" s="1453"/>
      <c r="F23" s="1453"/>
      <c r="G23" s="1454"/>
      <c r="H23" s="1474">
        <f>IF(Despesas!$KF$34&gt;=1,"",IF($Q$2="","",IF($Q$2&gt;1,INDEX(Despesas!$BW$19:$CI$163,($Q$2-2)*14+2,3),INDEX(Despesas!$BW$1:$CI$163,($Q$2-1)*15+6,3))))</f>
        <v>0</v>
      </c>
      <c r="I23" s="1475"/>
      <c r="J23" s="1458" t="str">
        <f>TRIM(IF(Despesas!$KF$34&gt;=1,"",IF($Q$2="","",IF($Q$2&gt;1,PROPER(INDEX(Despesas!$BW$19:$CI$163,($Q$2-2)*14+2,4)),PROPER(INDEX(Despesas!$BW$1:$CI$163,($Q$2-1)*15+6,4))))))</f>
        <v/>
      </c>
      <c r="K23" s="1459"/>
      <c r="L23" s="1459"/>
      <c r="M23" s="1460"/>
      <c r="N23" s="765">
        <f>IF(Despesas!$KF$34&gt;=1,"",IF($Q$2="","",IF($Q$2&gt;1,INDEX(Despesas!$BW$19:$CI$163,($Q$2-2)*14+2,5),INDEX(Despesas!$BW$1:$CI$163,($Q$2-1)*15+6,5))))</f>
        <v>0</v>
      </c>
      <c r="O23" s="1519">
        <f>IF(Despesas!$KF$34&gt;=1,"",IF($Q$2="","",IF($Q$2&gt;1,INDEX(Despesas!$BW$19:$CI$163,($Q$2-2)*14+2,6),INDEX(Despesas!$BW$1:$CI$163,($Q$2-1)*15+6,6))))</f>
        <v>0</v>
      </c>
      <c r="P23" s="1520"/>
      <c r="Q23" s="1521"/>
      <c r="R23" s="1508">
        <f>IF(Despesas!$KF$34&gt;=1,"",IF($Q$2="","",IF($Q$2&gt;1,INDEX(Despesas!$BW$19:$CI$163,($Q$2-2)*14+2,7),INDEX(Despesas!$BW$1:$CI$163,($Q$2-1)*15+6,7))))</f>
        <v>0</v>
      </c>
      <c r="S23" s="1509"/>
      <c r="T23" s="1517">
        <f>IF(Despesas!$KF$34&gt;=1,"",IF($Q$2="","",IF($Q$2&gt;1,INDEX(Despesas!$BW$19:$CI$163,($Q$2-2)*14+2,8),INDEX(Despesas!$BW$1:$CI$163,($Q$2-1)*15+6,8))))</f>
        <v>0</v>
      </c>
      <c r="U23" s="1518"/>
      <c r="V23" s="1508">
        <f>IF(Despesas!$KF$34&gt;=1,"",IF($Q$2="","",IF($Q$2&gt;1,INDEX(Despesas!$BW$19:$CI$163,($Q$2-2)*14+2,9),INDEX(Despesas!$BW$1:$CI$163,($Q$2-1)*15+6,9))))</f>
        <v>0</v>
      </c>
      <c r="W23" s="1509"/>
      <c r="X23" s="476">
        <f>IF(Despesas!$KF$34&gt;=1,"",IF($Q$2="","",IF($Q$2&gt;1,INDEX(Despesas!$BW$19:$CI$163,($Q$2-2)*14+2,10),INDEX(Despesas!$BW$1:$CI$163,($Q$2-1)*15+6,10))))</f>
        <v>0</v>
      </c>
      <c r="Y23" s="476">
        <f>IF(Despesas!$KF$34&gt;=1,"",IF($Q$2="","",IF($Q$2&gt;1,INDEX(Despesas!$BW$19:$CI$163,($Q$2-2)*14+2,11),INDEX(Despesas!$BW$1:$CI$163,($Q$2-1)*15+6,11))))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IF(Despesas!$KF$34&gt;=1,"",IF($Q$2="","",IF($Q$2&gt;1,INDEX(Despesas!$BW$19:$CI$163,($Q$2-2)*14+3,1),INDEX(Despesas!$BW$1:$CI$163,($Q$2-1)*15+7,1))))</f>
        <v/>
      </c>
      <c r="C24" s="1507"/>
      <c r="D24" s="1452" t="str">
        <f>TRIM(IF(Despesas!$KF$34&gt;=1,"",IF($Q$2="","",IF($Q$2&gt;1,PROPER(INDEX(Despesas!$BW$19:$CI$163,($Q$2-2)*14+3,2)),PROPER(INDEX(Despesas!$BW$1:$CI$163,($Q$2-1)*15+7,2))))))</f>
        <v/>
      </c>
      <c r="E24" s="1453"/>
      <c r="F24" s="1453"/>
      <c r="G24" s="1454"/>
      <c r="H24" s="1474">
        <f>IF(Despesas!$KF$34&gt;=1,"",IF($Q$2="","",IF($Q$2&gt;1,INDEX(Despesas!$BW$19:$CI$163,($Q$2-2)*14+3,3),INDEX(Despesas!$BW$1:$CI$163,($Q$2-1)*15+7,3))))</f>
        <v>0</v>
      </c>
      <c r="I24" s="1475"/>
      <c r="J24" s="1458" t="str">
        <f>TRIM(IF(Despesas!$KF$34&gt;=1,"",IF($Q$2="","",IF($Q$2&gt;1,PROPER(INDEX(Despesas!$BW$19:$CI$163,($Q$2-2)*14+3,4)),PROPER(INDEX(Despesas!$BW$1:$CI$163,($Q$2-1)*15+7,4))))))</f>
        <v/>
      </c>
      <c r="K24" s="1459"/>
      <c r="L24" s="1459"/>
      <c r="M24" s="1460"/>
      <c r="N24" s="765">
        <f>IF(Despesas!$KF$34&gt;=1,"",IF($Q$2="","",IF($Q$2&gt;1,INDEX(Despesas!$BW$19:$CI$163,($Q$2-2)*14+3,5),INDEX(Despesas!$BW$1:$CI$163,($Q$2-1)*15+7,5))))</f>
        <v>0</v>
      </c>
      <c r="O24" s="1519">
        <f>IF(Despesas!$KF$34&gt;=1,"",IF($Q$2="","",IF($Q$2&gt;1,INDEX(Despesas!$BW$19:$CI$163,($Q$2-2)*14+3,6),INDEX(Despesas!$BW$1:$CI$163,($Q$2-1)*15+7,6))))</f>
        <v>0</v>
      </c>
      <c r="P24" s="1520"/>
      <c r="Q24" s="1521"/>
      <c r="R24" s="1508">
        <f>IF(Despesas!$KF$34&gt;=1,"",IF($Q$2="","",IF($Q$2&gt;1,INDEX(Despesas!$BW$19:$CI$163,($Q$2-2)*14+3,7),INDEX(Despesas!$BW$1:$CI$163,($Q$2-1)*15+7,7))))</f>
        <v>0</v>
      </c>
      <c r="S24" s="1509"/>
      <c r="T24" s="1517">
        <f>IF(Despesas!$KF$34&gt;=1,"",IF($Q$2="","",IF($Q$2&gt;1,INDEX(Despesas!$BW$19:$CI$163,($Q$2-2)*14+3,8),INDEX(Despesas!$BW$1:$CI$163,($Q$2-1)*15+7,8))))</f>
        <v>0</v>
      </c>
      <c r="U24" s="1518"/>
      <c r="V24" s="1508">
        <f>IF(Despesas!$KF$34&gt;=1,"",IF($Q$2="","",IF($Q$2&gt;1,INDEX(Despesas!$BW$19:$CI$163,($Q$2-2)*14+3,9),INDEX(Despesas!$BW$1:$CI$163,($Q$2-1)*15+7,9))))</f>
        <v>0</v>
      </c>
      <c r="W24" s="1509"/>
      <c r="X24" s="476">
        <f>IF(Despesas!$KF$34&gt;=1,"",IF($Q$2="","",IF($Q$2&gt;1,INDEX(Despesas!$BW$19:$CI$163,($Q$2-2)*14+3,10),INDEX(Despesas!$BW$1:$CI$163,($Q$2-1)*15+7,10))))</f>
        <v>0</v>
      </c>
      <c r="Y24" s="476">
        <f>IF(Despesas!$KF$34&gt;=1,"",IF($Q$2="","",IF($Q$2&gt;1,INDEX(Despesas!$BW$19:$CI$163,($Q$2-2)*14+3,11),INDEX(Despesas!$BW$1:$CI$163,($Q$2-1)*15+7,11))))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IF(Despesas!$KF$34&gt;=1,"",IF($Q$2="","",IF($Q$2&gt;1,INDEX(Despesas!$BW$19:$CI$163,($Q$2-2)*14+4,1),INDEX(Despesas!$BW$1:$CI$163,($Q$2-1)*15+8,1))))</f>
        <v/>
      </c>
      <c r="C25" s="1507"/>
      <c r="D25" s="1452" t="str">
        <f>TRIM(IF(Despesas!$KF$34&gt;=1,"",IF($Q$2="","",IF($Q$2&gt;1,PROPER(INDEX(Despesas!$BW$19:$CI$163,($Q$2-2)*14+4,2)),PROPER(INDEX(Despesas!$BW$1:$CI$163,($Q$2-1)*15+8,2))))))</f>
        <v/>
      </c>
      <c r="E25" s="1453"/>
      <c r="F25" s="1453"/>
      <c r="G25" s="1454"/>
      <c r="H25" s="1474">
        <f>IF(Despesas!$KF$34&gt;=1,"",IF($Q$2="","",IF($Q$2&gt;1,INDEX(Despesas!$BW$19:$CI$163,($Q$2-2)*14+4,3),INDEX(Despesas!$BW$1:$CI$163,($Q$2-1)*15+8,3))))</f>
        <v>0</v>
      </c>
      <c r="I25" s="1475"/>
      <c r="J25" s="1458" t="str">
        <f>TRIM(IF(Despesas!$KF$34&gt;=1,"",IF($Q$2="","",IF($Q$2&gt;1,PROPER(INDEX(Despesas!$BW$19:$CI$163,($Q$2-2)*14+4,4)),PROPER(INDEX(Despesas!$BW$1:$CI$163,($Q$2-1)*15+8,4))))))</f>
        <v/>
      </c>
      <c r="K25" s="1459"/>
      <c r="L25" s="1459"/>
      <c r="M25" s="1460"/>
      <c r="N25" s="765">
        <f>IF(Despesas!$KF$34&gt;=1,"",IF($Q$2="","",IF($Q$2&gt;1,INDEX(Despesas!$BW$19:$CI$163,($Q$2-2)*14+4,5),INDEX(Despesas!$BW$1:$CI$163,($Q$2-1)*15+8,5))))</f>
        <v>0</v>
      </c>
      <c r="O25" s="1519">
        <f>IF(Despesas!$KF$34&gt;=1,"",IF($Q$2="","",IF($Q$2&gt;1,INDEX(Despesas!$BW$19:$CI$163,($Q$2-2)*14+4,6),INDEX(Despesas!$BW$1:$CI$163,($Q$2-1)*15+8,6))))</f>
        <v>0</v>
      </c>
      <c r="P25" s="1520"/>
      <c r="Q25" s="1521"/>
      <c r="R25" s="1508">
        <f>IF(Despesas!$KF$34&gt;=1,"",IF($Q$2="","",IF($Q$2&gt;1,INDEX(Despesas!$BW$19:$CI$163,($Q$2-2)*14+4,7),INDEX(Despesas!$BW$1:$CI$163,($Q$2-1)*15+8,7))))</f>
        <v>0</v>
      </c>
      <c r="S25" s="1509"/>
      <c r="T25" s="1517">
        <f>IF(Despesas!$KF$34&gt;=1,"",IF($Q$2="","",IF($Q$2&gt;1,INDEX(Despesas!$BW$19:$CI$163,($Q$2-2)*14+4,8),INDEX(Despesas!$BW$1:$CI$163,($Q$2-1)*15+8,8))))</f>
        <v>0</v>
      </c>
      <c r="U25" s="1518"/>
      <c r="V25" s="1508">
        <f>IF(Despesas!$KF$34&gt;=1,"",IF($Q$2="","",IF($Q$2&gt;1,INDEX(Despesas!$BW$19:$CI$163,($Q$2-2)*14+4,9),INDEX(Despesas!$BW$1:$CI$163,($Q$2-1)*15+8,9))))</f>
        <v>0</v>
      </c>
      <c r="W25" s="1509"/>
      <c r="X25" s="476">
        <f>IF(Despesas!$KF$34&gt;=1,"",IF($Q$2="","",IF($Q$2&gt;1,INDEX(Despesas!$BW$19:$CI$163,($Q$2-2)*14+4,10),INDEX(Despesas!$BW$1:$CI$163,($Q$2-1)*15+8,10))))</f>
        <v>0</v>
      </c>
      <c r="Y25" s="476">
        <f>IF(Despesas!$KF$34&gt;=1,"",IF($Q$2="","",IF($Q$2&gt;1,INDEX(Despesas!$BW$19:$CI$163,($Q$2-2)*14+4,11),INDEX(Despesas!$BW$1:$CI$163,($Q$2-1)*15+8,11))))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IF(Despesas!$KF$34&gt;=1,"",IF($Q$2="","",IF($Q$2&gt;1,INDEX(Despesas!$BW$19:$CI$163,($Q$2-2)*14+5,1),INDEX(Despesas!$BW$1:$CI$163,($Q$2-1)*15+9,1))))</f>
        <v/>
      </c>
      <c r="C26" s="1507"/>
      <c r="D26" s="1452" t="str">
        <f>TRIM(IF(Despesas!$KF$34&gt;=1,"",IF($Q$2="","",IF($Q$2&gt;1,PROPER(INDEX(Despesas!$BW$19:$CI$163,($Q$2-2)*14+5,2)),PROPER(INDEX(Despesas!$BW$1:$CI$163,($Q$2-1)*15+9,2))))))</f>
        <v/>
      </c>
      <c r="E26" s="1453"/>
      <c r="F26" s="1453"/>
      <c r="G26" s="1454"/>
      <c r="H26" s="1474">
        <f>IF(Despesas!$KF$34&gt;=1,"",IF($Q$2="","",IF($Q$2&gt;1,INDEX(Despesas!$BW$19:$CI$163,($Q$2-2)*14+5,3),INDEX(Despesas!$BW$1:$CI$163,($Q$2-1)*15+9,3))))</f>
        <v>0</v>
      </c>
      <c r="I26" s="1475"/>
      <c r="J26" s="1458" t="str">
        <f>TRIM(IF(Despesas!$KF$34&gt;=1,"",IF($Q$2="","",IF($Q$2&gt;1,PROPER(INDEX(Despesas!$BW$19:$CI$163,($Q$2-2)*14+5,4)),PROPER(INDEX(Despesas!$BW$1:$CI$163,($Q$2-1)*15+9,4))))))</f>
        <v/>
      </c>
      <c r="K26" s="1459"/>
      <c r="L26" s="1459"/>
      <c r="M26" s="1460"/>
      <c r="N26" s="765">
        <f>IF(Despesas!$KF$34&gt;=1,"",IF($Q$2="","",IF($Q$2&gt;1,INDEX(Despesas!$BW$19:$CI$163,($Q$2-2)*14+5,5),INDEX(Despesas!$BW$1:$CI$163,($Q$2-1)*15+9,5))))</f>
        <v>0</v>
      </c>
      <c r="O26" s="1519">
        <f>IF(Despesas!$KF$34&gt;=1,"",IF($Q$2="","",IF($Q$2&gt;1,INDEX(Despesas!$BW$19:$CI$163,($Q$2-2)*14+5,6),INDEX(Despesas!$BW$1:$CI$163,($Q$2-1)*15+9,6))))</f>
        <v>0</v>
      </c>
      <c r="P26" s="1520"/>
      <c r="Q26" s="1521"/>
      <c r="R26" s="1508">
        <f>IF(Despesas!$KF$34&gt;=1,"",IF($Q$2="","",IF($Q$2&gt;1,INDEX(Despesas!$BW$19:$CI$163,($Q$2-2)*14+5,7),INDEX(Despesas!$BW$1:$CI$163,($Q$2-1)*15+9,7))))</f>
        <v>0</v>
      </c>
      <c r="S26" s="1509"/>
      <c r="T26" s="1517">
        <f>IF(Despesas!$KF$34&gt;=1,"",IF($Q$2="","",IF($Q$2&gt;1,INDEX(Despesas!$BW$19:$CI$163,($Q$2-2)*14+5,8),INDEX(Despesas!$BW$1:$CI$163,($Q$2-1)*15+9,8))))</f>
        <v>0</v>
      </c>
      <c r="U26" s="1518"/>
      <c r="V26" s="1508">
        <f>IF(Despesas!$KF$34&gt;=1,"",IF($Q$2="","",IF($Q$2&gt;1,INDEX(Despesas!$BW$19:$CI$163,($Q$2-2)*14+5,9),INDEX(Despesas!$BW$1:$CI$163,($Q$2-1)*15+9,9))))</f>
        <v>0</v>
      </c>
      <c r="W26" s="1509"/>
      <c r="X26" s="476">
        <f>IF(Despesas!$KF$34&gt;=1,"",IF($Q$2="","",IF($Q$2&gt;1,INDEX(Despesas!$BW$19:$CI$163,($Q$2-2)*14+5,10),INDEX(Despesas!$BW$1:$CI$163,($Q$2-1)*15+9,10))))</f>
        <v>0</v>
      </c>
      <c r="Y26" s="476">
        <f>IF(Despesas!$KF$34&gt;=1,"",IF($Q$2="","",IF($Q$2&gt;1,INDEX(Despesas!$BW$19:$CI$163,($Q$2-2)*14+5,11),INDEX(Despesas!$BW$1:$CI$163,($Q$2-1)*15+9,11))))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IF(Despesas!$KF$34&gt;=1,"",IF($Q$2="","",IF($Q$2&gt;1,INDEX(Despesas!$BW$19:$CI$163,($Q$2-2)*14+6,1),INDEX(Despesas!$BW$1:$CI$163,($Q$2-1)*15+10,1))))</f>
        <v/>
      </c>
      <c r="C27" s="1507"/>
      <c r="D27" s="1452" t="str">
        <f>TRIM(IF(Despesas!$KF$34&gt;=1,"",IF($Q$2="","",IF($Q$2&gt;1,PROPER(INDEX(Despesas!$BW$19:$CI$163,($Q$2-2)*14+6,2)),PROPER(INDEX(Despesas!$BW$1:$CI$163,($Q$2-1)*15+10,2))))))</f>
        <v/>
      </c>
      <c r="E27" s="1453"/>
      <c r="F27" s="1453"/>
      <c r="G27" s="1454"/>
      <c r="H27" s="1474">
        <f>IF(Despesas!$KF$34&gt;=1,"",IF($Q$2="","",IF($Q$2&gt;1,INDEX(Despesas!$BW$19:$CI$163,($Q$2-2)*14+6,3),INDEX(Despesas!$BW$1:$CI$163,($Q$2-1)*15+10,3))))</f>
        <v>0</v>
      </c>
      <c r="I27" s="1475"/>
      <c r="J27" s="1458" t="str">
        <f>TRIM(IF(Despesas!$KF$34&gt;=1,"",IF($Q$2="","",IF($Q$2&gt;1,PROPER(INDEX(Despesas!$BW$19:$CI$163,($Q$2-2)*14+6,4)),PROPER(INDEX(Despesas!$BW$1:$CI$163,($Q$2-1)*15+10,4))))))</f>
        <v/>
      </c>
      <c r="K27" s="1459"/>
      <c r="L27" s="1459"/>
      <c r="M27" s="1460"/>
      <c r="N27" s="765">
        <f>IF(Despesas!$KF$34&gt;=1,"",IF($Q$2="","",IF($Q$2&gt;1,INDEX(Despesas!$BW$19:$CI$163,($Q$2-2)*14+6,5),INDEX(Despesas!$BW$1:$CI$163,($Q$2-1)*15+10,5))))</f>
        <v>0</v>
      </c>
      <c r="O27" s="1519">
        <f>IF(Despesas!$KF$34&gt;=1,"",IF($Q$2="","",IF($Q$2&gt;1,INDEX(Despesas!$BW$19:$CI$163,($Q$2-2)*14+6,6),INDEX(Despesas!$BW$1:$CI$163,($Q$2-1)*15+10,6))))</f>
        <v>0</v>
      </c>
      <c r="P27" s="1520"/>
      <c r="Q27" s="1521"/>
      <c r="R27" s="1508">
        <f>IF(Despesas!$KF$34&gt;=1,"",IF($Q$2="","",IF($Q$2&gt;1,INDEX(Despesas!$BW$19:$CI$163,($Q$2-2)*14+6,7),INDEX(Despesas!$BW$1:$CI$163,($Q$2-1)*15+10,7))))</f>
        <v>0</v>
      </c>
      <c r="S27" s="1509"/>
      <c r="T27" s="1517">
        <f>IF(Despesas!$KF$34&gt;=1,"",IF($Q$2="","",IF($Q$2&gt;1,INDEX(Despesas!$BW$19:$CI$163,($Q$2-2)*14+6,8),INDEX(Despesas!$BW$1:$CI$163,($Q$2-1)*15+10,8))))</f>
        <v>0</v>
      </c>
      <c r="U27" s="1518"/>
      <c r="V27" s="1508">
        <f>IF(Despesas!$KF$34&gt;=1,"",IF($Q$2="","",IF($Q$2&gt;1,INDEX(Despesas!$BW$19:$CI$163,($Q$2-2)*14+6,9),INDEX(Despesas!$BW$1:$CI$163,($Q$2-1)*15+10,9))))</f>
        <v>0</v>
      </c>
      <c r="W27" s="1509"/>
      <c r="X27" s="476">
        <f>IF(Despesas!$KF$34&gt;=1,"",IF($Q$2="","",IF($Q$2&gt;1,INDEX(Despesas!$BW$19:$CI$163,($Q$2-2)*14+6,10),INDEX(Despesas!$BW$1:$CI$163,($Q$2-1)*15+10,10))))</f>
        <v>0</v>
      </c>
      <c r="Y27" s="476">
        <f>IF(Despesas!$KF$34&gt;=1,"",IF($Q$2="","",IF($Q$2&gt;1,INDEX(Despesas!$BW$19:$CI$163,($Q$2-2)*14+6,11),INDEX(Despesas!$BW$1:$CI$163,($Q$2-1)*15+10,11))))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IF(Despesas!$KF$34&gt;=1,"",IF($Q$2="","",IF($Q$2&gt;1,INDEX(Despesas!$BW$19:$CI$163,($Q$2-2)*14+7,1),INDEX(Despesas!$BW$1:$CI$163,($Q$2-1)*15+11,1))))</f>
        <v/>
      </c>
      <c r="C28" s="1507"/>
      <c r="D28" s="1452" t="str">
        <f>TRIM(IF(Despesas!$KF$34&gt;=1,"",IF($Q$2="","",IF($Q$2&gt;1,PROPER(INDEX(Despesas!$BW$19:$CI$163,($Q$2-2)*14+7,2)),PROPER(INDEX(Despesas!$BW$1:$CI$163,($Q$2-1)*15+11,2))))))</f>
        <v/>
      </c>
      <c r="E28" s="1453"/>
      <c r="F28" s="1453"/>
      <c r="G28" s="1454"/>
      <c r="H28" s="1474">
        <f>IF(Despesas!$KF$34&gt;=1,"",IF($Q$2="","",IF($Q$2&gt;1,INDEX(Despesas!$BW$19:$CI$163,($Q$2-2)*14+7,3),INDEX(Despesas!$BW$1:$CI$163,($Q$2-1)*15+11,3))))</f>
        <v>0</v>
      </c>
      <c r="I28" s="1475"/>
      <c r="J28" s="1458" t="str">
        <f>TRIM(IF(Despesas!$KF$34&gt;=1,"",IF($Q$2="","",IF($Q$2&gt;1,PROPER(INDEX(Despesas!$BW$19:$CI$163,($Q$2-2)*14+7,4)),PROPER(INDEX(Despesas!$BW$1:$CI$163,($Q$2-1)*15+11,4))))))</f>
        <v/>
      </c>
      <c r="K28" s="1459"/>
      <c r="L28" s="1459"/>
      <c r="M28" s="1460"/>
      <c r="N28" s="765">
        <f>IF(Despesas!$KF$34&gt;=1,"",IF($Q$2="","",IF($Q$2&gt;1,INDEX(Despesas!$BW$19:$CI$163,($Q$2-2)*14+7,5),INDEX(Despesas!$BW$1:$CI$163,($Q$2-1)*15+11,5))))</f>
        <v>0</v>
      </c>
      <c r="O28" s="1519">
        <f>IF(Despesas!$KF$34&gt;=1,"",IF($Q$2="","",IF($Q$2&gt;1,INDEX(Despesas!$BW$19:$CI$163,($Q$2-2)*14+7,6),INDEX(Despesas!$BW$1:$CI$163,($Q$2-1)*15+11,6))))</f>
        <v>0</v>
      </c>
      <c r="P28" s="1520"/>
      <c r="Q28" s="1521"/>
      <c r="R28" s="1508">
        <f>IF(Despesas!$KF$34&gt;=1,"",IF($Q$2="","",IF($Q$2&gt;1,INDEX(Despesas!$BW$19:$CI$163,($Q$2-2)*14+7,7),INDEX(Despesas!$BW$1:$CI$163,($Q$2-1)*15+11,7))))</f>
        <v>0</v>
      </c>
      <c r="S28" s="1509"/>
      <c r="T28" s="1517">
        <f>IF(Despesas!$KF$34&gt;=1,"",IF($Q$2="","",IF($Q$2&gt;1,INDEX(Despesas!$BW$19:$CI$163,($Q$2-2)*14+7,8),INDEX(Despesas!$BW$1:$CI$163,($Q$2-1)*15+11,8))))</f>
        <v>0</v>
      </c>
      <c r="U28" s="1518"/>
      <c r="V28" s="1508">
        <f>IF(Despesas!$KF$34&gt;=1,"",IF($Q$2="","",IF($Q$2&gt;1,INDEX(Despesas!$BW$19:$CI$163,($Q$2-2)*14+7,9),INDEX(Despesas!$BW$1:$CI$163,($Q$2-1)*15+11,9))))</f>
        <v>0</v>
      </c>
      <c r="W28" s="1509"/>
      <c r="X28" s="476">
        <f>IF(Despesas!$KF$34&gt;=1,"",IF($Q$2="","",IF($Q$2&gt;1,INDEX(Despesas!$BW$19:$CI$163,($Q$2-2)*14+7,10),INDEX(Despesas!$BW$1:$CI$163,($Q$2-1)*15+11,10))))</f>
        <v>0</v>
      </c>
      <c r="Y28" s="476">
        <f>IF(Despesas!$KF$34&gt;=1,"",IF($Q$2="","",IF($Q$2&gt;1,INDEX(Despesas!$BW$19:$CI$163,($Q$2-2)*14+7,11),INDEX(Despesas!$BW$1:$CI$163,($Q$2-1)*15+11,11))))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IF(Despesas!$KF$34&gt;=1,"",IF($Q$2="","",IF($Q$2&gt;1,INDEX(Despesas!$BW$19:$CI$163,($Q$2-2)*14+8,1),INDEX(Despesas!$BW$1:$CI$163,($Q$2-1)*15+12,1))))</f>
        <v/>
      </c>
      <c r="C29" s="1507"/>
      <c r="D29" s="1452" t="str">
        <f>TRIM(IF(Despesas!$KF$34&gt;=1,"",IF($Q$2="","",IF($Q$2&gt;1,PROPER(INDEX(Despesas!$BW$19:$CI$163,($Q$2-2)*14+8,2)),PROPER(INDEX(Despesas!$BW$1:$CI$163,($Q$2-1)*15+12,2))))))</f>
        <v/>
      </c>
      <c r="E29" s="1453"/>
      <c r="F29" s="1453"/>
      <c r="G29" s="1454"/>
      <c r="H29" s="1474">
        <f>IF(Despesas!$KF$34&gt;=1,"",IF($Q$2="","",IF($Q$2&gt;1,INDEX(Despesas!$BW$19:$CI$163,($Q$2-2)*14+8,3),INDEX(Despesas!$BW$1:$CI$163,($Q$2-1)*15+12,3))))</f>
        <v>0</v>
      </c>
      <c r="I29" s="1475"/>
      <c r="J29" s="1458" t="str">
        <f>TRIM(IF(Despesas!$KF$34&gt;=1,"",IF($Q$2="","",IF($Q$2&gt;1,PROPER(INDEX(Despesas!$BW$19:$CI$163,($Q$2-2)*14+8,4)),PROPER(INDEX(Despesas!$BW$1:$CI$163,($Q$2-1)*15+12,4))))))</f>
        <v/>
      </c>
      <c r="K29" s="1459"/>
      <c r="L29" s="1459"/>
      <c r="M29" s="1460"/>
      <c r="N29" s="765">
        <f>IF(Despesas!$KF$34&gt;=1,"",IF($Q$2="","",IF($Q$2&gt;1,INDEX(Despesas!$BW$19:$CI$163,($Q$2-2)*14+8,5),INDEX(Despesas!$BW$1:$CI$163,($Q$2-1)*15+12,5))))</f>
        <v>0</v>
      </c>
      <c r="O29" s="1519">
        <f>IF(Despesas!$KF$34&gt;=1,"",IF($Q$2="","",IF($Q$2&gt;1,INDEX(Despesas!$BW$19:$CI$163,($Q$2-2)*14+8,6),INDEX(Despesas!$BW$1:$CI$163,($Q$2-1)*15+12,6))))</f>
        <v>0</v>
      </c>
      <c r="P29" s="1520"/>
      <c r="Q29" s="1521"/>
      <c r="R29" s="1508">
        <f>IF(Despesas!$KF$34&gt;=1,"",IF($Q$2="","",IF($Q$2&gt;1,INDEX(Despesas!$BW$19:$CI$163,($Q$2-2)*14+8,7),INDEX(Despesas!$BW$1:$CI$163,($Q$2-1)*15+12,7))))</f>
        <v>0</v>
      </c>
      <c r="S29" s="1509"/>
      <c r="T29" s="1517">
        <f>IF(Despesas!$KF$34&gt;=1,"",IF($Q$2="","",IF($Q$2&gt;1,INDEX(Despesas!$BW$19:$CI$163,($Q$2-2)*14+8,8),INDEX(Despesas!$BW$1:$CI$163,($Q$2-1)*15+12,8))))</f>
        <v>0</v>
      </c>
      <c r="U29" s="1518"/>
      <c r="V29" s="1508">
        <f>IF(Despesas!$KF$34&gt;=1,"",IF($Q$2="","",IF($Q$2&gt;1,INDEX(Despesas!$BW$19:$CI$163,($Q$2-2)*14+8,9),INDEX(Despesas!$BW$1:$CI$163,($Q$2-1)*15+12,9))))</f>
        <v>0</v>
      </c>
      <c r="W29" s="1509"/>
      <c r="X29" s="476">
        <f>IF(Despesas!$KF$34&gt;=1,"",IF($Q$2="","",IF($Q$2&gt;1,INDEX(Despesas!$BW$19:$CI$163,($Q$2-2)*14+8,10),INDEX(Despesas!$BW$1:$CI$163,($Q$2-1)*15+12,10))))</f>
        <v>0</v>
      </c>
      <c r="Y29" s="476">
        <f>IF(Despesas!$KF$34&gt;=1,"",IF($Q$2="","",IF($Q$2&gt;1,INDEX(Despesas!$BW$19:$CI$163,($Q$2-2)*14+8,11),INDEX(Despesas!$BW$1:$CI$163,($Q$2-1)*15+12,11))))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IF(Despesas!$KF$34&gt;=1,"",IF($Q$2="","",IF($Q$2&gt;1,INDEX(Despesas!$BW$19:$CI$163,($Q$2-2)*14+9,1),INDEX(Despesas!$BW$1:$CI$163,($Q$2-1)*15+13,1))))</f>
        <v/>
      </c>
      <c r="C30" s="1507"/>
      <c r="D30" s="1452" t="str">
        <f>TRIM(IF(Despesas!$KF$34&gt;=1,"",IF($Q$2="","",IF($Q$2&gt;1,PROPER(INDEX(Despesas!$BW$19:$CI$163,($Q$2-2)*14+9,2)),PROPER(INDEX(Despesas!$BW$1:$CI$163,($Q$2-1)*15+13,2))))))</f>
        <v/>
      </c>
      <c r="E30" s="1453"/>
      <c r="F30" s="1453"/>
      <c r="G30" s="1454"/>
      <c r="H30" s="1474">
        <f>IF(Despesas!$KF$34&gt;=1,"",IF($Q$2="","",IF($Q$2&gt;1,INDEX(Despesas!$BW$19:$CI$163,($Q$2-2)*14+9,3),INDEX(Despesas!$BW$1:$CI$163,($Q$2-1)*15+13,3))))</f>
        <v>0</v>
      </c>
      <c r="I30" s="1475"/>
      <c r="J30" s="1458" t="str">
        <f>TRIM(IF(Despesas!$KF$34&gt;=1,"",IF($Q$2="","",IF($Q$2&gt;1,PROPER(INDEX(Despesas!$BW$19:$CI$163,($Q$2-2)*14+9,4)),PROPER(INDEX(Despesas!$BW$1:$CI$163,($Q$2-1)*15+13,4))))))</f>
        <v/>
      </c>
      <c r="K30" s="1459"/>
      <c r="L30" s="1459"/>
      <c r="M30" s="1460"/>
      <c r="N30" s="765">
        <f>IF(Despesas!$KF$34&gt;=1,"",IF($Q$2="","",IF($Q$2&gt;1,INDEX(Despesas!$BW$19:$CI$163,($Q$2-2)*14+9,5),INDEX(Despesas!$BW$1:$CI$163,($Q$2-1)*15+13,5))))</f>
        <v>0</v>
      </c>
      <c r="O30" s="1519">
        <f>IF(Despesas!$KF$34&gt;=1,"",IF($Q$2="","",IF($Q$2&gt;1,INDEX(Despesas!$BW$19:$CI$163,($Q$2-2)*14+9,6),INDEX(Despesas!$BW$1:$CI$163,($Q$2-1)*15+13,6))))</f>
        <v>0</v>
      </c>
      <c r="P30" s="1520"/>
      <c r="Q30" s="1521"/>
      <c r="R30" s="1508">
        <f>IF(Despesas!$KF$34&gt;=1,"",IF($Q$2="","",IF($Q$2&gt;1,INDEX(Despesas!$BW$19:$CI$163,($Q$2-2)*14+9,7),INDEX(Despesas!$BW$1:$CI$163,($Q$2-1)*15+13,7))))</f>
        <v>0</v>
      </c>
      <c r="S30" s="1509"/>
      <c r="T30" s="1517">
        <f>IF(Despesas!$KF$34&gt;=1,"",IF($Q$2="","",IF($Q$2&gt;1,INDEX(Despesas!$BW$19:$CI$163,($Q$2-2)*14+9,8),INDEX(Despesas!$BW$1:$CI$163,($Q$2-1)*15+13,8))))</f>
        <v>0</v>
      </c>
      <c r="U30" s="1518"/>
      <c r="V30" s="1508">
        <f>IF(Despesas!$KF$34&gt;=1,"",IF($Q$2="","",IF($Q$2&gt;1,INDEX(Despesas!$BW$19:$CI$163,($Q$2-2)*14+9,9),INDEX(Despesas!$BW$1:$CI$163,($Q$2-1)*15+13,9))))</f>
        <v>0</v>
      </c>
      <c r="W30" s="1509"/>
      <c r="X30" s="476">
        <f>IF(Despesas!$KF$34&gt;=1,"",IF($Q$2="","",IF($Q$2&gt;1,INDEX(Despesas!$BW$19:$CI$163,($Q$2-2)*14+9,10),INDEX(Despesas!$BW$1:$CI$163,($Q$2-1)*15+13,10))))</f>
        <v>0</v>
      </c>
      <c r="Y30" s="476">
        <f>IF(Despesas!$KF$34&gt;=1,"",IF($Q$2="","",IF($Q$2&gt;1,INDEX(Despesas!$BW$19:$CI$163,($Q$2-2)*14+9,11),INDEX(Despesas!$BW$1:$CI$163,($Q$2-1)*15+13,11))))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IF(Despesas!$KF$34&gt;=1,"",IF($Q$2="","",IF($Q$2&gt;1,INDEX(Despesas!$BW$19:$CI$163,($Q$2-2)*14+10,1),INDEX(Despesas!$BW$1:$CI$163,($Q$2-1)*15+14,1))))</f>
        <v/>
      </c>
      <c r="C31" s="1507"/>
      <c r="D31" s="1452" t="str">
        <f>TRIM(IF(Despesas!$KF$34&gt;=1,"",IF($Q$2="","",IF($Q$2&gt;1,PROPER(INDEX(Despesas!$BW$19:$CI$163,($Q$2-2)*14+10,2)),PROPER(INDEX(Despesas!$BW$1:$CI$163,($Q$2-1)*15+14,2))))))</f>
        <v/>
      </c>
      <c r="E31" s="1453"/>
      <c r="F31" s="1453"/>
      <c r="G31" s="1454"/>
      <c r="H31" s="1474">
        <f>IF(Despesas!$KF$34&gt;=1,"",IF($Q$2="","",IF($Q$2&gt;1,INDEX(Despesas!$BW$19:$CI$163,($Q$2-2)*14+10,3),INDEX(Despesas!$BW$1:$CI$163,($Q$2-1)*15+14,3))))</f>
        <v>0</v>
      </c>
      <c r="I31" s="1475"/>
      <c r="J31" s="1458" t="str">
        <f>TRIM(IF(Despesas!$KF$34&gt;=1,"",IF($Q$2="","",IF($Q$2&gt;1,PROPER(INDEX(Despesas!$BW$19:$CI$163,($Q$2-2)*14+10,4)),PROPER(INDEX(Despesas!$BW$1:$CI$163,($Q$2-1)*15+14,4))))))</f>
        <v/>
      </c>
      <c r="K31" s="1459"/>
      <c r="L31" s="1459"/>
      <c r="M31" s="1460"/>
      <c r="N31" s="765">
        <f>IF(Despesas!$KF$34&gt;=1,"",IF($Q$2="","",IF($Q$2&gt;1,INDEX(Despesas!$BW$19:$CI$163,($Q$2-2)*14+10,5),INDEX(Despesas!$BW$1:$CI$163,($Q$2-1)*15+14,5))))</f>
        <v>0</v>
      </c>
      <c r="O31" s="1519">
        <f>IF(Despesas!$KF$34&gt;=1,"",IF($Q$2="","",IF($Q$2&gt;1,INDEX(Despesas!$BW$19:$CI$163,($Q$2-2)*14+10,6),INDEX(Despesas!$BW$1:$CI$163,($Q$2-1)*15+14,6))))</f>
        <v>0</v>
      </c>
      <c r="P31" s="1520"/>
      <c r="Q31" s="1521"/>
      <c r="R31" s="1508">
        <f>IF(Despesas!$KF$34&gt;=1,"",IF($Q$2="","",IF($Q$2&gt;1,INDEX(Despesas!$BW$19:$CI$163,($Q$2-2)*14+10,7),INDEX(Despesas!$BW$1:$CI$163,($Q$2-1)*15+14,7))))</f>
        <v>0</v>
      </c>
      <c r="S31" s="1509"/>
      <c r="T31" s="1517">
        <f>IF(Despesas!$KF$34&gt;=1,"",IF($Q$2="","",IF($Q$2&gt;1,INDEX(Despesas!$BW$19:$CI$163,($Q$2-2)*14+10,8),INDEX(Despesas!$BW$1:$CI$163,($Q$2-1)*15+14,8))))</f>
        <v>0</v>
      </c>
      <c r="U31" s="1518"/>
      <c r="V31" s="1508">
        <f>IF(Despesas!$KF$34&gt;=1,"",IF($Q$2="","",IF($Q$2&gt;1,INDEX(Despesas!$BW$19:$CI$163,($Q$2-2)*14+10,9),INDEX(Despesas!$BW$1:$CI$163,($Q$2-1)*15+14,9))))</f>
        <v>0</v>
      </c>
      <c r="W31" s="1509"/>
      <c r="X31" s="476">
        <f>IF(Despesas!$KF$34&gt;=1,"",IF($Q$2="","",IF($Q$2&gt;1,INDEX(Despesas!$BW$19:$CI$163,($Q$2-2)*14+10,10),INDEX(Despesas!$BW$1:$CI$163,($Q$2-1)*15+14,10))))</f>
        <v>0</v>
      </c>
      <c r="Y31" s="476">
        <f>IF(Despesas!$KF$34&gt;=1,"",IF($Q$2="","",IF($Q$2&gt;1,INDEX(Despesas!$BW$19:$CI$163,($Q$2-2)*14+10,11),INDEX(Despesas!$BW$1:$CI$163,($Q$2-1)*15+14,11))))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IF(Despesas!$KF$34&gt;=1,"",IF($Q$2="","",IF($Q$2&gt;1,INDEX(Despesas!$BW$19:$CI$163,($Q$2-2)*14+11,1),INDEX(Despesas!$BW$1:$CI$163,($Q$2-1)*15+15,1))))</f>
        <v/>
      </c>
      <c r="C32" s="1507"/>
      <c r="D32" s="1452" t="str">
        <f>TRIM(IF(Despesas!$KF$34&gt;=1,"",IF($Q$2="","",IF($Q$2&gt;1,PROPER(INDEX(Despesas!$BW$19:$CI$163,($Q$2-2)*14+11,2)),PROPER(INDEX(Despesas!$BW$1:$CI$163,($Q$2-1)*15+15,2))))))</f>
        <v/>
      </c>
      <c r="E32" s="1453"/>
      <c r="F32" s="1453"/>
      <c r="G32" s="1454"/>
      <c r="H32" s="1474">
        <f>IF(Despesas!$KF$34&gt;=1,"",IF($Q$2="","",IF($Q$2&gt;1,INDEX(Despesas!$BW$19:$CI$163,($Q$2-2)*14+11,3),INDEX(Despesas!$BW$1:$CI$163,($Q$2-1)*15+15,3))))</f>
        <v>0</v>
      </c>
      <c r="I32" s="1475"/>
      <c r="J32" s="1458" t="str">
        <f>TRIM(IF(Despesas!$KF$34&gt;=1,"",IF($Q$2="","",IF($Q$2&gt;1,PROPER(INDEX(Despesas!$BW$19:$CI$163,($Q$2-2)*14+11,4)),PROPER(INDEX(Despesas!$BW$1:$CI$163,($Q$2-1)*15+15,4))))))</f>
        <v/>
      </c>
      <c r="K32" s="1459"/>
      <c r="L32" s="1459"/>
      <c r="M32" s="1460"/>
      <c r="N32" s="765">
        <f>IF(Despesas!$KF$34&gt;=1,"",IF($Q$2="","",IF($Q$2&gt;1,INDEX(Despesas!$BW$19:$CI$163,($Q$2-2)*14+11,5),INDEX(Despesas!$BW$1:$CI$163,($Q$2-1)*15+15,5))))</f>
        <v>0</v>
      </c>
      <c r="O32" s="1519">
        <f>IF(Despesas!$KF$34&gt;=1,"",IF($Q$2="","",IF($Q$2&gt;1,INDEX(Despesas!$BW$19:$CI$163,($Q$2-2)*14+11,6),INDEX(Despesas!$BW$1:$CI$163,($Q$2-1)*15+15,6))))</f>
        <v>0</v>
      </c>
      <c r="P32" s="1520"/>
      <c r="Q32" s="1521"/>
      <c r="R32" s="1508">
        <f>IF(Despesas!$KF$34&gt;=1,"",IF($Q$2="","",IF($Q$2&gt;1,INDEX(Despesas!$BW$19:$CI$163,($Q$2-2)*14+11,7),INDEX(Despesas!$BW$1:$CI$163,($Q$2-1)*15+15,7))))</f>
        <v>0</v>
      </c>
      <c r="S32" s="1509"/>
      <c r="T32" s="1517">
        <f>IF(Despesas!$KF$34&gt;=1,"",IF($Q$2="","",IF($Q$2&gt;1,INDEX(Despesas!$BW$19:$CI$163,($Q$2-2)*14+11,8),INDEX(Despesas!$BW$1:$CI$163,($Q$2-1)*15+15,8))))</f>
        <v>0</v>
      </c>
      <c r="U32" s="1518"/>
      <c r="V32" s="1508">
        <f>IF(Despesas!$KF$34&gt;=1,"",IF($Q$2="","",IF($Q$2&gt;1,INDEX(Despesas!$BW$19:$CI$163,($Q$2-2)*14+11,9),INDEX(Despesas!$BW$1:$CI$163,($Q$2-1)*15+15,9))))</f>
        <v>0</v>
      </c>
      <c r="W32" s="1509"/>
      <c r="X32" s="476">
        <f>IF(Despesas!$KF$34&gt;=1,"",IF($Q$2="","",IF($Q$2&gt;1,INDEX(Despesas!$BW$19:$CI$163,($Q$2-2)*14+11,10),INDEX(Despesas!$BW$1:$CI$163,($Q$2-1)*15+15,10))))</f>
        <v>0</v>
      </c>
      <c r="Y32" s="476">
        <f>IF(Despesas!$KF$34&gt;=1,"",IF($Q$2="","",IF($Q$2&gt;1,INDEX(Despesas!$BW$19:$CI$163,($Q$2-2)*14+11,11),INDEX(Despesas!$BW$1:$CI$163,($Q$2-1)*15+15,11))))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IF(Despesas!$KF$34&gt;=1,"",IF($Q$2="","",IF($Q$2&gt;1,INDEX(Despesas!$BW$19:$CI$163,($Q$2-2)*14+12,1),INDEX(Despesas!$BW$1:$CI$163,($Q$2-1)*15+16,1))))</f>
        <v/>
      </c>
      <c r="C33" s="1507"/>
      <c r="D33" s="1452" t="str">
        <f>TRIM(IF(Despesas!$KF$34&gt;=1,"",IF($Q$2="","",IF($Q$2&gt;1,PROPER(INDEX(Despesas!$BW$19:$CI$163,($Q$2-2)*14+12,2)),PROPER(INDEX(Despesas!$BW$1:$CI$163,($Q$2-1)*15+16,2))))))</f>
        <v/>
      </c>
      <c r="E33" s="1453"/>
      <c r="F33" s="1453"/>
      <c r="G33" s="1454"/>
      <c r="H33" s="1474">
        <f>IF(Despesas!$KF$34&gt;=1,"",IF($Q$2="","",IF($Q$2&gt;1,INDEX(Despesas!$BW$19:$CI$163,($Q$2-2)*14+12,3),INDEX(Despesas!$BW$1:$CI$163,($Q$2-1)*15+16,3))))</f>
        <v>0</v>
      </c>
      <c r="I33" s="1475"/>
      <c r="J33" s="1458" t="str">
        <f>TRIM(IF(Despesas!$KF$34&gt;=1,"",IF($Q$2="","",IF($Q$2&gt;1,PROPER(INDEX(Despesas!$BW$19:$CI$163,($Q$2-2)*14+12,4)),PROPER(INDEX(Despesas!$BW$1:$CI$163,($Q$2-1)*15+16,4))))))</f>
        <v/>
      </c>
      <c r="K33" s="1459"/>
      <c r="L33" s="1459"/>
      <c r="M33" s="1460"/>
      <c r="N33" s="765">
        <f>IF(Despesas!$KF$34&gt;=1,"",IF($Q$2="","",IF($Q$2&gt;1,INDEX(Despesas!$BW$19:$CI$163,($Q$2-2)*14+12,5),INDEX(Despesas!$BW$1:$CI$163,($Q$2-1)*15+16,5))))</f>
        <v>0</v>
      </c>
      <c r="O33" s="1519">
        <f>IF(Despesas!$KF$34&gt;=1,"",IF($Q$2="","",IF($Q$2&gt;1,INDEX(Despesas!$BW$19:$CI$163,($Q$2-2)*14+12,6),INDEX(Despesas!$BW$1:$CI$163,($Q$2-1)*15+16,6))))</f>
        <v>0</v>
      </c>
      <c r="P33" s="1520"/>
      <c r="Q33" s="1521"/>
      <c r="R33" s="1508">
        <f>IF(Despesas!$KF$34&gt;=1,"",IF($Q$2="","",IF($Q$2&gt;1,INDEX(Despesas!$BW$19:$CI$163,($Q$2-2)*14+12,7),INDEX(Despesas!$BW$1:$CI$163,($Q$2-1)*15+16,7))))</f>
        <v>0</v>
      </c>
      <c r="S33" s="1509"/>
      <c r="T33" s="1517">
        <f>IF(Despesas!$KF$34&gt;=1,"",IF($Q$2="","",IF($Q$2&gt;1,INDEX(Despesas!$BW$19:$CI$163,($Q$2-2)*14+12,8),INDEX(Despesas!$BW$1:$CI$163,($Q$2-1)*15+16,8))))</f>
        <v>0</v>
      </c>
      <c r="U33" s="1518"/>
      <c r="V33" s="1508">
        <f>IF(Despesas!$KF$34&gt;=1,"",IF($Q$2="","",IF($Q$2&gt;1,INDEX(Despesas!$BW$19:$CI$163,($Q$2-2)*14+12,9),INDEX(Despesas!$BW$1:$CI$163,($Q$2-1)*15+16,9))))</f>
        <v>0</v>
      </c>
      <c r="W33" s="1509"/>
      <c r="X33" s="476">
        <f>IF(Despesas!$KF$34&gt;=1,"",IF($Q$2="","",IF($Q$2&gt;1,INDEX(Despesas!$BW$19:$CI$163,($Q$2-2)*14+12,10),INDEX(Despesas!$BW$1:$CI$163,($Q$2-1)*15+16,10))))</f>
        <v>0</v>
      </c>
      <c r="Y33" s="476">
        <f>IF(Despesas!$KF$34&gt;=1,"",IF($Q$2="","",IF($Q$2&gt;1,INDEX(Despesas!$BW$19:$CI$163,($Q$2-2)*14+12,11),INDEX(Despesas!$BW$1:$CI$163,($Q$2-1)*15+16,11))))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IF(Despesas!$KF$34&gt;=1,"",IF($Q$2="","",IF($Q$2&gt;1,INDEX(Despesas!$BW$19:$CI$163,($Q$2-2)*14+13,1),INDEX(Despesas!$BW$1:$CI$163,($Q$2-1)*15+17,1))))</f>
        <v/>
      </c>
      <c r="C34" s="1507"/>
      <c r="D34" s="1452" t="str">
        <f>TRIM(IF(Despesas!$KF$34&gt;=1,"",IF($Q$2="","",IF($Q$2&gt;1,PROPER(INDEX(Despesas!$BW$19:$CI$163,($Q$2-2)*14+13,2)),PROPER(INDEX(Despesas!$BW$1:$CI$163,($Q$2-1)*15+17,2))))))</f>
        <v/>
      </c>
      <c r="E34" s="1453"/>
      <c r="F34" s="1453"/>
      <c r="G34" s="1454"/>
      <c r="H34" s="1474">
        <f>IF(Despesas!$KF$34&gt;=1,"",IF($Q$2="","",IF($Q$2&gt;1,INDEX(Despesas!$BW$19:$CI$163,($Q$2-2)*14+13,3),INDEX(Despesas!$BW$1:$CI$163,($Q$2-1)*15+17,3))))</f>
        <v>0</v>
      </c>
      <c r="I34" s="1475"/>
      <c r="J34" s="1458" t="str">
        <f>TRIM(IF(Despesas!$KF$34&gt;=1,"",IF($Q$2="","",IF($Q$2&gt;1,PROPER(INDEX(Despesas!$BW$19:$CI$163,($Q$2-2)*14+13,4)),PROPER(INDEX(Despesas!$BW$1:$CI$163,($Q$2-1)*15+17,4))))))</f>
        <v/>
      </c>
      <c r="K34" s="1459"/>
      <c r="L34" s="1459"/>
      <c r="M34" s="1460"/>
      <c r="N34" s="765">
        <f>IF(Despesas!$KF$34&gt;=1,"",IF($Q$2="","",IF($Q$2&gt;1,INDEX(Despesas!$BW$19:$CI$163,($Q$2-2)*14+13,5),INDEX(Despesas!$BW$1:$CI$163,($Q$2-1)*15+17,5))))</f>
        <v>0</v>
      </c>
      <c r="O34" s="1519">
        <f>IF(Despesas!$KF$34&gt;=1,"",IF($Q$2="","",IF($Q$2&gt;1,INDEX(Despesas!$BW$19:$CI$163,($Q$2-2)*14+13,6),INDEX(Despesas!$BW$1:$CI$163,($Q$2-1)*15+17,6))))</f>
        <v>0</v>
      </c>
      <c r="P34" s="1520"/>
      <c r="Q34" s="1521"/>
      <c r="R34" s="1508">
        <f>IF(Despesas!$KF$34&gt;=1,"",IF($Q$2="","",IF($Q$2&gt;1,INDEX(Despesas!$BW$19:$CI$163,($Q$2-2)*14+13,7),INDEX(Despesas!$BW$1:$CI$163,($Q$2-1)*15+17,7))))</f>
        <v>0</v>
      </c>
      <c r="S34" s="1509"/>
      <c r="T34" s="1517">
        <f>IF(Despesas!$KF$34&gt;=1,"",IF($Q$2="","",IF($Q$2&gt;1,INDEX(Despesas!$BW$19:$CI$163,($Q$2-2)*14+13,8),INDEX(Despesas!$BW$1:$CI$163,($Q$2-1)*15+17,8))))</f>
        <v>0</v>
      </c>
      <c r="U34" s="1518"/>
      <c r="V34" s="1508">
        <f>IF(Despesas!$KF$34&gt;=1,"",IF($Q$2="","",IF($Q$2&gt;1,INDEX(Despesas!$BW$19:$CI$163,($Q$2-2)*14+13,9),INDEX(Despesas!$BW$1:$CI$163,($Q$2-1)*15+17,9))))</f>
        <v>0</v>
      </c>
      <c r="W34" s="1509"/>
      <c r="X34" s="476">
        <f>IF(Despesas!$KF$34&gt;=1,"",IF($Q$2="","",IF($Q$2&gt;1,INDEX(Despesas!$BW$19:$CI$163,($Q$2-2)*14+13,10),INDEX(Despesas!$BW$1:$CI$163,($Q$2-1)*15+17,10))))</f>
        <v>0</v>
      </c>
      <c r="Y34" s="476">
        <f>IF(Despesas!$KF$34&gt;=1,"",IF($Q$2="","",IF($Q$2&gt;1,INDEX(Despesas!$BW$19:$CI$163,($Q$2-2)*14+13,11),INDEX(Despesas!$BW$1:$CI$163,($Q$2-1)*15+17,11))))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IF(Despesas!$KF$34&gt;=1,"",IF($Q$2="","",IF($Q$2&gt;1,INDEX(Despesas!$BW$19:$CI$163,($Q$2-2)*14+14,1),INDEX(Despesas!$BW$1:$CI$163,($Q$2-1)*15+18,1))))</f>
        <v/>
      </c>
      <c r="C35" s="1591"/>
      <c r="D35" s="1455" t="str">
        <f>TRIM(IF(Despesas!$KF$34&gt;=1,"",IF($Q$2="","",IF($Q$2&gt;1,PROPER(INDEX(Despesas!$BW$19:$CI$163,($Q$2-2)*14+14,2)),PROPER(INDEX(Despesas!$BW$1:$CI$163,($Q$2-1)*15+18,2))))))</f>
        <v/>
      </c>
      <c r="E35" s="1456"/>
      <c r="F35" s="1456"/>
      <c r="G35" s="1457"/>
      <c r="H35" s="1474">
        <f>IF(Despesas!$KF$34&gt;=1,"",IF($Q$2="","",IF($Q$2&gt;1,INDEX(Despesas!$BW$19:$CI$163,($Q$2-2)*14+14,3),INDEX(Despesas!$BW$1:$CI$163,($Q$2-1)*15+18,3))))</f>
        <v>0</v>
      </c>
      <c r="I35" s="1475"/>
      <c r="J35" s="1587" t="str">
        <f>TRIM(IF(Despesas!$KF$34&gt;=1,"",IF($Q$2="","",IF($Q$2&gt;1,PROPER(INDEX(Despesas!$BW$19:$CI$163,($Q$2-2)*14+14,4)),PROPER(INDEX(Despesas!$BW$1:$CI$163,($Q$2-1)*15+18,4))))))</f>
        <v/>
      </c>
      <c r="K35" s="1588"/>
      <c r="L35" s="1588"/>
      <c r="M35" s="1589"/>
      <c r="N35" s="765">
        <f>IF(Despesas!$KF$34&gt;=1,"",IF($Q$2="","",IF($Q$2&gt;1,INDEX(Despesas!$BW$19:$CI$163,($Q$2-2)*14+14,5),INDEX(Despesas!$BW$1:$CI$163,($Q$2-1)*15+18,5))))</f>
        <v>0</v>
      </c>
      <c r="O35" s="1519">
        <f>IF(Despesas!$KF$34&gt;=1,"",IF($Q$2="","",IF($Q$2&gt;1,INDEX(Despesas!$BW$19:$CI$163,($Q$2-2)*14+14,6),INDEX(Despesas!$BW$1:$CI$163,($Q$2-1)*15+18,6))))</f>
        <v>0</v>
      </c>
      <c r="P35" s="1520"/>
      <c r="Q35" s="1521"/>
      <c r="R35" s="1571">
        <f>IF(Despesas!$KF$34&gt;=1,"",IF($Q$2="","",IF($Q$2&gt;1,INDEX(Despesas!$BW$19:$CI$163,($Q$2-2)*14+14,7),INDEX(Despesas!$BW$1:$CI$163,($Q$2-1)*15+18,7))))</f>
        <v>0</v>
      </c>
      <c r="S35" s="1572"/>
      <c r="T35" s="1517">
        <f>IF(Despesas!$KF$34&gt;=1,"",IF($Q$2="","",IF($Q$2&gt;1,INDEX(Despesas!$BW$19:$CI$163,($Q$2-2)*14+14,8),INDEX(Despesas!$BW$1:$CI$163,($Q$2-1)*15+18,8))))</f>
        <v>0</v>
      </c>
      <c r="U35" s="1518"/>
      <c r="V35" s="1571">
        <f>IF(Despesas!$KF$34&gt;=1,"",IF($Q$2="","",IF($Q$2&gt;1,INDEX(Despesas!$BW$19:$CI$163,($Q$2-2)*14+14,9),INDEX(Despesas!$BW$1:$CI$163,($Q$2-1)*15+18,9))))</f>
        <v>0</v>
      </c>
      <c r="W35" s="1572"/>
      <c r="X35" s="476">
        <f>IF(Despesas!$KF$34&gt;=1,"",IF($Q$2="","",IF($Q$2&gt;1,INDEX(Despesas!$BW$19:$CI$163,($Q$2-2)*14+14,10),INDEX(Despesas!$BW$1:$CI$163,($Q$2-1)*15+18,10))))</f>
        <v>0</v>
      </c>
      <c r="Y35" s="476">
        <f>IF(Despesas!$KF$34&gt;=1,"",IF($Q$2="","",IF($Q$2&gt;1,INDEX(Despesas!$BW$19:$CI$163,($Q$2-2)*14+14,11),INDEX(Despesas!$BW$1:$CI$163,($Q$2-1)*15+18,11))))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"&amp;(Ata!B52))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IF(Ata!$BI$64&gt;0,Ata!$BI$64,"")</f>
        <v>#VALUE!</v>
      </c>
      <c r="E41" s="406" t="e">
        <f>IF(Ata!$BJ$64&gt;0,Ata!$BJ$64,"")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535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224" priority="6" stopIfTrue="1" operator="lessThanOrEqual">
      <formula>0</formula>
    </cfRule>
  </conditionalFormatting>
  <conditionalFormatting sqref="J18:Y18">
    <cfRule type="expression" dxfId="223" priority="5" stopIfTrue="1">
      <formula>$P$16&gt;$M$16</formula>
    </cfRule>
    <cfRule type="expression" dxfId="222" priority="8" stopIfTrue="1">
      <formula>$P$15&gt;$M$15</formula>
    </cfRule>
  </conditionalFormatting>
  <conditionalFormatting sqref="J9:Y9">
    <cfRule type="expression" dxfId="221" priority="9" stopIfTrue="1">
      <formula>$T$15&lt;0</formula>
    </cfRule>
    <cfRule type="expression" dxfId="220" priority="10" stopIfTrue="1">
      <formula>$T$16&lt;0</formula>
    </cfRule>
  </conditionalFormatting>
  <conditionalFormatting sqref="P15:R15">
    <cfRule type="expression" dxfId="219" priority="11" stopIfTrue="1">
      <formula>$P$15&gt;$M$15</formula>
    </cfRule>
  </conditionalFormatting>
  <conditionalFormatting sqref="P16:R16">
    <cfRule type="expression" dxfId="218" priority="12" stopIfTrue="1">
      <formula>$P$16&gt;$M$16</formula>
    </cfRule>
  </conditionalFormatting>
  <conditionalFormatting sqref="J46:Q46 J49:Q49">
    <cfRule type="cellIs" dxfId="217" priority="13" stopIfTrue="1" operator="equal">
      <formula>0</formula>
    </cfRule>
  </conditionalFormatting>
  <conditionalFormatting sqref="B21:Y35">
    <cfRule type="cellIs" dxfId="216" priority="1" operator="equal">
      <formula>0</formula>
    </cfRule>
    <cfRule type="expression" dxfId="21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Despesas!$AM$38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682"/>
      <c r="U5" s="682"/>
      <c r="V5" s="682"/>
      <c r="W5" s="682"/>
      <c r="X5" s="682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1125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684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Dados!$F$26</f>
        <v/>
      </c>
      <c r="D15" s="1607"/>
      <c r="E15" s="1607"/>
      <c r="F15" s="49" t="s">
        <v>294</v>
      </c>
      <c r="G15" s="1470" t="str">
        <f>Dados!$F$24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Despesas!$AL$50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Dados!$I$26</f>
        <v/>
      </c>
      <c r="D16" s="1606"/>
      <c r="E16" s="1606"/>
      <c r="F16" s="48" t="s">
        <v>293</v>
      </c>
      <c r="G16" s="1463" t="str">
        <f>Dados!$I$24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Despesas!$AM$50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685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IF($Q$2="","",IF($Q$2&gt;1,"",INDEX(Despesas!$LC$1:$LO$163,($Q$2-1)*15+4,1)))</f>
        <v/>
      </c>
      <c r="C21" s="1554"/>
      <c r="D21" s="1559" t="str">
        <f>TRIM(IF($Q$2="","",IF($Q$2&gt;1,"De transporte ..........",PROPER(INDEX(Despesas!$LC$1:$LO$163,($Q$2-1)*15+4,2)))))</f>
        <v/>
      </c>
      <c r="E21" s="1560"/>
      <c r="F21" s="1560"/>
      <c r="G21" s="1561"/>
      <c r="H21" s="1461">
        <f>IF($Q$2="","",IF($Q$2&gt;1,"",INDEX(Despesas!$LC$1:$LO$163,($Q$2-1)*15+4,3)))</f>
        <v>0</v>
      </c>
      <c r="I21" s="1462"/>
      <c r="J21" s="1537" t="str">
        <f>TRIM(IF($Q$2="","",IF($Q$2&gt;1,"",PROPER(INDEX(Despesas!$LC$1:$LO$163,($Q$2-1)*15+4,4)))))</f>
        <v/>
      </c>
      <c r="K21" s="1538"/>
      <c r="L21" s="1538"/>
      <c r="M21" s="1539"/>
      <c r="N21" s="765">
        <f>IF($Q$2="","",IF($Q$2&gt;1,"",INDEX(Despesas!$LC$1:$LO$163,($Q$2-1)*15+4,5)))</f>
        <v>0</v>
      </c>
      <c r="O21" s="1555">
        <f>IF($Q$2="","",IF($Q$2&gt;1,"",INDEX(Despesas!$LC$1:$LO$163,($Q$2-1)*15+4,6)))</f>
        <v>0</v>
      </c>
      <c r="P21" s="1556"/>
      <c r="Q21" s="1557"/>
      <c r="R21" s="1527">
        <f>IF($Q$2="","",IF($Q$2&gt;1,"",INDEX(Despesas!$LC$1:$LO$163,($Q$2-1)*15+4,7)))</f>
        <v>0</v>
      </c>
      <c r="S21" s="1528"/>
      <c r="T21" s="1548">
        <f>IF($Q$2="","",IF($Q$2&gt;1,"",INDEX(Despesas!$LC$1:$LO$163,($Q$2-1)*15+4,8)))</f>
        <v>0</v>
      </c>
      <c r="U21" s="1549"/>
      <c r="V21" s="1527">
        <f>IF($Q$2="","",IF($Q$2&gt;1,"",INDEX(Despesas!$LC$1:$LO$163,($Q$2-1)*15+4,9)))</f>
        <v>0</v>
      </c>
      <c r="W21" s="1528"/>
      <c r="X21" s="476">
        <f>IF($Q$2="","",IF($Q$2&gt;1,INDEX(Despesas!$PT$4:$PU$15,($Q$2)-1,1),INDEX(Despesas!$LC$1:$LO$163,($Q$2-1)*15+4,10)))</f>
        <v>0</v>
      </c>
      <c r="Y21" s="476">
        <f>IF($Q$2="","",IF($Q$2&gt;1,INDEX(Despesas!$PT$4:$PU$15,($Q$2)-1,2),INDEX(Despesas!$LC$1:$LO$163,($Q$2-1)*15+4,11)))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IF($Q$2="","",IF($Q$2&gt;1,INDEX(Despesas!$LC$19:$LO$163,($Q$2-2)*14+1,1),INDEX(Despesas!$LC$1:$LO$163,($Q$2-1)*15+5,1)))</f>
        <v/>
      </c>
      <c r="C22" s="1507"/>
      <c r="D22" s="1452" t="str">
        <f>TRIM(IF($Q$2="","",IF($Q$2&gt;1,PROPER(INDEX(Despesas!$LC$19:$LO$163,($Q$2-2)*14+1,2)),PROPER(INDEX(Despesas!$LC$1:$LO$163,($Q$2-1)*15+5,2)))))</f>
        <v/>
      </c>
      <c r="E22" s="1453"/>
      <c r="F22" s="1453"/>
      <c r="G22" s="1454"/>
      <c r="H22" s="1474">
        <f>IF($Q$2="","",IF($Q$2&gt;1,INDEX(Despesas!$LC$19:$LO$163,($Q$2-2)*14+1,3),INDEX(Despesas!$LC$1:$LO$163,($Q$2-1)*15+5,3)))</f>
        <v>0</v>
      </c>
      <c r="I22" s="1475"/>
      <c r="J22" s="1458" t="str">
        <f>TRIM(IF($Q$2="","",IF($Q$2&gt;1,PROPER(INDEX(Despesas!$LC$19:$LO$163,($Q$2-2)*14+1,4)),PROPER(INDEX(Despesas!$LC$1:$LO$163,($Q$2-1)*15+5,4)))))</f>
        <v/>
      </c>
      <c r="K22" s="1459"/>
      <c r="L22" s="1459"/>
      <c r="M22" s="1460"/>
      <c r="N22" s="452">
        <f>IF($Q$2="","",IF($Q$2&gt;1,INDEX(Despesas!$LC$19:$LO$163,($Q$2-2)*14+1,5),INDEX(Despesas!$LC$1:$LO$163,($Q$2-1)*15+5,5)))</f>
        <v>0</v>
      </c>
      <c r="O22" s="1519">
        <f>IF($Q$2="","",IF($Q$2&gt;1,INDEX(Despesas!$LC$19:$LO$163,($Q$2-2)*14+1,6),INDEX(Despesas!$LC$1:$LO$163,($Q$2-1)*15+5,6)))</f>
        <v>0</v>
      </c>
      <c r="P22" s="1520"/>
      <c r="Q22" s="1521"/>
      <c r="R22" s="1508">
        <f>IF($Q$2="","",IF($Q$2&gt;1,INDEX(Despesas!$LC$19:$LO$163,($Q$2-2)*14+1,7),INDEX(Despesas!$LC$1:$LO$163,($Q$2-1)*15+5,7)))</f>
        <v>0</v>
      </c>
      <c r="S22" s="1509"/>
      <c r="T22" s="1517">
        <f>IF($Q$2="","",IF($Q$2&gt;1,INDEX(Despesas!$LC$19:$LO$163,($Q$2-2)*14+1,8),INDEX(Despesas!$LC$1:$LO$163,($Q$2-1)*15+5,8)))</f>
        <v>0</v>
      </c>
      <c r="U22" s="1518"/>
      <c r="V22" s="1508">
        <f>IF($Q$2="","",IF($Q$2&gt;1,INDEX(Despesas!$LC$19:$LO$163,($Q$2-2)*14+1,9),INDEX(Despesas!$LC$1:$LO$163,($Q$2-1)*15+5,9)))</f>
        <v>0</v>
      </c>
      <c r="W22" s="1509"/>
      <c r="X22" s="476">
        <f>IF($Q$2="","",IF($Q$2&gt;1,INDEX(Despesas!$LC$19:$LO$163,($Q$2-2)*14+1,10),INDEX(Despesas!$LC$1:$LO$163,($Q$2-1)*15+5,10)))</f>
        <v>0</v>
      </c>
      <c r="Y22" s="476">
        <f>IF($Q$2="","",IF($Q$2&gt;1,INDEX(Despesas!$LC$19:$LO$163,($Q$2-2)*14+1,11),INDEX(Despesas!$LC$1:$LO$163,($Q$2-1)*15+5,11)))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IF($Q$2="","",IF($Q$2&gt;1,INDEX(Despesas!$LC$19:$LO$163,($Q$2-2)*14+2,1),INDEX(Despesas!$LC$1:$LO$163,($Q$2-1)*15+6,1)))</f>
        <v/>
      </c>
      <c r="C23" s="1507"/>
      <c r="D23" s="1452" t="str">
        <f>TRIM(IF($Q$2="","",IF($Q$2&gt;1,PROPER(INDEX(Despesas!$LC$19:$LO$163,($Q$2-2)*14+2,2)),PROPER(INDEX(Despesas!$LC$1:$LO$163,($Q$2-1)*15+6,2)))))</f>
        <v/>
      </c>
      <c r="E23" s="1453"/>
      <c r="F23" s="1453"/>
      <c r="G23" s="1454"/>
      <c r="H23" s="1474">
        <f>IF($Q$2="","",IF($Q$2&gt;1,INDEX(Despesas!$LC$19:$LO$163,($Q$2-2)*14+2,3),INDEX(Despesas!$LC$1:$LO$163,($Q$2-1)*15+6,3)))</f>
        <v>0</v>
      </c>
      <c r="I23" s="1475"/>
      <c r="J23" s="1458" t="str">
        <f>TRIM(IF($Q$2="","",IF($Q$2&gt;1,PROPER(INDEX(Despesas!$LC$19:$LO$163,($Q$2-2)*14+2,4)),PROPER(INDEX(Despesas!$LC$1:$LO$163,($Q$2-1)*15+6,4)))))</f>
        <v/>
      </c>
      <c r="K23" s="1459"/>
      <c r="L23" s="1459"/>
      <c r="M23" s="1460"/>
      <c r="N23" s="765">
        <f>IF($Q$2="","",IF($Q$2&gt;1,INDEX(Despesas!$LC$19:$LO$163,($Q$2-2)*14+2,5),INDEX(Despesas!$LC$1:$LO$163,($Q$2-1)*15+6,5)))</f>
        <v>0</v>
      </c>
      <c r="O23" s="1519">
        <f>IF($Q$2="","",IF($Q$2&gt;1,INDEX(Despesas!$LC$19:$LO$163,($Q$2-2)*14+2,6),INDEX(Despesas!$LC$1:$LO$163,($Q$2-1)*15+6,6)))</f>
        <v>0</v>
      </c>
      <c r="P23" s="1520"/>
      <c r="Q23" s="1521"/>
      <c r="R23" s="1508">
        <f>IF($Q$2="","",IF($Q$2&gt;1,INDEX(Despesas!$LC$19:$LO$163,($Q$2-2)*14+2,7),INDEX(Despesas!$LC$1:$LO$163,($Q$2-1)*15+6,7)))</f>
        <v>0</v>
      </c>
      <c r="S23" s="1509"/>
      <c r="T23" s="1517">
        <f>IF($Q$2="","",IF($Q$2&gt;1,INDEX(Despesas!$LC$19:$LO$163,($Q$2-2)*14+2,8),INDEX(Despesas!$LC$1:$LO$163,($Q$2-1)*15+6,8)))</f>
        <v>0</v>
      </c>
      <c r="U23" s="1518"/>
      <c r="V23" s="1508">
        <f>IF($Q$2="","",IF($Q$2&gt;1,INDEX(Despesas!$LC$19:$LO$163,($Q$2-2)*14+2,9),INDEX(Despesas!$LC$1:$LO$163,($Q$2-1)*15+6,9)))</f>
        <v>0</v>
      </c>
      <c r="W23" s="1509"/>
      <c r="X23" s="476">
        <f>IF($Q$2="","",IF($Q$2&gt;1,INDEX(Despesas!$LC$19:$LO$163,($Q$2-2)*14+2,10),INDEX(Despesas!$LC$1:$LO$163,($Q$2-1)*15+6,10)))</f>
        <v>0</v>
      </c>
      <c r="Y23" s="476">
        <f>IF($Q$2="","",IF($Q$2&gt;1,INDEX(Despesas!$LC$19:$LO$163,($Q$2-2)*14+2,11),INDEX(Despesas!$LC$1:$LO$163,($Q$2-1)*15+6,11)))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IF($Q$2="","",IF($Q$2&gt;1,INDEX(Despesas!$LC$19:$LO$163,($Q$2-2)*14+3,1),INDEX(Despesas!$LC$1:$LO$163,($Q$2-1)*15+7,1)))</f>
        <v/>
      </c>
      <c r="C24" s="1507"/>
      <c r="D24" s="1452" t="str">
        <f>TRIM(IF($Q$2="","",IF($Q$2&gt;1,PROPER(INDEX(Despesas!$LC$19:$LO$163,($Q$2-2)*14+3,2)),PROPER(INDEX(Despesas!$LC$1:$LO$163,($Q$2-1)*15+7,2)))))</f>
        <v/>
      </c>
      <c r="E24" s="1453"/>
      <c r="F24" s="1453"/>
      <c r="G24" s="1454"/>
      <c r="H24" s="1474">
        <f>IF($Q$2="","",IF($Q$2&gt;1,INDEX(Despesas!$LC$19:$LO$163,($Q$2-2)*14+3,3),INDEX(Despesas!$LC$1:$LO$163,($Q$2-1)*15+7,3)))</f>
        <v>0</v>
      </c>
      <c r="I24" s="1475"/>
      <c r="J24" s="1458" t="str">
        <f>TRIM(IF($Q$2="","",IF($Q$2&gt;1,PROPER(INDEX(Despesas!$LC$19:$LO$163,($Q$2-2)*14+3,4)),PROPER(INDEX(Despesas!$LC$1:$LO$163,($Q$2-1)*15+7,4)))))</f>
        <v/>
      </c>
      <c r="K24" s="1459"/>
      <c r="L24" s="1459"/>
      <c r="M24" s="1460"/>
      <c r="N24" s="765">
        <f>IF($Q$2="","",IF($Q$2&gt;1,INDEX(Despesas!$LC$19:$LO$163,($Q$2-2)*14+3,5),INDEX(Despesas!$LC$1:$LO$163,($Q$2-1)*15+7,5)))</f>
        <v>0</v>
      </c>
      <c r="O24" s="1519">
        <f>IF($Q$2="","",IF($Q$2&gt;1,INDEX(Despesas!$LC$19:$LO$163,($Q$2-2)*14+3,6),INDEX(Despesas!$LC$1:$LO$163,($Q$2-1)*15+7,6)))</f>
        <v>0</v>
      </c>
      <c r="P24" s="1520"/>
      <c r="Q24" s="1521"/>
      <c r="R24" s="1508">
        <f>IF($Q$2="","",IF($Q$2&gt;1,INDEX(Despesas!$LC$19:$LO$163,($Q$2-2)*14+3,7),INDEX(Despesas!$LC$1:$LO$163,($Q$2-1)*15+7,7)))</f>
        <v>0</v>
      </c>
      <c r="S24" s="1509"/>
      <c r="T24" s="1517">
        <f>IF($Q$2="","",IF($Q$2&gt;1,INDEX(Despesas!$LC$19:$LO$163,($Q$2-2)*14+3,8),INDEX(Despesas!$LC$1:$LO$163,($Q$2-1)*15+7,8)))</f>
        <v>0</v>
      </c>
      <c r="U24" s="1518"/>
      <c r="V24" s="1508">
        <f>IF($Q$2="","",IF($Q$2&gt;1,INDEX(Despesas!$LC$19:$LO$163,($Q$2-2)*14+3,9),INDEX(Despesas!$LC$1:$LO$163,($Q$2-1)*15+7,9)))</f>
        <v>0</v>
      </c>
      <c r="W24" s="1509"/>
      <c r="X24" s="476">
        <f>IF($Q$2="","",IF($Q$2&gt;1,INDEX(Despesas!$LC$19:$LO$163,($Q$2-2)*14+3,10),INDEX(Despesas!$LC$1:$LO$163,($Q$2-1)*15+7,10)))</f>
        <v>0</v>
      </c>
      <c r="Y24" s="476">
        <f>IF($Q$2="","",IF($Q$2&gt;1,INDEX(Despesas!$LC$19:$LO$163,($Q$2-2)*14+3,11),INDEX(Despesas!$LC$1:$LO$163,($Q$2-1)*15+7,11)))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IF($Q$2="","",IF($Q$2&gt;1,INDEX(Despesas!$LC$19:$LO$163,($Q$2-2)*14+4,1),INDEX(Despesas!$LC$1:$LO$163,($Q$2-1)*15+8,1)))</f>
        <v/>
      </c>
      <c r="C25" s="1507"/>
      <c r="D25" s="1452" t="str">
        <f>TRIM(IF($Q$2="","",IF($Q$2&gt;1,PROPER(INDEX(Despesas!$LC$19:$LO$163,($Q$2-2)*14+4,2)),PROPER(INDEX(Despesas!$LC$1:$LO$163,($Q$2-1)*15+8,2)))))</f>
        <v/>
      </c>
      <c r="E25" s="1453"/>
      <c r="F25" s="1453"/>
      <c r="G25" s="1454"/>
      <c r="H25" s="1474">
        <f>IF($Q$2="","",IF($Q$2&gt;1,INDEX(Despesas!$LC$19:$LO$163,($Q$2-2)*14+4,3),INDEX(Despesas!$LC$1:$LO$163,($Q$2-1)*15+8,3)))</f>
        <v>0</v>
      </c>
      <c r="I25" s="1475"/>
      <c r="J25" s="1458" t="str">
        <f>TRIM(IF($Q$2="","",IF($Q$2&gt;1,PROPER(INDEX(Despesas!$LC$19:$LO$163,($Q$2-2)*14+4,4)),PROPER(INDEX(Despesas!$LC$1:$LO$163,($Q$2-1)*15+8,4)))))</f>
        <v/>
      </c>
      <c r="K25" s="1459"/>
      <c r="L25" s="1459"/>
      <c r="M25" s="1460"/>
      <c r="N25" s="765">
        <f>IF($Q$2="","",IF($Q$2&gt;1,INDEX(Despesas!$LC$19:$LO$163,($Q$2-2)*14+4,5),INDEX(Despesas!$LC$1:$LO$163,($Q$2-1)*15+8,5)))</f>
        <v>0</v>
      </c>
      <c r="O25" s="1519">
        <f>IF($Q$2="","",IF($Q$2&gt;1,INDEX(Despesas!$LC$19:$LO$163,($Q$2-2)*14+4,6),INDEX(Despesas!$LC$1:$LO$163,($Q$2-1)*15+8,6)))</f>
        <v>0</v>
      </c>
      <c r="P25" s="1520"/>
      <c r="Q25" s="1521"/>
      <c r="R25" s="1508">
        <f>IF($Q$2="","",IF($Q$2&gt;1,INDEX(Despesas!$LC$19:$LO$163,($Q$2-2)*14+4,7),INDEX(Despesas!$LC$1:$LO$163,($Q$2-1)*15+8,7)))</f>
        <v>0</v>
      </c>
      <c r="S25" s="1509"/>
      <c r="T25" s="1517">
        <f>IF($Q$2="","",IF($Q$2&gt;1,INDEX(Despesas!$LC$19:$LO$163,($Q$2-2)*14+4,8),INDEX(Despesas!$LC$1:$LO$163,($Q$2-1)*15+8,8)))</f>
        <v>0</v>
      </c>
      <c r="U25" s="1518"/>
      <c r="V25" s="1508">
        <f>IF($Q$2="","",IF($Q$2&gt;1,INDEX(Despesas!$LC$19:$LO$163,($Q$2-2)*14+4,9),INDEX(Despesas!$LC$1:$LO$163,($Q$2-1)*15+8,9)))</f>
        <v>0</v>
      </c>
      <c r="W25" s="1509"/>
      <c r="X25" s="476">
        <f>IF($Q$2="","",IF($Q$2&gt;1,INDEX(Despesas!$LC$19:$LO$163,($Q$2-2)*14+4,10),INDEX(Despesas!$LC$1:$LO$163,($Q$2-1)*15+8,10)))</f>
        <v>0</v>
      </c>
      <c r="Y25" s="476">
        <f>IF($Q$2="","",IF($Q$2&gt;1,INDEX(Despesas!$LC$19:$LO$163,($Q$2-2)*14+4,11),INDEX(Despesas!$LC$1:$LO$163,($Q$2-1)*15+8,11)))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IF($Q$2="","",IF($Q$2&gt;1,INDEX(Despesas!$LC$19:$LO$163,($Q$2-2)*14+5,1),INDEX(Despesas!$LC$1:$LO$163,($Q$2-1)*15+9,1)))</f>
        <v/>
      </c>
      <c r="C26" s="1507"/>
      <c r="D26" s="1452" t="str">
        <f>TRIM(IF($Q$2="","",IF($Q$2&gt;1,PROPER(INDEX(Despesas!$LC$19:$LO$163,($Q$2-2)*14+5,2)),PROPER(INDEX(Despesas!$LC$1:$LO$163,($Q$2-1)*15+9,2)))))</f>
        <v/>
      </c>
      <c r="E26" s="1453"/>
      <c r="F26" s="1453"/>
      <c r="G26" s="1454"/>
      <c r="H26" s="1474">
        <f>IF($Q$2="","",IF($Q$2&gt;1,INDEX(Despesas!$LC$19:$LO$163,($Q$2-2)*14+5,3),INDEX(Despesas!$LC$1:$LO$163,($Q$2-1)*15+9,3)))</f>
        <v>0</v>
      </c>
      <c r="I26" s="1475"/>
      <c r="J26" s="1458" t="str">
        <f>TRIM(IF($Q$2="","",IF($Q$2&gt;1,PROPER(INDEX(Despesas!$LC$19:$LO$163,($Q$2-2)*14+5,4)),PROPER(INDEX(Despesas!$LC$1:$LO$163,($Q$2-1)*15+9,4)))))</f>
        <v/>
      </c>
      <c r="K26" s="1459"/>
      <c r="L26" s="1459"/>
      <c r="M26" s="1460"/>
      <c r="N26" s="765">
        <f>IF($Q$2="","",IF($Q$2&gt;1,INDEX(Despesas!$LC$19:$LO$163,($Q$2-2)*14+5,5),INDEX(Despesas!$LC$1:$LO$163,($Q$2-1)*15+9,5)))</f>
        <v>0</v>
      </c>
      <c r="O26" s="1519">
        <f>IF($Q$2="","",IF($Q$2&gt;1,INDEX(Despesas!$LC$19:$LO$163,($Q$2-2)*14+5,6),INDEX(Despesas!$LC$1:$LO$163,($Q$2-1)*15+9,6)))</f>
        <v>0</v>
      </c>
      <c r="P26" s="1520"/>
      <c r="Q26" s="1521"/>
      <c r="R26" s="1508">
        <f>IF($Q$2="","",IF($Q$2&gt;1,INDEX(Despesas!$LC$19:$LO$163,($Q$2-2)*14+5,7),INDEX(Despesas!$LC$1:$LO$163,($Q$2-1)*15+9,7)))</f>
        <v>0</v>
      </c>
      <c r="S26" s="1509"/>
      <c r="T26" s="1517">
        <f>IF($Q$2="","",IF($Q$2&gt;1,INDEX(Despesas!$LC$19:$LO$163,($Q$2-2)*14+5,8),INDEX(Despesas!$LC$1:$LO$163,($Q$2-1)*15+9,8)))</f>
        <v>0</v>
      </c>
      <c r="U26" s="1518"/>
      <c r="V26" s="1508">
        <f>IF($Q$2="","",IF($Q$2&gt;1,INDEX(Despesas!$LC$19:$LO$163,($Q$2-2)*14+5,9),INDEX(Despesas!$LC$1:$LO$163,($Q$2-1)*15+9,9)))</f>
        <v>0</v>
      </c>
      <c r="W26" s="1509"/>
      <c r="X26" s="476">
        <f>IF($Q$2="","",IF($Q$2&gt;1,INDEX(Despesas!$LC$19:$LO$163,($Q$2-2)*14+5,10),INDEX(Despesas!$LC$1:$LO$163,($Q$2-1)*15+9,10)))</f>
        <v>0</v>
      </c>
      <c r="Y26" s="476">
        <f>IF($Q$2="","",IF($Q$2&gt;1,INDEX(Despesas!$LC$19:$LO$163,($Q$2-2)*14+5,11),INDEX(Despesas!$LC$1:$LO$163,($Q$2-1)*15+9,11)))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IF($Q$2="","",IF($Q$2&gt;1,INDEX(Despesas!$LC$19:$LO$163,($Q$2-2)*14+6,1),INDEX(Despesas!$LC$1:$LO$163,($Q$2-1)*15+10,1)))</f>
        <v/>
      </c>
      <c r="C27" s="1507"/>
      <c r="D27" s="1452" t="str">
        <f>TRIM(IF($Q$2="","",IF($Q$2&gt;1,PROPER(INDEX(Despesas!$LC$19:$LO$163,($Q$2-2)*14+6,2)),PROPER(INDEX(Despesas!$LC$1:$LO$163,($Q$2-1)*15+10,2)))))</f>
        <v/>
      </c>
      <c r="E27" s="1453"/>
      <c r="F27" s="1453"/>
      <c r="G27" s="1454"/>
      <c r="H27" s="1474">
        <f>IF($Q$2="","",IF($Q$2&gt;1,INDEX(Despesas!$LC$19:$LO$163,($Q$2-2)*14+6,3),INDEX(Despesas!$LC$1:$LO$163,($Q$2-1)*15+10,3)))</f>
        <v>0</v>
      </c>
      <c r="I27" s="1475"/>
      <c r="J27" s="1458" t="str">
        <f>TRIM(IF($Q$2="","",IF($Q$2&gt;1,PROPER(INDEX(Despesas!$LC$19:$LO$163,($Q$2-2)*14+6,4)),PROPER(INDEX(Despesas!$LC$1:$LO$163,($Q$2-1)*15+10,4)))))</f>
        <v/>
      </c>
      <c r="K27" s="1459"/>
      <c r="L27" s="1459"/>
      <c r="M27" s="1460"/>
      <c r="N27" s="765">
        <f>IF($Q$2="","",IF($Q$2&gt;1,INDEX(Despesas!$LC$19:$LO$163,($Q$2-2)*14+6,5),INDEX(Despesas!$LC$1:$LO$163,($Q$2-1)*15+10,5)))</f>
        <v>0</v>
      </c>
      <c r="O27" s="1519">
        <f>IF($Q$2="","",IF($Q$2&gt;1,INDEX(Despesas!$LC$19:$LO$163,($Q$2-2)*14+6,6),INDEX(Despesas!$LC$1:$LO$163,($Q$2-1)*15+10,6)))</f>
        <v>0</v>
      </c>
      <c r="P27" s="1520"/>
      <c r="Q27" s="1521"/>
      <c r="R27" s="1508">
        <f>IF($Q$2="","",IF($Q$2&gt;1,INDEX(Despesas!$LC$19:$LO$163,($Q$2-2)*14+6,7),INDEX(Despesas!$LC$1:$LO$163,($Q$2-1)*15+10,7)))</f>
        <v>0</v>
      </c>
      <c r="S27" s="1509"/>
      <c r="T27" s="1517">
        <f>IF($Q$2="","",IF($Q$2&gt;1,INDEX(Despesas!$LC$19:$LO$163,($Q$2-2)*14+6,8),INDEX(Despesas!$LC$1:$LO$163,($Q$2-1)*15+10,8)))</f>
        <v>0</v>
      </c>
      <c r="U27" s="1518"/>
      <c r="V27" s="1508">
        <f>IF($Q$2="","",IF($Q$2&gt;1,INDEX(Despesas!$LC$19:$LO$163,($Q$2-2)*14+6,9),INDEX(Despesas!$LC$1:$LO$163,($Q$2-1)*15+10,9)))</f>
        <v>0</v>
      </c>
      <c r="W27" s="1509"/>
      <c r="X27" s="476">
        <f>IF($Q$2="","",IF($Q$2&gt;1,INDEX(Despesas!$LC$19:$LO$163,($Q$2-2)*14+6,10),INDEX(Despesas!$LC$1:$LO$163,($Q$2-1)*15+10,10)))</f>
        <v>0</v>
      </c>
      <c r="Y27" s="476">
        <f>IF($Q$2="","",IF($Q$2&gt;1,INDEX(Despesas!$LC$19:$LO$163,($Q$2-2)*14+6,11),INDEX(Despesas!$LC$1:$LO$163,($Q$2-1)*15+10,11)))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IF($Q$2="","",IF($Q$2&gt;1,INDEX(Despesas!$LC$19:$LO$163,($Q$2-2)*14+7,1),INDEX(Despesas!$LC$1:$LO$163,($Q$2-1)*15+11,1)))</f>
        <v/>
      </c>
      <c r="C28" s="1507"/>
      <c r="D28" s="1452" t="str">
        <f>TRIM(IF($Q$2="","",IF($Q$2&gt;1,PROPER(INDEX(Despesas!$LC$19:$LO$163,($Q$2-2)*14+7,2)),PROPER(INDEX(Despesas!$LC$1:$LO$163,($Q$2-1)*15+11,2)))))</f>
        <v/>
      </c>
      <c r="E28" s="1453"/>
      <c r="F28" s="1453"/>
      <c r="G28" s="1454"/>
      <c r="H28" s="1474">
        <f>IF($Q$2="","",IF($Q$2&gt;1,INDEX(Despesas!$LC$19:$LO$163,($Q$2-2)*14+7,3),INDEX(Despesas!$LC$1:$LO$163,($Q$2-1)*15+11,3)))</f>
        <v>0</v>
      </c>
      <c r="I28" s="1475"/>
      <c r="J28" s="1458" t="str">
        <f>TRIM(IF($Q$2="","",IF($Q$2&gt;1,PROPER(INDEX(Despesas!$LC$19:$LO$163,($Q$2-2)*14+7,4)),PROPER(INDEX(Despesas!$LC$1:$LO$163,($Q$2-1)*15+11,4)))))</f>
        <v/>
      </c>
      <c r="K28" s="1459"/>
      <c r="L28" s="1459"/>
      <c r="M28" s="1460"/>
      <c r="N28" s="765">
        <f>IF($Q$2="","",IF($Q$2&gt;1,INDEX(Despesas!$LC$19:$LO$163,($Q$2-2)*14+7,5),INDEX(Despesas!$LC$1:$LO$163,($Q$2-1)*15+11,5)))</f>
        <v>0</v>
      </c>
      <c r="O28" s="1519">
        <f>IF($Q$2="","",IF($Q$2&gt;1,INDEX(Despesas!$LC$19:$LO$163,($Q$2-2)*14+7,6),INDEX(Despesas!$LC$1:$LO$163,($Q$2-1)*15+11,6)))</f>
        <v>0</v>
      </c>
      <c r="P28" s="1520"/>
      <c r="Q28" s="1521"/>
      <c r="R28" s="1508">
        <f>IF($Q$2="","",IF($Q$2&gt;1,INDEX(Despesas!$LC$19:$LO$163,($Q$2-2)*14+7,7),INDEX(Despesas!$LC$1:$LO$163,($Q$2-1)*15+11,7)))</f>
        <v>0</v>
      </c>
      <c r="S28" s="1509"/>
      <c r="T28" s="1517">
        <f>IF($Q$2="","",IF($Q$2&gt;1,INDEX(Despesas!$LC$19:$LO$163,($Q$2-2)*14+7,8),INDEX(Despesas!$LC$1:$LO$163,($Q$2-1)*15+11,8)))</f>
        <v>0</v>
      </c>
      <c r="U28" s="1518"/>
      <c r="V28" s="1508">
        <f>IF($Q$2="","",IF($Q$2&gt;1,INDEX(Despesas!$LC$19:$LO$163,($Q$2-2)*14+7,9),INDEX(Despesas!$LC$1:$LO$163,($Q$2-1)*15+11,9)))</f>
        <v>0</v>
      </c>
      <c r="W28" s="1509"/>
      <c r="X28" s="476">
        <f>IF($Q$2="","",IF($Q$2&gt;1,INDEX(Despesas!$LC$19:$LO$163,($Q$2-2)*14+7,10),INDEX(Despesas!$LC$1:$LO$163,($Q$2-1)*15+11,10)))</f>
        <v>0</v>
      </c>
      <c r="Y28" s="476">
        <f>IF($Q$2="","",IF($Q$2&gt;1,INDEX(Despesas!$LC$19:$LO$163,($Q$2-2)*14+7,11),INDEX(Despesas!$LC$1:$LO$163,($Q$2-1)*15+11,11)))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IF($Q$2="","",IF($Q$2&gt;1,INDEX(Despesas!$LC$19:$LO$163,($Q$2-2)*14+8,1),INDEX(Despesas!$LC$1:$LO$163,($Q$2-1)*15+12,1)))</f>
        <v/>
      </c>
      <c r="C29" s="1507"/>
      <c r="D29" s="1452" t="str">
        <f>TRIM(IF($Q$2="","",IF($Q$2&gt;1,PROPER(INDEX(Despesas!$LC$19:$LO$163,($Q$2-2)*14+8,2)),PROPER(INDEX(Despesas!$LC$1:$LO$163,($Q$2-1)*15+12,2)))))</f>
        <v/>
      </c>
      <c r="E29" s="1453"/>
      <c r="F29" s="1453"/>
      <c r="G29" s="1454"/>
      <c r="H29" s="1474">
        <f>IF($Q$2="","",IF($Q$2&gt;1,INDEX(Despesas!$LC$19:$LO$163,($Q$2-2)*14+8,3),INDEX(Despesas!$LC$1:$LO$163,($Q$2-1)*15+12,3)))</f>
        <v>0</v>
      </c>
      <c r="I29" s="1475"/>
      <c r="J29" s="1458" t="str">
        <f>TRIM(IF($Q$2="","",IF($Q$2&gt;1,PROPER(INDEX(Despesas!$LC$19:$LO$163,($Q$2-2)*14+8,4)),PROPER(INDEX(Despesas!$LC$1:$LO$163,($Q$2-1)*15+12,4)))))</f>
        <v/>
      </c>
      <c r="K29" s="1459"/>
      <c r="L29" s="1459"/>
      <c r="M29" s="1460"/>
      <c r="N29" s="765">
        <f>IF($Q$2="","",IF($Q$2&gt;1,INDEX(Despesas!$LC$19:$LO$163,($Q$2-2)*14+8,5),INDEX(Despesas!$LC$1:$LO$163,($Q$2-1)*15+12,5)))</f>
        <v>0</v>
      </c>
      <c r="O29" s="1519">
        <f>IF($Q$2="","",IF($Q$2&gt;1,INDEX(Despesas!$LC$19:$LO$163,($Q$2-2)*14+8,6),INDEX(Despesas!$LC$1:$LO$163,($Q$2-1)*15+12,6)))</f>
        <v>0</v>
      </c>
      <c r="P29" s="1520"/>
      <c r="Q29" s="1521"/>
      <c r="R29" s="1508">
        <f>IF($Q$2="","",IF($Q$2&gt;1,INDEX(Despesas!$LC$19:$LO$163,($Q$2-2)*14+8,7),INDEX(Despesas!$LC$1:$LO$163,($Q$2-1)*15+12,7)))</f>
        <v>0</v>
      </c>
      <c r="S29" s="1509"/>
      <c r="T29" s="1517">
        <f>IF($Q$2="","",IF($Q$2&gt;1,INDEX(Despesas!$LC$19:$LO$163,($Q$2-2)*14+8,8),INDEX(Despesas!$LC$1:$LO$163,($Q$2-1)*15+12,8)))</f>
        <v>0</v>
      </c>
      <c r="U29" s="1518"/>
      <c r="V29" s="1508">
        <f>IF($Q$2="","",IF($Q$2&gt;1,INDEX(Despesas!$LC$19:$LO$163,($Q$2-2)*14+8,9),INDEX(Despesas!$LC$1:$LO$163,($Q$2-1)*15+12,9)))</f>
        <v>0</v>
      </c>
      <c r="W29" s="1509"/>
      <c r="X29" s="476">
        <f>IF($Q$2="","",IF($Q$2&gt;1,INDEX(Despesas!$LC$19:$LO$163,($Q$2-2)*14+8,10),INDEX(Despesas!$LC$1:$LO$163,($Q$2-1)*15+12,10)))</f>
        <v>0</v>
      </c>
      <c r="Y29" s="476">
        <f>IF($Q$2="","",IF($Q$2&gt;1,INDEX(Despesas!$LC$19:$LO$163,($Q$2-2)*14+8,11),INDEX(Despesas!$LC$1:$LO$163,($Q$2-1)*15+12,11)))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IF($Q$2="","",IF($Q$2&gt;1,INDEX(Despesas!$LC$19:$LO$163,($Q$2-2)*14+9,1),INDEX(Despesas!$LC$1:$LO$163,($Q$2-1)*15+13,1)))</f>
        <v/>
      </c>
      <c r="C30" s="1507"/>
      <c r="D30" s="1452" t="str">
        <f>TRIM(IF($Q$2="","",IF($Q$2&gt;1,PROPER(INDEX(Despesas!$LC$19:$LO$163,($Q$2-2)*14+9,2)),PROPER(INDEX(Despesas!$LC$1:$LO$163,($Q$2-1)*15+13,2)))))</f>
        <v/>
      </c>
      <c r="E30" s="1453"/>
      <c r="F30" s="1453"/>
      <c r="G30" s="1454"/>
      <c r="H30" s="1474">
        <f>IF($Q$2="","",IF($Q$2&gt;1,INDEX(Despesas!$LC$19:$LO$163,($Q$2-2)*14+9,3),INDEX(Despesas!$LC$1:$LO$163,($Q$2-1)*15+13,3)))</f>
        <v>0</v>
      </c>
      <c r="I30" s="1475"/>
      <c r="J30" s="1458" t="str">
        <f>TRIM(IF($Q$2="","",IF($Q$2&gt;1,PROPER(INDEX(Despesas!$LC$19:$LO$163,($Q$2-2)*14+9,4)),PROPER(INDEX(Despesas!$LC$1:$LO$163,($Q$2-1)*15+13,4)))))</f>
        <v/>
      </c>
      <c r="K30" s="1459"/>
      <c r="L30" s="1459"/>
      <c r="M30" s="1460"/>
      <c r="N30" s="765">
        <f>IF($Q$2="","",IF($Q$2&gt;1,INDEX(Despesas!$LC$19:$LO$163,($Q$2-2)*14+9,5),INDEX(Despesas!$LC$1:$LO$163,($Q$2-1)*15+13,5)))</f>
        <v>0</v>
      </c>
      <c r="O30" s="1519">
        <f>IF($Q$2="","",IF($Q$2&gt;1,INDEX(Despesas!$LC$19:$LO$163,($Q$2-2)*14+9,6),INDEX(Despesas!$LC$1:$LO$163,($Q$2-1)*15+13,6)))</f>
        <v>0</v>
      </c>
      <c r="P30" s="1520"/>
      <c r="Q30" s="1521"/>
      <c r="R30" s="1508">
        <f>IF($Q$2="","",IF($Q$2&gt;1,INDEX(Despesas!$LC$19:$LO$163,($Q$2-2)*14+9,7),INDEX(Despesas!$LC$1:$LO$163,($Q$2-1)*15+13,7)))</f>
        <v>0</v>
      </c>
      <c r="S30" s="1509"/>
      <c r="T30" s="1517">
        <f>IF($Q$2="","",IF($Q$2&gt;1,INDEX(Despesas!$LC$19:$LO$163,($Q$2-2)*14+9,8),INDEX(Despesas!$LC$1:$LO$163,($Q$2-1)*15+13,8)))</f>
        <v>0</v>
      </c>
      <c r="U30" s="1518"/>
      <c r="V30" s="1508">
        <f>IF($Q$2="","",IF($Q$2&gt;1,INDEX(Despesas!$LC$19:$LO$163,($Q$2-2)*14+9,9),INDEX(Despesas!$LC$1:$LO$163,($Q$2-1)*15+13,9)))</f>
        <v>0</v>
      </c>
      <c r="W30" s="1509"/>
      <c r="X30" s="476">
        <f>IF($Q$2="","",IF($Q$2&gt;1,INDEX(Despesas!$LC$19:$LO$163,($Q$2-2)*14+9,10),INDEX(Despesas!$LC$1:$LO$163,($Q$2-1)*15+13,10)))</f>
        <v>0</v>
      </c>
      <c r="Y30" s="476">
        <f>IF($Q$2="","",IF($Q$2&gt;1,INDEX(Despesas!$LC$19:$LO$163,($Q$2-2)*14+9,11),INDEX(Despesas!$LC$1:$LO$163,($Q$2-1)*15+13,11)))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IF($Q$2="","",IF($Q$2&gt;1,INDEX(Despesas!$LC$19:$LO$163,($Q$2-2)*14+10,1),INDEX(Despesas!$LC$1:$LO$163,($Q$2-1)*15+14,1)))</f>
        <v/>
      </c>
      <c r="C31" s="1507"/>
      <c r="D31" s="1452" t="str">
        <f>TRIM(IF($Q$2="","",IF($Q$2&gt;1,PROPER(INDEX(Despesas!$LC$19:$LO$163,($Q$2-2)*14+10,2)),PROPER(INDEX(Despesas!$LC$1:$LO$163,($Q$2-1)*15+14,2)))))</f>
        <v/>
      </c>
      <c r="E31" s="1453"/>
      <c r="F31" s="1453"/>
      <c r="G31" s="1454"/>
      <c r="H31" s="1474">
        <f>IF($Q$2="","",IF($Q$2&gt;1,INDEX(Despesas!$LC$19:$LO$163,($Q$2-2)*14+10,3),INDEX(Despesas!$LC$1:$LO$163,($Q$2-1)*15+14,3)))</f>
        <v>0</v>
      </c>
      <c r="I31" s="1475"/>
      <c r="J31" s="1458" t="str">
        <f>TRIM(IF($Q$2="","",IF($Q$2&gt;1,PROPER(INDEX(Despesas!$LC$19:$LO$163,($Q$2-2)*14+10,4)),PROPER(INDEX(Despesas!$LC$1:$LO$163,($Q$2-1)*15+14,4)))))</f>
        <v/>
      </c>
      <c r="K31" s="1459"/>
      <c r="L31" s="1459"/>
      <c r="M31" s="1460"/>
      <c r="N31" s="765">
        <f>IF($Q$2="","",IF($Q$2&gt;1,INDEX(Despesas!$LC$19:$LO$163,($Q$2-2)*14+10,5),INDEX(Despesas!$LC$1:$LO$163,($Q$2-1)*15+14,5)))</f>
        <v>0</v>
      </c>
      <c r="O31" s="1519">
        <f>IF($Q$2="","",IF($Q$2&gt;1,INDEX(Despesas!$LC$19:$LO$163,($Q$2-2)*14+10,6),INDEX(Despesas!$LC$1:$LO$163,($Q$2-1)*15+14,6)))</f>
        <v>0</v>
      </c>
      <c r="P31" s="1520"/>
      <c r="Q31" s="1521"/>
      <c r="R31" s="1508">
        <f>IF($Q$2="","",IF($Q$2&gt;1,INDEX(Despesas!$LC$19:$LO$163,($Q$2-2)*14+10,7),INDEX(Despesas!$LC$1:$LO$163,($Q$2-1)*15+14,7)))</f>
        <v>0</v>
      </c>
      <c r="S31" s="1509"/>
      <c r="T31" s="1517">
        <f>IF($Q$2="","",IF($Q$2&gt;1,INDEX(Despesas!$LC$19:$LO$163,($Q$2-2)*14+10,8),INDEX(Despesas!$LC$1:$LO$163,($Q$2-1)*15+14,8)))</f>
        <v>0</v>
      </c>
      <c r="U31" s="1518"/>
      <c r="V31" s="1508">
        <f>IF($Q$2="","",IF($Q$2&gt;1,INDEX(Despesas!$LC$19:$LO$163,($Q$2-2)*14+10,9),INDEX(Despesas!$LC$1:$LO$163,($Q$2-1)*15+14,9)))</f>
        <v>0</v>
      </c>
      <c r="W31" s="1509"/>
      <c r="X31" s="476">
        <f>IF($Q$2="","",IF($Q$2&gt;1,INDEX(Despesas!$LC$19:$LO$163,($Q$2-2)*14+10,10),INDEX(Despesas!$LC$1:$LO$163,($Q$2-1)*15+14,10)))</f>
        <v>0</v>
      </c>
      <c r="Y31" s="476">
        <f>IF($Q$2="","",IF($Q$2&gt;1,INDEX(Despesas!$LC$19:$LO$163,($Q$2-2)*14+10,11),INDEX(Despesas!$LC$1:$LO$163,($Q$2-1)*15+14,11)))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IF($Q$2="","",IF($Q$2&gt;1,INDEX(Despesas!$LC$19:$LO$163,($Q$2-2)*14+11,1),INDEX(Despesas!$LC$1:$LO$163,($Q$2-1)*15+15,1)))</f>
        <v/>
      </c>
      <c r="C32" s="1507"/>
      <c r="D32" s="1452" t="str">
        <f>TRIM(IF($Q$2="","",IF($Q$2&gt;1,PROPER(INDEX(Despesas!$LC$19:$LO$163,($Q$2-2)*14+11,2)),PROPER(INDEX(Despesas!$LC$1:$LO$163,($Q$2-1)*15+15,2)))))</f>
        <v/>
      </c>
      <c r="E32" s="1453"/>
      <c r="F32" s="1453"/>
      <c r="G32" s="1454"/>
      <c r="H32" s="1474">
        <f>IF($Q$2="","",IF($Q$2&gt;1,INDEX(Despesas!$LC$19:$LO$163,($Q$2-2)*14+11,3),INDEX(Despesas!$LC$1:$LO$163,($Q$2-1)*15+15,3)))</f>
        <v>0</v>
      </c>
      <c r="I32" s="1475"/>
      <c r="J32" s="1458" t="str">
        <f>TRIM(IF($Q$2="","",IF($Q$2&gt;1,PROPER(INDEX(Despesas!$LC$19:$LO$163,($Q$2-2)*14+11,4)),PROPER(INDEX(Despesas!$LC$1:$LO$163,($Q$2-1)*15+15,4)))))</f>
        <v/>
      </c>
      <c r="K32" s="1459"/>
      <c r="L32" s="1459"/>
      <c r="M32" s="1460"/>
      <c r="N32" s="765">
        <f>IF($Q$2="","",IF($Q$2&gt;1,INDEX(Despesas!$LC$19:$LO$163,($Q$2-2)*14+11,5),INDEX(Despesas!$LC$1:$LO$163,($Q$2-1)*15+15,5)))</f>
        <v>0</v>
      </c>
      <c r="O32" s="1519">
        <f>IF($Q$2="","",IF($Q$2&gt;1,INDEX(Despesas!$LC$19:$LO$163,($Q$2-2)*14+11,6),INDEX(Despesas!$LC$1:$LO$163,($Q$2-1)*15+15,6)))</f>
        <v>0</v>
      </c>
      <c r="P32" s="1520"/>
      <c r="Q32" s="1521"/>
      <c r="R32" s="1508">
        <f>IF($Q$2="","",IF($Q$2&gt;1,INDEX(Despesas!$LC$19:$LO$163,($Q$2-2)*14+11,7),INDEX(Despesas!$LC$1:$LO$163,($Q$2-1)*15+15,7)))</f>
        <v>0</v>
      </c>
      <c r="S32" s="1509"/>
      <c r="T32" s="1517">
        <f>IF($Q$2="","",IF($Q$2&gt;1,INDEX(Despesas!$LC$19:$LO$163,($Q$2-2)*14+11,8),INDEX(Despesas!$LC$1:$LO$163,($Q$2-1)*15+15,8)))</f>
        <v>0</v>
      </c>
      <c r="U32" s="1518"/>
      <c r="V32" s="1508">
        <f>IF($Q$2="","",IF($Q$2&gt;1,INDEX(Despesas!$LC$19:$LO$163,($Q$2-2)*14+11,9),INDEX(Despesas!$LC$1:$LO$163,($Q$2-1)*15+15,9)))</f>
        <v>0</v>
      </c>
      <c r="W32" s="1509"/>
      <c r="X32" s="476">
        <f>IF($Q$2="","",IF($Q$2&gt;1,INDEX(Despesas!$LC$19:$LO$163,($Q$2-2)*14+11,10),INDEX(Despesas!$LC$1:$LO$163,($Q$2-1)*15+15,10)))</f>
        <v>0</v>
      </c>
      <c r="Y32" s="476">
        <f>IF($Q$2="","",IF($Q$2&gt;1,INDEX(Despesas!$LC$19:$LO$163,($Q$2-2)*14+11,11),INDEX(Despesas!$LC$1:$LO$163,($Q$2-1)*15+15,11)))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IF($Q$2="","",IF($Q$2&gt;1,INDEX(Despesas!$LC$19:$LO$163,($Q$2-2)*14+12,1),INDEX(Despesas!$LC$1:$LO$163,($Q$2-1)*15+16,1)))</f>
        <v/>
      </c>
      <c r="C33" s="1507"/>
      <c r="D33" s="1452" t="str">
        <f>TRIM(IF($Q$2="","",IF($Q$2&gt;1,PROPER(INDEX(Despesas!$LC$19:$LO$163,($Q$2-2)*14+12,2)),PROPER(INDEX(Despesas!$LC$1:$LO$163,($Q$2-1)*15+16,2)))))</f>
        <v/>
      </c>
      <c r="E33" s="1453"/>
      <c r="F33" s="1453"/>
      <c r="G33" s="1454"/>
      <c r="H33" s="1474">
        <f>IF($Q$2="","",IF($Q$2&gt;1,INDEX(Despesas!$LC$19:$LO$163,($Q$2-2)*14+12,3),INDEX(Despesas!$LC$1:$LO$163,($Q$2-1)*15+16,3)))</f>
        <v>0</v>
      </c>
      <c r="I33" s="1475"/>
      <c r="J33" s="1458" t="str">
        <f>TRIM(IF($Q$2="","",IF($Q$2&gt;1,PROPER(INDEX(Despesas!$LC$19:$LO$163,($Q$2-2)*14+12,4)),PROPER(INDEX(Despesas!$LC$1:$LO$163,($Q$2-1)*15+16,4)))))</f>
        <v/>
      </c>
      <c r="K33" s="1459"/>
      <c r="L33" s="1459"/>
      <c r="M33" s="1460"/>
      <c r="N33" s="765">
        <f>IF($Q$2="","",IF($Q$2&gt;1,INDEX(Despesas!$LC$19:$LO$163,($Q$2-2)*14+12,5),INDEX(Despesas!$LC$1:$LO$163,($Q$2-1)*15+16,5)))</f>
        <v>0</v>
      </c>
      <c r="O33" s="1519">
        <f>IF($Q$2="","",IF($Q$2&gt;1,INDEX(Despesas!$LC$19:$LO$163,($Q$2-2)*14+12,6),INDEX(Despesas!$LC$1:$LO$163,($Q$2-1)*15+16,6)))</f>
        <v>0</v>
      </c>
      <c r="P33" s="1520"/>
      <c r="Q33" s="1521"/>
      <c r="R33" s="1508">
        <f>IF($Q$2="","",IF($Q$2&gt;1,INDEX(Despesas!$LC$19:$LO$163,($Q$2-2)*14+12,7),INDEX(Despesas!$LC$1:$LO$163,($Q$2-1)*15+16,7)))</f>
        <v>0</v>
      </c>
      <c r="S33" s="1509"/>
      <c r="T33" s="1517">
        <f>IF($Q$2="","",IF($Q$2&gt;1,INDEX(Despesas!$LC$19:$LO$163,($Q$2-2)*14+12,8),INDEX(Despesas!$LC$1:$LO$163,($Q$2-1)*15+16,8)))</f>
        <v>0</v>
      </c>
      <c r="U33" s="1518"/>
      <c r="V33" s="1508">
        <f>IF($Q$2="","",IF($Q$2&gt;1,INDEX(Despesas!$LC$19:$LO$163,($Q$2-2)*14+12,9),INDEX(Despesas!$LC$1:$LO$163,($Q$2-1)*15+16,9)))</f>
        <v>0</v>
      </c>
      <c r="W33" s="1509"/>
      <c r="X33" s="476">
        <f>IF($Q$2="","",IF($Q$2&gt;1,INDEX(Despesas!$LC$19:$LO$163,($Q$2-2)*14+12,10),INDEX(Despesas!$LC$1:$LO$163,($Q$2-1)*15+16,10)))</f>
        <v>0</v>
      </c>
      <c r="Y33" s="476">
        <f>IF($Q$2="","",IF($Q$2&gt;1,INDEX(Despesas!$LC$19:$LO$163,($Q$2-2)*14+12,11),INDEX(Despesas!$LC$1:$LO$163,($Q$2-1)*15+16,11)))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IF($Q$2="","",IF($Q$2&gt;1,INDEX(Despesas!$LC$19:$LO$163,($Q$2-2)*14+13,1),INDEX(Despesas!$LC$1:$LO$163,($Q$2-1)*15+17,1)))</f>
        <v/>
      </c>
      <c r="C34" s="1507"/>
      <c r="D34" s="1452" t="str">
        <f>TRIM(IF($Q$2="","",IF($Q$2&gt;1,PROPER(INDEX(Despesas!$LC$19:$LO$163,($Q$2-2)*14+13,2)),PROPER(INDEX(Despesas!$LC$1:$LO$163,($Q$2-1)*15+17,2)))))</f>
        <v/>
      </c>
      <c r="E34" s="1453"/>
      <c r="F34" s="1453"/>
      <c r="G34" s="1454"/>
      <c r="H34" s="1474">
        <f>IF($Q$2="","",IF($Q$2&gt;1,INDEX(Despesas!$LC$19:$LO$163,($Q$2-2)*14+13,3),INDEX(Despesas!$LC$1:$LO$163,($Q$2-1)*15+17,3)))</f>
        <v>0</v>
      </c>
      <c r="I34" s="1475"/>
      <c r="J34" s="1458" t="str">
        <f>TRIM(IF($Q$2="","",IF($Q$2&gt;1,PROPER(INDEX(Despesas!$LC$19:$LO$163,($Q$2-2)*14+13,4)),PROPER(INDEX(Despesas!$LC$1:$LO$163,($Q$2-1)*15+17,4)))))</f>
        <v/>
      </c>
      <c r="K34" s="1459"/>
      <c r="L34" s="1459"/>
      <c r="M34" s="1460"/>
      <c r="N34" s="765">
        <f>IF($Q$2="","",IF($Q$2&gt;1,INDEX(Despesas!$LC$19:$LO$163,($Q$2-2)*14+13,5),INDEX(Despesas!$LC$1:$LO$163,($Q$2-1)*15+17,5)))</f>
        <v>0</v>
      </c>
      <c r="O34" s="1519">
        <f>IF($Q$2="","",IF($Q$2&gt;1,INDEX(Despesas!$LC$19:$LO$163,($Q$2-2)*14+13,6),INDEX(Despesas!$LC$1:$LO$163,($Q$2-1)*15+17,6)))</f>
        <v>0</v>
      </c>
      <c r="P34" s="1520"/>
      <c r="Q34" s="1521"/>
      <c r="R34" s="1508">
        <f>IF($Q$2="","",IF($Q$2&gt;1,INDEX(Despesas!$LC$19:$LO$163,($Q$2-2)*14+13,7),INDEX(Despesas!$LC$1:$LO$163,($Q$2-1)*15+17,7)))</f>
        <v>0</v>
      </c>
      <c r="S34" s="1509"/>
      <c r="T34" s="1517">
        <f>IF($Q$2="","",IF($Q$2&gt;1,INDEX(Despesas!$LC$19:$LO$163,($Q$2-2)*14+13,8),INDEX(Despesas!$LC$1:$LO$163,($Q$2-1)*15+17,8)))</f>
        <v>0</v>
      </c>
      <c r="U34" s="1518"/>
      <c r="V34" s="1508">
        <f>IF($Q$2="","",IF($Q$2&gt;1,INDEX(Despesas!$LC$19:$LO$163,($Q$2-2)*14+13,9),INDEX(Despesas!$LC$1:$LO$163,($Q$2-1)*15+17,9)))</f>
        <v>0</v>
      </c>
      <c r="W34" s="1509"/>
      <c r="X34" s="476">
        <f>IF($Q$2="","",IF($Q$2&gt;1,INDEX(Despesas!$LC$19:$LO$163,($Q$2-2)*14+13,10),INDEX(Despesas!$LC$1:$LO$163,($Q$2-1)*15+17,10)))</f>
        <v>0</v>
      </c>
      <c r="Y34" s="476">
        <f>IF($Q$2="","",IF($Q$2&gt;1,INDEX(Despesas!$LC$19:$LO$163,($Q$2-2)*14+13,11),INDEX(Despesas!$LC$1:$LO$163,($Q$2-1)*15+17,11)))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IF($Q$2="","",IF($Q$2&gt;1,INDEX(Despesas!$LC$19:$LO$163,($Q$2-2)*14+14,1),INDEX(Despesas!$LC$1:$LO$163,($Q$2-1)*15+18,1)))</f>
        <v/>
      </c>
      <c r="C35" s="1591"/>
      <c r="D35" s="1455" t="str">
        <f>TRIM(IF($Q$2="","",IF($Q$2&gt;1,PROPER(INDEX(Despesas!$LC$19:$LO$163,($Q$2-2)*14+14,2)),PROPER(INDEX(Despesas!$LC$1:$LO$163,($Q$2-1)*15+18,2)))))</f>
        <v/>
      </c>
      <c r="E35" s="1456"/>
      <c r="F35" s="1456"/>
      <c r="G35" s="1457"/>
      <c r="H35" s="1474">
        <f>IF($Q$2="","",IF($Q$2&gt;1,INDEX(Despesas!$LC$19:$LO$163,($Q$2-2)*14+14,3),INDEX(Despesas!$LC$1:$LO$163,($Q$2-1)*15+18,3)))</f>
        <v>0</v>
      </c>
      <c r="I35" s="1475"/>
      <c r="J35" s="1587" t="str">
        <f>TRIM(IF($Q$2="","",IF($Q$2&gt;1,PROPER(INDEX(Despesas!$LC$19:$LO$163,($Q$2-2)*14+14,4)),PROPER(INDEX(Despesas!$LC$1:$LO$163,($Q$2-1)*15+18,4)))))</f>
        <v/>
      </c>
      <c r="K35" s="1588"/>
      <c r="L35" s="1588"/>
      <c r="M35" s="1589"/>
      <c r="N35" s="765">
        <f>IF($Q$2="","",IF($Q$2&gt;1,INDEX(Despesas!$LC$19:$LO$163,($Q$2-2)*14+14,5),INDEX(Despesas!$LC$1:$LO$163,($Q$2-1)*15+18,5)))</f>
        <v>0</v>
      </c>
      <c r="O35" s="1519">
        <f>IF($Q$2="","",IF($Q$2&gt;1,INDEX(Despesas!$LC$19:$LO$163,($Q$2-2)*14+14,6),INDEX(Despesas!$LC$1:$LO$163,($Q$2-1)*15+18,6)))</f>
        <v>0</v>
      </c>
      <c r="P35" s="1520"/>
      <c r="Q35" s="1521"/>
      <c r="R35" s="1571">
        <f>IF($Q$2="","",IF($Q$2&gt;1,INDEX(Despesas!$LC$19:$LO$163,($Q$2-2)*14+14,7),INDEX(Despesas!$LC$1:$LO$163,($Q$2-1)*15+18,7)))</f>
        <v>0</v>
      </c>
      <c r="S35" s="1572"/>
      <c r="T35" s="1517">
        <f>IF($Q$2="","",IF($Q$2&gt;1,INDEX(Despesas!$LC$19:$LO$163,($Q$2-2)*14+14,8),INDEX(Despesas!$LC$1:$LO$163,($Q$2-1)*15+18,8)))</f>
        <v>0</v>
      </c>
      <c r="U35" s="1518"/>
      <c r="V35" s="1571">
        <f>IF($Q$2="","",IF($Q$2&gt;1,INDEX(Despesas!$LC$19:$LO$163,($Q$2-2)*14+14,9),INDEX(Despesas!$LC$1:$LO$163,($Q$2-1)*15+18,9)))</f>
        <v>0</v>
      </c>
      <c r="W35" s="1572"/>
      <c r="X35" s="476">
        <f>IF($Q$2="","",IF($Q$2&gt;1,INDEX(Despesas!$LC$19:$LO$163,($Q$2-2)*14+14,10),INDEX(Despesas!$LC$1:$LO$163,($Q$2-1)*15+18,10)))</f>
        <v>0</v>
      </c>
      <c r="Y35" s="476">
        <f>IF($Q$2="","",IF($Q$2&gt;1,INDEX(Despesas!$LC$19:$LO$163,($Q$2-2)*14+14,11),INDEX(Despesas!$LC$1:$LO$163,($Q$2-1)*15+18,11)))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"&amp;(Ata!B68))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IF(Ata!$BK$64&gt;0,Ata!$BK$64,"")</f>
        <v>#VALUE!</v>
      </c>
      <c r="E41" s="406" t="e">
        <f>IF(Ata!$BL$64&gt;0,Ata!$BL$64,"")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214" priority="6" stopIfTrue="1" operator="lessThanOrEqual">
      <formula>0</formula>
    </cfRule>
  </conditionalFormatting>
  <conditionalFormatting sqref="J18:Y18">
    <cfRule type="expression" dxfId="213" priority="5" stopIfTrue="1">
      <formula>$P$16&gt;$M$16</formula>
    </cfRule>
    <cfRule type="expression" dxfId="212" priority="7" stopIfTrue="1">
      <formula>$P$15&gt;$M$15</formula>
    </cfRule>
  </conditionalFormatting>
  <conditionalFormatting sqref="J9:Y9">
    <cfRule type="expression" dxfId="211" priority="8" stopIfTrue="1">
      <formula>$T$15&lt;0</formula>
    </cfRule>
    <cfRule type="expression" dxfId="210" priority="9" stopIfTrue="1">
      <formula>$T$16&lt;0</formula>
    </cfRule>
  </conditionalFormatting>
  <conditionalFormatting sqref="P15:R15">
    <cfRule type="expression" dxfId="209" priority="10" stopIfTrue="1">
      <formula>$P$15&gt;$M$15</formula>
    </cfRule>
  </conditionalFormatting>
  <conditionalFormatting sqref="P16:R16">
    <cfRule type="expression" dxfId="208" priority="11" stopIfTrue="1">
      <formula>$P$16&gt;$M$16</formula>
    </cfRule>
  </conditionalFormatting>
  <conditionalFormatting sqref="J46:Q46 J49:Q49">
    <cfRule type="cellIs" dxfId="207" priority="12" stopIfTrue="1" operator="equal">
      <formula>0</formula>
    </cfRule>
  </conditionalFormatting>
  <conditionalFormatting sqref="B21:Y35">
    <cfRule type="cellIs" dxfId="206" priority="1" operator="equal">
      <formula>0</formula>
    </cfRule>
    <cfRule type="expression" dxfId="20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Despesas!$AM$54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682"/>
      <c r="U5" s="682"/>
      <c r="V5" s="682"/>
      <c r="W5" s="682"/>
      <c r="X5" s="682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1132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684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Dados!$F$32</f>
        <v/>
      </c>
      <c r="D15" s="1607"/>
      <c r="E15" s="1607"/>
      <c r="F15" s="49" t="s">
        <v>294</v>
      </c>
      <c r="G15" s="1470" t="str">
        <f>Dados!$F$30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Despesas!$AL$66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Dados!$I$32</f>
        <v/>
      </c>
      <c r="D16" s="1606"/>
      <c r="E16" s="1606"/>
      <c r="F16" s="48" t="s">
        <v>293</v>
      </c>
      <c r="G16" s="1463" t="str">
        <f>Dados!$I$30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Despesas!$AM$66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685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IF($Q$2="","",IF($Q$2&gt;1,"",INDEX(Despesas!$LP$1:$MB$163,($Q$2-1)*15+4,1)))</f>
        <v/>
      </c>
      <c r="C21" s="1554"/>
      <c r="D21" s="1559" t="str">
        <f>TRIM(IF($Q$2="","",IF($Q$2&gt;1,"De transporte ..........",PROPER(INDEX(Despesas!$LP$1:$MB$163,($Q$2-1)*15+4,2)))))</f>
        <v/>
      </c>
      <c r="E21" s="1560"/>
      <c r="F21" s="1560"/>
      <c r="G21" s="1561"/>
      <c r="H21" s="1461">
        <f>IF($Q$2="","",IF($Q$2&gt;1,"",INDEX(Despesas!$LP$1:$MB$163,($Q$2-1)*15+4,3)))</f>
        <v>0</v>
      </c>
      <c r="I21" s="1462"/>
      <c r="J21" s="1537" t="str">
        <f>TRIM(IF($Q$2="","",IF($Q$2&gt;1,"",PROPER(INDEX(Despesas!$LP$1:$MB$163,($Q$2-1)*15+4,4)))))</f>
        <v/>
      </c>
      <c r="K21" s="1538"/>
      <c r="L21" s="1538"/>
      <c r="M21" s="1539"/>
      <c r="N21" s="765">
        <f>IF($Q$2="","",IF($Q$2&gt;1,"",INDEX(Despesas!$LP$1:$MB$163,($Q$2-1)*15+4,5)))</f>
        <v>0</v>
      </c>
      <c r="O21" s="1555">
        <f>IF($Q$2="","",IF($Q$2&gt;1,"",INDEX(Despesas!$LP$1:$MB$163,($Q$2-1)*15+4,6)))</f>
        <v>0</v>
      </c>
      <c r="P21" s="1556"/>
      <c r="Q21" s="1557"/>
      <c r="R21" s="1527">
        <f>IF($Q$2="","",IF($Q$2&gt;1,"",INDEX(Despesas!$LP$1:$MB$163,($Q$2-1)*15+4,7)))</f>
        <v>0</v>
      </c>
      <c r="S21" s="1528"/>
      <c r="T21" s="1548">
        <f>IF($Q$2="","",IF($Q$2&gt;1,"",INDEX(Despesas!$LP$1:$MB$163,($Q$2-1)*15+4,8)))</f>
        <v>0</v>
      </c>
      <c r="U21" s="1549"/>
      <c r="V21" s="1527">
        <f>IF($Q$2="","",IF($Q$2&gt;1,"",INDEX(Despesas!$LP$1:$MB$163,($Q$2-1)*15+4,9)))</f>
        <v>0</v>
      </c>
      <c r="W21" s="1528"/>
      <c r="X21" s="476">
        <f>IF($Q$2="","",IF($Q$2&gt;1,INDEX(Despesas!$PW$4:$PX$15,($Q$2)-1,1),INDEX(Despesas!$LP$1:$MB$163,($Q$2-1)*15+4,10)))</f>
        <v>0</v>
      </c>
      <c r="Y21" s="476">
        <f>IF($Q$2="","",IF($Q$2&gt;1,INDEX(Despesas!$PW$4:$PX$15,($Q$2)-1,2),INDEX(Despesas!$LP$1:$MB$163,($Q$2-1)*15+4,11)))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IF($Q$2="","",IF($Q$2&gt;1,INDEX(Despesas!$LP$19:$MB$163,($Q$2-2)*14+1,1),INDEX(Despesas!$LP$1:$MB$163,($Q$2-1)*15+5,1)))</f>
        <v/>
      </c>
      <c r="C22" s="1507"/>
      <c r="D22" s="1452" t="str">
        <f>TRIM(IF($Q$2="","",IF($Q$2&gt;1,PROPER(INDEX(Despesas!$LP$19:$MB$163,($Q$2-2)*14+1,2)),PROPER(INDEX(Despesas!$LP$1:$MB$163,($Q$2-1)*15+5,2)))))</f>
        <v/>
      </c>
      <c r="E22" s="1453"/>
      <c r="F22" s="1453"/>
      <c r="G22" s="1454"/>
      <c r="H22" s="1474">
        <f>IF($Q$2="","",IF($Q$2&gt;1,INDEX(Despesas!$LP$19:$MB$163,($Q$2-2)*14+1,3),INDEX(Despesas!$LP$1:$MB$163,($Q$2-1)*15+5,3)))</f>
        <v>0</v>
      </c>
      <c r="I22" s="1475"/>
      <c r="J22" s="1458" t="str">
        <f>TRIM(IF($Q$2="","",IF($Q$2&gt;1,PROPER(INDEX(Despesas!$LP$19:$MB$163,($Q$2-2)*14+1,4)),PROPER(INDEX(Despesas!$LP$1:$MB$163,($Q$2-1)*15+5,4)))))</f>
        <v/>
      </c>
      <c r="K22" s="1459"/>
      <c r="L22" s="1459"/>
      <c r="M22" s="1460"/>
      <c r="N22" s="452">
        <f>IF($Q$2="","",IF($Q$2&gt;1,INDEX(Despesas!$LP$19:$MB$163,($Q$2-2)*14+1,5),INDEX(Despesas!$LP$1:$MB$163,($Q$2-1)*15+5,5)))</f>
        <v>0</v>
      </c>
      <c r="O22" s="1519">
        <f>IF($Q$2="","",IF($Q$2&gt;1,INDEX(Despesas!$LP$19:$MB$163,($Q$2-2)*14+1,6),INDEX(Despesas!$LP$1:$MB$163,($Q$2-1)*15+5,6)))</f>
        <v>0</v>
      </c>
      <c r="P22" s="1520"/>
      <c r="Q22" s="1521"/>
      <c r="R22" s="1508">
        <f>IF($Q$2="","",IF($Q$2&gt;1,INDEX(Despesas!$LP$19:$MB$163,($Q$2-2)*14+1,7),INDEX(Despesas!$LP$1:$MB$163,($Q$2-1)*15+5,7)))</f>
        <v>0</v>
      </c>
      <c r="S22" s="1509"/>
      <c r="T22" s="1517">
        <f>IF($Q$2="","",IF($Q$2&gt;1,INDEX(Despesas!$LP$19:$MB$163,($Q$2-2)*14+1,8),INDEX(Despesas!$LP$1:$MB$163,($Q$2-1)*15+5,8)))</f>
        <v>0</v>
      </c>
      <c r="U22" s="1518"/>
      <c r="V22" s="1508">
        <f>IF($Q$2="","",IF($Q$2&gt;1,INDEX(Despesas!$LP$19:$MB$163,($Q$2-2)*14+1,9),INDEX(Despesas!$LP$1:$MB$163,($Q$2-1)*15+5,9)))</f>
        <v>0</v>
      </c>
      <c r="W22" s="1509"/>
      <c r="X22" s="476">
        <f>IF($Q$2="","",IF($Q$2&gt;1,INDEX(Despesas!$LP$19:$MB$163,($Q$2-2)*14+1,10),INDEX(Despesas!$LP$1:$MB$163,($Q$2-1)*15+5,10)))</f>
        <v>0</v>
      </c>
      <c r="Y22" s="476">
        <f>IF($Q$2="","",IF($Q$2&gt;1,INDEX(Despesas!$LP$19:$MB$163,($Q$2-2)*14+1,11),INDEX(Despesas!$LP$1:$MB$163,($Q$2-1)*15+5,11)))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IF($Q$2="","",IF($Q$2&gt;1,INDEX(Despesas!$LP$19:$MB$163,($Q$2-2)*14+2,1),INDEX(Despesas!$LP$1:$MB$163,($Q$2-1)*15+6,1)))</f>
        <v/>
      </c>
      <c r="C23" s="1507"/>
      <c r="D23" s="1452" t="str">
        <f>TRIM(IF($Q$2="","",IF($Q$2&gt;1,PROPER(INDEX(Despesas!$LP$19:$MB$163,($Q$2-2)*14+2,2)),PROPER(INDEX(Despesas!$LP$1:$MB$163,($Q$2-1)*15+6,2)))))</f>
        <v/>
      </c>
      <c r="E23" s="1453"/>
      <c r="F23" s="1453"/>
      <c r="G23" s="1454"/>
      <c r="H23" s="1474">
        <f>IF($Q$2="","",IF($Q$2&gt;1,INDEX(Despesas!$LP$19:$MB$163,($Q$2-2)*14+2,3),INDEX(Despesas!$LP$1:$MB$163,($Q$2-1)*15+6,3)))</f>
        <v>0</v>
      </c>
      <c r="I23" s="1475"/>
      <c r="J23" s="1458" t="str">
        <f>TRIM(IF($Q$2="","",IF($Q$2&gt;1,PROPER(INDEX(Despesas!$LP$19:$MB$163,($Q$2-2)*14+2,4)),PROPER(INDEX(Despesas!$LP$1:$MB$163,($Q$2-1)*15+6,4)))))</f>
        <v/>
      </c>
      <c r="K23" s="1459"/>
      <c r="L23" s="1459"/>
      <c r="M23" s="1460"/>
      <c r="N23" s="765">
        <f>IF($Q$2="","",IF($Q$2&gt;1,INDEX(Despesas!$LP$19:$MB$163,($Q$2-2)*14+2,5),INDEX(Despesas!$LP$1:$MB$163,($Q$2-1)*15+6,5)))</f>
        <v>0</v>
      </c>
      <c r="O23" s="1519">
        <f>IF($Q$2="","",IF($Q$2&gt;1,INDEX(Despesas!$LP$19:$MB$163,($Q$2-2)*14+2,6),INDEX(Despesas!$LP$1:$MB$163,($Q$2-1)*15+6,6)))</f>
        <v>0</v>
      </c>
      <c r="P23" s="1520"/>
      <c r="Q23" s="1521"/>
      <c r="R23" s="1508">
        <f>IF($Q$2="","",IF($Q$2&gt;1,INDEX(Despesas!$LP$19:$MB$163,($Q$2-2)*14+2,7),INDEX(Despesas!$LP$1:$MB$163,($Q$2-1)*15+6,7)))</f>
        <v>0</v>
      </c>
      <c r="S23" s="1509"/>
      <c r="T23" s="1517">
        <f>IF($Q$2="","",IF($Q$2&gt;1,INDEX(Despesas!$LP$19:$MB$163,($Q$2-2)*14+2,8),INDEX(Despesas!$LP$1:$MB$163,($Q$2-1)*15+6,8)))</f>
        <v>0</v>
      </c>
      <c r="U23" s="1518"/>
      <c r="V23" s="1508">
        <f>IF($Q$2="","",IF($Q$2&gt;1,INDEX(Despesas!$LP$19:$MB$163,($Q$2-2)*14+2,9),INDEX(Despesas!$LP$1:$MB$163,($Q$2-1)*15+6,9)))</f>
        <v>0</v>
      </c>
      <c r="W23" s="1509"/>
      <c r="X23" s="476">
        <f>IF($Q$2="","",IF($Q$2&gt;1,INDEX(Despesas!$LP$19:$MB$163,($Q$2-2)*14+2,10),INDEX(Despesas!$LP$1:$MB$163,($Q$2-1)*15+6,10)))</f>
        <v>0</v>
      </c>
      <c r="Y23" s="476">
        <f>IF($Q$2="","",IF($Q$2&gt;1,INDEX(Despesas!$LP$19:$MB$163,($Q$2-2)*14+2,11),INDEX(Despesas!$LP$1:$MB$163,($Q$2-1)*15+6,11)))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IF($Q$2="","",IF($Q$2&gt;1,INDEX(Despesas!$LP$19:$MB$163,($Q$2-2)*14+3,1),INDEX(Despesas!$LP$1:$MB$163,($Q$2-1)*15+7,1)))</f>
        <v/>
      </c>
      <c r="C24" s="1507"/>
      <c r="D24" s="1452" t="str">
        <f>TRIM(IF($Q$2="","",IF($Q$2&gt;1,PROPER(INDEX(Despesas!$LP$19:$MB$163,($Q$2-2)*14+3,2)),PROPER(INDEX(Despesas!$LP$1:$MB$163,($Q$2-1)*15+7,2)))))</f>
        <v/>
      </c>
      <c r="E24" s="1453"/>
      <c r="F24" s="1453"/>
      <c r="G24" s="1454"/>
      <c r="H24" s="1474">
        <f>IF($Q$2="","",IF($Q$2&gt;1,INDEX(Despesas!$LP$19:$MB$163,($Q$2-2)*14+3,3),INDEX(Despesas!$LP$1:$MB$163,($Q$2-1)*15+7,3)))</f>
        <v>0</v>
      </c>
      <c r="I24" s="1475"/>
      <c r="J24" s="1458" t="str">
        <f>TRIM(IF($Q$2="","",IF($Q$2&gt;1,PROPER(INDEX(Despesas!$LP$19:$MB$163,($Q$2-2)*14+3,4)),PROPER(INDEX(Despesas!$LP$1:$MB$163,($Q$2-1)*15+7,4)))))</f>
        <v/>
      </c>
      <c r="K24" s="1459"/>
      <c r="L24" s="1459"/>
      <c r="M24" s="1460"/>
      <c r="N24" s="765">
        <f>IF($Q$2="","",IF($Q$2&gt;1,INDEX(Despesas!$LP$19:$MB$163,($Q$2-2)*14+3,5),INDEX(Despesas!$LP$1:$MB$163,($Q$2-1)*15+7,5)))</f>
        <v>0</v>
      </c>
      <c r="O24" s="1519">
        <f>IF($Q$2="","",IF($Q$2&gt;1,INDEX(Despesas!$LP$19:$MB$163,($Q$2-2)*14+3,6),INDEX(Despesas!$LP$1:$MB$163,($Q$2-1)*15+7,6)))</f>
        <v>0</v>
      </c>
      <c r="P24" s="1520"/>
      <c r="Q24" s="1521"/>
      <c r="R24" s="1508">
        <f>IF($Q$2="","",IF($Q$2&gt;1,INDEX(Despesas!$LP$19:$MB$163,($Q$2-2)*14+3,7),INDEX(Despesas!$LP$1:$MB$163,($Q$2-1)*15+7,7)))</f>
        <v>0</v>
      </c>
      <c r="S24" s="1509"/>
      <c r="T24" s="1517">
        <f>IF($Q$2="","",IF($Q$2&gt;1,INDEX(Despesas!$LP$19:$MB$163,($Q$2-2)*14+3,8),INDEX(Despesas!$LP$1:$MB$163,($Q$2-1)*15+7,8)))</f>
        <v>0</v>
      </c>
      <c r="U24" s="1518"/>
      <c r="V24" s="1508">
        <f>IF($Q$2="","",IF($Q$2&gt;1,INDEX(Despesas!$LP$19:$MB$163,($Q$2-2)*14+3,9),INDEX(Despesas!$LP$1:$MB$163,($Q$2-1)*15+7,9)))</f>
        <v>0</v>
      </c>
      <c r="W24" s="1509"/>
      <c r="X24" s="476">
        <f>IF($Q$2="","",IF($Q$2&gt;1,INDEX(Despesas!$LP$19:$MB$163,($Q$2-2)*14+3,10),INDEX(Despesas!$LP$1:$MB$163,($Q$2-1)*15+7,10)))</f>
        <v>0</v>
      </c>
      <c r="Y24" s="476">
        <f>IF($Q$2="","",IF($Q$2&gt;1,INDEX(Despesas!$LP$19:$MB$163,($Q$2-2)*14+3,11),INDEX(Despesas!$LP$1:$MB$163,($Q$2-1)*15+7,11)))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IF($Q$2="","",IF($Q$2&gt;1,INDEX(Despesas!$LP$19:$MB$163,($Q$2-2)*14+4,1),INDEX(Despesas!$LP$1:$MB$163,($Q$2-1)*15+8,1)))</f>
        <v/>
      </c>
      <c r="C25" s="1507"/>
      <c r="D25" s="1452" t="str">
        <f>TRIM(IF($Q$2="","",IF($Q$2&gt;1,PROPER(INDEX(Despesas!$LP$19:$MB$163,($Q$2-2)*14+4,2)),PROPER(INDEX(Despesas!$LP$1:$MB$163,($Q$2-1)*15+8,2)))))</f>
        <v/>
      </c>
      <c r="E25" s="1453"/>
      <c r="F25" s="1453"/>
      <c r="G25" s="1454"/>
      <c r="H25" s="1474">
        <f>IF($Q$2="","",IF($Q$2&gt;1,INDEX(Despesas!$LP$19:$MB$163,($Q$2-2)*14+4,3),INDEX(Despesas!$LP$1:$MB$163,($Q$2-1)*15+8,3)))</f>
        <v>0</v>
      </c>
      <c r="I25" s="1475"/>
      <c r="J25" s="1458" t="str">
        <f>TRIM(IF($Q$2="","",IF($Q$2&gt;1,PROPER(INDEX(Despesas!$LP$19:$MB$163,($Q$2-2)*14+4,4)),PROPER(INDEX(Despesas!$LP$1:$MB$163,($Q$2-1)*15+8,4)))))</f>
        <v/>
      </c>
      <c r="K25" s="1459"/>
      <c r="L25" s="1459"/>
      <c r="M25" s="1460"/>
      <c r="N25" s="765">
        <f>IF($Q$2="","",IF($Q$2&gt;1,INDEX(Despesas!$LP$19:$MB$163,($Q$2-2)*14+4,5),INDEX(Despesas!$LP$1:$MB$163,($Q$2-1)*15+8,5)))</f>
        <v>0</v>
      </c>
      <c r="O25" s="1519">
        <f>IF($Q$2="","",IF($Q$2&gt;1,INDEX(Despesas!$LP$19:$MB$163,($Q$2-2)*14+4,6),INDEX(Despesas!$LP$1:$MB$163,($Q$2-1)*15+8,6)))</f>
        <v>0</v>
      </c>
      <c r="P25" s="1520"/>
      <c r="Q25" s="1521"/>
      <c r="R25" s="1508">
        <f>IF($Q$2="","",IF($Q$2&gt;1,INDEX(Despesas!$LP$19:$MB$163,($Q$2-2)*14+4,7),INDEX(Despesas!$LP$1:$MB$163,($Q$2-1)*15+8,7)))</f>
        <v>0</v>
      </c>
      <c r="S25" s="1509"/>
      <c r="T25" s="1517">
        <f>IF($Q$2="","",IF($Q$2&gt;1,INDEX(Despesas!$LP$19:$MB$163,($Q$2-2)*14+4,8),INDEX(Despesas!$LP$1:$MB$163,($Q$2-1)*15+8,8)))</f>
        <v>0</v>
      </c>
      <c r="U25" s="1518"/>
      <c r="V25" s="1508">
        <f>IF($Q$2="","",IF($Q$2&gt;1,INDEX(Despesas!$LP$19:$MB$163,($Q$2-2)*14+4,9),INDEX(Despesas!$LP$1:$MB$163,($Q$2-1)*15+8,9)))</f>
        <v>0</v>
      </c>
      <c r="W25" s="1509"/>
      <c r="X25" s="476">
        <f>IF($Q$2="","",IF($Q$2&gt;1,INDEX(Despesas!$LP$19:$MB$163,($Q$2-2)*14+4,10),INDEX(Despesas!$LP$1:$MB$163,($Q$2-1)*15+8,10)))</f>
        <v>0</v>
      </c>
      <c r="Y25" s="476">
        <f>IF($Q$2="","",IF($Q$2&gt;1,INDEX(Despesas!$LP$19:$MB$163,($Q$2-2)*14+4,11),INDEX(Despesas!$LP$1:$MB$163,($Q$2-1)*15+8,11)))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IF($Q$2="","",IF($Q$2&gt;1,INDEX(Despesas!$LP$19:$MB$163,($Q$2-2)*14+5,1),INDEX(Despesas!$LP$1:$MB$163,($Q$2-1)*15+9,1)))</f>
        <v/>
      </c>
      <c r="C26" s="1507"/>
      <c r="D26" s="1452" t="str">
        <f>TRIM(IF($Q$2="","",IF($Q$2&gt;1,PROPER(INDEX(Despesas!$LP$19:$MB$163,($Q$2-2)*14+5,2)),PROPER(INDEX(Despesas!$LP$1:$MB$163,($Q$2-1)*15+9,2)))))</f>
        <v/>
      </c>
      <c r="E26" s="1453"/>
      <c r="F26" s="1453"/>
      <c r="G26" s="1454"/>
      <c r="H26" s="1474">
        <f>IF($Q$2="","",IF($Q$2&gt;1,INDEX(Despesas!$LP$19:$MB$163,($Q$2-2)*14+5,3),INDEX(Despesas!$LP$1:$MB$163,($Q$2-1)*15+9,3)))</f>
        <v>0</v>
      </c>
      <c r="I26" s="1475"/>
      <c r="J26" s="1458" t="str">
        <f>TRIM(IF($Q$2="","",IF($Q$2&gt;1,PROPER(INDEX(Despesas!$LP$19:$MB$163,($Q$2-2)*14+5,4)),PROPER(INDEX(Despesas!$LP$1:$MB$163,($Q$2-1)*15+9,4)))))</f>
        <v/>
      </c>
      <c r="K26" s="1459"/>
      <c r="L26" s="1459"/>
      <c r="M26" s="1460"/>
      <c r="N26" s="765">
        <f>IF($Q$2="","",IF($Q$2&gt;1,INDEX(Despesas!$LP$19:$MB$163,($Q$2-2)*14+5,5),INDEX(Despesas!$LP$1:$MB$163,($Q$2-1)*15+9,5)))</f>
        <v>0</v>
      </c>
      <c r="O26" s="1519">
        <f>IF($Q$2="","",IF($Q$2&gt;1,INDEX(Despesas!$LP$19:$MB$163,($Q$2-2)*14+5,6),INDEX(Despesas!$LP$1:$MB$163,($Q$2-1)*15+9,6)))</f>
        <v>0</v>
      </c>
      <c r="P26" s="1520"/>
      <c r="Q26" s="1521"/>
      <c r="R26" s="1508">
        <f>IF($Q$2="","",IF($Q$2&gt;1,INDEX(Despesas!$LP$19:$MB$163,($Q$2-2)*14+5,7),INDEX(Despesas!$LP$1:$MB$163,($Q$2-1)*15+9,7)))</f>
        <v>0</v>
      </c>
      <c r="S26" s="1509"/>
      <c r="T26" s="1517">
        <f>IF($Q$2="","",IF($Q$2&gt;1,INDEX(Despesas!$LP$19:$MB$163,($Q$2-2)*14+5,8),INDEX(Despesas!$LP$1:$MB$163,($Q$2-1)*15+9,8)))</f>
        <v>0</v>
      </c>
      <c r="U26" s="1518"/>
      <c r="V26" s="1508">
        <f>IF($Q$2="","",IF($Q$2&gt;1,INDEX(Despesas!$LP$19:$MB$163,($Q$2-2)*14+5,9),INDEX(Despesas!$LP$1:$MB$163,($Q$2-1)*15+9,9)))</f>
        <v>0</v>
      </c>
      <c r="W26" s="1509"/>
      <c r="X26" s="476">
        <f>IF($Q$2="","",IF($Q$2&gt;1,INDEX(Despesas!$LP$19:$MB$163,($Q$2-2)*14+5,10),INDEX(Despesas!$LP$1:$MB$163,($Q$2-1)*15+9,10)))</f>
        <v>0</v>
      </c>
      <c r="Y26" s="476">
        <f>IF($Q$2="","",IF($Q$2&gt;1,INDEX(Despesas!$LP$19:$MB$163,($Q$2-2)*14+5,11),INDEX(Despesas!$LP$1:$MB$163,($Q$2-1)*15+9,11)))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IF($Q$2="","",IF($Q$2&gt;1,INDEX(Despesas!$LP$19:$MB$163,($Q$2-2)*14+6,1),INDEX(Despesas!$LP$1:$MB$163,($Q$2-1)*15+10,1)))</f>
        <v/>
      </c>
      <c r="C27" s="1507"/>
      <c r="D27" s="1452" t="str">
        <f>TRIM(IF($Q$2="","",IF($Q$2&gt;1,PROPER(INDEX(Despesas!$LP$19:$MB$163,($Q$2-2)*14+6,2)),PROPER(INDEX(Despesas!$LP$1:$MB$163,($Q$2-1)*15+10,2)))))</f>
        <v/>
      </c>
      <c r="E27" s="1453"/>
      <c r="F27" s="1453"/>
      <c r="G27" s="1454"/>
      <c r="H27" s="1474">
        <f>IF($Q$2="","",IF($Q$2&gt;1,INDEX(Despesas!$LP$19:$MB$163,($Q$2-2)*14+6,3),INDEX(Despesas!$LP$1:$MB$163,($Q$2-1)*15+10,3)))</f>
        <v>0</v>
      </c>
      <c r="I27" s="1475"/>
      <c r="J27" s="1458" t="str">
        <f>TRIM(IF($Q$2="","",IF($Q$2&gt;1,PROPER(INDEX(Despesas!$LP$19:$MB$163,($Q$2-2)*14+6,4)),PROPER(INDEX(Despesas!$LP$1:$MB$163,($Q$2-1)*15+10,4)))))</f>
        <v/>
      </c>
      <c r="K27" s="1459"/>
      <c r="L27" s="1459"/>
      <c r="M27" s="1460"/>
      <c r="N27" s="765">
        <f>IF($Q$2="","",IF($Q$2&gt;1,INDEX(Despesas!$LP$19:$MB$163,($Q$2-2)*14+6,5),INDEX(Despesas!$LP$1:$MB$163,($Q$2-1)*15+10,5)))</f>
        <v>0</v>
      </c>
      <c r="O27" s="1519">
        <f>IF($Q$2="","",IF($Q$2&gt;1,INDEX(Despesas!$LP$19:$MB$163,($Q$2-2)*14+6,6),INDEX(Despesas!$LP$1:$MB$163,($Q$2-1)*15+10,6)))</f>
        <v>0</v>
      </c>
      <c r="P27" s="1520"/>
      <c r="Q27" s="1521"/>
      <c r="R27" s="1508">
        <f>IF($Q$2="","",IF($Q$2&gt;1,INDEX(Despesas!$LP$19:$MB$163,($Q$2-2)*14+6,7),INDEX(Despesas!$LP$1:$MB$163,($Q$2-1)*15+10,7)))</f>
        <v>0</v>
      </c>
      <c r="S27" s="1509"/>
      <c r="T27" s="1517">
        <f>IF($Q$2="","",IF($Q$2&gt;1,INDEX(Despesas!$LP$19:$MB$163,($Q$2-2)*14+6,8),INDEX(Despesas!$LP$1:$MB$163,($Q$2-1)*15+10,8)))</f>
        <v>0</v>
      </c>
      <c r="U27" s="1518"/>
      <c r="V27" s="1508">
        <f>IF($Q$2="","",IF($Q$2&gt;1,INDEX(Despesas!$LP$19:$MB$163,($Q$2-2)*14+6,9),INDEX(Despesas!$LP$1:$MB$163,($Q$2-1)*15+10,9)))</f>
        <v>0</v>
      </c>
      <c r="W27" s="1509"/>
      <c r="X27" s="476">
        <f>IF($Q$2="","",IF($Q$2&gt;1,INDEX(Despesas!$LP$19:$MB$163,($Q$2-2)*14+6,10),INDEX(Despesas!$LP$1:$MB$163,($Q$2-1)*15+10,10)))</f>
        <v>0</v>
      </c>
      <c r="Y27" s="476">
        <f>IF($Q$2="","",IF($Q$2&gt;1,INDEX(Despesas!$LP$19:$MB$163,($Q$2-2)*14+6,11),INDEX(Despesas!$LP$1:$MB$163,($Q$2-1)*15+10,11)))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IF($Q$2="","",IF($Q$2&gt;1,INDEX(Despesas!$LP$19:$MB$163,($Q$2-2)*14+7,1),INDEX(Despesas!$LP$1:$MB$163,($Q$2-1)*15+11,1)))</f>
        <v/>
      </c>
      <c r="C28" s="1507"/>
      <c r="D28" s="1452" t="str">
        <f>TRIM(IF($Q$2="","",IF($Q$2&gt;1,PROPER(INDEX(Despesas!$LP$19:$MB$163,($Q$2-2)*14+7,2)),PROPER(INDEX(Despesas!$LP$1:$MB$163,($Q$2-1)*15+11,2)))))</f>
        <v/>
      </c>
      <c r="E28" s="1453"/>
      <c r="F28" s="1453"/>
      <c r="G28" s="1454"/>
      <c r="H28" s="1474">
        <f>IF($Q$2="","",IF($Q$2&gt;1,INDEX(Despesas!$LP$19:$MB$163,($Q$2-2)*14+7,3),INDEX(Despesas!$LP$1:$MB$163,($Q$2-1)*15+11,3)))</f>
        <v>0</v>
      </c>
      <c r="I28" s="1475"/>
      <c r="J28" s="1458" t="str">
        <f>TRIM(IF($Q$2="","",IF($Q$2&gt;1,PROPER(INDEX(Despesas!$LP$19:$MB$163,($Q$2-2)*14+7,4)),PROPER(INDEX(Despesas!$LP$1:$MB$163,($Q$2-1)*15+11,4)))))</f>
        <v/>
      </c>
      <c r="K28" s="1459"/>
      <c r="L28" s="1459"/>
      <c r="M28" s="1460"/>
      <c r="N28" s="765">
        <f>IF($Q$2="","",IF($Q$2&gt;1,INDEX(Despesas!$LP$19:$MB$163,($Q$2-2)*14+7,5),INDEX(Despesas!$LP$1:$MB$163,($Q$2-1)*15+11,5)))</f>
        <v>0</v>
      </c>
      <c r="O28" s="1519">
        <f>IF($Q$2="","",IF($Q$2&gt;1,INDEX(Despesas!$LP$19:$MB$163,($Q$2-2)*14+7,6),INDEX(Despesas!$LP$1:$MB$163,($Q$2-1)*15+11,6)))</f>
        <v>0</v>
      </c>
      <c r="P28" s="1520"/>
      <c r="Q28" s="1521"/>
      <c r="R28" s="1508">
        <f>IF($Q$2="","",IF($Q$2&gt;1,INDEX(Despesas!$LP$19:$MB$163,($Q$2-2)*14+7,7),INDEX(Despesas!$LP$1:$MB$163,($Q$2-1)*15+11,7)))</f>
        <v>0</v>
      </c>
      <c r="S28" s="1509"/>
      <c r="T28" s="1517">
        <f>IF($Q$2="","",IF($Q$2&gt;1,INDEX(Despesas!$LP$19:$MB$163,($Q$2-2)*14+7,8),INDEX(Despesas!$LP$1:$MB$163,($Q$2-1)*15+11,8)))</f>
        <v>0</v>
      </c>
      <c r="U28" s="1518"/>
      <c r="V28" s="1508">
        <f>IF($Q$2="","",IF($Q$2&gt;1,INDEX(Despesas!$LP$19:$MB$163,($Q$2-2)*14+7,9),INDEX(Despesas!$LP$1:$MB$163,($Q$2-1)*15+11,9)))</f>
        <v>0</v>
      </c>
      <c r="W28" s="1509"/>
      <c r="X28" s="476">
        <f>IF($Q$2="","",IF($Q$2&gt;1,INDEX(Despesas!$LP$19:$MB$163,($Q$2-2)*14+7,10),INDEX(Despesas!$LP$1:$MB$163,($Q$2-1)*15+11,10)))</f>
        <v>0</v>
      </c>
      <c r="Y28" s="476">
        <f>IF($Q$2="","",IF($Q$2&gt;1,INDEX(Despesas!$LP$19:$MB$163,($Q$2-2)*14+7,11),INDEX(Despesas!$LP$1:$MB$163,($Q$2-1)*15+11,11)))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IF($Q$2="","",IF($Q$2&gt;1,INDEX(Despesas!$LP$19:$MB$163,($Q$2-2)*14+8,1),INDEX(Despesas!$LP$1:$MB$163,($Q$2-1)*15+12,1)))</f>
        <v/>
      </c>
      <c r="C29" s="1507"/>
      <c r="D29" s="1452" t="str">
        <f>TRIM(IF($Q$2="","",IF($Q$2&gt;1,PROPER(INDEX(Despesas!$LP$19:$MB$163,($Q$2-2)*14+8,2)),PROPER(INDEX(Despesas!$LP$1:$MB$163,($Q$2-1)*15+12,2)))))</f>
        <v/>
      </c>
      <c r="E29" s="1453"/>
      <c r="F29" s="1453"/>
      <c r="G29" s="1454"/>
      <c r="H29" s="1474">
        <f>IF($Q$2="","",IF($Q$2&gt;1,INDEX(Despesas!$LP$19:$MB$163,($Q$2-2)*14+8,3),INDEX(Despesas!$LP$1:$MB$163,($Q$2-1)*15+12,3)))</f>
        <v>0</v>
      </c>
      <c r="I29" s="1475"/>
      <c r="J29" s="1458" t="str">
        <f>TRIM(IF($Q$2="","",IF($Q$2&gt;1,PROPER(INDEX(Despesas!$LP$19:$MB$163,($Q$2-2)*14+8,4)),PROPER(INDEX(Despesas!$LP$1:$MB$163,($Q$2-1)*15+12,4)))))</f>
        <v/>
      </c>
      <c r="K29" s="1459"/>
      <c r="L29" s="1459"/>
      <c r="M29" s="1460"/>
      <c r="N29" s="765">
        <f>IF($Q$2="","",IF($Q$2&gt;1,INDEX(Despesas!$LP$19:$MB$163,($Q$2-2)*14+8,5),INDEX(Despesas!$LP$1:$MB$163,($Q$2-1)*15+12,5)))</f>
        <v>0</v>
      </c>
      <c r="O29" s="1519">
        <f>IF($Q$2="","",IF($Q$2&gt;1,INDEX(Despesas!$LP$19:$MB$163,($Q$2-2)*14+8,6),INDEX(Despesas!$LP$1:$MB$163,($Q$2-1)*15+12,6)))</f>
        <v>0</v>
      </c>
      <c r="P29" s="1520"/>
      <c r="Q29" s="1521"/>
      <c r="R29" s="1508">
        <f>IF($Q$2="","",IF($Q$2&gt;1,INDEX(Despesas!$LP$19:$MB$163,($Q$2-2)*14+8,7),INDEX(Despesas!$LP$1:$MB$163,($Q$2-1)*15+12,7)))</f>
        <v>0</v>
      </c>
      <c r="S29" s="1509"/>
      <c r="T29" s="1517">
        <f>IF($Q$2="","",IF($Q$2&gt;1,INDEX(Despesas!$LP$19:$MB$163,($Q$2-2)*14+8,8),INDEX(Despesas!$LP$1:$MB$163,($Q$2-1)*15+12,8)))</f>
        <v>0</v>
      </c>
      <c r="U29" s="1518"/>
      <c r="V29" s="1508">
        <f>IF($Q$2="","",IF($Q$2&gt;1,INDEX(Despesas!$LP$19:$MB$163,($Q$2-2)*14+8,9),INDEX(Despesas!$LP$1:$MB$163,($Q$2-1)*15+12,9)))</f>
        <v>0</v>
      </c>
      <c r="W29" s="1509"/>
      <c r="X29" s="476">
        <f>IF($Q$2="","",IF($Q$2&gt;1,INDEX(Despesas!$LP$19:$MB$163,($Q$2-2)*14+8,10),INDEX(Despesas!$LP$1:$MB$163,($Q$2-1)*15+12,10)))</f>
        <v>0</v>
      </c>
      <c r="Y29" s="476">
        <f>IF($Q$2="","",IF($Q$2&gt;1,INDEX(Despesas!$LP$19:$MB$163,($Q$2-2)*14+8,11),INDEX(Despesas!$LP$1:$MB$163,($Q$2-1)*15+12,11)))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IF($Q$2="","",IF($Q$2&gt;1,INDEX(Despesas!$LP$19:$MB$163,($Q$2-2)*14+9,1),INDEX(Despesas!$LP$1:$MB$163,($Q$2-1)*15+13,1)))</f>
        <v/>
      </c>
      <c r="C30" s="1507"/>
      <c r="D30" s="1452" t="str">
        <f>TRIM(IF($Q$2="","",IF($Q$2&gt;1,PROPER(INDEX(Despesas!$LP$19:$MB$163,($Q$2-2)*14+9,2)),PROPER(INDEX(Despesas!$LP$1:$MB$163,($Q$2-1)*15+13,2)))))</f>
        <v/>
      </c>
      <c r="E30" s="1453"/>
      <c r="F30" s="1453"/>
      <c r="G30" s="1454"/>
      <c r="H30" s="1474">
        <f>IF($Q$2="","",IF($Q$2&gt;1,INDEX(Despesas!$LP$19:$MB$163,($Q$2-2)*14+9,3),INDEX(Despesas!$LP$1:$MB$163,($Q$2-1)*15+13,3)))</f>
        <v>0</v>
      </c>
      <c r="I30" s="1475"/>
      <c r="J30" s="1458" t="str">
        <f>TRIM(IF($Q$2="","",IF($Q$2&gt;1,PROPER(INDEX(Despesas!$LP$19:$MB$163,($Q$2-2)*14+9,4)),PROPER(INDEX(Despesas!$LP$1:$MB$163,($Q$2-1)*15+13,4)))))</f>
        <v/>
      </c>
      <c r="K30" s="1459"/>
      <c r="L30" s="1459"/>
      <c r="M30" s="1460"/>
      <c r="N30" s="765">
        <f>IF($Q$2="","",IF($Q$2&gt;1,INDEX(Despesas!$LP$19:$MB$163,($Q$2-2)*14+9,5),INDEX(Despesas!$LP$1:$MB$163,($Q$2-1)*15+13,5)))</f>
        <v>0</v>
      </c>
      <c r="O30" s="1519">
        <f>IF($Q$2="","",IF($Q$2&gt;1,INDEX(Despesas!$LP$19:$MB$163,($Q$2-2)*14+9,6),INDEX(Despesas!$LP$1:$MB$163,($Q$2-1)*15+13,6)))</f>
        <v>0</v>
      </c>
      <c r="P30" s="1520"/>
      <c r="Q30" s="1521"/>
      <c r="R30" s="1508">
        <f>IF($Q$2="","",IF($Q$2&gt;1,INDEX(Despesas!$LP$19:$MB$163,($Q$2-2)*14+9,7),INDEX(Despesas!$LP$1:$MB$163,($Q$2-1)*15+13,7)))</f>
        <v>0</v>
      </c>
      <c r="S30" s="1509"/>
      <c r="T30" s="1517">
        <f>IF($Q$2="","",IF($Q$2&gt;1,INDEX(Despesas!$LP$19:$MB$163,($Q$2-2)*14+9,8),INDEX(Despesas!$LP$1:$MB$163,($Q$2-1)*15+13,8)))</f>
        <v>0</v>
      </c>
      <c r="U30" s="1518"/>
      <c r="V30" s="1508">
        <f>IF($Q$2="","",IF($Q$2&gt;1,INDEX(Despesas!$LP$19:$MB$163,($Q$2-2)*14+9,9),INDEX(Despesas!$LP$1:$MB$163,($Q$2-1)*15+13,9)))</f>
        <v>0</v>
      </c>
      <c r="W30" s="1509"/>
      <c r="X30" s="476">
        <f>IF($Q$2="","",IF($Q$2&gt;1,INDEX(Despesas!$LP$19:$MB$163,($Q$2-2)*14+9,10),INDEX(Despesas!$LP$1:$MB$163,($Q$2-1)*15+13,10)))</f>
        <v>0</v>
      </c>
      <c r="Y30" s="476">
        <f>IF($Q$2="","",IF($Q$2&gt;1,INDEX(Despesas!$LP$19:$MB$163,($Q$2-2)*14+9,11),INDEX(Despesas!$LP$1:$MB$163,($Q$2-1)*15+13,11)))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IF($Q$2="","",IF($Q$2&gt;1,INDEX(Despesas!$LP$19:$MB$163,($Q$2-2)*14+10,1),INDEX(Despesas!$LP$1:$MB$163,($Q$2-1)*15+14,1)))</f>
        <v/>
      </c>
      <c r="C31" s="1507"/>
      <c r="D31" s="1452" t="str">
        <f>TRIM(IF($Q$2="","",IF($Q$2&gt;1,PROPER(INDEX(Despesas!$LP$19:$MB$163,($Q$2-2)*14+10,2)),PROPER(INDEX(Despesas!$LP$1:$MB$163,($Q$2-1)*15+14,2)))))</f>
        <v/>
      </c>
      <c r="E31" s="1453"/>
      <c r="F31" s="1453"/>
      <c r="G31" s="1454"/>
      <c r="H31" s="1474">
        <f>IF($Q$2="","",IF($Q$2&gt;1,INDEX(Despesas!$LP$19:$MB$163,($Q$2-2)*14+10,3),INDEX(Despesas!$LP$1:$MB$163,($Q$2-1)*15+14,3)))</f>
        <v>0</v>
      </c>
      <c r="I31" s="1475"/>
      <c r="J31" s="1458" t="str">
        <f>TRIM(IF($Q$2="","",IF($Q$2&gt;1,PROPER(INDEX(Despesas!$LP$19:$MB$163,($Q$2-2)*14+10,4)),PROPER(INDEX(Despesas!$LP$1:$MB$163,($Q$2-1)*15+14,4)))))</f>
        <v/>
      </c>
      <c r="K31" s="1459"/>
      <c r="L31" s="1459"/>
      <c r="M31" s="1460"/>
      <c r="N31" s="765">
        <f>IF($Q$2="","",IF($Q$2&gt;1,INDEX(Despesas!$LP$19:$MB$163,($Q$2-2)*14+10,5),INDEX(Despesas!$LP$1:$MB$163,($Q$2-1)*15+14,5)))</f>
        <v>0</v>
      </c>
      <c r="O31" s="1519">
        <f>IF($Q$2="","",IF($Q$2&gt;1,INDEX(Despesas!$LP$19:$MB$163,($Q$2-2)*14+10,6),INDEX(Despesas!$LP$1:$MB$163,($Q$2-1)*15+14,6)))</f>
        <v>0</v>
      </c>
      <c r="P31" s="1520"/>
      <c r="Q31" s="1521"/>
      <c r="R31" s="1508">
        <f>IF($Q$2="","",IF($Q$2&gt;1,INDEX(Despesas!$LP$19:$MB$163,($Q$2-2)*14+10,7),INDEX(Despesas!$LP$1:$MB$163,($Q$2-1)*15+14,7)))</f>
        <v>0</v>
      </c>
      <c r="S31" s="1509"/>
      <c r="T31" s="1517">
        <f>IF($Q$2="","",IF($Q$2&gt;1,INDEX(Despesas!$LP$19:$MB$163,($Q$2-2)*14+10,8),INDEX(Despesas!$LP$1:$MB$163,($Q$2-1)*15+14,8)))</f>
        <v>0</v>
      </c>
      <c r="U31" s="1518"/>
      <c r="V31" s="1508">
        <f>IF($Q$2="","",IF($Q$2&gt;1,INDEX(Despesas!$LP$19:$MB$163,($Q$2-2)*14+10,9),INDEX(Despesas!$LP$1:$MB$163,($Q$2-1)*15+14,9)))</f>
        <v>0</v>
      </c>
      <c r="W31" s="1509"/>
      <c r="X31" s="476">
        <f>IF($Q$2="","",IF($Q$2&gt;1,INDEX(Despesas!$LP$19:$MB$163,($Q$2-2)*14+10,10),INDEX(Despesas!$LP$1:$MB$163,($Q$2-1)*15+14,10)))</f>
        <v>0</v>
      </c>
      <c r="Y31" s="476">
        <f>IF($Q$2="","",IF($Q$2&gt;1,INDEX(Despesas!$LP$19:$MB$163,($Q$2-2)*14+10,11),INDEX(Despesas!$LP$1:$MB$163,($Q$2-1)*15+14,11)))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IF($Q$2="","",IF($Q$2&gt;1,INDEX(Despesas!$LP$19:$MB$163,($Q$2-2)*14+11,1),INDEX(Despesas!$LP$1:$MB$163,($Q$2-1)*15+15,1)))</f>
        <v/>
      </c>
      <c r="C32" s="1507"/>
      <c r="D32" s="1452" t="str">
        <f>TRIM(IF($Q$2="","",IF($Q$2&gt;1,PROPER(INDEX(Despesas!$LP$19:$MB$163,($Q$2-2)*14+11,2)),PROPER(INDEX(Despesas!$LP$1:$MB$163,($Q$2-1)*15+15,2)))))</f>
        <v/>
      </c>
      <c r="E32" s="1453"/>
      <c r="F32" s="1453"/>
      <c r="G32" s="1454"/>
      <c r="H32" s="1474">
        <f>IF($Q$2="","",IF($Q$2&gt;1,INDEX(Despesas!$LP$19:$MB$163,($Q$2-2)*14+11,3),INDEX(Despesas!$LP$1:$MB$163,($Q$2-1)*15+15,3)))</f>
        <v>0</v>
      </c>
      <c r="I32" s="1475"/>
      <c r="J32" s="1458" t="str">
        <f>TRIM(IF($Q$2="","",IF($Q$2&gt;1,PROPER(INDEX(Despesas!$LP$19:$MB$163,($Q$2-2)*14+11,4)),PROPER(INDEX(Despesas!$LP$1:$MB$163,($Q$2-1)*15+15,4)))))</f>
        <v/>
      </c>
      <c r="K32" s="1459"/>
      <c r="L32" s="1459"/>
      <c r="M32" s="1460"/>
      <c r="N32" s="765">
        <f>IF($Q$2="","",IF($Q$2&gt;1,INDEX(Despesas!$LP$19:$MB$163,($Q$2-2)*14+11,5),INDEX(Despesas!$LP$1:$MB$163,($Q$2-1)*15+15,5)))</f>
        <v>0</v>
      </c>
      <c r="O32" s="1519">
        <f>IF($Q$2="","",IF($Q$2&gt;1,INDEX(Despesas!$LP$19:$MB$163,($Q$2-2)*14+11,6),INDEX(Despesas!$LP$1:$MB$163,($Q$2-1)*15+15,6)))</f>
        <v>0</v>
      </c>
      <c r="P32" s="1520"/>
      <c r="Q32" s="1521"/>
      <c r="R32" s="1508">
        <f>IF($Q$2="","",IF($Q$2&gt;1,INDEX(Despesas!$LP$19:$MB$163,($Q$2-2)*14+11,7),INDEX(Despesas!$LP$1:$MB$163,($Q$2-1)*15+15,7)))</f>
        <v>0</v>
      </c>
      <c r="S32" s="1509"/>
      <c r="T32" s="1517">
        <f>IF($Q$2="","",IF($Q$2&gt;1,INDEX(Despesas!$LP$19:$MB$163,($Q$2-2)*14+11,8),INDEX(Despesas!$LP$1:$MB$163,($Q$2-1)*15+15,8)))</f>
        <v>0</v>
      </c>
      <c r="U32" s="1518"/>
      <c r="V32" s="1508">
        <f>IF($Q$2="","",IF($Q$2&gt;1,INDEX(Despesas!$LP$19:$MB$163,($Q$2-2)*14+11,9),INDEX(Despesas!$LP$1:$MB$163,($Q$2-1)*15+15,9)))</f>
        <v>0</v>
      </c>
      <c r="W32" s="1509"/>
      <c r="X32" s="476">
        <f>IF($Q$2="","",IF($Q$2&gt;1,INDEX(Despesas!$LP$19:$MB$163,($Q$2-2)*14+11,10),INDEX(Despesas!$LP$1:$MB$163,($Q$2-1)*15+15,10)))</f>
        <v>0</v>
      </c>
      <c r="Y32" s="476">
        <f>IF($Q$2="","",IF($Q$2&gt;1,INDEX(Despesas!$LP$19:$MB$163,($Q$2-2)*14+11,11),INDEX(Despesas!$LP$1:$MB$163,($Q$2-1)*15+15,11)))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IF($Q$2="","",IF($Q$2&gt;1,INDEX(Despesas!$LP$19:$MB$163,($Q$2-2)*14+12,1),INDEX(Despesas!$LP$1:$MB$163,($Q$2-1)*15+16,1)))</f>
        <v/>
      </c>
      <c r="C33" s="1507"/>
      <c r="D33" s="1452" t="str">
        <f>TRIM(IF($Q$2="","",IF($Q$2&gt;1,PROPER(INDEX(Despesas!$LP$19:$MB$163,($Q$2-2)*14+12,2)),PROPER(INDEX(Despesas!$LP$1:$MB$163,($Q$2-1)*15+16,2)))))</f>
        <v/>
      </c>
      <c r="E33" s="1453"/>
      <c r="F33" s="1453"/>
      <c r="G33" s="1454"/>
      <c r="H33" s="1474">
        <f>IF($Q$2="","",IF($Q$2&gt;1,INDEX(Despesas!$LP$19:$MB$163,($Q$2-2)*14+12,3),INDEX(Despesas!$LP$1:$MB$163,($Q$2-1)*15+16,3)))</f>
        <v>0</v>
      </c>
      <c r="I33" s="1475"/>
      <c r="J33" s="1458" t="str">
        <f>TRIM(IF($Q$2="","",IF($Q$2&gt;1,PROPER(INDEX(Despesas!$LP$19:$MB$163,($Q$2-2)*14+12,4)),PROPER(INDEX(Despesas!$LP$1:$MB$163,($Q$2-1)*15+16,4)))))</f>
        <v/>
      </c>
      <c r="K33" s="1459"/>
      <c r="L33" s="1459"/>
      <c r="M33" s="1460"/>
      <c r="N33" s="765">
        <f>IF($Q$2="","",IF($Q$2&gt;1,INDEX(Despesas!$LP$19:$MB$163,($Q$2-2)*14+12,5),INDEX(Despesas!$LP$1:$MB$163,($Q$2-1)*15+16,5)))</f>
        <v>0</v>
      </c>
      <c r="O33" s="1519">
        <f>IF($Q$2="","",IF($Q$2&gt;1,INDEX(Despesas!$LP$19:$MB$163,($Q$2-2)*14+12,6),INDEX(Despesas!$LP$1:$MB$163,($Q$2-1)*15+16,6)))</f>
        <v>0</v>
      </c>
      <c r="P33" s="1520"/>
      <c r="Q33" s="1521"/>
      <c r="R33" s="1508">
        <f>IF($Q$2="","",IF($Q$2&gt;1,INDEX(Despesas!$LP$19:$MB$163,($Q$2-2)*14+12,7),INDEX(Despesas!$LP$1:$MB$163,($Q$2-1)*15+16,7)))</f>
        <v>0</v>
      </c>
      <c r="S33" s="1509"/>
      <c r="T33" s="1517">
        <f>IF($Q$2="","",IF($Q$2&gt;1,INDEX(Despesas!$LP$19:$MB$163,($Q$2-2)*14+12,8),INDEX(Despesas!$LP$1:$MB$163,($Q$2-1)*15+16,8)))</f>
        <v>0</v>
      </c>
      <c r="U33" s="1518"/>
      <c r="V33" s="1508">
        <f>IF($Q$2="","",IF($Q$2&gt;1,INDEX(Despesas!$LP$19:$MB$163,($Q$2-2)*14+12,9),INDEX(Despesas!$LP$1:$MB$163,($Q$2-1)*15+16,9)))</f>
        <v>0</v>
      </c>
      <c r="W33" s="1509"/>
      <c r="X33" s="476">
        <f>IF($Q$2="","",IF($Q$2&gt;1,INDEX(Despesas!$LP$19:$MB$163,($Q$2-2)*14+12,10),INDEX(Despesas!$LP$1:$MB$163,($Q$2-1)*15+16,10)))</f>
        <v>0</v>
      </c>
      <c r="Y33" s="476">
        <f>IF($Q$2="","",IF($Q$2&gt;1,INDEX(Despesas!$LP$19:$MB$163,($Q$2-2)*14+12,11),INDEX(Despesas!$LP$1:$MB$163,($Q$2-1)*15+16,11)))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IF($Q$2="","",IF($Q$2&gt;1,INDEX(Despesas!$LP$19:$MB$163,($Q$2-2)*14+13,1),INDEX(Despesas!$LP$1:$MB$163,($Q$2-1)*15+17,1)))</f>
        <v/>
      </c>
      <c r="C34" s="1507"/>
      <c r="D34" s="1452" t="str">
        <f>TRIM(IF($Q$2="","",IF($Q$2&gt;1,PROPER(INDEX(Despesas!$LP$19:$MB$163,($Q$2-2)*14+13,2)),PROPER(INDEX(Despesas!$LP$1:$MB$163,($Q$2-1)*15+17,2)))))</f>
        <v/>
      </c>
      <c r="E34" s="1453"/>
      <c r="F34" s="1453"/>
      <c r="G34" s="1454"/>
      <c r="H34" s="1474">
        <f>IF($Q$2="","",IF($Q$2&gt;1,INDEX(Despesas!$LP$19:$MB$163,($Q$2-2)*14+13,3),INDEX(Despesas!$LP$1:$MB$163,($Q$2-1)*15+17,3)))</f>
        <v>0</v>
      </c>
      <c r="I34" s="1475"/>
      <c r="J34" s="1458" t="str">
        <f>TRIM(IF($Q$2="","",IF($Q$2&gt;1,PROPER(INDEX(Despesas!$LP$19:$MB$163,($Q$2-2)*14+13,4)),PROPER(INDEX(Despesas!$LP$1:$MB$163,($Q$2-1)*15+17,4)))))</f>
        <v/>
      </c>
      <c r="K34" s="1459"/>
      <c r="L34" s="1459"/>
      <c r="M34" s="1460"/>
      <c r="N34" s="765">
        <f>IF($Q$2="","",IF($Q$2&gt;1,INDEX(Despesas!$LP$19:$MB$163,($Q$2-2)*14+13,5),INDEX(Despesas!$LP$1:$MB$163,($Q$2-1)*15+17,5)))</f>
        <v>0</v>
      </c>
      <c r="O34" s="1519">
        <f>IF($Q$2="","",IF($Q$2&gt;1,INDEX(Despesas!$LP$19:$MB$163,($Q$2-2)*14+13,6),INDEX(Despesas!$LP$1:$MB$163,($Q$2-1)*15+17,6)))</f>
        <v>0</v>
      </c>
      <c r="P34" s="1520"/>
      <c r="Q34" s="1521"/>
      <c r="R34" s="1508">
        <f>IF($Q$2="","",IF($Q$2&gt;1,INDEX(Despesas!$LP$19:$MB$163,($Q$2-2)*14+13,7),INDEX(Despesas!$LP$1:$MB$163,($Q$2-1)*15+17,7)))</f>
        <v>0</v>
      </c>
      <c r="S34" s="1509"/>
      <c r="T34" s="1517">
        <f>IF($Q$2="","",IF($Q$2&gt;1,INDEX(Despesas!$LP$19:$MB$163,($Q$2-2)*14+13,8),INDEX(Despesas!$LP$1:$MB$163,($Q$2-1)*15+17,8)))</f>
        <v>0</v>
      </c>
      <c r="U34" s="1518"/>
      <c r="V34" s="1508">
        <f>IF($Q$2="","",IF($Q$2&gt;1,INDEX(Despesas!$LP$19:$MB$163,($Q$2-2)*14+13,9),INDEX(Despesas!$LP$1:$MB$163,($Q$2-1)*15+17,9)))</f>
        <v>0</v>
      </c>
      <c r="W34" s="1509"/>
      <c r="X34" s="476">
        <f>IF($Q$2="","",IF($Q$2&gt;1,INDEX(Despesas!$LP$19:$MB$163,($Q$2-2)*14+13,10),INDEX(Despesas!$LP$1:$MB$163,($Q$2-1)*15+17,10)))</f>
        <v>0</v>
      </c>
      <c r="Y34" s="476">
        <f>IF($Q$2="","",IF($Q$2&gt;1,INDEX(Despesas!$LP$19:$MB$163,($Q$2-2)*14+13,11),INDEX(Despesas!$LP$1:$MB$163,($Q$2-1)*15+17,11)))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IF($Q$2="","",IF($Q$2&gt;1,INDEX(Despesas!$LP$19:$MB$163,($Q$2-2)*14+14,1),INDEX(Despesas!$LP$1:$MB$163,($Q$2-1)*15+18,1)))</f>
        <v/>
      </c>
      <c r="C35" s="1591"/>
      <c r="D35" s="1455" t="str">
        <f>TRIM(IF($Q$2="","",IF($Q$2&gt;1,PROPER(INDEX(Despesas!$LP$19:$MB$163,($Q$2-2)*14+14,2)),PROPER(INDEX(Despesas!$LP$1:$MB$163,($Q$2-1)*15+18,2)))))</f>
        <v/>
      </c>
      <c r="E35" s="1456"/>
      <c r="F35" s="1456"/>
      <c r="G35" s="1457"/>
      <c r="H35" s="1474">
        <f>IF($Q$2="","",IF($Q$2&gt;1,INDEX(Despesas!$LP$19:$MB$163,($Q$2-2)*14+14,3),INDEX(Despesas!$LP$1:$MB$163,($Q$2-1)*15+18,3)))</f>
        <v>0</v>
      </c>
      <c r="I35" s="1475"/>
      <c r="J35" s="1587" t="str">
        <f>TRIM(IF($Q$2="","",IF($Q$2&gt;1,PROPER(INDEX(Despesas!$LP$19:$MB$163,($Q$2-2)*14+14,4)),PROPER(INDEX(Despesas!$LP$1:$MB$163,($Q$2-1)*15+18,4)))))</f>
        <v/>
      </c>
      <c r="K35" s="1588"/>
      <c r="L35" s="1588"/>
      <c r="M35" s="1589"/>
      <c r="N35" s="765">
        <f>IF($Q$2="","",IF($Q$2&gt;1,INDEX(Despesas!$LP$19:$MB$163,($Q$2-2)*14+14,5),INDEX(Despesas!$LP$1:$MB$163,($Q$2-1)*15+18,5)))</f>
        <v>0</v>
      </c>
      <c r="O35" s="1519">
        <f>IF($Q$2="","",IF($Q$2&gt;1,INDEX(Despesas!$LP$19:$MB$163,($Q$2-2)*14+14,6),INDEX(Despesas!$LP$1:$MB$163,($Q$2-1)*15+18,6)))</f>
        <v>0</v>
      </c>
      <c r="P35" s="1520"/>
      <c r="Q35" s="1521"/>
      <c r="R35" s="1571">
        <f>IF($Q$2="","",IF($Q$2&gt;1,INDEX(Despesas!$LP$19:$MB$163,($Q$2-2)*14+14,7),INDEX(Despesas!$LP$1:$MB$163,($Q$2-1)*15+18,7)))</f>
        <v>0</v>
      </c>
      <c r="S35" s="1572"/>
      <c r="T35" s="1517">
        <f>IF($Q$2="","",IF($Q$2&gt;1,INDEX(Despesas!$LP$19:$MB$163,($Q$2-2)*14+14,8),INDEX(Despesas!$LP$1:$MB$163,($Q$2-1)*15+18,8)))</f>
        <v>0</v>
      </c>
      <c r="U35" s="1518"/>
      <c r="V35" s="1571">
        <f>IF($Q$2="","",IF($Q$2&gt;1,INDEX(Despesas!$LP$19:$MB$163,($Q$2-2)*14+14,9),INDEX(Despesas!$LP$1:$MB$163,($Q$2-1)*15+18,9)))</f>
        <v>0</v>
      </c>
      <c r="W35" s="1572"/>
      <c r="X35" s="476">
        <f>IF($Q$2="","",IF($Q$2&gt;1,INDEX(Despesas!$LP$19:$MB$163,($Q$2-2)*14+14,10),INDEX(Despesas!$LP$1:$MB$163,($Q$2-1)*15+18,10)))</f>
        <v>0</v>
      </c>
      <c r="Y35" s="476">
        <f>IF($Q$2="","",IF($Q$2&gt;1,INDEX(Despesas!$LP$19:$MB$163,($Q$2-2)*14+14,11),INDEX(Despesas!$LP$1:$MB$163,($Q$2-1)*15+18,11)))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"&amp;(Ata!B84))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IF(Ata!$BM$64&gt;0,Ata!$BM$64,"")</f>
        <v>#VALUE!</v>
      </c>
      <c r="E41" s="406" t="e">
        <f>IF(Ata!$BN$64&gt;0,Ata!$BN$64,"")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204" priority="6" stopIfTrue="1" operator="lessThanOrEqual">
      <formula>0</formula>
    </cfRule>
  </conditionalFormatting>
  <conditionalFormatting sqref="J18:Y18">
    <cfRule type="expression" dxfId="203" priority="5" stopIfTrue="1">
      <formula>$P$16&gt;$M$16</formula>
    </cfRule>
    <cfRule type="expression" dxfId="202" priority="7" stopIfTrue="1">
      <formula>$P$15&gt;$M$15</formula>
    </cfRule>
  </conditionalFormatting>
  <conditionalFormatting sqref="J9:Y9">
    <cfRule type="expression" dxfId="201" priority="8" stopIfTrue="1">
      <formula>$T$15&lt;0</formula>
    </cfRule>
    <cfRule type="expression" dxfId="200" priority="9" stopIfTrue="1">
      <formula>$T$16&lt;0</formula>
    </cfRule>
  </conditionalFormatting>
  <conditionalFormatting sqref="P15:R15">
    <cfRule type="expression" dxfId="199" priority="10" stopIfTrue="1">
      <formula>$P$15&gt;$M$15</formula>
    </cfRule>
  </conditionalFormatting>
  <conditionalFormatting sqref="P16:R16">
    <cfRule type="expression" dxfId="198" priority="11" stopIfTrue="1">
      <formula>$P$16&gt;$M$16</formula>
    </cfRule>
  </conditionalFormatting>
  <conditionalFormatting sqref="J46:Q46 J49:Q49">
    <cfRule type="cellIs" dxfId="197" priority="12" stopIfTrue="1" operator="equal">
      <formula>0</formula>
    </cfRule>
  </conditionalFormatting>
  <conditionalFormatting sqref="B21:Y35">
    <cfRule type="cellIs" dxfId="196" priority="1" operator="equal">
      <formula>0</formula>
    </cfRule>
    <cfRule type="expression" dxfId="19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A4" sqref="A4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Despesas!$AM$70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682"/>
      <c r="U5" s="682"/>
      <c r="V5" s="682"/>
      <c r="W5" s="682"/>
      <c r="X5" s="682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1133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684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Dados!$F$38</f>
        <v/>
      </c>
      <c r="D15" s="1607"/>
      <c r="E15" s="1607"/>
      <c r="F15" s="49" t="s">
        <v>294</v>
      </c>
      <c r="G15" s="1470" t="str">
        <f>Dados!$F$36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Despesas!$AL$82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Dados!$I$38</f>
        <v/>
      </c>
      <c r="D16" s="1606"/>
      <c r="E16" s="1606"/>
      <c r="F16" s="48" t="s">
        <v>293</v>
      </c>
      <c r="G16" s="1463" t="str">
        <f>Dados!$I$36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Despesas!$AM$82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685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IF($Q$2="","",IF($Q$2&gt;1,"",INDEX(Despesas!$MC$1:$MO$163,($Q$2-1)*15+4,1)))</f>
        <v/>
      </c>
      <c r="C21" s="1554"/>
      <c r="D21" s="1559" t="str">
        <f>TRIM(IF($Q$2="","",IF($Q$2&gt;1,"De transporte ..........",PROPER(INDEX(Despesas!$MC$1:$MO$163,($Q$2-1)*15+4,2)))))</f>
        <v/>
      </c>
      <c r="E21" s="1560"/>
      <c r="F21" s="1560"/>
      <c r="G21" s="1561"/>
      <c r="H21" s="1461">
        <f>IF($Q$2="","",IF($Q$2&gt;1,"",INDEX(Despesas!$MC$1:$MO$163,($Q$2-1)*15+4,3)))</f>
        <v>0</v>
      </c>
      <c r="I21" s="1462"/>
      <c r="J21" s="1537" t="str">
        <f>TRIM(IF($Q$2="","",IF($Q$2&gt;1,"",PROPER(INDEX(Despesas!$MC$1:$MO$163,($Q$2-1)*15+4,4)))))</f>
        <v/>
      </c>
      <c r="K21" s="1538"/>
      <c r="L21" s="1538"/>
      <c r="M21" s="1539"/>
      <c r="N21" s="765">
        <f>IF($Q$2="","",IF($Q$2&gt;1,"",INDEX(Despesas!$MC$1:$MO$163,($Q$2-1)*15+4,5)))</f>
        <v>0</v>
      </c>
      <c r="O21" s="1555">
        <f>IF($Q$2="","",IF($Q$2&gt;1,"",INDEX(Despesas!$MC$1:$MO$163,($Q$2-1)*15+4,6)))</f>
        <v>0</v>
      </c>
      <c r="P21" s="1556"/>
      <c r="Q21" s="1557"/>
      <c r="R21" s="1527">
        <f>IF($Q$2="","",IF($Q$2&gt;1,"",INDEX(Despesas!$MC$1:$MO$163,($Q$2-1)*15+4,7)))</f>
        <v>0</v>
      </c>
      <c r="S21" s="1528"/>
      <c r="T21" s="1548">
        <f>IF($Q$2="","",IF($Q$2&gt;1,"",INDEX(Despesas!$MC$1:$MO$163,($Q$2-1)*15+4,8)))</f>
        <v>0</v>
      </c>
      <c r="U21" s="1549"/>
      <c r="V21" s="1527">
        <f>IF($Q$2="","",IF($Q$2&gt;1,"",INDEX(Despesas!$MC$1:$MO$163,($Q$2-1)*15+4,9)))</f>
        <v>0</v>
      </c>
      <c r="W21" s="1528"/>
      <c r="X21" s="476">
        <f>IF($Q$2="","",IF($Q$2&gt;1,INDEX(Despesas!$PZ$4:$QA$15,($Q$2)-1,1),INDEX(Despesas!$MC$1:$MO$163,($Q$2-1)*15+4,10)))</f>
        <v>0</v>
      </c>
      <c r="Y21" s="476">
        <f>IF($Q$2="","",IF($Q$2&gt;1,INDEX(Despesas!$PZ$4:$QA$15,($Q$2)-1,2),INDEX(Despesas!$MC$1:$MO$163,($Q$2-1)*15+4,11)))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IF($Q$2="","",IF($Q$2&gt;1,INDEX(Despesas!$MC$19:$MO$163,($Q$2-2)*14+1,1),INDEX(Despesas!$MC$1:$MO$163,($Q$2-1)*15+5,1)))</f>
        <v/>
      </c>
      <c r="C22" s="1507"/>
      <c r="D22" s="1452" t="str">
        <f>TRIM(IF($Q$2="","",IF($Q$2&gt;1,PROPER(INDEX(Despesas!$MC$19:$MO$163,($Q$2-2)*14+1,2)),PROPER(INDEX(Despesas!$MC$1:$MO$163,($Q$2-1)*15+5,2)))))</f>
        <v/>
      </c>
      <c r="E22" s="1453"/>
      <c r="F22" s="1453"/>
      <c r="G22" s="1454"/>
      <c r="H22" s="1474">
        <f>IF($Q$2="","",IF($Q$2&gt;1,INDEX(Despesas!$MC$19:$MO$163,($Q$2-2)*14+1,3),INDEX(Despesas!$MC$1:$MO$163,($Q$2-1)*15+5,3)))</f>
        <v>0</v>
      </c>
      <c r="I22" s="1475"/>
      <c r="J22" s="1458" t="str">
        <f>TRIM(IF($Q$2="","",IF($Q$2&gt;1,PROPER(INDEX(Despesas!$MC$19:$MO$163,($Q$2-2)*14+1,4)),PROPER(INDEX(Despesas!$MC$1:$MO$163,($Q$2-1)*15+5,4)))))</f>
        <v/>
      </c>
      <c r="K22" s="1459"/>
      <c r="L22" s="1459"/>
      <c r="M22" s="1460"/>
      <c r="N22" s="452">
        <f>IF($Q$2="","",IF($Q$2&gt;1,INDEX(Despesas!$MC$19:$MO$163,($Q$2-2)*14+1,5),INDEX(Despesas!$MC$1:$MO$163,($Q$2-1)*15+5,5)))</f>
        <v>0</v>
      </c>
      <c r="O22" s="1519">
        <f>IF($Q$2="","",IF($Q$2&gt;1,INDEX(Despesas!$MC$19:$MO$163,($Q$2-2)*14+1,6),INDEX(Despesas!$MC$1:$MO$163,($Q$2-1)*15+5,6)))</f>
        <v>0</v>
      </c>
      <c r="P22" s="1520"/>
      <c r="Q22" s="1521"/>
      <c r="R22" s="1508">
        <f>IF($Q$2="","",IF($Q$2&gt;1,INDEX(Despesas!$MC$19:$MO$163,($Q$2-2)*14+1,7),INDEX(Despesas!$MC$1:$MO$163,($Q$2-1)*15+5,7)))</f>
        <v>0</v>
      </c>
      <c r="S22" s="1509"/>
      <c r="T22" s="1517">
        <f>IF($Q$2="","",IF($Q$2&gt;1,INDEX(Despesas!$MC$19:$MO$163,($Q$2-2)*14+1,8),INDEX(Despesas!$MC$1:$MO$163,($Q$2-1)*15+5,8)))</f>
        <v>0</v>
      </c>
      <c r="U22" s="1518"/>
      <c r="V22" s="1508">
        <f>IF($Q$2="","",IF($Q$2&gt;1,INDEX(Despesas!$MC$19:$MO$163,($Q$2-2)*14+1,9),INDEX(Despesas!$MC$1:$MO$163,($Q$2-1)*15+5,9)))</f>
        <v>0</v>
      </c>
      <c r="W22" s="1509"/>
      <c r="X22" s="476">
        <f>IF($Q$2="","",IF($Q$2&gt;1,INDEX(Despesas!$MC$19:$MO$163,($Q$2-2)*14+1,10),INDEX(Despesas!$MC$1:$MO$163,($Q$2-1)*15+5,10)))</f>
        <v>0</v>
      </c>
      <c r="Y22" s="476">
        <f>IF($Q$2="","",IF($Q$2&gt;1,INDEX(Despesas!$MC$19:$MO$163,($Q$2-2)*14+1,11),INDEX(Despesas!$MC$1:$MO$163,($Q$2-1)*15+5,11)))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IF($Q$2="","",IF($Q$2&gt;1,INDEX(Despesas!$MC$19:$MO$163,($Q$2-2)*14+2,1),INDEX(Despesas!$MC$1:$MO$163,($Q$2-1)*15+6,1)))</f>
        <v/>
      </c>
      <c r="C23" s="1507"/>
      <c r="D23" s="1452" t="str">
        <f>TRIM(IF($Q$2="","",IF($Q$2&gt;1,PROPER(INDEX(Despesas!$MC$19:$MO$163,($Q$2-2)*14+2,2)),PROPER(INDEX(Despesas!$MC$1:$MO$163,($Q$2-1)*15+6,2)))))</f>
        <v/>
      </c>
      <c r="E23" s="1453"/>
      <c r="F23" s="1453"/>
      <c r="G23" s="1454"/>
      <c r="H23" s="1474">
        <f>IF($Q$2="","",IF($Q$2&gt;1,INDEX(Despesas!$MC$19:$MO$163,($Q$2-2)*14+2,3),INDEX(Despesas!$MC$1:$MO$163,($Q$2-1)*15+6,3)))</f>
        <v>0</v>
      </c>
      <c r="I23" s="1475"/>
      <c r="J23" s="1458" t="str">
        <f>TRIM(IF($Q$2="","",IF($Q$2&gt;1,PROPER(INDEX(Despesas!$MC$19:$MO$163,($Q$2-2)*14+2,4)),PROPER(INDEX(Despesas!$MC$1:$MO$163,($Q$2-1)*15+6,4)))))</f>
        <v/>
      </c>
      <c r="K23" s="1459"/>
      <c r="L23" s="1459"/>
      <c r="M23" s="1460"/>
      <c r="N23" s="765">
        <f>IF($Q$2="","",IF($Q$2&gt;1,INDEX(Despesas!$MC$19:$MO$163,($Q$2-2)*14+2,5),INDEX(Despesas!$MC$1:$MO$163,($Q$2-1)*15+6,5)))</f>
        <v>0</v>
      </c>
      <c r="O23" s="1519">
        <f>IF($Q$2="","",IF($Q$2&gt;1,INDEX(Despesas!$MC$19:$MO$163,($Q$2-2)*14+2,6),INDEX(Despesas!$MC$1:$MO$163,($Q$2-1)*15+6,6)))</f>
        <v>0</v>
      </c>
      <c r="P23" s="1520"/>
      <c r="Q23" s="1521"/>
      <c r="R23" s="1508">
        <f>IF($Q$2="","",IF($Q$2&gt;1,INDEX(Despesas!$MC$19:$MO$163,($Q$2-2)*14+2,7),INDEX(Despesas!$MC$1:$MO$163,($Q$2-1)*15+6,7)))</f>
        <v>0</v>
      </c>
      <c r="S23" s="1509"/>
      <c r="T23" s="1517">
        <f>IF($Q$2="","",IF($Q$2&gt;1,INDEX(Despesas!$MC$19:$MO$163,($Q$2-2)*14+2,8),INDEX(Despesas!$MC$1:$MO$163,($Q$2-1)*15+6,8)))</f>
        <v>0</v>
      </c>
      <c r="U23" s="1518"/>
      <c r="V23" s="1508">
        <f>IF($Q$2="","",IF($Q$2&gt;1,INDEX(Despesas!$MC$19:$MO$163,($Q$2-2)*14+2,9),INDEX(Despesas!$MC$1:$MO$163,($Q$2-1)*15+6,9)))</f>
        <v>0</v>
      </c>
      <c r="W23" s="1509"/>
      <c r="X23" s="476">
        <f>IF($Q$2="","",IF($Q$2&gt;1,INDEX(Despesas!$MC$19:$MO$163,($Q$2-2)*14+2,10),INDEX(Despesas!$MC$1:$MO$163,($Q$2-1)*15+6,10)))</f>
        <v>0</v>
      </c>
      <c r="Y23" s="476">
        <f>IF($Q$2="","",IF($Q$2&gt;1,INDEX(Despesas!$MC$19:$MO$163,($Q$2-2)*14+2,11),INDEX(Despesas!$MC$1:$MO$163,($Q$2-1)*15+6,11)))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IF($Q$2="","",IF($Q$2&gt;1,INDEX(Despesas!$MC$19:$MO$163,($Q$2-2)*14+3,1),INDEX(Despesas!$MC$1:$MO$163,($Q$2-1)*15+7,1)))</f>
        <v/>
      </c>
      <c r="C24" s="1507"/>
      <c r="D24" s="1452" t="str">
        <f>TRIM(IF($Q$2="","",IF($Q$2&gt;1,PROPER(INDEX(Despesas!$MC$19:$MO$163,($Q$2-2)*14+3,2)),PROPER(INDEX(Despesas!$MC$1:$MO$163,($Q$2-1)*15+7,2)))))</f>
        <v/>
      </c>
      <c r="E24" s="1453"/>
      <c r="F24" s="1453"/>
      <c r="G24" s="1454"/>
      <c r="H24" s="1474">
        <f>IF($Q$2="","",IF($Q$2&gt;1,INDEX(Despesas!$MC$19:$MO$163,($Q$2-2)*14+3,3),INDEX(Despesas!$MC$1:$MO$163,($Q$2-1)*15+7,3)))</f>
        <v>0</v>
      </c>
      <c r="I24" s="1475"/>
      <c r="J24" s="1458" t="str">
        <f>TRIM(IF($Q$2="","",IF($Q$2&gt;1,PROPER(INDEX(Despesas!$MC$19:$MO$163,($Q$2-2)*14+3,4)),PROPER(INDEX(Despesas!$MC$1:$MO$163,($Q$2-1)*15+7,4)))))</f>
        <v/>
      </c>
      <c r="K24" s="1459"/>
      <c r="L24" s="1459"/>
      <c r="M24" s="1460"/>
      <c r="N24" s="765">
        <f>IF($Q$2="","",IF($Q$2&gt;1,INDEX(Despesas!$MC$19:$MO$163,($Q$2-2)*14+3,5),INDEX(Despesas!$MC$1:$MO$163,($Q$2-1)*15+7,5)))</f>
        <v>0</v>
      </c>
      <c r="O24" s="1519">
        <f>IF($Q$2="","",IF($Q$2&gt;1,INDEX(Despesas!$MC$19:$MO$163,($Q$2-2)*14+3,6),INDEX(Despesas!$MC$1:$MO$163,($Q$2-1)*15+7,6)))</f>
        <v>0</v>
      </c>
      <c r="P24" s="1520"/>
      <c r="Q24" s="1521"/>
      <c r="R24" s="1508">
        <f>IF($Q$2="","",IF($Q$2&gt;1,INDEX(Despesas!$MC$19:$MO$163,($Q$2-2)*14+3,7),INDEX(Despesas!$MC$1:$MO$163,($Q$2-1)*15+7,7)))</f>
        <v>0</v>
      </c>
      <c r="S24" s="1509"/>
      <c r="T24" s="1517">
        <f>IF($Q$2="","",IF($Q$2&gt;1,INDEX(Despesas!$MC$19:$MO$163,($Q$2-2)*14+3,8),INDEX(Despesas!$MC$1:$MO$163,($Q$2-1)*15+7,8)))</f>
        <v>0</v>
      </c>
      <c r="U24" s="1518"/>
      <c r="V24" s="1508">
        <f>IF($Q$2="","",IF($Q$2&gt;1,INDEX(Despesas!$MC$19:$MO$163,($Q$2-2)*14+3,9),INDEX(Despesas!$MC$1:$MO$163,($Q$2-1)*15+7,9)))</f>
        <v>0</v>
      </c>
      <c r="W24" s="1509"/>
      <c r="X24" s="476">
        <f>IF($Q$2="","",IF($Q$2&gt;1,INDEX(Despesas!$MC$19:$MO$163,($Q$2-2)*14+3,10),INDEX(Despesas!$MC$1:$MO$163,($Q$2-1)*15+7,10)))</f>
        <v>0</v>
      </c>
      <c r="Y24" s="476">
        <f>IF($Q$2="","",IF($Q$2&gt;1,INDEX(Despesas!$MC$19:$MO$163,($Q$2-2)*14+3,11),INDEX(Despesas!$MC$1:$MO$163,($Q$2-1)*15+7,11)))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IF($Q$2="","",IF($Q$2&gt;1,INDEX(Despesas!$MC$19:$MO$163,($Q$2-2)*14+4,1),INDEX(Despesas!$MC$1:$MO$163,($Q$2-1)*15+8,1)))</f>
        <v/>
      </c>
      <c r="C25" s="1507"/>
      <c r="D25" s="1452" t="str">
        <f>TRIM(IF($Q$2="","",IF($Q$2&gt;1,PROPER(INDEX(Despesas!$MC$19:$MO$163,($Q$2-2)*14+4,2)),PROPER(INDEX(Despesas!$MC$1:$MO$163,($Q$2-1)*15+8,2)))))</f>
        <v/>
      </c>
      <c r="E25" s="1453"/>
      <c r="F25" s="1453"/>
      <c r="G25" s="1454"/>
      <c r="H25" s="1474">
        <f>IF($Q$2="","",IF($Q$2&gt;1,INDEX(Despesas!$MC$19:$MO$163,($Q$2-2)*14+4,3),INDEX(Despesas!$MC$1:$MO$163,($Q$2-1)*15+8,3)))</f>
        <v>0</v>
      </c>
      <c r="I25" s="1475"/>
      <c r="J25" s="1458" t="str">
        <f>TRIM(IF($Q$2="","",IF($Q$2&gt;1,PROPER(INDEX(Despesas!$MC$19:$MO$163,($Q$2-2)*14+4,4)),PROPER(INDEX(Despesas!$MC$1:$MO$163,($Q$2-1)*15+8,4)))))</f>
        <v/>
      </c>
      <c r="K25" s="1459"/>
      <c r="L25" s="1459"/>
      <c r="M25" s="1460"/>
      <c r="N25" s="765">
        <f>IF($Q$2="","",IF($Q$2&gt;1,INDEX(Despesas!$MC$19:$MO$163,($Q$2-2)*14+4,5),INDEX(Despesas!$MC$1:$MO$163,($Q$2-1)*15+8,5)))</f>
        <v>0</v>
      </c>
      <c r="O25" s="1519">
        <f>IF($Q$2="","",IF($Q$2&gt;1,INDEX(Despesas!$MC$19:$MO$163,($Q$2-2)*14+4,6),INDEX(Despesas!$MC$1:$MO$163,($Q$2-1)*15+8,6)))</f>
        <v>0</v>
      </c>
      <c r="P25" s="1520"/>
      <c r="Q25" s="1521"/>
      <c r="R25" s="1508">
        <f>IF($Q$2="","",IF($Q$2&gt;1,INDEX(Despesas!$MC$19:$MO$163,($Q$2-2)*14+4,7),INDEX(Despesas!$MC$1:$MO$163,($Q$2-1)*15+8,7)))</f>
        <v>0</v>
      </c>
      <c r="S25" s="1509"/>
      <c r="T25" s="1517">
        <f>IF($Q$2="","",IF($Q$2&gt;1,INDEX(Despesas!$MC$19:$MO$163,($Q$2-2)*14+4,8),INDEX(Despesas!$MC$1:$MO$163,($Q$2-1)*15+8,8)))</f>
        <v>0</v>
      </c>
      <c r="U25" s="1518"/>
      <c r="V25" s="1508">
        <f>IF($Q$2="","",IF($Q$2&gt;1,INDEX(Despesas!$MC$19:$MO$163,($Q$2-2)*14+4,9),INDEX(Despesas!$MC$1:$MO$163,($Q$2-1)*15+8,9)))</f>
        <v>0</v>
      </c>
      <c r="W25" s="1509"/>
      <c r="X25" s="476">
        <f>IF($Q$2="","",IF($Q$2&gt;1,INDEX(Despesas!$MC$19:$MO$163,($Q$2-2)*14+4,10),INDEX(Despesas!$MC$1:$MO$163,($Q$2-1)*15+8,10)))</f>
        <v>0</v>
      </c>
      <c r="Y25" s="476">
        <f>IF($Q$2="","",IF($Q$2&gt;1,INDEX(Despesas!$MC$19:$MO$163,($Q$2-2)*14+4,11),INDEX(Despesas!$MC$1:$MO$163,($Q$2-1)*15+8,11)))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IF($Q$2="","",IF($Q$2&gt;1,INDEX(Despesas!$MC$19:$MO$163,($Q$2-2)*14+5,1),INDEX(Despesas!$MC$1:$MO$163,($Q$2-1)*15+9,1)))</f>
        <v/>
      </c>
      <c r="C26" s="1507"/>
      <c r="D26" s="1452" t="str">
        <f>TRIM(IF($Q$2="","",IF($Q$2&gt;1,PROPER(INDEX(Despesas!$MC$19:$MO$163,($Q$2-2)*14+5,2)),PROPER(INDEX(Despesas!$MC$1:$MO$163,($Q$2-1)*15+9,2)))))</f>
        <v/>
      </c>
      <c r="E26" s="1453"/>
      <c r="F26" s="1453"/>
      <c r="G26" s="1454"/>
      <c r="H26" s="1474">
        <f>IF($Q$2="","",IF($Q$2&gt;1,INDEX(Despesas!$MC$19:$MO$163,($Q$2-2)*14+5,3),INDEX(Despesas!$MC$1:$MO$163,($Q$2-1)*15+9,3)))</f>
        <v>0</v>
      </c>
      <c r="I26" s="1475"/>
      <c r="J26" s="1458" t="str">
        <f>TRIM(IF($Q$2="","",IF($Q$2&gt;1,PROPER(INDEX(Despesas!$MC$19:$MO$163,($Q$2-2)*14+5,4)),PROPER(INDEX(Despesas!$MC$1:$MO$163,($Q$2-1)*15+9,4)))))</f>
        <v/>
      </c>
      <c r="K26" s="1459"/>
      <c r="L26" s="1459"/>
      <c r="M26" s="1460"/>
      <c r="N26" s="765">
        <f>IF($Q$2="","",IF($Q$2&gt;1,INDEX(Despesas!$MC$19:$MO$163,($Q$2-2)*14+5,5),INDEX(Despesas!$MC$1:$MO$163,($Q$2-1)*15+9,5)))</f>
        <v>0</v>
      </c>
      <c r="O26" s="1519">
        <f>IF($Q$2="","",IF($Q$2&gt;1,INDEX(Despesas!$MC$19:$MO$163,($Q$2-2)*14+5,6),INDEX(Despesas!$MC$1:$MO$163,($Q$2-1)*15+9,6)))</f>
        <v>0</v>
      </c>
      <c r="P26" s="1520"/>
      <c r="Q26" s="1521"/>
      <c r="R26" s="1508">
        <f>IF($Q$2="","",IF($Q$2&gt;1,INDEX(Despesas!$MC$19:$MO$163,($Q$2-2)*14+5,7),INDEX(Despesas!$MC$1:$MO$163,($Q$2-1)*15+9,7)))</f>
        <v>0</v>
      </c>
      <c r="S26" s="1509"/>
      <c r="T26" s="1517">
        <f>IF($Q$2="","",IF($Q$2&gt;1,INDEX(Despesas!$MC$19:$MO$163,($Q$2-2)*14+5,8),INDEX(Despesas!$MC$1:$MO$163,($Q$2-1)*15+9,8)))</f>
        <v>0</v>
      </c>
      <c r="U26" s="1518"/>
      <c r="V26" s="1508">
        <f>IF($Q$2="","",IF($Q$2&gt;1,INDEX(Despesas!$MC$19:$MO$163,($Q$2-2)*14+5,9),INDEX(Despesas!$MC$1:$MO$163,($Q$2-1)*15+9,9)))</f>
        <v>0</v>
      </c>
      <c r="W26" s="1509"/>
      <c r="X26" s="476">
        <f>IF($Q$2="","",IF($Q$2&gt;1,INDEX(Despesas!$MC$19:$MO$163,($Q$2-2)*14+5,10),INDEX(Despesas!$MC$1:$MO$163,($Q$2-1)*15+9,10)))</f>
        <v>0</v>
      </c>
      <c r="Y26" s="476">
        <f>IF($Q$2="","",IF($Q$2&gt;1,INDEX(Despesas!$MC$19:$MO$163,($Q$2-2)*14+5,11),INDEX(Despesas!$MC$1:$MO$163,($Q$2-1)*15+9,11)))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IF($Q$2="","",IF($Q$2&gt;1,INDEX(Despesas!$MC$19:$MO$163,($Q$2-2)*14+6,1),INDEX(Despesas!$MC$1:$MO$163,($Q$2-1)*15+10,1)))</f>
        <v/>
      </c>
      <c r="C27" s="1507"/>
      <c r="D27" s="1452" t="str">
        <f>TRIM(IF($Q$2="","",IF($Q$2&gt;1,PROPER(INDEX(Despesas!$MC$19:$MO$163,($Q$2-2)*14+6,2)),PROPER(INDEX(Despesas!$MC$1:$MO$163,($Q$2-1)*15+10,2)))))</f>
        <v/>
      </c>
      <c r="E27" s="1453"/>
      <c r="F27" s="1453"/>
      <c r="G27" s="1454"/>
      <c r="H27" s="1474">
        <f>IF($Q$2="","",IF($Q$2&gt;1,INDEX(Despesas!$MC$19:$MO$163,($Q$2-2)*14+6,3),INDEX(Despesas!$MC$1:$MO$163,($Q$2-1)*15+10,3)))</f>
        <v>0</v>
      </c>
      <c r="I27" s="1475"/>
      <c r="J27" s="1458" t="str">
        <f>TRIM(IF($Q$2="","",IF($Q$2&gt;1,PROPER(INDEX(Despesas!$MC$19:$MO$163,($Q$2-2)*14+6,4)),PROPER(INDEX(Despesas!$MC$1:$MO$163,($Q$2-1)*15+10,4)))))</f>
        <v/>
      </c>
      <c r="K27" s="1459"/>
      <c r="L27" s="1459"/>
      <c r="M27" s="1460"/>
      <c r="N27" s="765">
        <f>IF($Q$2="","",IF($Q$2&gt;1,INDEX(Despesas!$MC$19:$MO$163,($Q$2-2)*14+6,5),INDEX(Despesas!$MC$1:$MO$163,($Q$2-1)*15+10,5)))</f>
        <v>0</v>
      </c>
      <c r="O27" s="1519">
        <f>IF($Q$2="","",IF($Q$2&gt;1,INDEX(Despesas!$MC$19:$MO$163,($Q$2-2)*14+6,6),INDEX(Despesas!$MC$1:$MO$163,($Q$2-1)*15+10,6)))</f>
        <v>0</v>
      </c>
      <c r="P27" s="1520"/>
      <c r="Q27" s="1521"/>
      <c r="R27" s="1508">
        <f>IF($Q$2="","",IF($Q$2&gt;1,INDEX(Despesas!$MC$19:$MO$163,($Q$2-2)*14+6,7),INDEX(Despesas!$MC$1:$MO$163,($Q$2-1)*15+10,7)))</f>
        <v>0</v>
      </c>
      <c r="S27" s="1509"/>
      <c r="T27" s="1517">
        <f>IF($Q$2="","",IF($Q$2&gt;1,INDEX(Despesas!$MC$19:$MO$163,($Q$2-2)*14+6,8),INDEX(Despesas!$MC$1:$MO$163,($Q$2-1)*15+10,8)))</f>
        <v>0</v>
      </c>
      <c r="U27" s="1518"/>
      <c r="V27" s="1508">
        <f>IF($Q$2="","",IF($Q$2&gt;1,INDEX(Despesas!$MC$19:$MO$163,($Q$2-2)*14+6,9),INDEX(Despesas!$MC$1:$MO$163,($Q$2-1)*15+10,9)))</f>
        <v>0</v>
      </c>
      <c r="W27" s="1509"/>
      <c r="X27" s="476">
        <f>IF($Q$2="","",IF($Q$2&gt;1,INDEX(Despesas!$MC$19:$MO$163,($Q$2-2)*14+6,10),INDEX(Despesas!$MC$1:$MO$163,($Q$2-1)*15+10,10)))</f>
        <v>0</v>
      </c>
      <c r="Y27" s="476">
        <f>IF($Q$2="","",IF($Q$2&gt;1,INDEX(Despesas!$MC$19:$MO$163,($Q$2-2)*14+6,11),INDEX(Despesas!$MC$1:$MO$163,($Q$2-1)*15+10,11)))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IF($Q$2="","",IF($Q$2&gt;1,INDEX(Despesas!$MC$19:$MO$163,($Q$2-2)*14+7,1),INDEX(Despesas!$MC$1:$MO$163,($Q$2-1)*15+11,1)))</f>
        <v/>
      </c>
      <c r="C28" s="1507"/>
      <c r="D28" s="1452" t="str">
        <f>TRIM(IF($Q$2="","",IF($Q$2&gt;1,PROPER(INDEX(Despesas!$MC$19:$MO$163,($Q$2-2)*14+7,2)),PROPER(INDEX(Despesas!$MC$1:$MO$163,($Q$2-1)*15+11,2)))))</f>
        <v/>
      </c>
      <c r="E28" s="1453"/>
      <c r="F28" s="1453"/>
      <c r="G28" s="1454"/>
      <c r="H28" s="1474">
        <f>IF($Q$2="","",IF($Q$2&gt;1,INDEX(Despesas!$MC$19:$MO$163,($Q$2-2)*14+7,3),INDEX(Despesas!$MC$1:$MO$163,($Q$2-1)*15+11,3)))</f>
        <v>0</v>
      </c>
      <c r="I28" s="1475"/>
      <c r="J28" s="1458" t="str">
        <f>TRIM(IF($Q$2="","",IF($Q$2&gt;1,PROPER(INDEX(Despesas!$MC$19:$MO$163,($Q$2-2)*14+7,4)),PROPER(INDEX(Despesas!$MC$1:$MO$163,($Q$2-1)*15+11,4)))))</f>
        <v/>
      </c>
      <c r="K28" s="1459"/>
      <c r="L28" s="1459"/>
      <c r="M28" s="1460"/>
      <c r="N28" s="765">
        <f>IF($Q$2="","",IF($Q$2&gt;1,INDEX(Despesas!$MC$19:$MO$163,($Q$2-2)*14+7,5),INDEX(Despesas!$MC$1:$MO$163,($Q$2-1)*15+11,5)))</f>
        <v>0</v>
      </c>
      <c r="O28" s="1519">
        <f>IF($Q$2="","",IF($Q$2&gt;1,INDEX(Despesas!$MC$19:$MO$163,($Q$2-2)*14+7,6),INDEX(Despesas!$MC$1:$MO$163,($Q$2-1)*15+11,6)))</f>
        <v>0</v>
      </c>
      <c r="P28" s="1520"/>
      <c r="Q28" s="1521"/>
      <c r="R28" s="1508">
        <f>IF($Q$2="","",IF($Q$2&gt;1,INDEX(Despesas!$MC$19:$MO$163,($Q$2-2)*14+7,7),INDEX(Despesas!$MC$1:$MO$163,($Q$2-1)*15+11,7)))</f>
        <v>0</v>
      </c>
      <c r="S28" s="1509"/>
      <c r="T28" s="1517">
        <f>IF($Q$2="","",IF($Q$2&gt;1,INDEX(Despesas!$MC$19:$MO$163,($Q$2-2)*14+7,8),INDEX(Despesas!$MC$1:$MO$163,($Q$2-1)*15+11,8)))</f>
        <v>0</v>
      </c>
      <c r="U28" s="1518"/>
      <c r="V28" s="1508">
        <f>IF($Q$2="","",IF($Q$2&gt;1,INDEX(Despesas!$MC$19:$MO$163,($Q$2-2)*14+7,9),INDEX(Despesas!$MC$1:$MO$163,($Q$2-1)*15+11,9)))</f>
        <v>0</v>
      </c>
      <c r="W28" s="1509"/>
      <c r="X28" s="476">
        <f>IF($Q$2="","",IF($Q$2&gt;1,INDEX(Despesas!$MC$19:$MO$163,($Q$2-2)*14+7,10),INDEX(Despesas!$MC$1:$MO$163,($Q$2-1)*15+11,10)))</f>
        <v>0</v>
      </c>
      <c r="Y28" s="476">
        <f>IF($Q$2="","",IF($Q$2&gt;1,INDEX(Despesas!$MC$19:$MO$163,($Q$2-2)*14+7,11),INDEX(Despesas!$MC$1:$MO$163,($Q$2-1)*15+11,11)))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IF($Q$2="","",IF($Q$2&gt;1,INDEX(Despesas!$MC$19:$MO$163,($Q$2-2)*14+8,1),INDEX(Despesas!$MC$1:$MO$163,($Q$2-1)*15+12,1)))</f>
        <v/>
      </c>
      <c r="C29" s="1507"/>
      <c r="D29" s="1452" t="str">
        <f>TRIM(IF($Q$2="","",IF($Q$2&gt;1,PROPER(INDEX(Despesas!$MC$19:$MO$163,($Q$2-2)*14+8,2)),PROPER(INDEX(Despesas!$MC$1:$MO$163,($Q$2-1)*15+12,2)))))</f>
        <v/>
      </c>
      <c r="E29" s="1453"/>
      <c r="F29" s="1453"/>
      <c r="G29" s="1454"/>
      <c r="H29" s="1474">
        <f>IF($Q$2="","",IF($Q$2&gt;1,INDEX(Despesas!$MC$19:$MO$163,($Q$2-2)*14+8,3),INDEX(Despesas!$MC$1:$MO$163,($Q$2-1)*15+12,3)))</f>
        <v>0</v>
      </c>
      <c r="I29" s="1475"/>
      <c r="J29" s="1458" t="str">
        <f>TRIM(IF($Q$2="","",IF($Q$2&gt;1,PROPER(INDEX(Despesas!$MC$19:$MO$163,($Q$2-2)*14+8,4)),PROPER(INDEX(Despesas!$MC$1:$MO$163,($Q$2-1)*15+12,4)))))</f>
        <v/>
      </c>
      <c r="K29" s="1459"/>
      <c r="L29" s="1459"/>
      <c r="M29" s="1460"/>
      <c r="N29" s="765">
        <f>IF($Q$2="","",IF($Q$2&gt;1,INDEX(Despesas!$MC$19:$MO$163,($Q$2-2)*14+8,5),INDEX(Despesas!$MC$1:$MO$163,($Q$2-1)*15+12,5)))</f>
        <v>0</v>
      </c>
      <c r="O29" s="1519">
        <f>IF($Q$2="","",IF($Q$2&gt;1,INDEX(Despesas!$MC$19:$MO$163,($Q$2-2)*14+8,6),INDEX(Despesas!$MC$1:$MO$163,($Q$2-1)*15+12,6)))</f>
        <v>0</v>
      </c>
      <c r="P29" s="1520"/>
      <c r="Q29" s="1521"/>
      <c r="R29" s="1508">
        <f>IF($Q$2="","",IF($Q$2&gt;1,INDEX(Despesas!$MC$19:$MO$163,($Q$2-2)*14+8,7),INDEX(Despesas!$MC$1:$MO$163,($Q$2-1)*15+12,7)))</f>
        <v>0</v>
      </c>
      <c r="S29" s="1509"/>
      <c r="T29" s="1517">
        <f>IF($Q$2="","",IF($Q$2&gt;1,INDEX(Despesas!$MC$19:$MO$163,($Q$2-2)*14+8,8),INDEX(Despesas!$MC$1:$MO$163,($Q$2-1)*15+12,8)))</f>
        <v>0</v>
      </c>
      <c r="U29" s="1518"/>
      <c r="V29" s="1508">
        <f>IF($Q$2="","",IF($Q$2&gt;1,INDEX(Despesas!$MC$19:$MO$163,($Q$2-2)*14+8,9),INDEX(Despesas!$MC$1:$MO$163,($Q$2-1)*15+12,9)))</f>
        <v>0</v>
      </c>
      <c r="W29" s="1509"/>
      <c r="X29" s="476">
        <f>IF($Q$2="","",IF($Q$2&gt;1,INDEX(Despesas!$MC$19:$MO$163,($Q$2-2)*14+8,10),INDEX(Despesas!$MC$1:$MO$163,($Q$2-1)*15+12,10)))</f>
        <v>0</v>
      </c>
      <c r="Y29" s="476">
        <f>IF($Q$2="","",IF($Q$2&gt;1,INDEX(Despesas!$MC$19:$MO$163,($Q$2-2)*14+8,11),INDEX(Despesas!$MC$1:$MO$163,($Q$2-1)*15+12,11)))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IF($Q$2="","",IF($Q$2&gt;1,INDEX(Despesas!$MC$19:$MO$163,($Q$2-2)*14+9,1),INDEX(Despesas!$MC$1:$MO$163,($Q$2-1)*15+13,1)))</f>
        <v/>
      </c>
      <c r="C30" s="1507"/>
      <c r="D30" s="1452" t="str">
        <f>TRIM(IF($Q$2="","",IF($Q$2&gt;1,PROPER(INDEX(Despesas!$MC$19:$MO$163,($Q$2-2)*14+9,2)),PROPER(INDEX(Despesas!$MC$1:$MO$163,($Q$2-1)*15+13,2)))))</f>
        <v/>
      </c>
      <c r="E30" s="1453"/>
      <c r="F30" s="1453"/>
      <c r="G30" s="1454"/>
      <c r="H30" s="1474">
        <f>IF($Q$2="","",IF($Q$2&gt;1,INDEX(Despesas!$MC$19:$MO$163,($Q$2-2)*14+9,3),INDEX(Despesas!$MC$1:$MO$163,($Q$2-1)*15+13,3)))</f>
        <v>0</v>
      </c>
      <c r="I30" s="1475"/>
      <c r="J30" s="1458" t="str">
        <f>TRIM(IF($Q$2="","",IF($Q$2&gt;1,PROPER(INDEX(Despesas!$MC$19:$MO$163,($Q$2-2)*14+9,4)),PROPER(INDEX(Despesas!$MC$1:$MO$163,($Q$2-1)*15+13,4)))))</f>
        <v/>
      </c>
      <c r="K30" s="1459"/>
      <c r="L30" s="1459"/>
      <c r="M30" s="1460"/>
      <c r="N30" s="765">
        <f>IF($Q$2="","",IF($Q$2&gt;1,INDEX(Despesas!$MC$19:$MO$163,($Q$2-2)*14+9,5),INDEX(Despesas!$MC$1:$MO$163,($Q$2-1)*15+13,5)))</f>
        <v>0</v>
      </c>
      <c r="O30" s="1519">
        <f>IF($Q$2="","",IF($Q$2&gt;1,INDEX(Despesas!$MC$19:$MO$163,($Q$2-2)*14+9,6),INDEX(Despesas!$MC$1:$MO$163,($Q$2-1)*15+13,6)))</f>
        <v>0</v>
      </c>
      <c r="P30" s="1520"/>
      <c r="Q30" s="1521"/>
      <c r="R30" s="1508">
        <f>IF($Q$2="","",IF($Q$2&gt;1,INDEX(Despesas!$MC$19:$MO$163,($Q$2-2)*14+9,7),INDEX(Despesas!$MC$1:$MO$163,($Q$2-1)*15+13,7)))</f>
        <v>0</v>
      </c>
      <c r="S30" s="1509"/>
      <c r="T30" s="1517">
        <f>IF($Q$2="","",IF($Q$2&gt;1,INDEX(Despesas!$MC$19:$MO$163,($Q$2-2)*14+9,8),INDEX(Despesas!$MC$1:$MO$163,($Q$2-1)*15+13,8)))</f>
        <v>0</v>
      </c>
      <c r="U30" s="1518"/>
      <c r="V30" s="1508">
        <f>IF($Q$2="","",IF($Q$2&gt;1,INDEX(Despesas!$MC$19:$MO$163,($Q$2-2)*14+9,9),INDEX(Despesas!$MC$1:$MO$163,($Q$2-1)*15+13,9)))</f>
        <v>0</v>
      </c>
      <c r="W30" s="1509"/>
      <c r="X30" s="476">
        <f>IF($Q$2="","",IF($Q$2&gt;1,INDEX(Despesas!$MC$19:$MO$163,($Q$2-2)*14+9,10),INDEX(Despesas!$MC$1:$MO$163,($Q$2-1)*15+13,10)))</f>
        <v>0</v>
      </c>
      <c r="Y30" s="476">
        <f>IF($Q$2="","",IF($Q$2&gt;1,INDEX(Despesas!$MC$19:$MO$163,($Q$2-2)*14+9,11),INDEX(Despesas!$MC$1:$MO$163,($Q$2-1)*15+13,11)))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IF($Q$2="","",IF($Q$2&gt;1,INDEX(Despesas!$MC$19:$MO$163,($Q$2-2)*14+10,1),INDEX(Despesas!$MC$1:$MO$163,($Q$2-1)*15+14,1)))</f>
        <v/>
      </c>
      <c r="C31" s="1507"/>
      <c r="D31" s="1452" t="str">
        <f>TRIM(IF($Q$2="","",IF($Q$2&gt;1,PROPER(INDEX(Despesas!$MC$19:$MO$163,($Q$2-2)*14+10,2)),PROPER(INDEX(Despesas!$MC$1:$MO$163,($Q$2-1)*15+14,2)))))</f>
        <v/>
      </c>
      <c r="E31" s="1453"/>
      <c r="F31" s="1453"/>
      <c r="G31" s="1454"/>
      <c r="H31" s="1474">
        <f>IF($Q$2="","",IF($Q$2&gt;1,INDEX(Despesas!$MC$19:$MO$163,($Q$2-2)*14+10,3),INDEX(Despesas!$MC$1:$MO$163,($Q$2-1)*15+14,3)))</f>
        <v>0</v>
      </c>
      <c r="I31" s="1475"/>
      <c r="J31" s="1458" t="str">
        <f>TRIM(IF($Q$2="","",IF($Q$2&gt;1,PROPER(INDEX(Despesas!$MC$19:$MO$163,($Q$2-2)*14+10,4)),PROPER(INDEX(Despesas!$MC$1:$MO$163,($Q$2-1)*15+14,4)))))</f>
        <v/>
      </c>
      <c r="K31" s="1459"/>
      <c r="L31" s="1459"/>
      <c r="M31" s="1460"/>
      <c r="N31" s="765">
        <f>IF($Q$2="","",IF($Q$2&gt;1,INDEX(Despesas!$MC$19:$MO$163,($Q$2-2)*14+10,5),INDEX(Despesas!$MC$1:$MO$163,($Q$2-1)*15+14,5)))</f>
        <v>0</v>
      </c>
      <c r="O31" s="1519">
        <f>IF($Q$2="","",IF($Q$2&gt;1,INDEX(Despesas!$MC$19:$MO$163,($Q$2-2)*14+10,6),INDEX(Despesas!$MC$1:$MO$163,($Q$2-1)*15+14,6)))</f>
        <v>0</v>
      </c>
      <c r="P31" s="1520"/>
      <c r="Q31" s="1521"/>
      <c r="R31" s="1508">
        <f>IF($Q$2="","",IF($Q$2&gt;1,INDEX(Despesas!$MC$19:$MO$163,($Q$2-2)*14+10,7),INDEX(Despesas!$MC$1:$MO$163,($Q$2-1)*15+14,7)))</f>
        <v>0</v>
      </c>
      <c r="S31" s="1509"/>
      <c r="T31" s="1517">
        <f>IF($Q$2="","",IF($Q$2&gt;1,INDEX(Despesas!$MC$19:$MO$163,($Q$2-2)*14+10,8),INDEX(Despesas!$MC$1:$MO$163,($Q$2-1)*15+14,8)))</f>
        <v>0</v>
      </c>
      <c r="U31" s="1518"/>
      <c r="V31" s="1508">
        <f>IF($Q$2="","",IF($Q$2&gt;1,INDEX(Despesas!$MC$19:$MO$163,($Q$2-2)*14+10,9),INDEX(Despesas!$MC$1:$MO$163,($Q$2-1)*15+14,9)))</f>
        <v>0</v>
      </c>
      <c r="W31" s="1509"/>
      <c r="X31" s="476">
        <f>IF($Q$2="","",IF($Q$2&gt;1,INDEX(Despesas!$MC$19:$MO$163,($Q$2-2)*14+10,10),INDEX(Despesas!$MC$1:$MO$163,($Q$2-1)*15+14,10)))</f>
        <v>0</v>
      </c>
      <c r="Y31" s="476">
        <f>IF($Q$2="","",IF($Q$2&gt;1,INDEX(Despesas!$MC$19:$MO$163,($Q$2-2)*14+10,11),INDEX(Despesas!$MC$1:$MO$163,($Q$2-1)*15+14,11)))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IF($Q$2="","",IF($Q$2&gt;1,INDEX(Despesas!$MC$19:$MO$163,($Q$2-2)*14+11,1),INDEX(Despesas!$MC$1:$MO$163,($Q$2-1)*15+15,1)))</f>
        <v/>
      </c>
      <c r="C32" s="1507"/>
      <c r="D32" s="1452" t="str">
        <f>TRIM(IF($Q$2="","",IF($Q$2&gt;1,PROPER(INDEX(Despesas!$MC$19:$MO$163,($Q$2-2)*14+11,2)),PROPER(INDEX(Despesas!$MC$1:$MO$163,($Q$2-1)*15+15,2)))))</f>
        <v/>
      </c>
      <c r="E32" s="1453"/>
      <c r="F32" s="1453"/>
      <c r="G32" s="1454"/>
      <c r="H32" s="1474">
        <f>IF($Q$2="","",IF($Q$2&gt;1,INDEX(Despesas!$MC$19:$MO$163,($Q$2-2)*14+11,3),INDEX(Despesas!$MC$1:$MO$163,($Q$2-1)*15+15,3)))</f>
        <v>0</v>
      </c>
      <c r="I32" s="1475"/>
      <c r="J32" s="1458" t="str">
        <f>TRIM(IF($Q$2="","",IF($Q$2&gt;1,PROPER(INDEX(Despesas!$MC$19:$MO$163,($Q$2-2)*14+11,4)),PROPER(INDEX(Despesas!$MC$1:$MO$163,($Q$2-1)*15+15,4)))))</f>
        <v/>
      </c>
      <c r="K32" s="1459"/>
      <c r="L32" s="1459"/>
      <c r="M32" s="1460"/>
      <c r="N32" s="765">
        <f>IF($Q$2="","",IF($Q$2&gt;1,INDEX(Despesas!$MC$19:$MO$163,($Q$2-2)*14+11,5),INDEX(Despesas!$MC$1:$MO$163,($Q$2-1)*15+15,5)))</f>
        <v>0</v>
      </c>
      <c r="O32" s="1519">
        <f>IF($Q$2="","",IF($Q$2&gt;1,INDEX(Despesas!$MC$19:$MO$163,($Q$2-2)*14+11,6),INDEX(Despesas!$MC$1:$MO$163,($Q$2-1)*15+15,6)))</f>
        <v>0</v>
      </c>
      <c r="P32" s="1520"/>
      <c r="Q32" s="1521"/>
      <c r="R32" s="1508">
        <f>IF($Q$2="","",IF($Q$2&gt;1,INDEX(Despesas!$MC$19:$MO$163,($Q$2-2)*14+11,7),INDEX(Despesas!$MC$1:$MO$163,($Q$2-1)*15+15,7)))</f>
        <v>0</v>
      </c>
      <c r="S32" s="1509"/>
      <c r="T32" s="1517">
        <f>IF($Q$2="","",IF($Q$2&gt;1,INDEX(Despesas!$MC$19:$MO$163,($Q$2-2)*14+11,8),INDEX(Despesas!$MC$1:$MO$163,($Q$2-1)*15+15,8)))</f>
        <v>0</v>
      </c>
      <c r="U32" s="1518"/>
      <c r="V32" s="1508">
        <f>IF($Q$2="","",IF($Q$2&gt;1,INDEX(Despesas!$MC$19:$MO$163,($Q$2-2)*14+11,9),INDEX(Despesas!$MC$1:$MO$163,($Q$2-1)*15+15,9)))</f>
        <v>0</v>
      </c>
      <c r="W32" s="1509"/>
      <c r="X32" s="476">
        <f>IF($Q$2="","",IF($Q$2&gt;1,INDEX(Despesas!$MC$19:$MO$163,($Q$2-2)*14+11,10),INDEX(Despesas!$MC$1:$MO$163,($Q$2-1)*15+15,10)))</f>
        <v>0</v>
      </c>
      <c r="Y32" s="476">
        <f>IF($Q$2="","",IF($Q$2&gt;1,INDEX(Despesas!$MC$19:$MO$163,($Q$2-2)*14+11,11),INDEX(Despesas!$MC$1:$MO$163,($Q$2-1)*15+15,11)))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IF($Q$2="","",IF($Q$2&gt;1,INDEX(Despesas!$MC$19:$MO$163,($Q$2-2)*14+12,1),INDEX(Despesas!$MC$1:$MO$163,($Q$2-1)*15+16,1)))</f>
        <v/>
      </c>
      <c r="C33" s="1507"/>
      <c r="D33" s="1452" t="str">
        <f>TRIM(IF($Q$2="","",IF($Q$2&gt;1,PROPER(INDEX(Despesas!$MC$19:$MO$163,($Q$2-2)*14+12,2)),PROPER(INDEX(Despesas!$MC$1:$MO$163,($Q$2-1)*15+16,2)))))</f>
        <v/>
      </c>
      <c r="E33" s="1453"/>
      <c r="F33" s="1453"/>
      <c r="G33" s="1454"/>
      <c r="H33" s="1474">
        <f>IF($Q$2="","",IF($Q$2&gt;1,INDEX(Despesas!$MC$19:$MO$163,($Q$2-2)*14+12,3),INDEX(Despesas!$MC$1:$MO$163,($Q$2-1)*15+16,3)))</f>
        <v>0</v>
      </c>
      <c r="I33" s="1475"/>
      <c r="J33" s="1458" t="str">
        <f>TRIM(IF($Q$2="","",IF($Q$2&gt;1,PROPER(INDEX(Despesas!$MC$19:$MO$163,($Q$2-2)*14+12,4)),PROPER(INDEX(Despesas!$MC$1:$MO$163,($Q$2-1)*15+16,4)))))</f>
        <v/>
      </c>
      <c r="K33" s="1459"/>
      <c r="L33" s="1459"/>
      <c r="M33" s="1460"/>
      <c r="N33" s="765">
        <f>IF($Q$2="","",IF($Q$2&gt;1,INDEX(Despesas!$MC$19:$MO$163,($Q$2-2)*14+12,5),INDEX(Despesas!$MC$1:$MO$163,($Q$2-1)*15+16,5)))</f>
        <v>0</v>
      </c>
      <c r="O33" s="1519">
        <f>IF($Q$2="","",IF($Q$2&gt;1,INDEX(Despesas!$MC$19:$MO$163,($Q$2-2)*14+12,6),INDEX(Despesas!$MC$1:$MO$163,($Q$2-1)*15+16,6)))</f>
        <v>0</v>
      </c>
      <c r="P33" s="1520"/>
      <c r="Q33" s="1521"/>
      <c r="R33" s="1508">
        <f>IF($Q$2="","",IF($Q$2&gt;1,INDEX(Despesas!$MC$19:$MO$163,($Q$2-2)*14+12,7),INDEX(Despesas!$MC$1:$MO$163,($Q$2-1)*15+16,7)))</f>
        <v>0</v>
      </c>
      <c r="S33" s="1509"/>
      <c r="T33" s="1517">
        <f>IF($Q$2="","",IF($Q$2&gt;1,INDEX(Despesas!$MC$19:$MO$163,($Q$2-2)*14+12,8),INDEX(Despesas!$MC$1:$MO$163,($Q$2-1)*15+16,8)))</f>
        <v>0</v>
      </c>
      <c r="U33" s="1518"/>
      <c r="V33" s="1508">
        <f>IF($Q$2="","",IF($Q$2&gt;1,INDEX(Despesas!$MC$19:$MO$163,($Q$2-2)*14+12,9),INDEX(Despesas!$MC$1:$MO$163,($Q$2-1)*15+16,9)))</f>
        <v>0</v>
      </c>
      <c r="W33" s="1509"/>
      <c r="X33" s="476">
        <f>IF($Q$2="","",IF($Q$2&gt;1,INDEX(Despesas!$MC$19:$MO$163,($Q$2-2)*14+12,10),INDEX(Despesas!$MC$1:$MO$163,($Q$2-1)*15+16,10)))</f>
        <v>0</v>
      </c>
      <c r="Y33" s="476">
        <f>IF($Q$2="","",IF($Q$2&gt;1,INDEX(Despesas!$MC$19:$MO$163,($Q$2-2)*14+12,11),INDEX(Despesas!$MC$1:$MO$163,($Q$2-1)*15+16,11)))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IF($Q$2="","",IF($Q$2&gt;1,INDEX(Despesas!$MC$19:$MO$163,($Q$2-2)*14+13,1),INDEX(Despesas!$MC$1:$MO$163,($Q$2-1)*15+17,1)))</f>
        <v/>
      </c>
      <c r="C34" s="1507"/>
      <c r="D34" s="1452" t="str">
        <f>TRIM(IF($Q$2="","",IF($Q$2&gt;1,PROPER(INDEX(Despesas!$MC$19:$MO$163,($Q$2-2)*14+13,2)),PROPER(INDEX(Despesas!$MC$1:$MO$163,($Q$2-1)*15+17,2)))))</f>
        <v/>
      </c>
      <c r="E34" s="1453"/>
      <c r="F34" s="1453"/>
      <c r="G34" s="1454"/>
      <c r="H34" s="1474">
        <f>IF($Q$2="","",IF($Q$2&gt;1,INDEX(Despesas!$MC$19:$MO$163,($Q$2-2)*14+13,3),INDEX(Despesas!$MC$1:$MO$163,($Q$2-1)*15+17,3)))</f>
        <v>0</v>
      </c>
      <c r="I34" s="1475"/>
      <c r="J34" s="1458" t="str">
        <f>TRIM(IF($Q$2="","",IF($Q$2&gt;1,PROPER(INDEX(Despesas!$MC$19:$MO$163,($Q$2-2)*14+13,4)),PROPER(INDEX(Despesas!$MC$1:$MO$163,($Q$2-1)*15+17,4)))))</f>
        <v/>
      </c>
      <c r="K34" s="1459"/>
      <c r="L34" s="1459"/>
      <c r="M34" s="1460"/>
      <c r="N34" s="765">
        <f>IF($Q$2="","",IF($Q$2&gt;1,INDEX(Despesas!$MC$19:$MO$163,($Q$2-2)*14+13,5),INDEX(Despesas!$MC$1:$MO$163,($Q$2-1)*15+17,5)))</f>
        <v>0</v>
      </c>
      <c r="O34" s="1519">
        <f>IF($Q$2="","",IF($Q$2&gt;1,INDEX(Despesas!$MC$19:$MO$163,($Q$2-2)*14+13,6),INDEX(Despesas!$MC$1:$MO$163,($Q$2-1)*15+17,6)))</f>
        <v>0</v>
      </c>
      <c r="P34" s="1520"/>
      <c r="Q34" s="1521"/>
      <c r="R34" s="1508">
        <f>IF($Q$2="","",IF($Q$2&gt;1,INDEX(Despesas!$MC$19:$MO$163,($Q$2-2)*14+13,7),INDEX(Despesas!$MC$1:$MO$163,($Q$2-1)*15+17,7)))</f>
        <v>0</v>
      </c>
      <c r="S34" s="1509"/>
      <c r="T34" s="1517">
        <f>IF($Q$2="","",IF($Q$2&gt;1,INDEX(Despesas!$MC$19:$MO$163,($Q$2-2)*14+13,8),INDEX(Despesas!$MC$1:$MO$163,($Q$2-1)*15+17,8)))</f>
        <v>0</v>
      </c>
      <c r="U34" s="1518"/>
      <c r="V34" s="1508">
        <f>IF($Q$2="","",IF($Q$2&gt;1,INDEX(Despesas!$MC$19:$MO$163,($Q$2-2)*14+13,9),INDEX(Despesas!$MC$1:$MO$163,($Q$2-1)*15+17,9)))</f>
        <v>0</v>
      </c>
      <c r="W34" s="1509"/>
      <c r="X34" s="476">
        <f>IF($Q$2="","",IF($Q$2&gt;1,INDEX(Despesas!$MC$19:$MO$163,($Q$2-2)*14+13,10),INDEX(Despesas!$MC$1:$MO$163,($Q$2-1)*15+17,10)))</f>
        <v>0</v>
      </c>
      <c r="Y34" s="476">
        <f>IF($Q$2="","",IF($Q$2&gt;1,INDEX(Despesas!$MC$19:$MO$163,($Q$2-2)*14+13,11),INDEX(Despesas!$MC$1:$MO$163,($Q$2-1)*15+17,11)))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IF($Q$2="","",IF($Q$2&gt;1,INDEX(Despesas!$MC$19:$MO$163,($Q$2-2)*14+14,1),INDEX(Despesas!$MC$1:$MO$163,($Q$2-1)*15+18,1)))</f>
        <v/>
      </c>
      <c r="C35" s="1591"/>
      <c r="D35" s="1455" t="str">
        <f>TRIM(IF($Q$2="","",IF($Q$2&gt;1,PROPER(INDEX(Despesas!$MC$19:$MO$163,($Q$2-2)*14+14,2)),PROPER(INDEX(Despesas!$MC$1:$MO$163,($Q$2-1)*15+18,2)))))</f>
        <v/>
      </c>
      <c r="E35" s="1456"/>
      <c r="F35" s="1456"/>
      <c r="G35" s="1457"/>
      <c r="H35" s="1474">
        <f>IF($Q$2="","",IF($Q$2&gt;1,INDEX(Despesas!$MC$19:$MO$163,($Q$2-2)*14+14,3),INDEX(Despesas!$MC$1:$MO$163,($Q$2-1)*15+18,3)))</f>
        <v>0</v>
      </c>
      <c r="I35" s="1475"/>
      <c r="J35" s="1587" t="str">
        <f>TRIM(IF($Q$2="","",IF($Q$2&gt;1,PROPER(INDEX(Despesas!$MC$19:$MO$163,($Q$2-2)*14+14,4)),PROPER(INDEX(Despesas!$MC$1:$MO$163,($Q$2-1)*15+18,4)))))</f>
        <v/>
      </c>
      <c r="K35" s="1588"/>
      <c r="L35" s="1588"/>
      <c r="M35" s="1589"/>
      <c r="N35" s="765">
        <f>IF($Q$2="","",IF($Q$2&gt;1,INDEX(Despesas!$MC$19:$MO$163,($Q$2-2)*14+14,5),INDEX(Despesas!$MC$1:$MO$163,($Q$2-1)*15+18,5)))</f>
        <v>0</v>
      </c>
      <c r="O35" s="1519">
        <f>IF($Q$2="","",IF($Q$2&gt;1,INDEX(Despesas!$MC$19:$MO$163,($Q$2-2)*14+14,6),INDEX(Despesas!$MC$1:$MO$163,($Q$2-1)*15+18,6)))</f>
        <v>0</v>
      </c>
      <c r="P35" s="1520"/>
      <c r="Q35" s="1521"/>
      <c r="R35" s="1571">
        <f>IF($Q$2="","",IF($Q$2&gt;1,INDEX(Despesas!$MC$19:$MO$163,($Q$2-2)*14+14,7),INDEX(Despesas!$MC$1:$MO$163,($Q$2-1)*15+18,7)))</f>
        <v>0</v>
      </c>
      <c r="S35" s="1572"/>
      <c r="T35" s="1517">
        <f>IF($Q$2="","",IF($Q$2&gt;1,INDEX(Despesas!$MC$19:$MO$163,($Q$2-2)*14+14,8),INDEX(Despesas!$MC$1:$MO$163,($Q$2-1)*15+18,8)))</f>
        <v>0</v>
      </c>
      <c r="U35" s="1518"/>
      <c r="V35" s="1571">
        <f>IF($Q$2="","",IF($Q$2&gt;1,INDEX(Despesas!$MC$19:$MO$163,($Q$2-2)*14+14,9),INDEX(Despesas!$MC$1:$MO$163,($Q$2-1)*15+18,9)))</f>
        <v>0</v>
      </c>
      <c r="W35" s="1572"/>
      <c r="X35" s="476">
        <f>IF($Q$2="","",IF($Q$2&gt;1,INDEX(Despesas!$MC$19:$MO$163,($Q$2-2)*14+14,10),INDEX(Despesas!$MC$1:$MO$163,($Q$2-1)*15+18,10)))</f>
        <v>0</v>
      </c>
      <c r="Y35" s="476">
        <f>IF($Q$2="","",IF($Q$2&gt;1,INDEX(Despesas!$MC$19:$MO$163,($Q$2-2)*14+14,11),INDEX(Despesas!$MC$1:$MO$163,($Q$2-1)*15+18,11)))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"&amp;(Ata!B102))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IF(Ata!$BO$64&gt;0,Ata!$BO$64,"")</f>
        <v>#VALUE!</v>
      </c>
      <c r="E41" s="406" t="e">
        <f>IF(Ata!$BP$64&gt;0,Ata!$BP$64,"")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194" priority="6" stopIfTrue="1" operator="lessThanOrEqual">
      <formula>0</formula>
    </cfRule>
  </conditionalFormatting>
  <conditionalFormatting sqref="J18:Y18">
    <cfRule type="expression" dxfId="193" priority="5" stopIfTrue="1">
      <formula>$P$16&gt;$M$16</formula>
    </cfRule>
    <cfRule type="expression" dxfId="192" priority="7" stopIfTrue="1">
      <formula>$P$15&gt;$M$15</formula>
    </cfRule>
  </conditionalFormatting>
  <conditionalFormatting sqref="J9:Y9">
    <cfRule type="expression" dxfId="191" priority="8" stopIfTrue="1">
      <formula>$T$15&lt;0</formula>
    </cfRule>
    <cfRule type="expression" dxfId="190" priority="9" stopIfTrue="1">
      <formula>$T$16&lt;0</formula>
    </cfRule>
  </conditionalFormatting>
  <conditionalFormatting sqref="P15:R15">
    <cfRule type="expression" dxfId="189" priority="10" stopIfTrue="1">
      <formula>$P$15&gt;$M$15</formula>
    </cfRule>
  </conditionalFormatting>
  <conditionalFormatting sqref="P16:R16">
    <cfRule type="expression" dxfId="188" priority="11" stopIfTrue="1">
      <formula>$P$16&gt;$M$16</formula>
    </cfRule>
  </conditionalFormatting>
  <conditionalFormatting sqref="J46:Q46 J49:Q49">
    <cfRule type="cellIs" dxfId="187" priority="12" stopIfTrue="1" operator="equal">
      <formula>0</formula>
    </cfRule>
  </conditionalFormatting>
  <conditionalFormatting sqref="B21:Y35">
    <cfRule type="cellIs" dxfId="186" priority="1" operator="equal">
      <formula>0</formula>
    </cfRule>
    <cfRule type="expression" dxfId="18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A4" sqref="A4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Despesas!$AM$86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682"/>
      <c r="U5" s="682"/>
      <c r="V5" s="682"/>
      <c r="W5" s="682"/>
      <c r="X5" s="682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1134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684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Dados!$F$44</f>
        <v/>
      </c>
      <c r="D15" s="1607"/>
      <c r="E15" s="1607"/>
      <c r="F15" s="49" t="s">
        <v>294</v>
      </c>
      <c r="G15" s="1470" t="str">
        <f>Dados!$F$42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Despesas!$AL$98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Dados!$I$44</f>
        <v/>
      </c>
      <c r="D16" s="1606"/>
      <c r="E16" s="1606"/>
      <c r="F16" s="48" t="s">
        <v>293</v>
      </c>
      <c r="G16" s="1463" t="str">
        <f>Dados!$I$42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Despesas!$AM$98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754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IF($Q$2="","",IF($Q$2&gt;1,"",INDEX(Despesas!$MP$1:$NB$163,($Q$2-1)*15+4,1)))</f>
        <v/>
      </c>
      <c r="C21" s="1554"/>
      <c r="D21" s="1559" t="str">
        <f>TRIM(IF($Q$2="","",IF($Q$2&gt;1,"De transporte ..........",PROPER(INDEX(Despesas!$MP$1:$NB$163,($Q$2-1)*15+4,2)))))</f>
        <v/>
      </c>
      <c r="E21" s="1560"/>
      <c r="F21" s="1560"/>
      <c r="G21" s="1561"/>
      <c r="H21" s="1461">
        <f>IF($Q$2="","",IF($Q$2&gt;1,"",INDEX(Despesas!$MP$1:$NB$163,($Q$2-1)*15+4,3)))</f>
        <v>0</v>
      </c>
      <c r="I21" s="1462"/>
      <c r="J21" s="1537" t="str">
        <f>TRIM(IF($Q$2="","",IF($Q$2&gt;1,"",PROPER(INDEX(Despesas!$MP$1:$NB$163,($Q$2-1)*15+4,4)))))</f>
        <v/>
      </c>
      <c r="K21" s="1538"/>
      <c r="L21" s="1538"/>
      <c r="M21" s="1539"/>
      <c r="N21" s="765">
        <f>IF($Q$2="","",IF($Q$2&gt;1,"",INDEX(Despesas!$MP$1:$NB$163,($Q$2-1)*15+4,5)))</f>
        <v>0</v>
      </c>
      <c r="O21" s="1555">
        <f>IF($Q$2="","",IF($Q$2&gt;1,"",INDEX(Despesas!$MP$1:$NB$163,($Q$2-1)*15+4,6)))</f>
        <v>0</v>
      </c>
      <c r="P21" s="1556"/>
      <c r="Q21" s="1557"/>
      <c r="R21" s="1527">
        <f>IF($Q$2="","",IF($Q$2&gt;1,"",INDEX(Despesas!$MP$1:$NB$163,($Q$2-1)*15+4,7)))</f>
        <v>0</v>
      </c>
      <c r="S21" s="1528"/>
      <c r="T21" s="1548">
        <f>IF($Q$2="","",IF($Q$2&gt;1,"",INDEX(Despesas!$MP$1:$NB$163,($Q$2-1)*15+4,8)))</f>
        <v>0</v>
      </c>
      <c r="U21" s="1549"/>
      <c r="V21" s="1527">
        <f>IF($Q$2="","",IF($Q$2&gt;1,"",INDEX(Despesas!$MP$1:$NB$163,($Q$2-1)*15+4,9)))</f>
        <v>0</v>
      </c>
      <c r="W21" s="1528"/>
      <c r="X21" s="476">
        <f>IF($Q$2="","",IF($Q$2&gt;1,INDEX(Despesas!$QC$4:$QD$15,($Q$2)-1,1),INDEX(Despesas!$MP$1:$NB$163,($Q$2-1)*15+4,10)))</f>
        <v>0</v>
      </c>
      <c r="Y21" s="476">
        <f>IF($Q$2="","",IF($Q$2&gt;1,INDEX(Despesas!$QC$4:$QD$15,($Q$2)-1,2),INDEX(Despesas!$MP$1:$NB$163,($Q$2-1)*15+4,11)))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IF($Q$2="","",IF($Q$2&gt;1,INDEX(Despesas!$MP$19:$NB$163,($Q$2-2)*14+1,1),INDEX(Despesas!$MP$1:$NB$163,($Q$2-1)*15+5,1)))</f>
        <v/>
      </c>
      <c r="C22" s="1507"/>
      <c r="D22" s="1452" t="str">
        <f>TRIM(IF($Q$2="","",IF($Q$2&gt;1,PROPER(INDEX(Despesas!$MP$19:$NB$163,($Q$2-2)*14+1,2)),PROPER(INDEX(Despesas!$MP$1:$NB$163,($Q$2-1)*15+5,2)))))</f>
        <v/>
      </c>
      <c r="E22" s="1453"/>
      <c r="F22" s="1453"/>
      <c r="G22" s="1454"/>
      <c r="H22" s="1474">
        <f>IF($Q$2="","",IF($Q$2&gt;1,INDEX(Despesas!$MP$19:$NB$163,($Q$2-2)*14+1,3),INDEX(Despesas!$MP$1:$NB$163,($Q$2-1)*15+5,3)))</f>
        <v>0</v>
      </c>
      <c r="I22" s="1475"/>
      <c r="J22" s="1458" t="str">
        <f>TRIM(IF($Q$2="","",IF($Q$2&gt;1,PROPER(INDEX(Despesas!$MP$19:$NB$163,($Q$2-2)*14+1,4)),PROPER(INDEX(Despesas!$MP$1:$NB$163,($Q$2-1)*15+5,4)))))</f>
        <v/>
      </c>
      <c r="K22" s="1459"/>
      <c r="L22" s="1459"/>
      <c r="M22" s="1460"/>
      <c r="N22" s="452">
        <f>IF($Q$2="","",IF($Q$2&gt;1,INDEX(Despesas!$MP$19:$NB$163,($Q$2-2)*14+1,5),INDEX(Despesas!$MP$1:$NB$163,($Q$2-1)*15+5,5)))</f>
        <v>0</v>
      </c>
      <c r="O22" s="1519">
        <f>IF($Q$2="","",IF($Q$2&gt;1,INDEX(Despesas!$MP$19:$NB$163,($Q$2-2)*14+1,6),INDEX(Despesas!$MP$1:$NB$163,($Q$2-1)*15+5,6)))</f>
        <v>0</v>
      </c>
      <c r="P22" s="1520"/>
      <c r="Q22" s="1521"/>
      <c r="R22" s="1508">
        <f>IF($Q$2="","",IF($Q$2&gt;1,INDEX(Despesas!$MP$19:$NB$163,($Q$2-2)*14+1,7),INDEX(Despesas!$MP$1:$NB$163,($Q$2-1)*15+5,7)))</f>
        <v>0</v>
      </c>
      <c r="S22" s="1509"/>
      <c r="T22" s="1517">
        <f>IF($Q$2="","",IF($Q$2&gt;1,INDEX(Despesas!$MP$19:$NB$163,($Q$2-2)*14+1,8),INDEX(Despesas!$MP$1:$NB$163,($Q$2-1)*15+5,8)))</f>
        <v>0</v>
      </c>
      <c r="U22" s="1518"/>
      <c r="V22" s="1508">
        <f>IF($Q$2="","",IF($Q$2&gt;1,INDEX(Despesas!$MP$19:$NB$163,($Q$2-2)*14+1,9),INDEX(Despesas!$MP$1:$NB$163,($Q$2-1)*15+5,9)))</f>
        <v>0</v>
      </c>
      <c r="W22" s="1509"/>
      <c r="X22" s="476">
        <f>IF($Q$2="","",IF($Q$2&gt;1,INDEX(Despesas!$MP$19:$NB$163,($Q$2-2)*14+1,10),INDEX(Despesas!$MP$1:$NB$163,($Q$2-1)*15+5,10)))</f>
        <v>0</v>
      </c>
      <c r="Y22" s="476">
        <f>IF($Q$2="","",IF($Q$2&gt;1,INDEX(Despesas!$MP$19:$NB$163,($Q$2-2)*14+1,11),INDEX(Despesas!$MP$1:$NB$163,($Q$2-1)*15+5,11)))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IF($Q$2="","",IF($Q$2&gt;1,INDEX(Despesas!$MP$19:$NB$163,($Q$2-2)*14+2,1),INDEX(Despesas!$MP$1:$NB$163,($Q$2-1)*15+6,1)))</f>
        <v/>
      </c>
      <c r="C23" s="1507"/>
      <c r="D23" s="1452" t="str">
        <f>TRIM(IF($Q$2="","",IF($Q$2&gt;1,PROPER(INDEX(Despesas!$MP$19:$NB$163,($Q$2-2)*14+2,2)),PROPER(INDEX(Despesas!$MP$1:$NB$163,($Q$2-1)*15+6,2)))))</f>
        <v/>
      </c>
      <c r="E23" s="1453"/>
      <c r="F23" s="1453"/>
      <c r="G23" s="1454"/>
      <c r="H23" s="1474">
        <f>IF($Q$2="","",IF($Q$2&gt;1,INDEX(Despesas!$MP$19:$NB$163,($Q$2-2)*14+2,3),INDEX(Despesas!$MP$1:$NB$163,($Q$2-1)*15+6,3)))</f>
        <v>0</v>
      </c>
      <c r="I23" s="1475"/>
      <c r="J23" s="1458" t="str">
        <f>TRIM(IF($Q$2="","",IF($Q$2&gt;1,PROPER(INDEX(Despesas!$MP$19:$NB$163,($Q$2-2)*14+2,4)),PROPER(INDEX(Despesas!$MP$1:$NB$163,($Q$2-1)*15+6,4)))))</f>
        <v/>
      </c>
      <c r="K23" s="1459"/>
      <c r="L23" s="1459"/>
      <c r="M23" s="1460"/>
      <c r="N23" s="765">
        <f>IF($Q$2="","",IF($Q$2&gt;1,INDEX(Despesas!$MP$19:$NB$163,($Q$2-2)*14+2,5),INDEX(Despesas!$MP$1:$NB$163,($Q$2-1)*15+6,5)))</f>
        <v>0</v>
      </c>
      <c r="O23" s="1519">
        <f>IF($Q$2="","",IF($Q$2&gt;1,INDEX(Despesas!$MP$19:$NB$163,($Q$2-2)*14+2,6),INDEX(Despesas!$MP$1:$NB$163,($Q$2-1)*15+6,6)))</f>
        <v>0</v>
      </c>
      <c r="P23" s="1520"/>
      <c r="Q23" s="1521"/>
      <c r="R23" s="1508">
        <f>IF($Q$2="","",IF($Q$2&gt;1,INDEX(Despesas!$MP$19:$NB$163,($Q$2-2)*14+2,7),INDEX(Despesas!$MP$1:$NB$163,($Q$2-1)*15+6,7)))</f>
        <v>0</v>
      </c>
      <c r="S23" s="1509"/>
      <c r="T23" s="1517">
        <f>IF($Q$2="","",IF($Q$2&gt;1,INDEX(Despesas!$MP$19:$NB$163,($Q$2-2)*14+2,8),INDEX(Despesas!$MP$1:$NB$163,($Q$2-1)*15+6,8)))</f>
        <v>0</v>
      </c>
      <c r="U23" s="1518"/>
      <c r="V23" s="1508">
        <f>IF($Q$2="","",IF($Q$2&gt;1,INDEX(Despesas!$MP$19:$NB$163,($Q$2-2)*14+2,9),INDEX(Despesas!$MP$1:$NB$163,($Q$2-1)*15+6,9)))</f>
        <v>0</v>
      </c>
      <c r="W23" s="1509"/>
      <c r="X23" s="476">
        <f>IF($Q$2="","",IF($Q$2&gt;1,INDEX(Despesas!$MP$19:$NB$163,($Q$2-2)*14+2,10),INDEX(Despesas!$MP$1:$NB$163,($Q$2-1)*15+6,10)))</f>
        <v>0</v>
      </c>
      <c r="Y23" s="476">
        <f>IF($Q$2="","",IF($Q$2&gt;1,INDEX(Despesas!$MP$19:$NB$163,($Q$2-2)*14+2,11),INDEX(Despesas!$MP$1:$NB$163,($Q$2-1)*15+6,11)))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IF($Q$2="","",IF($Q$2&gt;1,INDEX(Despesas!$MP$19:$NB$163,($Q$2-2)*14+3,1),INDEX(Despesas!$MP$1:$NB$163,($Q$2-1)*15+7,1)))</f>
        <v/>
      </c>
      <c r="C24" s="1507"/>
      <c r="D24" s="1452" t="str">
        <f>TRIM(IF($Q$2="","",IF($Q$2&gt;1,PROPER(INDEX(Despesas!$MP$19:$NB$163,($Q$2-2)*14+3,2)),PROPER(INDEX(Despesas!$MP$1:$NB$163,($Q$2-1)*15+7,2)))))</f>
        <v/>
      </c>
      <c r="E24" s="1453"/>
      <c r="F24" s="1453"/>
      <c r="G24" s="1454"/>
      <c r="H24" s="1474">
        <f>IF($Q$2="","",IF($Q$2&gt;1,INDEX(Despesas!$MP$19:$NB$163,($Q$2-2)*14+3,3),INDEX(Despesas!$MP$1:$NB$163,($Q$2-1)*15+7,3)))</f>
        <v>0</v>
      </c>
      <c r="I24" s="1475"/>
      <c r="J24" s="1458" t="str">
        <f>TRIM(IF($Q$2="","",IF($Q$2&gt;1,PROPER(INDEX(Despesas!$MP$19:$NB$163,($Q$2-2)*14+3,4)),PROPER(INDEX(Despesas!$MP$1:$NB$163,($Q$2-1)*15+7,4)))))</f>
        <v/>
      </c>
      <c r="K24" s="1459"/>
      <c r="L24" s="1459"/>
      <c r="M24" s="1460"/>
      <c r="N24" s="765">
        <f>IF($Q$2="","",IF($Q$2&gt;1,INDEX(Despesas!$MP$19:$NB$163,($Q$2-2)*14+3,5),INDEX(Despesas!$MP$1:$NB$163,($Q$2-1)*15+7,5)))</f>
        <v>0</v>
      </c>
      <c r="O24" s="1519">
        <f>IF($Q$2="","",IF($Q$2&gt;1,INDEX(Despesas!$MP$19:$NB$163,($Q$2-2)*14+3,6),INDEX(Despesas!$MP$1:$NB$163,($Q$2-1)*15+7,6)))</f>
        <v>0</v>
      </c>
      <c r="P24" s="1520"/>
      <c r="Q24" s="1521"/>
      <c r="R24" s="1508">
        <f>IF($Q$2="","",IF($Q$2&gt;1,INDEX(Despesas!$MP$19:$NB$163,($Q$2-2)*14+3,7),INDEX(Despesas!$MP$1:$NB$163,($Q$2-1)*15+7,7)))</f>
        <v>0</v>
      </c>
      <c r="S24" s="1509"/>
      <c r="T24" s="1517">
        <f>IF($Q$2="","",IF($Q$2&gt;1,INDEX(Despesas!$MP$19:$NB$163,($Q$2-2)*14+3,8),INDEX(Despesas!$MP$1:$NB$163,($Q$2-1)*15+7,8)))</f>
        <v>0</v>
      </c>
      <c r="U24" s="1518"/>
      <c r="V24" s="1508">
        <f>IF($Q$2="","",IF($Q$2&gt;1,INDEX(Despesas!$MP$19:$NB$163,($Q$2-2)*14+3,9),INDEX(Despesas!$MP$1:$NB$163,($Q$2-1)*15+7,9)))</f>
        <v>0</v>
      </c>
      <c r="W24" s="1509"/>
      <c r="X24" s="476">
        <f>IF($Q$2="","",IF($Q$2&gt;1,INDEX(Despesas!$MP$19:$NB$163,($Q$2-2)*14+3,10),INDEX(Despesas!$MP$1:$NB$163,($Q$2-1)*15+7,10)))</f>
        <v>0</v>
      </c>
      <c r="Y24" s="476">
        <f>IF($Q$2="","",IF($Q$2&gt;1,INDEX(Despesas!$MP$19:$NB$163,($Q$2-2)*14+3,11),INDEX(Despesas!$MP$1:$NB$163,($Q$2-1)*15+7,11)))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IF($Q$2="","",IF($Q$2&gt;1,INDEX(Despesas!$MP$19:$NB$163,($Q$2-2)*14+4,1),INDEX(Despesas!$MP$1:$NB$163,($Q$2-1)*15+8,1)))</f>
        <v/>
      </c>
      <c r="C25" s="1507"/>
      <c r="D25" s="1452" t="str">
        <f>TRIM(IF($Q$2="","",IF($Q$2&gt;1,PROPER(INDEX(Despesas!$MP$19:$NB$163,($Q$2-2)*14+4,2)),PROPER(INDEX(Despesas!$MP$1:$NB$163,($Q$2-1)*15+8,2)))))</f>
        <v/>
      </c>
      <c r="E25" s="1453"/>
      <c r="F25" s="1453"/>
      <c r="G25" s="1454"/>
      <c r="H25" s="1474">
        <f>IF($Q$2="","",IF($Q$2&gt;1,INDEX(Despesas!$MP$19:$NB$163,($Q$2-2)*14+4,3),INDEX(Despesas!$MP$1:$NB$163,($Q$2-1)*15+8,3)))</f>
        <v>0</v>
      </c>
      <c r="I25" s="1475"/>
      <c r="J25" s="1458" t="str">
        <f>TRIM(IF($Q$2="","",IF($Q$2&gt;1,PROPER(INDEX(Despesas!$MP$19:$NB$163,($Q$2-2)*14+4,4)),PROPER(INDEX(Despesas!$MP$1:$NB$163,($Q$2-1)*15+8,4)))))</f>
        <v/>
      </c>
      <c r="K25" s="1459"/>
      <c r="L25" s="1459"/>
      <c r="M25" s="1460"/>
      <c r="N25" s="765">
        <f>IF($Q$2="","",IF($Q$2&gt;1,INDEX(Despesas!$MP$19:$NB$163,($Q$2-2)*14+4,5),INDEX(Despesas!$MP$1:$NB$163,($Q$2-1)*15+8,5)))</f>
        <v>0</v>
      </c>
      <c r="O25" s="1519">
        <f>IF($Q$2="","",IF($Q$2&gt;1,INDEX(Despesas!$MP$19:$NB$163,($Q$2-2)*14+4,6),INDEX(Despesas!$MP$1:$NB$163,($Q$2-1)*15+8,6)))</f>
        <v>0</v>
      </c>
      <c r="P25" s="1520"/>
      <c r="Q25" s="1521"/>
      <c r="R25" s="1508">
        <f>IF($Q$2="","",IF($Q$2&gt;1,INDEX(Despesas!$MP$19:$NB$163,($Q$2-2)*14+4,7),INDEX(Despesas!$MP$1:$NB$163,($Q$2-1)*15+8,7)))</f>
        <v>0</v>
      </c>
      <c r="S25" s="1509"/>
      <c r="T25" s="1517">
        <f>IF($Q$2="","",IF($Q$2&gt;1,INDEX(Despesas!$MP$19:$NB$163,($Q$2-2)*14+4,8),INDEX(Despesas!$MP$1:$NB$163,($Q$2-1)*15+8,8)))</f>
        <v>0</v>
      </c>
      <c r="U25" s="1518"/>
      <c r="V25" s="1508">
        <f>IF($Q$2="","",IF($Q$2&gt;1,INDEX(Despesas!$MP$19:$NB$163,($Q$2-2)*14+4,9),INDEX(Despesas!$MP$1:$NB$163,($Q$2-1)*15+8,9)))</f>
        <v>0</v>
      </c>
      <c r="W25" s="1509"/>
      <c r="X25" s="476">
        <f>IF($Q$2="","",IF($Q$2&gt;1,INDEX(Despesas!$MP$19:$NB$163,($Q$2-2)*14+4,10),INDEX(Despesas!$MP$1:$NB$163,($Q$2-1)*15+8,10)))</f>
        <v>0</v>
      </c>
      <c r="Y25" s="476">
        <f>IF($Q$2="","",IF($Q$2&gt;1,INDEX(Despesas!$MP$19:$NB$163,($Q$2-2)*14+4,11),INDEX(Despesas!$MP$1:$NB$163,($Q$2-1)*15+8,11)))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IF($Q$2="","",IF($Q$2&gt;1,INDEX(Despesas!$MP$19:$NB$163,($Q$2-2)*14+5,1),INDEX(Despesas!$MP$1:$NB$163,($Q$2-1)*15+9,1)))</f>
        <v/>
      </c>
      <c r="C26" s="1507"/>
      <c r="D26" s="1452" t="str">
        <f>TRIM(IF($Q$2="","",IF($Q$2&gt;1,PROPER(INDEX(Despesas!$MP$19:$NB$163,($Q$2-2)*14+5,2)),PROPER(INDEX(Despesas!$MP$1:$NB$163,($Q$2-1)*15+9,2)))))</f>
        <v/>
      </c>
      <c r="E26" s="1453"/>
      <c r="F26" s="1453"/>
      <c r="G26" s="1454"/>
      <c r="H26" s="1474">
        <f>IF($Q$2="","",IF($Q$2&gt;1,INDEX(Despesas!$MP$19:$NB$163,($Q$2-2)*14+5,3),INDEX(Despesas!$MP$1:$NB$163,($Q$2-1)*15+9,3)))</f>
        <v>0</v>
      </c>
      <c r="I26" s="1475"/>
      <c r="J26" s="1458" t="str">
        <f>TRIM(IF($Q$2="","",IF($Q$2&gt;1,PROPER(INDEX(Despesas!$MP$19:$NB$163,($Q$2-2)*14+5,4)),PROPER(INDEX(Despesas!$MP$1:$NB$163,($Q$2-1)*15+9,4)))))</f>
        <v/>
      </c>
      <c r="K26" s="1459"/>
      <c r="L26" s="1459"/>
      <c r="M26" s="1460"/>
      <c r="N26" s="765">
        <f>IF($Q$2="","",IF($Q$2&gt;1,INDEX(Despesas!$MP$19:$NB$163,($Q$2-2)*14+5,5),INDEX(Despesas!$MP$1:$NB$163,($Q$2-1)*15+9,5)))</f>
        <v>0</v>
      </c>
      <c r="O26" s="1519">
        <f>IF($Q$2="","",IF($Q$2&gt;1,INDEX(Despesas!$MP$19:$NB$163,($Q$2-2)*14+5,6),INDEX(Despesas!$MP$1:$NB$163,($Q$2-1)*15+9,6)))</f>
        <v>0</v>
      </c>
      <c r="P26" s="1520"/>
      <c r="Q26" s="1521"/>
      <c r="R26" s="1508">
        <f>IF($Q$2="","",IF($Q$2&gt;1,INDEX(Despesas!$MP$19:$NB$163,($Q$2-2)*14+5,7),INDEX(Despesas!$MP$1:$NB$163,($Q$2-1)*15+9,7)))</f>
        <v>0</v>
      </c>
      <c r="S26" s="1509"/>
      <c r="T26" s="1517">
        <f>IF($Q$2="","",IF($Q$2&gt;1,INDEX(Despesas!$MP$19:$NB$163,($Q$2-2)*14+5,8),INDEX(Despesas!$MP$1:$NB$163,($Q$2-1)*15+9,8)))</f>
        <v>0</v>
      </c>
      <c r="U26" s="1518"/>
      <c r="V26" s="1508">
        <f>IF($Q$2="","",IF($Q$2&gt;1,INDEX(Despesas!$MP$19:$NB$163,($Q$2-2)*14+5,9),INDEX(Despesas!$MP$1:$NB$163,($Q$2-1)*15+9,9)))</f>
        <v>0</v>
      </c>
      <c r="W26" s="1509"/>
      <c r="X26" s="476">
        <f>IF($Q$2="","",IF($Q$2&gt;1,INDEX(Despesas!$MP$19:$NB$163,($Q$2-2)*14+5,10),INDEX(Despesas!$MP$1:$NB$163,($Q$2-1)*15+9,10)))</f>
        <v>0</v>
      </c>
      <c r="Y26" s="476">
        <f>IF($Q$2="","",IF($Q$2&gt;1,INDEX(Despesas!$MP$19:$NB$163,($Q$2-2)*14+5,11),INDEX(Despesas!$MP$1:$NB$163,($Q$2-1)*15+9,11)))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IF($Q$2="","",IF($Q$2&gt;1,INDEX(Despesas!$MP$19:$NB$163,($Q$2-2)*14+6,1),INDEX(Despesas!$MP$1:$NB$163,($Q$2-1)*15+10,1)))</f>
        <v/>
      </c>
      <c r="C27" s="1507"/>
      <c r="D27" s="1452" t="str">
        <f>TRIM(IF($Q$2="","",IF($Q$2&gt;1,PROPER(INDEX(Despesas!$MP$19:$NB$163,($Q$2-2)*14+6,2)),PROPER(INDEX(Despesas!$MP$1:$NB$163,($Q$2-1)*15+10,2)))))</f>
        <v/>
      </c>
      <c r="E27" s="1453"/>
      <c r="F27" s="1453"/>
      <c r="G27" s="1454"/>
      <c r="H27" s="1474">
        <f>IF($Q$2="","",IF($Q$2&gt;1,INDEX(Despesas!$MP$19:$NB$163,($Q$2-2)*14+6,3),INDEX(Despesas!$MP$1:$NB$163,($Q$2-1)*15+10,3)))</f>
        <v>0</v>
      </c>
      <c r="I27" s="1475"/>
      <c r="J27" s="1458" t="str">
        <f>TRIM(IF($Q$2="","",IF($Q$2&gt;1,PROPER(INDEX(Despesas!$MP$19:$NB$163,($Q$2-2)*14+6,4)),PROPER(INDEX(Despesas!$MP$1:$NB$163,($Q$2-1)*15+10,4)))))</f>
        <v/>
      </c>
      <c r="K27" s="1459"/>
      <c r="L27" s="1459"/>
      <c r="M27" s="1460"/>
      <c r="N27" s="765">
        <f>IF($Q$2="","",IF($Q$2&gt;1,INDEX(Despesas!$MP$19:$NB$163,($Q$2-2)*14+6,5),INDEX(Despesas!$MP$1:$NB$163,($Q$2-1)*15+10,5)))</f>
        <v>0</v>
      </c>
      <c r="O27" s="1519">
        <f>IF($Q$2="","",IF($Q$2&gt;1,INDEX(Despesas!$MP$19:$NB$163,($Q$2-2)*14+6,6),INDEX(Despesas!$MP$1:$NB$163,($Q$2-1)*15+10,6)))</f>
        <v>0</v>
      </c>
      <c r="P27" s="1520"/>
      <c r="Q27" s="1521"/>
      <c r="R27" s="1508">
        <f>IF($Q$2="","",IF($Q$2&gt;1,INDEX(Despesas!$MP$19:$NB$163,($Q$2-2)*14+6,7),INDEX(Despesas!$MP$1:$NB$163,($Q$2-1)*15+10,7)))</f>
        <v>0</v>
      </c>
      <c r="S27" s="1509"/>
      <c r="T27" s="1517">
        <f>IF($Q$2="","",IF($Q$2&gt;1,INDEX(Despesas!$MP$19:$NB$163,($Q$2-2)*14+6,8),INDEX(Despesas!$MP$1:$NB$163,($Q$2-1)*15+10,8)))</f>
        <v>0</v>
      </c>
      <c r="U27" s="1518"/>
      <c r="V27" s="1508">
        <f>IF($Q$2="","",IF($Q$2&gt;1,INDEX(Despesas!$MP$19:$NB$163,($Q$2-2)*14+6,9),INDEX(Despesas!$MP$1:$NB$163,($Q$2-1)*15+10,9)))</f>
        <v>0</v>
      </c>
      <c r="W27" s="1509"/>
      <c r="X27" s="476">
        <f>IF($Q$2="","",IF($Q$2&gt;1,INDEX(Despesas!$MP$19:$NB$163,($Q$2-2)*14+6,10),INDEX(Despesas!$MP$1:$NB$163,($Q$2-1)*15+10,10)))</f>
        <v>0</v>
      </c>
      <c r="Y27" s="476">
        <f>IF($Q$2="","",IF($Q$2&gt;1,INDEX(Despesas!$MP$19:$NB$163,($Q$2-2)*14+6,11),INDEX(Despesas!$MP$1:$NB$163,($Q$2-1)*15+10,11)))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IF($Q$2="","",IF($Q$2&gt;1,INDEX(Despesas!$MP$19:$NB$163,($Q$2-2)*14+7,1),INDEX(Despesas!$MP$1:$NB$163,($Q$2-1)*15+11,1)))</f>
        <v/>
      </c>
      <c r="C28" s="1507"/>
      <c r="D28" s="1452" t="str">
        <f>TRIM(IF($Q$2="","",IF($Q$2&gt;1,PROPER(INDEX(Despesas!$MP$19:$NB$163,($Q$2-2)*14+7,2)),PROPER(INDEX(Despesas!$MP$1:$NB$163,($Q$2-1)*15+11,2)))))</f>
        <v/>
      </c>
      <c r="E28" s="1453"/>
      <c r="F28" s="1453"/>
      <c r="G28" s="1454"/>
      <c r="H28" s="1474">
        <f>IF($Q$2="","",IF($Q$2&gt;1,INDEX(Despesas!$MP$19:$NB$163,($Q$2-2)*14+7,3),INDEX(Despesas!$MP$1:$NB$163,($Q$2-1)*15+11,3)))</f>
        <v>0</v>
      </c>
      <c r="I28" s="1475"/>
      <c r="J28" s="1458" t="str">
        <f>TRIM(IF($Q$2="","",IF($Q$2&gt;1,PROPER(INDEX(Despesas!$MP$19:$NB$163,($Q$2-2)*14+7,4)),PROPER(INDEX(Despesas!$MP$1:$NB$163,($Q$2-1)*15+11,4)))))</f>
        <v/>
      </c>
      <c r="K28" s="1459"/>
      <c r="L28" s="1459"/>
      <c r="M28" s="1460"/>
      <c r="N28" s="765">
        <f>IF($Q$2="","",IF($Q$2&gt;1,INDEX(Despesas!$MP$19:$NB$163,($Q$2-2)*14+7,5),INDEX(Despesas!$MP$1:$NB$163,($Q$2-1)*15+11,5)))</f>
        <v>0</v>
      </c>
      <c r="O28" s="1519">
        <f>IF($Q$2="","",IF($Q$2&gt;1,INDEX(Despesas!$MP$19:$NB$163,($Q$2-2)*14+7,6),INDEX(Despesas!$MP$1:$NB$163,($Q$2-1)*15+11,6)))</f>
        <v>0</v>
      </c>
      <c r="P28" s="1520"/>
      <c r="Q28" s="1521"/>
      <c r="R28" s="1508">
        <f>IF($Q$2="","",IF($Q$2&gt;1,INDEX(Despesas!$MP$19:$NB$163,($Q$2-2)*14+7,7),INDEX(Despesas!$MP$1:$NB$163,($Q$2-1)*15+11,7)))</f>
        <v>0</v>
      </c>
      <c r="S28" s="1509"/>
      <c r="T28" s="1517">
        <f>IF($Q$2="","",IF($Q$2&gt;1,INDEX(Despesas!$MP$19:$NB$163,($Q$2-2)*14+7,8),INDEX(Despesas!$MP$1:$NB$163,($Q$2-1)*15+11,8)))</f>
        <v>0</v>
      </c>
      <c r="U28" s="1518"/>
      <c r="V28" s="1508">
        <f>IF($Q$2="","",IF($Q$2&gt;1,INDEX(Despesas!$MP$19:$NB$163,($Q$2-2)*14+7,9),INDEX(Despesas!$MP$1:$NB$163,($Q$2-1)*15+11,9)))</f>
        <v>0</v>
      </c>
      <c r="W28" s="1509"/>
      <c r="X28" s="476">
        <f>IF($Q$2="","",IF($Q$2&gt;1,INDEX(Despesas!$MP$19:$NB$163,($Q$2-2)*14+7,10),INDEX(Despesas!$MP$1:$NB$163,($Q$2-1)*15+11,10)))</f>
        <v>0</v>
      </c>
      <c r="Y28" s="476">
        <f>IF($Q$2="","",IF($Q$2&gt;1,INDEX(Despesas!$MP$19:$NB$163,($Q$2-2)*14+7,11),INDEX(Despesas!$MP$1:$NB$163,($Q$2-1)*15+11,11)))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IF($Q$2="","",IF($Q$2&gt;1,INDEX(Despesas!$MP$19:$NB$163,($Q$2-2)*14+8,1),INDEX(Despesas!$MP$1:$NB$163,($Q$2-1)*15+12,1)))</f>
        <v/>
      </c>
      <c r="C29" s="1507"/>
      <c r="D29" s="1452" t="str">
        <f>TRIM(IF($Q$2="","",IF($Q$2&gt;1,PROPER(INDEX(Despesas!$MP$19:$NB$163,($Q$2-2)*14+8,2)),PROPER(INDEX(Despesas!$MP$1:$NB$163,($Q$2-1)*15+12,2)))))</f>
        <v/>
      </c>
      <c r="E29" s="1453"/>
      <c r="F29" s="1453"/>
      <c r="G29" s="1454"/>
      <c r="H29" s="1474">
        <f>IF($Q$2="","",IF($Q$2&gt;1,INDEX(Despesas!$MP$19:$NB$163,($Q$2-2)*14+8,3),INDEX(Despesas!$MP$1:$NB$163,($Q$2-1)*15+12,3)))</f>
        <v>0</v>
      </c>
      <c r="I29" s="1475"/>
      <c r="J29" s="1458" t="str">
        <f>TRIM(IF($Q$2="","",IF($Q$2&gt;1,PROPER(INDEX(Despesas!$MP$19:$NB$163,($Q$2-2)*14+8,4)),PROPER(INDEX(Despesas!$MP$1:$NB$163,($Q$2-1)*15+12,4)))))</f>
        <v/>
      </c>
      <c r="K29" s="1459"/>
      <c r="L29" s="1459"/>
      <c r="M29" s="1460"/>
      <c r="N29" s="765">
        <f>IF($Q$2="","",IF($Q$2&gt;1,INDEX(Despesas!$MP$19:$NB$163,($Q$2-2)*14+8,5),INDEX(Despesas!$MP$1:$NB$163,($Q$2-1)*15+12,5)))</f>
        <v>0</v>
      </c>
      <c r="O29" s="1519">
        <f>IF($Q$2="","",IF($Q$2&gt;1,INDEX(Despesas!$MP$19:$NB$163,($Q$2-2)*14+8,6),INDEX(Despesas!$MP$1:$NB$163,($Q$2-1)*15+12,6)))</f>
        <v>0</v>
      </c>
      <c r="P29" s="1520"/>
      <c r="Q29" s="1521"/>
      <c r="R29" s="1508">
        <f>IF($Q$2="","",IF($Q$2&gt;1,INDEX(Despesas!$MP$19:$NB$163,($Q$2-2)*14+8,7),INDEX(Despesas!$MP$1:$NB$163,($Q$2-1)*15+12,7)))</f>
        <v>0</v>
      </c>
      <c r="S29" s="1509"/>
      <c r="T29" s="1517">
        <f>IF($Q$2="","",IF($Q$2&gt;1,INDEX(Despesas!$MP$19:$NB$163,($Q$2-2)*14+8,8),INDEX(Despesas!$MP$1:$NB$163,($Q$2-1)*15+12,8)))</f>
        <v>0</v>
      </c>
      <c r="U29" s="1518"/>
      <c r="V29" s="1508">
        <f>IF($Q$2="","",IF($Q$2&gt;1,INDEX(Despesas!$MP$19:$NB$163,($Q$2-2)*14+8,9),INDEX(Despesas!$MP$1:$NB$163,($Q$2-1)*15+12,9)))</f>
        <v>0</v>
      </c>
      <c r="W29" s="1509"/>
      <c r="X29" s="476">
        <f>IF($Q$2="","",IF($Q$2&gt;1,INDEX(Despesas!$MP$19:$NB$163,($Q$2-2)*14+8,10),INDEX(Despesas!$MP$1:$NB$163,($Q$2-1)*15+12,10)))</f>
        <v>0</v>
      </c>
      <c r="Y29" s="476">
        <f>IF($Q$2="","",IF($Q$2&gt;1,INDEX(Despesas!$MP$19:$NB$163,($Q$2-2)*14+8,11),INDEX(Despesas!$MP$1:$NB$163,($Q$2-1)*15+12,11)))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IF($Q$2="","",IF($Q$2&gt;1,INDEX(Despesas!$MP$19:$NB$163,($Q$2-2)*14+9,1),INDEX(Despesas!$MP$1:$NB$163,($Q$2-1)*15+13,1)))</f>
        <v/>
      </c>
      <c r="C30" s="1507"/>
      <c r="D30" s="1452" t="str">
        <f>TRIM(IF($Q$2="","",IF($Q$2&gt;1,PROPER(INDEX(Despesas!$MP$19:$NB$163,($Q$2-2)*14+9,2)),PROPER(INDEX(Despesas!$MP$1:$NB$163,($Q$2-1)*15+13,2)))))</f>
        <v/>
      </c>
      <c r="E30" s="1453"/>
      <c r="F30" s="1453"/>
      <c r="G30" s="1454"/>
      <c r="H30" s="1474">
        <f>IF($Q$2="","",IF($Q$2&gt;1,INDEX(Despesas!$MP$19:$NB$163,($Q$2-2)*14+9,3),INDEX(Despesas!$MP$1:$NB$163,($Q$2-1)*15+13,3)))</f>
        <v>0</v>
      </c>
      <c r="I30" s="1475"/>
      <c r="J30" s="1458" t="str">
        <f>TRIM(IF($Q$2="","",IF($Q$2&gt;1,PROPER(INDEX(Despesas!$MP$19:$NB$163,($Q$2-2)*14+9,4)),PROPER(INDEX(Despesas!$MP$1:$NB$163,($Q$2-1)*15+13,4)))))</f>
        <v/>
      </c>
      <c r="K30" s="1459"/>
      <c r="L30" s="1459"/>
      <c r="M30" s="1460"/>
      <c r="N30" s="765">
        <f>IF($Q$2="","",IF($Q$2&gt;1,INDEX(Despesas!$MP$19:$NB$163,($Q$2-2)*14+9,5),INDEX(Despesas!$MP$1:$NB$163,($Q$2-1)*15+13,5)))</f>
        <v>0</v>
      </c>
      <c r="O30" s="1519">
        <f>IF($Q$2="","",IF($Q$2&gt;1,INDEX(Despesas!$MP$19:$NB$163,($Q$2-2)*14+9,6),INDEX(Despesas!$MP$1:$NB$163,($Q$2-1)*15+13,6)))</f>
        <v>0</v>
      </c>
      <c r="P30" s="1520"/>
      <c r="Q30" s="1521"/>
      <c r="R30" s="1508">
        <f>IF($Q$2="","",IF($Q$2&gt;1,INDEX(Despesas!$MP$19:$NB$163,($Q$2-2)*14+9,7),INDEX(Despesas!$MP$1:$NB$163,($Q$2-1)*15+13,7)))</f>
        <v>0</v>
      </c>
      <c r="S30" s="1509"/>
      <c r="T30" s="1517">
        <f>IF($Q$2="","",IF($Q$2&gt;1,INDEX(Despesas!$MP$19:$NB$163,($Q$2-2)*14+9,8),INDEX(Despesas!$MP$1:$NB$163,($Q$2-1)*15+13,8)))</f>
        <v>0</v>
      </c>
      <c r="U30" s="1518"/>
      <c r="V30" s="1508">
        <f>IF($Q$2="","",IF($Q$2&gt;1,INDEX(Despesas!$MP$19:$NB$163,($Q$2-2)*14+9,9),INDEX(Despesas!$MP$1:$NB$163,($Q$2-1)*15+13,9)))</f>
        <v>0</v>
      </c>
      <c r="W30" s="1509"/>
      <c r="X30" s="476">
        <f>IF($Q$2="","",IF($Q$2&gt;1,INDEX(Despesas!$MP$19:$NB$163,($Q$2-2)*14+9,10),INDEX(Despesas!$MP$1:$NB$163,($Q$2-1)*15+13,10)))</f>
        <v>0</v>
      </c>
      <c r="Y30" s="476">
        <f>IF($Q$2="","",IF($Q$2&gt;1,INDEX(Despesas!$MP$19:$NB$163,($Q$2-2)*14+9,11),INDEX(Despesas!$MP$1:$NB$163,($Q$2-1)*15+13,11)))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IF($Q$2="","",IF($Q$2&gt;1,INDEX(Despesas!$MP$19:$NB$163,($Q$2-2)*14+10,1),INDEX(Despesas!$MP$1:$NB$163,($Q$2-1)*15+14,1)))</f>
        <v/>
      </c>
      <c r="C31" s="1507"/>
      <c r="D31" s="1452" t="str">
        <f>TRIM(IF($Q$2="","",IF($Q$2&gt;1,PROPER(INDEX(Despesas!$MP$19:$NB$163,($Q$2-2)*14+10,2)),PROPER(INDEX(Despesas!$MP$1:$NB$163,($Q$2-1)*15+14,2)))))</f>
        <v/>
      </c>
      <c r="E31" s="1453"/>
      <c r="F31" s="1453"/>
      <c r="G31" s="1454"/>
      <c r="H31" s="1474">
        <f>IF($Q$2="","",IF($Q$2&gt;1,INDEX(Despesas!$MP$19:$NB$163,($Q$2-2)*14+10,3),INDEX(Despesas!$MP$1:$NB$163,($Q$2-1)*15+14,3)))</f>
        <v>0</v>
      </c>
      <c r="I31" s="1475"/>
      <c r="J31" s="1458" t="str">
        <f>TRIM(IF($Q$2="","",IF($Q$2&gt;1,PROPER(INDEX(Despesas!$MP$19:$NB$163,($Q$2-2)*14+10,4)),PROPER(INDEX(Despesas!$MP$1:$NB$163,($Q$2-1)*15+14,4)))))</f>
        <v/>
      </c>
      <c r="K31" s="1459"/>
      <c r="L31" s="1459"/>
      <c r="M31" s="1460"/>
      <c r="N31" s="765">
        <f>IF($Q$2="","",IF($Q$2&gt;1,INDEX(Despesas!$MP$19:$NB$163,($Q$2-2)*14+10,5),INDEX(Despesas!$MP$1:$NB$163,($Q$2-1)*15+14,5)))</f>
        <v>0</v>
      </c>
      <c r="O31" s="1519">
        <f>IF($Q$2="","",IF($Q$2&gt;1,INDEX(Despesas!$MP$19:$NB$163,($Q$2-2)*14+10,6),INDEX(Despesas!$MP$1:$NB$163,($Q$2-1)*15+14,6)))</f>
        <v>0</v>
      </c>
      <c r="P31" s="1520"/>
      <c r="Q31" s="1521"/>
      <c r="R31" s="1508">
        <f>IF($Q$2="","",IF($Q$2&gt;1,INDEX(Despesas!$MP$19:$NB$163,($Q$2-2)*14+10,7),INDEX(Despesas!$MP$1:$NB$163,($Q$2-1)*15+14,7)))</f>
        <v>0</v>
      </c>
      <c r="S31" s="1509"/>
      <c r="T31" s="1517">
        <f>IF($Q$2="","",IF($Q$2&gt;1,INDEX(Despesas!$MP$19:$NB$163,($Q$2-2)*14+10,8),INDEX(Despesas!$MP$1:$NB$163,($Q$2-1)*15+14,8)))</f>
        <v>0</v>
      </c>
      <c r="U31" s="1518"/>
      <c r="V31" s="1508">
        <f>IF($Q$2="","",IF($Q$2&gt;1,INDEX(Despesas!$MP$19:$NB$163,($Q$2-2)*14+10,9),INDEX(Despesas!$MP$1:$NB$163,($Q$2-1)*15+14,9)))</f>
        <v>0</v>
      </c>
      <c r="W31" s="1509"/>
      <c r="X31" s="476">
        <f>IF($Q$2="","",IF($Q$2&gt;1,INDEX(Despesas!$MP$19:$NB$163,($Q$2-2)*14+10,10),INDEX(Despesas!$MP$1:$NB$163,($Q$2-1)*15+14,10)))</f>
        <v>0</v>
      </c>
      <c r="Y31" s="476">
        <f>IF($Q$2="","",IF($Q$2&gt;1,INDEX(Despesas!$MP$19:$NB$163,($Q$2-2)*14+10,11),INDEX(Despesas!$MP$1:$NB$163,($Q$2-1)*15+14,11)))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IF($Q$2="","",IF($Q$2&gt;1,INDEX(Despesas!$MP$19:$NB$163,($Q$2-2)*14+11,1),INDEX(Despesas!$MP$1:$NB$163,($Q$2-1)*15+15,1)))</f>
        <v/>
      </c>
      <c r="C32" s="1507"/>
      <c r="D32" s="1452" t="str">
        <f>TRIM(IF($Q$2="","",IF($Q$2&gt;1,PROPER(INDEX(Despesas!$MP$19:$NB$163,($Q$2-2)*14+11,2)),PROPER(INDEX(Despesas!$MP$1:$NB$163,($Q$2-1)*15+15,2)))))</f>
        <v/>
      </c>
      <c r="E32" s="1453"/>
      <c r="F32" s="1453"/>
      <c r="G32" s="1454"/>
      <c r="H32" s="1474">
        <f>IF($Q$2="","",IF($Q$2&gt;1,INDEX(Despesas!$MP$19:$NB$163,($Q$2-2)*14+11,3),INDEX(Despesas!$MP$1:$NB$163,($Q$2-1)*15+15,3)))</f>
        <v>0</v>
      </c>
      <c r="I32" s="1475"/>
      <c r="J32" s="1458" t="str">
        <f>TRIM(IF($Q$2="","",IF($Q$2&gt;1,PROPER(INDEX(Despesas!$MP$19:$NB$163,($Q$2-2)*14+11,4)),PROPER(INDEX(Despesas!$MP$1:$NB$163,($Q$2-1)*15+15,4)))))</f>
        <v/>
      </c>
      <c r="K32" s="1459"/>
      <c r="L32" s="1459"/>
      <c r="M32" s="1460"/>
      <c r="N32" s="765">
        <f>IF($Q$2="","",IF($Q$2&gt;1,INDEX(Despesas!$MP$19:$NB$163,($Q$2-2)*14+11,5),INDEX(Despesas!$MP$1:$NB$163,($Q$2-1)*15+15,5)))</f>
        <v>0</v>
      </c>
      <c r="O32" s="1519">
        <f>IF($Q$2="","",IF($Q$2&gt;1,INDEX(Despesas!$MP$19:$NB$163,($Q$2-2)*14+11,6),INDEX(Despesas!$MP$1:$NB$163,($Q$2-1)*15+15,6)))</f>
        <v>0</v>
      </c>
      <c r="P32" s="1520"/>
      <c r="Q32" s="1521"/>
      <c r="R32" s="1508">
        <f>IF($Q$2="","",IF($Q$2&gt;1,INDEX(Despesas!$MP$19:$NB$163,($Q$2-2)*14+11,7),INDEX(Despesas!$MP$1:$NB$163,($Q$2-1)*15+15,7)))</f>
        <v>0</v>
      </c>
      <c r="S32" s="1509"/>
      <c r="T32" s="1517">
        <f>IF($Q$2="","",IF($Q$2&gt;1,INDEX(Despesas!$MP$19:$NB$163,($Q$2-2)*14+11,8),INDEX(Despesas!$MP$1:$NB$163,($Q$2-1)*15+15,8)))</f>
        <v>0</v>
      </c>
      <c r="U32" s="1518"/>
      <c r="V32" s="1508">
        <f>IF($Q$2="","",IF($Q$2&gt;1,INDEX(Despesas!$MP$19:$NB$163,($Q$2-2)*14+11,9),INDEX(Despesas!$MP$1:$NB$163,($Q$2-1)*15+15,9)))</f>
        <v>0</v>
      </c>
      <c r="W32" s="1509"/>
      <c r="X32" s="476">
        <f>IF($Q$2="","",IF($Q$2&gt;1,INDEX(Despesas!$MP$19:$NB$163,($Q$2-2)*14+11,10),INDEX(Despesas!$MP$1:$NB$163,($Q$2-1)*15+15,10)))</f>
        <v>0</v>
      </c>
      <c r="Y32" s="476">
        <f>IF($Q$2="","",IF($Q$2&gt;1,INDEX(Despesas!$MP$19:$NB$163,($Q$2-2)*14+11,11),INDEX(Despesas!$MP$1:$NB$163,($Q$2-1)*15+15,11)))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IF($Q$2="","",IF($Q$2&gt;1,INDEX(Despesas!$MP$19:$NB$163,($Q$2-2)*14+12,1),INDEX(Despesas!$MP$1:$NB$163,($Q$2-1)*15+16,1)))</f>
        <v/>
      </c>
      <c r="C33" s="1507"/>
      <c r="D33" s="1452" t="str">
        <f>TRIM(IF($Q$2="","",IF($Q$2&gt;1,PROPER(INDEX(Despesas!$MP$19:$NB$163,($Q$2-2)*14+12,2)),PROPER(INDEX(Despesas!$MP$1:$NB$163,($Q$2-1)*15+16,2)))))</f>
        <v/>
      </c>
      <c r="E33" s="1453"/>
      <c r="F33" s="1453"/>
      <c r="G33" s="1454"/>
      <c r="H33" s="1474">
        <f>IF($Q$2="","",IF($Q$2&gt;1,INDEX(Despesas!$MP$19:$NB$163,($Q$2-2)*14+12,3),INDEX(Despesas!$MP$1:$NB$163,($Q$2-1)*15+16,3)))</f>
        <v>0</v>
      </c>
      <c r="I33" s="1475"/>
      <c r="J33" s="1458" t="str">
        <f>TRIM(IF($Q$2="","",IF($Q$2&gt;1,PROPER(INDEX(Despesas!$MP$19:$NB$163,($Q$2-2)*14+12,4)),PROPER(INDEX(Despesas!$MP$1:$NB$163,($Q$2-1)*15+16,4)))))</f>
        <v/>
      </c>
      <c r="K33" s="1459"/>
      <c r="L33" s="1459"/>
      <c r="M33" s="1460"/>
      <c r="N33" s="765">
        <f>IF($Q$2="","",IF($Q$2&gt;1,INDEX(Despesas!$MP$19:$NB$163,($Q$2-2)*14+12,5),INDEX(Despesas!$MP$1:$NB$163,($Q$2-1)*15+16,5)))</f>
        <v>0</v>
      </c>
      <c r="O33" s="1519">
        <f>IF($Q$2="","",IF($Q$2&gt;1,INDEX(Despesas!$MP$19:$NB$163,($Q$2-2)*14+12,6),INDEX(Despesas!$MP$1:$NB$163,($Q$2-1)*15+16,6)))</f>
        <v>0</v>
      </c>
      <c r="P33" s="1520"/>
      <c r="Q33" s="1521"/>
      <c r="R33" s="1508">
        <f>IF($Q$2="","",IF($Q$2&gt;1,INDEX(Despesas!$MP$19:$NB$163,($Q$2-2)*14+12,7),INDEX(Despesas!$MP$1:$NB$163,($Q$2-1)*15+16,7)))</f>
        <v>0</v>
      </c>
      <c r="S33" s="1509"/>
      <c r="T33" s="1517">
        <f>IF($Q$2="","",IF($Q$2&gt;1,INDEX(Despesas!$MP$19:$NB$163,($Q$2-2)*14+12,8),INDEX(Despesas!$MP$1:$NB$163,($Q$2-1)*15+16,8)))</f>
        <v>0</v>
      </c>
      <c r="U33" s="1518"/>
      <c r="V33" s="1508">
        <f>IF($Q$2="","",IF($Q$2&gt;1,INDEX(Despesas!$MP$19:$NB$163,($Q$2-2)*14+12,9),INDEX(Despesas!$MP$1:$NB$163,($Q$2-1)*15+16,9)))</f>
        <v>0</v>
      </c>
      <c r="W33" s="1509"/>
      <c r="X33" s="476">
        <f>IF($Q$2="","",IF($Q$2&gt;1,INDEX(Despesas!$MP$19:$NB$163,($Q$2-2)*14+12,10),INDEX(Despesas!$MP$1:$NB$163,($Q$2-1)*15+16,10)))</f>
        <v>0</v>
      </c>
      <c r="Y33" s="476">
        <f>IF($Q$2="","",IF($Q$2&gt;1,INDEX(Despesas!$MP$19:$NB$163,($Q$2-2)*14+12,11),INDEX(Despesas!$MP$1:$NB$163,($Q$2-1)*15+16,11)))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IF($Q$2="","",IF($Q$2&gt;1,INDEX(Despesas!$MP$19:$NB$163,($Q$2-2)*14+13,1),INDEX(Despesas!$MP$1:$NB$163,($Q$2-1)*15+17,1)))</f>
        <v/>
      </c>
      <c r="C34" s="1507"/>
      <c r="D34" s="1452" t="str">
        <f>TRIM(IF($Q$2="","",IF($Q$2&gt;1,PROPER(INDEX(Despesas!$MP$19:$NB$163,($Q$2-2)*14+13,2)),PROPER(INDEX(Despesas!$MP$1:$NB$163,($Q$2-1)*15+17,2)))))</f>
        <v/>
      </c>
      <c r="E34" s="1453"/>
      <c r="F34" s="1453"/>
      <c r="G34" s="1454"/>
      <c r="H34" s="1474">
        <f>IF($Q$2="","",IF($Q$2&gt;1,INDEX(Despesas!$MP$19:$NB$163,($Q$2-2)*14+13,3),INDEX(Despesas!$MP$1:$NB$163,($Q$2-1)*15+17,3)))</f>
        <v>0</v>
      </c>
      <c r="I34" s="1475"/>
      <c r="J34" s="1458" t="str">
        <f>TRIM(IF($Q$2="","",IF($Q$2&gt;1,PROPER(INDEX(Despesas!$MP$19:$NB$163,($Q$2-2)*14+13,4)),PROPER(INDEX(Despesas!$MP$1:$NB$163,($Q$2-1)*15+17,4)))))</f>
        <v/>
      </c>
      <c r="K34" s="1459"/>
      <c r="L34" s="1459"/>
      <c r="M34" s="1460"/>
      <c r="N34" s="765">
        <f>IF($Q$2="","",IF($Q$2&gt;1,INDEX(Despesas!$MP$19:$NB$163,($Q$2-2)*14+13,5),INDEX(Despesas!$MP$1:$NB$163,($Q$2-1)*15+17,5)))</f>
        <v>0</v>
      </c>
      <c r="O34" s="1519">
        <f>IF($Q$2="","",IF($Q$2&gt;1,INDEX(Despesas!$MP$19:$NB$163,($Q$2-2)*14+13,6),INDEX(Despesas!$MP$1:$NB$163,($Q$2-1)*15+17,6)))</f>
        <v>0</v>
      </c>
      <c r="P34" s="1520"/>
      <c r="Q34" s="1521"/>
      <c r="R34" s="1508">
        <f>IF($Q$2="","",IF($Q$2&gt;1,INDEX(Despesas!$MP$19:$NB$163,($Q$2-2)*14+13,7),INDEX(Despesas!$MP$1:$NB$163,($Q$2-1)*15+17,7)))</f>
        <v>0</v>
      </c>
      <c r="S34" s="1509"/>
      <c r="T34" s="1517">
        <f>IF($Q$2="","",IF($Q$2&gt;1,INDEX(Despesas!$MP$19:$NB$163,($Q$2-2)*14+13,8),INDEX(Despesas!$MP$1:$NB$163,($Q$2-1)*15+17,8)))</f>
        <v>0</v>
      </c>
      <c r="U34" s="1518"/>
      <c r="V34" s="1508">
        <f>IF($Q$2="","",IF($Q$2&gt;1,INDEX(Despesas!$MP$19:$NB$163,($Q$2-2)*14+13,9),INDEX(Despesas!$MP$1:$NB$163,($Q$2-1)*15+17,9)))</f>
        <v>0</v>
      </c>
      <c r="W34" s="1509"/>
      <c r="X34" s="476">
        <f>IF($Q$2="","",IF($Q$2&gt;1,INDEX(Despesas!$MP$19:$NB$163,($Q$2-2)*14+13,10),INDEX(Despesas!$MP$1:$NB$163,($Q$2-1)*15+17,10)))</f>
        <v>0</v>
      </c>
      <c r="Y34" s="476">
        <f>IF($Q$2="","",IF($Q$2&gt;1,INDEX(Despesas!$MP$19:$NB$163,($Q$2-2)*14+13,11),INDEX(Despesas!$MP$1:$NB$163,($Q$2-1)*15+17,11)))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IF($Q$2="","",IF($Q$2&gt;1,INDEX(Despesas!$MP$19:$NB$163,($Q$2-2)*14+14,1),INDEX(Despesas!$MP$1:$NB$163,($Q$2-1)*15+18,1)))</f>
        <v/>
      </c>
      <c r="C35" s="1591"/>
      <c r="D35" s="1455" t="str">
        <f>TRIM(IF($Q$2="","",IF($Q$2&gt;1,PROPER(INDEX(Despesas!$MP$19:$NB$163,($Q$2-2)*14+14,2)),PROPER(INDEX(Despesas!$MP$1:$NB$163,($Q$2-1)*15+18,2)))))</f>
        <v/>
      </c>
      <c r="E35" s="1456"/>
      <c r="F35" s="1456"/>
      <c r="G35" s="1457"/>
      <c r="H35" s="1474">
        <f>IF($Q$2="","",IF($Q$2&gt;1,INDEX(Despesas!$MP$19:$NB$163,($Q$2-2)*14+14,3),INDEX(Despesas!$MP$1:$NB$163,($Q$2-1)*15+18,3)))</f>
        <v>0</v>
      </c>
      <c r="I35" s="1475"/>
      <c r="J35" s="1587" t="str">
        <f>TRIM(IF($Q$2="","",IF($Q$2&gt;1,PROPER(INDEX(Despesas!$MP$19:$NB$163,($Q$2-2)*14+14,4)),PROPER(INDEX(Despesas!$MP$1:$NB$163,($Q$2-1)*15+18,4)))))</f>
        <v/>
      </c>
      <c r="K35" s="1588"/>
      <c r="L35" s="1588"/>
      <c r="M35" s="1589"/>
      <c r="N35" s="765">
        <f>IF($Q$2="","",IF($Q$2&gt;1,INDEX(Despesas!$MP$19:$NB$163,($Q$2-2)*14+14,5),INDEX(Despesas!$MP$1:$NB$163,($Q$2-1)*15+18,5)))</f>
        <v>0</v>
      </c>
      <c r="O35" s="1519">
        <f>IF($Q$2="","",IF($Q$2&gt;1,INDEX(Despesas!$MP$19:$NB$163,($Q$2-2)*14+14,6),INDEX(Despesas!$MP$1:$NB$163,($Q$2-1)*15+18,6)))</f>
        <v>0</v>
      </c>
      <c r="P35" s="1520"/>
      <c r="Q35" s="1521"/>
      <c r="R35" s="1571">
        <f>IF($Q$2="","",IF($Q$2&gt;1,INDEX(Despesas!$MP$19:$NB$163,($Q$2-2)*14+14,7),INDEX(Despesas!$MP$1:$NB$163,($Q$2-1)*15+18,7)))</f>
        <v>0</v>
      </c>
      <c r="S35" s="1572"/>
      <c r="T35" s="1517">
        <f>IF($Q$2="","",IF($Q$2&gt;1,INDEX(Despesas!$MP$19:$NB$163,($Q$2-2)*14+14,8),INDEX(Despesas!$MP$1:$NB$163,($Q$2-1)*15+18,8)))</f>
        <v>0</v>
      </c>
      <c r="U35" s="1518"/>
      <c r="V35" s="1571">
        <f>IF($Q$2="","",IF($Q$2&gt;1,INDEX(Despesas!$MP$19:$NB$163,($Q$2-2)*14+14,9),INDEX(Despesas!$MP$1:$NB$163,($Q$2-1)*15+18,9)))</f>
        <v>0</v>
      </c>
      <c r="W35" s="1572"/>
      <c r="X35" s="476">
        <f>IF($Q$2="","",IF($Q$2&gt;1,INDEX(Despesas!$MP$19:$NB$163,($Q$2-2)*14+14,10),INDEX(Despesas!$MP$1:$NB$163,($Q$2-1)*15+18,10)))</f>
        <v>0</v>
      </c>
      <c r="Y35" s="476">
        <f>IF($Q$2="","",IF($Q$2&gt;1,INDEX(Despesas!$MP$19:$NB$163,($Q$2-2)*14+14,11),INDEX(Despesas!$MP$1:$NB$163,($Q$2-1)*15+18,11)))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"&amp;(Ata!B120))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IF(Ata!$BQ$64&gt;0,Ata!$BQ$64,"")</f>
        <v>#VALUE!</v>
      </c>
      <c r="E41" s="406" t="e">
        <f>IF(Ata!$BR$64&gt;0,Ata!$BR$64,"")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21:Y35">
    <cfRule type="cellIs" dxfId="184" priority="1" operator="equal">
      <formula>0</formula>
    </cfRule>
    <cfRule type="expression" dxfId="183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975"/>
      <c r="U5" s="975"/>
      <c r="V5" s="975"/>
      <c r="W5" s="975"/>
      <c r="X5" s="975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12314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976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Dados!$F$50</f>
        <v/>
      </c>
      <c r="D15" s="1607"/>
      <c r="E15" s="1607"/>
      <c r="F15" s="49" t="s">
        <v>294</v>
      </c>
      <c r="G15" s="1470" t="str">
        <f>Dados!$F$48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Despesas!$AL$114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Dados!$I$50</f>
        <v/>
      </c>
      <c r="D16" s="1606"/>
      <c r="E16" s="1606"/>
      <c r="F16" s="48" t="s">
        <v>293</v>
      </c>
      <c r="G16" s="1463" t="str">
        <f>Dados!$I$48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Despesas!$AM$114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978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IF($Q$2="","",IF($Q$2&gt;1,"",INDEX(Despesas!$NC$1:$NO$163,($Q$2-1)*15+4,1)))</f>
        <v/>
      </c>
      <c r="C21" s="1554"/>
      <c r="D21" s="1559" t="str">
        <f>TRIM(IF($Q$2="","",IF($Q$2&gt;1,"De transporte ..........",PROPER(INDEX(Despesas!$NC$1:$NO$163,($Q$2-1)*15+4,2)))))</f>
        <v/>
      </c>
      <c r="E21" s="1560"/>
      <c r="F21" s="1560"/>
      <c r="G21" s="1561"/>
      <c r="H21" s="1461">
        <f>IF($Q$2="","",IF($Q$2&gt;1,"",INDEX(Despesas!$NC$1:$NO$163,($Q$2-1)*15+4,3)))</f>
        <v>0</v>
      </c>
      <c r="I21" s="1462"/>
      <c r="J21" s="1537" t="str">
        <f>TRIM(IF($Q$2="","",IF($Q$2&gt;1,"",PROPER(INDEX(Despesas!$NC$1:$NO$163,($Q$2-1)*15+4,4)))))</f>
        <v/>
      </c>
      <c r="K21" s="1538"/>
      <c r="L21" s="1538"/>
      <c r="M21" s="1539"/>
      <c r="N21" s="977">
        <f>IF($Q$2="","",IF($Q$2&gt;1,"",INDEX(Despesas!$NC$1:$NO$163,($Q$2-1)*15+4,5)))</f>
        <v>0</v>
      </c>
      <c r="O21" s="1555">
        <f>IF($Q$2="","",IF($Q$2&gt;1,"",INDEX(Despesas!$NC$1:$NO$163,($Q$2-1)*15+4,6)))</f>
        <v>0</v>
      </c>
      <c r="P21" s="1556"/>
      <c r="Q21" s="1557"/>
      <c r="R21" s="1527">
        <f>IF($Q$2="","",IF($Q$2&gt;1,"",INDEX(Despesas!$NC$1:$NO$163,($Q$2-1)*15+4,7)))</f>
        <v>0</v>
      </c>
      <c r="S21" s="1528"/>
      <c r="T21" s="1548">
        <f>IF($Q$2="","",IF($Q$2&gt;1,"",INDEX(Despesas!$NC$1:$NO$163,($Q$2-1)*15+4,8)))</f>
        <v>0</v>
      </c>
      <c r="U21" s="1549"/>
      <c r="V21" s="1527">
        <f>IF($Q$2="","",IF($Q$2&gt;1,"",INDEX(Despesas!$NC$1:$NO$163,($Q$2-1)*15+4,9)))</f>
        <v>0</v>
      </c>
      <c r="W21" s="1528"/>
      <c r="X21" s="476">
        <f>IF($Q$2="","",IF($Q$2&gt;1,INDEX(Despesas!$QC$4:$QD$15,($Q$2)-1,1),INDEX(Despesas!$NC$1:$NO$163,($Q$2-1)*15+4,10)))</f>
        <v>0</v>
      </c>
      <c r="Y21" s="476">
        <f>IF($Q$2="","",IF($Q$2&gt;1,INDEX(Despesas!$QC$4:$QD$15,($Q$2)-1,2),INDEX(Despesas!$NC$1:$NO$163,($Q$2-1)*15+4,11)))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IF($Q$2="","",IF($Q$2&gt;1,INDEX(Despesas!$NC$19:$NO$163,($Q$2-2)*14+1,1),INDEX(Despesas!$NC$1:$NO$163,($Q$2-1)*15+5,1)))</f>
        <v/>
      </c>
      <c r="C22" s="1507"/>
      <c r="D22" s="1452" t="str">
        <f>TRIM(IF($Q$2="","",IF($Q$2&gt;1,PROPER(INDEX(Despesas!$NC$19:$NO$163,($Q$2-2)*14+1,2)),PROPER(INDEX(Despesas!$NC$1:$NO$163,($Q$2-1)*15+5,2)))))</f>
        <v/>
      </c>
      <c r="E22" s="1453"/>
      <c r="F22" s="1453"/>
      <c r="G22" s="1454"/>
      <c r="H22" s="1474">
        <f>IF($Q$2="","",IF($Q$2&gt;1,INDEX(Despesas!$NC$19:$NO$163,($Q$2-2)*14+1,3),INDEX(Despesas!$NC$1:$NO$163,($Q$2-1)*15+5,3)))</f>
        <v>0</v>
      </c>
      <c r="I22" s="1475"/>
      <c r="J22" s="1458" t="str">
        <f>TRIM(IF($Q$2="","",IF($Q$2&gt;1,PROPER(INDEX(Despesas!$NC$19:$NO$163,($Q$2-2)*14+1,4)),PROPER(INDEX(Despesas!$NC$1:$NO$163,($Q$2-1)*15+5,4)))))</f>
        <v/>
      </c>
      <c r="K22" s="1459"/>
      <c r="L22" s="1459"/>
      <c r="M22" s="1460"/>
      <c r="N22" s="452">
        <f>IF($Q$2="","",IF($Q$2&gt;1,INDEX(Despesas!$NC$19:$NO$163,($Q$2-2)*14+1,5),INDEX(Despesas!$NC$1:$NO$163,($Q$2-1)*15+5,5)))</f>
        <v>0</v>
      </c>
      <c r="O22" s="1519">
        <f>IF($Q$2="","",IF($Q$2&gt;1,INDEX(Despesas!$NC$19:$NO$163,($Q$2-2)*14+1,6),INDEX(Despesas!$NC$1:$NO$163,($Q$2-1)*15+5,6)))</f>
        <v>0</v>
      </c>
      <c r="P22" s="1520"/>
      <c r="Q22" s="1521"/>
      <c r="R22" s="1508">
        <f>IF($Q$2="","",IF($Q$2&gt;1,INDEX(Despesas!$NC$19:$NO$163,($Q$2-2)*14+1,7),INDEX(Despesas!$NC$1:$NO$163,($Q$2-1)*15+5,7)))</f>
        <v>0</v>
      </c>
      <c r="S22" s="1509"/>
      <c r="T22" s="1517">
        <f>IF($Q$2="","",IF($Q$2&gt;1,INDEX(Despesas!$NC$19:$NO$163,($Q$2-2)*14+1,8),INDEX(Despesas!$NC$1:$NO$163,($Q$2-1)*15+5,8)))</f>
        <v>0</v>
      </c>
      <c r="U22" s="1518"/>
      <c r="V22" s="1508">
        <f>IF($Q$2="","",IF($Q$2&gt;1,INDEX(Despesas!$NC$19:$NO$163,($Q$2-2)*14+1,9),INDEX(Despesas!$NC$1:$NO$163,($Q$2-1)*15+5,9)))</f>
        <v>0</v>
      </c>
      <c r="W22" s="1509"/>
      <c r="X22" s="476">
        <f>IF($Q$2="","",IF($Q$2&gt;1,INDEX(Despesas!$NC$19:$NO$163,($Q$2-2)*14+1,10),INDEX(Despesas!$NC$1:$NO$163,($Q$2-1)*15+5,10)))</f>
        <v>0</v>
      </c>
      <c r="Y22" s="476">
        <f>IF($Q$2="","",IF($Q$2&gt;1,INDEX(Despesas!$NC$19:$NO$163,($Q$2-2)*14+1,11),INDEX(Despesas!$NC$1:$NO$163,($Q$2-1)*15+5,11)))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IF($Q$2="","",IF($Q$2&gt;1,INDEX(Despesas!$NC$19:$NO$163,($Q$2-2)*14+2,1),INDEX(Despesas!$NC$1:$NO$163,($Q$2-1)*15+6,1)))</f>
        <v/>
      </c>
      <c r="C23" s="1507"/>
      <c r="D23" s="1452" t="str">
        <f>TRIM(IF($Q$2="","",IF($Q$2&gt;1,PROPER(INDEX(Despesas!$NC$19:$NO$163,($Q$2-2)*14+2,2)),PROPER(INDEX(Despesas!$NC$1:$NO$163,($Q$2-1)*15+6,2)))))</f>
        <v/>
      </c>
      <c r="E23" s="1453"/>
      <c r="F23" s="1453"/>
      <c r="G23" s="1454"/>
      <c r="H23" s="1474">
        <f>IF($Q$2="","",IF($Q$2&gt;1,INDEX(Despesas!$NC$19:$NO$163,($Q$2-2)*14+2,3),INDEX(Despesas!$NC$1:$NO$163,($Q$2-1)*15+6,3)))</f>
        <v>0</v>
      </c>
      <c r="I23" s="1475"/>
      <c r="J23" s="1458" t="str">
        <f>TRIM(IF($Q$2="","",IF($Q$2&gt;1,PROPER(INDEX(Despesas!$NC$19:$NO$163,($Q$2-2)*14+2,4)),PROPER(INDEX(Despesas!$NC$1:$NO$163,($Q$2-1)*15+6,4)))))</f>
        <v/>
      </c>
      <c r="K23" s="1459"/>
      <c r="L23" s="1459"/>
      <c r="M23" s="1460"/>
      <c r="N23" s="977">
        <f>IF($Q$2="","",IF($Q$2&gt;1,INDEX(Despesas!$NC$19:$NO$163,($Q$2-2)*14+2,5),INDEX(Despesas!$NC$1:$NO$163,($Q$2-1)*15+6,5)))</f>
        <v>0</v>
      </c>
      <c r="O23" s="1519">
        <f>IF($Q$2="","",IF($Q$2&gt;1,INDEX(Despesas!$NC$19:$NO$163,($Q$2-2)*14+2,6),INDEX(Despesas!$NC$1:$NO$163,($Q$2-1)*15+6,6)))</f>
        <v>0</v>
      </c>
      <c r="P23" s="1520"/>
      <c r="Q23" s="1521"/>
      <c r="R23" s="1508">
        <f>IF($Q$2="","",IF($Q$2&gt;1,INDEX(Despesas!$NC$19:$NO$163,($Q$2-2)*14+2,7),INDEX(Despesas!$NC$1:$NO$163,($Q$2-1)*15+6,7)))</f>
        <v>0</v>
      </c>
      <c r="S23" s="1509"/>
      <c r="T23" s="1517">
        <f>IF($Q$2="","",IF($Q$2&gt;1,INDEX(Despesas!$NC$19:$NO$163,($Q$2-2)*14+2,8),INDEX(Despesas!$NC$1:$NO$163,($Q$2-1)*15+6,8)))</f>
        <v>0</v>
      </c>
      <c r="U23" s="1518"/>
      <c r="V23" s="1508">
        <f>IF($Q$2="","",IF($Q$2&gt;1,INDEX(Despesas!$NC$19:$NO$163,($Q$2-2)*14+2,9),INDEX(Despesas!$NC$1:$NO$163,($Q$2-1)*15+6,9)))</f>
        <v>0</v>
      </c>
      <c r="W23" s="1509"/>
      <c r="X23" s="476">
        <f>IF($Q$2="","",IF($Q$2&gt;1,INDEX(Despesas!$NC$19:$NO$163,($Q$2-2)*14+2,10),INDEX(Despesas!$NC$1:$NO$163,($Q$2-1)*15+6,10)))</f>
        <v>0</v>
      </c>
      <c r="Y23" s="476">
        <f>IF($Q$2="","",IF($Q$2&gt;1,INDEX(Despesas!$NC$19:$NO$163,($Q$2-2)*14+2,11),INDEX(Despesas!$NC$1:$NO$163,($Q$2-1)*15+6,11)))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IF($Q$2="","",IF($Q$2&gt;1,INDEX(Despesas!$NC$19:$NO$163,($Q$2-2)*14+3,1),INDEX(Despesas!$NC$1:$NO$163,($Q$2-1)*15+7,1)))</f>
        <v/>
      </c>
      <c r="C24" s="1507"/>
      <c r="D24" s="1452" t="str">
        <f>TRIM(IF($Q$2="","",IF($Q$2&gt;1,PROPER(INDEX(Despesas!$NC$19:$NO$163,($Q$2-2)*14+3,2)),PROPER(INDEX(Despesas!$NC$1:$NO$163,($Q$2-1)*15+7,2)))))</f>
        <v/>
      </c>
      <c r="E24" s="1453"/>
      <c r="F24" s="1453"/>
      <c r="G24" s="1454"/>
      <c r="H24" s="1474">
        <f>IF($Q$2="","",IF($Q$2&gt;1,INDEX(Despesas!$NC$19:$NO$163,($Q$2-2)*14+3,3),INDEX(Despesas!$NC$1:$NO$163,($Q$2-1)*15+7,3)))</f>
        <v>0</v>
      </c>
      <c r="I24" s="1475"/>
      <c r="J24" s="1458" t="str">
        <f>TRIM(IF($Q$2="","",IF($Q$2&gt;1,PROPER(INDEX(Despesas!$NC$19:$NO$163,($Q$2-2)*14+3,4)),PROPER(INDEX(Despesas!$NC$1:$NO$163,($Q$2-1)*15+7,4)))))</f>
        <v/>
      </c>
      <c r="K24" s="1459"/>
      <c r="L24" s="1459"/>
      <c r="M24" s="1460"/>
      <c r="N24" s="977">
        <f>IF($Q$2="","",IF($Q$2&gt;1,INDEX(Despesas!$NC$19:$NO$163,($Q$2-2)*14+3,5),INDEX(Despesas!$NC$1:$NO$163,($Q$2-1)*15+7,5)))</f>
        <v>0</v>
      </c>
      <c r="O24" s="1519">
        <f>IF($Q$2="","",IF($Q$2&gt;1,INDEX(Despesas!$NC$19:$NO$163,($Q$2-2)*14+3,6),INDEX(Despesas!$NC$1:$NO$163,($Q$2-1)*15+7,6)))</f>
        <v>0</v>
      </c>
      <c r="P24" s="1520"/>
      <c r="Q24" s="1521"/>
      <c r="R24" s="1508">
        <f>IF($Q$2="","",IF($Q$2&gt;1,INDEX(Despesas!$NC$19:$NO$163,($Q$2-2)*14+3,7),INDEX(Despesas!$NC$1:$NO$163,($Q$2-1)*15+7,7)))</f>
        <v>0</v>
      </c>
      <c r="S24" s="1509"/>
      <c r="T24" s="1517">
        <f>IF($Q$2="","",IF($Q$2&gt;1,INDEX(Despesas!$NC$19:$NO$163,($Q$2-2)*14+3,8),INDEX(Despesas!$NC$1:$NO$163,($Q$2-1)*15+7,8)))</f>
        <v>0</v>
      </c>
      <c r="U24" s="1518"/>
      <c r="V24" s="1508">
        <f>IF($Q$2="","",IF($Q$2&gt;1,INDEX(Despesas!$NC$19:$NO$163,($Q$2-2)*14+3,9),INDEX(Despesas!$NC$1:$NO$163,($Q$2-1)*15+7,9)))</f>
        <v>0</v>
      </c>
      <c r="W24" s="1509"/>
      <c r="X24" s="476">
        <f>IF($Q$2="","",IF($Q$2&gt;1,INDEX(Despesas!$NC$19:$NO$163,($Q$2-2)*14+3,10),INDEX(Despesas!$NC$1:$NO$163,($Q$2-1)*15+7,10)))</f>
        <v>0</v>
      </c>
      <c r="Y24" s="476">
        <f>IF($Q$2="","",IF($Q$2&gt;1,INDEX(Despesas!$NC$19:$NO$163,($Q$2-2)*14+3,11),INDEX(Despesas!$NC$1:$NO$163,($Q$2-1)*15+7,11)))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IF($Q$2="","",IF($Q$2&gt;1,INDEX(Despesas!$NC$19:$NO$163,($Q$2-2)*14+4,1),INDEX(Despesas!$NC$1:$NO$163,($Q$2-1)*15+8,1)))</f>
        <v/>
      </c>
      <c r="C25" s="1507"/>
      <c r="D25" s="1452" t="str">
        <f>TRIM(IF($Q$2="","",IF($Q$2&gt;1,PROPER(INDEX(Despesas!$NC$19:$NO$163,($Q$2-2)*14+4,2)),PROPER(INDEX(Despesas!$NC$1:$NO$163,($Q$2-1)*15+8,2)))))</f>
        <v/>
      </c>
      <c r="E25" s="1453"/>
      <c r="F25" s="1453"/>
      <c r="G25" s="1454"/>
      <c r="H25" s="1474">
        <f>IF($Q$2="","",IF($Q$2&gt;1,INDEX(Despesas!$NC$19:$NO$163,($Q$2-2)*14+4,3),INDEX(Despesas!$NC$1:$NO$163,($Q$2-1)*15+8,3)))</f>
        <v>0</v>
      </c>
      <c r="I25" s="1475"/>
      <c r="J25" s="1458" t="str">
        <f>TRIM(IF($Q$2="","",IF($Q$2&gt;1,PROPER(INDEX(Despesas!$NC$19:$NO$163,($Q$2-2)*14+4,4)),PROPER(INDEX(Despesas!$NC$1:$NO$163,($Q$2-1)*15+8,4)))))</f>
        <v/>
      </c>
      <c r="K25" s="1459"/>
      <c r="L25" s="1459"/>
      <c r="M25" s="1460"/>
      <c r="N25" s="977">
        <f>IF($Q$2="","",IF($Q$2&gt;1,INDEX(Despesas!$NC$19:$NO$163,($Q$2-2)*14+4,5),INDEX(Despesas!$NC$1:$NO$163,($Q$2-1)*15+8,5)))</f>
        <v>0</v>
      </c>
      <c r="O25" s="1519">
        <f>IF($Q$2="","",IF($Q$2&gt;1,INDEX(Despesas!$NC$19:$NO$163,($Q$2-2)*14+4,6),INDEX(Despesas!$NC$1:$NO$163,($Q$2-1)*15+8,6)))</f>
        <v>0</v>
      </c>
      <c r="P25" s="1520"/>
      <c r="Q25" s="1521"/>
      <c r="R25" s="1508">
        <f>IF($Q$2="","",IF($Q$2&gt;1,INDEX(Despesas!$NC$19:$NO$163,($Q$2-2)*14+4,7),INDEX(Despesas!$NC$1:$NO$163,($Q$2-1)*15+8,7)))</f>
        <v>0</v>
      </c>
      <c r="S25" s="1509"/>
      <c r="T25" s="1517">
        <f>IF($Q$2="","",IF($Q$2&gt;1,INDEX(Despesas!$NC$19:$NO$163,($Q$2-2)*14+4,8),INDEX(Despesas!$NC$1:$NO$163,($Q$2-1)*15+8,8)))</f>
        <v>0</v>
      </c>
      <c r="U25" s="1518"/>
      <c r="V25" s="1508">
        <f>IF($Q$2="","",IF($Q$2&gt;1,INDEX(Despesas!$NC$19:$NO$163,($Q$2-2)*14+4,9),INDEX(Despesas!$NC$1:$NO$163,($Q$2-1)*15+8,9)))</f>
        <v>0</v>
      </c>
      <c r="W25" s="1509"/>
      <c r="X25" s="476">
        <f>IF($Q$2="","",IF($Q$2&gt;1,INDEX(Despesas!$NC$19:$NO$163,($Q$2-2)*14+4,10),INDEX(Despesas!$NC$1:$NO$163,($Q$2-1)*15+8,10)))</f>
        <v>0</v>
      </c>
      <c r="Y25" s="476">
        <f>IF($Q$2="","",IF($Q$2&gt;1,INDEX(Despesas!$NC$19:$NO$163,($Q$2-2)*14+4,11),INDEX(Despesas!$NC$1:$NO$163,($Q$2-1)*15+8,11)))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IF($Q$2="","",IF($Q$2&gt;1,INDEX(Despesas!$NC$19:$NO$163,($Q$2-2)*14+5,1),INDEX(Despesas!$NC$1:$NO$163,($Q$2-1)*15+9,1)))</f>
        <v/>
      </c>
      <c r="C26" s="1507"/>
      <c r="D26" s="1452" t="str">
        <f>TRIM(IF($Q$2="","",IF($Q$2&gt;1,PROPER(INDEX(Despesas!$NC$19:$NO$163,($Q$2-2)*14+5,2)),PROPER(INDEX(Despesas!$NC$1:$NO$163,($Q$2-1)*15+9,2)))))</f>
        <v/>
      </c>
      <c r="E26" s="1453"/>
      <c r="F26" s="1453"/>
      <c r="G26" s="1454"/>
      <c r="H26" s="1474">
        <f>IF($Q$2="","",IF($Q$2&gt;1,INDEX(Despesas!$NC$19:$NO$163,($Q$2-2)*14+5,3),INDEX(Despesas!$NC$1:$NO$163,($Q$2-1)*15+9,3)))</f>
        <v>0</v>
      </c>
      <c r="I26" s="1475"/>
      <c r="J26" s="1458" t="str">
        <f>TRIM(IF($Q$2="","",IF($Q$2&gt;1,PROPER(INDEX(Despesas!$NC$19:$NO$163,($Q$2-2)*14+5,4)),PROPER(INDEX(Despesas!$NC$1:$NO$163,($Q$2-1)*15+9,4)))))</f>
        <v/>
      </c>
      <c r="K26" s="1459"/>
      <c r="L26" s="1459"/>
      <c r="M26" s="1460"/>
      <c r="N26" s="977">
        <f>IF($Q$2="","",IF($Q$2&gt;1,INDEX(Despesas!$NC$19:$NO$163,($Q$2-2)*14+5,5),INDEX(Despesas!$NC$1:$NO$163,($Q$2-1)*15+9,5)))</f>
        <v>0</v>
      </c>
      <c r="O26" s="1519">
        <f>IF($Q$2="","",IF($Q$2&gt;1,INDEX(Despesas!$NC$19:$NO$163,($Q$2-2)*14+5,6),INDEX(Despesas!$NC$1:$NO$163,($Q$2-1)*15+9,6)))</f>
        <v>0</v>
      </c>
      <c r="P26" s="1520"/>
      <c r="Q26" s="1521"/>
      <c r="R26" s="1508">
        <f>IF($Q$2="","",IF($Q$2&gt;1,INDEX(Despesas!$NC$19:$NO$163,($Q$2-2)*14+5,7),INDEX(Despesas!$NC$1:$NO$163,($Q$2-1)*15+9,7)))</f>
        <v>0</v>
      </c>
      <c r="S26" s="1509"/>
      <c r="T26" s="1517">
        <f>IF($Q$2="","",IF($Q$2&gt;1,INDEX(Despesas!$NC$19:$NO$163,($Q$2-2)*14+5,8),INDEX(Despesas!$NC$1:$NO$163,($Q$2-1)*15+9,8)))</f>
        <v>0</v>
      </c>
      <c r="U26" s="1518"/>
      <c r="V26" s="1508">
        <f>IF($Q$2="","",IF($Q$2&gt;1,INDEX(Despesas!$NC$19:$NO$163,($Q$2-2)*14+5,9),INDEX(Despesas!$NC$1:$NO$163,($Q$2-1)*15+9,9)))</f>
        <v>0</v>
      </c>
      <c r="W26" s="1509"/>
      <c r="X26" s="476">
        <f>IF($Q$2="","",IF($Q$2&gt;1,INDEX(Despesas!$NC$19:$NO$163,($Q$2-2)*14+5,10),INDEX(Despesas!$NC$1:$NO$163,($Q$2-1)*15+9,10)))</f>
        <v>0</v>
      </c>
      <c r="Y26" s="476">
        <f>IF($Q$2="","",IF($Q$2&gt;1,INDEX(Despesas!$NC$19:$NO$163,($Q$2-2)*14+5,11),INDEX(Despesas!$NC$1:$NO$163,($Q$2-1)*15+9,11)))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IF($Q$2="","",IF($Q$2&gt;1,INDEX(Despesas!$NC$19:$NO$163,($Q$2-2)*14+6,1),INDEX(Despesas!$NC$1:$NO$163,($Q$2-1)*15+10,1)))</f>
        <v/>
      </c>
      <c r="C27" s="1507"/>
      <c r="D27" s="1452" t="str">
        <f>TRIM(IF($Q$2="","",IF($Q$2&gt;1,PROPER(INDEX(Despesas!$NC$19:$NO$163,($Q$2-2)*14+6,2)),PROPER(INDEX(Despesas!$NC$1:$NO$163,($Q$2-1)*15+10,2)))))</f>
        <v/>
      </c>
      <c r="E27" s="1453"/>
      <c r="F27" s="1453"/>
      <c r="G27" s="1454"/>
      <c r="H27" s="1474">
        <f>IF($Q$2="","",IF($Q$2&gt;1,INDEX(Despesas!$NC$19:$NO$163,($Q$2-2)*14+6,3),INDEX(Despesas!$NC$1:$NO$163,($Q$2-1)*15+10,3)))</f>
        <v>0</v>
      </c>
      <c r="I27" s="1475"/>
      <c r="J27" s="1458" t="str">
        <f>TRIM(IF($Q$2="","",IF($Q$2&gt;1,PROPER(INDEX(Despesas!$NC$19:$NO$163,($Q$2-2)*14+6,4)),PROPER(INDEX(Despesas!$NC$1:$NO$163,($Q$2-1)*15+10,4)))))</f>
        <v/>
      </c>
      <c r="K27" s="1459"/>
      <c r="L27" s="1459"/>
      <c r="M27" s="1460"/>
      <c r="N27" s="977">
        <f>IF($Q$2="","",IF($Q$2&gt;1,INDEX(Despesas!$NC$19:$NO$163,($Q$2-2)*14+6,5),INDEX(Despesas!$NC$1:$NO$163,($Q$2-1)*15+10,5)))</f>
        <v>0</v>
      </c>
      <c r="O27" s="1519">
        <f>IF($Q$2="","",IF($Q$2&gt;1,INDEX(Despesas!$NC$19:$NO$163,($Q$2-2)*14+6,6),INDEX(Despesas!$NC$1:$NO$163,($Q$2-1)*15+10,6)))</f>
        <v>0</v>
      </c>
      <c r="P27" s="1520"/>
      <c r="Q27" s="1521"/>
      <c r="R27" s="1508">
        <f>IF($Q$2="","",IF($Q$2&gt;1,INDEX(Despesas!$NC$19:$NO$163,($Q$2-2)*14+6,7),INDEX(Despesas!$NC$1:$NO$163,($Q$2-1)*15+10,7)))</f>
        <v>0</v>
      </c>
      <c r="S27" s="1509"/>
      <c r="T27" s="1517">
        <f>IF($Q$2="","",IF($Q$2&gt;1,INDEX(Despesas!$NC$19:$NO$163,($Q$2-2)*14+6,8),INDEX(Despesas!$NC$1:$NO$163,($Q$2-1)*15+10,8)))</f>
        <v>0</v>
      </c>
      <c r="U27" s="1518"/>
      <c r="V27" s="1508">
        <f>IF($Q$2="","",IF($Q$2&gt;1,INDEX(Despesas!$NC$19:$NO$163,($Q$2-2)*14+6,9),INDEX(Despesas!$NC$1:$NO$163,($Q$2-1)*15+10,9)))</f>
        <v>0</v>
      </c>
      <c r="W27" s="1509"/>
      <c r="X27" s="476">
        <f>IF($Q$2="","",IF($Q$2&gt;1,INDEX(Despesas!$NC$19:$NO$163,($Q$2-2)*14+6,10),INDEX(Despesas!$NC$1:$NO$163,($Q$2-1)*15+10,10)))</f>
        <v>0</v>
      </c>
      <c r="Y27" s="476">
        <f>IF($Q$2="","",IF($Q$2&gt;1,INDEX(Despesas!$NC$19:$NO$163,($Q$2-2)*14+6,11),INDEX(Despesas!$NC$1:$NO$163,($Q$2-1)*15+10,11)))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IF($Q$2="","",IF($Q$2&gt;1,INDEX(Despesas!$NC$19:$NO$163,($Q$2-2)*14+7,1),INDEX(Despesas!$NC$1:$NO$163,($Q$2-1)*15+11,1)))</f>
        <v/>
      </c>
      <c r="C28" s="1507"/>
      <c r="D28" s="1452" t="str">
        <f>TRIM(IF($Q$2="","",IF($Q$2&gt;1,PROPER(INDEX(Despesas!$NC$19:$NO$163,($Q$2-2)*14+7,2)),PROPER(INDEX(Despesas!$NC$1:$NO$163,($Q$2-1)*15+11,2)))))</f>
        <v/>
      </c>
      <c r="E28" s="1453"/>
      <c r="F28" s="1453"/>
      <c r="G28" s="1454"/>
      <c r="H28" s="1474">
        <f>IF($Q$2="","",IF($Q$2&gt;1,INDEX(Despesas!$NC$19:$NO$163,($Q$2-2)*14+7,3),INDEX(Despesas!$NC$1:$NO$163,($Q$2-1)*15+11,3)))</f>
        <v>0</v>
      </c>
      <c r="I28" s="1475"/>
      <c r="J28" s="1458" t="str">
        <f>TRIM(IF($Q$2="","",IF($Q$2&gt;1,PROPER(INDEX(Despesas!$NC$19:$NO$163,($Q$2-2)*14+7,4)),PROPER(INDEX(Despesas!$NC$1:$NO$163,($Q$2-1)*15+11,4)))))</f>
        <v/>
      </c>
      <c r="K28" s="1459"/>
      <c r="L28" s="1459"/>
      <c r="M28" s="1460"/>
      <c r="N28" s="977">
        <f>IF($Q$2="","",IF($Q$2&gt;1,INDEX(Despesas!$NC$19:$NO$163,($Q$2-2)*14+7,5),INDEX(Despesas!$NC$1:$NO$163,($Q$2-1)*15+11,5)))</f>
        <v>0</v>
      </c>
      <c r="O28" s="1519">
        <f>IF($Q$2="","",IF($Q$2&gt;1,INDEX(Despesas!$NC$19:$NO$163,($Q$2-2)*14+7,6),INDEX(Despesas!$NC$1:$NO$163,($Q$2-1)*15+11,6)))</f>
        <v>0</v>
      </c>
      <c r="P28" s="1520"/>
      <c r="Q28" s="1521"/>
      <c r="R28" s="1508">
        <f>IF($Q$2="","",IF($Q$2&gt;1,INDEX(Despesas!$NC$19:$NO$163,($Q$2-2)*14+7,7),INDEX(Despesas!$NC$1:$NO$163,($Q$2-1)*15+11,7)))</f>
        <v>0</v>
      </c>
      <c r="S28" s="1509"/>
      <c r="T28" s="1517">
        <f>IF($Q$2="","",IF($Q$2&gt;1,INDEX(Despesas!$NC$19:$NO$163,($Q$2-2)*14+7,8),INDEX(Despesas!$NC$1:$NO$163,($Q$2-1)*15+11,8)))</f>
        <v>0</v>
      </c>
      <c r="U28" s="1518"/>
      <c r="V28" s="1508">
        <f>IF($Q$2="","",IF($Q$2&gt;1,INDEX(Despesas!$NC$19:$NO$163,($Q$2-2)*14+7,9),INDEX(Despesas!$NC$1:$NO$163,($Q$2-1)*15+11,9)))</f>
        <v>0</v>
      </c>
      <c r="W28" s="1509"/>
      <c r="X28" s="476">
        <f>IF($Q$2="","",IF($Q$2&gt;1,INDEX(Despesas!$NC$19:$NO$163,($Q$2-2)*14+7,10),INDEX(Despesas!$NC$1:$NO$163,($Q$2-1)*15+11,10)))</f>
        <v>0</v>
      </c>
      <c r="Y28" s="476">
        <f>IF($Q$2="","",IF($Q$2&gt;1,INDEX(Despesas!$NC$19:$NO$163,($Q$2-2)*14+7,11),INDEX(Despesas!$NC$1:$NO$163,($Q$2-1)*15+11,11)))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IF($Q$2="","",IF($Q$2&gt;1,INDEX(Despesas!$NC$19:$NO$163,($Q$2-2)*14+8,1),INDEX(Despesas!$NC$1:$NO$163,($Q$2-1)*15+12,1)))</f>
        <v/>
      </c>
      <c r="C29" s="1507"/>
      <c r="D29" s="1452" t="str">
        <f>TRIM(IF($Q$2="","",IF($Q$2&gt;1,PROPER(INDEX(Despesas!$NC$19:$NO$163,($Q$2-2)*14+8,2)),PROPER(INDEX(Despesas!$NC$1:$NO$163,($Q$2-1)*15+12,2)))))</f>
        <v/>
      </c>
      <c r="E29" s="1453"/>
      <c r="F29" s="1453"/>
      <c r="G29" s="1454"/>
      <c r="H29" s="1474">
        <f>IF($Q$2="","",IF($Q$2&gt;1,INDEX(Despesas!$NC$19:$NO$163,($Q$2-2)*14+8,3),INDEX(Despesas!$NC$1:$NO$163,($Q$2-1)*15+12,3)))</f>
        <v>0</v>
      </c>
      <c r="I29" s="1475"/>
      <c r="J29" s="1458" t="str">
        <f>TRIM(IF($Q$2="","",IF($Q$2&gt;1,PROPER(INDEX(Despesas!$NC$19:$NO$163,($Q$2-2)*14+8,4)),PROPER(INDEX(Despesas!$NC$1:$NO$163,($Q$2-1)*15+12,4)))))</f>
        <v/>
      </c>
      <c r="K29" s="1459"/>
      <c r="L29" s="1459"/>
      <c r="M29" s="1460"/>
      <c r="N29" s="977">
        <f>IF($Q$2="","",IF($Q$2&gt;1,INDEX(Despesas!$NC$19:$NO$163,($Q$2-2)*14+8,5),INDEX(Despesas!$NC$1:$NO$163,($Q$2-1)*15+12,5)))</f>
        <v>0</v>
      </c>
      <c r="O29" s="1519">
        <f>IF($Q$2="","",IF($Q$2&gt;1,INDEX(Despesas!$NC$19:$NO$163,($Q$2-2)*14+8,6),INDEX(Despesas!$NC$1:$NO$163,($Q$2-1)*15+12,6)))</f>
        <v>0</v>
      </c>
      <c r="P29" s="1520"/>
      <c r="Q29" s="1521"/>
      <c r="R29" s="1508">
        <f>IF($Q$2="","",IF($Q$2&gt;1,INDEX(Despesas!$NC$19:$NO$163,($Q$2-2)*14+8,7),INDEX(Despesas!$NC$1:$NO$163,($Q$2-1)*15+12,7)))</f>
        <v>0</v>
      </c>
      <c r="S29" s="1509"/>
      <c r="T29" s="1517">
        <f>IF($Q$2="","",IF($Q$2&gt;1,INDEX(Despesas!$NC$19:$NO$163,($Q$2-2)*14+8,8),INDEX(Despesas!$NC$1:$NO$163,($Q$2-1)*15+12,8)))</f>
        <v>0</v>
      </c>
      <c r="U29" s="1518"/>
      <c r="V29" s="1508">
        <f>IF($Q$2="","",IF($Q$2&gt;1,INDEX(Despesas!$NC$19:$NO$163,($Q$2-2)*14+8,9),INDEX(Despesas!$NC$1:$NO$163,($Q$2-1)*15+12,9)))</f>
        <v>0</v>
      </c>
      <c r="W29" s="1509"/>
      <c r="X29" s="476">
        <f>IF($Q$2="","",IF($Q$2&gt;1,INDEX(Despesas!$NC$19:$NO$163,($Q$2-2)*14+8,10),INDEX(Despesas!$NC$1:$NO$163,($Q$2-1)*15+12,10)))</f>
        <v>0</v>
      </c>
      <c r="Y29" s="476">
        <f>IF($Q$2="","",IF($Q$2&gt;1,INDEX(Despesas!$NC$19:$NO$163,($Q$2-2)*14+8,11),INDEX(Despesas!$NC$1:$NO$163,($Q$2-1)*15+12,11)))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IF($Q$2="","",IF($Q$2&gt;1,INDEX(Despesas!$NC$19:$NO$163,($Q$2-2)*14+9,1),INDEX(Despesas!$NC$1:$NO$163,($Q$2-1)*15+13,1)))</f>
        <v/>
      </c>
      <c r="C30" s="1507"/>
      <c r="D30" s="1452" t="str">
        <f>TRIM(IF($Q$2="","",IF($Q$2&gt;1,PROPER(INDEX(Despesas!$NC$19:$NO$163,($Q$2-2)*14+9,2)),PROPER(INDEX(Despesas!$NC$1:$NO$163,($Q$2-1)*15+13,2)))))</f>
        <v/>
      </c>
      <c r="E30" s="1453"/>
      <c r="F30" s="1453"/>
      <c r="G30" s="1454"/>
      <c r="H30" s="1474">
        <f>IF($Q$2="","",IF($Q$2&gt;1,INDEX(Despesas!$NC$19:$NO$163,($Q$2-2)*14+9,3),INDEX(Despesas!$NC$1:$NO$163,($Q$2-1)*15+13,3)))</f>
        <v>0</v>
      </c>
      <c r="I30" s="1475"/>
      <c r="J30" s="1458" t="str">
        <f>TRIM(IF($Q$2="","",IF($Q$2&gt;1,PROPER(INDEX(Despesas!$NC$19:$NO$163,($Q$2-2)*14+9,4)),PROPER(INDEX(Despesas!$NC$1:$NO$163,($Q$2-1)*15+13,4)))))</f>
        <v/>
      </c>
      <c r="K30" s="1459"/>
      <c r="L30" s="1459"/>
      <c r="M30" s="1460"/>
      <c r="N30" s="977">
        <f>IF($Q$2="","",IF($Q$2&gt;1,INDEX(Despesas!$NC$19:$NO$163,($Q$2-2)*14+9,5),INDEX(Despesas!$NC$1:$NO$163,($Q$2-1)*15+13,5)))</f>
        <v>0</v>
      </c>
      <c r="O30" s="1519">
        <f>IF($Q$2="","",IF($Q$2&gt;1,INDEX(Despesas!$NC$19:$NO$163,($Q$2-2)*14+9,6),INDEX(Despesas!$NC$1:$NO$163,($Q$2-1)*15+13,6)))</f>
        <v>0</v>
      </c>
      <c r="P30" s="1520"/>
      <c r="Q30" s="1521"/>
      <c r="R30" s="1508">
        <f>IF($Q$2="","",IF($Q$2&gt;1,INDEX(Despesas!$NC$19:$NO$163,($Q$2-2)*14+9,7),INDEX(Despesas!$NC$1:$NO$163,($Q$2-1)*15+13,7)))</f>
        <v>0</v>
      </c>
      <c r="S30" s="1509"/>
      <c r="T30" s="1517">
        <f>IF($Q$2="","",IF($Q$2&gt;1,INDEX(Despesas!$NC$19:$NO$163,($Q$2-2)*14+9,8),INDEX(Despesas!$NC$1:$NO$163,($Q$2-1)*15+13,8)))</f>
        <v>0</v>
      </c>
      <c r="U30" s="1518"/>
      <c r="V30" s="1508">
        <f>IF($Q$2="","",IF($Q$2&gt;1,INDEX(Despesas!$NC$19:$NO$163,($Q$2-2)*14+9,9),INDEX(Despesas!$NC$1:$NO$163,($Q$2-1)*15+13,9)))</f>
        <v>0</v>
      </c>
      <c r="W30" s="1509"/>
      <c r="X30" s="476">
        <f>IF($Q$2="","",IF($Q$2&gt;1,INDEX(Despesas!$NC$19:$NO$163,($Q$2-2)*14+9,10),INDEX(Despesas!$NC$1:$NO$163,($Q$2-1)*15+13,10)))</f>
        <v>0</v>
      </c>
      <c r="Y30" s="476">
        <f>IF($Q$2="","",IF($Q$2&gt;1,INDEX(Despesas!$NC$19:$NO$163,($Q$2-2)*14+9,11),INDEX(Despesas!$NC$1:$NO$163,($Q$2-1)*15+13,11)))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IF($Q$2="","",IF($Q$2&gt;1,INDEX(Despesas!$NC$19:$NO$163,($Q$2-2)*14+10,1),INDEX(Despesas!$NC$1:$NO$163,($Q$2-1)*15+14,1)))</f>
        <v/>
      </c>
      <c r="C31" s="1507"/>
      <c r="D31" s="1452" t="str">
        <f>TRIM(IF($Q$2="","",IF($Q$2&gt;1,PROPER(INDEX(Despesas!$NC$19:$NO$163,($Q$2-2)*14+10,2)),PROPER(INDEX(Despesas!$NC$1:$NO$163,($Q$2-1)*15+14,2)))))</f>
        <v/>
      </c>
      <c r="E31" s="1453"/>
      <c r="F31" s="1453"/>
      <c r="G31" s="1454"/>
      <c r="H31" s="1474">
        <f>IF($Q$2="","",IF($Q$2&gt;1,INDEX(Despesas!$NC$19:$NO$163,($Q$2-2)*14+10,3),INDEX(Despesas!$NC$1:$NO$163,($Q$2-1)*15+14,3)))</f>
        <v>0</v>
      </c>
      <c r="I31" s="1475"/>
      <c r="J31" s="1458" t="str">
        <f>TRIM(IF($Q$2="","",IF($Q$2&gt;1,PROPER(INDEX(Despesas!$NC$19:$NO$163,($Q$2-2)*14+10,4)),PROPER(INDEX(Despesas!$NC$1:$NO$163,($Q$2-1)*15+14,4)))))</f>
        <v/>
      </c>
      <c r="K31" s="1459"/>
      <c r="L31" s="1459"/>
      <c r="M31" s="1460"/>
      <c r="N31" s="977">
        <f>IF($Q$2="","",IF($Q$2&gt;1,INDEX(Despesas!$NC$19:$NO$163,($Q$2-2)*14+10,5),INDEX(Despesas!$NC$1:$NO$163,($Q$2-1)*15+14,5)))</f>
        <v>0</v>
      </c>
      <c r="O31" s="1519">
        <f>IF($Q$2="","",IF($Q$2&gt;1,INDEX(Despesas!$NC$19:$NO$163,($Q$2-2)*14+10,6),INDEX(Despesas!$NC$1:$NO$163,($Q$2-1)*15+14,6)))</f>
        <v>0</v>
      </c>
      <c r="P31" s="1520"/>
      <c r="Q31" s="1521"/>
      <c r="R31" s="1508">
        <f>IF($Q$2="","",IF($Q$2&gt;1,INDEX(Despesas!$NC$19:$NO$163,($Q$2-2)*14+10,7),INDEX(Despesas!$NC$1:$NO$163,($Q$2-1)*15+14,7)))</f>
        <v>0</v>
      </c>
      <c r="S31" s="1509"/>
      <c r="T31" s="1517">
        <f>IF($Q$2="","",IF($Q$2&gt;1,INDEX(Despesas!$NC$19:$NO$163,($Q$2-2)*14+10,8),INDEX(Despesas!$NC$1:$NO$163,($Q$2-1)*15+14,8)))</f>
        <v>0</v>
      </c>
      <c r="U31" s="1518"/>
      <c r="V31" s="1508">
        <f>IF($Q$2="","",IF($Q$2&gt;1,INDEX(Despesas!$NC$19:$NO$163,($Q$2-2)*14+10,9),INDEX(Despesas!$NC$1:$NO$163,($Q$2-1)*15+14,9)))</f>
        <v>0</v>
      </c>
      <c r="W31" s="1509"/>
      <c r="X31" s="476">
        <f>IF($Q$2="","",IF($Q$2&gt;1,INDEX(Despesas!$NC$19:$NO$163,($Q$2-2)*14+10,10),INDEX(Despesas!$NC$1:$NO$163,($Q$2-1)*15+14,10)))</f>
        <v>0</v>
      </c>
      <c r="Y31" s="476">
        <f>IF($Q$2="","",IF($Q$2&gt;1,INDEX(Despesas!$NC$19:$NO$163,($Q$2-2)*14+10,11),INDEX(Despesas!$NC$1:$NO$163,($Q$2-1)*15+14,11)))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IF($Q$2="","",IF($Q$2&gt;1,INDEX(Despesas!$NC$19:$NO$163,($Q$2-2)*14+11,1),INDEX(Despesas!$NC$1:$NO$163,($Q$2-1)*15+15,1)))</f>
        <v/>
      </c>
      <c r="C32" s="1507"/>
      <c r="D32" s="1452" t="str">
        <f>TRIM(IF($Q$2="","",IF($Q$2&gt;1,PROPER(INDEX(Despesas!$NC$19:$NO$163,($Q$2-2)*14+11,2)),PROPER(INDEX(Despesas!$NC$1:$NO$163,($Q$2-1)*15+15,2)))))</f>
        <v/>
      </c>
      <c r="E32" s="1453"/>
      <c r="F32" s="1453"/>
      <c r="G32" s="1454"/>
      <c r="H32" s="1474">
        <f>IF($Q$2="","",IF($Q$2&gt;1,INDEX(Despesas!$NC$19:$NO$163,($Q$2-2)*14+11,3),INDEX(Despesas!$NC$1:$NO$163,($Q$2-1)*15+15,3)))</f>
        <v>0</v>
      </c>
      <c r="I32" s="1475"/>
      <c r="J32" s="1458" t="str">
        <f>TRIM(IF($Q$2="","",IF($Q$2&gt;1,PROPER(INDEX(Despesas!$NC$19:$NO$163,($Q$2-2)*14+11,4)),PROPER(INDEX(Despesas!$NC$1:$NO$163,($Q$2-1)*15+15,4)))))</f>
        <v/>
      </c>
      <c r="K32" s="1459"/>
      <c r="L32" s="1459"/>
      <c r="M32" s="1460"/>
      <c r="N32" s="977">
        <f>IF($Q$2="","",IF($Q$2&gt;1,INDEX(Despesas!$NC$19:$NO$163,($Q$2-2)*14+11,5),INDEX(Despesas!$NC$1:$NO$163,($Q$2-1)*15+15,5)))</f>
        <v>0</v>
      </c>
      <c r="O32" s="1519">
        <f>IF($Q$2="","",IF($Q$2&gt;1,INDEX(Despesas!$NC$19:$NO$163,($Q$2-2)*14+11,6),INDEX(Despesas!$NC$1:$NO$163,($Q$2-1)*15+15,6)))</f>
        <v>0</v>
      </c>
      <c r="P32" s="1520"/>
      <c r="Q32" s="1521"/>
      <c r="R32" s="1508">
        <f>IF($Q$2="","",IF($Q$2&gt;1,INDEX(Despesas!$NC$19:$NO$163,($Q$2-2)*14+11,7),INDEX(Despesas!$NC$1:$NO$163,($Q$2-1)*15+15,7)))</f>
        <v>0</v>
      </c>
      <c r="S32" s="1509"/>
      <c r="T32" s="1517">
        <f>IF($Q$2="","",IF($Q$2&gt;1,INDEX(Despesas!$NC$19:$NO$163,($Q$2-2)*14+11,8),INDEX(Despesas!$NC$1:$NO$163,($Q$2-1)*15+15,8)))</f>
        <v>0</v>
      </c>
      <c r="U32" s="1518"/>
      <c r="V32" s="1508">
        <f>IF($Q$2="","",IF($Q$2&gt;1,INDEX(Despesas!$NC$19:$NO$163,($Q$2-2)*14+11,9),INDEX(Despesas!$NC$1:$NO$163,($Q$2-1)*15+15,9)))</f>
        <v>0</v>
      </c>
      <c r="W32" s="1509"/>
      <c r="X32" s="476">
        <f>IF($Q$2="","",IF($Q$2&gt;1,INDEX(Despesas!$NC$19:$NO$163,($Q$2-2)*14+11,10),INDEX(Despesas!$NC$1:$NO$163,($Q$2-1)*15+15,10)))</f>
        <v>0</v>
      </c>
      <c r="Y32" s="476">
        <f>IF($Q$2="","",IF($Q$2&gt;1,INDEX(Despesas!$NC$19:$NO$163,($Q$2-2)*14+11,11),INDEX(Despesas!$NC$1:$NO$163,($Q$2-1)*15+15,11)))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IF($Q$2="","",IF($Q$2&gt;1,INDEX(Despesas!$NC$19:$NO$163,($Q$2-2)*14+12,1),INDEX(Despesas!$NC$1:$NO$163,($Q$2-1)*15+16,1)))</f>
        <v/>
      </c>
      <c r="C33" s="1507"/>
      <c r="D33" s="1452" t="str">
        <f>TRIM(IF($Q$2="","",IF($Q$2&gt;1,PROPER(INDEX(Despesas!$NC$19:$NO$163,($Q$2-2)*14+12,2)),PROPER(INDEX(Despesas!$NC$1:$NO$163,($Q$2-1)*15+16,2)))))</f>
        <v/>
      </c>
      <c r="E33" s="1453"/>
      <c r="F33" s="1453"/>
      <c r="G33" s="1454"/>
      <c r="H33" s="1474">
        <f>IF($Q$2="","",IF($Q$2&gt;1,INDEX(Despesas!$NC$19:$NO$163,($Q$2-2)*14+12,3),INDEX(Despesas!$NC$1:$NO$163,($Q$2-1)*15+16,3)))</f>
        <v>0</v>
      </c>
      <c r="I33" s="1475"/>
      <c r="J33" s="1458" t="str">
        <f>TRIM(IF($Q$2="","",IF($Q$2&gt;1,PROPER(INDEX(Despesas!$NC$19:$NO$163,($Q$2-2)*14+12,4)),PROPER(INDEX(Despesas!$NC$1:$NO$163,($Q$2-1)*15+16,4)))))</f>
        <v/>
      </c>
      <c r="K33" s="1459"/>
      <c r="L33" s="1459"/>
      <c r="M33" s="1460"/>
      <c r="N33" s="977">
        <f>IF($Q$2="","",IF($Q$2&gt;1,INDEX(Despesas!$NC$19:$NO$163,($Q$2-2)*14+12,5),INDEX(Despesas!$NC$1:$NO$163,($Q$2-1)*15+16,5)))</f>
        <v>0</v>
      </c>
      <c r="O33" s="1519">
        <f>IF($Q$2="","",IF($Q$2&gt;1,INDEX(Despesas!$NC$19:$NO$163,($Q$2-2)*14+12,6),INDEX(Despesas!$NC$1:$NO$163,($Q$2-1)*15+16,6)))</f>
        <v>0</v>
      </c>
      <c r="P33" s="1520"/>
      <c r="Q33" s="1521"/>
      <c r="R33" s="1508">
        <f>IF($Q$2="","",IF($Q$2&gt;1,INDEX(Despesas!$NC$19:$NO$163,($Q$2-2)*14+12,7),INDEX(Despesas!$NC$1:$NO$163,($Q$2-1)*15+16,7)))</f>
        <v>0</v>
      </c>
      <c r="S33" s="1509"/>
      <c r="T33" s="1517">
        <f>IF($Q$2="","",IF($Q$2&gt;1,INDEX(Despesas!$NC$19:$NO$163,($Q$2-2)*14+12,8),INDEX(Despesas!$NC$1:$NO$163,($Q$2-1)*15+16,8)))</f>
        <v>0</v>
      </c>
      <c r="U33" s="1518"/>
      <c r="V33" s="1508">
        <f>IF($Q$2="","",IF($Q$2&gt;1,INDEX(Despesas!$NC$19:$NO$163,($Q$2-2)*14+12,9),INDEX(Despesas!$NC$1:$NO$163,($Q$2-1)*15+16,9)))</f>
        <v>0</v>
      </c>
      <c r="W33" s="1509"/>
      <c r="X33" s="476">
        <f>IF($Q$2="","",IF($Q$2&gt;1,INDEX(Despesas!$NC$19:$NO$163,($Q$2-2)*14+12,10),INDEX(Despesas!$NC$1:$NO$163,($Q$2-1)*15+16,10)))</f>
        <v>0</v>
      </c>
      <c r="Y33" s="476">
        <f>IF($Q$2="","",IF($Q$2&gt;1,INDEX(Despesas!$NC$19:$NO$163,($Q$2-2)*14+12,11),INDEX(Despesas!$NC$1:$NO$163,($Q$2-1)*15+16,11)))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IF($Q$2="","",IF($Q$2&gt;1,INDEX(Despesas!$NC$19:$NO$163,($Q$2-2)*14+13,1),INDEX(Despesas!$NC$1:$NO$163,($Q$2-1)*15+17,1)))</f>
        <v/>
      </c>
      <c r="C34" s="1507"/>
      <c r="D34" s="1452" t="str">
        <f>TRIM(IF($Q$2="","",IF($Q$2&gt;1,PROPER(INDEX(Despesas!$NC$19:$NO$163,($Q$2-2)*14+13,2)),PROPER(INDEX(Despesas!$NC$1:$NO$163,($Q$2-1)*15+17,2)))))</f>
        <v/>
      </c>
      <c r="E34" s="1453"/>
      <c r="F34" s="1453"/>
      <c r="G34" s="1454"/>
      <c r="H34" s="1474">
        <f>IF($Q$2="","",IF($Q$2&gt;1,INDEX(Despesas!$NC$19:$NO$163,($Q$2-2)*14+13,3),INDEX(Despesas!$NC$1:$NO$163,($Q$2-1)*15+17,3)))</f>
        <v>0</v>
      </c>
      <c r="I34" s="1475"/>
      <c r="J34" s="1458" t="str">
        <f>TRIM(IF($Q$2="","",IF($Q$2&gt;1,PROPER(INDEX(Despesas!$NC$19:$NO$163,($Q$2-2)*14+13,4)),PROPER(INDEX(Despesas!$NC$1:$NO$163,($Q$2-1)*15+17,4)))))</f>
        <v/>
      </c>
      <c r="K34" s="1459"/>
      <c r="L34" s="1459"/>
      <c r="M34" s="1460"/>
      <c r="N34" s="977">
        <f>IF($Q$2="","",IF($Q$2&gt;1,INDEX(Despesas!$NC$19:$NO$163,($Q$2-2)*14+13,5),INDEX(Despesas!$NC$1:$NO$163,($Q$2-1)*15+17,5)))</f>
        <v>0</v>
      </c>
      <c r="O34" s="1519">
        <f>IF($Q$2="","",IF($Q$2&gt;1,INDEX(Despesas!$NC$19:$NO$163,($Q$2-2)*14+13,6),INDEX(Despesas!$NC$1:$NO$163,($Q$2-1)*15+17,6)))</f>
        <v>0</v>
      </c>
      <c r="P34" s="1520"/>
      <c r="Q34" s="1521"/>
      <c r="R34" s="1508">
        <f>IF($Q$2="","",IF($Q$2&gt;1,INDEX(Despesas!$NC$19:$NO$163,($Q$2-2)*14+13,7),INDEX(Despesas!$NC$1:$NO$163,($Q$2-1)*15+17,7)))</f>
        <v>0</v>
      </c>
      <c r="S34" s="1509"/>
      <c r="T34" s="1517">
        <f>IF($Q$2="","",IF($Q$2&gt;1,INDEX(Despesas!$NC$19:$NO$163,($Q$2-2)*14+13,8),INDEX(Despesas!$NC$1:$NO$163,($Q$2-1)*15+17,8)))</f>
        <v>0</v>
      </c>
      <c r="U34" s="1518"/>
      <c r="V34" s="1508">
        <f>IF($Q$2="","",IF($Q$2&gt;1,INDEX(Despesas!$NC$19:$NO$163,($Q$2-2)*14+13,9),INDEX(Despesas!$NC$1:$NO$163,($Q$2-1)*15+17,9)))</f>
        <v>0</v>
      </c>
      <c r="W34" s="1509"/>
      <c r="X34" s="476">
        <f>IF($Q$2="","",IF($Q$2&gt;1,INDEX(Despesas!$NC$19:$NO$163,($Q$2-2)*14+13,10),INDEX(Despesas!$NC$1:$NO$163,($Q$2-1)*15+17,10)))</f>
        <v>0</v>
      </c>
      <c r="Y34" s="476">
        <f>IF($Q$2="","",IF($Q$2&gt;1,INDEX(Despesas!$NC$19:$NO$163,($Q$2-2)*14+13,11),INDEX(Despesas!$NC$1:$NO$163,($Q$2-1)*15+17,11)))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IF($Q$2="","",IF($Q$2&gt;1,INDEX(Despesas!$NC$19:$NO$163,($Q$2-2)*14+14,1),INDEX(Despesas!$NC$1:$NO$163,($Q$2-1)*15+18,1)))</f>
        <v/>
      </c>
      <c r="C35" s="1591"/>
      <c r="D35" s="1455" t="str">
        <f>TRIM(IF($Q$2="","",IF($Q$2&gt;1,PROPER(INDEX(Despesas!$NC$19:$NO$163,($Q$2-2)*14+14,2)),PROPER(INDEX(Despesas!$NC$1:$NO$163,($Q$2-1)*15+18,2)))))</f>
        <v/>
      </c>
      <c r="E35" s="1456"/>
      <c r="F35" s="1456"/>
      <c r="G35" s="1457"/>
      <c r="H35" s="1474">
        <f>IF($Q$2="","",IF($Q$2&gt;1,INDEX(Despesas!$NC$19:$NO$163,($Q$2-2)*14+14,3),INDEX(Despesas!$NC$1:$NO$163,($Q$2-1)*15+18,3)))</f>
        <v>0</v>
      </c>
      <c r="I35" s="1475"/>
      <c r="J35" s="1587" t="str">
        <f>TRIM(IF($Q$2="","",IF($Q$2&gt;1,PROPER(INDEX(Despesas!$NC$19:$NO$163,($Q$2-2)*14+14,4)),PROPER(INDEX(Despesas!$NC$1:$NO$163,($Q$2-1)*15+18,4)))))</f>
        <v/>
      </c>
      <c r="K35" s="1588"/>
      <c r="L35" s="1588"/>
      <c r="M35" s="1589"/>
      <c r="N35" s="977">
        <f>IF($Q$2="","",IF($Q$2&gt;1,INDEX(Despesas!$NC$19:$NO$163,($Q$2-2)*14+14,5),INDEX(Despesas!$NC$1:$NO$163,($Q$2-1)*15+18,5)))</f>
        <v>0</v>
      </c>
      <c r="O35" s="1519">
        <f>IF($Q$2="","",IF($Q$2&gt;1,INDEX(Despesas!$NC$19:$NO$163,($Q$2-2)*14+14,6),INDEX(Despesas!$NC$1:$NO$163,($Q$2-1)*15+18,6)))</f>
        <v>0</v>
      </c>
      <c r="P35" s="1520"/>
      <c r="Q35" s="1521"/>
      <c r="R35" s="1571">
        <f>IF($Q$2="","",IF($Q$2&gt;1,INDEX(Despesas!$NC$19:$NO$163,($Q$2-2)*14+14,7),INDEX(Despesas!$NC$1:$NO$163,($Q$2-1)*15+18,7)))</f>
        <v>0</v>
      </c>
      <c r="S35" s="1572"/>
      <c r="T35" s="1517">
        <f>IF($Q$2="","",IF($Q$2&gt;1,INDEX(Despesas!$NC$19:$NO$163,($Q$2-2)*14+14,8),INDEX(Despesas!$NC$1:$NO$163,($Q$2-1)*15+18,8)))</f>
        <v>0</v>
      </c>
      <c r="U35" s="1518"/>
      <c r="V35" s="1571">
        <f>IF($Q$2="","",IF($Q$2&gt;1,INDEX(Despesas!$NC$19:$NO$163,($Q$2-2)*14+14,9),INDEX(Despesas!$NC$1:$NO$163,($Q$2-1)*15+18,9)))</f>
        <v>0</v>
      </c>
      <c r="W35" s="1572"/>
      <c r="X35" s="476">
        <f>IF($Q$2="","",IF($Q$2&gt;1,INDEX(Despesas!$NC$19:$NO$163,($Q$2-2)*14+14,10),INDEX(Despesas!$NC$1:$NO$163,($Q$2-1)*15+18,10)))</f>
        <v>0</v>
      </c>
      <c r="Y35" s="476">
        <f>IF($Q$2="","",IF($Q$2&gt;1,INDEX(Despesas!$NC$19:$NO$163,($Q$2-2)*14+14,11),INDEX(Despesas!$NC$1:$NO$163,($Q$2-1)*15+18,11)))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"&amp;(Ata!B139))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IF(Ata!$BS$64&gt;0,Ata!$BS$64,"")</f>
        <v>#VALUE!</v>
      </c>
      <c r="E41" s="406" t="e">
        <f>IF(Ata!$BT$64&gt;0,Ata!$BT$64,"")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21:Y35">
    <cfRule type="cellIs" dxfId="182" priority="1" operator="equal">
      <formula>0</formula>
    </cfRule>
    <cfRule type="expression" dxfId="181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indexed="42"/>
  </sheetPr>
  <dimension ref="A1:IU148"/>
  <sheetViews>
    <sheetView showRowColHeaders="0" view="pageBreakPreview" zoomScaleNormal="75" zoomScaleSheetLayoutView="100" workbookViewId="0">
      <pane ySplit="3" topLeftCell="A29" activePane="bottomLeft" state="frozen"/>
      <selection pane="bottomLeft" activeCell="H42" sqref="H4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975"/>
      <c r="U5" s="975"/>
      <c r="V5" s="975"/>
      <c r="W5" s="975"/>
      <c r="X5" s="975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12326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976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Dados!$F$56</f>
        <v/>
      </c>
      <c r="D15" s="1607"/>
      <c r="E15" s="1607"/>
      <c r="F15" s="49" t="s">
        <v>294</v>
      </c>
      <c r="G15" s="1470" t="str">
        <f>Dados!$F$54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Despesas!$AL$130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Dados!$I$56</f>
        <v/>
      </c>
      <c r="D16" s="1606"/>
      <c r="E16" s="1606"/>
      <c r="F16" s="48" t="s">
        <v>293</v>
      </c>
      <c r="G16" s="1463" t="str">
        <f>Dados!$I$54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Despesas!$AM$130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978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IF($Q$2="","",IF($Q$2&gt;1,"",INDEX(Despesas!$NP$1:$OB$163,($Q$2-1)*15+4,1)))</f>
        <v/>
      </c>
      <c r="C21" s="1554"/>
      <c r="D21" s="1559" t="str">
        <f>TRIM(IF($Q$2="","",IF($Q$2&gt;1,"De transporte ..........",PROPER(INDEX(Despesas!$NP$1:$OB$163,($Q$2-1)*15+4,2)))))</f>
        <v/>
      </c>
      <c r="E21" s="1560"/>
      <c r="F21" s="1560"/>
      <c r="G21" s="1561"/>
      <c r="H21" s="1461">
        <f>IF($Q$2="","",IF($Q$2&gt;1,"",INDEX(Despesas!$NP$1:$OB$163,($Q$2-1)*15+4,3)))</f>
        <v>0</v>
      </c>
      <c r="I21" s="1462"/>
      <c r="J21" s="1537" t="str">
        <f>TRIM(IF($Q$2="","",IF($Q$2&gt;1,"",PROPER(INDEX(Despesas!$NP$1:$OB$163,($Q$2-1)*15+4,4)))))</f>
        <v/>
      </c>
      <c r="K21" s="1538"/>
      <c r="L21" s="1538"/>
      <c r="M21" s="1539"/>
      <c r="N21" s="977">
        <f>IF($Q$2="","",IF($Q$2&gt;1,"",INDEX(Despesas!$NP$1:$OB$163,($Q$2-1)*15+4,5)))</f>
        <v>0</v>
      </c>
      <c r="O21" s="1555">
        <f>IF($Q$2="","",IF($Q$2&gt;1,"",INDEX(Despesas!$NP$1:$OB$163,($Q$2-1)*15+4,6)))</f>
        <v>0</v>
      </c>
      <c r="P21" s="1556"/>
      <c r="Q21" s="1557"/>
      <c r="R21" s="1527">
        <f>IF($Q$2="","",IF($Q$2&gt;1,"",INDEX(Despesas!$NP$1:$OB$163,($Q$2-1)*15+4,7)))</f>
        <v>0</v>
      </c>
      <c r="S21" s="1528"/>
      <c r="T21" s="1548">
        <f>IF($Q$2="","",IF($Q$2&gt;1,"",INDEX(Despesas!$NP$1:$OB$163,($Q$2-1)*15+4,8)))</f>
        <v>0</v>
      </c>
      <c r="U21" s="1549"/>
      <c r="V21" s="1527">
        <f>IF($Q$2="","",IF($Q$2&gt;1,"",INDEX(Despesas!$NP$1:$OB$163,($Q$2-1)*15+4,9)))</f>
        <v>0</v>
      </c>
      <c r="W21" s="1528"/>
      <c r="X21" s="476">
        <f>IF($Q$2="","",IF($Q$2&gt;1,INDEX(Despesas!$QC$4:$QD$15,($Q$2)-1,1),INDEX(Despesas!$NP$1:$OB$163,($Q$2-1)*15+4,10)))</f>
        <v>0</v>
      </c>
      <c r="Y21" s="476">
        <f>IF($Q$2="","",IF($Q$2&gt;1,INDEX(Despesas!$QC$4:$QD$15,($Q$2)-1,2),INDEX(Despesas!$NP$1:$OB$163,($Q$2-1)*15+4,11)))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IF($Q$2="","",IF($Q$2&gt;1,INDEX(Despesas!$NP$19:$OB$163,($Q$2-2)*14+1,1),INDEX(Despesas!$NP$1:$OB$163,($Q$2-1)*15+5,1)))</f>
        <v/>
      </c>
      <c r="C22" s="1507"/>
      <c r="D22" s="1452" t="str">
        <f>TRIM(IF($Q$2="","",IF($Q$2&gt;1,PROPER(INDEX(Despesas!$NP$19:$OB$163,($Q$2-2)*14+1,2)),PROPER(INDEX(Despesas!$NP$1:$OB$163,($Q$2-1)*15+5,2)))))</f>
        <v/>
      </c>
      <c r="E22" s="1453"/>
      <c r="F22" s="1453"/>
      <c r="G22" s="1454"/>
      <c r="H22" s="1474">
        <f>IF($Q$2="","",IF($Q$2&gt;1,INDEX(Despesas!$NP$19:$OB$163,($Q$2-2)*14+1,3),INDEX(Despesas!$NP$1:$OB$163,($Q$2-1)*15+5,3)))</f>
        <v>0</v>
      </c>
      <c r="I22" s="1475"/>
      <c r="J22" s="1458" t="str">
        <f>TRIM(IF($Q$2="","",IF($Q$2&gt;1,PROPER(INDEX(Despesas!$NP$19:$OB$163,($Q$2-2)*14+1,4)),PROPER(INDEX(Despesas!$NP$1:$OB$163,($Q$2-1)*15+5,4)))))</f>
        <v/>
      </c>
      <c r="K22" s="1459"/>
      <c r="L22" s="1459"/>
      <c r="M22" s="1460"/>
      <c r="N22" s="452">
        <f>IF($Q$2="","",IF($Q$2&gt;1,INDEX(Despesas!$NP$19:$OB$163,($Q$2-2)*14+1,5),INDEX(Despesas!$NP$1:$OB$163,($Q$2-1)*15+5,5)))</f>
        <v>0</v>
      </c>
      <c r="O22" s="1519">
        <f>IF($Q$2="","",IF($Q$2&gt;1,INDEX(Despesas!$NP$19:$OB$163,($Q$2-2)*14+1,6),INDEX(Despesas!$NP$1:$OB$163,($Q$2-1)*15+5,6)))</f>
        <v>0</v>
      </c>
      <c r="P22" s="1520"/>
      <c r="Q22" s="1521"/>
      <c r="R22" s="1508">
        <f>IF($Q$2="","",IF($Q$2&gt;1,INDEX(Despesas!$NP$19:$OB$163,($Q$2-2)*14+1,7),INDEX(Despesas!$NP$1:$OB$163,($Q$2-1)*15+5,7)))</f>
        <v>0</v>
      </c>
      <c r="S22" s="1509"/>
      <c r="T22" s="1517">
        <f>IF($Q$2="","",IF($Q$2&gt;1,INDEX(Despesas!$NP$19:$OB$163,($Q$2-2)*14+1,8),INDEX(Despesas!$NP$1:$OB$163,($Q$2-1)*15+5,8)))</f>
        <v>0</v>
      </c>
      <c r="U22" s="1518"/>
      <c r="V22" s="1508">
        <f>IF($Q$2="","",IF($Q$2&gt;1,INDEX(Despesas!$NP$19:$OB$163,($Q$2-2)*14+1,9),INDEX(Despesas!$NP$1:$OB$163,($Q$2-1)*15+5,9)))</f>
        <v>0</v>
      </c>
      <c r="W22" s="1509"/>
      <c r="X22" s="476">
        <f>IF($Q$2="","",IF($Q$2&gt;1,INDEX(Despesas!$NP$19:$OB$163,($Q$2-2)*14+1,10),INDEX(Despesas!$NP$1:$OB$163,($Q$2-1)*15+5,10)))</f>
        <v>0</v>
      </c>
      <c r="Y22" s="476">
        <f>IF($Q$2="","",IF($Q$2&gt;1,INDEX(Despesas!$NP$19:$OB$163,($Q$2-2)*14+1,11),INDEX(Despesas!$NP$1:$OB$163,($Q$2-1)*15+5,11)))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IF($Q$2="","",IF($Q$2&gt;1,INDEX(Despesas!$NP$19:$OB$163,($Q$2-2)*14+2,1),INDEX(Despesas!$NP$1:$OB$163,($Q$2-1)*15+6,1)))</f>
        <v/>
      </c>
      <c r="C23" s="1507"/>
      <c r="D23" s="1452" t="str">
        <f>TRIM(IF($Q$2="","",IF($Q$2&gt;1,PROPER(INDEX(Despesas!$NP$19:$OB$163,($Q$2-2)*14+2,2)),PROPER(INDEX(Despesas!$NP$1:$OB$163,($Q$2-1)*15+6,2)))))</f>
        <v/>
      </c>
      <c r="E23" s="1453"/>
      <c r="F23" s="1453"/>
      <c r="G23" s="1454"/>
      <c r="H23" s="1474">
        <f>IF($Q$2="","",IF($Q$2&gt;1,INDEX(Despesas!$NP$19:$OB$163,($Q$2-2)*14+2,3),INDEX(Despesas!$NP$1:$OB$163,($Q$2-1)*15+6,3)))</f>
        <v>0</v>
      </c>
      <c r="I23" s="1475"/>
      <c r="J23" s="1458" t="str">
        <f>TRIM(IF($Q$2="","",IF($Q$2&gt;1,PROPER(INDEX(Despesas!$NP$19:$OB$163,($Q$2-2)*14+2,4)),PROPER(INDEX(Despesas!$NP$1:$OB$163,($Q$2-1)*15+6,4)))))</f>
        <v/>
      </c>
      <c r="K23" s="1459"/>
      <c r="L23" s="1459"/>
      <c r="M23" s="1460"/>
      <c r="N23" s="977">
        <f>IF($Q$2="","",IF($Q$2&gt;1,INDEX(Despesas!$NP$19:$OB$163,($Q$2-2)*14+2,5),INDEX(Despesas!$NP$1:$OB$163,($Q$2-1)*15+6,5)))</f>
        <v>0</v>
      </c>
      <c r="O23" s="1519">
        <f>IF($Q$2="","",IF($Q$2&gt;1,INDEX(Despesas!$NP$19:$OB$163,($Q$2-2)*14+2,6),INDEX(Despesas!$NP$1:$OB$163,($Q$2-1)*15+6,6)))</f>
        <v>0</v>
      </c>
      <c r="P23" s="1520"/>
      <c r="Q23" s="1521"/>
      <c r="R23" s="1508">
        <f>IF($Q$2="","",IF($Q$2&gt;1,INDEX(Despesas!$NP$19:$OB$163,($Q$2-2)*14+2,7),INDEX(Despesas!$NP$1:$OB$163,($Q$2-1)*15+6,7)))</f>
        <v>0</v>
      </c>
      <c r="S23" s="1509"/>
      <c r="T23" s="1517">
        <f>IF($Q$2="","",IF($Q$2&gt;1,INDEX(Despesas!$NP$19:$OB$163,($Q$2-2)*14+2,8),INDEX(Despesas!$NP$1:$OB$163,($Q$2-1)*15+6,8)))</f>
        <v>0</v>
      </c>
      <c r="U23" s="1518"/>
      <c r="V23" s="1508">
        <f>IF($Q$2="","",IF($Q$2&gt;1,INDEX(Despesas!$NP$19:$OB$163,($Q$2-2)*14+2,9),INDEX(Despesas!$NP$1:$OB$163,($Q$2-1)*15+6,9)))</f>
        <v>0</v>
      </c>
      <c r="W23" s="1509"/>
      <c r="X23" s="476">
        <f>IF($Q$2="","",IF($Q$2&gt;1,INDEX(Despesas!$NP$19:$OB$163,($Q$2-2)*14+2,10),INDEX(Despesas!$NP$1:$OB$163,($Q$2-1)*15+6,10)))</f>
        <v>0</v>
      </c>
      <c r="Y23" s="476">
        <f>IF($Q$2="","",IF($Q$2&gt;1,INDEX(Despesas!$NP$19:$OB$163,($Q$2-2)*14+2,11),INDEX(Despesas!$NP$1:$OB$163,($Q$2-1)*15+6,11)))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IF($Q$2="","",IF($Q$2&gt;1,INDEX(Despesas!$NP$19:$OB$163,($Q$2-2)*14+3,1),INDEX(Despesas!$NP$1:$OB$163,($Q$2-1)*15+7,1)))</f>
        <v/>
      </c>
      <c r="C24" s="1507"/>
      <c r="D24" s="1452" t="str">
        <f>TRIM(IF($Q$2="","",IF($Q$2&gt;1,PROPER(INDEX(Despesas!$NP$19:$OB$163,($Q$2-2)*14+3,2)),PROPER(INDEX(Despesas!$NP$1:$OB$163,($Q$2-1)*15+7,2)))))</f>
        <v/>
      </c>
      <c r="E24" s="1453"/>
      <c r="F24" s="1453"/>
      <c r="G24" s="1454"/>
      <c r="H24" s="1474">
        <f>IF($Q$2="","",IF($Q$2&gt;1,INDEX(Despesas!$NP$19:$OB$163,($Q$2-2)*14+3,3),INDEX(Despesas!$NP$1:$OB$163,($Q$2-1)*15+7,3)))</f>
        <v>0</v>
      </c>
      <c r="I24" s="1475"/>
      <c r="J24" s="1458" t="str">
        <f>TRIM(IF($Q$2="","",IF($Q$2&gt;1,PROPER(INDEX(Despesas!$NP$19:$OB$163,($Q$2-2)*14+3,4)),PROPER(INDEX(Despesas!$NP$1:$OB$163,($Q$2-1)*15+7,4)))))</f>
        <v/>
      </c>
      <c r="K24" s="1459"/>
      <c r="L24" s="1459"/>
      <c r="M24" s="1460"/>
      <c r="N24" s="977">
        <f>IF($Q$2="","",IF($Q$2&gt;1,INDEX(Despesas!$NP$19:$OB$163,($Q$2-2)*14+3,5),INDEX(Despesas!$NP$1:$OB$163,($Q$2-1)*15+7,5)))</f>
        <v>0</v>
      </c>
      <c r="O24" s="1519">
        <f>IF($Q$2="","",IF($Q$2&gt;1,INDEX(Despesas!$NP$19:$OB$163,($Q$2-2)*14+3,6),INDEX(Despesas!$NP$1:$OB$163,($Q$2-1)*15+7,6)))</f>
        <v>0</v>
      </c>
      <c r="P24" s="1520"/>
      <c r="Q24" s="1521"/>
      <c r="R24" s="1508">
        <f>IF($Q$2="","",IF($Q$2&gt;1,INDEX(Despesas!$NP$19:$OB$163,($Q$2-2)*14+3,7),INDEX(Despesas!$NP$1:$OB$163,($Q$2-1)*15+7,7)))</f>
        <v>0</v>
      </c>
      <c r="S24" s="1509"/>
      <c r="T24" s="1517">
        <f>IF($Q$2="","",IF($Q$2&gt;1,INDEX(Despesas!$NP$19:$OB$163,($Q$2-2)*14+3,8),INDEX(Despesas!$NP$1:$OB$163,($Q$2-1)*15+7,8)))</f>
        <v>0</v>
      </c>
      <c r="U24" s="1518"/>
      <c r="V24" s="1508">
        <f>IF($Q$2="","",IF($Q$2&gt;1,INDEX(Despesas!$NP$19:$OB$163,($Q$2-2)*14+3,9),INDEX(Despesas!$NP$1:$OB$163,($Q$2-1)*15+7,9)))</f>
        <v>0</v>
      </c>
      <c r="W24" s="1509"/>
      <c r="X24" s="476">
        <f>IF($Q$2="","",IF($Q$2&gt;1,INDEX(Despesas!$NP$19:$OB$163,($Q$2-2)*14+3,10),INDEX(Despesas!$NP$1:$OB$163,($Q$2-1)*15+7,10)))</f>
        <v>0</v>
      </c>
      <c r="Y24" s="476">
        <f>IF($Q$2="","",IF($Q$2&gt;1,INDEX(Despesas!$NP$19:$OB$163,($Q$2-2)*14+3,11),INDEX(Despesas!$NP$1:$OB$163,($Q$2-1)*15+7,11)))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IF($Q$2="","",IF($Q$2&gt;1,INDEX(Despesas!$NP$19:$OB$163,($Q$2-2)*14+4,1),INDEX(Despesas!$NP$1:$OB$163,($Q$2-1)*15+8,1)))</f>
        <v/>
      </c>
      <c r="C25" s="1507"/>
      <c r="D25" s="1452" t="str">
        <f>TRIM(IF($Q$2="","",IF($Q$2&gt;1,PROPER(INDEX(Despesas!$NP$19:$OB$163,($Q$2-2)*14+4,2)),PROPER(INDEX(Despesas!$NP$1:$OB$163,($Q$2-1)*15+8,2)))))</f>
        <v/>
      </c>
      <c r="E25" s="1453"/>
      <c r="F25" s="1453"/>
      <c r="G25" s="1454"/>
      <c r="H25" s="1474">
        <f>IF($Q$2="","",IF($Q$2&gt;1,INDEX(Despesas!$NP$19:$OB$163,($Q$2-2)*14+4,3),INDEX(Despesas!$NP$1:$OB$163,($Q$2-1)*15+8,3)))</f>
        <v>0</v>
      </c>
      <c r="I25" s="1475"/>
      <c r="J25" s="1458" t="str">
        <f>TRIM(IF($Q$2="","",IF($Q$2&gt;1,PROPER(INDEX(Despesas!$NP$19:$OB$163,($Q$2-2)*14+4,4)),PROPER(INDEX(Despesas!$NP$1:$OB$163,($Q$2-1)*15+8,4)))))</f>
        <v/>
      </c>
      <c r="K25" s="1459"/>
      <c r="L25" s="1459"/>
      <c r="M25" s="1460"/>
      <c r="N25" s="977">
        <f>IF($Q$2="","",IF($Q$2&gt;1,INDEX(Despesas!$NP$19:$OB$163,($Q$2-2)*14+4,5),INDEX(Despesas!$NP$1:$OB$163,($Q$2-1)*15+8,5)))</f>
        <v>0</v>
      </c>
      <c r="O25" s="1519">
        <f>IF($Q$2="","",IF($Q$2&gt;1,INDEX(Despesas!$NP$19:$OB$163,($Q$2-2)*14+4,6),INDEX(Despesas!$NP$1:$OB$163,($Q$2-1)*15+8,6)))</f>
        <v>0</v>
      </c>
      <c r="P25" s="1520"/>
      <c r="Q25" s="1521"/>
      <c r="R25" s="1508">
        <f>IF($Q$2="","",IF($Q$2&gt;1,INDEX(Despesas!$NP$19:$OB$163,($Q$2-2)*14+4,7),INDEX(Despesas!$NP$1:$OB$163,($Q$2-1)*15+8,7)))</f>
        <v>0</v>
      </c>
      <c r="S25" s="1509"/>
      <c r="T25" s="1517">
        <f>IF($Q$2="","",IF($Q$2&gt;1,INDEX(Despesas!$NP$19:$OB$163,($Q$2-2)*14+4,8),INDEX(Despesas!$NP$1:$OB$163,($Q$2-1)*15+8,8)))</f>
        <v>0</v>
      </c>
      <c r="U25" s="1518"/>
      <c r="V25" s="1508">
        <f>IF($Q$2="","",IF($Q$2&gt;1,INDEX(Despesas!$NP$19:$OB$163,($Q$2-2)*14+4,9),INDEX(Despesas!$NP$1:$OB$163,($Q$2-1)*15+8,9)))</f>
        <v>0</v>
      </c>
      <c r="W25" s="1509"/>
      <c r="X25" s="476">
        <f>IF($Q$2="","",IF($Q$2&gt;1,INDEX(Despesas!$NP$19:$OB$163,($Q$2-2)*14+4,10),INDEX(Despesas!$NP$1:$OB$163,($Q$2-1)*15+8,10)))</f>
        <v>0</v>
      </c>
      <c r="Y25" s="476">
        <f>IF($Q$2="","",IF($Q$2&gt;1,INDEX(Despesas!$NP$19:$OB$163,($Q$2-2)*14+4,11),INDEX(Despesas!$NP$1:$OB$163,($Q$2-1)*15+8,11)))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IF($Q$2="","",IF($Q$2&gt;1,INDEX(Despesas!$NP$19:$OB$163,($Q$2-2)*14+5,1),INDEX(Despesas!$NP$1:$OB$163,($Q$2-1)*15+9,1)))</f>
        <v/>
      </c>
      <c r="C26" s="1507"/>
      <c r="D26" s="1452" t="str">
        <f>TRIM(IF($Q$2="","",IF($Q$2&gt;1,PROPER(INDEX(Despesas!$NP$19:$OB$163,($Q$2-2)*14+5,2)),PROPER(INDEX(Despesas!$NP$1:$OB$163,($Q$2-1)*15+9,2)))))</f>
        <v/>
      </c>
      <c r="E26" s="1453"/>
      <c r="F26" s="1453"/>
      <c r="G26" s="1454"/>
      <c r="H26" s="1474">
        <f>IF($Q$2="","",IF($Q$2&gt;1,INDEX(Despesas!$NP$19:$OB$163,($Q$2-2)*14+5,3),INDEX(Despesas!$NP$1:$OB$163,($Q$2-1)*15+9,3)))</f>
        <v>0</v>
      </c>
      <c r="I26" s="1475"/>
      <c r="J26" s="1458" t="str">
        <f>TRIM(IF($Q$2="","",IF($Q$2&gt;1,PROPER(INDEX(Despesas!$NP$19:$OB$163,($Q$2-2)*14+5,4)),PROPER(INDEX(Despesas!$NP$1:$OB$163,($Q$2-1)*15+9,4)))))</f>
        <v/>
      </c>
      <c r="K26" s="1459"/>
      <c r="L26" s="1459"/>
      <c r="M26" s="1460"/>
      <c r="N26" s="977">
        <f>IF($Q$2="","",IF($Q$2&gt;1,INDEX(Despesas!$NP$19:$OB$163,($Q$2-2)*14+5,5),INDEX(Despesas!$NP$1:$OB$163,($Q$2-1)*15+9,5)))</f>
        <v>0</v>
      </c>
      <c r="O26" s="1519">
        <f>IF($Q$2="","",IF($Q$2&gt;1,INDEX(Despesas!$NP$19:$OB$163,($Q$2-2)*14+5,6),INDEX(Despesas!$NP$1:$OB$163,($Q$2-1)*15+9,6)))</f>
        <v>0</v>
      </c>
      <c r="P26" s="1520"/>
      <c r="Q26" s="1521"/>
      <c r="R26" s="1508">
        <f>IF($Q$2="","",IF($Q$2&gt;1,INDEX(Despesas!$NP$19:$OB$163,($Q$2-2)*14+5,7),INDEX(Despesas!$NP$1:$OB$163,($Q$2-1)*15+9,7)))</f>
        <v>0</v>
      </c>
      <c r="S26" s="1509"/>
      <c r="T26" s="1517">
        <f>IF($Q$2="","",IF($Q$2&gt;1,INDEX(Despesas!$NP$19:$OB$163,($Q$2-2)*14+5,8),INDEX(Despesas!$NP$1:$OB$163,($Q$2-1)*15+9,8)))</f>
        <v>0</v>
      </c>
      <c r="U26" s="1518"/>
      <c r="V26" s="1508">
        <f>IF($Q$2="","",IF($Q$2&gt;1,INDEX(Despesas!$NP$19:$OB$163,($Q$2-2)*14+5,9),INDEX(Despesas!$NP$1:$OB$163,($Q$2-1)*15+9,9)))</f>
        <v>0</v>
      </c>
      <c r="W26" s="1509"/>
      <c r="X26" s="476">
        <f>IF($Q$2="","",IF($Q$2&gt;1,INDEX(Despesas!$NP$19:$OB$163,($Q$2-2)*14+5,10),INDEX(Despesas!$NP$1:$OB$163,($Q$2-1)*15+9,10)))</f>
        <v>0</v>
      </c>
      <c r="Y26" s="476">
        <f>IF($Q$2="","",IF($Q$2&gt;1,INDEX(Despesas!$NP$19:$OB$163,($Q$2-2)*14+5,11),INDEX(Despesas!$NP$1:$OB$163,($Q$2-1)*15+9,11)))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IF($Q$2="","",IF($Q$2&gt;1,INDEX(Despesas!$NP$19:$OB$163,($Q$2-2)*14+6,1),INDEX(Despesas!$NP$1:$OB$163,($Q$2-1)*15+10,1)))</f>
        <v/>
      </c>
      <c r="C27" s="1507"/>
      <c r="D27" s="1452" t="str">
        <f>TRIM(IF($Q$2="","",IF($Q$2&gt;1,PROPER(INDEX(Despesas!$NP$19:$OB$163,($Q$2-2)*14+6,2)),PROPER(INDEX(Despesas!$NP$1:$OB$163,($Q$2-1)*15+10,2)))))</f>
        <v/>
      </c>
      <c r="E27" s="1453"/>
      <c r="F27" s="1453"/>
      <c r="G27" s="1454"/>
      <c r="H27" s="1474">
        <f>IF($Q$2="","",IF($Q$2&gt;1,INDEX(Despesas!$NP$19:$OB$163,($Q$2-2)*14+6,3),INDEX(Despesas!$NP$1:$OB$163,($Q$2-1)*15+10,3)))</f>
        <v>0</v>
      </c>
      <c r="I27" s="1475"/>
      <c r="J27" s="1458" t="str">
        <f>TRIM(IF($Q$2="","",IF($Q$2&gt;1,PROPER(INDEX(Despesas!$NP$19:$OB$163,($Q$2-2)*14+6,4)),PROPER(INDEX(Despesas!$NP$1:$OB$163,($Q$2-1)*15+10,4)))))</f>
        <v/>
      </c>
      <c r="K27" s="1459"/>
      <c r="L27" s="1459"/>
      <c r="M27" s="1460"/>
      <c r="N27" s="977">
        <f>IF($Q$2="","",IF($Q$2&gt;1,INDEX(Despesas!$NP$19:$OB$163,($Q$2-2)*14+6,5),INDEX(Despesas!$NP$1:$OB$163,($Q$2-1)*15+10,5)))</f>
        <v>0</v>
      </c>
      <c r="O27" s="1519">
        <f>IF($Q$2="","",IF($Q$2&gt;1,INDEX(Despesas!$NP$19:$OB$163,($Q$2-2)*14+6,6),INDEX(Despesas!$NP$1:$OB$163,($Q$2-1)*15+10,6)))</f>
        <v>0</v>
      </c>
      <c r="P27" s="1520"/>
      <c r="Q27" s="1521"/>
      <c r="R27" s="1508">
        <f>IF($Q$2="","",IF($Q$2&gt;1,INDEX(Despesas!$NP$19:$OB$163,($Q$2-2)*14+6,7),INDEX(Despesas!$NP$1:$OB$163,($Q$2-1)*15+10,7)))</f>
        <v>0</v>
      </c>
      <c r="S27" s="1509"/>
      <c r="T27" s="1517">
        <f>IF($Q$2="","",IF($Q$2&gt;1,INDEX(Despesas!$NP$19:$OB$163,($Q$2-2)*14+6,8),INDEX(Despesas!$NP$1:$OB$163,($Q$2-1)*15+10,8)))</f>
        <v>0</v>
      </c>
      <c r="U27" s="1518"/>
      <c r="V27" s="1508">
        <f>IF($Q$2="","",IF($Q$2&gt;1,INDEX(Despesas!$NP$19:$OB$163,($Q$2-2)*14+6,9),INDEX(Despesas!$NP$1:$OB$163,($Q$2-1)*15+10,9)))</f>
        <v>0</v>
      </c>
      <c r="W27" s="1509"/>
      <c r="X27" s="476">
        <f>IF($Q$2="","",IF($Q$2&gt;1,INDEX(Despesas!$NP$19:$OB$163,($Q$2-2)*14+6,10),INDEX(Despesas!$NP$1:$OB$163,($Q$2-1)*15+10,10)))</f>
        <v>0</v>
      </c>
      <c r="Y27" s="476">
        <f>IF($Q$2="","",IF($Q$2&gt;1,INDEX(Despesas!$NP$19:$OB$163,($Q$2-2)*14+6,11),INDEX(Despesas!$NP$1:$OB$163,($Q$2-1)*15+10,11)))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IF($Q$2="","",IF($Q$2&gt;1,INDEX(Despesas!$NP$19:$OB$163,($Q$2-2)*14+7,1),INDEX(Despesas!$NP$1:$OB$163,($Q$2-1)*15+11,1)))</f>
        <v/>
      </c>
      <c r="C28" s="1507"/>
      <c r="D28" s="1452" t="str">
        <f>TRIM(IF($Q$2="","",IF($Q$2&gt;1,PROPER(INDEX(Despesas!$NP$19:$OB$163,($Q$2-2)*14+7,2)),PROPER(INDEX(Despesas!$NP$1:$OB$163,($Q$2-1)*15+11,2)))))</f>
        <v/>
      </c>
      <c r="E28" s="1453"/>
      <c r="F28" s="1453"/>
      <c r="G28" s="1454"/>
      <c r="H28" s="1474">
        <f>IF($Q$2="","",IF($Q$2&gt;1,INDEX(Despesas!$NP$19:$OB$163,($Q$2-2)*14+7,3),INDEX(Despesas!$NP$1:$OB$163,($Q$2-1)*15+11,3)))</f>
        <v>0</v>
      </c>
      <c r="I28" s="1475"/>
      <c r="J28" s="1458" t="str">
        <f>TRIM(IF($Q$2="","",IF($Q$2&gt;1,PROPER(INDEX(Despesas!$NP$19:$OB$163,($Q$2-2)*14+7,4)),PROPER(INDEX(Despesas!$NP$1:$OB$163,($Q$2-1)*15+11,4)))))</f>
        <v/>
      </c>
      <c r="K28" s="1459"/>
      <c r="L28" s="1459"/>
      <c r="M28" s="1460"/>
      <c r="N28" s="977">
        <f>IF($Q$2="","",IF($Q$2&gt;1,INDEX(Despesas!$NP$19:$OB$163,($Q$2-2)*14+7,5),INDEX(Despesas!$NP$1:$OB$163,($Q$2-1)*15+11,5)))</f>
        <v>0</v>
      </c>
      <c r="O28" s="1519">
        <f>IF($Q$2="","",IF($Q$2&gt;1,INDEX(Despesas!$NP$19:$OB$163,($Q$2-2)*14+7,6),INDEX(Despesas!$NP$1:$OB$163,($Q$2-1)*15+11,6)))</f>
        <v>0</v>
      </c>
      <c r="P28" s="1520"/>
      <c r="Q28" s="1521"/>
      <c r="R28" s="1508">
        <f>IF($Q$2="","",IF($Q$2&gt;1,INDEX(Despesas!$NP$19:$OB$163,($Q$2-2)*14+7,7),INDEX(Despesas!$NP$1:$OB$163,($Q$2-1)*15+11,7)))</f>
        <v>0</v>
      </c>
      <c r="S28" s="1509"/>
      <c r="T28" s="1517">
        <f>IF($Q$2="","",IF($Q$2&gt;1,INDEX(Despesas!$NP$19:$OB$163,($Q$2-2)*14+7,8),INDEX(Despesas!$NP$1:$OB$163,($Q$2-1)*15+11,8)))</f>
        <v>0</v>
      </c>
      <c r="U28" s="1518"/>
      <c r="V28" s="1508">
        <f>IF($Q$2="","",IF($Q$2&gt;1,INDEX(Despesas!$NP$19:$OB$163,($Q$2-2)*14+7,9),INDEX(Despesas!$NP$1:$OB$163,($Q$2-1)*15+11,9)))</f>
        <v>0</v>
      </c>
      <c r="W28" s="1509"/>
      <c r="X28" s="476">
        <f>IF($Q$2="","",IF($Q$2&gt;1,INDEX(Despesas!$NP$19:$OB$163,($Q$2-2)*14+7,10),INDEX(Despesas!$NP$1:$OB$163,($Q$2-1)*15+11,10)))</f>
        <v>0</v>
      </c>
      <c r="Y28" s="476">
        <f>IF($Q$2="","",IF($Q$2&gt;1,INDEX(Despesas!$NP$19:$OB$163,($Q$2-2)*14+7,11),INDEX(Despesas!$NP$1:$OB$163,($Q$2-1)*15+11,11)))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IF($Q$2="","",IF($Q$2&gt;1,INDEX(Despesas!$NP$19:$OB$163,($Q$2-2)*14+8,1),INDEX(Despesas!$NP$1:$OB$163,($Q$2-1)*15+12,1)))</f>
        <v/>
      </c>
      <c r="C29" s="1507"/>
      <c r="D29" s="1452" t="str">
        <f>TRIM(IF($Q$2="","",IF($Q$2&gt;1,PROPER(INDEX(Despesas!$NP$19:$OB$163,($Q$2-2)*14+8,2)),PROPER(INDEX(Despesas!$NP$1:$OB$163,($Q$2-1)*15+12,2)))))</f>
        <v/>
      </c>
      <c r="E29" s="1453"/>
      <c r="F29" s="1453"/>
      <c r="G29" s="1454"/>
      <c r="H29" s="1474">
        <f>IF($Q$2="","",IF($Q$2&gt;1,INDEX(Despesas!$NP$19:$OB$163,($Q$2-2)*14+8,3),INDEX(Despesas!$NP$1:$OB$163,($Q$2-1)*15+12,3)))</f>
        <v>0</v>
      </c>
      <c r="I29" s="1475"/>
      <c r="J29" s="1458" t="str">
        <f>TRIM(IF($Q$2="","",IF($Q$2&gt;1,PROPER(INDEX(Despesas!$NP$19:$OB$163,($Q$2-2)*14+8,4)),PROPER(INDEX(Despesas!$NP$1:$OB$163,($Q$2-1)*15+12,4)))))</f>
        <v/>
      </c>
      <c r="K29" s="1459"/>
      <c r="L29" s="1459"/>
      <c r="M29" s="1460"/>
      <c r="N29" s="977">
        <f>IF($Q$2="","",IF($Q$2&gt;1,INDEX(Despesas!$NP$19:$OB$163,($Q$2-2)*14+8,5),INDEX(Despesas!$NP$1:$OB$163,($Q$2-1)*15+12,5)))</f>
        <v>0</v>
      </c>
      <c r="O29" s="1519">
        <f>IF($Q$2="","",IF($Q$2&gt;1,INDEX(Despesas!$NP$19:$OB$163,($Q$2-2)*14+8,6),INDEX(Despesas!$NP$1:$OB$163,($Q$2-1)*15+12,6)))</f>
        <v>0</v>
      </c>
      <c r="P29" s="1520"/>
      <c r="Q29" s="1521"/>
      <c r="R29" s="1508">
        <f>IF($Q$2="","",IF($Q$2&gt;1,INDEX(Despesas!$NP$19:$OB$163,($Q$2-2)*14+8,7),INDEX(Despesas!$NP$1:$OB$163,($Q$2-1)*15+12,7)))</f>
        <v>0</v>
      </c>
      <c r="S29" s="1509"/>
      <c r="T29" s="1517">
        <f>IF($Q$2="","",IF($Q$2&gt;1,INDEX(Despesas!$NP$19:$OB$163,($Q$2-2)*14+8,8),INDEX(Despesas!$NP$1:$OB$163,($Q$2-1)*15+12,8)))</f>
        <v>0</v>
      </c>
      <c r="U29" s="1518"/>
      <c r="V29" s="1508">
        <f>IF($Q$2="","",IF($Q$2&gt;1,INDEX(Despesas!$NP$19:$OB$163,($Q$2-2)*14+8,9),INDEX(Despesas!$NP$1:$OB$163,($Q$2-1)*15+12,9)))</f>
        <v>0</v>
      </c>
      <c r="W29" s="1509"/>
      <c r="X29" s="476">
        <f>IF($Q$2="","",IF($Q$2&gt;1,INDEX(Despesas!$NP$19:$OB$163,($Q$2-2)*14+8,10),INDEX(Despesas!$NP$1:$OB$163,($Q$2-1)*15+12,10)))</f>
        <v>0</v>
      </c>
      <c r="Y29" s="476">
        <f>IF($Q$2="","",IF($Q$2&gt;1,INDEX(Despesas!$NP$19:$OB$163,($Q$2-2)*14+8,11),INDEX(Despesas!$NP$1:$OB$163,($Q$2-1)*15+12,11)))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IF($Q$2="","",IF($Q$2&gt;1,INDEX(Despesas!$NP$19:$OB$163,($Q$2-2)*14+9,1),INDEX(Despesas!$NP$1:$OB$163,($Q$2-1)*15+13,1)))</f>
        <v/>
      </c>
      <c r="C30" s="1507"/>
      <c r="D30" s="1452" t="str">
        <f>TRIM(IF($Q$2="","",IF($Q$2&gt;1,PROPER(INDEX(Despesas!$NP$19:$OB$163,($Q$2-2)*14+9,2)),PROPER(INDEX(Despesas!$NP$1:$OB$163,($Q$2-1)*15+13,2)))))</f>
        <v/>
      </c>
      <c r="E30" s="1453"/>
      <c r="F30" s="1453"/>
      <c r="G30" s="1454"/>
      <c r="H30" s="1474">
        <f>IF($Q$2="","",IF($Q$2&gt;1,INDEX(Despesas!$NP$19:$OB$163,($Q$2-2)*14+9,3),INDEX(Despesas!$NP$1:$OB$163,($Q$2-1)*15+13,3)))</f>
        <v>0</v>
      </c>
      <c r="I30" s="1475"/>
      <c r="J30" s="1458" t="str">
        <f>TRIM(IF($Q$2="","",IF($Q$2&gt;1,PROPER(INDEX(Despesas!$NP$19:$OB$163,($Q$2-2)*14+9,4)),PROPER(INDEX(Despesas!$NP$1:$OB$163,($Q$2-1)*15+13,4)))))</f>
        <v/>
      </c>
      <c r="K30" s="1459"/>
      <c r="L30" s="1459"/>
      <c r="M30" s="1460"/>
      <c r="N30" s="977">
        <f>IF($Q$2="","",IF($Q$2&gt;1,INDEX(Despesas!$NP$19:$OB$163,($Q$2-2)*14+9,5),INDEX(Despesas!$NP$1:$OB$163,($Q$2-1)*15+13,5)))</f>
        <v>0</v>
      </c>
      <c r="O30" s="1519">
        <f>IF($Q$2="","",IF($Q$2&gt;1,INDEX(Despesas!$NP$19:$OB$163,($Q$2-2)*14+9,6),INDEX(Despesas!$NP$1:$OB$163,($Q$2-1)*15+13,6)))</f>
        <v>0</v>
      </c>
      <c r="P30" s="1520"/>
      <c r="Q30" s="1521"/>
      <c r="R30" s="1508">
        <f>IF($Q$2="","",IF($Q$2&gt;1,INDEX(Despesas!$NP$19:$OB$163,($Q$2-2)*14+9,7),INDEX(Despesas!$NP$1:$OB$163,($Q$2-1)*15+13,7)))</f>
        <v>0</v>
      </c>
      <c r="S30" s="1509"/>
      <c r="T30" s="1517">
        <f>IF($Q$2="","",IF($Q$2&gt;1,INDEX(Despesas!$NP$19:$OB$163,($Q$2-2)*14+9,8),INDEX(Despesas!$NP$1:$OB$163,($Q$2-1)*15+13,8)))</f>
        <v>0</v>
      </c>
      <c r="U30" s="1518"/>
      <c r="V30" s="1508">
        <f>IF($Q$2="","",IF($Q$2&gt;1,INDEX(Despesas!$NP$19:$OB$163,($Q$2-2)*14+9,9),INDEX(Despesas!$NP$1:$OB$163,($Q$2-1)*15+13,9)))</f>
        <v>0</v>
      </c>
      <c r="W30" s="1509"/>
      <c r="X30" s="476">
        <f>IF($Q$2="","",IF($Q$2&gt;1,INDEX(Despesas!$NP$19:$OB$163,($Q$2-2)*14+9,10),INDEX(Despesas!$NP$1:$OB$163,($Q$2-1)*15+13,10)))</f>
        <v>0</v>
      </c>
      <c r="Y30" s="476">
        <f>IF($Q$2="","",IF($Q$2&gt;1,INDEX(Despesas!$NP$19:$OB$163,($Q$2-2)*14+9,11),INDEX(Despesas!$NP$1:$OB$163,($Q$2-1)*15+13,11)))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IF($Q$2="","",IF($Q$2&gt;1,INDEX(Despesas!$NP$19:$OB$163,($Q$2-2)*14+10,1),INDEX(Despesas!$NP$1:$OB$163,($Q$2-1)*15+14,1)))</f>
        <v/>
      </c>
      <c r="C31" s="1507"/>
      <c r="D31" s="1452" t="str">
        <f>TRIM(IF($Q$2="","",IF($Q$2&gt;1,PROPER(INDEX(Despesas!$NP$19:$OB$163,($Q$2-2)*14+10,2)),PROPER(INDEX(Despesas!$NP$1:$OB$163,($Q$2-1)*15+14,2)))))</f>
        <v/>
      </c>
      <c r="E31" s="1453"/>
      <c r="F31" s="1453"/>
      <c r="G31" s="1454"/>
      <c r="H31" s="1474">
        <f>IF($Q$2="","",IF($Q$2&gt;1,INDEX(Despesas!$NP$19:$OB$163,($Q$2-2)*14+10,3),INDEX(Despesas!$NP$1:$OB$163,($Q$2-1)*15+14,3)))</f>
        <v>0</v>
      </c>
      <c r="I31" s="1475"/>
      <c r="J31" s="1458" t="str">
        <f>TRIM(IF($Q$2="","",IF($Q$2&gt;1,PROPER(INDEX(Despesas!$NP$19:$OB$163,($Q$2-2)*14+10,4)),PROPER(INDEX(Despesas!$NP$1:$OB$163,($Q$2-1)*15+14,4)))))</f>
        <v/>
      </c>
      <c r="K31" s="1459"/>
      <c r="L31" s="1459"/>
      <c r="M31" s="1460"/>
      <c r="N31" s="977">
        <f>IF($Q$2="","",IF($Q$2&gt;1,INDEX(Despesas!$NP$19:$OB$163,($Q$2-2)*14+10,5),INDEX(Despesas!$NP$1:$OB$163,($Q$2-1)*15+14,5)))</f>
        <v>0</v>
      </c>
      <c r="O31" s="1519">
        <f>IF($Q$2="","",IF($Q$2&gt;1,INDEX(Despesas!$NP$19:$OB$163,($Q$2-2)*14+10,6),INDEX(Despesas!$NP$1:$OB$163,($Q$2-1)*15+14,6)))</f>
        <v>0</v>
      </c>
      <c r="P31" s="1520"/>
      <c r="Q31" s="1521"/>
      <c r="R31" s="1508">
        <f>IF($Q$2="","",IF($Q$2&gt;1,INDEX(Despesas!$NP$19:$OB$163,($Q$2-2)*14+10,7),INDEX(Despesas!$NP$1:$OB$163,($Q$2-1)*15+14,7)))</f>
        <v>0</v>
      </c>
      <c r="S31" s="1509"/>
      <c r="T31" s="1517">
        <f>IF($Q$2="","",IF($Q$2&gt;1,INDEX(Despesas!$NP$19:$OB$163,($Q$2-2)*14+10,8),INDEX(Despesas!$NP$1:$OB$163,($Q$2-1)*15+14,8)))</f>
        <v>0</v>
      </c>
      <c r="U31" s="1518"/>
      <c r="V31" s="1508">
        <f>IF($Q$2="","",IF($Q$2&gt;1,INDEX(Despesas!$NP$19:$OB$163,($Q$2-2)*14+10,9),INDEX(Despesas!$NP$1:$OB$163,($Q$2-1)*15+14,9)))</f>
        <v>0</v>
      </c>
      <c r="W31" s="1509"/>
      <c r="X31" s="476">
        <f>IF($Q$2="","",IF($Q$2&gt;1,INDEX(Despesas!$NP$19:$OB$163,($Q$2-2)*14+10,10),INDEX(Despesas!$NP$1:$OB$163,($Q$2-1)*15+14,10)))</f>
        <v>0</v>
      </c>
      <c r="Y31" s="476">
        <f>IF($Q$2="","",IF($Q$2&gt;1,INDEX(Despesas!$NP$19:$OB$163,($Q$2-2)*14+10,11),INDEX(Despesas!$NP$1:$OB$163,($Q$2-1)*15+14,11)))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IF($Q$2="","",IF($Q$2&gt;1,INDEX(Despesas!$NP$19:$OB$163,($Q$2-2)*14+11,1),INDEX(Despesas!$NP$1:$OB$163,($Q$2-1)*15+15,1)))</f>
        <v/>
      </c>
      <c r="C32" s="1507"/>
      <c r="D32" s="1452" t="str">
        <f>TRIM(IF($Q$2="","",IF($Q$2&gt;1,PROPER(INDEX(Despesas!$NP$19:$OB$163,($Q$2-2)*14+11,2)),PROPER(INDEX(Despesas!$NP$1:$OB$163,($Q$2-1)*15+15,2)))))</f>
        <v/>
      </c>
      <c r="E32" s="1453"/>
      <c r="F32" s="1453"/>
      <c r="G32" s="1454"/>
      <c r="H32" s="1474">
        <f>IF($Q$2="","",IF($Q$2&gt;1,INDEX(Despesas!$NP$19:$OB$163,($Q$2-2)*14+11,3),INDEX(Despesas!$NP$1:$OB$163,($Q$2-1)*15+15,3)))</f>
        <v>0</v>
      </c>
      <c r="I32" s="1475"/>
      <c r="J32" s="1458" t="str">
        <f>TRIM(IF($Q$2="","",IF($Q$2&gt;1,PROPER(INDEX(Despesas!$NP$19:$OB$163,($Q$2-2)*14+11,4)),PROPER(INDEX(Despesas!$NP$1:$OB$163,($Q$2-1)*15+15,4)))))</f>
        <v/>
      </c>
      <c r="K32" s="1459"/>
      <c r="L32" s="1459"/>
      <c r="M32" s="1460"/>
      <c r="N32" s="977">
        <f>IF($Q$2="","",IF($Q$2&gt;1,INDEX(Despesas!$NP$19:$OB$163,($Q$2-2)*14+11,5),INDEX(Despesas!$NP$1:$OB$163,($Q$2-1)*15+15,5)))</f>
        <v>0</v>
      </c>
      <c r="O32" s="1519">
        <f>IF($Q$2="","",IF($Q$2&gt;1,INDEX(Despesas!$NP$19:$OB$163,($Q$2-2)*14+11,6),INDEX(Despesas!$NP$1:$OB$163,($Q$2-1)*15+15,6)))</f>
        <v>0</v>
      </c>
      <c r="P32" s="1520"/>
      <c r="Q32" s="1521"/>
      <c r="R32" s="1508">
        <f>IF($Q$2="","",IF($Q$2&gt;1,INDEX(Despesas!$NP$19:$OB$163,($Q$2-2)*14+11,7),INDEX(Despesas!$NP$1:$OB$163,($Q$2-1)*15+15,7)))</f>
        <v>0</v>
      </c>
      <c r="S32" s="1509"/>
      <c r="T32" s="1517">
        <f>IF($Q$2="","",IF($Q$2&gt;1,INDEX(Despesas!$NP$19:$OB$163,($Q$2-2)*14+11,8),INDEX(Despesas!$NP$1:$OB$163,($Q$2-1)*15+15,8)))</f>
        <v>0</v>
      </c>
      <c r="U32" s="1518"/>
      <c r="V32" s="1508">
        <f>IF($Q$2="","",IF($Q$2&gt;1,INDEX(Despesas!$NP$19:$OB$163,($Q$2-2)*14+11,9),INDEX(Despesas!$NP$1:$OB$163,($Q$2-1)*15+15,9)))</f>
        <v>0</v>
      </c>
      <c r="W32" s="1509"/>
      <c r="X32" s="476">
        <f>IF($Q$2="","",IF($Q$2&gt;1,INDEX(Despesas!$NP$19:$OB$163,($Q$2-2)*14+11,10),INDEX(Despesas!$NP$1:$OB$163,($Q$2-1)*15+15,10)))</f>
        <v>0</v>
      </c>
      <c r="Y32" s="476">
        <f>IF($Q$2="","",IF($Q$2&gt;1,INDEX(Despesas!$NP$19:$OB$163,($Q$2-2)*14+11,11),INDEX(Despesas!$NP$1:$OB$163,($Q$2-1)*15+15,11)))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IF($Q$2="","",IF($Q$2&gt;1,INDEX(Despesas!$NP$19:$OB$163,($Q$2-2)*14+12,1),INDEX(Despesas!$NP$1:$OB$163,($Q$2-1)*15+16,1)))</f>
        <v/>
      </c>
      <c r="C33" s="1507"/>
      <c r="D33" s="1452" t="str">
        <f>TRIM(IF($Q$2="","",IF($Q$2&gt;1,PROPER(INDEX(Despesas!$NP$19:$OB$163,($Q$2-2)*14+12,2)),PROPER(INDEX(Despesas!$NP$1:$OB$163,($Q$2-1)*15+16,2)))))</f>
        <v/>
      </c>
      <c r="E33" s="1453"/>
      <c r="F33" s="1453"/>
      <c r="G33" s="1454"/>
      <c r="H33" s="1474">
        <f>IF($Q$2="","",IF($Q$2&gt;1,INDEX(Despesas!$NP$19:$OB$163,($Q$2-2)*14+12,3),INDEX(Despesas!$NP$1:$OB$163,($Q$2-1)*15+16,3)))</f>
        <v>0</v>
      </c>
      <c r="I33" s="1475"/>
      <c r="J33" s="1458" t="str">
        <f>TRIM(IF($Q$2="","",IF($Q$2&gt;1,PROPER(INDEX(Despesas!$NP$19:$OB$163,($Q$2-2)*14+12,4)),PROPER(INDEX(Despesas!$NP$1:$OB$163,($Q$2-1)*15+16,4)))))</f>
        <v/>
      </c>
      <c r="K33" s="1459"/>
      <c r="L33" s="1459"/>
      <c r="M33" s="1460"/>
      <c r="N33" s="977">
        <f>IF($Q$2="","",IF($Q$2&gt;1,INDEX(Despesas!$NP$19:$OB$163,($Q$2-2)*14+12,5),INDEX(Despesas!$NP$1:$OB$163,($Q$2-1)*15+16,5)))</f>
        <v>0</v>
      </c>
      <c r="O33" s="1519">
        <f>IF($Q$2="","",IF($Q$2&gt;1,INDEX(Despesas!$NP$19:$OB$163,($Q$2-2)*14+12,6),INDEX(Despesas!$NP$1:$OB$163,($Q$2-1)*15+16,6)))</f>
        <v>0</v>
      </c>
      <c r="P33" s="1520"/>
      <c r="Q33" s="1521"/>
      <c r="R33" s="1508">
        <f>IF($Q$2="","",IF($Q$2&gt;1,INDEX(Despesas!$NP$19:$OB$163,($Q$2-2)*14+12,7),INDEX(Despesas!$NP$1:$OB$163,($Q$2-1)*15+16,7)))</f>
        <v>0</v>
      </c>
      <c r="S33" s="1509"/>
      <c r="T33" s="1517">
        <f>IF($Q$2="","",IF($Q$2&gt;1,INDEX(Despesas!$NP$19:$OB$163,($Q$2-2)*14+12,8),INDEX(Despesas!$NP$1:$OB$163,($Q$2-1)*15+16,8)))</f>
        <v>0</v>
      </c>
      <c r="U33" s="1518"/>
      <c r="V33" s="1508">
        <f>IF($Q$2="","",IF($Q$2&gt;1,INDEX(Despesas!$NP$19:$OB$163,($Q$2-2)*14+12,9),INDEX(Despesas!$NP$1:$OB$163,($Q$2-1)*15+16,9)))</f>
        <v>0</v>
      </c>
      <c r="W33" s="1509"/>
      <c r="X33" s="476">
        <f>IF($Q$2="","",IF($Q$2&gt;1,INDEX(Despesas!$NP$19:$OB$163,($Q$2-2)*14+12,10),INDEX(Despesas!$NP$1:$OB$163,($Q$2-1)*15+16,10)))</f>
        <v>0</v>
      </c>
      <c r="Y33" s="476">
        <f>IF($Q$2="","",IF($Q$2&gt;1,INDEX(Despesas!$NP$19:$OB$163,($Q$2-2)*14+12,11),INDEX(Despesas!$NP$1:$OB$163,($Q$2-1)*15+16,11)))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IF($Q$2="","",IF($Q$2&gt;1,INDEX(Despesas!$NP$19:$OB$163,($Q$2-2)*14+13,1),INDEX(Despesas!$NP$1:$OB$163,($Q$2-1)*15+17,1)))</f>
        <v/>
      </c>
      <c r="C34" s="1507"/>
      <c r="D34" s="1452" t="str">
        <f>TRIM(IF($Q$2="","",IF($Q$2&gt;1,PROPER(INDEX(Despesas!$NP$19:$OB$163,($Q$2-2)*14+13,2)),PROPER(INDEX(Despesas!$NP$1:$OB$163,($Q$2-1)*15+17,2)))))</f>
        <v/>
      </c>
      <c r="E34" s="1453"/>
      <c r="F34" s="1453"/>
      <c r="G34" s="1454"/>
      <c r="H34" s="1474">
        <f>IF($Q$2="","",IF($Q$2&gt;1,INDEX(Despesas!$NP$19:$OB$163,($Q$2-2)*14+13,3),INDEX(Despesas!$NP$1:$OB$163,($Q$2-1)*15+17,3)))</f>
        <v>0</v>
      </c>
      <c r="I34" s="1475"/>
      <c r="J34" s="1458" t="str">
        <f>TRIM(IF($Q$2="","",IF($Q$2&gt;1,PROPER(INDEX(Despesas!$NP$19:$OB$163,($Q$2-2)*14+13,4)),PROPER(INDEX(Despesas!$NP$1:$OB$163,($Q$2-1)*15+17,4)))))</f>
        <v/>
      </c>
      <c r="K34" s="1459"/>
      <c r="L34" s="1459"/>
      <c r="M34" s="1460"/>
      <c r="N34" s="977">
        <f>IF($Q$2="","",IF($Q$2&gt;1,INDEX(Despesas!$NP$19:$OB$163,($Q$2-2)*14+13,5),INDEX(Despesas!$NP$1:$OB$163,($Q$2-1)*15+17,5)))</f>
        <v>0</v>
      </c>
      <c r="O34" s="1519">
        <f>IF($Q$2="","",IF($Q$2&gt;1,INDEX(Despesas!$NP$19:$OB$163,($Q$2-2)*14+13,6),INDEX(Despesas!$NP$1:$OB$163,($Q$2-1)*15+17,6)))</f>
        <v>0</v>
      </c>
      <c r="P34" s="1520"/>
      <c r="Q34" s="1521"/>
      <c r="R34" s="1508">
        <f>IF($Q$2="","",IF($Q$2&gt;1,INDEX(Despesas!$NP$19:$OB$163,($Q$2-2)*14+13,7),INDEX(Despesas!$NP$1:$OB$163,($Q$2-1)*15+17,7)))</f>
        <v>0</v>
      </c>
      <c r="S34" s="1509"/>
      <c r="T34" s="1517">
        <f>IF($Q$2="","",IF($Q$2&gt;1,INDEX(Despesas!$NP$19:$OB$163,($Q$2-2)*14+13,8),INDEX(Despesas!$NP$1:$OB$163,($Q$2-1)*15+17,8)))</f>
        <v>0</v>
      </c>
      <c r="U34" s="1518"/>
      <c r="V34" s="1508">
        <f>IF($Q$2="","",IF($Q$2&gt;1,INDEX(Despesas!$NP$19:$OB$163,($Q$2-2)*14+13,9),INDEX(Despesas!$NP$1:$OB$163,($Q$2-1)*15+17,9)))</f>
        <v>0</v>
      </c>
      <c r="W34" s="1509"/>
      <c r="X34" s="476">
        <f>IF($Q$2="","",IF($Q$2&gt;1,INDEX(Despesas!$NP$19:$OB$163,($Q$2-2)*14+13,10),INDEX(Despesas!$NP$1:$OB$163,($Q$2-1)*15+17,10)))</f>
        <v>0</v>
      </c>
      <c r="Y34" s="476">
        <f>IF($Q$2="","",IF($Q$2&gt;1,INDEX(Despesas!$NP$19:$OB$163,($Q$2-2)*14+13,11),INDEX(Despesas!$NP$1:$OB$163,($Q$2-1)*15+17,11)))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IF($Q$2="","",IF($Q$2&gt;1,INDEX(Despesas!$NP$19:$OB$163,($Q$2-2)*14+14,1),INDEX(Despesas!$NP$1:$OB$163,($Q$2-1)*15+18,1)))</f>
        <v/>
      </c>
      <c r="C35" s="1591"/>
      <c r="D35" s="1455" t="str">
        <f>TRIM(IF($Q$2="","",IF($Q$2&gt;1,PROPER(INDEX(Despesas!$NP$19:$OB$163,($Q$2-2)*14+14,2)),PROPER(INDEX(Despesas!$NP$1:$OB$163,($Q$2-1)*15+18,2)))))</f>
        <v/>
      </c>
      <c r="E35" s="1456"/>
      <c r="F35" s="1456"/>
      <c r="G35" s="1457"/>
      <c r="H35" s="1474">
        <f>IF($Q$2="","",IF($Q$2&gt;1,INDEX(Despesas!$NP$19:$OB$163,($Q$2-2)*14+14,3),INDEX(Despesas!$NP$1:$OB$163,($Q$2-1)*15+18,3)))</f>
        <v>0</v>
      </c>
      <c r="I35" s="1475"/>
      <c r="J35" s="1587" t="str">
        <f>TRIM(IF($Q$2="","",IF($Q$2&gt;1,PROPER(INDEX(Despesas!$NP$19:$OB$163,($Q$2-2)*14+14,4)),PROPER(INDEX(Despesas!$NP$1:$OB$163,($Q$2-1)*15+18,4)))))</f>
        <v/>
      </c>
      <c r="K35" s="1588"/>
      <c r="L35" s="1588"/>
      <c r="M35" s="1589"/>
      <c r="N35" s="977">
        <f>IF($Q$2="","",IF($Q$2&gt;1,INDEX(Despesas!$NP$19:$OB$163,($Q$2-2)*14+14,5),INDEX(Despesas!$NP$1:$OB$163,($Q$2-1)*15+18,5)))</f>
        <v>0</v>
      </c>
      <c r="O35" s="1519">
        <f>IF($Q$2="","",IF($Q$2&gt;1,INDEX(Despesas!$NP$19:$OB$163,($Q$2-2)*14+14,6),INDEX(Despesas!$NP$1:$OB$163,($Q$2-1)*15+18,6)))</f>
        <v>0</v>
      </c>
      <c r="P35" s="1520"/>
      <c r="Q35" s="1521"/>
      <c r="R35" s="1571">
        <f>IF($Q$2="","",IF($Q$2&gt;1,INDEX(Despesas!$NP$19:$OB$163,($Q$2-2)*14+14,7),INDEX(Despesas!$NP$1:$OB$163,($Q$2-1)*15+18,7)))</f>
        <v>0</v>
      </c>
      <c r="S35" s="1572"/>
      <c r="T35" s="1517">
        <f>IF($Q$2="","",IF($Q$2&gt;1,INDEX(Despesas!$NP$19:$OB$163,($Q$2-2)*14+14,8),INDEX(Despesas!$NP$1:$OB$163,($Q$2-1)*15+18,8)))</f>
        <v>0</v>
      </c>
      <c r="U35" s="1518"/>
      <c r="V35" s="1571">
        <f>IF($Q$2="","",IF($Q$2&gt;1,INDEX(Despesas!$NP$19:$OB$163,($Q$2-2)*14+14,9),INDEX(Despesas!$NP$1:$OB$163,($Q$2-1)*15+18,9)))</f>
        <v>0</v>
      </c>
      <c r="W35" s="1572"/>
      <c r="X35" s="476">
        <f>IF($Q$2="","",IF($Q$2&gt;1,INDEX(Despesas!$NP$19:$OB$163,($Q$2-2)*14+14,10),INDEX(Despesas!$NP$1:$OB$163,($Q$2-1)*15+18,10)))</f>
        <v>0</v>
      </c>
      <c r="Y35" s="476">
        <f>IF($Q$2="","",IF($Q$2&gt;1,INDEX(Despesas!$NP$19:$OB$163,($Q$2-2)*14+14,11),INDEX(Despesas!$NP$1:$OB$163,($Q$2-1)*15+18,11)))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"&amp;(Ata!B158))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IF(Ata!$BU$64&gt;0,Ata!$BU$64,"")</f>
        <v>#VALUE!</v>
      </c>
      <c r="E41" s="406" t="e">
        <f>IF(Ata!$BV$64&gt;0,Ata!$BV$64,"")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21:Y35">
    <cfRule type="cellIs" dxfId="180" priority="1" operator="equal">
      <formula>0</formula>
    </cfRule>
    <cfRule type="expression" dxfId="17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2" t="s">
        <v>308</v>
      </c>
      <c r="W2" s="1522"/>
      <c r="X2" s="1522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23"/>
      <c r="F4" s="1523"/>
      <c r="G4" s="1523"/>
      <c r="H4" s="1523"/>
      <c r="I4" s="1523"/>
      <c r="J4" s="1523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592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25" t="s">
        <v>298</v>
      </c>
      <c r="F5" s="1525"/>
      <c r="G5" s="1525"/>
      <c r="H5" s="1525"/>
      <c r="I5" s="1525"/>
      <c r="J5" s="1525"/>
      <c r="K5" s="1525"/>
      <c r="L5" s="83"/>
      <c r="M5" s="1363"/>
      <c r="N5" s="1363"/>
      <c r="O5" s="1363"/>
      <c r="P5" s="1363"/>
      <c r="Q5" s="1363"/>
      <c r="R5" s="1363"/>
      <c r="S5" s="83"/>
      <c r="T5" s="975"/>
      <c r="U5" s="975"/>
      <c r="V5" s="975"/>
      <c r="W5" s="975"/>
      <c r="X5" s="975"/>
      <c r="Y5" s="83"/>
      <c r="Z5" s="51"/>
      <c r="AA5" s="313"/>
      <c r="AB5" s="1592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0" t="s">
        <v>300</v>
      </c>
      <c r="F6" s="1530"/>
      <c r="G6" s="1530"/>
      <c r="H6" s="1530"/>
      <c r="I6" s="1530"/>
      <c r="J6" s="1530"/>
      <c r="K6" s="1530"/>
      <c r="L6" s="83"/>
      <c r="M6" s="83"/>
      <c r="N6" s="83"/>
      <c r="O6" s="83"/>
      <c r="P6" s="83"/>
      <c r="Q6" s="1363" t="s">
        <v>12315</v>
      </c>
      <c r="R6" s="1363"/>
      <c r="S6" s="1363"/>
      <c r="T6" s="1363"/>
      <c r="U6" s="1363"/>
      <c r="V6" s="1363"/>
      <c r="W6" s="1363"/>
      <c r="X6" s="1363"/>
      <c r="Y6" s="1363"/>
      <c r="Z6" s="51"/>
      <c r="AA6" s="313"/>
      <c r="AB6" s="1592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29" t="s">
        <v>302</v>
      </c>
      <c r="F7" s="1529"/>
      <c r="G7" s="1529"/>
      <c r="H7" s="1529"/>
      <c r="I7" s="1529"/>
      <c r="J7" s="1529"/>
      <c r="K7" s="1529"/>
      <c r="L7" s="83"/>
      <c r="M7" s="83"/>
      <c r="N7" s="83"/>
      <c r="O7" s="83"/>
      <c r="P7" s="83"/>
      <c r="Q7" s="1526" t="s">
        <v>277</v>
      </c>
      <c r="R7" s="1526"/>
      <c r="S7" s="1526"/>
      <c r="T7" s="1526"/>
      <c r="U7" s="1526"/>
      <c r="V7" s="1526"/>
      <c r="W7" s="1526"/>
      <c r="X7" s="1526"/>
      <c r="Y7" s="1526"/>
      <c r="Z7" s="51"/>
      <c r="AA7" s="313"/>
      <c r="AB7" s="1592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24"/>
      <c r="F8" s="1524"/>
      <c r="G8" s="1524"/>
      <c r="H8" s="1524"/>
      <c r="I8" s="1524"/>
      <c r="J8" s="1524"/>
      <c r="K8" s="85"/>
      <c r="L8" s="85"/>
      <c r="M8" s="83"/>
      <c r="N8" s="83"/>
      <c r="O8" s="83"/>
      <c r="P8" s="83"/>
      <c r="Q8" s="1526"/>
      <c r="R8" s="1526"/>
      <c r="S8" s="1526"/>
      <c r="T8" s="1526"/>
      <c r="U8" s="1526"/>
      <c r="V8" s="1526"/>
      <c r="W8" s="1526"/>
      <c r="X8" s="1526"/>
      <c r="Y8" s="1526"/>
      <c r="Z8" s="51"/>
      <c r="AA8" s="313"/>
      <c r="AB8" s="1592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477" t="s">
        <v>278</v>
      </c>
      <c r="C9" s="1478"/>
      <c r="D9" s="1478"/>
      <c r="E9" s="1478"/>
      <c r="F9" s="1478"/>
      <c r="G9" s="1478"/>
      <c r="H9" s="1478"/>
      <c r="I9" s="1478"/>
      <c r="J9" s="1531" t="str">
        <f>IF(OR($T$15&lt;0,$T$16&lt;0),"O VALOR DO CAMPO 13 NÃO PODE SER NEGATIVO","")</f>
        <v/>
      </c>
      <c r="K9" s="1531"/>
      <c r="L9" s="1531"/>
      <c r="M9" s="1531"/>
      <c r="N9" s="1531"/>
      <c r="O9" s="1531"/>
      <c r="P9" s="1531"/>
      <c r="Q9" s="1531"/>
      <c r="R9" s="1531"/>
      <c r="S9" s="1531"/>
      <c r="T9" s="1531"/>
      <c r="U9" s="1531"/>
      <c r="V9" s="1531"/>
      <c r="W9" s="1531"/>
      <c r="X9" s="1531"/>
      <c r="Y9" s="1532"/>
      <c r="Z9" s="46"/>
      <c r="AA9" s="314"/>
      <c r="AB9" s="159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3" t="s">
        <v>169</v>
      </c>
      <c r="C10" s="1534"/>
      <c r="D10" s="1534"/>
      <c r="E10" s="1535" t="str">
        <f>IF(Dados!$J$71="CEU",$Z$13,$Z$11)</f>
        <v>APM da(o)</v>
      </c>
      <c r="F10" s="1535"/>
      <c r="G10" s="1535"/>
      <c r="H10" s="1535"/>
      <c r="I10" s="1536"/>
      <c r="J10" s="1465" t="s">
        <v>156</v>
      </c>
      <c r="K10" s="1466"/>
      <c r="L10" s="1464" t="s">
        <v>164</v>
      </c>
      <c r="M10" s="1466"/>
      <c r="N10" s="1464" t="s">
        <v>157</v>
      </c>
      <c r="O10" s="1465"/>
      <c r="P10" s="1465"/>
      <c r="Q10" s="1466"/>
      <c r="R10" s="1490" t="s">
        <v>171</v>
      </c>
      <c r="S10" s="1491"/>
      <c r="T10" s="1491"/>
      <c r="U10" s="1487"/>
      <c r="V10" s="1492" t="s">
        <v>158</v>
      </c>
      <c r="W10" s="1493"/>
      <c r="X10" s="1494"/>
      <c r="Y10" s="125" t="s">
        <v>159</v>
      </c>
      <c r="Z10" s="46"/>
      <c r="AA10" s="314"/>
      <c r="AB10" s="1592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83" t="str">
        <f>Dados!$E$67</f>
        <v/>
      </c>
      <c r="C11" s="1484"/>
      <c r="D11" s="1484"/>
      <c r="E11" s="1484"/>
      <c r="F11" s="1484"/>
      <c r="G11" s="1484"/>
      <c r="H11" s="1484"/>
      <c r="I11" s="1485"/>
      <c r="J11" s="1481" t="str">
        <f>Dados!$E$71</f>
        <v/>
      </c>
      <c r="K11" s="1482"/>
      <c r="L11" s="1540" t="str">
        <f>Dados!$H$71</f>
        <v/>
      </c>
      <c r="M11" s="1541"/>
      <c r="N11" s="1603"/>
      <c r="O11" s="1604"/>
      <c r="P11" s="1604"/>
      <c r="Q11" s="1605"/>
      <c r="R11" s="1483" t="str">
        <f>Dados!$E$7</f>
        <v/>
      </c>
      <c r="S11" s="1484"/>
      <c r="T11" s="1484"/>
      <c r="U11" s="1485"/>
      <c r="V11" s="127">
        <f>Dados!$N$7</f>
        <v>43466</v>
      </c>
      <c r="W11" s="976" t="s">
        <v>292</v>
      </c>
      <c r="X11" s="128" t="str">
        <f>Dados!$O$7</f>
        <v/>
      </c>
      <c r="Y11" s="126">
        <f>Dados!$N$9</f>
        <v>2019</v>
      </c>
      <c r="Z11" s="554" t="s">
        <v>337</v>
      </c>
      <c r="AA11" s="314"/>
      <c r="AB11" s="1592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65"/>
      <c r="C12" s="1565"/>
      <c r="D12" s="1565"/>
      <c r="E12" s="1565"/>
      <c r="F12" s="1565"/>
      <c r="G12" s="1565"/>
      <c r="H12" s="1565"/>
      <c r="I12" s="1565"/>
      <c r="J12" s="1565"/>
      <c r="K12" s="1565"/>
      <c r="L12" s="1565"/>
      <c r="M12" s="1565"/>
      <c r="N12" s="1565"/>
      <c r="O12" s="1565"/>
      <c r="P12" s="1565"/>
      <c r="Q12" s="1565"/>
      <c r="R12" s="1565"/>
      <c r="S12" s="1565"/>
      <c r="T12" s="1566"/>
      <c r="U12" s="1566"/>
      <c r="V12" s="1566"/>
      <c r="W12" s="1566"/>
      <c r="X12" s="1566"/>
      <c r="Y12" s="1567"/>
      <c r="Z12" s="46"/>
      <c r="AA12" s="314"/>
      <c r="AB12" s="1592"/>
    </row>
    <row r="13" spans="1:48" ht="13.5" customHeight="1" x14ac:dyDescent="0.2">
      <c r="A13" s="223"/>
      <c r="B13" s="1477" t="s">
        <v>279</v>
      </c>
      <c r="C13" s="1478"/>
      <c r="D13" s="1478"/>
      <c r="E13" s="1478"/>
      <c r="F13" s="1478"/>
      <c r="G13" s="1478"/>
      <c r="H13" s="1478"/>
      <c r="I13" s="1478"/>
      <c r="J13" s="1478"/>
      <c r="K13" s="1478"/>
      <c r="L13" s="1478"/>
      <c r="M13" s="1478"/>
      <c r="N13" s="1478"/>
      <c r="O13" s="1478"/>
      <c r="P13" s="1478"/>
      <c r="Q13" s="1478"/>
      <c r="R13" s="1478"/>
      <c r="S13" s="1478"/>
      <c r="T13" s="1478"/>
      <c r="U13" s="1478"/>
      <c r="V13" s="1478"/>
      <c r="W13" s="1478"/>
      <c r="X13" s="1478"/>
      <c r="Y13" s="1479"/>
      <c r="Z13" s="46" t="s">
        <v>453</v>
      </c>
      <c r="AA13" s="314"/>
      <c r="AB13" s="1592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72" t="s">
        <v>160</v>
      </c>
      <c r="C14" s="1473"/>
      <c r="D14" s="1473"/>
      <c r="E14" s="1473"/>
      <c r="F14" s="1472" t="s">
        <v>161</v>
      </c>
      <c r="G14" s="1473"/>
      <c r="H14" s="1473"/>
      <c r="I14" s="1472" t="s">
        <v>162</v>
      </c>
      <c r="J14" s="1473"/>
      <c r="K14" s="1473"/>
      <c r="L14" s="1472" t="s">
        <v>166</v>
      </c>
      <c r="M14" s="1473"/>
      <c r="N14" s="1480"/>
      <c r="O14" s="1472" t="s">
        <v>289</v>
      </c>
      <c r="P14" s="1473"/>
      <c r="Q14" s="1473"/>
      <c r="R14" s="1473"/>
      <c r="S14" s="1472" t="s">
        <v>288</v>
      </c>
      <c r="T14" s="1473"/>
      <c r="U14" s="1473"/>
      <c r="V14" s="1473"/>
      <c r="W14" s="1472" t="s">
        <v>296</v>
      </c>
      <c r="X14" s="1473"/>
      <c r="Y14" s="1480"/>
      <c r="Z14" s="555"/>
      <c r="AA14" s="184"/>
      <c r="AB14" s="1592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607" t="str">
        <f>Dados!$F$62</f>
        <v/>
      </c>
      <c r="D15" s="1607"/>
      <c r="E15" s="1607"/>
      <c r="F15" s="49" t="s">
        <v>294</v>
      </c>
      <c r="G15" s="1470" t="str">
        <f>Dados!$F$60</f>
        <v/>
      </c>
      <c r="H15" s="1471"/>
      <c r="I15" s="275"/>
      <c r="J15" s="1542"/>
      <c r="K15" s="1543"/>
      <c r="L15" s="49" t="s">
        <v>294</v>
      </c>
      <c r="M15" s="1470" t="str">
        <f>IF(G15="","",IF(G15="BLOQUEADO",C15+J15,C15+G15+J15))</f>
        <v/>
      </c>
      <c r="N15" s="1471"/>
      <c r="O15" s="49" t="s">
        <v>294</v>
      </c>
      <c r="P15" s="1470">
        <f>Despesas!$AL$146</f>
        <v>0</v>
      </c>
      <c r="Q15" s="1470"/>
      <c r="R15" s="1470"/>
      <c r="S15" s="49" t="s">
        <v>294</v>
      </c>
      <c r="T15" s="1470" t="str">
        <f>IF(M15="","",(M15-P15))</f>
        <v/>
      </c>
      <c r="U15" s="1470"/>
      <c r="V15" s="1470"/>
      <c r="W15" s="1510" t="str">
        <f>IF(T15="","",T15+T16)</f>
        <v/>
      </c>
      <c r="X15" s="1511"/>
      <c r="Y15" s="1512"/>
      <c r="Z15" s="46"/>
      <c r="AA15" s="184"/>
      <c r="AB15" s="1592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606" t="str">
        <f>Dados!$I$62</f>
        <v/>
      </c>
      <c r="D16" s="1606"/>
      <c r="E16" s="1606"/>
      <c r="F16" s="48" t="s">
        <v>293</v>
      </c>
      <c r="G16" s="1463" t="str">
        <f>Dados!$I$60</f>
        <v/>
      </c>
      <c r="H16" s="1476"/>
      <c r="I16" s="275"/>
      <c r="J16" s="1542"/>
      <c r="K16" s="1543"/>
      <c r="L16" s="48" t="s">
        <v>293</v>
      </c>
      <c r="M16" s="1463" t="str">
        <f>IF(G16="","",IF(G16="BLOQUEADO",C16+J16,C16+G16+J16))</f>
        <v/>
      </c>
      <c r="N16" s="1476"/>
      <c r="O16" s="48" t="s">
        <v>293</v>
      </c>
      <c r="P16" s="1470">
        <f>Despesas!$AM$146</f>
        <v>0</v>
      </c>
      <c r="Q16" s="1470"/>
      <c r="R16" s="1470"/>
      <c r="S16" s="48" t="s">
        <v>293</v>
      </c>
      <c r="T16" s="1516" t="str">
        <f>IF(M16="","",(M16-P16))</f>
        <v/>
      </c>
      <c r="U16" s="1516"/>
      <c r="V16" s="1516"/>
      <c r="W16" s="1513"/>
      <c r="X16" s="1514"/>
      <c r="Y16" s="1515"/>
      <c r="Z16" s="46"/>
      <c r="AA16" s="184"/>
      <c r="AB16" s="1592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550" t="s">
        <v>280</v>
      </c>
      <c r="C17" s="1551"/>
      <c r="D17" s="1551"/>
      <c r="E17" s="1551"/>
      <c r="F17" s="1550"/>
      <c r="G17" s="1550"/>
      <c r="H17" s="1550"/>
      <c r="I17" s="1550"/>
      <c r="J17" s="1550"/>
      <c r="K17" s="1550"/>
      <c r="L17" s="1550"/>
      <c r="M17" s="1550"/>
      <c r="N17" s="1550"/>
      <c r="O17" s="1551"/>
      <c r="P17" s="1551"/>
      <c r="Q17" s="1551"/>
      <c r="R17" s="1551"/>
      <c r="S17" s="1550"/>
      <c r="T17" s="1550"/>
      <c r="U17" s="1550"/>
      <c r="V17" s="1550"/>
      <c r="W17" s="1550"/>
      <c r="X17" s="1550"/>
      <c r="Y17" s="1552"/>
      <c r="Z17" s="46"/>
      <c r="AA17" s="184"/>
      <c r="AB17" s="1592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477" t="s">
        <v>290</v>
      </c>
      <c r="C18" s="1478"/>
      <c r="D18" s="1478"/>
      <c r="E18" s="1478"/>
      <c r="F18" s="1478"/>
      <c r="G18" s="1478"/>
      <c r="H18" s="1478"/>
      <c r="I18" s="1478"/>
      <c r="J18" s="1531" t="str">
        <f>IF(OR($P$15&gt;$M$15,$P$16&gt;$M$16),"O VALOR DO CAMPO 12 NÃO PODE SER MAIOR QUE O VALOR TOTAL","")</f>
        <v/>
      </c>
      <c r="K18" s="1531"/>
      <c r="L18" s="1531"/>
      <c r="M18" s="1531"/>
      <c r="N18" s="1531"/>
      <c r="O18" s="1531"/>
      <c r="P18" s="1531"/>
      <c r="Q18" s="1531"/>
      <c r="R18" s="1531"/>
      <c r="S18" s="1531"/>
      <c r="T18" s="1531"/>
      <c r="U18" s="1531"/>
      <c r="V18" s="1531"/>
      <c r="W18" s="1531"/>
      <c r="X18" s="1531"/>
      <c r="Y18" s="1532"/>
      <c r="Z18" s="46"/>
      <c r="AA18" s="184"/>
      <c r="AB18" s="1592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486" t="s">
        <v>333</v>
      </c>
      <c r="C19" s="1487"/>
      <c r="D19" s="1464" t="s">
        <v>291</v>
      </c>
      <c r="E19" s="1465"/>
      <c r="F19" s="1465"/>
      <c r="G19" s="1466"/>
      <c r="H19" s="1464" t="s">
        <v>251</v>
      </c>
      <c r="I19" s="1466"/>
      <c r="J19" s="1464" t="s">
        <v>252</v>
      </c>
      <c r="K19" s="1465"/>
      <c r="L19" s="1465"/>
      <c r="M19" s="1466"/>
      <c r="N19" s="1464" t="s">
        <v>253</v>
      </c>
      <c r="O19" s="1465"/>
      <c r="P19" s="1465"/>
      <c r="Q19" s="1544"/>
      <c r="R19" s="1544"/>
      <c r="S19" s="1545"/>
      <c r="T19" s="1562" t="s">
        <v>254</v>
      </c>
      <c r="U19" s="1563"/>
      <c r="V19" s="1563"/>
      <c r="W19" s="1564"/>
      <c r="X19" s="87" t="s">
        <v>295</v>
      </c>
      <c r="Y19" s="87" t="s">
        <v>167</v>
      </c>
      <c r="Z19" s="46"/>
      <c r="AA19" s="184"/>
      <c r="AB19" s="1592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488"/>
      <c r="C20" s="1489"/>
      <c r="D20" s="1467"/>
      <c r="E20" s="1468"/>
      <c r="F20" s="1468"/>
      <c r="G20" s="1469"/>
      <c r="H20" s="1467"/>
      <c r="I20" s="1469"/>
      <c r="J20" s="1467"/>
      <c r="K20" s="1468"/>
      <c r="L20" s="1468"/>
      <c r="M20" s="1469"/>
      <c r="N20" s="978" t="s">
        <v>281</v>
      </c>
      <c r="O20" s="1546" t="s">
        <v>330</v>
      </c>
      <c r="P20" s="1558"/>
      <c r="Q20" s="1547"/>
      <c r="R20" s="1546" t="s">
        <v>282</v>
      </c>
      <c r="S20" s="1547"/>
      <c r="T20" s="1546" t="s">
        <v>283</v>
      </c>
      <c r="U20" s="1547"/>
      <c r="V20" s="1546" t="s">
        <v>282</v>
      </c>
      <c r="W20" s="1547"/>
      <c r="X20" s="90" t="s">
        <v>284</v>
      </c>
      <c r="Y20" s="90" t="s">
        <v>284</v>
      </c>
      <c r="Z20" s="46"/>
      <c r="AA20" s="184"/>
      <c r="AB20" s="1592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553" t="str">
        <f>IF($Q$2="","",IF($Q$2&gt;1,"",INDEX(Despesas!$OC$1:$OO$163,($Q$2-1)*15+4,1)))</f>
        <v/>
      </c>
      <c r="C21" s="1554"/>
      <c r="D21" s="1559" t="str">
        <f>TRIM(IF($Q$2="","",IF($Q$2&gt;1,"De transporte ..........",PROPER(INDEX(Despesas!$OC$1:$OO$163,($Q$2-1)*15+4,2)))))</f>
        <v/>
      </c>
      <c r="E21" s="1560"/>
      <c r="F21" s="1560"/>
      <c r="G21" s="1561"/>
      <c r="H21" s="1461">
        <f>IF($Q$2="","",IF($Q$2&gt;1,"",INDEX(Despesas!$OC$1:$OO$163,($Q$2-1)*15+4,3)))</f>
        <v>0</v>
      </c>
      <c r="I21" s="1462"/>
      <c r="J21" s="1537" t="str">
        <f>TRIM(IF($Q$2="","",IF($Q$2&gt;1,"",PROPER(INDEX(Despesas!$OC$1:$OO$163,($Q$2-1)*15+4,4)))))</f>
        <v/>
      </c>
      <c r="K21" s="1538"/>
      <c r="L21" s="1538"/>
      <c r="M21" s="1539"/>
      <c r="N21" s="977">
        <f>IF($Q$2="","",IF($Q$2&gt;1,"",INDEX(Despesas!$OC$1:$OO$163,($Q$2-1)*15+4,5)))</f>
        <v>0</v>
      </c>
      <c r="O21" s="1555">
        <f>IF($Q$2="","",IF($Q$2&gt;1,"",INDEX(Despesas!$OC$1:$OO$163,($Q$2-1)*15+4,6)))</f>
        <v>0</v>
      </c>
      <c r="P21" s="1556"/>
      <c r="Q21" s="1557"/>
      <c r="R21" s="1527">
        <f>IF($Q$2="","",IF($Q$2&gt;1,"",INDEX(Despesas!$OC$1:$OO$163,($Q$2-1)*15+4,7)))</f>
        <v>0</v>
      </c>
      <c r="S21" s="1528"/>
      <c r="T21" s="1548">
        <f>IF($Q$2="","",IF($Q$2&gt;1,"",INDEX(Despesas!$OC$1:$OO$163,($Q$2-1)*15+4,8)))</f>
        <v>0</v>
      </c>
      <c r="U21" s="1549"/>
      <c r="V21" s="1527">
        <f>IF($Q$2="","",IF($Q$2&gt;1,"",INDEX(Despesas!$OC$1:$OO$163,($Q$2-1)*15+4,9)))</f>
        <v>0</v>
      </c>
      <c r="W21" s="1528"/>
      <c r="X21" s="476">
        <f>IF($Q$2="","",IF($Q$2&gt;1,INDEX(Despesas!$QC$4:$QD$15,($Q$2)-1,1),INDEX(Despesas!$OC$1:$OO$163,($Q$2-1)*15+4,10)))</f>
        <v>0</v>
      </c>
      <c r="Y21" s="476">
        <f>IF($Q$2="","",IF($Q$2&gt;1,INDEX(Despesas!$QC$4:$QD$15,($Q$2)-1,2),INDEX(Despesas!$OC$1:$OO$163,($Q$2-1)*15+4,11)))</f>
        <v>0</v>
      </c>
      <c r="Z21" s="222">
        <f>IF($Q$2="","",IF(AND($Q$2&gt;=1,B21&gt;=1),1,IF(INDEX(Despesas!$A$1:T$163,($Q$2-1)*15+4,19)=0,0,1)))</f>
        <v>1</v>
      </c>
      <c r="AA21" s="148"/>
      <c r="AB21" s="1592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506" t="str">
        <f>IF($Q$2="","",IF($Q$2&gt;1,INDEX(Despesas!$OC$19:$OO$163,($Q$2-2)*14+1,1),INDEX(Despesas!$OC$1:$OO$163,($Q$2-1)*15+5,1)))</f>
        <v/>
      </c>
      <c r="C22" s="1507"/>
      <c r="D22" s="1452" t="str">
        <f>TRIM(IF($Q$2="","",IF($Q$2&gt;1,PROPER(INDEX(Despesas!$OC$19:$OO$163,($Q$2-2)*14+1,2)),PROPER(INDEX(Despesas!$OC$1:$OO$163,($Q$2-1)*15+5,2)))))</f>
        <v/>
      </c>
      <c r="E22" s="1453"/>
      <c r="F22" s="1453"/>
      <c r="G22" s="1454"/>
      <c r="H22" s="1474">
        <f>IF($Q$2="","",IF($Q$2&gt;1,INDEX(Despesas!$OC$19:$OO$163,($Q$2-2)*14+1,3),INDEX(Despesas!$OC$1:$OO$163,($Q$2-1)*15+5,3)))</f>
        <v>0</v>
      </c>
      <c r="I22" s="1475"/>
      <c r="J22" s="1458" t="str">
        <f>TRIM(IF($Q$2="","",IF($Q$2&gt;1,PROPER(INDEX(Despesas!$OC$19:$OO$163,($Q$2-2)*14+1,4)),PROPER(INDEX(Despesas!$OC$1:$OO$163,($Q$2-1)*15+5,4)))))</f>
        <v/>
      </c>
      <c r="K22" s="1459"/>
      <c r="L22" s="1459"/>
      <c r="M22" s="1460"/>
      <c r="N22" s="452">
        <f>IF($Q$2="","",IF($Q$2&gt;1,INDEX(Despesas!$OC$19:$OO$163,($Q$2-2)*14+1,5),INDEX(Despesas!$OC$1:$OO$163,($Q$2-1)*15+5,5)))</f>
        <v>0</v>
      </c>
      <c r="O22" s="1519">
        <f>IF($Q$2="","",IF($Q$2&gt;1,INDEX(Despesas!$OC$19:$OO$163,($Q$2-2)*14+1,6),INDEX(Despesas!$OC$1:$OO$163,($Q$2-1)*15+5,6)))</f>
        <v>0</v>
      </c>
      <c r="P22" s="1520"/>
      <c r="Q22" s="1521"/>
      <c r="R22" s="1508">
        <f>IF($Q$2="","",IF($Q$2&gt;1,INDEX(Despesas!$OC$19:$OO$163,($Q$2-2)*14+1,7),INDEX(Despesas!$OC$1:$OO$163,($Q$2-1)*15+5,7)))</f>
        <v>0</v>
      </c>
      <c r="S22" s="1509"/>
      <c r="T22" s="1517">
        <f>IF($Q$2="","",IF($Q$2&gt;1,INDEX(Despesas!$OC$19:$OO$163,($Q$2-2)*14+1,8),INDEX(Despesas!$OC$1:$OO$163,($Q$2-1)*15+5,8)))</f>
        <v>0</v>
      </c>
      <c r="U22" s="1518"/>
      <c r="V22" s="1508">
        <f>IF($Q$2="","",IF($Q$2&gt;1,INDEX(Despesas!$OC$19:$OO$163,($Q$2-2)*14+1,9),INDEX(Despesas!$OC$1:$OO$163,($Q$2-1)*15+5,9)))</f>
        <v>0</v>
      </c>
      <c r="W22" s="1509"/>
      <c r="X22" s="476">
        <f>IF($Q$2="","",IF($Q$2&gt;1,INDEX(Despesas!$OC$19:$OO$163,($Q$2-2)*14+1,10),INDEX(Despesas!$OC$1:$OO$163,($Q$2-1)*15+5,10)))</f>
        <v>0</v>
      </c>
      <c r="Y22" s="476">
        <f>IF($Q$2="","",IF($Q$2&gt;1,INDEX(Despesas!$OC$19:$OO$163,($Q$2-2)*14+1,11),INDEX(Despesas!$OC$1:$OO$163,($Q$2-1)*15+5,11)))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592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506" t="str">
        <f>IF($Q$2="","",IF($Q$2&gt;1,INDEX(Despesas!$OC$19:$OO$163,($Q$2-2)*14+2,1),INDEX(Despesas!$OC$1:$OO$163,($Q$2-1)*15+6,1)))</f>
        <v/>
      </c>
      <c r="C23" s="1507"/>
      <c r="D23" s="1452" t="str">
        <f>TRIM(IF($Q$2="","",IF($Q$2&gt;1,PROPER(INDEX(Despesas!$OC$19:$OO$163,($Q$2-2)*14+2,2)),PROPER(INDEX(Despesas!$OC$1:$OO$163,($Q$2-1)*15+6,2)))))</f>
        <v/>
      </c>
      <c r="E23" s="1453"/>
      <c r="F23" s="1453"/>
      <c r="G23" s="1454"/>
      <c r="H23" s="1474">
        <f>IF($Q$2="","",IF($Q$2&gt;1,INDEX(Despesas!$OC$19:$OO$163,($Q$2-2)*14+2,3),INDEX(Despesas!$OC$1:$OO$163,($Q$2-1)*15+6,3)))</f>
        <v>0</v>
      </c>
      <c r="I23" s="1475"/>
      <c r="J23" s="1458" t="str">
        <f>TRIM(IF($Q$2="","",IF($Q$2&gt;1,PROPER(INDEX(Despesas!$OC$19:$OO$163,($Q$2-2)*14+2,4)),PROPER(INDEX(Despesas!$OC$1:$OO$163,($Q$2-1)*15+6,4)))))</f>
        <v/>
      </c>
      <c r="K23" s="1459"/>
      <c r="L23" s="1459"/>
      <c r="M23" s="1460"/>
      <c r="N23" s="977">
        <f>IF($Q$2="","",IF($Q$2&gt;1,INDEX(Despesas!$OC$19:$OO$163,($Q$2-2)*14+2,5),INDEX(Despesas!$OC$1:$OO$163,($Q$2-1)*15+6,5)))</f>
        <v>0</v>
      </c>
      <c r="O23" s="1519">
        <f>IF($Q$2="","",IF($Q$2&gt;1,INDEX(Despesas!$OC$19:$OO$163,($Q$2-2)*14+2,6),INDEX(Despesas!$OC$1:$OO$163,($Q$2-1)*15+6,6)))</f>
        <v>0</v>
      </c>
      <c r="P23" s="1520"/>
      <c r="Q23" s="1521"/>
      <c r="R23" s="1508">
        <f>IF($Q$2="","",IF($Q$2&gt;1,INDEX(Despesas!$OC$19:$OO$163,($Q$2-2)*14+2,7),INDEX(Despesas!$OC$1:$OO$163,($Q$2-1)*15+6,7)))</f>
        <v>0</v>
      </c>
      <c r="S23" s="1509"/>
      <c r="T23" s="1517">
        <f>IF($Q$2="","",IF($Q$2&gt;1,INDEX(Despesas!$OC$19:$OO$163,($Q$2-2)*14+2,8),INDEX(Despesas!$OC$1:$OO$163,($Q$2-1)*15+6,8)))</f>
        <v>0</v>
      </c>
      <c r="U23" s="1518"/>
      <c r="V23" s="1508">
        <f>IF($Q$2="","",IF($Q$2&gt;1,INDEX(Despesas!$OC$19:$OO$163,($Q$2-2)*14+2,9),INDEX(Despesas!$OC$1:$OO$163,($Q$2-1)*15+6,9)))</f>
        <v>0</v>
      </c>
      <c r="W23" s="1509"/>
      <c r="X23" s="476">
        <f>IF($Q$2="","",IF($Q$2&gt;1,INDEX(Despesas!$OC$19:$OO$163,($Q$2-2)*14+2,10),INDEX(Despesas!$OC$1:$OO$163,($Q$2-1)*15+6,10)))</f>
        <v>0</v>
      </c>
      <c r="Y23" s="476">
        <f>IF($Q$2="","",IF($Q$2&gt;1,INDEX(Despesas!$OC$19:$OO$163,($Q$2-2)*14+2,11),INDEX(Despesas!$OC$1:$OO$163,($Q$2-1)*15+6,11)))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592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506" t="str">
        <f>IF($Q$2="","",IF($Q$2&gt;1,INDEX(Despesas!$OC$19:$OO$163,($Q$2-2)*14+3,1),INDEX(Despesas!$OC$1:$OO$163,($Q$2-1)*15+7,1)))</f>
        <v/>
      </c>
      <c r="C24" s="1507"/>
      <c r="D24" s="1452" t="str">
        <f>TRIM(IF($Q$2="","",IF($Q$2&gt;1,PROPER(INDEX(Despesas!$OC$19:$OO$163,($Q$2-2)*14+3,2)),PROPER(INDEX(Despesas!$OC$1:$OO$163,($Q$2-1)*15+7,2)))))</f>
        <v/>
      </c>
      <c r="E24" s="1453"/>
      <c r="F24" s="1453"/>
      <c r="G24" s="1454"/>
      <c r="H24" s="1474">
        <f>IF($Q$2="","",IF($Q$2&gt;1,INDEX(Despesas!$OC$19:$OO$163,($Q$2-2)*14+3,3),INDEX(Despesas!$OC$1:$OO$163,($Q$2-1)*15+7,3)))</f>
        <v>0</v>
      </c>
      <c r="I24" s="1475"/>
      <c r="J24" s="1458" t="str">
        <f>TRIM(IF($Q$2="","",IF($Q$2&gt;1,PROPER(INDEX(Despesas!$OC$19:$OO$163,($Q$2-2)*14+3,4)),PROPER(INDEX(Despesas!$OC$1:$OO$163,($Q$2-1)*15+7,4)))))</f>
        <v/>
      </c>
      <c r="K24" s="1459"/>
      <c r="L24" s="1459"/>
      <c r="M24" s="1460"/>
      <c r="N24" s="977">
        <f>IF($Q$2="","",IF($Q$2&gt;1,INDEX(Despesas!$OC$19:$OO$163,($Q$2-2)*14+3,5),INDEX(Despesas!$OC$1:$OO$163,($Q$2-1)*15+7,5)))</f>
        <v>0</v>
      </c>
      <c r="O24" s="1519">
        <f>IF($Q$2="","",IF($Q$2&gt;1,INDEX(Despesas!$OC$19:$OO$163,($Q$2-2)*14+3,6),INDEX(Despesas!$OC$1:$OO$163,($Q$2-1)*15+7,6)))</f>
        <v>0</v>
      </c>
      <c r="P24" s="1520"/>
      <c r="Q24" s="1521"/>
      <c r="R24" s="1508">
        <f>IF($Q$2="","",IF($Q$2&gt;1,INDEX(Despesas!$OC$19:$OO$163,($Q$2-2)*14+3,7),INDEX(Despesas!$OC$1:$OO$163,($Q$2-1)*15+7,7)))</f>
        <v>0</v>
      </c>
      <c r="S24" s="1509"/>
      <c r="T24" s="1517">
        <f>IF($Q$2="","",IF($Q$2&gt;1,INDEX(Despesas!$OC$19:$OO$163,($Q$2-2)*14+3,8),INDEX(Despesas!$OC$1:$OO$163,($Q$2-1)*15+7,8)))</f>
        <v>0</v>
      </c>
      <c r="U24" s="1518"/>
      <c r="V24" s="1508">
        <f>IF($Q$2="","",IF($Q$2&gt;1,INDEX(Despesas!$OC$19:$OO$163,($Q$2-2)*14+3,9),INDEX(Despesas!$OC$1:$OO$163,($Q$2-1)*15+7,9)))</f>
        <v>0</v>
      </c>
      <c r="W24" s="1509"/>
      <c r="X24" s="476">
        <f>IF($Q$2="","",IF($Q$2&gt;1,INDEX(Despesas!$OC$19:$OO$163,($Q$2-2)*14+3,10),INDEX(Despesas!$OC$1:$OO$163,($Q$2-1)*15+7,10)))</f>
        <v>0</v>
      </c>
      <c r="Y24" s="476">
        <f>IF($Q$2="","",IF($Q$2&gt;1,INDEX(Despesas!$OC$19:$OO$163,($Q$2-2)*14+3,11),INDEX(Despesas!$OC$1:$OO$163,($Q$2-1)*15+7,11)))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592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506" t="str">
        <f>IF($Q$2="","",IF($Q$2&gt;1,INDEX(Despesas!$OC$19:$OO$163,($Q$2-2)*14+4,1),INDEX(Despesas!$OC$1:$OO$163,($Q$2-1)*15+8,1)))</f>
        <v/>
      </c>
      <c r="C25" s="1507"/>
      <c r="D25" s="1452" t="str">
        <f>TRIM(IF($Q$2="","",IF($Q$2&gt;1,PROPER(INDEX(Despesas!$OC$19:$OO$163,($Q$2-2)*14+4,2)),PROPER(INDEX(Despesas!$OC$1:$OO$163,($Q$2-1)*15+8,2)))))</f>
        <v/>
      </c>
      <c r="E25" s="1453"/>
      <c r="F25" s="1453"/>
      <c r="G25" s="1454"/>
      <c r="H25" s="1474">
        <f>IF($Q$2="","",IF($Q$2&gt;1,INDEX(Despesas!$OC$19:$OO$163,($Q$2-2)*14+4,3),INDEX(Despesas!$OC$1:$OO$163,($Q$2-1)*15+8,3)))</f>
        <v>0</v>
      </c>
      <c r="I25" s="1475"/>
      <c r="J25" s="1458" t="str">
        <f>TRIM(IF($Q$2="","",IF($Q$2&gt;1,PROPER(INDEX(Despesas!$OC$19:$OO$163,($Q$2-2)*14+4,4)),PROPER(INDEX(Despesas!$OC$1:$OO$163,($Q$2-1)*15+8,4)))))</f>
        <v/>
      </c>
      <c r="K25" s="1459"/>
      <c r="L25" s="1459"/>
      <c r="M25" s="1460"/>
      <c r="N25" s="977">
        <f>IF($Q$2="","",IF($Q$2&gt;1,INDEX(Despesas!$OC$19:$OO$163,($Q$2-2)*14+4,5),INDEX(Despesas!$OC$1:$OO$163,($Q$2-1)*15+8,5)))</f>
        <v>0</v>
      </c>
      <c r="O25" s="1519">
        <f>IF($Q$2="","",IF($Q$2&gt;1,INDEX(Despesas!$OC$19:$OO$163,($Q$2-2)*14+4,6),INDEX(Despesas!$OC$1:$OO$163,($Q$2-1)*15+8,6)))</f>
        <v>0</v>
      </c>
      <c r="P25" s="1520"/>
      <c r="Q25" s="1521"/>
      <c r="R25" s="1508">
        <f>IF($Q$2="","",IF($Q$2&gt;1,INDEX(Despesas!$OC$19:$OO$163,($Q$2-2)*14+4,7),INDEX(Despesas!$OC$1:$OO$163,($Q$2-1)*15+8,7)))</f>
        <v>0</v>
      </c>
      <c r="S25" s="1509"/>
      <c r="T25" s="1517">
        <f>IF($Q$2="","",IF($Q$2&gt;1,INDEX(Despesas!$OC$19:$OO$163,($Q$2-2)*14+4,8),INDEX(Despesas!$OC$1:$OO$163,($Q$2-1)*15+8,8)))</f>
        <v>0</v>
      </c>
      <c r="U25" s="1518"/>
      <c r="V25" s="1508">
        <f>IF($Q$2="","",IF($Q$2&gt;1,INDEX(Despesas!$OC$19:$OO$163,($Q$2-2)*14+4,9),INDEX(Despesas!$OC$1:$OO$163,($Q$2-1)*15+8,9)))</f>
        <v>0</v>
      </c>
      <c r="W25" s="1509"/>
      <c r="X25" s="476">
        <f>IF($Q$2="","",IF($Q$2&gt;1,INDEX(Despesas!$OC$19:$OO$163,($Q$2-2)*14+4,10),INDEX(Despesas!$OC$1:$OO$163,($Q$2-1)*15+8,10)))</f>
        <v>0</v>
      </c>
      <c r="Y25" s="476">
        <f>IF($Q$2="","",IF($Q$2&gt;1,INDEX(Despesas!$OC$19:$OO$163,($Q$2-2)*14+4,11),INDEX(Despesas!$OC$1:$OO$163,($Q$2-1)*15+8,11)))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592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506" t="str">
        <f>IF($Q$2="","",IF($Q$2&gt;1,INDEX(Despesas!$OC$19:$OO$163,($Q$2-2)*14+5,1),INDEX(Despesas!$OC$1:$OO$163,($Q$2-1)*15+9,1)))</f>
        <v/>
      </c>
      <c r="C26" s="1507"/>
      <c r="D26" s="1452" t="str">
        <f>TRIM(IF($Q$2="","",IF($Q$2&gt;1,PROPER(INDEX(Despesas!$OC$19:$OO$163,($Q$2-2)*14+5,2)),PROPER(INDEX(Despesas!$OC$1:$OO$163,($Q$2-1)*15+9,2)))))</f>
        <v/>
      </c>
      <c r="E26" s="1453"/>
      <c r="F26" s="1453"/>
      <c r="G26" s="1454"/>
      <c r="H26" s="1474">
        <f>IF($Q$2="","",IF($Q$2&gt;1,INDEX(Despesas!$OC$19:$OO$163,($Q$2-2)*14+5,3),INDEX(Despesas!$OC$1:$OO$163,($Q$2-1)*15+9,3)))</f>
        <v>0</v>
      </c>
      <c r="I26" s="1475"/>
      <c r="J26" s="1458" t="str">
        <f>TRIM(IF($Q$2="","",IF($Q$2&gt;1,PROPER(INDEX(Despesas!$OC$19:$OO$163,($Q$2-2)*14+5,4)),PROPER(INDEX(Despesas!$OC$1:$OO$163,($Q$2-1)*15+9,4)))))</f>
        <v/>
      </c>
      <c r="K26" s="1459"/>
      <c r="L26" s="1459"/>
      <c r="M26" s="1460"/>
      <c r="N26" s="977">
        <f>IF($Q$2="","",IF($Q$2&gt;1,INDEX(Despesas!$OC$19:$OO$163,($Q$2-2)*14+5,5),INDEX(Despesas!$OC$1:$OO$163,($Q$2-1)*15+9,5)))</f>
        <v>0</v>
      </c>
      <c r="O26" s="1519">
        <f>IF($Q$2="","",IF($Q$2&gt;1,INDEX(Despesas!$OC$19:$OO$163,($Q$2-2)*14+5,6),INDEX(Despesas!$OC$1:$OO$163,($Q$2-1)*15+9,6)))</f>
        <v>0</v>
      </c>
      <c r="P26" s="1520"/>
      <c r="Q26" s="1521"/>
      <c r="R26" s="1508">
        <f>IF($Q$2="","",IF($Q$2&gt;1,INDEX(Despesas!$OC$19:$OO$163,($Q$2-2)*14+5,7),INDEX(Despesas!$OC$1:$OO$163,($Q$2-1)*15+9,7)))</f>
        <v>0</v>
      </c>
      <c r="S26" s="1509"/>
      <c r="T26" s="1517">
        <f>IF($Q$2="","",IF($Q$2&gt;1,INDEX(Despesas!$OC$19:$OO$163,($Q$2-2)*14+5,8),INDEX(Despesas!$OC$1:$OO$163,($Q$2-1)*15+9,8)))</f>
        <v>0</v>
      </c>
      <c r="U26" s="1518"/>
      <c r="V26" s="1508">
        <f>IF($Q$2="","",IF($Q$2&gt;1,INDEX(Despesas!$OC$19:$OO$163,($Q$2-2)*14+5,9),INDEX(Despesas!$OC$1:$OO$163,($Q$2-1)*15+9,9)))</f>
        <v>0</v>
      </c>
      <c r="W26" s="1509"/>
      <c r="X26" s="476">
        <f>IF($Q$2="","",IF($Q$2&gt;1,INDEX(Despesas!$OC$19:$OO$163,($Q$2-2)*14+5,10),INDEX(Despesas!$OC$1:$OO$163,($Q$2-1)*15+9,10)))</f>
        <v>0</v>
      </c>
      <c r="Y26" s="476">
        <f>IF($Q$2="","",IF($Q$2&gt;1,INDEX(Despesas!$OC$19:$OO$163,($Q$2-2)*14+5,11),INDEX(Despesas!$OC$1:$OO$163,($Q$2-1)*15+9,11)))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592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506" t="str">
        <f>IF($Q$2="","",IF($Q$2&gt;1,INDEX(Despesas!$OC$19:$OO$163,($Q$2-2)*14+6,1),INDEX(Despesas!$OC$1:$OO$163,($Q$2-1)*15+10,1)))</f>
        <v/>
      </c>
      <c r="C27" s="1507"/>
      <c r="D27" s="1452" t="str">
        <f>TRIM(IF($Q$2="","",IF($Q$2&gt;1,PROPER(INDEX(Despesas!$OC$19:$OO$163,($Q$2-2)*14+6,2)),PROPER(INDEX(Despesas!$OC$1:$OO$163,($Q$2-1)*15+10,2)))))</f>
        <v/>
      </c>
      <c r="E27" s="1453"/>
      <c r="F27" s="1453"/>
      <c r="G27" s="1454"/>
      <c r="H27" s="1474">
        <f>IF($Q$2="","",IF($Q$2&gt;1,INDEX(Despesas!$OC$19:$OO$163,($Q$2-2)*14+6,3),INDEX(Despesas!$OC$1:$OO$163,($Q$2-1)*15+10,3)))</f>
        <v>0</v>
      </c>
      <c r="I27" s="1475"/>
      <c r="J27" s="1458" t="str">
        <f>TRIM(IF($Q$2="","",IF($Q$2&gt;1,PROPER(INDEX(Despesas!$OC$19:$OO$163,($Q$2-2)*14+6,4)),PROPER(INDEX(Despesas!$OC$1:$OO$163,($Q$2-1)*15+10,4)))))</f>
        <v/>
      </c>
      <c r="K27" s="1459"/>
      <c r="L27" s="1459"/>
      <c r="M27" s="1460"/>
      <c r="N27" s="977">
        <f>IF($Q$2="","",IF($Q$2&gt;1,INDEX(Despesas!$OC$19:$OO$163,($Q$2-2)*14+6,5),INDEX(Despesas!$OC$1:$OO$163,($Q$2-1)*15+10,5)))</f>
        <v>0</v>
      </c>
      <c r="O27" s="1519">
        <f>IF($Q$2="","",IF($Q$2&gt;1,INDEX(Despesas!$OC$19:$OO$163,($Q$2-2)*14+6,6),INDEX(Despesas!$OC$1:$OO$163,($Q$2-1)*15+10,6)))</f>
        <v>0</v>
      </c>
      <c r="P27" s="1520"/>
      <c r="Q27" s="1521"/>
      <c r="R27" s="1508">
        <f>IF($Q$2="","",IF($Q$2&gt;1,INDEX(Despesas!$OC$19:$OO$163,($Q$2-2)*14+6,7),INDEX(Despesas!$OC$1:$OO$163,($Q$2-1)*15+10,7)))</f>
        <v>0</v>
      </c>
      <c r="S27" s="1509"/>
      <c r="T27" s="1517">
        <f>IF($Q$2="","",IF($Q$2&gt;1,INDEX(Despesas!$OC$19:$OO$163,($Q$2-2)*14+6,8),INDEX(Despesas!$OC$1:$OO$163,($Q$2-1)*15+10,8)))</f>
        <v>0</v>
      </c>
      <c r="U27" s="1518"/>
      <c r="V27" s="1508">
        <f>IF($Q$2="","",IF($Q$2&gt;1,INDEX(Despesas!$OC$19:$OO$163,($Q$2-2)*14+6,9),INDEX(Despesas!$OC$1:$OO$163,($Q$2-1)*15+10,9)))</f>
        <v>0</v>
      </c>
      <c r="W27" s="1509"/>
      <c r="X27" s="476">
        <f>IF($Q$2="","",IF($Q$2&gt;1,INDEX(Despesas!$OC$19:$OO$163,($Q$2-2)*14+6,10),INDEX(Despesas!$OC$1:$OO$163,($Q$2-1)*15+10,10)))</f>
        <v>0</v>
      </c>
      <c r="Y27" s="476">
        <f>IF($Q$2="","",IF($Q$2&gt;1,INDEX(Despesas!$OC$19:$OO$163,($Q$2-2)*14+6,11),INDEX(Despesas!$OC$1:$OO$163,($Q$2-1)*15+10,11)))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592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506" t="str">
        <f>IF($Q$2="","",IF($Q$2&gt;1,INDEX(Despesas!$OC$19:$OO$163,($Q$2-2)*14+7,1),INDEX(Despesas!$OC$1:$OO$163,($Q$2-1)*15+11,1)))</f>
        <v/>
      </c>
      <c r="C28" s="1507"/>
      <c r="D28" s="1452" t="str">
        <f>TRIM(IF($Q$2="","",IF($Q$2&gt;1,PROPER(INDEX(Despesas!$OC$19:$OO$163,($Q$2-2)*14+7,2)),PROPER(INDEX(Despesas!$OC$1:$OO$163,($Q$2-1)*15+11,2)))))</f>
        <v/>
      </c>
      <c r="E28" s="1453"/>
      <c r="F28" s="1453"/>
      <c r="G28" s="1454"/>
      <c r="H28" s="1474">
        <f>IF($Q$2="","",IF($Q$2&gt;1,INDEX(Despesas!$OC$19:$OO$163,($Q$2-2)*14+7,3),INDEX(Despesas!$OC$1:$OO$163,($Q$2-1)*15+11,3)))</f>
        <v>0</v>
      </c>
      <c r="I28" s="1475"/>
      <c r="J28" s="1458" t="str">
        <f>TRIM(IF($Q$2="","",IF($Q$2&gt;1,PROPER(INDEX(Despesas!$OC$19:$OO$163,($Q$2-2)*14+7,4)),PROPER(INDEX(Despesas!$OC$1:$OO$163,($Q$2-1)*15+11,4)))))</f>
        <v/>
      </c>
      <c r="K28" s="1459"/>
      <c r="L28" s="1459"/>
      <c r="M28" s="1460"/>
      <c r="N28" s="977">
        <f>IF($Q$2="","",IF($Q$2&gt;1,INDEX(Despesas!$OC$19:$OO$163,($Q$2-2)*14+7,5),INDEX(Despesas!$OC$1:$OO$163,($Q$2-1)*15+11,5)))</f>
        <v>0</v>
      </c>
      <c r="O28" s="1519">
        <f>IF($Q$2="","",IF($Q$2&gt;1,INDEX(Despesas!$OC$19:$OO$163,($Q$2-2)*14+7,6),INDEX(Despesas!$OC$1:$OO$163,($Q$2-1)*15+11,6)))</f>
        <v>0</v>
      </c>
      <c r="P28" s="1520"/>
      <c r="Q28" s="1521"/>
      <c r="R28" s="1508">
        <f>IF($Q$2="","",IF($Q$2&gt;1,INDEX(Despesas!$OC$19:$OO$163,($Q$2-2)*14+7,7),INDEX(Despesas!$OC$1:$OO$163,($Q$2-1)*15+11,7)))</f>
        <v>0</v>
      </c>
      <c r="S28" s="1509"/>
      <c r="T28" s="1517">
        <f>IF($Q$2="","",IF($Q$2&gt;1,INDEX(Despesas!$OC$19:$OO$163,($Q$2-2)*14+7,8),INDEX(Despesas!$OC$1:$OO$163,($Q$2-1)*15+11,8)))</f>
        <v>0</v>
      </c>
      <c r="U28" s="1518"/>
      <c r="V28" s="1508">
        <f>IF($Q$2="","",IF($Q$2&gt;1,INDEX(Despesas!$OC$19:$OO$163,($Q$2-2)*14+7,9),INDEX(Despesas!$OC$1:$OO$163,($Q$2-1)*15+11,9)))</f>
        <v>0</v>
      </c>
      <c r="W28" s="1509"/>
      <c r="X28" s="476">
        <f>IF($Q$2="","",IF($Q$2&gt;1,INDEX(Despesas!$OC$19:$OO$163,($Q$2-2)*14+7,10),INDEX(Despesas!$OC$1:$OO$163,($Q$2-1)*15+11,10)))</f>
        <v>0</v>
      </c>
      <c r="Y28" s="476">
        <f>IF($Q$2="","",IF($Q$2&gt;1,INDEX(Despesas!$OC$19:$OO$163,($Q$2-2)*14+7,11),INDEX(Despesas!$OC$1:$OO$163,($Q$2-1)*15+11,11)))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592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506" t="str">
        <f>IF($Q$2="","",IF($Q$2&gt;1,INDEX(Despesas!$OC$19:$OO$163,($Q$2-2)*14+8,1),INDEX(Despesas!$OC$1:$OO$163,($Q$2-1)*15+12,1)))</f>
        <v/>
      </c>
      <c r="C29" s="1507"/>
      <c r="D29" s="1452" t="str">
        <f>TRIM(IF($Q$2="","",IF($Q$2&gt;1,PROPER(INDEX(Despesas!$OC$19:$OO$163,($Q$2-2)*14+8,2)),PROPER(INDEX(Despesas!$OC$1:$OO$163,($Q$2-1)*15+12,2)))))</f>
        <v/>
      </c>
      <c r="E29" s="1453"/>
      <c r="F29" s="1453"/>
      <c r="G29" s="1454"/>
      <c r="H29" s="1474">
        <f>IF($Q$2="","",IF($Q$2&gt;1,INDEX(Despesas!$OC$19:$OO$163,($Q$2-2)*14+8,3),INDEX(Despesas!$OC$1:$OO$163,($Q$2-1)*15+12,3)))</f>
        <v>0</v>
      </c>
      <c r="I29" s="1475"/>
      <c r="J29" s="1458" t="str">
        <f>TRIM(IF($Q$2="","",IF($Q$2&gt;1,PROPER(INDEX(Despesas!$OC$19:$OO$163,($Q$2-2)*14+8,4)),PROPER(INDEX(Despesas!$OC$1:$OO$163,($Q$2-1)*15+12,4)))))</f>
        <v/>
      </c>
      <c r="K29" s="1459"/>
      <c r="L29" s="1459"/>
      <c r="M29" s="1460"/>
      <c r="N29" s="977">
        <f>IF($Q$2="","",IF($Q$2&gt;1,INDEX(Despesas!$OC$19:$OO$163,($Q$2-2)*14+8,5),INDEX(Despesas!$OC$1:$OO$163,($Q$2-1)*15+12,5)))</f>
        <v>0</v>
      </c>
      <c r="O29" s="1519">
        <f>IF($Q$2="","",IF($Q$2&gt;1,INDEX(Despesas!$OC$19:$OO$163,($Q$2-2)*14+8,6),INDEX(Despesas!$OC$1:$OO$163,($Q$2-1)*15+12,6)))</f>
        <v>0</v>
      </c>
      <c r="P29" s="1520"/>
      <c r="Q29" s="1521"/>
      <c r="R29" s="1508">
        <f>IF($Q$2="","",IF($Q$2&gt;1,INDEX(Despesas!$OC$19:$OO$163,($Q$2-2)*14+8,7),INDEX(Despesas!$OC$1:$OO$163,($Q$2-1)*15+12,7)))</f>
        <v>0</v>
      </c>
      <c r="S29" s="1509"/>
      <c r="T29" s="1517">
        <f>IF($Q$2="","",IF($Q$2&gt;1,INDEX(Despesas!$OC$19:$OO$163,($Q$2-2)*14+8,8),INDEX(Despesas!$OC$1:$OO$163,($Q$2-1)*15+12,8)))</f>
        <v>0</v>
      </c>
      <c r="U29" s="1518"/>
      <c r="V29" s="1508">
        <f>IF($Q$2="","",IF($Q$2&gt;1,INDEX(Despesas!$OC$19:$OO$163,($Q$2-2)*14+8,9),INDEX(Despesas!$OC$1:$OO$163,($Q$2-1)*15+12,9)))</f>
        <v>0</v>
      </c>
      <c r="W29" s="1509"/>
      <c r="X29" s="476">
        <f>IF($Q$2="","",IF($Q$2&gt;1,INDEX(Despesas!$OC$19:$OO$163,($Q$2-2)*14+8,10),INDEX(Despesas!$OC$1:$OO$163,($Q$2-1)*15+12,10)))</f>
        <v>0</v>
      </c>
      <c r="Y29" s="476">
        <f>IF($Q$2="","",IF($Q$2&gt;1,INDEX(Despesas!$OC$19:$OO$163,($Q$2-2)*14+8,11),INDEX(Despesas!$OC$1:$OO$163,($Q$2-1)*15+12,11)))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592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506" t="str">
        <f>IF($Q$2="","",IF($Q$2&gt;1,INDEX(Despesas!$OC$19:$OO$163,($Q$2-2)*14+9,1),INDEX(Despesas!$OC$1:$OO$163,($Q$2-1)*15+13,1)))</f>
        <v/>
      </c>
      <c r="C30" s="1507"/>
      <c r="D30" s="1452" t="str">
        <f>TRIM(IF($Q$2="","",IF($Q$2&gt;1,PROPER(INDEX(Despesas!$OC$19:$OO$163,($Q$2-2)*14+9,2)),PROPER(INDEX(Despesas!$OC$1:$OO$163,($Q$2-1)*15+13,2)))))</f>
        <v/>
      </c>
      <c r="E30" s="1453"/>
      <c r="F30" s="1453"/>
      <c r="G30" s="1454"/>
      <c r="H30" s="1474">
        <f>IF($Q$2="","",IF($Q$2&gt;1,INDEX(Despesas!$OC$19:$OO$163,($Q$2-2)*14+9,3),INDEX(Despesas!$OC$1:$OO$163,($Q$2-1)*15+13,3)))</f>
        <v>0</v>
      </c>
      <c r="I30" s="1475"/>
      <c r="J30" s="1458" t="str">
        <f>TRIM(IF($Q$2="","",IF($Q$2&gt;1,PROPER(INDEX(Despesas!$OC$19:$OO$163,($Q$2-2)*14+9,4)),PROPER(INDEX(Despesas!$OC$1:$OO$163,($Q$2-1)*15+13,4)))))</f>
        <v/>
      </c>
      <c r="K30" s="1459"/>
      <c r="L30" s="1459"/>
      <c r="M30" s="1460"/>
      <c r="N30" s="977">
        <f>IF($Q$2="","",IF($Q$2&gt;1,INDEX(Despesas!$OC$19:$OO$163,($Q$2-2)*14+9,5),INDEX(Despesas!$OC$1:$OO$163,($Q$2-1)*15+13,5)))</f>
        <v>0</v>
      </c>
      <c r="O30" s="1519">
        <f>IF($Q$2="","",IF($Q$2&gt;1,INDEX(Despesas!$OC$19:$OO$163,($Q$2-2)*14+9,6),INDEX(Despesas!$OC$1:$OO$163,($Q$2-1)*15+13,6)))</f>
        <v>0</v>
      </c>
      <c r="P30" s="1520"/>
      <c r="Q30" s="1521"/>
      <c r="R30" s="1508">
        <f>IF($Q$2="","",IF($Q$2&gt;1,INDEX(Despesas!$OC$19:$OO$163,($Q$2-2)*14+9,7),INDEX(Despesas!$OC$1:$OO$163,($Q$2-1)*15+13,7)))</f>
        <v>0</v>
      </c>
      <c r="S30" s="1509"/>
      <c r="T30" s="1517">
        <f>IF($Q$2="","",IF($Q$2&gt;1,INDEX(Despesas!$OC$19:$OO$163,($Q$2-2)*14+9,8),INDEX(Despesas!$OC$1:$OO$163,($Q$2-1)*15+13,8)))</f>
        <v>0</v>
      </c>
      <c r="U30" s="1518"/>
      <c r="V30" s="1508">
        <f>IF($Q$2="","",IF($Q$2&gt;1,INDEX(Despesas!$OC$19:$OO$163,($Q$2-2)*14+9,9),INDEX(Despesas!$OC$1:$OO$163,($Q$2-1)*15+13,9)))</f>
        <v>0</v>
      </c>
      <c r="W30" s="1509"/>
      <c r="X30" s="476">
        <f>IF($Q$2="","",IF($Q$2&gt;1,INDEX(Despesas!$OC$19:$OO$163,($Q$2-2)*14+9,10),INDEX(Despesas!$OC$1:$OO$163,($Q$2-1)*15+13,10)))</f>
        <v>0</v>
      </c>
      <c r="Y30" s="476">
        <f>IF($Q$2="","",IF($Q$2&gt;1,INDEX(Despesas!$OC$19:$OO$163,($Q$2-2)*14+9,11),INDEX(Despesas!$OC$1:$OO$163,($Q$2-1)*15+13,11)))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592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506" t="str">
        <f>IF($Q$2="","",IF($Q$2&gt;1,INDEX(Despesas!$OC$19:$OO$163,($Q$2-2)*14+10,1),INDEX(Despesas!$OC$1:$OO$163,($Q$2-1)*15+14,1)))</f>
        <v/>
      </c>
      <c r="C31" s="1507"/>
      <c r="D31" s="1452" t="str">
        <f>TRIM(IF($Q$2="","",IF($Q$2&gt;1,PROPER(INDEX(Despesas!$OC$19:$OO$163,($Q$2-2)*14+10,2)),PROPER(INDEX(Despesas!$OC$1:$OO$163,($Q$2-1)*15+14,2)))))</f>
        <v/>
      </c>
      <c r="E31" s="1453"/>
      <c r="F31" s="1453"/>
      <c r="G31" s="1454"/>
      <c r="H31" s="1474">
        <f>IF($Q$2="","",IF($Q$2&gt;1,INDEX(Despesas!$OC$19:$OO$163,($Q$2-2)*14+10,3),INDEX(Despesas!$OC$1:$OO$163,($Q$2-1)*15+14,3)))</f>
        <v>0</v>
      </c>
      <c r="I31" s="1475"/>
      <c r="J31" s="1458" t="str">
        <f>TRIM(IF($Q$2="","",IF($Q$2&gt;1,PROPER(INDEX(Despesas!$OC$19:$OO$163,($Q$2-2)*14+10,4)),PROPER(INDEX(Despesas!$OC$1:$OO$163,($Q$2-1)*15+14,4)))))</f>
        <v/>
      </c>
      <c r="K31" s="1459"/>
      <c r="L31" s="1459"/>
      <c r="M31" s="1460"/>
      <c r="N31" s="977">
        <f>IF($Q$2="","",IF($Q$2&gt;1,INDEX(Despesas!$OC$19:$OO$163,($Q$2-2)*14+10,5),INDEX(Despesas!$OC$1:$OO$163,($Q$2-1)*15+14,5)))</f>
        <v>0</v>
      </c>
      <c r="O31" s="1519">
        <f>IF($Q$2="","",IF($Q$2&gt;1,INDEX(Despesas!$OC$19:$OO$163,($Q$2-2)*14+10,6),INDEX(Despesas!$OC$1:$OO$163,($Q$2-1)*15+14,6)))</f>
        <v>0</v>
      </c>
      <c r="P31" s="1520"/>
      <c r="Q31" s="1521"/>
      <c r="R31" s="1508">
        <f>IF($Q$2="","",IF($Q$2&gt;1,INDEX(Despesas!$OC$19:$OO$163,($Q$2-2)*14+10,7),INDEX(Despesas!$OC$1:$OO$163,($Q$2-1)*15+14,7)))</f>
        <v>0</v>
      </c>
      <c r="S31" s="1509"/>
      <c r="T31" s="1517">
        <f>IF($Q$2="","",IF($Q$2&gt;1,INDEX(Despesas!$OC$19:$OO$163,($Q$2-2)*14+10,8),INDEX(Despesas!$OC$1:$OO$163,($Q$2-1)*15+14,8)))</f>
        <v>0</v>
      </c>
      <c r="U31" s="1518"/>
      <c r="V31" s="1508">
        <f>IF($Q$2="","",IF($Q$2&gt;1,INDEX(Despesas!$OC$19:$OO$163,($Q$2-2)*14+10,9),INDEX(Despesas!$OC$1:$OO$163,($Q$2-1)*15+14,9)))</f>
        <v>0</v>
      </c>
      <c r="W31" s="1509"/>
      <c r="X31" s="476">
        <f>IF($Q$2="","",IF($Q$2&gt;1,INDEX(Despesas!$OC$19:$OO$163,($Q$2-2)*14+10,10),INDEX(Despesas!$OC$1:$OO$163,($Q$2-1)*15+14,10)))</f>
        <v>0</v>
      </c>
      <c r="Y31" s="476">
        <f>IF($Q$2="","",IF($Q$2&gt;1,INDEX(Despesas!$OC$19:$OO$163,($Q$2-2)*14+10,11),INDEX(Despesas!$OC$1:$OO$163,($Q$2-1)*15+14,11)))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592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506" t="str">
        <f>IF($Q$2="","",IF($Q$2&gt;1,INDEX(Despesas!$OC$19:$OO$163,($Q$2-2)*14+11,1),INDEX(Despesas!$OC$1:$OO$163,($Q$2-1)*15+15,1)))</f>
        <v/>
      </c>
      <c r="C32" s="1507"/>
      <c r="D32" s="1452" t="str">
        <f>TRIM(IF($Q$2="","",IF($Q$2&gt;1,PROPER(INDEX(Despesas!$OC$19:$OO$163,($Q$2-2)*14+11,2)),PROPER(INDEX(Despesas!$OC$1:$OO$163,($Q$2-1)*15+15,2)))))</f>
        <v/>
      </c>
      <c r="E32" s="1453"/>
      <c r="F32" s="1453"/>
      <c r="G32" s="1454"/>
      <c r="H32" s="1474">
        <f>IF($Q$2="","",IF($Q$2&gt;1,INDEX(Despesas!$OC$19:$OO$163,($Q$2-2)*14+11,3),INDEX(Despesas!$OC$1:$OO$163,($Q$2-1)*15+15,3)))</f>
        <v>0</v>
      </c>
      <c r="I32" s="1475"/>
      <c r="J32" s="1458" t="str">
        <f>TRIM(IF($Q$2="","",IF($Q$2&gt;1,PROPER(INDEX(Despesas!$OC$19:$OO$163,($Q$2-2)*14+11,4)),PROPER(INDEX(Despesas!$OC$1:$OO$163,($Q$2-1)*15+15,4)))))</f>
        <v/>
      </c>
      <c r="K32" s="1459"/>
      <c r="L32" s="1459"/>
      <c r="M32" s="1460"/>
      <c r="N32" s="977">
        <f>IF($Q$2="","",IF($Q$2&gt;1,INDEX(Despesas!$OC$19:$OO$163,($Q$2-2)*14+11,5),INDEX(Despesas!$OC$1:$OO$163,($Q$2-1)*15+15,5)))</f>
        <v>0</v>
      </c>
      <c r="O32" s="1519">
        <f>IF($Q$2="","",IF($Q$2&gt;1,INDEX(Despesas!$OC$19:$OO$163,($Q$2-2)*14+11,6),INDEX(Despesas!$OC$1:$OO$163,($Q$2-1)*15+15,6)))</f>
        <v>0</v>
      </c>
      <c r="P32" s="1520"/>
      <c r="Q32" s="1521"/>
      <c r="R32" s="1508">
        <f>IF($Q$2="","",IF($Q$2&gt;1,INDEX(Despesas!$OC$19:$OO$163,($Q$2-2)*14+11,7),INDEX(Despesas!$OC$1:$OO$163,($Q$2-1)*15+15,7)))</f>
        <v>0</v>
      </c>
      <c r="S32" s="1509"/>
      <c r="T32" s="1517">
        <f>IF($Q$2="","",IF($Q$2&gt;1,INDEX(Despesas!$OC$19:$OO$163,($Q$2-2)*14+11,8),INDEX(Despesas!$OC$1:$OO$163,($Q$2-1)*15+15,8)))</f>
        <v>0</v>
      </c>
      <c r="U32" s="1518"/>
      <c r="V32" s="1508">
        <f>IF($Q$2="","",IF($Q$2&gt;1,INDEX(Despesas!$OC$19:$OO$163,($Q$2-2)*14+11,9),INDEX(Despesas!$OC$1:$OO$163,($Q$2-1)*15+15,9)))</f>
        <v>0</v>
      </c>
      <c r="W32" s="1509"/>
      <c r="X32" s="476">
        <f>IF($Q$2="","",IF($Q$2&gt;1,INDEX(Despesas!$OC$19:$OO$163,($Q$2-2)*14+11,10),INDEX(Despesas!$OC$1:$OO$163,($Q$2-1)*15+15,10)))</f>
        <v>0</v>
      </c>
      <c r="Y32" s="476">
        <f>IF($Q$2="","",IF($Q$2&gt;1,INDEX(Despesas!$OC$19:$OO$163,($Q$2-2)*14+11,11),INDEX(Despesas!$OC$1:$OO$163,($Q$2-1)*15+15,11)))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592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506" t="str">
        <f>IF($Q$2="","",IF($Q$2&gt;1,INDEX(Despesas!$OC$19:$OO$163,($Q$2-2)*14+12,1),INDEX(Despesas!$OC$1:$OO$163,($Q$2-1)*15+16,1)))</f>
        <v/>
      </c>
      <c r="C33" s="1507"/>
      <c r="D33" s="1452" t="str">
        <f>TRIM(IF($Q$2="","",IF($Q$2&gt;1,PROPER(INDEX(Despesas!$OC$19:$OO$163,($Q$2-2)*14+12,2)),PROPER(INDEX(Despesas!$OC$1:$OO$163,($Q$2-1)*15+16,2)))))</f>
        <v/>
      </c>
      <c r="E33" s="1453"/>
      <c r="F33" s="1453"/>
      <c r="G33" s="1454"/>
      <c r="H33" s="1474">
        <f>IF($Q$2="","",IF($Q$2&gt;1,INDEX(Despesas!$OC$19:$OO$163,($Q$2-2)*14+12,3),INDEX(Despesas!$OC$1:$OO$163,($Q$2-1)*15+16,3)))</f>
        <v>0</v>
      </c>
      <c r="I33" s="1475"/>
      <c r="J33" s="1458" t="str">
        <f>TRIM(IF($Q$2="","",IF($Q$2&gt;1,PROPER(INDEX(Despesas!$OC$19:$OO$163,($Q$2-2)*14+12,4)),PROPER(INDEX(Despesas!$OC$1:$OO$163,($Q$2-1)*15+16,4)))))</f>
        <v/>
      </c>
      <c r="K33" s="1459"/>
      <c r="L33" s="1459"/>
      <c r="M33" s="1460"/>
      <c r="N33" s="977">
        <f>IF($Q$2="","",IF($Q$2&gt;1,INDEX(Despesas!$OC$19:$OO$163,($Q$2-2)*14+12,5),INDEX(Despesas!$OC$1:$OO$163,($Q$2-1)*15+16,5)))</f>
        <v>0</v>
      </c>
      <c r="O33" s="1519">
        <f>IF($Q$2="","",IF($Q$2&gt;1,INDEX(Despesas!$OC$19:$OO$163,($Q$2-2)*14+12,6),INDEX(Despesas!$OC$1:$OO$163,($Q$2-1)*15+16,6)))</f>
        <v>0</v>
      </c>
      <c r="P33" s="1520"/>
      <c r="Q33" s="1521"/>
      <c r="R33" s="1508">
        <f>IF($Q$2="","",IF($Q$2&gt;1,INDEX(Despesas!$OC$19:$OO$163,($Q$2-2)*14+12,7),INDEX(Despesas!$OC$1:$OO$163,($Q$2-1)*15+16,7)))</f>
        <v>0</v>
      </c>
      <c r="S33" s="1509"/>
      <c r="T33" s="1517">
        <f>IF($Q$2="","",IF($Q$2&gt;1,INDEX(Despesas!$OC$19:$OO$163,($Q$2-2)*14+12,8),INDEX(Despesas!$OC$1:$OO$163,($Q$2-1)*15+16,8)))</f>
        <v>0</v>
      </c>
      <c r="U33" s="1518"/>
      <c r="V33" s="1508">
        <f>IF($Q$2="","",IF($Q$2&gt;1,INDEX(Despesas!$OC$19:$OO$163,($Q$2-2)*14+12,9),INDEX(Despesas!$OC$1:$OO$163,($Q$2-1)*15+16,9)))</f>
        <v>0</v>
      </c>
      <c r="W33" s="1509"/>
      <c r="X33" s="476">
        <f>IF($Q$2="","",IF($Q$2&gt;1,INDEX(Despesas!$OC$19:$OO$163,($Q$2-2)*14+12,10),INDEX(Despesas!$OC$1:$OO$163,($Q$2-1)*15+16,10)))</f>
        <v>0</v>
      </c>
      <c r="Y33" s="476">
        <f>IF($Q$2="","",IF($Q$2&gt;1,INDEX(Despesas!$OC$19:$OO$163,($Q$2-2)*14+12,11),INDEX(Despesas!$OC$1:$OO$163,($Q$2-1)*15+16,11)))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592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506" t="str">
        <f>IF($Q$2="","",IF($Q$2&gt;1,INDEX(Despesas!$OC$19:$OO$163,($Q$2-2)*14+13,1),INDEX(Despesas!$OC$1:$OO$163,($Q$2-1)*15+17,1)))</f>
        <v/>
      </c>
      <c r="C34" s="1507"/>
      <c r="D34" s="1452" t="str">
        <f>TRIM(IF($Q$2="","",IF($Q$2&gt;1,PROPER(INDEX(Despesas!$OC$19:$OO$163,($Q$2-2)*14+13,2)),PROPER(INDEX(Despesas!$OC$1:$OO$163,($Q$2-1)*15+17,2)))))</f>
        <v/>
      </c>
      <c r="E34" s="1453"/>
      <c r="F34" s="1453"/>
      <c r="G34" s="1454"/>
      <c r="H34" s="1474">
        <f>IF($Q$2="","",IF($Q$2&gt;1,INDEX(Despesas!$OC$19:$OO$163,($Q$2-2)*14+13,3),INDEX(Despesas!$OC$1:$OO$163,($Q$2-1)*15+17,3)))</f>
        <v>0</v>
      </c>
      <c r="I34" s="1475"/>
      <c r="J34" s="1458" t="str">
        <f>TRIM(IF($Q$2="","",IF($Q$2&gt;1,PROPER(INDEX(Despesas!$OC$19:$OO$163,($Q$2-2)*14+13,4)),PROPER(INDEX(Despesas!$OC$1:$OO$163,($Q$2-1)*15+17,4)))))</f>
        <v/>
      </c>
      <c r="K34" s="1459"/>
      <c r="L34" s="1459"/>
      <c r="M34" s="1460"/>
      <c r="N34" s="977">
        <f>IF($Q$2="","",IF($Q$2&gt;1,INDEX(Despesas!$OC$19:$OO$163,($Q$2-2)*14+13,5),INDEX(Despesas!$OC$1:$OO$163,($Q$2-1)*15+17,5)))</f>
        <v>0</v>
      </c>
      <c r="O34" s="1519">
        <f>IF($Q$2="","",IF($Q$2&gt;1,INDEX(Despesas!$OC$19:$OO$163,($Q$2-2)*14+13,6),INDEX(Despesas!$OC$1:$OO$163,($Q$2-1)*15+17,6)))</f>
        <v>0</v>
      </c>
      <c r="P34" s="1520"/>
      <c r="Q34" s="1521"/>
      <c r="R34" s="1508">
        <f>IF($Q$2="","",IF($Q$2&gt;1,INDEX(Despesas!$OC$19:$OO$163,($Q$2-2)*14+13,7),INDEX(Despesas!$OC$1:$OO$163,($Q$2-1)*15+17,7)))</f>
        <v>0</v>
      </c>
      <c r="S34" s="1509"/>
      <c r="T34" s="1517">
        <f>IF($Q$2="","",IF($Q$2&gt;1,INDEX(Despesas!$OC$19:$OO$163,($Q$2-2)*14+13,8),INDEX(Despesas!$OC$1:$OO$163,($Q$2-1)*15+17,8)))</f>
        <v>0</v>
      </c>
      <c r="U34" s="1518"/>
      <c r="V34" s="1508">
        <f>IF($Q$2="","",IF($Q$2&gt;1,INDEX(Despesas!$OC$19:$OO$163,($Q$2-2)*14+13,9),INDEX(Despesas!$OC$1:$OO$163,($Q$2-1)*15+17,9)))</f>
        <v>0</v>
      </c>
      <c r="W34" s="1509"/>
      <c r="X34" s="476">
        <f>IF($Q$2="","",IF($Q$2&gt;1,INDEX(Despesas!$OC$19:$OO$163,($Q$2-2)*14+13,10),INDEX(Despesas!$OC$1:$OO$163,($Q$2-1)*15+17,10)))</f>
        <v>0</v>
      </c>
      <c r="Y34" s="476">
        <f>IF($Q$2="","",IF($Q$2&gt;1,INDEX(Despesas!$OC$19:$OO$163,($Q$2-2)*14+13,11),INDEX(Despesas!$OC$1:$OO$163,($Q$2-1)*15+17,11)))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592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590" t="str">
        <f>IF($Q$2="","",IF($Q$2&gt;1,INDEX(Despesas!$OC$19:$OO$163,($Q$2-2)*14+14,1),INDEX(Despesas!$OC$1:$OO$163,($Q$2-1)*15+18,1)))</f>
        <v/>
      </c>
      <c r="C35" s="1591"/>
      <c r="D35" s="1455" t="str">
        <f>TRIM(IF($Q$2="","",IF($Q$2&gt;1,PROPER(INDEX(Despesas!$OC$19:$OO$163,($Q$2-2)*14+14,2)),PROPER(INDEX(Despesas!$OC$1:$OO$163,($Q$2-1)*15+18,2)))))</f>
        <v/>
      </c>
      <c r="E35" s="1456"/>
      <c r="F35" s="1456"/>
      <c r="G35" s="1457"/>
      <c r="H35" s="1474">
        <f>IF($Q$2="","",IF($Q$2&gt;1,INDEX(Despesas!$OC$19:$OO$163,($Q$2-2)*14+14,3),INDEX(Despesas!$OC$1:$OO$163,($Q$2-1)*15+18,3)))</f>
        <v>0</v>
      </c>
      <c r="I35" s="1475"/>
      <c r="J35" s="1587" t="str">
        <f>TRIM(IF($Q$2="","",IF($Q$2&gt;1,PROPER(INDEX(Despesas!$OC$19:$OO$163,($Q$2-2)*14+14,4)),PROPER(INDEX(Despesas!$OC$1:$OO$163,($Q$2-1)*15+18,4)))))</f>
        <v/>
      </c>
      <c r="K35" s="1588"/>
      <c r="L35" s="1588"/>
      <c r="M35" s="1589"/>
      <c r="N35" s="977">
        <f>IF($Q$2="","",IF($Q$2&gt;1,INDEX(Despesas!$OC$19:$OO$163,($Q$2-2)*14+14,5),INDEX(Despesas!$OC$1:$OO$163,($Q$2-1)*15+18,5)))</f>
        <v>0</v>
      </c>
      <c r="O35" s="1519">
        <f>IF($Q$2="","",IF($Q$2&gt;1,INDEX(Despesas!$OC$19:$OO$163,($Q$2-2)*14+14,6),INDEX(Despesas!$OC$1:$OO$163,($Q$2-1)*15+18,6)))</f>
        <v>0</v>
      </c>
      <c r="P35" s="1520"/>
      <c r="Q35" s="1521"/>
      <c r="R35" s="1571">
        <f>IF($Q$2="","",IF($Q$2&gt;1,INDEX(Despesas!$OC$19:$OO$163,($Q$2-2)*14+14,7),INDEX(Despesas!$OC$1:$OO$163,($Q$2-1)*15+18,7)))</f>
        <v>0</v>
      </c>
      <c r="S35" s="1572"/>
      <c r="T35" s="1517">
        <f>IF($Q$2="","",IF($Q$2&gt;1,INDEX(Despesas!$OC$19:$OO$163,($Q$2-2)*14+14,8),INDEX(Despesas!$OC$1:$OO$163,($Q$2-1)*15+18,8)))</f>
        <v>0</v>
      </c>
      <c r="U35" s="1518"/>
      <c r="V35" s="1571">
        <f>IF($Q$2="","",IF($Q$2&gt;1,INDEX(Despesas!$OC$19:$OO$163,($Q$2-2)*14+14,9),INDEX(Despesas!$OC$1:$OO$163,($Q$2-1)*15+18,9)))</f>
        <v>0</v>
      </c>
      <c r="W35" s="1572"/>
      <c r="X35" s="476">
        <f>IF($Q$2="","",IF($Q$2&gt;1,INDEX(Despesas!$OC$19:$OO$163,($Q$2-2)*14+14,10),INDEX(Despesas!$OC$1:$OO$163,($Q$2-1)*15+18,10)))</f>
        <v>0</v>
      </c>
      <c r="Y35" s="476">
        <f>IF($Q$2="","",IF($Q$2&gt;1,INDEX(Despesas!$OC$19:$OO$163,($Q$2-2)*14+14,11),INDEX(Despesas!$OC$1:$OO$163,($Q$2-1)*15+18,11)))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592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582" t="str">
        <f>IF(Despesas!AJ3&lt;&gt;Q2,"A Transportar.......................................................................","")</f>
        <v>A Transportar.......................................................................</v>
      </c>
      <c r="C36" s="1583"/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3"/>
      <c r="T36" s="1583"/>
      <c r="U36" s="1584"/>
      <c r="V36" s="1585" t="s">
        <v>255</v>
      </c>
      <c r="W36" s="1586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592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580"/>
      <c r="C37" s="1580"/>
      <c r="D37" s="1580"/>
      <c r="E37" s="1580"/>
      <c r="F37" s="1580"/>
      <c r="G37" s="1580"/>
      <c r="H37" s="1580"/>
      <c r="I37" s="1580"/>
      <c r="J37" s="1580"/>
      <c r="K37" s="1580"/>
      <c r="L37" s="1580"/>
      <c r="M37" s="1580"/>
      <c r="N37" s="1580"/>
      <c r="O37" s="1580"/>
      <c r="P37" s="1580"/>
      <c r="Q37" s="1580"/>
      <c r="R37" s="1580"/>
      <c r="S37" s="1580"/>
      <c r="T37" s="1580"/>
      <c r="U37" s="1580"/>
      <c r="V37" s="1580"/>
      <c r="W37" s="1580"/>
      <c r="X37" s="1580"/>
      <c r="Y37" s="1581"/>
      <c r="Z37" s="50"/>
      <c r="AA37" s="184"/>
      <c r="AB37" s="1592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568" t="s">
        <v>165</v>
      </c>
      <c r="C38" s="1569"/>
      <c r="D38" s="1569"/>
      <c r="E38" s="1569"/>
      <c r="F38" s="1569"/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569"/>
      <c r="U38" s="1569"/>
      <c r="V38" s="1569"/>
      <c r="W38" s="1569"/>
      <c r="X38" s="1569"/>
      <c r="Y38" s="1570"/>
      <c r="Z38" s="50"/>
      <c r="AA38" s="184"/>
      <c r="AB38" s="1592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495" t="e">
        <f>IF(G41="","",IF(G41&gt;0,"Devolução ao Tesouro",""))</f>
        <v>#VALUE!</v>
      </c>
      <c r="E39" s="1495"/>
      <c r="F39" s="1495"/>
      <c r="G39" s="1496"/>
      <c r="H39" s="1497" t="e">
        <f>IF($G$41="","","Devolução referente a "&amp;(Ata!B177))</f>
        <v>#VALUE!</v>
      </c>
      <c r="I39" s="1498"/>
      <c r="J39" s="1498"/>
      <c r="K39" s="1498"/>
      <c r="L39" s="1498"/>
      <c r="M39" s="1498"/>
      <c r="N39" s="1498"/>
      <c r="O39" s="1498"/>
      <c r="P39" s="1498"/>
      <c r="Q39" s="1498"/>
      <c r="R39" s="1498"/>
      <c r="S39" s="1498"/>
      <c r="T39" s="1498"/>
      <c r="U39" s="1498"/>
      <c r="V39" s="1498"/>
      <c r="W39" s="1498"/>
      <c r="X39" s="1498"/>
      <c r="Y39" s="1499"/>
      <c r="Z39" s="412"/>
      <c r="AA39" s="184"/>
      <c r="AB39" s="1592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00"/>
      <c r="I40" s="1501"/>
      <c r="J40" s="1501"/>
      <c r="K40" s="1501"/>
      <c r="L40" s="1501"/>
      <c r="M40" s="1501"/>
      <c r="N40" s="1501"/>
      <c r="O40" s="1501"/>
      <c r="P40" s="1501"/>
      <c r="Q40" s="1501"/>
      <c r="R40" s="1501"/>
      <c r="S40" s="1501"/>
      <c r="T40" s="1501"/>
      <c r="U40" s="1501"/>
      <c r="V40" s="1501"/>
      <c r="W40" s="1501"/>
      <c r="X40" s="1501"/>
      <c r="Y40" s="1502"/>
      <c r="Z40" s="359"/>
      <c r="AA40" s="184"/>
      <c r="AB40" s="1592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IF(Ata!$BW$64&gt;0,Ata!$BW$64,"")</f>
        <v>#VALUE!</v>
      </c>
      <c r="E41" s="406" t="e">
        <f>IF(Ata!$BX$64&gt;0,Ata!$BX$64,"")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03"/>
      <c r="I41" s="1504"/>
      <c r="J41" s="1504"/>
      <c r="K41" s="1504"/>
      <c r="L41" s="1504"/>
      <c r="M41" s="1504"/>
      <c r="N41" s="1504"/>
      <c r="O41" s="1504"/>
      <c r="P41" s="1504"/>
      <c r="Q41" s="1504"/>
      <c r="R41" s="1504"/>
      <c r="S41" s="1504"/>
      <c r="T41" s="1504"/>
      <c r="U41" s="1504"/>
      <c r="V41" s="1504"/>
      <c r="W41" s="1504"/>
      <c r="X41" s="1504"/>
      <c r="Y41" s="1505"/>
      <c r="Z41" s="50"/>
      <c r="AA41" s="320"/>
      <c r="AB41" s="1592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592"/>
    </row>
    <row r="43" spans="1:48" ht="10.5" customHeight="1" x14ac:dyDescent="0.2">
      <c r="A43" s="223"/>
      <c r="B43" s="1464" t="s">
        <v>297</v>
      </c>
      <c r="C43" s="1465"/>
      <c r="D43" s="1465"/>
      <c r="E43" s="1465"/>
      <c r="F43" s="1465"/>
      <c r="G43" s="1465"/>
      <c r="H43" s="1465"/>
      <c r="I43" s="1465"/>
      <c r="J43" s="1465"/>
      <c r="K43" s="1465"/>
      <c r="L43" s="1465"/>
      <c r="M43" s="1465"/>
      <c r="N43" s="1465"/>
      <c r="O43" s="1465"/>
      <c r="P43" s="1465"/>
      <c r="Q43" s="1465"/>
      <c r="R43" s="1465"/>
      <c r="S43" s="1465"/>
      <c r="T43" s="1465"/>
      <c r="U43" s="1465"/>
      <c r="V43" s="1465"/>
      <c r="W43" s="1465"/>
      <c r="X43" s="1465"/>
      <c r="Y43" s="1466"/>
      <c r="Z43" s="51" t="s">
        <v>452</v>
      </c>
      <c r="AA43" s="320"/>
      <c r="AB43" s="1592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575" t="s">
        <v>248</v>
      </c>
      <c r="C44" s="1576"/>
      <c r="D44" s="1576"/>
      <c r="E44" s="1576"/>
      <c r="F44" s="1576"/>
      <c r="G44" s="1576"/>
      <c r="H44" s="1576"/>
      <c r="I44" s="1576"/>
      <c r="J44" s="1576"/>
      <c r="K44" s="1576"/>
      <c r="L44" s="1576"/>
      <c r="M44" s="1576"/>
      <c r="N44" s="1576"/>
      <c r="O44" s="1576"/>
      <c r="P44" s="1576"/>
      <c r="Q44" s="1576"/>
      <c r="R44" s="1576"/>
      <c r="S44" s="1576"/>
      <c r="T44" s="1576"/>
      <c r="U44" s="1576"/>
      <c r="V44" s="1576"/>
      <c r="W44" s="1576"/>
      <c r="X44" s="1576"/>
      <c r="Y44" s="1579"/>
      <c r="Z44" s="51" t="s">
        <v>453</v>
      </c>
      <c r="AA44" s="320"/>
      <c r="AB44" s="1592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575" t="s">
        <v>155</v>
      </c>
      <c r="C45" s="1576"/>
      <c r="D45" s="1577"/>
      <c r="E45" s="1577"/>
      <c r="F45" s="1577"/>
      <c r="G45" s="1577"/>
      <c r="H45" s="1577"/>
      <c r="I45" s="1577"/>
      <c r="J45" s="1577"/>
      <c r="K45" s="1577"/>
      <c r="L45" s="1577"/>
      <c r="M45" s="1577"/>
      <c r="N45" s="1577"/>
      <c r="O45" s="1577"/>
      <c r="P45" s="1577"/>
      <c r="Q45" s="1577"/>
      <c r="R45" s="1577"/>
      <c r="S45" s="1577"/>
      <c r="T45" s="1577"/>
      <c r="U45" s="1577"/>
      <c r="V45" s="1577"/>
      <c r="W45" s="1577"/>
      <c r="X45" s="1577"/>
      <c r="Y45" s="1578"/>
      <c r="Z45" s="51"/>
      <c r="AA45" s="320"/>
      <c r="AB45" s="1592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593" t="str">
        <f>Dados!$E$88</f>
        <v/>
      </c>
      <c r="K46" s="1594"/>
      <c r="L46" s="1594"/>
      <c r="M46" s="1594"/>
      <c r="N46" s="1594"/>
      <c r="O46" s="1594"/>
      <c r="P46" s="1594"/>
      <c r="Q46" s="1594"/>
      <c r="R46" s="88"/>
      <c r="S46" s="96" t="s">
        <v>168</v>
      </c>
      <c r="T46" s="1550"/>
      <c r="U46" s="1550"/>
      <c r="V46" s="1550"/>
      <c r="W46" s="1550"/>
      <c r="X46" s="1550"/>
      <c r="Y46" s="97"/>
      <c r="Z46" s="51"/>
      <c r="AA46" s="320"/>
      <c r="AB46" s="1592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597" t="str">
        <f>IF(Dados!$J$71="CEU",$Z$47&amp;$Z$44,$Z$47&amp;$Z$43)</f>
        <v>Nome do Presidente da Diretoria Executiva da APM</v>
      </c>
      <c r="K47" s="1597"/>
      <c r="L47" s="1597"/>
      <c r="M47" s="1597"/>
      <c r="N47" s="1597"/>
      <c r="O47" s="1597"/>
      <c r="P47" s="1597"/>
      <c r="Q47" s="1597"/>
      <c r="R47" s="98"/>
      <c r="S47" s="99"/>
      <c r="T47" s="1597" t="str">
        <f>IF(Dados!$J$71="CEU",$Z$48&amp;$Z$44,$Z$48&amp;$Z$43)</f>
        <v>Assinatura do Presidente da Diretoria Executiva da APM</v>
      </c>
      <c r="U47" s="1597"/>
      <c r="V47" s="1597"/>
      <c r="W47" s="1597"/>
      <c r="X47" s="1597"/>
      <c r="Y47" s="100"/>
      <c r="Z47" s="51" t="s">
        <v>464</v>
      </c>
      <c r="AA47" s="320"/>
      <c r="AB47" s="1592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601"/>
      <c r="C48" s="1602"/>
      <c r="D48" s="160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592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595" t="s">
        <v>85</v>
      </c>
      <c r="C49" s="1596"/>
      <c r="D49" s="1596"/>
      <c r="E49" s="1573" t="str">
        <f>IF(Dados!$G$128="","",Dados!$G$128)</f>
        <v/>
      </c>
      <c r="F49" s="1573"/>
      <c r="G49" s="153"/>
      <c r="H49" s="153"/>
      <c r="I49" s="153"/>
      <c r="J49" s="1593" t="str">
        <f>Dados!$E$91</f>
        <v/>
      </c>
      <c r="K49" s="1594"/>
      <c r="L49" s="1594"/>
      <c r="M49" s="1594"/>
      <c r="N49" s="1594"/>
      <c r="O49" s="1594"/>
      <c r="P49" s="1594"/>
      <c r="Q49" s="1594"/>
      <c r="R49" s="102"/>
      <c r="S49" s="96" t="s">
        <v>168</v>
      </c>
      <c r="T49" s="1550"/>
      <c r="U49" s="1550"/>
      <c r="V49" s="1550"/>
      <c r="W49" s="1550"/>
      <c r="X49" s="1550"/>
      <c r="Y49" s="100"/>
      <c r="Z49" s="51"/>
      <c r="AA49" s="320"/>
      <c r="AB49" s="1592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599"/>
      <c r="C50" s="1600"/>
      <c r="D50" s="1600"/>
      <c r="E50" s="1598"/>
      <c r="F50" s="1598"/>
      <c r="G50" s="103"/>
      <c r="H50" s="104"/>
      <c r="I50" s="105"/>
      <c r="J50" s="1574" t="str">
        <f>IF(Dados!$J$71="CEU",$Z$50&amp;$Z$44,$Z$50&amp;$Z$43)</f>
        <v>Nome do Presidente do Conselho Fiscal da APM</v>
      </c>
      <c r="K50" s="1574"/>
      <c r="L50" s="1574"/>
      <c r="M50" s="1574"/>
      <c r="N50" s="1574"/>
      <c r="O50" s="1574"/>
      <c r="P50" s="1574"/>
      <c r="Q50" s="1574"/>
      <c r="R50" s="107"/>
      <c r="S50" s="106"/>
      <c r="T50" s="1574" t="str">
        <f>IF(Dados!$J$71="CEU",$Z$51&amp;$Z$44,$Z$51&amp;$Z$43)</f>
        <v>Assinatura do Presidente do Conselho Fiscal da APM</v>
      </c>
      <c r="U50" s="1574"/>
      <c r="V50" s="1574"/>
      <c r="W50" s="1574"/>
      <c r="X50" s="1574"/>
      <c r="Y50" s="108"/>
      <c r="Z50" s="52" t="s">
        <v>465</v>
      </c>
      <c r="AA50" s="320"/>
      <c r="AB50" s="1592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592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592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sheetProtection password="F261" sheet="1" objects="1" scenarios="1"/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21:Y35">
    <cfRule type="cellIs" dxfId="178" priority="1" operator="equal">
      <formula>0</formula>
    </cfRule>
    <cfRule type="expression" dxfId="177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indexed="43"/>
    <pageSetUpPr fitToPage="1"/>
  </sheetPr>
  <dimension ref="A1:Z203"/>
  <sheetViews>
    <sheetView showGridLines="0" showRowColHeaders="0" view="pageBreakPreview" zoomScaleNormal="90" zoomScaleSheetLayoutView="100" workbookViewId="0">
      <pane ySplit="3" topLeftCell="A4" activePane="bottomLeft" state="frozen"/>
      <selection pane="bottomLeft"/>
    </sheetView>
  </sheetViews>
  <sheetFormatPr defaultColWidth="0" defaultRowHeight="15.75" zeroHeight="1" x14ac:dyDescent="0.25"/>
  <cols>
    <col min="1" max="1" width="2.85546875" style="902" customWidth="1"/>
    <col min="2" max="2" width="6.140625" style="902" customWidth="1"/>
    <col min="3" max="3" width="10.42578125" style="902" customWidth="1"/>
    <col min="4" max="4" width="10.140625" style="902" customWidth="1"/>
    <col min="5" max="5" width="10.28515625" style="902" customWidth="1"/>
    <col min="6" max="6" width="4.42578125" style="902" customWidth="1"/>
    <col min="7" max="7" width="17.28515625" style="902" customWidth="1"/>
    <col min="8" max="9" width="6.7109375" style="902" customWidth="1"/>
    <col min="10" max="10" width="6" style="902" customWidth="1"/>
    <col min="11" max="11" width="17.7109375" style="902" customWidth="1"/>
    <col min="12" max="12" width="11.7109375" style="902" customWidth="1"/>
    <col min="13" max="13" width="12.42578125" style="902" customWidth="1"/>
    <col min="14" max="14" width="9.42578125" style="902" customWidth="1"/>
    <col min="15" max="15" width="10.7109375" style="902" customWidth="1"/>
    <col min="16" max="16" width="2.7109375" style="902" customWidth="1"/>
    <col min="17" max="17" width="10.7109375" style="902" customWidth="1"/>
    <col min="18" max="18" width="11" style="902" customWidth="1"/>
    <col min="19" max="19" width="4.140625" style="913" hidden="1" customWidth="1"/>
    <col min="20" max="20" width="10.28515625" style="902" hidden="1" customWidth="1"/>
    <col min="21" max="21" width="4" style="902" customWidth="1"/>
    <col min="22" max="22" width="3.85546875" style="902" customWidth="1"/>
    <col min="23" max="16384" width="10.28515625" style="902" hidden="1"/>
  </cols>
  <sheetData>
    <row r="1" spans="1:26" s="325" customFormat="1" ht="15" customHeight="1" thickBot="1" x14ac:dyDescent="0.3">
      <c r="A1" s="898"/>
      <c r="B1" s="898"/>
      <c r="C1" s="898"/>
      <c r="D1" s="898"/>
      <c r="E1" s="898"/>
      <c r="F1" s="898"/>
      <c r="G1" s="898"/>
      <c r="H1" s="898"/>
      <c r="I1" s="898"/>
      <c r="J1" s="898"/>
      <c r="K1" s="898"/>
      <c r="L1" s="898"/>
      <c r="M1" s="898"/>
      <c r="N1" s="898"/>
      <c r="O1" s="898"/>
      <c r="P1" s="898"/>
      <c r="Q1" s="899" t="s">
        <v>427</v>
      </c>
      <c r="R1" s="900"/>
      <c r="S1" s="898"/>
      <c r="T1" s="901"/>
      <c r="U1" s="901"/>
      <c r="V1" s="902"/>
    </row>
    <row r="2" spans="1:26" s="325" customFormat="1" ht="19.5" customHeight="1" thickBot="1" x14ac:dyDescent="0.3">
      <c r="A2" s="898"/>
      <c r="B2" s="898"/>
      <c r="C2" s="898"/>
      <c r="D2" s="898"/>
      <c r="E2" s="898"/>
      <c r="F2" s="898"/>
      <c r="G2" s="898"/>
      <c r="H2" s="903">
        <v>1</v>
      </c>
      <c r="I2" s="904" t="s">
        <v>202</v>
      </c>
      <c r="J2" s="903">
        <v>1</v>
      </c>
      <c r="K2" s="905"/>
      <c r="L2" s="903">
        <v>1</v>
      </c>
      <c r="M2" s="1734"/>
      <c r="N2" s="1734"/>
      <c r="O2" s="1734"/>
      <c r="P2" s="1734"/>
      <c r="Q2" s="906">
        <f>S4</f>
        <v>1</v>
      </c>
      <c r="R2" s="907"/>
      <c r="S2" s="898"/>
      <c r="T2" s="901"/>
      <c r="U2" s="901"/>
      <c r="V2" s="902"/>
    </row>
    <row r="3" spans="1:26" s="325" customFormat="1" ht="12" customHeight="1" x14ac:dyDescent="0.25">
      <c r="A3" s="898"/>
      <c r="B3" s="898"/>
      <c r="C3" s="898"/>
      <c r="D3" s="898"/>
      <c r="E3" s="898"/>
      <c r="F3" s="898"/>
      <c r="G3" s="898"/>
      <c r="H3" s="898"/>
      <c r="I3" s="898"/>
      <c r="J3" s="898"/>
      <c r="K3" s="898"/>
      <c r="L3" s="898"/>
      <c r="M3" s="898"/>
      <c r="N3" s="898"/>
      <c r="O3" s="898"/>
      <c r="P3" s="898"/>
      <c r="Q3" s="898"/>
      <c r="R3" s="908"/>
      <c r="S3" s="898"/>
      <c r="T3" s="901"/>
      <c r="U3" s="901"/>
      <c r="V3" s="902"/>
    </row>
    <row r="4" spans="1:26" s="327" customFormat="1" ht="7.5" customHeight="1" x14ac:dyDescent="0.25">
      <c r="A4" s="898"/>
      <c r="B4" s="1727"/>
      <c r="C4" s="1727"/>
      <c r="D4" s="1727"/>
      <c r="E4" s="1727"/>
      <c r="F4" s="1727"/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909">
        <f>IF(S9&lt;=21,1,IF(S9&lt;=41,2,IF(S9&lt;=61,3,IF(S9&lt;=81,4,IF(S9&lt;=101,5,"")))))</f>
        <v>1</v>
      </c>
      <c r="T4" s="898"/>
      <c r="U4" s="898"/>
      <c r="V4" s="910"/>
      <c r="W4" s="328"/>
      <c r="X4" s="328"/>
      <c r="Y4" s="328"/>
      <c r="Z4" s="328"/>
    </row>
    <row r="5" spans="1:26" s="327" customFormat="1" ht="27" customHeight="1" x14ac:dyDescent="0.25">
      <c r="A5" s="898"/>
      <c r="B5" s="342">
        <f>Dados!$K$3</f>
        <v>0</v>
      </c>
      <c r="C5" s="110" t="s">
        <v>280</v>
      </c>
      <c r="D5" s="1442" t="s">
        <v>298</v>
      </c>
      <c r="E5" s="1442"/>
      <c r="F5" s="1442"/>
      <c r="G5" s="1442"/>
      <c r="H5" s="1442"/>
      <c r="I5" s="1442"/>
      <c r="J5" s="1442"/>
      <c r="K5" s="1730"/>
      <c r="L5" s="1730"/>
      <c r="M5" s="1730"/>
      <c r="N5" s="109"/>
      <c r="O5" s="109"/>
      <c r="P5" s="109"/>
      <c r="Q5" s="109"/>
      <c r="R5" s="111" t="s">
        <v>88</v>
      </c>
      <c r="S5" s="329"/>
      <c r="T5" s="328"/>
      <c r="U5" s="1733"/>
      <c r="V5" s="910"/>
      <c r="W5" s="328"/>
      <c r="X5" s="328"/>
      <c r="Y5" s="328"/>
      <c r="Z5" s="330"/>
    </row>
    <row r="6" spans="1:26" s="327" customFormat="1" ht="16.5" customHeight="1" x14ac:dyDescent="0.25">
      <c r="A6" s="898"/>
      <c r="B6" s="109"/>
      <c r="C6" s="110"/>
      <c r="D6" s="1442" t="s">
        <v>300</v>
      </c>
      <c r="E6" s="1442"/>
      <c r="F6" s="1442"/>
      <c r="G6" s="1442"/>
      <c r="H6" s="1442"/>
      <c r="I6" s="1442"/>
      <c r="J6" s="1442"/>
      <c r="K6" s="1442"/>
      <c r="L6" s="1442"/>
      <c r="M6" s="109"/>
      <c r="N6" s="109"/>
      <c r="O6" s="109"/>
      <c r="P6" s="112"/>
      <c r="Q6" s="112"/>
      <c r="R6" s="113" t="s">
        <v>89</v>
      </c>
      <c r="S6" s="329"/>
      <c r="T6" s="328"/>
      <c r="U6" s="1733"/>
      <c r="V6" s="910"/>
      <c r="W6" s="328"/>
      <c r="X6" s="328"/>
      <c r="Y6" s="328"/>
      <c r="Z6" s="331"/>
    </row>
    <row r="7" spans="1:26" s="327" customFormat="1" ht="16.5" customHeight="1" x14ac:dyDescent="0.25">
      <c r="A7" s="898"/>
      <c r="B7" s="109"/>
      <c r="C7" s="110"/>
      <c r="D7" s="1395" t="s">
        <v>302</v>
      </c>
      <c r="E7" s="1395"/>
      <c r="F7" s="1395"/>
      <c r="G7" s="1395"/>
      <c r="H7" s="1395"/>
      <c r="I7" s="1395"/>
      <c r="J7" s="1395"/>
      <c r="K7" s="1395"/>
      <c r="L7" s="1395"/>
      <c r="M7" s="109"/>
      <c r="N7" s="109"/>
      <c r="O7" s="109"/>
      <c r="P7" s="112"/>
      <c r="Q7" s="112"/>
      <c r="R7" s="113"/>
      <c r="S7" s="329"/>
      <c r="T7" s="328"/>
      <c r="U7" s="1733"/>
      <c r="V7" s="910"/>
      <c r="W7" s="328"/>
      <c r="X7" s="328"/>
      <c r="Y7" s="328"/>
      <c r="Z7" s="331"/>
    </row>
    <row r="8" spans="1:26" s="327" customFormat="1" ht="15.75" customHeight="1" x14ac:dyDescent="0.25">
      <c r="A8" s="898"/>
      <c r="B8" s="1677"/>
      <c r="C8" s="1677"/>
      <c r="D8" s="1677"/>
      <c r="E8" s="1677"/>
      <c r="F8" s="1677"/>
      <c r="G8" s="1677"/>
      <c r="H8" s="1677"/>
      <c r="I8" s="1677"/>
      <c r="J8" s="1677"/>
      <c r="K8" s="1677"/>
      <c r="L8" s="1677"/>
      <c r="M8" s="1677"/>
      <c r="N8" s="1677"/>
      <c r="O8" s="1677"/>
      <c r="P8" s="1677"/>
      <c r="Q8" s="1677"/>
      <c r="R8" s="1677"/>
      <c r="S8" s="329"/>
      <c r="T8" s="328"/>
      <c r="U8" s="1733"/>
      <c r="V8" s="910"/>
      <c r="W8" s="328"/>
      <c r="X8" s="328"/>
      <c r="Y8" s="328"/>
      <c r="Z8" s="331"/>
    </row>
    <row r="9" spans="1:26" s="325" customFormat="1" ht="15.75" customHeight="1" x14ac:dyDescent="0.25">
      <c r="A9" s="902"/>
      <c r="B9" s="1643" t="s">
        <v>90</v>
      </c>
      <c r="C9" s="1643"/>
      <c r="D9" s="1643"/>
      <c r="E9" s="1643"/>
      <c r="F9" s="1643"/>
      <c r="G9" s="1643"/>
      <c r="H9" s="1643"/>
      <c r="I9" s="1643"/>
      <c r="J9" s="1643"/>
      <c r="K9" s="1643"/>
      <c r="L9" s="1643"/>
      <c r="M9" s="1643"/>
      <c r="N9" s="1643"/>
      <c r="O9" s="1678"/>
      <c r="P9" s="1678"/>
      <c r="Q9" s="1678"/>
      <c r="R9" s="1643"/>
      <c r="S9" s="332">
        <f>S37+S77+S117+S157+S197</f>
        <v>0</v>
      </c>
      <c r="T9" s="333"/>
      <c r="U9" s="1733"/>
      <c r="V9" s="902"/>
    </row>
    <row r="10" spans="1:26" s="325" customFormat="1" ht="9.75" customHeight="1" x14ac:dyDescent="0.25">
      <c r="A10" s="902"/>
      <c r="B10" s="142" t="s">
        <v>169</v>
      </c>
      <c r="C10" s="1728" t="str">
        <f>MOD_2!$E$10</f>
        <v>APM da(o)</v>
      </c>
      <c r="D10" s="1728"/>
      <c r="E10" s="1728"/>
      <c r="F10" s="1728"/>
      <c r="G10" s="1728"/>
      <c r="H10" s="1728"/>
      <c r="I10" s="1728"/>
      <c r="J10" s="1729"/>
      <c r="K10" s="115" t="s">
        <v>91</v>
      </c>
      <c r="L10" s="129" t="s">
        <v>92</v>
      </c>
      <c r="M10" s="1670" t="s">
        <v>250</v>
      </c>
      <c r="N10" s="1672"/>
      <c r="O10" s="1670" t="s">
        <v>93</v>
      </c>
      <c r="P10" s="1671"/>
      <c r="Q10" s="1672"/>
      <c r="R10" s="114" t="s">
        <v>94</v>
      </c>
      <c r="S10" s="334"/>
      <c r="T10" s="333"/>
      <c r="U10" s="1733"/>
      <c r="V10" s="902"/>
    </row>
    <row r="11" spans="1:26" s="336" customFormat="1" ht="15" customHeight="1" x14ac:dyDescent="0.2">
      <c r="A11" s="911"/>
      <c r="B11" s="1673" t="str">
        <f>Dados!$E$67</f>
        <v/>
      </c>
      <c r="C11" s="1674"/>
      <c r="D11" s="1674"/>
      <c r="E11" s="1674"/>
      <c r="F11" s="1674"/>
      <c r="G11" s="1674"/>
      <c r="H11" s="1674"/>
      <c r="I11" s="1674"/>
      <c r="J11" s="1675"/>
      <c r="K11" s="212" t="str">
        <f>Dados!$E$71</f>
        <v/>
      </c>
      <c r="L11" s="182" t="str">
        <f>Dados!$H$71</f>
        <v/>
      </c>
      <c r="M11" s="1673" t="str">
        <f>Dados!$E$7</f>
        <v/>
      </c>
      <c r="N11" s="1675"/>
      <c r="O11" s="144" t="str">
        <f>Dados!$G$9</f>
        <v/>
      </c>
      <c r="P11" s="145" t="s">
        <v>292</v>
      </c>
      <c r="Q11" s="146" t="str">
        <f>Dados!$I$9</f>
        <v/>
      </c>
      <c r="R11" s="143" t="str">
        <f>Dados!$E$9</f>
        <v/>
      </c>
      <c r="S11" s="335"/>
      <c r="U11" s="1733"/>
      <c r="V11" s="911"/>
    </row>
    <row r="12" spans="1:26" s="325" customFormat="1" ht="8.25" customHeight="1" x14ac:dyDescent="0.25">
      <c r="A12" s="902"/>
      <c r="B12" s="1676"/>
      <c r="C12" s="1676"/>
      <c r="D12" s="1676"/>
      <c r="E12" s="1676"/>
      <c r="F12" s="1676"/>
      <c r="G12" s="1676"/>
      <c r="H12" s="1676"/>
      <c r="I12" s="1676"/>
      <c r="J12" s="1676"/>
      <c r="K12" s="1676"/>
      <c r="L12" s="1676"/>
      <c r="M12" s="1676"/>
      <c r="N12" s="1676"/>
      <c r="O12" s="1676"/>
      <c r="P12" s="1676"/>
      <c r="Q12" s="1676"/>
      <c r="R12" s="1676"/>
      <c r="S12" s="334"/>
      <c r="T12" s="333"/>
      <c r="U12" s="1733"/>
      <c r="V12" s="902"/>
    </row>
    <row r="13" spans="1:26" s="325" customFormat="1" ht="15.75" customHeight="1" x14ac:dyDescent="0.25">
      <c r="A13" s="902"/>
      <c r="B13" s="1643" t="s">
        <v>95</v>
      </c>
      <c r="C13" s="1643"/>
      <c r="D13" s="1643"/>
      <c r="E13" s="1643"/>
      <c r="F13" s="1643"/>
      <c r="G13" s="1643"/>
      <c r="H13" s="1643"/>
      <c r="I13" s="1643"/>
      <c r="J13" s="1643"/>
      <c r="K13" s="1643"/>
      <c r="L13" s="1643"/>
      <c r="M13" s="1643"/>
      <c r="N13" s="1643"/>
      <c r="O13" s="1643"/>
      <c r="P13" s="1643"/>
      <c r="Q13" s="1643"/>
      <c r="R13" s="1643"/>
      <c r="S13" s="334"/>
      <c r="T13" s="333"/>
      <c r="U13" s="1733"/>
      <c r="V13" s="902"/>
    </row>
    <row r="14" spans="1:26" s="325" customFormat="1" ht="12" customHeight="1" x14ac:dyDescent="0.25">
      <c r="A14" s="902"/>
      <c r="B14" s="1667" t="s">
        <v>96</v>
      </c>
      <c r="C14" s="1668"/>
      <c r="D14" s="1669"/>
      <c r="E14" s="1670" t="s">
        <v>97</v>
      </c>
      <c r="F14" s="1671"/>
      <c r="G14" s="1671"/>
      <c r="H14" s="1671"/>
      <c r="I14" s="1671"/>
      <c r="J14" s="1672"/>
      <c r="K14" s="1670" t="s">
        <v>98</v>
      </c>
      <c r="L14" s="1672"/>
      <c r="M14" s="116" t="s">
        <v>99</v>
      </c>
      <c r="N14" s="1667" t="s">
        <v>100</v>
      </c>
      <c r="O14" s="1668"/>
      <c r="P14" s="1668"/>
      <c r="Q14" s="1668"/>
      <c r="R14" s="1669"/>
      <c r="S14" s="334"/>
      <c r="T14" s="333"/>
      <c r="U14" s="1733"/>
      <c r="V14" s="902"/>
    </row>
    <row r="15" spans="1:26" s="325" customFormat="1" x14ac:dyDescent="0.25">
      <c r="A15" s="902"/>
      <c r="B15" s="117" t="s">
        <v>281</v>
      </c>
      <c r="C15" s="117" t="s">
        <v>330</v>
      </c>
      <c r="D15" s="117" t="s">
        <v>282</v>
      </c>
      <c r="E15" s="1661"/>
      <c r="F15" s="1662"/>
      <c r="G15" s="1662"/>
      <c r="H15" s="1662"/>
      <c r="I15" s="1662"/>
      <c r="J15" s="1663"/>
      <c r="K15" s="1661"/>
      <c r="L15" s="1663"/>
      <c r="M15" s="118"/>
      <c r="N15" s="1664" t="s">
        <v>101</v>
      </c>
      <c r="O15" s="1664"/>
      <c r="P15" s="1664"/>
      <c r="Q15" s="1665" t="s">
        <v>102</v>
      </c>
      <c r="R15" s="1666"/>
      <c r="S15" s="337"/>
      <c r="T15" s="333"/>
      <c r="U15" s="1733"/>
      <c r="V15" s="902"/>
    </row>
    <row r="16" spans="1:26" s="325" customFormat="1" x14ac:dyDescent="0.25">
      <c r="A16" s="902"/>
      <c r="B16" s="541" t="str">
        <f>IF(C16="","","N.F.")</f>
        <v/>
      </c>
      <c r="C16" s="774" t="str">
        <f>IF(Despesas!KU4="","",Despesas!KU4)</f>
        <v/>
      </c>
      <c r="D16" s="542" t="str">
        <f>IF(Despesas!KV4="","",Despesas!KV4)</f>
        <v/>
      </c>
      <c r="E16" s="1724" t="str">
        <f>IF(Despesas!KW4="","",Despesas!KW4)</f>
        <v/>
      </c>
      <c r="F16" s="1725" t="e">
        <f>IF(#REF!="","",#REF!)</f>
        <v>#REF!</v>
      </c>
      <c r="G16" s="1725" t="e">
        <f>IF(#REF!="","",#REF!)</f>
        <v>#REF!</v>
      </c>
      <c r="H16" s="1725" t="e">
        <f>IF(#REF!="","",#REF!)</f>
        <v>#REF!</v>
      </c>
      <c r="I16" s="1725" t="e">
        <f>IF(#REF!="","",#REF!)</f>
        <v>#REF!</v>
      </c>
      <c r="J16" s="1726" t="e">
        <f>IF(#REF!="","",#REF!)</f>
        <v>#REF!</v>
      </c>
      <c r="K16" s="1718" t="str">
        <f>IF(Despesas!KX4="","",Despesas!KX4)</f>
        <v/>
      </c>
      <c r="L16" s="1719" t="e">
        <f>IF(#REF!="","",#REF!)</f>
        <v>#REF!</v>
      </c>
      <c r="M16" s="541" t="str">
        <f>IF(Despesas!KY4="","",Despesas!KY4)</f>
        <v/>
      </c>
      <c r="N16" s="1720" t="str">
        <f>IF(Despesas!KZ4="","",Despesas!KZ4)</f>
        <v/>
      </c>
      <c r="O16" s="1721"/>
      <c r="P16" s="1722"/>
      <c r="Q16" s="1720" t="str">
        <f>IF(M16="","",M16*N16)</f>
        <v/>
      </c>
      <c r="R16" s="1723"/>
      <c r="S16" s="338">
        <f>IF(N16="",0,1)</f>
        <v>0</v>
      </c>
      <c r="T16" s="604" t="str">
        <f>IF(LEN(K16)=0,"",LEN(K16))</f>
        <v/>
      </c>
      <c r="U16" s="1733"/>
      <c r="V16" s="902"/>
    </row>
    <row r="17" spans="1:22" s="325" customFormat="1" x14ac:dyDescent="0.25">
      <c r="A17" s="902"/>
      <c r="B17" s="543" t="str">
        <f t="shared" ref="B17:B36" si="0">IF(C17="","","N.F.")</f>
        <v/>
      </c>
      <c r="C17" s="775" t="str">
        <f>IF(Despesas!KU5="","",Despesas!KU5)</f>
        <v/>
      </c>
      <c r="D17" s="544" t="str">
        <f>IF(Despesas!KV5="","",Despesas!KV5)</f>
        <v/>
      </c>
      <c r="E17" s="1708" t="str">
        <f>IF(Despesas!KW5="","",Despesas!KW5)</f>
        <v/>
      </c>
      <c r="F17" s="1709" t="e">
        <f>IF(#REF!="","",#REF!)</f>
        <v>#REF!</v>
      </c>
      <c r="G17" s="1709" t="e">
        <f>IF(#REF!="","",#REF!)</f>
        <v>#REF!</v>
      </c>
      <c r="H17" s="1709" t="e">
        <f>IF(#REF!="","",#REF!)</f>
        <v>#REF!</v>
      </c>
      <c r="I17" s="1709" t="e">
        <f>IF(#REF!="","",#REF!)</f>
        <v>#REF!</v>
      </c>
      <c r="J17" s="1710" t="e">
        <f>IF(#REF!="","",#REF!)</f>
        <v>#REF!</v>
      </c>
      <c r="K17" s="1714" t="str">
        <f>IF(Despesas!KX5="","",Despesas!KX5)</f>
        <v/>
      </c>
      <c r="L17" s="1715" t="e">
        <f>IF(#REF!="","",#REF!)</f>
        <v>#REF!</v>
      </c>
      <c r="M17" s="543" t="str">
        <f>IF(Despesas!KY5="","",Despesas!KY5)</f>
        <v/>
      </c>
      <c r="N17" s="1702" t="str">
        <f>IF(Despesas!KZ5="","",Despesas!KZ5)</f>
        <v/>
      </c>
      <c r="O17" s="1706"/>
      <c r="P17" s="1703"/>
      <c r="Q17" s="1702" t="str">
        <f t="shared" ref="Q17:Q36" si="1">IF(M17="","",M17*N17)</f>
        <v/>
      </c>
      <c r="R17" s="1703"/>
      <c r="S17" s="338">
        <f t="shared" ref="S17:S36" si="2">IF(N17="",0,1)</f>
        <v>0</v>
      </c>
      <c r="T17" s="604" t="str">
        <f t="shared" ref="T17:T36" si="3">IF(LEN(K17)=0,"",LEN(K17))</f>
        <v/>
      </c>
      <c r="U17" s="1733"/>
      <c r="V17" s="902"/>
    </row>
    <row r="18" spans="1:22" s="325" customFormat="1" ht="15.75" customHeight="1" x14ac:dyDescent="0.25">
      <c r="A18" s="902"/>
      <c r="B18" s="543" t="str">
        <f t="shared" si="0"/>
        <v/>
      </c>
      <c r="C18" s="775" t="str">
        <f>IF(Despesas!KU6="","",Despesas!KU6)</f>
        <v/>
      </c>
      <c r="D18" s="544" t="str">
        <f>IF(Despesas!KV6="","",Despesas!KV6)</f>
        <v/>
      </c>
      <c r="E18" s="1708" t="str">
        <f>IF(Despesas!KW6="","",Despesas!KW6)</f>
        <v/>
      </c>
      <c r="F18" s="1709" t="e">
        <f>IF(#REF!="","",#REF!)</f>
        <v>#REF!</v>
      </c>
      <c r="G18" s="1709" t="e">
        <f>IF(#REF!="","",#REF!)</f>
        <v>#REF!</v>
      </c>
      <c r="H18" s="1709" t="e">
        <f>IF(#REF!="","",#REF!)</f>
        <v>#REF!</v>
      </c>
      <c r="I18" s="1709" t="e">
        <f>IF(#REF!="","",#REF!)</f>
        <v>#REF!</v>
      </c>
      <c r="J18" s="1710" t="e">
        <f>IF(#REF!="","",#REF!)</f>
        <v>#REF!</v>
      </c>
      <c r="K18" s="1714" t="str">
        <f>IF(Despesas!KX6="","",Despesas!KX6)</f>
        <v/>
      </c>
      <c r="L18" s="1715" t="e">
        <f>IF(#REF!="","",#REF!)</f>
        <v>#REF!</v>
      </c>
      <c r="M18" s="543" t="str">
        <f>IF(Despesas!KY6="","",Despesas!KY6)</f>
        <v/>
      </c>
      <c r="N18" s="1702" t="str">
        <f>IF(Despesas!KZ6="","",Despesas!KZ6)</f>
        <v/>
      </c>
      <c r="O18" s="1706"/>
      <c r="P18" s="1703"/>
      <c r="Q18" s="1702" t="str">
        <f t="shared" si="1"/>
        <v/>
      </c>
      <c r="R18" s="1703"/>
      <c r="S18" s="338">
        <f t="shared" si="2"/>
        <v>0</v>
      </c>
      <c r="T18" s="604" t="str">
        <f t="shared" si="3"/>
        <v/>
      </c>
      <c r="U18" s="1733"/>
      <c r="V18" s="902"/>
    </row>
    <row r="19" spans="1:22" s="325" customFormat="1" x14ac:dyDescent="0.25">
      <c r="A19" s="902"/>
      <c r="B19" s="543" t="str">
        <f t="shared" si="0"/>
        <v/>
      </c>
      <c r="C19" s="775" t="str">
        <f>IF(Despesas!KU7="","",Despesas!KU7)</f>
        <v/>
      </c>
      <c r="D19" s="544" t="str">
        <f>IF(Despesas!KV7="","",Despesas!KV7)</f>
        <v/>
      </c>
      <c r="E19" s="1708" t="str">
        <f>IF(Despesas!KW7="","",Despesas!KW7)</f>
        <v/>
      </c>
      <c r="F19" s="1709" t="e">
        <f>IF(#REF!="","",#REF!)</f>
        <v>#REF!</v>
      </c>
      <c r="G19" s="1709" t="e">
        <f>IF(#REF!="","",#REF!)</f>
        <v>#REF!</v>
      </c>
      <c r="H19" s="1709" t="e">
        <f>IF(#REF!="","",#REF!)</f>
        <v>#REF!</v>
      </c>
      <c r="I19" s="1709" t="e">
        <f>IF(#REF!="","",#REF!)</f>
        <v>#REF!</v>
      </c>
      <c r="J19" s="1710" t="e">
        <f>IF(#REF!="","",#REF!)</f>
        <v>#REF!</v>
      </c>
      <c r="K19" s="1714" t="str">
        <f>IF(Despesas!KX7="","",Despesas!KX7)</f>
        <v/>
      </c>
      <c r="L19" s="1715" t="e">
        <f>IF(#REF!="","",#REF!)</f>
        <v>#REF!</v>
      </c>
      <c r="M19" s="543" t="str">
        <f>IF(Despesas!KY7="","",Despesas!KY7)</f>
        <v/>
      </c>
      <c r="N19" s="1702" t="str">
        <f>IF(Despesas!KZ7="","",Despesas!KZ7)</f>
        <v/>
      </c>
      <c r="O19" s="1706"/>
      <c r="P19" s="1703"/>
      <c r="Q19" s="1702" t="str">
        <f t="shared" si="1"/>
        <v/>
      </c>
      <c r="R19" s="1703"/>
      <c r="S19" s="338">
        <f t="shared" si="2"/>
        <v>0</v>
      </c>
      <c r="T19" s="604" t="str">
        <f t="shared" si="3"/>
        <v/>
      </c>
      <c r="U19" s="1733"/>
      <c r="V19" s="902"/>
    </row>
    <row r="20" spans="1:22" s="325" customFormat="1" x14ac:dyDescent="0.25">
      <c r="A20" s="902"/>
      <c r="B20" s="543" t="str">
        <f t="shared" si="0"/>
        <v/>
      </c>
      <c r="C20" s="775" t="str">
        <f>IF(Despesas!KU8="","",Despesas!KU8)</f>
        <v/>
      </c>
      <c r="D20" s="544" t="str">
        <f>IF(Despesas!KV8="","",Despesas!KV8)</f>
        <v/>
      </c>
      <c r="E20" s="1708" t="str">
        <f>IF(Despesas!KW8="","",Despesas!KW8)</f>
        <v/>
      </c>
      <c r="F20" s="1709" t="e">
        <f>IF(#REF!="","",#REF!)</f>
        <v>#REF!</v>
      </c>
      <c r="G20" s="1709" t="e">
        <f>IF(#REF!="","",#REF!)</f>
        <v>#REF!</v>
      </c>
      <c r="H20" s="1709" t="e">
        <f>IF(#REF!="","",#REF!)</f>
        <v>#REF!</v>
      </c>
      <c r="I20" s="1709" t="e">
        <f>IF(#REF!="","",#REF!)</f>
        <v>#REF!</v>
      </c>
      <c r="J20" s="1710" t="e">
        <f>IF(#REF!="","",#REF!)</f>
        <v>#REF!</v>
      </c>
      <c r="K20" s="1714" t="str">
        <f>IF(Despesas!KX8="","",Despesas!KX8)</f>
        <v/>
      </c>
      <c r="L20" s="1715" t="e">
        <f>IF(#REF!="","",#REF!)</f>
        <v>#REF!</v>
      </c>
      <c r="M20" s="543" t="str">
        <f>IF(Despesas!KY8="","",Despesas!KY8)</f>
        <v/>
      </c>
      <c r="N20" s="1702" t="str">
        <f>IF(Despesas!KZ8="","",Despesas!KZ8)</f>
        <v/>
      </c>
      <c r="O20" s="1706"/>
      <c r="P20" s="1703"/>
      <c r="Q20" s="1702" t="str">
        <f t="shared" si="1"/>
        <v/>
      </c>
      <c r="R20" s="1703"/>
      <c r="S20" s="338">
        <f t="shared" si="2"/>
        <v>0</v>
      </c>
      <c r="T20" s="604" t="str">
        <f t="shared" si="3"/>
        <v/>
      </c>
      <c r="U20" s="1733"/>
      <c r="V20" s="902"/>
    </row>
    <row r="21" spans="1:22" s="325" customFormat="1" x14ac:dyDescent="0.25">
      <c r="A21" s="902"/>
      <c r="B21" s="543" t="str">
        <f t="shared" si="0"/>
        <v/>
      </c>
      <c r="C21" s="775" t="str">
        <f>IF(Despesas!KU9="","",Despesas!KU9)</f>
        <v/>
      </c>
      <c r="D21" s="544" t="str">
        <f>IF(Despesas!KV9="","",Despesas!KV9)</f>
        <v/>
      </c>
      <c r="E21" s="1708" t="str">
        <f>IF(Despesas!KW9="","",Despesas!KW9)</f>
        <v/>
      </c>
      <c r="F21" s="1709" t="e">
        <f>IF(#REF!="","",#REF!)</f>
        <v>#REF!</v>
      </c>
      <c r="G21" s="1709" t="e">
        <f>IF(#REF!="","",#REF!)</f>
        <v>#REF!</v>
      </c>
      <c r="H21" s="1709" t="e">
        <f>IF(#REF!="","",#REF!)</f>
        <v>#REF!</v>
      </c>
      <c r="I21" s="1709" t="e">
        <f>IF(#REF!="","",#REF!)</f>
        <v>#REF!</v>
      </c>
      <c r="J21" s="1710" t="e">
        <f>IF(#REF!="","",#REF!)</f>
        <v>#REF!</v>
      </c>
      <c r="K21" s="1714" t="str">
        <f>IF(Despesas!KX9="","",Despesas!KX9)</f>
        <v/>
      </c>
      <c r="L21" s="1715" t="e">
        <f>IF(#REF!="","",#REF!)</f>
        <v>#REF!</v>
      </c>
      <c r="M21" s="543" t="str">
        <f>IF(Despesas!KY9="","",Despesas!KY9)</f>
        <v/>
      </c>
      <c r="N21" s="1702" t="str">
        <f>IF(Despesas!KZ9="","",Despesas!KZ9)</f>
        <v/>
      </c>
      <c r="O21" s="1706"/>
      <c r="P21" s="1703"/>
      <c r="Q21" s="1702" t="str">
        <f t="shared" si="1"/>
        <v/>
      </c>
      <c r="R21" s="1703"/>
      <c r="S21" s="338">
        <f t="shared" si="2"/>
        <v>0</v>
      </c>
      <c r="T21" s="604" t="str">
        <f t="shared" si="3"/>
        <v/>
      </c>
      <c r="U21" s="1733"/>
      <c r="V21" s="902"/>
    </row>
    <row r="22" spans="1:22" s="325" customFormat="1" x14ac:dyDescent="0.25">
      <c r="A22" s="902"/>
      <c r="B22" s="543" t="str">
        <f t="shared" si="0"/>
        <v/>
      </c>
      <c r="C22" s="775" t="str">
        <f>IF(Despesas!KU10="","",Despesas!KU10)</f>
        <v/>
      </c>
      <c r="D22" s="544" t="str">
        <f>IF(Despesas!KV10="","",Despesas!KV10)</f>
        <v/>
      </c>
      <c r="E22" s="1708" t="str">
        <f>IF(Despesas!KW10="","",Despesas!KW10)</f>
        <v/>
      </c>
      <c r="F22" s="1709" t="e">
        <f>IF(#REF!="","",#REF!)</f>
        <v>#REF!</v>
      </c>
      <c r="G22" s="1709" t="e">
        <f>IF(#REF!="","",#REF!)</f>
        <v>#REF!</v>
      </c>
      <c r="H22" s="1709" t="e">
        <f>IF(#REF!="","",#REF!)</f>
        <v>#REF!</v>
      </c>
      <c r="I22" s="1709" t="e">
        <f>IF(#REF!="","",#REF!)</f>
        <v>#REF!</v>
      </c>
      <c r="J22" s="1710" t="e">
        <f>IF(#REF!="","",#REF!)</f>
        <v>#REF!</v>
      </c>
      <c r="K22" s="1714" t="str">
        <f>IF(Despesas!KX10="","",Despesas!KX10)</f>
        <v/>
      </c>
      <c r="L22" s="1715" t="e">
        <f>IF(#REF!="","",#REF!)</f>
        <v>#REF!</v>
      </c>
      <c r="M22" s="543" t="str">
        <f>IF(Despesas!KY10="","",Despesas!KY10)</f>
        <v/>
      </c>
      <c r="N22" s="1702" t="str">
        <f>IF(Despesas!KZ10="","",Despesas!KZ10)</f>
        <v/>
      </c>
      <c r="O22" s="1706"/>
      <c r="P22" s="1703"/>
      <c r="Q22" s="1702" t="str">
        <f t="shared" si="1"/>
        <v/>
      </c>
      <c r="R22" s="1703"/>
      <c r="S22" s="338">
        <f t="shared" si="2"/>
        <v>0</v>
      </c>
      <c r="T22" s="604" t="str">
        <f t="shared" si="3"/>
        <v/>
      </c>
      <c r="U22" s="1733"/>
      <c r="V22" s="902"/>
    </row>
    <row r="23" spans="1:22" s="325" customFormat="1" x14ac:dyDescent="0.25">
      <c r="A23" s="902"/>
      <c r="B23" s="543" t="str">
        <f t="shared" si="0"/>
        <v/>
      </c>
      <c r="C23" s="775" t="str">
        <f>IF(Despesas!KU11="","",Despesas!KU11)</f>
        <v/>
      </c>
      <c r="D23" s="544" t="str">
        <f>IF(Despesas!KV11="","",Despesas!KV11)</f>
        <v/>
      </c>
      <c r="E23" s="1708" t="str">
        <f>IF(Despesas!KW11="","",Despesas!KW11)</f>
        <v/>
      </c>
      <c r="F23" s="1709" t="e">
        <f>IF(#REF!="","",#REF!)</f>
        <v>#REF!</v>
      </c>
      <c r="G23" s="1709" t="e">
        <f>IF(#REF!="","",#REF!)</f>
        <v>#REF!</v>
      </c>
      <c r="H23" s="1709" t="e">
        <f>IF(#REF!="","",#REF!)</f>
        <v>#REF!</v>
      </c>
      <c r="I23" s="1709" t="e">
        <f>IF(#REF!="","",#REF!)</f>
        <v>#REF!</v>
      </c>
      <c r="J23" s="1710" t="e">
        <f>IF(#REF!="","",#REF!)</f>
        <v>#REF!</v>
      </c>
      <c r="K23" s="1714" t="str">
        <f>IF(Despesas!KX11="","",Despesas!KX11)</f>
        <v/>
      </c>
      <c r="L23" s="1715" t="e">
        <f>IF(#REF!="","",#REF!)</f>
        <v>#REF!</v>
      </c>
      <c r="M23" s="543" t="str">
        <f>IF(Despesas!KY11="","",Despesas!KY11)</f>
        <v/>
      </c>
      <c r="N23" s="1702" t="str">
        <f>IF(Despesas!KZ11="","",Despesas!KZ11)</f>
        <v/>
      </c>
      <c r="O23" s="1706"/>
      <c r="P23" s="1703"/>
      <c r="Q23" s="1702" t="str">
        <f t="shared" si="1"/>
        <v/>
      </c>
      <c r="R23" s="1703"/>
      <c r="S23" s="338">
        <f t="shared" si="2"/>
        <v>0</v>
      </c>
      <c r="T23" s="604" t="str">
        <f t="shared" si="3"/>
        <v/>
      </c>
      <c r="U23" s="1733"/>
      <c r="V23" s="902"/>
    </row>
    <row r="24" spans="1:22" s="325" customFormat="1" x14ac:dyDescent="0.25">
      <c r="A24" s="902"/>
      <c r="B24" s="543" t="str">
        <f t="shared" si="0"/>
        <v/>
      </c>
      <c r="C24" s="775" t="str">
        <f>IF(Despesas!KU12="","",Despesas!KU12)</f>
        <v/>
      </c>
      <c r="D24" s="544" t="str">
        <f>IF(Despesas!KV12="","",Despesas!KV12)</f>
        <v/>
      </c>
      <c r="E24" s="1708" t="str">
        <f>IF(Despesas!KW12="","",Despesas!KW12)</f>
        <v/>
      </c>
      <c r="F24" s="1709" t="e">
        <f>IF(#REF!="","",#REF!)</f>
        <v>#REF!</v>
      </c>
      <c r="G24" s="1709" t="e">
        <f>IF(#REF!="","",#REF!)</f>
        <v>#REF!</v>
      </c>
      <c r="H24" s="1709" t="e">
        <f>IF(#REF!="","",#REF!)</f>
        <v>#REF!</v>
      </c>
      <c r="I24" s="1709" t="e">
        <f>IF(#REF!="","",#REF!)</f>
        <v>#REF!</v>
      </c>
      <c r="J24" s="1710" t="e">
        <f>IF(#REF!="","",#REF!)</f>
        <v>#REF!</v>
      </c>
      <c r="K24" s="1714" t="str">
        <f>IF(Despesas!KX12="","",Despesas!KX12)</f>
        <v/>
      </c>
      <c r="L24" s="1715" t="e">
        <f>IF(#REF!="","",#REF!)</f>
        <v>#REF!</v>
      </c>
      <c r="M24" s="543" t="str">
        <f>IF(Despesas!KY12="","",Despesas!KY12)</f>
        <v/>
      </c>
      <c r="N24" s="1702" t="str">
        <f>IF(Despesas!KZ12="","",Despesas!KZ12)</f>
        <v/>
      </c>
      <c r="O24" s="1706"/>
      <c r="P24" s="1703"/>
      <c r="Q24" s="1702" t="str">
        <f t="shared" si="1"/>
        <v/>
      </c>
      <c r="R24" s="1703"/>
      <c r="S24" s="338">
        <f t="shared" si="2"/>
        <v>0</v>
      </c>
      <c r="T24" s="604" t="str">
        <f t="shared" si="3"/>
        <v/>
      </c>
      <c r="U24" s="1733"/>
      <c r="V24" s="902"/>
    </row>
    <row r="25" spans="1:22" s="325" customFormat="1" x14ac:dyDescent="0.25">
      <c r="A25" s="902"/>
      <c r="B25" s="543" t="str">
        <f t="shared" si="0"/>
        <v/>
      </c>
      <c r="C25" s="775" t="str">
        <f>IF(Despesas!KU13="","",Despesas!KU13)</f>
        <v/>
      </c>
      <c r="D25" s="544" t="str">
        <f>IF(Despesas!KV13="","",Despesas!KV13)</f>
        <v/>
      </c>
      <c r="E25" s="1708" t="str">
        <f>IF(Despesas!KW13="","",Despesas!KW13)</f>
        <v/>
      </c>
      <c r="F25" s="1709" t="e">
        <f>IF(#REF!="","",#REF!)</f>
        <v>#REF!</v>
      </c>
      <c r="G25" s="1709" t="e">
        <f>IF(#REF!="","",#REF!)</f>
        <v>#REF!</v>
      </c>
      <c r="H25" s="1709" t="e">
        <f>IF(#REF!="","",#REF!)</f>
        <v>#REF!</v>
      </c>
      <c r="I25" s="1709" t="e">
        <f>IF(#REF!="","",#REF!)</f>
        <v>#REF!</v>
      </c>
      <c r="J25" s="1710" t="e">
        <f>IF(#REF!="","",#REF!)</f>
        <v>#REF!</v>
      </c>
      <c r="K25" s="1714" t="str">
        <f>IF(Despesas!KX13="","",Despesas!KX13)</f>
        <v/>
      </c>
      <c r="L25" s="1715" t="e">
        <f>IF(#REF!="","",#REF!)</f>
        <v>#REF!</v>
      </c>
      <c r="M25" s="543" t="str">
        <f>IF(Despesas!KY13="","",Despesas!KY13)</f>
        <v/>
      </c>
      <c r="N25" s="1702" t="str">
        <f>IF(Despesas!KZ13="","",Despesas!KZ13)</f>
        <v/>
      </c>
      <c r="O25" s="1706"/>
      <c r="P25" s="1703"/>
      <c r="Q25" s="1702" t="str">
        <f t="shared" si="1"/>
        <v/>
      </c>
      <c r="R25" s="1703"/>
      <c r="S25" s="338">
        <f t="shared" si="2"/>
        <v>0</v>
      </c>
      <c r="T25" s="604" t="str">
        <f t="shared" si="3"/>
        <v/>
      </c>
      <c r="U25" s="1733"/>
      <c r="V25" s="902"/>
    </row>
    <row r="26" spans="1:22" s="325" customFormat="1" x14ac:dyDescent="0.25">
      <c r="A26" s="902"/>
      <c r="B26" s="543" t="str">
        <f t="shared" si="0"/>
        <v/>
      </c>
      <c r="C26" s="775" t="str">
        <f>IF(Despesas!KU14="","",Despesas!KU14)</f>
        <v/>
      </c>
      <c r="D26" s="544" t="str">
        <f>IF(Despesas!KV14="","",Despesas!KV14)</f>
        <v/>
      </c>
      <c r="E26" s="1708" t="str">
        <f>IF(Despesas!KW14="","",Despesas!KW14)</f>
        <v/>
      </c>
      <c r="F26" s="1709" t="e">
        <f>IF(#REF!="","",#REF!)</f>
        <v>#REF!</v>
      </c>
      <c r="G26" s="1709" t="e">
        <f>IF(#REF!="","",#REF!)</f>
        <v>#REF!</v>
      </c>
      <c r="H26" s="1709" t="e">
        <f>IF(#REF!="","",#REF!)</f>
        <v>#REF!</v>
      </c>
      <c r="I26" s="1709" t="e">
        <f>IF(#REF!="","",#REF!)</f>
        <v>#REF!</v>
      </c>
      <c r="J26" s="1710" t="e">
        <f>IF(#REF!="","",#REF!)</f>
        <v>#REF!</v>
      </c>
      <c r="K26" s="1714" t="str">
        <f>IF(Despesas!KX14="","",Despesas!KX14)</f>
        <v/>
      </c>
      <c r="L26" s="1715" t="e">
        <f>IF(#REF!="","",#REF!)</f>
        <v>#REF!</v>
      </c>
      <c r="M26" s="543" t="str">
        <f>IF(Despesas!KY14="","",Despesas!KY14)</f>
        <v/>
      </c>
      <c r="N26" s="1702" t="str">
        <f>IF(Despesas!KZ14="","",Despesas!KZ14)</f>
        <v/>
      </c>
      <c r="O26" s="1706"/>
      <c r="P26" s="1703"/>
      <c r="Q26" s="1702" t="str">
        <f t="shared" si="1"/>
        <v/>
      </c>
      <c r="R26" s="1703"/>
      <c r="S26" s="338">
        <f t="shared" si="2"/>
        <v>0</v>
      </c>
      <c r="T26" s="604" t="str">
        <f t="shared" si="3"/>
        <v/>
      </c>
      <c r="U26" s="1733"/>
      <c r="V26" s="902"/>
    </row>
    <row r="27" spans="1:22" s="325" customFormat="1" x14ac:dyDescent="0.25">
      <c r="A27" s="902"/>
      <c r="B27" s="543" t="str">
        <f t="shared" si="0"/>
        <v/>
      </c>
      <c r="C27" s="775" t="str">
        <f>IF(Despesas!KU15="","",Despesas!KU15)</f>
        <v/>
      </c>
      <c r="D27" s="544" t="str">
        <f>IF(Despesas!KV15="","",Despesas!KV15)</f>
        <v/>
      </c>
      <c r="E27" s="1708" t="str">
        <f>IF(Despesas!KW15="","",Despesas!KW15)</f>
        <v/>
      </c>
      <c r="F27" s="1709" t="e">
        <f>IF(#REF!="","",#REF!)</f>
        <v>#REF!</v>
      </c>
      <c r="G27" s="1709" t="e">
        <f>IF(#REF!="","",#REF!)</f>
        <v>#REF!</v>
      </c>
      <c r="H27" s="1709" t="e">
        <f>IF(#REF!="","",#REF!)</f>
        <v>#REF!</v>
      </c>
      <c r="I27" s="1709" t="e">
        <f>IF(#REF!="","",#REF!)</f>
        <v>#REF!</v>
      </c>
      <c r="J27" s="1710" t="e">
        <f>IF(#REF!="","",#REF!)</f>
        <v>#REF!</v>
      </c>
      <c r="K27" s="1714" t="str">
        <f>IF(Despesas!KX15="","",Despesas!KX15)</f>
        <v/>
      </c>
      <c r="L27" s="1715" t="e">
        <f>IF(#REF!="","",#REF!)</f>
        <v>#REF!</v>
      </c>
      <c r="M27" s="543" t="str">
        <f>IF(Despesas!KY15="","",Despesas!KY15)</f>
        <v/>
      </c>
      <c r="N27" s="1702" t="str">
        <f>IF(Despesas!KZ15="","",Despesas!KZ15)</f>
        <v/>
      </c>
      <c r="O27" s="1706"/>
      <c r="P27" s="1703"/>
      <c r="Q27" s="1702" t="str">
        <f t="shared" si="1"/>
        <v/>
      </c>
      <c r="R27" s="1703"/>
      <c r="S27" s="338">
        <f t="shared" si="2"/>
        <v>0</v>
      </c>
      <c r="T27" s="604" t="str">
        <f t="shared" si="3"/>
        <v/>
      </c>
      <c r="U27" s="1733"/>
      <c r="V27" s="902"/>
    </row>
    <row r="28" spans="1:22" s="325" customFormat="1" x14ac:dyDescent="0.25">
      <c r="A28" s="902"/>
      <c r="B28" s="543" t="str">
        <f t="shared" si="0"/>
        <v/>
      </c>
      <c r="C28" s="775" t="str">
        <f>IF(Despesas!KU16="","",Despesas!KU16)</f>
        <v/>
      </c>
      <c r="D28" s="544" t="str">
        <f>IF(Despesas!KV16="","",Despesas!KV16)</f>
        <v/>
      </c>
      <c r="E28" s="1708" t="str">
        <f>IF(Despesas!KW16="","",Despesas!KW16)</f>
        <v/>
      </c>
      <c r="F28" s="1709" t="e">
        <f>IF(#REF!="","",#REF!)</f>
        <v>#REF!</v>
      </c>
      <c r="G28" s="1709" t="e">
        <f>IF(#REF!="","",#REF!)</f>
        <v>#REF!</v>
      </c>
      <c r="H28" s="1709" t="e">
        <f>IF(#REF!="","",#REF!)</f>
        <v>#REF!</v>
      </c>
      <c r="I28" s="1709" t="e">
        <f>IF(#REF!="","",#REF!)</f>
        <v>#REF!</v>
      </c>
      <c r="J28" s="1710" t="e">
        <f>IF(#REF!="","",#REF!)</f>
        <v>#REF!</v>
      </c>
      <c r="K28" s="1714" t="str">
        <f>IF(Despesas!KX16="","",Despesas!KX16)</f>
        <v/>
      </c>
      <c r="L28" s="1715" t="e">
        <f>IF(#REF!="","",#REF!)</f>
        <v>#REF!</v>
      </c>
      <c r="M28" s="543" t="str">
        <f>IF(Despesas!KY16="","",Despesas!KY16)</f>
        <v/>
      </c>
      <c r="N28" s="1702" t="str">
        <f>IF(Despesas!KZ16="","",Despesas!KZ16)</f>
        <v/>
      </c>
      <c r="O28" s="1706"/>
      <c r="P28" s="1703"/>
      <c r="Q28" s="1702" t="str">
        <f t="shared" si="1"/>
        <v/>
      </c>
      <c r="R28" s="1703"/>
      <c r="S28" s="338">
        <f t="shared" si="2"/>
        <v>0</v>
      </c>
      <c r="T28" s="604" t="str">
        <f t="shared" si="3"/>
        <v/>
      </c>
      <c r="U28" s="1733"/>
      <c r="V28" s="902"/>
    </row>
    <row r="29" spans="1:22" s="325" customFormat="1" x14ac:dyDescent="0.25">
      <c r="A29" s="902"/>
      <c r="B29" s="543" t="str">
        <f t="shared" si="0"/>
        <v/>
      </c>
      <c r="C29" s="775" t="str">
        <f>IF(Despesas!KU17="","",Despesas!KU17)</f>
        <v/>
      </c>
      <c r="D29" s="544" t="str">
        <f>IF(Despesas!KV17="","",Despesas!KV17)</f>
        <v/>
      </c>
      <c r="E29" s="1708" t="str">
        <f>IF(Despesas!KW17="","",Despesas!KW17)</f>
        <v/>
      </c>
      <c r="F29" s="1709" t="e">
        <f>IF(#REF!="","",#REF!)</f>
        <v>#REF!</v>
      </c>
      <c r="G29" s="1709" t="e">
        <f>IF(#REF!="","",#REF!)</f>
        <v>#REF!</v>
      </c>
      <c r="H29" s="1709" t="e">
        <f>IF(#REF!="","",#REF!)</f>
        <v>#REF!</v>
      </c>
      <c r="I29" s="1709" t="e">
        <f>IF(#REF!="","",#REF!)</f>
        <v>#REF!</v>
      </c>
      <c r="J29" s="1710" t="e">
        <f>IF(#REF!="","",#REF!)</f>
        <v>#REF!</v>
      </c>
      <c r="K29" s="1714" t="str">
        <f>IF(Despesas!KX17="","",Despesas!KX17)</f>
        <v/>
      </c>
      <c r="L29" s="1715" t="e">
        <f>IF(#REF!="","",#REF!)</f>
        <v>#REF!</v>
      </c>
      <c r="M29" s="543" t="str">
        <f>IF(Despesas!KY17="","",Despesas!KY17)</f>
        <v/>
      </c>
      <c r="N29" s="1702" t="str">
        <f>IF(Despesas!KZ17="","",Despesas!KZ17)</f>
        <v/>
      </c>
      <c r="O29" s="1706"/>
      <c r="P29" s="1703"/>
      <c r="Q29" s="1702" t="str">
        <f t="shared" si="1"/>
        <v/>
      </c>
      <c r="R29" s="1703"/>
      <c r="S29" s="338">
        <f t="shared" si="2"/>
        <v>0</v>
      </c>
      <c r="T29" s="604" t="str">
        <f t="shared" si="3"/>
        <v/>
      </c>
      <c r="U29" s="1733"/>
      <c r="V29" s="902"/>
    </row>
    <row r="30" spans="1:22" s="325" customFormat="1" x14ac:dyDescent="0.25">
      <c r="A30" s="902"/>
      <c r="B30" s="543" t="str">
        <f t="shared" si="0"/>
        <v/>
      </c>
      <c r="C30" s="775" t="str">
        <f>IF(Despesas!KU18="","",Despesas!KU18)</f>
        <v/>
      </c>
      <c r="D30" s="544" t="str">
        <f>IF(Despesas!KV18="","",Despesas!KV18)</f>
        <v/>
      </c>
      <c r="E30" s="1708" t="str">
        <f>IF(Despesas!KW18="","",Despesas!KW18)</f>
        <v/>
      </c>
      <c r="F30" s="1709" t="e">
        <f>IF(#REF!="","",#REF!)</f>
        <v>#REF!</v>
      </c>
      <c r="G30" s="1709" t="e">
        <f>IF(#REF!="","",#REF!)</f>
        <v>#REF!</v>
      </c>
      <c r="H30" s="1709" t="e">
        <f>IF(#REF!="","",#REF!)</f>
        <v>#REF!</v>
      </c>
      <c r="I30" s="1709" t="e">
        <f>IF(#REF!="","",#REF!)</f>
        <v>#REF!</v>
      </c>
      <c r="J30" s="1710" t="e">
        <f>IF(#REF!="","",#REF!)</f>
        <v>#REF!</v>
      </c>
      <c r="K30" s="1714" t="str">
        <f>IF(Despesas!KX18="","",Despesas!KX18)</f>
        <v/>
      </c>
      <c r="L30" s="1715" t="e">
        <f>IF(#REF!="","",#REF!)</f>
        <v>#REF!</v>
      </c>
      <c r="M30" s="543" t="str">
        <f>IF(Despesas!KY18="","",Despesas!KY18)</f>
        <v/>
      </c>
      <c r="N30" s="1702" t="str">
        <f>IF(Despesas!KZ18="","",Despesas!KZ18)</f>
        <v/>
      </c>
      <c r="O30" s="1706"/>
      <c r="P30" s="1703"/>
      <c r="Q30" s="1702" t="str">
        <f t="shared" si="1"/>
        <v/>
      </c>
      <c r="R30" s="1703"/>
      <c r="S30" s="338">
        <f t="shared" si="2"/>
        <v>0</v>
      </c>
      <c r="T30" s="604" t="str">
        <f t="shared" si="3"/>
        <v/>
      </c>
      <c r="U30" s="1733"/>
      <c r="V30" s="902"/>
    </row>
    <row r="31" spans="1:22" s="325" customFormat="1" x14ac:dyDescent="0.25">
      <c r="A31" s="902"/>
      <c r="B31" s="543" t="str">
        <f t="shared" si="0"/>
        <v/>
      </c>
      <c r="C31" s="775" t="str">
        <f>IF(Despesas!KU19="","",Despesas!KU19)</f>
        <v/>
      </c>
      <c r="D31" s="544" t="str">
        <f>IF(Despesas!KV19="","",Despesas!KV19)</f>
        <v/>
      </c>
      <c r="E31" s="1708" t="str">
        <f>IF(Despesas!KW19="","",Despesas!KW19)</f>
        <v/>
      </c>
      <c r="F31" s="1709" t="e">
        <f>IF(#REF!="","",#REF!)</f>
        <v>#REF!</v>
      </c>
      <c r="G31" s="1709" t="e">
        <f>IF(#REF!="","",#REF!)</f>
        <v>#REF!</v>
      </c>
      <c r="H31" s="1709" t="e">
        <f>IF(#REF!="","",#REF!)</f>
        <v>#REF!</v>
      </c>
      <c r="I31" s="1709" t="e">
        <f>IF(#REF!="","",#REF!)</f>
        <v>#REF!</v>
      </c>
      <c r="J31" s="1710" t="e">
        <f>IF(#REF!="","",#REF!)</f>
        <v>#REF!</v>
      </c>
      <c r="K31" s="1714" t="str">
        <f>IF(Despesas!KX19="","",Despesas!KX19)</f>
        <v/>
      </c>
      <c r="L31" s="1715" t="e">
        <f>IF(#REF!="","",#REF!)</f>
        <v>#REF!</v>
      </c>
      <c r="M31" s="543" t="str">
        <f>IF(Despesas!KY19="","",Despesas!KY19)</f>
        <v/>
      </c>
      <c r="N31" s="1702" t="str">
        <f>IF(Despesas!KZ19="","",Despesas!KZ19)</f>
        <v/>
      </c>
      <c r="O31" s="1706"/>
      <c r="P31" s="1703"/>
      <c r="Q31" s="1702" t="str">
        <f t="shared" si="1"/>
        <v/>
      </c>
      <c r="R31" s="1703"/>
      <c r="S31" s="338">
        <f t="shared" si="2"/>
        <v>0</v>
      </c>
      <c r="T31" s="604" t="str">
        <f t="shared" si="3"/>
        <v/>
      </c>
      <c r="U31" s="1733"/>
      <c r="V31" s="902"/>
    </row>
    <row r="32" spans="1:22" s="325" customFormat="1" x14ac:dyDescent="0.25">
      <c r="A32" s="902"/>
      <c r="B32" s="543" t="str">
        <f t="shared" si="0"/>
        <v/>
      </c>
      <c r="C32" s="775" t="str">
        <f>IF(Despesas!KU20="","",Despesas!KU20)</f>
        <v/>
      </c>
      <c r="D32" s="544" t="str">
        <f>IF(Despesas!KV20="","",Despesas!KV20)</f>
        <v/>
      </c>
      <c r="E32" s="1708" t="str">
        <f>IF(Despesas!KW20="","",Despesas!KW20)</f>
        <v/>
      </c>
      <c r="F32" s="1709" t="e">
        <f>IF(#REF!="","",#REF!)</f>
        <v>#REF!</v>
      </c>
      <c r="G32" s="1709" t="e">
        <f>IF(#REF!="","",#REF!)</f>
        <v>#REF!</v>
      </c>
      <c r="H32" s="1709" t="e">
        <f>IF(#REF!="","",#REF!)</f>
        <v>#REF!</v>
      </c>
      <c r="I32" s="1709" t="e">
        <f>IF(#REF!="","",#REF!)</f>
        <v>#REF!</v>
      </c>
      <c r="J32" s="1710" t="e">
        <f>IF(#REF!="","",#REF!)</f>
        <v>#REF!</v>
      </c>
      <c r="K32" s="1714" t="str">
        <f>IF(Despesas!KX20="","",Despesas!KX20)</f>
        <v/>
      </c>
      <c r="L32" s="1715" t="e">
        <f>IF(#REF!="","",#REF!)</f>
        <v>#REF!</v>
      </c>
      <c r="M32" s="543" t="str">
        <f>IF(Despesas!KY20="","",Despesas!KY20)</f>
        <v/>
      </c>
      <c r="N32" s="1702" t="str">
        <f>IF(Despesas!KZ20="","",Despesas!KZ20)</f>
        <v/>
      </c>
      <c r="O32" s="1706"/>
      <c r="P32" s="1703"/>
      <c r="Q32" s="1702" t="str">
        <f t="shared" si="1"/>
        <v/>
      </c>
      <c r="R32" s="1703"/>
      <c r="S32" s="338">
        <f t="shared" si="2"/>
        <v>0</v>
      </c>
      <c r="T32" s="604" t="str">
        <f t="shared" si="3"/>
        <v/>
      </c>
      <c r="U32" s="1733"/>
      <c r="V32" s="902"/>
    </row>
    <row r="33" spans="1:26" s="325" customFormat="1" ht="15.75" customHeight="1" x14ac:dyDescent="0.25">
      <c r="A33" s="902"/>
      <c r="B33" s="543" t="str">
        <f t="shared" si="0"/>
        <v/>
      </c>
      <c r="C33" s="775" t="str">
        <f>IF(Despesas!KU21="","",Despesas!KU21)</f>
        <v/>
      </c>
      <c r="D33" s="544" t="str">
        <f>IF(Despesas!KV21="","",Despesas!KV21)</f>
        <v/>
      </c>
      <c r="E33" s="1708" t="str">
        <f>IF(Despesas!KW21="","",Despesas!KW21)</f>
        <v/>
      </c>
      <c r="F33" s="1709" t="e">
        <f>IF(#REF!="","",#REF!)</f>
        <v>#REF!</v>
      </c>
      <c r="G33" s="1709" t="e">
        <f>IF(#REF!="","",#REF!)</f>
        <v>#REF!</v>
      </c>
      <c r="H33" s="1709" t="e">
        <f>IF(#REF!="","",#REF!)</f>
        <v>#REF!</v>
      </c>
      <c r="I33" s="1709" t="e">
        <f>IF(#REF!="","",#REF!)</f>
        <v>#REF!</v>
      </c>
      <c r="J33" s="1710" t="e">
        <f>IF(#REF!="","",#REF!)</f>
        <v>#REF!</v>
      </c>
      <c r="K33" s="1714" t="str">
        <f>IF(Despesas!KX21="","",Despesas!KX21)</f>
        <v/>
      </c>
      <c r="L33" s="1715" t="e">
        <f>IF(#REF!="","",#REF!)</f>
        <v>#REF!</v>
      </c>
      <c r="M33" s="543" t="str">
        <f>IF(Despesas!KY21="","",Despesas!KY21)</f>
        <v/>
      </c>
      <c r="N33" s="1702" t="str">
        <f>IF(Despesas!KZ21="","",Despesas!KZ21)</f>
        <v/>
      </c>
      <c r="O33" s="1706"/>
      <c r="P33" s="1703"/>
      <c r="Q33" s="1702" t="str">
        <f t="shared" si="1"/>
        <v/>
      </c>
      <c r="R33" s="1703"/>
      <c r="S33" s="338">
        <f t="shared" si="2"/>
        <v>0</v>
      </c>
      <c r="T33" s="604" t="str">
        <f t="shared" si="3"/>
        <v/>
      </c>
      <c r="U33" s="1733"/>
      <c r="V33" s="902"/>
    </row>
    <row r="34" spans="1:26" s="325" customFormat="1" x14ac:dyDescent="0.25">
      <c r="A34" s="902"/>
      <c r="B34" s="543" t="str">
        <f t="shared" si="0"/>
        <v/>
      </c>
      <c r="C34" s="775" t="str">
        <f>IF(Despesas!KU22="","",Despesas!KU22)</f>
        <v/>
      </c>
      <c r="D34" s="544" t="str">
        <f>IF(Despesas!KV22="","",Despesas!KV22)</f>
        <v/>
      </c>
      <c r="E34" s="1708" t="str">
        <f>IF(Despesas!KW22="","",Despesas!KW22)</f>
        <v/>
      </c>
      <c r="F34" s="1709" t="e">
        <f>IF(#REF!="","",#REF!)</f>
        <v>#REF!</v>
      </c>
      <c r="G34" s="1709" t="e">
        <f>IF(#REF!="","",#REF!)</f>
        <v>#REF!</v>
      </c>
      <c r="H34" s="1709" t="e">
        <f>IF(#REF!="","",#REF!)</f>
        <v>#REF!</v>
      </c>
      <c r="I34" s="1709" t="e">
        <f>IF(#REF!="","",#REF!)</f>
        <v>#REF!</v>
      </c>
      <c r="J34" s="1710" t="e">
        <f>IF(#REF!="","",#REF!)</f>
        <v>#REF!</v>
      </c>
      <c r="K34" s="1714" t="str">
        <f>IF(Despesas!KX22="","",Despesas!KX22)</f>
        <v/>
      </c>
      <c r="L34" s="1715" t="e">
        <f>IF(#REF!="","",#REF!)</f>
        <v>#REF!</v>
      </c>
      <c r="M34" s="543" t="str">
        <f>IF(Despesas!KY22="","",Despesas!KY22)</f>
        <v/>
      </c>
      <c r="N34" s="1702" t="str">
        <f>IF(Despesas!KZ22="","",Despesas!KZ22)</f>
        <v/>
      </c>
      <c r="O34" s="1706"/>
      <c r="P34" s="1703"/>
      <c r="Q34" s="1702" t="str">
        <f t="shared" si="1"/>
        <v/>
      </c>
      <c r="R34" s="1703"/>
      <c r="S34" s="338">
        <f t="shared" si="2"/>
        <v>0</v>
      </c>
      <c r="T34" s="604" t="str">
        <f t="shared" si="3"/>
        <v/>
      </c>
      <c r="U34" s="1733"/>
      <c r="V34" s="902"/>
    </row>
    <row r="35" spans="1:26" s="325" customFormat="1" x14ac:dyDescent="0.25">
      <c r="A35" s="902"/>
      <c r="B35" s="543" t="str">
        <f t="shared" si="0"/>
        <v/>
      </c>
      <c r="C35" s="775" t="str">
        <f>IF(Despesas!KU23="","",Despesas!KU23)</f>
        <v/>
      </c>
      <c r="D35" s="544" t="str">
        <f>IF(Despesas!KV23="","",Despesas!KV23)</f>
        <v/>
      </c>
      <c r="E35" s="1708" t="str">
        <f>IF(Despesas!KW23="","",Despesas!KW23)</f>
        <v/>
      </c>
      <c r="F35" s="1709" t="e">
        <f>IF(#REF!="","",#REF!)</f>
        <v>#REF!</v>
      </c>
      <c r="G35" s="1709" t="e">
        <f>IF(#REF!="","",#REF!)</f>
        <v>#REF!</v>
      </c>
      <c r="H35" s="1709" t="e">
        <f>IF(#REF!="","",#REF!)</f>
        <v>#REF!</v>
      </c>
      <c r="I35" s="1709" t="e">
        <f>IF(#REF!="","",#REF!)</f>
        <v>#REF!</v>
      </c>
      <c r="J35" s="1710" t="e">
        <f>IF(#REF!="","",#REF!)</f>
        <v>#REF!</v>
      </c>
      <c r="K35" s="1714" t="str">
        <f>IF(Despesas!KX23="","",Despesas!KX23)</f>
        <v/>
      </c>
      <c r="L35" s="1715" t="e">
        <f>IF(#REF!="","",#REF!)</f>
        <v>#REF!</v>
      </c>
      <c r="M35" s="543" t="str">
        <f>IF(Despesas!KY23="","",Despesas!KY23)</f>
        <v/>
      </c>
      <c r="N35" s="1702" t="str">
        <f>IF(Despesas!KZ23="","",Despesas!KZ23)</f>
        <v/>
      </c>
      <c r="O35" s="1706"/>
      <c r="P35" s="1703"/>
      <c r="Q35" s="1702" t="str">
        <f t="shared" si="1"/>
        <v/>
      </c>
      <c r="R35" s="1703"/>
      <c r="S35" s="338">
        <f t="shared" si="2"/>
        <v>0</v>
      </c>
      <c r="T35" s="604" t="str">
        <f t="shared" si="3"/>
        <v/>
      </c>
      <c r="U35" s="1733"/>
      <c r="V35" s="902"/>
    </row>
    <row r="36" spans="1:26" s="325" customFormat="1" x14ac:dyDescent="0.25">
      <c r="A36" s="902"/>
      <c r="B36" s="543" t="str">
        <f t="shared" si="0"/>
        <v/>
      </c>
      <c r="C36" s="776" t="str">
        <f>IF(Despesas!KU24="","",Despesas!KU24)</f>
        <v/>
      </c>
      <c r="D36" s="545" t="str">
        <f>IF(Despesas!KV24="","",Despesas!KV24)</f>
        <v/>
      </c>
      <c r="E36" s="1711" t="str">
        <f>IF(Despesas!KW24="","",Despesas!KW24)</f>
        <v/>
      </c>
      <c r="F36" s="1712" t="e">
        <f>IF(#REF!="","",#REF!)</f>
        <v>#REF!</v>
      </c>
      <c r="G36" s="1712" t="e">
        <f>IF(#REF!="","",#REF!)</f>
        <v>#REF!</v>
      </c>
      <c r="H36" s="1712" t="e">
        <f>IF(#REF!="","",#REF!)</f>
        <v>#REF!</v>
      </c>
      <c r="I36" s="1712" t="e">
        <f>IF(#REF!="","",#REF!)</f>
        <v>#REF!</v>
      </c>
      <c r="J36" s="1713" t="e">
        <f>IF(#REF!="","",#REF!)</f>
        <v>#REF!</v>
      </c>
      <c r="K36" s="1716" t="str">
        <f>IF(Despesas!KX24="","",Despesas!KX24)</f>
        <v/>
      </c>
      <c r="L36" s="1717" t="e">
        <f>IF(#REF!="","",#REF!)</f>
        <v>#REF!</v>
      </c>
      <c r="M36" s="543" t="str">
        <f>IF(Despesas!KY24="","",Despesas!KY24)</f>
        <v/>
      </c>
      <c r="N36" s="1704" t="str">
        <f>IF(Despesas!KZ24="","",Despesas!KZ24)</f>
        <v/>
      </c>
      <c r="O36" s="1707"/>
      <c r="P36" s="1705"/>
      <c r="Q36" s="1704" t="str">
        <f t="shared" si="1"/>
        <v/>
      </c>
      <c r="R36" s="1705"/>
      <c r="S36" s="338">
        <f t="shared" si="2"/>
        <v>0</v>
      </c>
      <c r="T36" s="604" t="str">
        <f t="shared" si="3"/>
        <v/>
      </c>
      <c r="U36" s="1733"/>
      <c r="V36" s="902"/>
    </row>
    <row r="37" spans="1:26" s="325" customFormat="1" ht="15.75" customHeight="1" x14ac:dyDescent="0.25">
      <c r="A37" s="902"/>
      <c r="B37" s="1630" t="s">
        <v>209</v>
      </c>
      <c r="C37" s="1631"/>
      <c r="D37" s="1631"/>
      <c r="E37" s="1631"/>
      <c r="F37" s="1631"/>
      <c r="G37" s="1631"/>
      <c r="H37" s="1631"/>
      <c r="I37" s="1631"/>
      <c r="J37" s="1631"/>
      <c r="K37" s="1631"/>
      <c r="L37" s="1631"/>
      <c r="M37" s="1632"/>
      <c r="N37" s="1633" t="s">
        <v>103</v>
      </c>
      <c r="O37" s="1634"/>
      <c r="P37" s="1635"/>
      <c r="Q37" s="1636">
        <f>IF(SUM(Q16:R36)="","",SUM(Q16:R36))</f>
        <v>0</v>
      </c>
      <c r="R37" s="1637"/>
      <c r="S37" s="332">
        <f>SUM(S16:S36)</f>
        <v>0</v>
      </c>
      <c r="T37" s="333"/>
      <c r="U37" s="1733"/>
      <c r="V37" s="902"/>
    </row>
    <row r="38" spans="1:26" s="325" customFormat="1" ht="32.25" customHeight="1" x14ac:dyDescent="0.25">
      <c r="A38" s="902"/>
      <c r="B38" s="675" t="s">
        <v>694</v>
      </c>
      <c r="C38" s="1731"/>
      <c r="D38" s="1731"/>
      <c r="E38" s="1731"/>
      <c r="F38" s="1731"/>
      <c r="G38" s="1731"/>
      <c r="H38" s="1731"/>
      <c r="I38" s="1731"/>
      <c r="J38" s="1731"/>
      <c r="K38" s="1731"/>
      <c r="L38" s="1731"/>
      <c r="M38" s="1731"/>
      <c r="N38" s="1731"/>
      <c r="O38" s="1731"/>
      <c r="P38" s="1731"/>
      <c r="Q38" s="1731"/>
      <c r="R38" s="1732"/>
      <c r="S38" s="334"/>
      <c r="T38" s="333"/>
      <c r="U38" s="1733"/>
      <c r="V38" s="902"/>
    </row>
    <row r="39" spans="1:26" s="325" customFormat="1" ht="15.75" customHeight="1" x14ac:dyDescent="0.25">
      <c r="A39" s="902"/>
      <c r="B39" s="1643" t="s">
        <v>104</v>
      </c>
      <c r="C39" s="1643"/>
      <c r="D39" s="1643"/>
      <c r="E39" s="1643"/>
      <c r="F39" s="1643"/>
      <c r="G39" s="1643"/>
      <c r="H39" s="1643"/>
      <c r="I39" s="1643"/>
      <c r="J39" s="1643"/>
      <c r="K39" s="1643"/>
      <c r="L39" s="1643"/>
      <c r="M39" s="1643"/>
      <c r="N39" s="1643"/>
      <c r="O39" s="1643"/>
      <c r="P39" s="1643"/>
      <c r="Q39" s="1643"/>
      <c r="R39" s="1643"/>
      <c r="S39" s="334"/>
      <c r="T39" s="333"/>
      <c r="U39" s="1733"/>
      <c r="V39" s="902"/>
    </row>
    <row r="40" spans="1:26" s="325" customFormat="1" x14ac:dyDescent="0.25">
      <c r="A40" s="902"/>
      <c r="B40" s="1644"/>
      <c r="C40" s="1645"/>
      <c r="D40" s="1645"/>
      <c r="E40" s="1645"/>
      <c r="F40" s="1645"/>
      <c r="G40" s="1645"/>
      <c r="H40" s="1645"/>
      <c r="I40" s="1645"/>
      <c r="J40" s="1645"/>
      <c r="K40" s="1645"/>
      <c r="L40" s="1645"/>
      <c r="M40" s="1645"/>
      <c r="N40" s="1645"/>
      <c r="O40" s="1645"/>
      <c r="P40" s="1645"/>
      <c r="Q40" s="1645"/>
      <c r="R40" s="1646"/>
      <c r="S40" s="334"/>
      <c r="T40" s="333"/>
      <c r="U40" s="1733"/>
      <c r="V40" s="902"/>
    </row>
    <row r="41" spans="1:26" s="325" customFormat="1" ht="22.5" customHeight="1" x14ac:dyDescent="0.25">
      <c r="A41" s="902"/>
      <c r="B41" s="119"/>
      <c r="C41" s="120" t="s">
        <v>85</v>
      </c>
      <c r="D41" s="1647" t="str">
        <f>IF(Dados!$G$128="","",Dados!$G$128)</f>
        <v/>
      </c>
      <c r="E41" s="1647"/>
      <c r="F41" s="121"/>
      <c r="G41" s="121"/>
      <c r="H41" s="121"/>
      <c r="I41" s="1648" t="str">
        <f>Dados!$E$109</f>
        <v/>
      </c>
      <c r="J41" s="1648"/>
      <c r="K41" s="1648"/>
      <c r="L41" s="1648"/>
      <c r="M41" s="122"/>
      <c r="N41" s="1618"/>
      <c r="O41" s="1618"/>
      <c r="P41" s="1618"/>
      <c r="Q41" s="1618"/>
      <c r="R41" s="1619"/>
      <c r="S41" s="334"/>
      <c r="T41" s="333"/>
      <c r="U41" s="1733"/>
      <c r="V41" s="902"/>
    </row>
    <row r="42" spans="1:26" s="325" customFormat="1" ht="22.5" customHeight="1" x14ac:dyDescent="0.25">
      <c r="A42" s="902"/>
      <c r="B42" s="1638" t="s">
        <v>109</v>
      </c>
      <c r="C42" s="1639"/>
      <c r="D42" s="1639"/>
      <c r="E42" s="1639"/>
      <c r="F42" s="123"/>
      <c r="G42" s="123"/>
      <c r="H42" s="123"/>
      <c r="I42" s="1640" t="str">
        <f>MOD_2!$J$47</f>
        <v>Nome do Presidente da Diretoria Executiva da APM</v>
      </c>
      <c r="J42" s="1640"/>
      <c r="K42" s="1640"/>
      <c r="L42" s="1640"/>
      <c r="M42" s="124"/>
      <c r="N42" s="1640" t="str">
        <f>MOD_2!$T$47</f>
        <v>Assinatura do Presidente da Diretoria Executiva da APM</v>
      </c>
      <c r="O42" s="1640"/>
      <c r="P42" s="1640"/>
      <c r="Q42" s="1640"/>
      <c r="R42" s="1641"/>
      <c r="S42" s="334"/>
      <c r="T42" s="333"/>
      <c r="U42" s="1733"/>
      <c r="V42" s="902"/>
    </row>
    <row r="43" spans="1:26" s="325" customFormat="1" hidden="1" x14ac:dyDescent="0.25">
      <c r="A43" s="912" t="str">
        <f>IF($S$37&lt;=18,"OK","")</f>
        <v>OK</v>
      </c>
      <c r="S43" s="334"/>
      <c r="T43" s="339"/>
      <c r="U43" s="333"/>
    </row>
    <row r="44" spans="1:26" s="327" customFormat="1" ht="7.5" hidden="1" customHeight="1" x14ac:dyDescent="0.25">
      <c r="A44" s="912" t="str">
        <f t="shared" ref="A44:A82" si="4">IF($S$37&lt;=18,"OK","")</f>
        <v>OK</v>
      </c>
      <c r="B44" s="1681"/>
      <c r="C44" s="1681"/>
      <c r="D44" s="1681"/>
      <c r="E44" s="1681"/>
      <c r="F44" s="1681"/>
      <c r="G44" s="1681"/>
      <c r="H44" s="1681"/>
      <c r="I44" s="1681"/>
      <c r="J44" s="1681"/>
      <c r="K44" s="1681"/>
      <c r="L44" s="1681"/>
      <c r="M44" s="1681"/>
      <c r="N44" s="1681"/>
      <c r="O44" s="1681"/>
      <c r="P44" s="1681"/>
      <c r="Q44" s="1681"/>
      <c r="R44" s="1681"/>
      <c r="S44" s="326"/>
      <c r="T44" s="339"/>
      <c r="V44" s="328"/>
      <c r="W44" s="328"/>
      <c r="X44" s="328"/>
      <c r="Y44" s="328"/>
      <c r="Z44" s="328"/>
    </row>
    <row r="45" spans="1:26" s="327" customFormat="1" ht="27" hidden="1" customHeight="1" x14ac:dyDescent="0.25">
      <c r="A45" s="912" t="str">
        <f t="shared" si="4"/>
        <v>OK</v>
      </c>
      <c r="B45" s="109"/>
      <c r="C45" s="110"/>
      <c r="D45" s="1442" t="s">
        <v>298</v>
      </c>
      <c r="E45" s="1442"/>
      <c r="F45" s="1442"/>
      <c r="G45" s="1442"/>
      <c r="H45" s="1442"/>
      <c r="I45" s="1442"/>
      <c r="J45" s="1442"/>
      <c r="K45" s="1442"/>
      <c r="L45" s="1442"/>
      <c r="M45" s="109"/>
      <c r="N45" s="109"/>
      <c r="O45" s="109"/>
      <c r="P45" s="109"/>
      <c r="Q45" s="109"/>
      <c r="R45" s="111" t="s">
        <v>88</v>
      </c>
      <c r="S45" s="329"/>
      <c r="T45" s="339"/>
      <c r="U45" s="328"/>
      <c r="V45" s="328"/>
      <c r="W45" s="328"/>
      <c r="X45" s="328"/>
      <c r="Y45" s="328"/>
      <c r="Z45" s="330"/>
    </row>
    <row r="46" spans="1:26" s="327" customFormat="1" ht="16.5" hidden="1" customHeight="1" x14ac:dyDescent="0.25">
      <c r="A46" s="912" t="str">
        <f t="shared" si="4"/>
        <v>OK</v>
      </c>
      <c r="B46" s="109"/>
      <c r="C46" s="110"/>
      <c r="D46" s="1442" t="s">
        <v>300</v>
      </c>
      <c r="E46" s="1442"/>
      <c r="F46" s="1442"/>
      <c r="G46" s="1442"/>
      <c r="H46" s="1442"/>
      <c r="I46" s="1442"/>
      <c r="J46" s="1442"/>
      <c r="K46" s="1442"/>
      <c r="L46" s="1442"/>
      <c r="M46" s="109"/>
      <c r="N46" s="109"/>
      <c r="O46" s="109"/>
      <c r="P46" s="112"/>
      <c r="Q46" s="112"/>
      <c r="R46" s="113" t="s">
        <v>89</v>
      </c>
      <c r="S46" s="329"/>
      <c r="T46" s="339"/>
      <c r="U46" s="328"/>
      <c r="V46" s="328"/>
      <c r="W46" s="328"/>
      <c r="X46" s="328"/>
      <c r="Y46" s="328"/>
      <c r="Z46" s="331"/>
    </row>
    <row r="47" spans="1:26" s="327" customFormat="1" ht="16.5" hidden="1" customHeight="1" x14ac:dyDescent="0.25">
      <c r="A47" s="912" t="str">
        <f t="shared" si="4"/>
        <v>OK</v>
      </c>
      <c r="B47" s="109"/>
      <c r="C47" s="110"/>
      <c r="D47" s="1395" t="s">
        <v>302</v>
      </c>
      <c r="E47" s="1395"/>
      <c r="F47" s="1395"/>
      <c r="G47" s="1395"/>
      <c r="H47" s="1395"/>
      <c r="I47" s="1395"/>
      <c r="J47" s="1395"/>
      <c r="K47" s="1395"/>
      <c r="L47" s="1395"/>
      <c r="M47" s="109"/>
      <c r="N47" s="109"/>
      <c r="O47" s="109"/>
      <c r="P47" s="112"/>
      <c r="Q47" s="112"/>
      <c r="R47" s="113"/>
      <c r="S47" s="329"/>
      <c r="T47" s="339"/>
      <c r="U47" s="328"/>
      <c r="V47" s="328"/>
      <c r="W47" s="328"/>
      <c r="X47" s="328"/>
      <c r="Y47" s="328"/>
      <c r="Z47" s="331"/>
    </row>
    <row r="48" spans="1:26" s="327" customFormat="1" ht="15.75" hidden="1" customHeight="1" x14ac:dyDescent="0.25">
      <c r="A48" s="912" t="str">
        <f t="shared" si="4"/>
        <v>OK</v>
      </c>
      <c r="B48" s="1677"/>
      <c r="C48" s="1677"/>
      <c r="D48" s="1677"/>
      <c r="E48" s="1677"/>
      <c r="F48" s="1677"/>
      <c r="G48" s="1677"/>
      <c r="H48" s="1677"/>
      <c r="I48" s="1677"/>
      <c r="J48" s="1677"/>
      <c r="K48" s="1677"/>
      <c r="L48" s="1677"/>
      <c r="M48" s="1677"/>
      <c r="N48" s="1677"/>
      <c r="O48" s="1677"/>
      <c r="P48" s="1677"/>
      <c r="Q48" s="1677"/>
      <c r="R48" s="1677"/>
      <c r="S48" s="329"/>
      <c r="T48" s="339"/>
      <c r="U48" s="328"/>
      <c r="V48" s="328"/>
      <c r="W48" s="328"/>
      <c r="X48" s="328"/>
      <c r="Y48" s="328"/>
      <c r="Z48" s="331"/>
    </row>
    <row r="49" spans="1:20" s="325" customFormat="1" ht="15.75" hidden="1" customHeight="1" x14ac:dyDescent="0.25">
      <c r="A49" s="912" t="str">
        <f t="shared" si="4"/>
        <v>OK</v>
      </c>
      <c r="B49" s="1643" t="s">
        <v>90</v>
      </c>
      <c r="C49" s="1643"/>
      <c r="D49" s="1643"/>
      <c r="E49" s="1643"/>
      <c r="F49" s="1643"/>
      <c r="G49" s="1643"/>
      <c r="H49" s="1643"/>
      <c r="I49" s="1643"/>
      <c r="J49" s="1643"/>
      <c r="K49" s="1643"/>
      <c r="L49" s="1643"/>
      <c r="M49" s="1643"/>
      <c r="N49" s="1643"/>
      <c r="O49" s="1678"/>
      <c r="P49" s="1678"/>
      <c r="Q49" s="1678"/>
      <c r="R49" s="1643"/>
      <c r="S49" s="334"/>
      <c r="T49" s="339"/>
    </row>
    <row r="50" spans="1:20" s="325" customFormat="1" ht="9.75" hidden="1" customHeight="1" x14ac:dyDescent="0.25">
      <c r="A50" s="912" t="str">
        <f t="shared" si="4"/>
        <v>OK</v>
      </c>
      <c r="B50" s="142" t="s">
        <v>169</v>
      </c>
      <c r="C50" s="1679" t="s">
        <v>337</v>
      </c>
      <c r="D50" s="1679"/>
      <c r="E50" s="1679"/>
      <c r="F50" s="1679"/>
      <c r="G50" s="1679"/>
      <c r="H50" s="1679"/>
      <c r="I50" s="1679"/>
      <c r="J50" s="1680"/>
      <c r="K50" s="115" t="s">
        <v>91</v>
      </c>
      <c r="L50" s="129" t="s">
        <v>92</v>
      </c>
      <c r="M50" s="1670" t="s">
        <v>250</v>
      </c>
      <c r="N50" s="1672"/>
      <c r="O50" s="1670" t="s">
        <v>93</v>
      </c>
      <c r="P50" s="1671"/>
      <c r="Q50" s="1672"/>
      <c r="R50" s="114" t="s">
        <v>94</v>
      </c>
      <c r="S50" s="334"/>
      <c r="T50" s="339"/>
    </row>
    <row r="51" spans="1:20" s="336" customFormat="1" ht="15" hidden="1" customHeight="1" x14ac:dyDescent="0.2">
      <c r="A51" s="912" t="str">
        <f t="shared" si="4"/>
        <v>OK</v>
      </c>
      <c r="B51" s="1673" t="str">
        <f>Dados!$E$67</f>
        <v/>
      </c>
      <c r="C51" s="1674"/>
      <c r="D51" s="1674"/>
      <c r="E51" s="1674"/>
      <c r="F51" s="1674"/>
      <c r="G51" s="1674"/>
      <c r="H51" s="1674"/>
      <c r="I51" s="1674"/>
      <c r="J51" s="1675"/>
      <c r="K51" s="212" t="str">
        <f>Dados!$E$71</f>
        <v/>
      </c>
      <c r="L51" s="182" t="str">
        <f>Dados!$H$71</f>
        <v/>
      </c>
      <c r="M51" s="1673" t="str">
        <f>Dados!$E$7</f>
        <v/>
      </c>
      <c r="N51" s="1675"/>
      <c r="O51" s="144" t="str">
        <f>Dados!$G$9</f>
        <v/>
      </c>
      <c r="P51" s="145" t="s">
        <v>292</v>
      </c>
      <c r="Q51" s="146" t="str">
        <f>Dados!$I$9</f>
        <v/>
      </c>
      <c r="R51" s="143" t="str">
        <f>Dados!$E$9</f>
        <v/>
      </c>
      <c r="S51" s="335"/>
      <c r="T51" s="339"/>
    </row>
    <row r="52" spans="1:20" s="325" customFormat="1" ht="8.25" hidden="1" customHeight="1" x14ac:dyDescent="0.25">
      <c r="A52" s="912" t="str">
        <f t="shared" si="4"/>
        <v>OK</v>
      </c>
      <c r="B52" s="1676"/>
      <c r="C52" s="1676"/>
      <c r="D52" s="1676"/>
      <c r="E52" s="1676"/>
      <c r="F52" s="1676"/>
      <c r="G52" s="1676"/>
      <c r="H52" s="1676"/>
      <c r="I52" s="1676"/>
      <c r="J52" s="1676"/>
      <c r="K52" s="1676"/>
      <c r="L52" s="1676"/>
      <c r="M52" s="1676"/>
      <c r="N52" s="1676"/>
      <c r="O52" s="1676"/>
      <c r="P52" s="1676"/>
      <c r="Q52" s="1676"/>
      <c r="R52" s="1676"/>
      <c r="S52" s="334"/>
      <c r="T52" s="339"/>
    </row>
    <row r="53" spans="1:20" s="325" customFormat="1" ht="15.75" hidden="1" customHeight="1" x14ac:dyDescent="0.25">
      <c r="A53" s="912" t="str">
        <f t="shared" si="4"/>
        <v>OK</v>
      </c>
      <c r="B53" s="1643" t="s">
        <v>95</v>
      </c>
      <c r="C53" s="1643"/>
      <c r="D53" s="1643"/>
      <c r="E53" s="1643"/>
      <c r="F53" s="1643"/>
      <c r="G53" s="1643"/>
      <c r="H53" s="1643"/>
      <c r="I53" s="1643"/>
      <c r="J53" s="1643"/>
      <c r="K53" s="1643"/>
      <c r="L53" s="1643"/>
      <c r="M53" s="1643"/>
      <c r="N53" s="1643"/>
      <c r="O53" s="1643"/>
      <c r="P53" s="1643"/>
      <c r="Q53" s="1643"/>
      <c r="R53" s="1643"/>
      <c r="S53" s="334"/>
      <c r="T53" s="339"/>
    </row>
    <row r="54" spans="1:20" s="325" customFormat="1" ht="12" hidden="1" customHeight="1" x14ac:dyDescent="0.25">
      <c r="A54" s="912" t="str">
        <f t="shared" si="4"/>
        <v>OK</v>
      </c>
      <c r="B54" s="1667" t="s">
        <v>96</v>
      </c>
      <c r="C54" s="1668"/>
      <c r="D54" s="1669"/>
      <c r="E54" s="1670" t="s">
        <v>97</v>
      </c>
      <c r="F54" s="1671"/>
      <c r="G54" s="1671"/>
      <c r="H54" s="1671"/>
      <c r="I54" s="1671"/>
      <c r="J54" s="1672"/>
      <c r="K54" s="1670" t="s">
        <v>98</v>
      </c>
      <c r="L54" s="1672"/>
      <c r="M54" s="116" t="s">
        <v>99</v>
      </c>
      <c r="N54" s="1667" t="s">
        <v>100</v>
      </c>
      <c r="O54" s="1668"/>
      <c r="P54" s="1668"/>
      <c r="Q54" s="1668"/>
      <c r="R54" s="1669"/>
      <c r="S54" s="334"/>
      <c r="T54" s="339"/>
    </row>
    <row r="55" spans="1:20" s="325" customFormat="1" hidden="1" x14ac:dyDescent="0.25">
      <c r="A55" s="912" t="str">
        <f t="shared" si="4"/>
        <v>OK</v>
      </c>
      <c r="B55" s="117" t="s">
        <v>281</v>
      </c>
      <c r="C55" s="117" t="s">
        <v>330</v>
      </c>
      <c r="D55" s="117" t="s">
        <v>282</v>
      </c>
      <c r="E55" s="1661"/>
      <c r="F55" s="1662"/>
      <c r="G55" s="1662"/>
      <c r="H55" s="1662"/>
      <c r="I55" s="1662"/>
      <c r="J55" s="1663"/>
      <c r="K55" s="1661"/>
      <c r="L55" s="1663"/>
      <c r="M55" s="118"/>
      <c r="N55" s="1664" t="s">
        <v>101</v>
      </c>
      <c r="O55" s="1664"/>
      <c r="P55" s="1664"/>
      <c r="Q55" s="1665" t="s">
        <v>102</v>
      </c>
      <c r="R55" s="1666"/>
      <c r="S55" s="337"/>
      <c r="T55" s="339"/>
    </row>
    <row r="56" spans="1:20" s="325" customFormat="1" hidden="1" x14ac:dyDescent="0.25">
      <c r="A56" s="912" t="str">
        <f t="shared" si="4"/>
        <v>OK</v>
      </c>
      <c r="B56" s="213"/>
      <c r="C56" s="213"/>
      <c r="D56" s="214"/>
      <c r="E56" s="1651" t="s">
        <v>183</v>
      </c>
      <c r="F56" s="1652"/>
      <c r="G56" s="1652"/>
      <c r="H56" s="1652"/>
      <c r="I56" s="1652"/>
      <c r="J56" s="1653"/>
      <c r="K56" s="1654"/>
      <c r="L56" s="1655"/>
      <c r="M56" s="213"/>
      <c r="N56" s="1656"/>
      <c r="O56" s="1657"/>
      <c r="P56" s="1658"/>
      <c r="Q56" s="1659">
        <f>Q37</f>
        <v>0</v>
      </c>
      <c r="R56" s="1660"/>
      <c r="S56" s="338"/>
      <c r="T56" s="339"/>
    </row>
    <row r="57" spans="1:20" s="325" customFormat="1" hidden="1" x14ac:dyDescent="0.25">
      <c r="A57" s="912" t="str">
        <f t="shared" si="4"/>
        <v>OK</v>
      </c>
      <c r="B57" s="360"/>
      <c r="C57" s="360"/>
      <c r="D57" s="361"/>
      <c r="E57" s="1608"/>
      <c r="F57" s="1609"/>
      <c r="G57" s="1609"/>
      <c r="H57" s="1609"/>
      <c r="I57" s="1609"/>
      <c r="J57" s="1610"/>
      <c r="K57" s="1611"/>
      <c r="L57" s="1612"/>
      <c r="M57" s="360"/>
      <c r="N57" s="1613"/>
      <c r="O57" s="1614"/>
      <c r="P57" s="1615"/>
      <c r="Q57" s="1616" t="str">
        <f>IF(M57="","",M57*N57)</f>
        <v/>
      </c>
      <c r="R57" s="1617"/>
      <c r="S57" s="338">
        <f t="shared" ref="S57:S76" si="5">IF(N57="",0,1)</f>
        <v>0</v>
      </c>
      <c r="T57" s="339"/>
    </row>
    <row r="58" spans="1:20" s="325" customFormat="1" ht="15.75" hidden="1" customHeight="1" x14ac:dyDescent="0.25">
      <c r="A58" s="912" t="str">
        <f t="shared" si="4"/>
        <v>OK</v>
      </c>
      <c r="B58" s="360"/>
      <c r="C58" s="360"/>
      <c r="D58" s="361"/>
      <c r="E58" s="1608"/>
      <c r="F58" s="1609"/>
      <c r="G58" s="1609"/>
      <c r="H58" s="1609"/>
      <c r="I58" s="1609"/>
      <c r="J58" s="1610"/>
      <c r="K58" s="1611"/>
      <c r="L58" s="1612"/>
      <c r="M58" s="360"/>
      <c r="N58" s="1613"/>
      <c r="O58" s="1614"/>
      <c r="P58" s="1615"/>
      <c r="Q58" s="1616" t="str">
        <f>IF(M58="","",M58*N58)</f>
        <v/>
      </c>
      <c r="R58" s="1617"/>
      <c r="S58" s="338">
        <f t="shared" si="5"/>
        <v>0</v>
      </c>
      <c r="T58" s="339"/>
    </row>
    <row r="59" spans="1:20" s="325" customFormat="1" hidden="1" x14ac:dyDescent="0.25">
      <c r="A59" s="912" t="str">
        <f t="shared" si="4"/>
        <v>OK</v>
      </c>
      <c r="B59" s="360"/>
      <c r="C59" s="360"/>
      <c r="D59" s="361"/>
      <c r="E59" s="1608"/>
      <c r="F59" s="1609"/>
      <c r="G59" s="1609"/>
      <c r="H59" s="1609"/>
      <c r="I59" s="1609"/>
      <c r="J59" s="1610"/>
      <c r="K59" s="1611"/>
      <c r="L59" s="1612"/>
      <c r="M59" s="360"/>
      <c r="N59" s="1613"/>
      <c r="O59" s="1614"/>
      <c r="P59" s="1615"/>
      <c r="Q59" s="1616" t="str">
        <f t="shared" ref="Q59:Q74" si="6">IF(M59="","",M59*N59)</f>
        <v/>
      </c>
      <c r="R59" s="1617"/>
      <c r="S59" s="338">
        <f t="shared" si="5"/>
        <v>0</v>
      </c>
      <c r="T59" s="339"/>
    </row>
    <row r="60" spans="1:20" s="325" customFormat="1" hidden="1" x14ac:dyDescent="0.25">
      <c r="A60" s="912" t="str">
        <f t="shared" si="4"/>
        <v>OK</v>
      </c>
      <c r="B60" s="360"/>
      <c r="C60" s="360"/>
      <c r="D60" s="361"/>
      <c r="E60" s="1608"/>
      <c r="F60" s="1609"/>
      <c r="G60" s="1609"/>
      <c r="H60" s="1609"/>
      <c r="I60" s="1609"/>
      <c r="J60" s="1610"/>
      <c r="K60" s="1611"/>
      <c r="L60" s="1612"/>
      <c r="M60" s="360"/>
      <c r="N60" s="1613"/>
      <c r="O60" s="1614"/>
      <c r="P60" s="1615"/>
      <c r="Q60" s="1616" t="str">
        <f t="shared" si="6"/>
        <v/>
      </c>
      <c r="R60" s="1617"/>
      <c r="S60" s="338">
        <f t="shared" si="5"/>
        <v>0</v>
      </c>
      <c r="T60" s="339"/>
    </row>
    <row r="61" spans="1:20" s="325" customFormat="1" hidden="1" x14ac:dyDescent="0.25">
      <c r="A61" s="912" t="str">
        <f t="shared" si="4"/>
        <v>OK</v>
      </c>
      <c r="B61" s="360"/>
      <c r="C61" s="360"/>
      <c r="D61" s="361"/>
      <c r="E61" s="1608"/>
      <c r="F61" s="1609"/>
      <c r="G61" s="1609"/>
      <c r="H61" s="1609"/>
      <c r="I61" s="1609"/>
      <c r="J61" s="1610"/>
      <c r="K61" s="1611"/>
      <c r="L61" s="1612"/>
      <c r="M61" s="360"/>
      <c r="N61" s="1613"/>
      <c r="O61" s="1614"/>
      <c r="P61" s="1615"/>
      <c r="Q61" s="1616" t="str">
        <f t="shared" si="6"/>
        <v/>
      </c>
      <c r="R61" s="1617"/>
      <c r="S61" s="338">
        <f t="shared" si="5"/>
        <v>0</v>
      </c>
      <c r="T61" s="339"/>
    </row>
    <row r="62" spans="1:20" s="325" customFormat="1" hidden="1" x14ac:dyDescent="0.25">
      <c r="A62" s="912" t="str">
        <f t="shared" si="4"/>
        <v>OK</v>
      </c>
      <c r="B62" s="360"/>
      <c r="C62" s="360"/>
      <c r="D62" s="361"/>
      <c r="E62" s="1608"/>
      <c r="F62" s="1609"/>
      <c r="G62" s="1609"/>
      <c r="H62" s="1609"/>
      <c r="I62" s="1609"/>
      <c r="J62" s="1610"/>
      <c r="K62" s="1611"/>
      <c r="L62" s="1612"/>
      <c r="M62" s="360"/>
      <c r="N62" s="1613"/>
      <c r="O62" s="1614"/>
      <c r="P62" s="1615"/>
      <c r="Q62" s="1616" t="str">
        <f t="shared" si="6"/>
        <v/>
      </c>
      <c r="R62" s="1617"/>
      <c r="S62" s="338">
        <f t="shared" si="5"/>
        <v>0</v>
      </c>
      <c r="T62" s="339"/>
    </row>
    <row r="63" spans="1:20" s="325" customFormat="1" hidden="1" x14ac:dyDescent="0.25">
      <c r="A63" s="912" t="str">
        <f t="shared" si="4"/>
        <v>OK</v>
      </c>
      <c r="B63" s="360"/>
      <c r="C63" s="360"/>
      <c r="D63" s="361"/>
      <c r="E63" s="1608"/>
      <c r="F63" s="1609"/>
      <c r="G63" s="1609"/>
      <c r="H63" s="1609"/>
      <c r="I63" s="1609"/>
      <c r="J63" s="1610"/>
      <c r="K63" s="1611"/>
      <c r="L63" s="1612"/>
      <c r="M63" s="360"/>
      <c r="N63" s="1613"/>
      <c r="O63" s="1614"/>
      <c r="P63" s="1615"/>
      <c r="Q63" s="1616" t="str">
        <f t="shared" si="6"/>
        <v/>
      </c>
      <c r="R63" s="1617"/>
      <c r="S63" s="338">
        <f t="shared" si="5"/>
        <v>0</v>
      </c>
      <c r="T63" s="339"/>
    </row>
    <row r="64" spans="1:20" s="325" customFormat="1" hidden="1" x14ac:dyDescent="0.25">
      <c r="A64" s="912" t="str">
        <f t="shared" si="4"/>
        <v>OK</v>
      </c>
      <c r="B64" s="360"/>
      <c r="C64" s="360"/>
      <c r="D64" s="361"/>
      <c r="E64" s="1608"/>
      <c r="F64" s="1609"/>
      <c r="G64" s="1609"/>
      <c r="H64" s="1609"/>
      <c r="I64" s="1609"/>
      <c r="J64" s="1610"/>
      <c r="K64" s="1611"/>
      <c r="L64" s="1612"/>
      <c r="M64" s="360"/>
      <c r="N64" s="1613"/>
      <c r="O64" s="1614"/>
      <c r="P64" s="1615"/>
      <c r="Q64" s="1616" t="str">
        <f t="shared" si="6"/>
        <v/>
      </c>
      <c r="R64" s="1617"/>
      <c r="S64" s="338">
        <f t="shared" si="5"/>
        <v>0</v>
      </c>
      <c r="T64" s="339"/>
    </row>
    <row r="65" spans="1:20" s="325" customFormat="1" hidden="1" x14ac:dyDescent="0.25">
      <c r="A65" s="912" t="str">
        <f t="shared" si="4"/>
        <v>OK</v>
      </c>
      <c r="B65" s="360"/>
      <c r="C65" s="360"/>
      <c r="D65" s="361"/>
      <c r="E65" s="1608"/>
      <c r="F65" s="1609"/>
      <c r="G65" s="1609"/>
      <c r="H65" s="1609"/>
      <c r="I65" s="1609"/>
      <c r="J65" s="1610"/>
      <c r="K65" s="1611"/>
      <c r="L65" s="1612"/>
      <c r="M65" s="360"/>
      <c r="N65" s="1613"/>
      <c r="O65" s="1614"/>
      <c r="P65" s="1615"/>
      <c r="Q65" s="1616" t="str">
        <f t="shared" si="6"/>
        <v/>
      </c>
      <c r="R65" s="1617"/>
      <c r="S65" s="338">
        <f t="shared" si="5"/>
        <v>0</v>
      </c>
      <c r="T65" s="339"/>
    </row>
    <row r="66" spans="1:20" s="325" customFormat="1" hidden="1" x14ac:dyDescent="0.25">
      <c r="A66" s="912" t="str">
        <f t="shared" si="4"/>
        <v>OK</v>
      </c>
      <c r="B66" s="360"/>
      <c r="C66" s="360"/>
      <c r="D66" s="361"/>
      <c r="E66" s="1608"/>
      <c r="F66" s="1609"/>
      <c r="G66" s="1609"/>
      <c r="H66" s="1609"/>
      <c r="I66" s="1609"/>
      <c r="J66" s="1610"/>
      <c r="K66" s="1611"/>
      <c r="L66" s="1612"/>
      <c r="M66" s="360"/>
      <c r="N66" s="1613"/>
      <c r="O66" s="1614"/>
      <c r="P66" s="1615"/>
      <c r="Q66" s="1616" t="str">
        <f t="shared" si="6"/>
        <v/>
      </c>
      <c r="R66" s="1617"/>
      <c r="S66" s="338">
        <f t="shared" si="5"/>
        <v>0</v>
      </c>
      <c r="T66" s="339"/>
    </row>
    <row r="67" spans="1:20" s="325" customFormat="1" hidden="1" x14ac:dyDescent="0.25">
      <c r="A67" s="912" t="str">
        <f t="shared" si="4"/>
        <v>OK</v>
      </c>
      <c r="B67" s="360"/>
      <c r="C67" s="360"/>
      <c r="D67" s="361"/>
      <c r="E67" s="1608"/>
      <c r="F67" s="1609"/>
      <c r="G67" s="1609"/>
      <c r="H67" s="1609"/>
      <c r="I67" s="1609"/>
      <c r="J67" s="1610"/>
      <c r="K67" s="1611"/>
      <c r="L67" s="1612"/>
      <c r="M67" s="360"/>
      <c r="N67" s="1613"/>
      <c r="O67" s="1614"/>
      <c r="P67" s="1615"/>
      <c r="Q67" s="1616" t="str">
        <f t="shared" si="6"/>
        <v/>
      </c>
      <c r="R67" s="1617"/>
      <c r="S67" s="338">
        <f t="shared" si="5"/>
        <v>0</v>
      </c>
      <c r="T67" s="339"/>
    </row>
    <row r="68" spans="1:20" s="325" customFormat="1" hidden="1" x14ac:dyDescent="0.25">
      <c r="A68" s="912" t="str">
        <f t="shared" si="4"/>
        <v>OK</v>
      </c>
      <c r="B68" s="360"/>
      <c r="C68" s="360"/>
      <c r="D68" s="361"/>
      <c r="E68" s="1608"/>
      <c r="F68" s="1609"/>
      <c r="G68" s="1609"/>
      <c r="H68" s="1609"/>
      <c r="I68" s="1609"/>
      <c r="J68" s="1610"/>
      <c r="K68" s="1611"/>
      <c r="L68" s="1612"/>
      <c r="M68" s="360"/>
      <c r="N68" s="1613"/>
      <c r="O68" s="1614"/>
      <c r="P68" s="1615"/>
      <c r="Q68" s="1616" t="str">
        <f t="shared" si="6"/>
        <v/>
      </c>
      <c r="R68" s="1617"/>
      <c r="S68" s="338">
        <f t="shared" si="5"/>
        <v>0</v>
      </c>
      <c r="T68" s="339"/>
    </row>
    <row r="69" spans="1:20" s="325" customFormat="1" hidden="1" x14ac:dyDescent="0.25">
      <c r="A69" s="912" t="str">
        <f t="shared" si="4"/>
        <v>OK</v>
      </c>
      <c r="B69" s="360"/>
      <c r="C69" s="360"/>
      <c r="D69" s="361"/>
      <c r="E69" s="1608"/>
      <c r="F69" s="1609"/>
      <c r="G69" s="1609"/>
      <c r="H69" s="1609"/>
      <c r="I69" s="1609"/>
      <c r="J69" s="1610"/>
      <c r="K69" s="1611"/>
      <c r="L69" s="1612"/>
      <c r="M69" s="360"/>
      <c r="N69" s="1613"/>
      <c r="O69" s="1614"/>
      <c r="P69" s="1615"/>
      <c r="Q69" s="1616" t="str">
        <f t="shared" si="6"/>
        <v/>
      </c>
      <c r="R69" s="1617"/>
      <c r="S69" s="338">
        <f t="shared" si="5"/>
        <v>0</v>
      </c>
      <c r="T69" s="339"/>
    </row>
    <row r="70" spans="1:20" s="325" customFormat="1" hidden="1" x14ac:dyDescent="0.25">
      <c r="A70" s="912" t="str">
        <f t="shared" si="4"/>
        <v>OK</v>
      </c>
      <c r="B70" s="360"/>
      <c r="C70" s="360"/>
      <c r="D70" s="361"/>
      <c r="E70" s="1608"/>
      <c r="F70" s="1609"/>
      <c r="G70" s="1609"/>
      <c r="H70" s="1609"/>
      <c r="I70" s="1609"/>
      <c r="J70" s="1610"/>
      <c r="K70" s="1611"/>
      <c r="L70" s="1612"/>
      <c r="M70" s="360"/>
      <c r="N70" s="1613"/>
      <c r="O70" s="1614"/>
      <c r="P70" s="1615"/>
      <c r="Q70" s="1616" t="str">
        <f t="shared" si="6"/>
        <v/>
      </c>
      <c r="R70" s="1617"/>
      <c r="S70" s="338">
        <f t="shared" si="5"/>
        <v>0</v>
      </c>
      <c r="T70" s="339"/>
    </row>
    <row r="71" spans="1:20" s="325" customFormat="1" hidden="1" x14ac:dyDescent="0.25">
      <c r="A71" s="912" t="str">
        <f t="shared" si="4"/>
        <v>OK</v>
      </c>
      <c r="B71" s="360"/>
      <c r="C71" s="360"/>
      <c r="D71" s="361"/>
      <c r="E71" s="1608"/>
      <c r="F71" s="1609"/>
      <c r="G71" s="1609"/>
      <c r="H71" s="1609"/>
      <c r="I71" s="1609"/>
      <c r="J71" s="1610"/>
      <c r="K71" s="1611"/>
      <c r="L71" s="1612"/>
      <c r="M71" s="360"/>
      <c r="N71" s="1613"/>
      <c r="O71" s="1614"/>
      <c r="P71" s="1615"/>
      <c r="Q71" s="1616" t="str">
        <f t="shared" si="6"/>
        <v/>
      </c>
      <c r="R71" s="1617"/>
      <c r="S71" s="338">
        <f t="shared" si="5"/>
        <v>0</v>
      </c>
      <c r="T71" s="339"/>
    </row>
    <row r="72" spans="1:20" s="325" customFormat="1" hidden="1" x14ac:dyDescent="0.25">
      <c r="A72" s="912" t="str">
        <f t="shared" si="4"/>
        <v>OK</v>
      </c>
      <c r="B72" s="360"/>
      <c r="C72" s="360"/>
      <c r="D72" s="361"/>
      <c r="E72" s="1608"/>
      <c r="F72" s="1609"/>
      <c r="G72" s="1609"/>
      <c r="H72" s="1609"/>
      <c r="I72" s="1609"/>
      <c r="J72" s="1610"/>
      <c r="K72" s="1611"/>
      <c r="L72" s="1612"/>
      <c r="M72" s="360"/>
      <c r="N72" s="1613"/>
      <c r="O72" s="1614"/>
      <c r="P72" s="1615"/>
      <c r="Q72" s="1616" t="str">
        <f t="shared" si="6"/>
        <v/>
      </c>
      <c r="R72" s="1617"/>
      <c r="S72" s="338">
        <f t="shared" si="5"/>
        <v>0</v>
      </c>
      <c r="T72" s="339"/>
    </row>
    <row r="73" spans="1:20" s="325" customFormat="1" hidden="1" x14ac:dyDescent="0.25">
      <c r="A73" s="912" t="str">
        <f t="shared" si="4"/>
        <v>OK</v>
      </c>
      <c r="B73" s="360"/>
      <c r="C73" s="360"/>
      <c r="D73" s="361"/>
      <c r="E73" s="1608"/>
      <c r="F73" s="1609"/>
      <c r="G73" s="1609"/>
      <c r="H73" s="1609"/>
      <c r="I73" s="1609"/>
      <c r="J73" s="1610"/>
      <c r="K73" s="1611"/>
      <c r="L73" s="1612"/>
      <c r="M73" s="360"/>
      <c r="N73" s="1613"/>
      <c r="O73" s="1614"/>
      <c r="P73" s="1615"/>
      <c r="Q73" s="1616" t="str">
        <f t="shared" si="6"/>
        <v/>
      </c>
      <c r="R73" s="1617"/>
      <c r="S73" s="338">
        <f t="shared" si="5"/>
        <v>0</v>
      </c>
      <c r="T73" s="339"/>
    </row>
    <row r="74" spans="1:20" s="325" customFormat="1" hidden="1" x14ac:dyDescent="0.25">
      <c r="A74" s="912" t="str">
        <f t="shared" si="4"/>
        <v>OK</v>
      </c>
      <c r="B74" s="360"/>
      <c r="C74" s="360"/>
      <c r="D74" s="361"/>
      <c r="E74" s="1608"/>
      <c r="F74" s="1609"/>
      <c r="G74" s="1609"/>
      <c r="H74" s="1609"/>
      <c r="I74" s="1609"/>
      <c r="J74" s="1610"/>
      <c r="K74" s="1611"/>
      <c r="L74" s="1612"/>
      <c r="M74" s="360"/>
      <c r="N74" s="1613"/>
      <c r="O74" s="1614"/>
      <c r="P74" s="1615"/>
      <c r="Q74" s="1616" t="str">
        <f t="shared" si="6"/>
        <v/>
      </c>
      <c r="R74" s="1617"/>
      <c r="S74" s="338">
        <f t="shared" si="5"/>
        <v>0</v>
      </c>
      <c r="T74" s="339"/>
    </row>
    <row r="75" spans="1:20" s="325" customFormat="1" hidden="1" x14ac:dyDescent="0.25">
      <c r="A75" s="912" t="str">
        <f t="shared" si="4"/>
        <v>OK</v>
      </c>
      <c r="B75" s="360"/>
      <c r="C75" s="360"/>
      <c r="D75" s="361"/>
      <c r="E75" s="1608"/>
      <c r="F75" s="1609"/>
      <c r="G75" s="1609"/>
      <c r="H75" s="1609"/>
      <c r="I75" s="1609"/>
      <c r="J75" s="1610"/>
      <c r="K75" s="1611"/>
      <c r="L75" s="1612"/>
      <c r="M75" s="360"/>
      <c r="N75" s="1613"/>
      <c r="O75" s="1614"/>
      <c r="P75" s="1615"/>
      <c r="Q75" s="1616" t="str">
        <f>IF(M75="","",M75*N75)</f>
        <v/>
      </c>
      <c r="R75" s="1617"/>
      <c r="S75" s="338">
        <f t="shared" si="5"/>
        <v>0</v>
      </c>
      <c r="T75" s="339"/>
    </row>
    <row r="76" spans="1:20" s="325" customFormat="1" hidden="1" x14ac:dyDescent="0.25">
      <c r="A76" s="912" t="str">
        <f t="shared" si="4"/>
        <v>OK</v>
      </c>
      <c r="B76" s="360"/>
      <c r="C76" s="362"/>
      <c r="D76" s="363"/>
      <c r="E76" s="1620"/>
      <c r="F76" s="1621"/>
      <c r="G76" s="1621"/>
      <c r="H76" s="1621"/>
      <c r="I76" s="1621"/>
      <c r="J76" s="1622"/>
      <c r="K76" s="1623"/>
      <c r="L76" s="1624"/>
      <c r="M76" s="360"/>
      <c r="N76" s="1625"/>
      <c r="O76" s="1626"/>
      <c r="P76" s="1627"/>
      <c r="Q76" s="1628" t="str">
        <f>IF(M76="","",M76*N76)</f>
        <v/>
      </c>
      <c r="R76" s="1629"/>
      <c r="S76" s="338">
        <f t="shared" si="5"/>
        <v>0</v>
      </c>
      <c r="T76" s="339"/>
    </row>
    <row r="77" spans="1:20" s="325" customFormat="1" ht="15.75" hidden="1" customHeight="1" x14ac:dyDescent="0.25">
      <c r="A77" s="912" t="str">
        <f t="shared" si="4"/>
        <v>OK</v>
      </c>
      <c r="B77" s="1630" t="s">
        <v>209</v>
      </c>
      <c r="C77" s="1631"/>
      <c r="D77" s="1631"/>
      <c r="E77" s="1631"/>
      <c r="F77" s="1631"/>
      <c r="G77" s="1631"/>
      <c r="H77" s="1631"/>
      <c r="I77" s="1631"/>
      <c r="J77" s="1631"/>
      <c r="K77" s="1631"/>
      <c r="L77" s="1631"/>
      <c r="M77" s="1632"/>
      <c r="N77" s="1633" t="s">
        <v>103</v>
      </c>
      <c r="O77" s="1634"/>
      <c r="P77" s="1635"/>
      <c r="Q77" s="1636">
        <f>SUM(Q56:R76)</f>
        <v>0</v>
      </c>
      <c r="R77" s="1637"/>
      <c r="S77" s="332">
        <f>SUM(S57:S76)</f>
        <v>0</v>
      </c>
      <c r="T77" s="339"/>
    </row>
    <row r="78" spans="1:20" s="325" customFormat="1" hidden="1" x14ac:dyDescent="0.25">
      <c r="A78" s="912" t="str">
        <f t="shared" si="4"/>
        <v>OK</v>
      </c>
      <c r="B78" s="1642"/>
      <c r="C78" s="1642"/>
      <c r="D78" s="1642"/>
      <c r="E78" s="1642"/>
      <c r="F78" s="1642"/>
      <c r="G78" s="1642"/>
      <c r="H78" s="1642"/>
      <c r="I78" s="1642"/>
      <c r="J78" s="1642"/>
      <c r="K78" s="1642"/>
      <c r="L78" s="1642"/>
      <c r="M78" s="1642"/>
      <c r="N78" s="1642"/>
      <c r="O78" s="1642"/>
      <c r="P78" s="1642"/>
      <c r="Q78" s="1642"/>
      <c r="R78" s="1642"/>
      <c r="S78" s="334"/>
      <c r="T78" s="339"/>
    </row>
    <row r="79" spans="1:20" s="325" customFormat="1" ht="15.75" hidden="1" customHeight="1" x14ac:dyDescent="0.25">
      <c r="A79" s="912" t="str">
        <f t="shared" si="4"/>
        <v>OK</v>
      </c>
      <c r="B79" s="1643" t="s">
        <v>104</v>
      </c>
      <c r="C79" s="1643"/>
      <c r="D79" s="1643"/>
      <c r="E79" s="1643"/>
      <c r="F79" s="1643"/>
      <c r="G79" s="1643"/>
      <c r="H79" s="1643"/>
      <c r="I79" s="1643"/>
      <c r="J79" s="1643"/>
      <c r="K79" s="1643"/>
      <c r="L79" s="1643"/>
      <c r="M79" s="1643"/>
      <c r="N79" s="1643"/>
      <c r="O79" s="1643"/>
      <c r="P79" s="1643"/>
      <c r="Q79" s="1643"/>
      <c r="R79" s="1643"/>
      <c r="S79" s="334"/>
      <c r="T79" s="339"/>
    </row>
    <row r="80" spans="1:20" s="325" customFormat="1" hidden="1" x14ac:dyDescent="0.25">
      <c r="A80" s="912" t="str">
        <f t="shared" si="4"/>
        <v>OK</v>
      </c>
      <c r="B80" s="1644"/>
      <c r="C80" s="1645"/>
      <c r="D80" s="1645"/>
      <c r="E80" s="1645"/>
      <c r="F80" s="1645"/>
      <c r="G80" s="1645"/>
      <c r="H80" s="1645"/>
      <c r="I80" s="1645"/>
      <c r="J80" s="1645"/>
      <c r="K80" s="1645"/>
      <c r="L80" s="1645"/>
      <c r="M80" s="1645"/>
      <c r="N80" s="1645"/>
      <c r="O80" s="1645"/>
      <c r="P80" s="1645"/>
      <c r="Q80" s="1645"/>
      <c r="R80" s="1646"/>
      <c r="S80" s="334"/>
      <c r="T80" s="339"/>
    </row>
    <row r="81" spans="1:20" s="325" customFormat="1" ht="22.5" hidden="1" customHeight="1" x14ac:dyDescent="0.25">
      <c r="A81" s="912" t="str">
        <f t="shared" si="4"/>
        <v>OK</v>
      </c>
      <c r="B81" s="119"/>
      <c r="C81" s="120" t="s">
        <v>85</v>
      </c>
      <c r="D81" s="1647" t="str">
        <f>Dados!$G$128</f>
        <v/>
      </c>
      <c r="E81" s="1647"/>
      <c r="F81" s="121"/>
      <c r="G81" s="121"/>
      <c r="H81" s="121"/>
      <c r="I81" s="121"/>
      <c r="J81" s="1648" t="str">
        <f>Dados!$E$109</f>
        <v/>
      </c>
      <c r="K81" s="1649"/>
      <c r="L81" s="1650"/>
      <c r="M81" s="122"/>
      <c r="N81" s="1618"/>
      <c r="O81" s="1618"/>
      <c r="P81" s="1618"/>
      <c r="Q81" s="1618"/>
      <c r="R81" s="1619"/>
      <c r="S81" s="334"/>
      <c r="T81" s="339"/>
    </row>
    <row r="82" spans="1:20" s="325" customFormat="1" ht="22.5" hidden="1" customHeight="1" x14ac:dyDescent="0.25">
      <c r="A82" s="912" t="str">
        <f t="shared" si="4"/>
        <v>OK</v>
      </c>
      <c r="B82" s="1638" t="s">
        <v>109</v>
      </c>
      <c r="C82" s="1639"/>
      <c r="D82" s="1639"/>
      <c r="E82" s="1639"/>
      <c r="F82" s="123"/>
      <c r="G82" s="123"/>
      <c r="H82" s="123"/>
      <c r="I82" s="123"/>
      <c r="J82" s="1639" t="s">
        <v>287</v>
      </c>
      <c r="K82" s="1639"/>
      <c r="L82" s="1639"/>
      <c r="M82" s="124"/>
      <c r="N82" s="1640" t="s">
        <v>151</v>
      </c>
      <c r="O82" s="1640"/>
      <c r="P82" s="1640"/>
      <c r="Q82" s="1640"/>
      <c r="R82" s="1641"/>
      <c r="S82" s="334"/>
      <c r="T82" s="339"/>
    </row>
    <row r="83" spans="1:20" s="325" customFormat="1" hidden="1" x14ac:dyDescent="0.25">
      <c r="A83" s="912" t="str">
        <f>IF($S$77&lt;=18,"OK","")</f>
        <v>OK</v>
      </c>
      <c r="S83" s="334"/>
    </row>
    <row r="84" spans="1:20" s="340" customFormat="1" ht="8.25" hidden="1" customHeight="1" x14ac:dyDescent="0.25">
      <c r="A84" s="912" t="str">
        <f t="shared" ref="A84:A122" si="7">IF($S$77&lt;=18,"OK","")</f>
        <v>OK</v>
      </c>
      <c r="B84" s="1681"/>
      <c r="C84" s="1681"/>
      <c r="D84" s="1681"/>
      <c r="E84" s="1681"/>
      <c r="F84" s="1681"/>
      <c r="G84" s="1681"/>
      <c r="H84" s="1681"/>
      <c r="I84" s="1681"/>
      <c r="J84" s="1681"/>
      <c r="K84" s="1681"/>
      <c r="L84" s="1681"/>
      <c r="M84" s="1681"/>
      <c r="N84" s="1681"/>
      <c r="O84" s="1681"/>
      <c r="P84" s="1681"/>
      <c r="Q84" s="1681"/>
      <c r="R84" s="1681"/>
      <c r="S84" s="326"/>
    </row>
    <row r="85" spans="1:20" s="340" customFormat="1" ht="27" hidden="1" customHeight="1" x14ac:dyDescent="0.25">
      <c r="A85" s="912" t="str">
        <f t="shared" si="7"/>
        <v>OK</v>
      </c>
      <c r="B85" s="109"/>
      <c r="C85" s="110"/>
      <c r="D85" s="1442" t="s">
        <v>298</v>
      </c>
      <c r="E85" s="1442"/>
      <c r="F85" s="1442"/>
      <c r="G85" s="1442"/>
      <c r="H85" s="1442"/>
      <c r="I85" s="1442"/>
      <c r="J85" s="1442"/>
      <c r="K85" s="1442"/>
      <c r="L85" s="1442"/>
      <c r="M85" s="109"/>
      <c r="N85" s="109"/>
      <c r="O85" s="109"/>
      <c r="P85" s="109"/>
      <c r="Q85" s="109"/>
      <c r="R85" s="111" t="s">
        <v>88</v>
      </c>
      <c r="S85" s="329"/>
    </row>
    <row r="86" spans="1:20" s="340" customFormat="1" ht="16.5" hidden="1" customHeight="1" x14ac:dyDescent="0.25">
      <c r="A86" s="912" t="str">
        <f t="shared" si="7"/>
        <v>OK</v>
      </c>
      <c r="B86" s="109"/>
      <c r="C86" s="110"/>
      <c r="D86" s="1442" t="s">
        <v>300</v>
      </c>
      <c r="E86" s="1442"/>
      <c r="F86" s="1442"/>
      <c r="G86" s="1442"/>
      <c r="H86" s="1442"/>
      <c r="I86" s="1442"/>
      <c r="J86" s="1442"/>
      <c r="K86" s="1442"/>
      <c r="L86" s="1442"/>
      <c r="M86" s="109"/>
      <c r="N86" s="109"/>
      <c r="O86" s="109"/>
      <c r="P86" s="112"/>
      <c r="Q86" s="112"/>
      <c r="R86" s="113" t="s">
        <v>89</v>
      </c>
      <c r="S86" s="329"/>
    </row>
    <row r="87" spans="1:20" s="340" customFormat="1" ht="16.5" hidden="1" customHeight="1" x14ac:dyDescent="0.25">
      <c r="A87" s="912" t="str">
        <f t="shared" si="7"/>
        <v>OK</v>
      </c>
      <c r="B87" s="109"/>
      <c r="C87" s="110"/>
      <c r="D87" s="1395" t="s">
        <v>302</v>
      </c>
      <c r="E87" s="1395"/>
      <c r="F87" s="1395"/>
      <c r="G87" s="1395"/>
      <c r="H87" s="1395"/>
      <c r="I87" s="1395"/>
      <c r="J87" s="1395"/>
      <c r="K87" s="1395"/>
      <c r="L87" s="1395"/>
      <c r="M87" s="109"/>
      <c r="N87" s="109"/>
      <c r="O87" s="109"/>
      <c r="P87" s="112"/>
      <c r="Q87" s="112"/>
      <c r="R87" s="113"/>
      <c r="S87" s="329"/>
    </row>
    <row r="88" spans="1:20" s="340" customFormat="1" ht="15.75" hidden="1" customHeight="1" x14ac:dyDescent="0.25">
      <c r="A88" s="912" t="str">
        <f t="shared" si="7"/>
        <v>OK</v>
      </c>
      <c r="B88" s="1677"/>
      <c r="C88" s="1677"/>
      <c r="D88" s="1677"/>
      <c r="E88" s="1677"/>
      <c r="F88" s="1677"/>
      <c r="G88" s="1677"/>
      <c r="H88" s="1677"/>
      <c r="I88" s="1677"/>
      <c r="J88" s="1677"/>
      <c r="K88" s="1677"/>
      <c r="L88" s="1677"/>
      <c r="M88" s="1677"/>
      <c r="N88" s="1677"/>
      <c r="O88" s="1677"/>
      <c r="P88" s="1677"/>
      <c r="Q88" s="1677"/>
      <c r="R88" s="1677"/>
      <c r="S88" s="329"/>
    </row>
    <row r="89" spans="1:20" s="340" customFormat="1" ht="15.75" hidden="1" customHeight="1" x14ac:dyDescent="0.25">
      <c r="A89" s="912" t="str">
        <f t="shared" si="7"/>
        <v>OK</v>
      </c>
      <c r="B89" s="1682" t="s">
        <v>90</v>
      </c>
      <c r="C89" s="1683"/>
      <c r="D89" s="1683"/>
      <c r="E89" s="1683"/>
      <c r="F89" s="1683"/>
      <c r="G89" s="1683"/>
      <c r="H89" s="1683"/>
      <c r="I89" s="1683"/>
      <c r="J89" s="1683"/>
      <c r="K89" s="1683"/>
      <c r="L89" s="1683"/>
      <c r="M89" s="1683"/>
      <c r="N89" s="1683"/>
      <c r="O89" s="1683"/>
      <c r="P89" s="1683"/>
      <c r="Q89" s="1683"/>
      <c r="R89" s="1684"/>
      <c r="S89" s="334"/>
    </row>
    <row r="90" spans="1:20" s="340" customFormat="1" ht="9.75" hidden="1" customHeight="1" x14ac:dyDescent="0.25">
      <c r="A90" s="912" t="str">
        <f t="shared" si="7"/>
        <v>OK</v>
      </c>
      <c r="B90" s="142" t="s">
        <v>169</v>
      </c>
      <c r="C90" s="1679" t="s">
        <v>337</v>
      </c>
      <c r="D90" s="1679"/>
      <c r="E90" s="1679"/>
      <c r="F90" s="1679"/>
      <c r="G90" s="1679"/>
      <c r="H90" s="1679"/>
      <c r="I90" s="1679"/>
      <c r="J90" s="1680"/>
      <c r="K90" s="115" t="s">
        <v>91</v>
      </c>
      <c r="L90" s="129" t="s">
        <v>92</v>
      </c>
      <c r="M90" s="1670" t="s">
        <v>250</v>
      </c>
      <c r="N90" s="1672"/>
      <c r="O90" s="1670" t="s">
        <v>93</v>
      </c>
      <c r="P90" s="1671"/>
      <c r="Q90" s="1672"/>
      <c r="R90" s="114" t="s">
        <v>94</v>
      </c>
      <c r="S90" s="334"/>
    </row>
    <row r="91" spans="1:20" s="340" customFormat="1" ht="15" hidden="1" customHeight="1" x14ac:dyDescent="0.25">
      <c r="A91" s="912" t="str">
        <f t="shared" si="7"/>
        <v>OK</v>
      </c>
      <c r="B91" s="1673" t="str">
        <f>Dados!$E$67</f>
        <v/>
      </c>
      <c r="C91" s="1674"/>
      <c r="D91" s="1674"/>
      <c r="E91" s="1674"/>
      <c r="F91" s="1674"/>
      <c r="G91" s="1674"/>
      <c r="H91" s="1674"/>
      <c r="I91" s="1674"/>
      <c r="J91" s="1675"/>
      <c r="K91" s="212" t="str">
        <f>Dados!$E$71</f>
        <v/>
      </c>
      <c r="L91" s="182" t="str">
        <f>Dados!$H$71</f>
        <v/>
      </c>
      <c r="M91" s="1673" t="str">
        <f>Dados!$E$7</f>
        <v/>
      </c>
      <c r="N91" s="1675"/>
      <c r="O91" s="144" t="str">
        <f>Dados!$G$9</f>
        <v/>
      </c>
      <c r="P91" s="145" t="s">
        <v>292</v>
      </c>
      <c r="Q91" s="146" t="str">
        <f>Dados!$I$9</f>
        <v/>
      </c>
      <c r="R91" s="143" t="str">
        <f>Dados!$E$9</f>
        <v/>
      </c>
      <c r="S91" s="335"/>
    </row>
    <row r="92" spans="1:20" s="340" customFormat="1" ht="8.25" hidden="1" customHeight="1" x14ac:dyDescent="0.25">
      <c r="A92" s="912" t="str">
        <f t="shared" si="7"/>
        <v>OK</v>
      </c>
      <c r="B92" s="1701"/>
      <c r="C92" s="1701"/>
      <c r="D92" s="1701"/>
      <c r="E92" s="1701"/>
      <c r="F92" s="1701"/>
      <c r="G92" s="1701"/>
      <c r="H92" s="1701"/>
      <c r="I92" s="1701"/>
      <c r="J92" s="1701"/>
      <c r="K92" s="1701"/>
      <c r="L92" s="1701"/>
      <c r="M92" s="1701"/>
      <c r="N92" s="1701"/>
      <c r="O92" s="1701"/>
      <c r="P92" s="1701"/>
      <c r="Q92" s="1701"/>
      <c r="R92" s="1701"/>
      <c r="S92" s="334"/>
    </row>
    <row r="93" spans="1:20" s="340" customFormat="1" ht="15.75" hidden="1" customHeight="1" x14ac:dyDescent="0.25">
      <c r="A93" s="912" t="str">
        <f t="shared" si="7"/>
        <v>OK</v>
      </c>
      <c r="B93" s="1682" t="s">
        <v>95</v>
      </c>
      <c r="C93" s="1683"/>
      <c r="D93" s="1683"/>
      <c r="E93" s="1683"/>
      <c r="F93" s="1683"/>
      <c r="G93" s="1683"/>
      <c r="H93" s="1683"/>
      <c r="I93" s="1683"/>
      <c r="J93" s="1683"/>
      <c r="K93" s="1683"/>
      <c r="L93" s="1683"/>
      <c r="M93" s="1683"/>
      <c r="N93" s="1683"/>
      <c r="O93" s="1683"/>
      <c r="P93" s="1683"/>
      <c r="Q93" s="1683"/>
      <c r="R93" s="1684"/>
      <c r="S93" s="334"/>
    </row>
    <row r="94" spans="1:20" s="340" customFormat="1" ht="12" hidden="1" customHeight="1" x14ac:dyDescent="0.25">
      <c r="A94" s="912" t="str">
        <f t="shared" si="7"/>
        <v>OK</v>
      </c>
      <c r="B94" s="1667" t="s">
        <v>96</v>
      </c>
      <c r="C94" s="1668"/>
      <c r="D94" s="1669"/>
      <c r="E94" s="1670" t="s">
        <v>97</v>
      </c>
      <c r="F94" s="1671"/>
      <c r="G94" s="1671"/>
      <c r="H94" s="1671"/>
      <c r="I94" s="1671"/>
      <c r="J94" s="1672"/>
      <c r="K94" s="1670" t="s">
        <v>98</v>
      </c>
      <c r="L94" s="1672"/>
      <c r="M94" s="116" t="s">
        <v>99</v>
      </c>
      <c r="N94" s="1667" t="s">
        <v>100</v>
      </c>
      <c r="O94" s="1668"/>
      <c r="P94" s="1668"/>
      <c r="Q94" s="1668"/>
      <c r="R94" s="1669"/>
      <c r="S94" s="334"/>
    </row>
    <row r="95" spans="1:20" s="340" customFormat="1" ht="15.75" hidden="1" customHeight="1" x14ac:dyDescent="0.25">
      <c r="A95" s="912" t="str">
        <f t="shared" si="7"/>
        <v>OK</v>
      </c>
      <c r="B95" s="117" t="s">
        <v>281</v>
      </c>
      <c r="C95" s="117" t="s">
        <v>330</v>
      </c>
      <c r="D95" s="117" t="s">
        <v>282</v>
      </c>
      <c r="E95" s="1661"/>
      <c r="F95" s="1662"/>
      <c r="G95" s="1662"/>
      <c r="H95" s="1662"/>
      <c r="I95" s="1662"/>
      <c r="J95" s="1663"/>
      <c r="K95" s="1661"/>
      <c r="L95" s="1663"/>
      <c r="M95" s="118"/>
      <c r="N95" s="1698" t="s">
        <v>101</v>
      </c>
      <c r="O95" s="1699"/>
      <c r="P95" s="1700"/>
      <c r="Q95" s="1698" t="s">
        <v>102</v>
      </c>
      <c r="R95" s="1700"/>
      <c r="S95" s="337"/>
    </row>
    <row r="96" spans="1:20" s="340" customFormat="1" ht="15.75" hidden="1" customHeight="1" x14ac:dyDescent="0.25">
      <c r="A96" s="912" t="str">
        <f t="shared" si="7"/>
        <v>OK</v>
      </c>
      <c r="B96" s="213"/>
      <c r="C96" s="213"/>
      <c r="D96" s="214"/>
      <c r="E96" s="1651" t="s">
        <v>183</v>
      </c>
      <c r="F96" s="1652"/>
      <c r="G96" s="1652"/>
      <c r="H96" s="1652"/>
      <c r="I96" s="1652"/>
      <c r="J96" s="1653"/>
      <c r="K96" s="1654"/>
      <c r="L96" s="1655"/>
      <c r="M96" s="213"/>
      <c r="N96" s="1656"/>
      <c r="O96" s="1696"/>
      <c r="P96" s="1697"/>
      <c r="Q96" s="1659">
        <f>Q77</f>
        <v>0</v>
      </c>
      <c r="R96" s="1660"/>
      <c r="S96" s="338"/>
    </row>
    <row r="97" spans="1:19" s="340" customFormat="1" ht="15.75" hidden="1" customHeight="1" x14ac:dyDescent="0.25">
      <c r="A97" s="912" t="str">
        <f t="shared" si="7"/>
        <v>OK</v>
      </c>
      <c r="B97" s="360"/>
      <c r="C97" s="360"/>
      <c r="D97" s="361"/>
      <c r="E97" s="1686"/>
      <c r="F97" s="1687"/>
      <c r="G97" s="1687"/>
      <c r="H97" s="1687"/>
      <c r="I97" s="1687"/>
      <c r="J97" s="1688"/>
      <c r="K97" s="1689"/>
      <c r="L97" s="1690"/>
      <c r="M97" s="360"/>
      <c r="N97" s="1691"/>
      <c r="O97" s="1692"/>
      <c r="P97" s="1693"/>
      <c r="Q97" s="1694" t="str">
        <f>IF(M97="","",M97*N97)</f>
        <v/>
      </c>
      <c r="R97" s="1695"/>
      <c r="S97" s="338">
        <f t="shared" ref="S97:S116" si="8">IF(N97="",0,1)</f>
        <v>0</v>
      </c>
    </row>
    <row r="98" spans="1:19" s="340" customFormat="1" ht="15.75" hidden="1" customHeight="1" x14ac:dyDescent="0.25">
      <c r="A98" s="912" t="str">
        <f t="shared" si="7"/>
        <v>OK</v>
      </c>
      <c r="B98" s="360"/>
      <c r="C98" s="360"/>
      <c r="D98" s="361"/>
      <c r="E98" s="1608"/>
      <c r="F98" s="1609"/>
      <c r="G98" s="1609"/>
      <c r="H98" s="1609"/>
      <c r="I98" s="1609"/>
      <c r="J98" s="1610"/>
      <c r="K98" s="1611"/>
      <c r="L98" s="1612"/>
      <c r="M98" s="360"/>
      <c r="N98" s="1613"/>
      <c r="O98" s="1614"/>
      <c r="P98" s="1615"/>
      <c r="Q98" s="1616" t="str">
        <f>IF(M98="","",M98*N98)</f>
        <v/>
      </c>
      <c r="R98" s="1617"/>
      <c r="S98" s="338">
        <f t="shared" si="8"/>
        <v>0</v>
      </c>
    </row>
    <row r="99" spans="1:19" s="340" customFormat="1" ht="15.75" hidden="1" customHeight="1" x14ac:dyDescent="0.25">
      <c r="A99" s="912" t="str">
        <f t="shared" si="7"/>
        <v>OK</v>
      </c>
      <c r="B99" s="360"/>
      <c r="C99" s="360"/>
      <c r="D99" s="361"/>
      <c r="E99" s="1608"/>
      <c r="F99" s="1609"/>
      <c r="G99" s="1609"/>
      <c r="H99" s="1609"/>
      <c r="I99" s="1609"/>
      <c r="J99" s="1610"/>
      <c r="K99" s="1611"/>
      <c r="L99" s="1612"/>
      <c r="M99" s="360"/>
      <c r="N99" s="1613"/>
      <c r="O99" s="1614"/>
      <c r="P99" s="1615"/>
      <c r="Q99" s="1616" t="str">
        <f t="shared" ref="Q99:Q114" si="9">IF(M99="","",M99*N99)</f>
        <v/>
      </c>
      <c r="R99" s="1617"/>
      <c r="S99" s="338">
        <f t="shared" si="8"/>
        <v>0</v>
      </c>
    </row>
    <row r="100" spans="1:19" s="340" customFormat="1" ht="15.75" hidden="1" customHeight="1" x14ac:dyDescent="0.25">
      <c r="A100" s="912" t="str">
        <f t="shared" si="7"/>
        <v>OK</v>
      </c>
      <c r="B100" s="360"/>
      <c r="C100" s="360"/>
      <c r="D100" s="361"/>
      <c r="E100" s="1608"/>
      <c r="F100" s="1609"/>
      <c r="G100" s="1609"/>
      <c r="H100" s="1609"/>
      <c r="I100" s="1609"/>
      <c r="J100" s="1610"/>
      <c r="K100" s="1611"/>
      <c r="L100" s="1612"/>
      <c r="M100" s="360"/>
      <c r="N100" s="1613"/>
      <c r="O100" s="1614"/>
      <c r="P100" s="1615"/>
      <c r="Q100" s="1616" t="str">
        <f t="shared" si="9"/>
        <v/>
      </c>
      <c r="R100" s="1617"/>
      <c r="S100" s="338">
        <f t="shared" si="8"/>
        <v>0</v>
      </c>
    </row>
    <row r="101" spans="1:19" s="340" customFormat="1" ht="15.75" hidden="1" customHeight="1" x14ac:dyDescent="0.25">
      <c r="A101" s="912" t="str">
        <f t="shared" si="7"/>
        <v>OK</v>
      </c>
      <c r="B101" s="360"/>
      <c r="C101" s="360"/>
      <c r="D101" s="361"/>
      <c r="E101" s="1608"/>
      <c r="F101" s="1609"/>
      <c r="G101" s="1609"/>
      <c r="H101" s="1609"/>
      <c r="I101" s="1609"/>
      <c r="J101" s="1610"/>
      <c r="K101" s="1611"/>
      <c r="L101" s="1612"/>
      <c r="M101" s="360"/>
      <c r="N101" s="1613"/>
      <c r="O101" s="1614"/>
      <c r="P101" s="1615"/>
      <c r="Q101" s="1616" t="str">
        <f t="shared" si="9"/>
        <v/>
      </c>
      <c r="R101" s="1617"/>
      <c r="S101" s="338">
        <f t="shared" si="8"/>
        <v>0</v>
      </c>
    </row>
    <row r="102" spans="1:19" s="340" customFormat="1" ht="15.75" hidden="1" customHeight="1" x14ac:dyDescent="0.25">
      <c r="A102" s="912" t="str">
        <f t="shared" si="7"/>
        <v>OK</v>
      </c>
      <c r="B102" s="360"/>
      <c r="C102" s="360"/>
      <c r="D102" s="361"/>
      <c r="E102" s="1608"/>
      <c r="F102" s="1609"/>
      <c r="G102" s="1609"/>
      <c r="H102" s="1609"/>
      <c r="I102" s="1609"/>
      <c r="J102" s="1610"/>
      <c r="K102" s="1611"/>
      <c r="L102" s="1612"/>
      <c r="M102" s="360"/>
      <c r="N102" s="1613"/>
      <c r="O102" s="1614"/>
      <c r="P102" s="1615"/>
      <c r="Q102" s="1616" t="str">
        <f t="shared" si="9"/>
        <v/>
      </c>
      <c r="R102" s="1617"/>
      <c r="S102" s="338">
        <f t="shared" si="8"/>
        <v>0</v>
      </c>
    </row>
    <row r="103" spans="1:19" s="340" customFormat="1" ht="15.75" hidden="1" customHeight="1" x14ac:dyDescent="0.25">
      <c r="A103" s="912" t="str">
        <f t="shared" si="7"/>
        <v>OK</v>
      </c>
      <c r="B103" s="360"/>
      <c r="C103" s="360"/>
      <c r="D103" s="361"/>
      <c r="E103" s="1608"/>
      <c r="F103" s="1609"/>
      <c r="G103" s="1609"/>
      <c r="H103" s="1609"/>
      <c r="I103" s="1609"/>
      <c r="J103" s="1610"/>
      <c r="K103" s="1611"/>
      <c r="L103" s="1612"/>
      <c r="M103" s="360"/>
      <c r="N103" s="1613"/>
      <c r="O103" s="1614"/>
      <c r="P103" s="1615"/>
      <c r="Q103" s="1616" t="str">
        <f t="shared" si="9"/>
        <v/>
      </c>
      <c r="R103" s="1617"/>
      <c r="S103" s="338">
        <f t="shared" si="8"/>
        <v>0</v>
      </c>
    </row>
    <row r="104" spans="1:19" s="340" customFormat="1" ht="15.75" hidden="1" customHeight="1" x14ac:dyDescent="0.25">
      <c r="A104" s="912" t="str">
        <f t="shared" si="7"/>
        <v>OK</v>
      </c>
      <c r="B104" s="360"/>
      <c r="C104" s="360"/>
      <c r="D104" s="361"/>
      <c r="E104" s="1608"/>
      <c r="F104" s="1609"/>
      <c r="G104" s="1609"/>
      <c r="H104" s="1609"/>
      <c r="I104" s="1609"/>
      <c r="J104" s="1610"/>
      <c r="K104" s="1611"/>
      <c r="L104" s="1612"/>
      <c r="M104" s="360"/>
      <c r="N104" s="1613"/>
      <c r="O104" s="1614"/>
      <c r="P104" s="1615"/>
      <c r="Q104" s="1616" t="str">
        <f t="shared" si="9"/>
        <v/>
      </c>
      <c r="R104" s="1617"/>
      <c r="S104" s="338">
        <f t="shared" si="8"/>
        <v>0</v>
      </c>
    </row>
    <row r="105" spans="1:19" s="340" customFormat="1" ht="15.75" hidden="1" customHeight="1" x14ac:dyDescent="0.25">
      <c r="A105" s="912" t="str">
        <f t="shared" si="7"/>
        <v>OK</v>
      </c>
      <c r="B105" s="360"/>
      <c r="C105" s="360"/>
      <c r="D105" s="361"/>
      <c r="E105" s="1608"/>
      <c r="F105" s="1609"/>
      <c r="G105" s="1609"/>
      <c r="H105" s="1609"/>
      <c r="I105" s="1609"/>
      <c r="J105" s="1610"/>
      <c r="K105" s="1611"/>
      <c r="L105" s="1612"/>
      <c r="M105" s="360"/>
      <c r="N105" s="1613"/>
      <c r="O105" s="1614"/>
      <c r="P105" s="1615"/>
      <c r="Q105" s="1616" t="str">
        <f t="shared" si="9"/>
        <v/>
      </c>
      <c r="R105" s="1617"/>
      <c r="S105" s="338">
        <f t="shared" si="8"/>
        <v>0</v>
      </c>
    </row>
    <row r="106" spans="1:19" s="340" customFormat="1" ht="15.75" hidden="1" customHeight="1" x14ac:dyDescent="0.25">
      <c r="A106" s="912" t="str">
        <f t="shared" si="7"/>
        <v>OK</v>
      </c>
      <c r="B106" s="360"/>
      <c r="C106" s="360"/>
      <c r="D106" s="361"/>
      <c r="E106" s="1608"/>
      <c r="F106" s="1609"/>
      <c r="G106" s="1609"/>
      <c r="H106" s="1609"/>
      <c r="I106" s="1609"/>
      <c r="J106" s="1610"/>
      <c r="K106" s="1611"/>
      <c r="L106" s="1612"/>
      <c r="M106" s="360"/>
      <c r="N106" s="1613"/>
      <c r="O106" s="1614"/>
      <c r="P106" s="1615"/>
      <c r="Q106" s="1616" t="str">
        <f t="shared" si="9"/>
        <v/>
      </c>
      <c r="R106" s="1617"/>
      <c r="S106" s="338">
        <f t="shared" si="8"/>
        <v>0</v>
      </c>
    </row>
    <row r="107" spans="1:19" s="340" customFormat="1" ht="15.75" hidden="1" customHeight="1" x14ac:dyDescent="0.25">
      <c r="A107" s="912" t="str">
        <f t="shared" si="7"/>
        <v>OK</v>
      </c>
      <c r="B107" s="360"/>
      <c r="C107" s="360"/>
      <c r="D107" s="361"/>
      <c r="E107" s="1608"/>
      <c r="F107" s="1609"/>
      <c r="G107" s="1609"/>
      <c r="H107" s="1609"/>
      <c r="I107" s="1609"/>
      <c r="J107" s="1610"/>
      <c r="K107" s="1611"/>
      <c r="L107" s="1612"/>
      <c r="M107" s="360"/>
      <c r="N107" s="1613"/>
      <c r="O107" s="1614"/>
      <c r="P107" s="1615"/>
      <c r="Q107" s="1616" t="str">
        <f t="shared" si="9"/>
        <v/>
      </c>
      <c r="R107" s="1617"/>
      <c r="S107" s="338">
        <f t="shared" si="8"/>
        <v>0</v>
      </c>
    </row>
    <row r="108" spans="1:19" s="340" customFormat="1" ht="15.75" hidden="1" customHeight="1" x14ac:dyDescent="0.25">
      <c r="A108" s="912" t="str">
        <f t="shared" si="7"/>
        <v>OK</v>
      </c>
      <c r="B108" s="360"/>
      <c r="C108" s="360"/>
      <c r="D108" s="361"/>
      <c r="E108" s="1608"/>
      <c r="F108" s="1609"/>
      <c r="G108" s="1609"/>
      <c r="H108" s="1609"/>
      <c r="I108" s="1609"/>
      <c r="J108" s="1610"/>
      <c r="K108" s="1611"/>
      <c r="L108" s="1612"/>
      <c r="M108" s="360"/>
      <c r="N108" s="1613"/>
      <c r="O108" s="1614"/>
      <c r="P108" s="1615"/>
      <c r="Q108" s="1616" t="str">
        <f t="shared" si="9"/>
        <v/>
      </c>
      <c r="R108" s="1617"/>
      <c r="S108" s="338">
        <f t="shared" si="8"/>
        <v>0</v>
      </c>
    </row>
    <row r="109" spans="1:19" s="340" customFormat="1" ht="15.75" hidden="1" customHeight="1" x14ac:dyDescent="0.25">
      <c r="A109" s="912" t="str">
        <f t="shared" si="7"/>
        <v>OK</v>
      </c>
      <c r="B109" s="360"/>
      <c r="C109" s="360"/>
      <c r="D109" s="361"/>
      <c r="E109" s="1608"/>
      <c r="F109" s="1609"/>
      <c r="G109" s="1609"/>
      <c r="H109" s="1609"/>
      <c r="I109" s="1609"/>
      <c r="J109" s="1610"/>
      <c r="K109" s="1611"/>
      <c r="L109" s="1612"/>
      <c r="M109" s="360"/>
      <c r="N109" s="1613"/>
      <c r="O109" s="1614"/>
      <c r="P109" s="1615"/>
      <c r="Q109" s="1616" t="str">
        <f t="shared" si="9"/>
        <v/>
      </c>
      <c r="R109" s="1617"/>
      <c r="S109" s="338">
        <f t="shared" si="8"/>
        <v>0</v>
      </c>
    </row>
    <row r="110" spans="1:19" s="340" customFormat="1" ht="15.75" hidden="1" customHeight="1" x14ac:dyDescent="0.25">
      <c r="A110" s="912" t="str">
        <f t="shared" si="7"/>
        <v>OK</v>
      </c>
      <c r="B110" s="360"/>
      <c r="C110" s="360"/>
      <c r="D110" s="361"/>
      <c r="E110" s="1608"/>
      <c r="F110" s="1609"/>
      <c r="G110" s="1609"/>
      <c r="H110" s="1609"/>
      <c r="I110" s="1609"/>
      <c r="J110" s="1610"/>
      <c r="K110" s="1611"/>
      <c r="L110" s="1612"/>
      <c r="M110" s="360"/>
      <c r="N110" s="1613"/>
      <c r="O110" s="1614"/>
      <c r="P110" s="1615"/>
      <c r="Q110" s="1616" t="str">
        <f t="shared" si="9"/>
        <v/>
      </c>
      <c r="R110" s="1617"/>
      <c r="S110" s="338">
        <f t="shared" si="8"/>
        <v>0</v>
      </c>
    </row>
    <row r="111" spans="1:19" s="340" customFormat="1" ht="15.75" hidden="1" customHeight="1" x14ac:dyDescent="0.25">
      <c r="A111" s="912" t="str">
        <f t="shared" si="7"/>
        <v>OK</v>
      </c>
      <c r="B111" s="360"/>
      <c r="C111" s="360"/>
      <c r="D111" s="361"/>
      <c r="E111" s="1608"/>
      <c r="F111" s="1609"/>
      <c r="G111" s="1609"/>
      <c r="H111" s="1609"/>
      <c r="I111" s="1609"/>
      <c r="J111" s="1610"/>
      <c r="K111" s="1611"/>
      <c r="L111" s="1612"/>
      <c r="M111" s="360"/>
      <c r="N111" s="1613"/>
      <c r="O111" s="1614"/>
      <c r="P111" s="1615"/>
      <c r="Q111" s="1616" t="str">
        <f t="shared" si="9"/>
        <v/>
      </c>
      <c r="R111" s="1617"/>
      <c r="S111" s="338">
        <f t="shared" si="8"/>
        <v>0</v>
      </c>
    </row>
    <row r="112" spans="1:19" s="340" customFormat="1" ht="15.75" hidden="1" customHeight="1" x14ac:dyDescent="0.25">
      <c r="A112" s="912" t="str">
        <f t="shared" si="7"/>
        <v>OK</v>
      </c>
      <c r="B112" s="360"/>
      <c r="C112" s="360"/>
      <c r="D112" s="361"/>
      <c r="E112" s="1608"/>
      <c r="F112" s="1609"/>
      <c r="G112" s="1609"/>
      <c r="H112" s="1609"/>
      <c r="I112" s="1609"/>
      <c r="J112" s="1610"/>
      <c r="K112" s="1611"/>
      <c r="L112" s="1612"/>
      <c r="M112" s="360"/>
      <c r="N112" s="1613"/>
      <c r="O112" s="1614"/>
      <c r="P112" s="1615"/>
      <c r="Q112" s="1616" t="str">
        <f t="shared" si="9"/>
        <v/>
      </c>
      <c r="R112" s="1617"/>
      <c r="S112" s="338">
        <f t="shared" si="8"/>
        <v>0</v>
      </c>
    </row>
    <row r="113" spans="1:19" s="340" customFormat="1" ht="15.75" hidden="1" customHeight="1" x14ac:dyDescent="0.25">
      <c r="A113" s="912" t="str">
        <f t="shared" si="7"/>
        <v>OK</v>
      </c>
      <c r="B113" s="360"/>
      <c r="C113" s="360"/>
      <c r="D113" s="361"/>
      <c r="E113" s="1608"/>
      <c r="F113" s="1609"/>
      <c r="G113" s="1609"/>
      <c r="H113" s="1609"/>
      <c r="I113" s="1609"/>
      <c r="J113" s="1610"/>
      <c r="K113" s="1611"/>
      <c r="L113" s="1612"/>
      <c r="M113" s="360"/>
      <c r="N113" s="1613"/>
      <c r="O113" s="1614"/>
      <c r="P113" s="1615"/>
      <c r="Q113" s="1616" t="str">
        <f t="shared" si="9"/>
        <v/>
      </c>
      <c r="R113" s="1617"/>
      <c r="S113" s="338">
        <f t="shared" si="8"/>
        <v>0</v>
      </c>
    </row>
    <row r="114" spans="1:19" s="340" customFormat="1" ht="15.75" hidden="1" customHeight="1" x14ac:dyDescent="0.25">
      <c r="A114" s="912" t="str">
        <f t="shared" si="7"/>
        <v>OK</v>
      </c>
      <c r="B114" s="360"/>
      <c r="C114" s="360"/>
      <c r="D114" s="361"/>
      <c r="E114" s="1608"/>
      <c r="F114" s="1609"/>
      <c r="G114" s="1609"/>
      <c r="H114" s="1609"/>
      <c r="I114" s="1609"/>
      <c r="J114" s="1610"/>
      <c r="K114" s="1611"/>
      <c r="L114" s="1612"/>
      <c r="M114" s="360"/>
      <c r="N114" s="1613"/>
      <c r="O114" s="1614"/>
      <c r="P114" s="1615"/>
      <c r="Q114" s="1616" t="str">
        <f t="shared" si="9"/>
        <v/>
      </c>
      <c r="R114" s="1617"/>
      <c r="S114" s="338">
        <f t="shared" si="8"/>
        <v>0</v>
      </c>
    </row>
    <row r="115" spans="1:19" s="340" customFormat="1" ht="15.75" hidden="1" customHeight="1" x14ac:dyDescent="0.25">
      <c r="A115" s="912" t="str">
        <f t="shared" si="7"/>
        <v>OK</v>
      </c>
      <c r="B115" s="360"/>
      <c r="C115" s="360"/>
      <c r="D115" s="361"/>
      <c r="E115" s="1608"/>
      <c r="F115" s="1609"/>
      <c r="G115" s="1609"/>
      <c r="H115" s="1609"/>
      <c r="I115" s="1609"/>
      <c r="J115" s="1610"/>
      <c r="K115" s="1611"/>
      <c r="L115" s="1612"/>
      <c r="M115" s="360"/>
      <c r="N115" s="1613"/>
      <c r="O115" s="1614"/>
      <c r="P115" s="1615"/>
      <c r="Q115" s="1616" t="str">
        <f>IF(M115="","",M115*N115)</f>
        <v/>
      </c>
      <c r="R115" s="1617"/>
      <c r="S115" s="338">
        <f t="shared" si="8"/>
        <v>0</v>
      </c>
    </row>
    <row r="116" spans="1:19" s="340" customFormat="1" ht="15.75" hidden="1" customHeight="1" x14ac:dyDescent="0.25">
      <c r="A116" s="912" t="str">
        <f t="shared" si="7"/>
        <v>OK</v>
      </c>
      <c r="B116" s="360"/>
      <c r="C116" s="362"/>
      <c r="D116" s="363"/>
      <c r="E116" s="1620"/>
      <c r="F116" s="1621"/>
      <c r="G116" s="1621"/>
      <c r="H116" s="1621"/>
      <c r="I116" s="1621"/>
      <c r="J116" s="1622"/>
      <c r="K116" s="1623"/>
      <c r="L116" s="1624"/>
      <c r="M116" s="360"/>
      <c r="N116" s="1625"/>
      <c r="O116" s="1626"/>
      <c r="P116" s="1627"/>
      <c r="Q116" s="1628" t="str">
        <f>IF(M116="","",M116*N116)</f>
        <v/>
      </c>
      <c r="R116" s="1629"/>
      <c r="S116" s="338">
        <f t="shared" si="8"/>
        <v>0</v>
      </c>
    </row>
    <row r="117" spans="1:19" s="340" customFormat="1" ht="15.75" hidden="1" customHeight="1" x14ac:dyDescent="0.25">
      <c r="A117" s="912" t="str">
        <f t="shared" si="7"/>
        <v>OK</v>
      </c>
      <c r="B117" s="1630" t="s">
        <v>209</v>
      </c>
      <c r="C117" s="1631"/>
      <c r="D117" s="1631"/>
      <c r="E117" s="1631"/>
      <c r="F117" s="1631"/>
      <c r="G117" s="1631"/>
      <c r="H117" s="1631"/>
      <c r="I117" s="1631"/>
      <c r="J117" s="1631"/>
      <c r="K117" s="1631"/>
      <c r="L117" s="1631"/>
      <c r="M117" s="1632"/>
      <c r="N117" s="1633" t="s">
        <v>103</v>
      </c>
      <c r="O117" s="1634"/>
      <c r="P117" s="1635"/>
      <c r="Q117" s="1636">
        <f>SUM(Q96:R116)</f>
        <v>0</v>
      </c>
      <c r="R117" s="1637"/>
      <c r="S117" s="332">
        <f>SUM(S96:S116)</f>
        <v>0</v>
      </c>
    </row>
    <row r="118" spans="1:19" s="340" customFormat="1" ht="15.75" hidden="1" customHeight="1" x14ac:dyDescent="0.25">
      <c r="A118" s="912" t="str">
        <f t="shared" si="7"/>
        <v>OK</v>
      </c>
      <c r="B118" s="1685"/>
      <c r="C118" s="1685"/>
      <c r="D118" s="1685"/>
      <c r="E118" s="1685"/>
      <c r="F118" s="1685"/>
      <c r="G118" s="1685"/>
      <c r="H118" s="1685"/>
      <c r="I118" s="1685"/>
      <c r="J118" s="1685"/>
      <c r="K118" s="1685"/>
      <c r="L118" s="1685"/>
      <c r="M118" s="1685"/>
      <c r="N118" s="1685"/>
      <c r="O118" s="1685"/>
      <c r="P118" s="1685"/>
      <c r="Q118" s="1685"/>
      <c r="R118" s="1685"/>
      <c r="S118" s="334"/>
    </row>
    <row r="119" spans="1:19" s="340" customFormat="1" ht="15.75" hidden="1" customHeight="1" x14ac:dyDescent="0.25">
      <c r="A119" s="912" t="str">
        <f t="shared" si="7"/>
        <v>OK</v>
      </c>
      <c r="B119" s="1682" t="s">
        <v>104</v>
      </c>
      <c r="C119" s="1683"/>
      <c r="D119" s="1683"/>
      <c r="E119" s="1683"/>
      <c r="F119" s="1683"/>
      <c r="G119" s="1683"/>
      <c r="H119" s="1683"/>
      <c r="I119" s="1683"/>
      <c r="J119" s="1683"/>
      <c r="K119" s="1683"/>
      <c r="L119" s="1683"/>
      <c r="M119" s="1683"/>
      <c r="N119" s="1683"/>
      <c r="O119" s="1683"/>
      <c r="P119" s="1683"/>
      <c r="Q119" s="1683"/>
      <c r="R119" s="1684"/>
      <c r="S119" s="334"/>
    </row>
    <row r="120" spans="1:19" s="340" customFormat="1" hidden="1" x14ac:dyDescent="0.25">
      <c r="A120" s="912" t="str">
        <f t="shared" si="7"/>
        <v>OK</v>
      </c>
      <c r="B120" s="1644"/>
      <c r="C120" s="1645"/>
      <c r="D120" s="1645"/>
      <c r="E120" s="1645"/>
      <c r="F120" s="1645"/>
      <c r="G120" s="1645"/>
      <c r="H120" s="1645"/>
      <c r="I120" s="1645"/>
      <c r="J120" s="1645"/>
      <c r="K120" s="1645"/>
      <c r="L120" s="1645"/>
      <c r="M120" s="1645"/>
      <c r="N120" s="1645"/>
      <c r="O120" s="1645"/>
      <c r="P120" s="1645"/>
      <c r="Q120" s="1645"/>
      <c r="R120" s="1646"/>
      <c r="S120" s="334"/>
    </row>
    <row r="121" spans="1:19" s="340" customFormat="1" ht="23.25" hidden="1" customHeight="1" x14ac:dyDescent="0.25">
      <c r="A121" s="912" t="str">
        <f t="shared" si="7"/>
        <v>OK</v>
      </c>
      <c r="B121" s="119"/>
      <c r="C121" s="120" t="s">
        <v>85</v>
      </c>
      <c r="D121" s="1647" t="str">
        <f>Dados!$G$128</f>
        <v/>
      </c>
      <c r="E121" s="1647"/>
      <c r="F121" s="121"/>
      <c r="G121" s="121"/>
      <c r="H121" s="121"/>
      <c r="I121" s="121"/>
      <c r="J121" s="1648" t="str">
        <f>Dados!$E$109</f>
        <v/>
      </c>
      <c r="K121" s="1648"/>
      <c r="L121" s="1648"/>
      <c r="M121" s="122"/>
      <c r="N121" s="1618"/>
      <c r="O121" s="1618"/>
      <c r="P121" s="1618"/>
      <c r="Q121" s="1618"/>
      <c r="R121" s="1619"/>
      <c r="S121" s="334"/>
    </row>
    <row r="122" spans="1:19" s="340" customFormat="1" ht="23.25" hidden="1" customHeight="1" x14ac:dyDescent="0.25">
      <c r="A122" s="912" t="str">
        <f t="shared" si="7"/>
        <v>OK</v>
      </c>
      <c r="B122" s="1638" t="s">
        <v>109</v>
      </c>
      <c r="C122" s="1639"/>
      <c r="D122" s="1639"/>
      <c r="E122" s="1639"/>
      <c r="F122" s="123"/>
      <c r="G122" s="123"/>
      <c r="H122" s="123"/>
      <c r="I122" s="123"/>
      <c r="J122" s="1640" t="s">
        <v>287</v>
      </c>
      <c r="K122" s="1640"/>
      <c r="L122" s="1640"/>
      <c r="M122" s="124"/>
      <c r="N122" s="1640" t="s">
        <v>151</v>
      </c>
      <c r="O122" s="1640"/>
      <c r="P122" s="1640"/>
      <c r="Q122" s="1640"/>
      <c r="R122" s="1641"/>
      <c r="S122" s="334"/>
    </row>
    <row r="123" spans="1:19" s="340" customFormat="1" hidden="1" x14ac:dyDescent="0.25">
      <c r="A123" s="912" t="str">
        <f>IF($S$117&lt;=18,"OK","")</f>
        <v>OK</v>
      </c>
      <c r="S123" s="341"/>
    </row>
    <row r="124" spans="1:19" s="340" customFormat="1" ht="8.25" hidden="1" customHeight="1" x14ac:dyDescent="0.25">
      <c r="A124" s="912" t="str">
        <f t="shared" ref="A124:A162" si="10">IF($S$117&lt;=18,"OK","")</f>
        <v>OK</v>
      </c>
      <c r="B124" s="1681"/>
      <c r="C124" s="1681"/>
      <c r="D124" s="1681"/>
      <c r="E124" s="1681"/>
      <c r="F124" s="1681"/>
      <c r="G124" s="1681"/>
      <c r="H124" s="1681"/>
      <c r="I124" s="1681"/>
      <c r="J124" s="1681"/>
      <c r="K124" s="1681"/>
      <c r="L124" s="1681"/>
      <c r="M124" s="1681"/>
      <c r="N124" s="1681"/>
      <c r="O124" s="1681"/>
      <c r="P124" s="1681"/>
      <c r="Q124" s="1681"/>
      <c r="R124" s="1681"/>
      <c r="S124" s="326"/>
    </row>
    <row r="125" spans="1:19" s="340" customFormat="1" ht="27" hidden="1" customHeight="1" x14ac:dyDescent="0.25">
      <c r="A125" s="912" t="str">
        <f t="shared" si="10"/>
        <v>OK</v>
      </c>
      <c r="B125" s="109"/>
      <c r="C125" s="110"/>
      <c r="D125" s="1442" t="s">
        <v>298</v>
      </c>
      <c r="E125" s="1442"/>
      <c r="F125" s="1442"/>
      <c r="G125" s="1442"/>
      <c r="H125" s="1442"/>
      <c r="I125" s="1442"/>
      <c r="J125" s="1442"/>
      <c r="K125" s="1442"/>
      <c r="L125" s="1442"/>
      <c r="M125" s="109"/>
      <c r="N125" s="109"/>
      <c r="O125" s="109"/>
      <c r="P125" s="109"/>
      <c r="Q125" s="109"/>
      <c r="R125" s="111" t="s">
        <v>88</v>
      </c>
      <c r="S125" s="329"/>
    </row>
    <row r="126" spans="1:19" s="340" customFormat="1" ht="16.5" hidden="1" customHeight="1" x14ac:dyDescent="0.25">
      <c r="A126" s="912" t="str">
        <f t="shared" si="10"/>
        <v>OK</v>
      </c>
      <c r="B126" s="109"/>
      <c r="C126" s="110"/>
      <c r="D126" s="1442" t="s">
        <v>300</v>
      </c>
      <c r="E126" s="1442"/>
      <c r="F126" s="1442"/>
      <c r="G126" s="1442"/>
      <c r="H126" s="1442"/>
      <c r="I126" s="1442"/>
      <c r="J126" s="1442"/>
      <c r="K126" s="1442"/>
      <c r="L126" s="1442"/>
      <c r="M126" s="109"/>
      <c r="N126" s="109"/>
      <c r="O126" s="109"/>
      <c r="P126" s="112"/>
      <c r="Q126" s="112"/>
      <c r="R126" s="113" t="s">
        <v>89</v>
      </c>
      <c r="S126" s="329"/>
    </row>
    <row r="127" spans="1:19" s="340" customFormat="1" ht="16.5" hidden="1" customHeight="1" x14ac:dyDescent="0.25">
      <c r="A127" s="912" t="str">
        <f t="shared" si="10"/>
        <v>OK</v>
      </c>
      <c r="B127" s="109"/>
      <c r="C127" s="110"/>
      <c r="D127" s="1395" t="s">
        <v>302</v>
      </c>
      <c r="E127" s="1395"/>
      <c r="F127" s="1395"/>
      <c r="G127" s="1395"/>
      <c r="H127" s="1395"/>
      <c r="I127" s="1395"/>
      <c r="J127" s="1395"/>
      <c r="K127" s="1395"/>
      <c r="L127" s="1395"/>
      <c r="M127" s="109"/>
      <c r="N127" s="109"/>
      <c r="O127" s="109"/>
      <c r="P127" s="112"/>
      <c r="Q127" s="112"/>
      <c r="R127" s="113"/>
      <c r="S127" s="329"/>
    </row>
    <row r="128" spans="1:19" s="340" customFormat="1" ht="15.75" hidden="1" customHeight="1" x14ac:dyDescent="0.25">
      <c r="A128" s="912" t="str">
        <f t="shared" si="10"/>
        <v>OK</v>
      </c>
      <c r="B128" s="1677"/>
      <c r="C128" s="1677"/>
      <c r="D128" s="1677"/>
      <c r="E128" s="1677"/>
      <c r="F128" s="1677"/>
      <c r="G128" s="1677"/>
      <c r="H128" s="1677"/>
      <c r="I128" s="1677"/>
      <c r="J128" s="1677"/>
      <c r="K128" s="1677"/>
      <c r="L128" s="1677"/>
      <c r="M128" s="1677"/>
      <c r="N128" s="1677"/>
      <c r="O128" s="1677"/>
      <c r="P128" s="1677"/>
      <c r="Q128" s="1677"/>
      <c r="R128" s="1677"/>
      <c r="S128" s="329"/>
    </row>
    <row r="129" spans="1:19" s="340" customFormat="1" ht="15.75" hidden="1" customHeight="1" x14ac:dyDescent="0.25">
      <c r="A129" s="912" t="str">
        <f t="shared" si="10"/>
        <v>OK</v>
      </c>
      <c r="B129" s="1643" t="s">
        <v>90</v>
      </c>
      <c r="C129" s="1643"/>
      <c r="D129" s="1643"/>
      <c r="E129" s="1643"/>
      <c r="F129" s="1643"/>
      <c r="G129" s="1643"/>
      <c r="H129" s="1643"/>
      <c r="I129" s="1643"/>
      <c r="J129" s="1643"/>
      <c r="K129" s="1643"/>
      <c r="L129" s="1643"/>
      <c r="M129" s="1643"/>
      <c r="N129" s="1643"/>
      <c r="O129" s="1678"/>
      <c r="P129" s="1678"/>
      <c r="Q129" s="1678"/>
      <c r="R129" s="1643"/>
      <c r="S129" s="334"/>
    </row>
    <row r="130" spans="1:19" s="340" customFormat="1" ht="9.75" hidden="1" customHeight="1" x14ac:dyDescent="0.25">
      <c r="A130" s="912" t="str">
        <f t="shared" si="10"/>
        <v>OK</v>
      </c>
      <c r="B130" s="142" t="s">
        <v>169</v>
      </c>
      <c r="C130" s="1679" t="s">
        <v>337</v>
      </c>
      <c r="D130" s="1679"/>
      <c r="E130" s="1679"/>
      <c r="F130" s="1679"/>
      <c r="G130" s="1679"/>
      <c r="H130" s="1679"/>
      <c r="I130" s="1679"/>
      <c r="J130" s="1680"/>
      <c r="K130" s="115" t="s">
        <v>91</v>
      </c>
      <c r="L130" s="129" t="s">
        <v>92</v>
      </c>
      <c r="M130" s="1670" t="s">
        <v>250</v>
      </c>
      <c r="N130" s="1672"/>
      <c r="O130" s="1670" t="s">
        <v>93</v>
      </c>
      <c r="P130" s="1671"/>
      <c r="Q130" s="1672"/>
      <c r="R130" s="114" t="s">
        <v>94</v>
      </c>
      <c r="S130" s="334"/>
    </row>
    <row r="131" spans="1:19" s="340" customFormat="1" ht="15" hidden="1" customHeight="1" x14ac:dyDescent="0.25">
      <c r="A131" s="912" t="str">
        <f t="shared" si="10"/>
        <v>OK</v>
      </c>
      <c r="B131" s="1673" t="str">
        <f>Dados!$E$67</f>
        <v/>
      </c>
      <c r="C131" s="1674"/>
      <c r="D131" s="1674"/>
      <c r="E131" s="1674"/>
      <c r="F131" s="1674"/>
      <c r="G131" s="1674"/>
      <c r="H131" s="1674"/>
      <c r="I131" s="1674"/>
      <c r="J131" s="1675"/>
      <c r="K131" s="212" t="str">
        <f>Dados!$E$71</f>
        <v/>
      </c>
      <c r="L131" s="182" t="str">
        <f>Dados!$H$71</f>
        <v/>
      </c>
      <c r="M131" s="1673" t="str">
        <f>Dados!$E$7</f>
        <v/>
      </c>
      <c r="N131" s="1675"/>
      <c r="O131" s="144" t="str">
        <f>Dados!$G$9</f>
        <v/>
      </c>
      <c r="P131" s="145" t="s">
        <v>292</v>
      </c>
      <c r="Q131" s="146" t="str">
        <f>Dados!$I$9</f>
        <v/>
      </c>
      <c r="R131" s="143" t="str">
        <f>Dados!$E$9</f>
        <v/>
      </c>
      <c r="S131" s="335"/>
    </row>
    <row r="132" spans="1:19" s="340" customFormat="1" ht="8.25" hidden="1" customHeight="1" x14ac:dyDescent="0.25">
      <c r="A132" s="912" t="str">
        <f t="shared" si="10"/>
        <v>OK</v>
      </c>
      <c r="B132" s="1676"/>
      <c r="C132" s="1676"/>
      <c r="D132" s="1676"/>
      <c r="E132" s="1676"/>
      <c r="F132" s="1676"/>
      <c r="G132" s="1676"/>
      <c r="H132" s="1676"/>
      <c r="I132" s="1676"/>
      <c r="J132" s="1676"/>
      <c r="K132" s="1676"/>
      <c r="L132" s="1676"/>
      <c r="M132" s="1676"/>
      <c r="N132" s="1676"/>
      <c r="O132" s="1676"/>
      <c r="P132" s="1676"/>
      <c r="Q132" s="1676"/>
      <c r="R132" s="1676"/>
      <c r="S132" s="334"/>
    </row>
    <row r="133" spans="1:19" s="340" customFormat="1" ht="15.75" hidden="1" customHeight="1" x14ac:dyDescent="0.25">
      <c r="A133" s="912" t="str">
        <f t="shared" si="10"/>
        <v>OK</v>
      </c>
      <c r="B133" s="1643" t="s">
        <v>95</v>
      </c>
      <c r="C133" s="1643"/>
      <c r="D133" s="1643"/>
      <c r="E133" s="1643"/>
      <c r="F133" s="1643"/>
      <c r="G133" s="1643"/>
      <c r="H133" s="1643"/>
      <c r="I133" s="1643"/>
      <c r="J133" s="1643"/>
      <c r="K133" s="1643"/>
      <c r="L133" s="1643"/>
      <c r="M133" s="1643"/>
      <c r="N133" s="1643"/>
      <c r="O133" s="1643"/>
      <c r="P133" s="1643"/>
      <c r="Q133" s="1643"/>
      <c r="R133" s="1643"/>
      <c r="S133" s="334"/>
    </row>
    <row r="134" spans="1:19" s="340" customFormat="1" ht="12" hidden="1" customHeight="1" x14ac:dyDescent="0.25">
      <c r="A134" s="912" t="str">
        <f t="shared" si="10"/>
        <v>OK</v>
      </c>
      <c r="B134" s="1667" t="s">
        <v>96</v>
      </c>
      <c r="C134" s="1668"/>
      <c r="D134" s="1669"/>
      <c r="E134" s="1670" t="s">
        <v>97</v>
      </c>
      <c r="F134" s="1671"/>
      <c r="G134" s="1671"/>
      <c r="H134" s="1671"/>
      <c r="I134" s="1671"/>
      <c r="J134" s="1672"/>
      <c r="K134" s="1670" t="s">
        <v>98</v>
      </c>
      <c r="L134" s="1672"/>
      <c r="M134" s="116" t="s">
        <v>99</v>
      </c>
      <c r="N134" s="1667" t="s">
        <v>100</v>
      </c>
      <c r="O134" s="1668"/>
      <c r="P134" s="1668"/>
      <c r="Q134" s="1668"/>
      <c r="R134" s="1669"/>
      <c r="S134" s="334"/>
    </row>
    <row r="135" spans="1:19" s="340" customFormat="1" ht="15.75" hidden="1" customHeight="1" x14ac:dyDescent="0.25">
      <c r="A135" s="912" t="str">
        <f t="shared" si="10"/>
        <v>OK</v>
      </c>
      <c r="B135" s="117" t="s">
        <v>281</v>
      </c>
      <c r="C135" s="117" t="s">
        <v>330</v>
      </c>
      <c r="D135" s="117" t="s">
        <v>282</v>
      </c>
      <c r="E135" s="1661"/>
      <c r="F135" s="1662"/>
      <c r="G135" s="1662"/>
      <c r="H135" s="1662"/>
      <c r="I135" s="1662"/>
      <c r="J135" s="1663"/>
      <c r="K135" s="1661"/>
      <c r="L135" s="1663"/>
      <c r="M135" s="118"/>
      <c r="N135" s="1664" t="s">
        <v>101</v>
      </c>
      <c r="O135" s="1664"/>
      <c r="P135" s="1664"/>
      <c r="Q135" s="1665" t="s">
        <v>102</v>
      </c>
      <c r="R135" s="1666"/>
      <c r="S135" s="337"/>
    </row>
    <row r="136" spans="1:19" s="340" customFormat="1" ht="15.75" hidden="1" customHeight="1" x14ac:dyDescent="0.25">
      <c r="A136" s="912" t="str">
        <f t="shared" si="10"/>
        <v>OK</v>
      </c>
      <c r="B136" s="213"/>
      <c r="C136" s="213"/>
      <c r="D136" s="214"/>
      <c r="E136" s="1651" t="s">
        <v>183</v>
      </c>
      <c r="F136" s="1652"/>
      <c r="G136" s="1652"/>
      <c r="H136" s="1652"/>
      <c r="I136" s="1652"/>
      <c r="J136" s="1653"/>
      <c r="K136" s="1654"/>
      <c r="L136" s="1655"/>
      <c r="M136" s="213"/>
      <c r="N136" s="1656"/>
      <c r="O136" s="1657"/>
      <c r="P136" s="1658"/>
      <c r="Q136" s="1659">
        <f>Q117</f>
        <v>0</v>
      </c>
      <c r="R136" s="1660"/>
      <c r="S136" s="338"/>
    </row>
    <row r="137" spans="1:19" s="340" customFormat="1" ht="15.75" hidden="1" customHeight="1" x14ac:dyDescent="0.25">
      <c r="A137" s="912" t="str">
        <f t="shared" si="10"/>
        <v>OK</v>
      </c>
      <c r="B137" s="360"/>
      <c r="C137" s="360"/>
      <c r="D137" s="361"/>
      <c r="E137" s="1608"/>
      <c r="F137" s="1609"/>
      <c r="G137" s="1609"/>
      <c r="H137" s="1609"/>
      <c r="I137" s="1609"/>
      <c r="J137" s="1610"/>
      <c r="K137" s="1611"/>
      <c r="L137" s="1612"/>
      <c r="M137" s="360"/>
      <c r="N137" s="1613"/>
      <c r="O137" s="1614"/>
      <c r="P137" s="1615"/>
      <c r="Q137" s="1616" t="str">
        <f>IF(M137="","",M137*N137)</f>
        <v/>
      </c>
      <c r="R137" s="1617"/>
      <c r="S137" s="338">
        <f t="shared" ref="S137:S156" si="11">IF(N137="",0,1)</f>
        <v>0</v>
      </c>
    </row>
    <row r="138" spans="1:19" s="340" customFormat="1" ht="15.75" hidden="1" customHeight="1" x14ac:dyDescent="0.25">
      <c r="A138" s="912" t="str">
        <f t="shared" si="10"/>
        <v>OK</v>
      </c>
      <c r="B138" s="360"/>
      <c r="C138" s="360"/>
      <c r="D138" s="361"/>
      <c r="E138" s="1608"/>
      <c r="F138" s="1609"/>
      <c r="G138" s="1609"/>
      <c r="H138" s="1609"/>
      <c r="I138" s="1609"/>
      <c r="J138" s="1610"/>
      <c r="K138" s="1611"/>
      <c r="L138" s="1612"/>
      <c r="M138" s="360"/>
      <c r="N138" s="1613"/>
      <c r="O138" s="1614"/>
      <c r="P138" s="1615"/>
      <c r="Q138" s="1616" t="str">
        <f>IF(M138="","",M138*N138)</f>
        <v/>
      </c>
      <c r="R138" s="1617"/>
      <c r="S138" s="338">
        <f t="shared" si="11"/>
        <v>0</v>
      </c>
    </row>
    <row r="139" spans="1:19" s="340" customFormat="1" ht="15.75" hidden="1" customHeight="1" x14ac:dyDescent="0.25">
      <c r="A139" s="912" t="str">
        <f t="shared" si="10"/>
        <v>OK</v>
      </c>
      <c r="B139" s="360"/>
      <c r="C139" s="360"/>
      <c r="D139" s="361"/>
      <c r="E139" s="1608"/>
      <c r="F139" s="1609"/>
      <c r="G139" s="1609"/>
      <c r="H139" s="1609"/>
      <c r="I139" s="1609"/>
      <c r="J139" s="1610"/>
      <c r="K139" s="1611"/>
      <c r="L139" s="1612"/>
      <c r="M139" s="360"/>
      <c r="N139" s="1613"/>
      <c r="O139" s="1614"/>
      <c r="P139" s="1615"/>
      <c r="Q139" s="1616" t="str">
        <f t="shared" ref="Q139:Q154" si="12">IF(M139="","",M139*N139)</f>
        <v/>
      </c>
      <c r="R139" s="1617"/>
      <c r="S139" s="338">
        <f t="shared" si="11"/>
        <v>0</v>
      </c>
    </row>
    <row r="140" spans="1:19" s="340" customFormat="1" ht="15.75" hidden="1" customHeight="1" x14ac:dyDescent="0.25">
      <c r="A140" s="912" t="str">
        <f t="shared" si="10"/>
        <v>OK</v>
      </c>
      <c r="B140" s="360"/>
      <c r="C140" s="360"/>
      <c r="D140" s="361"/>
      <c r="E140" s="1608"/>
      <c r="F140" s="1609"/>
      <c r="G140" s="1609"/>
      <c r="H140" s="1609"/>
      <c r="I140" s="1609"/>
      <c r="J140" s="1610"/>
      <c r="K140" s="1611"/>
      <c r="L140" s="1612"/>
      <c r="M140" s="360"/>
      <c r="N140" s="1613"/>
      <c r="O140" s="1614"/>
      <c r="P140" s="1615"/>
      <c r="Q140" s="1616" t="str">
        <f t="shared" si="12"/>
        <v/>
      </c>
      <c r="R140" s="1617"/>
      <c r="S140" s="338">
        <f t="shared" si="11"/>
        <v>0</v>
      </c>
    </row>
    <row r="141" spans="1:19" s="340" customFormat="1" ht="15.75" hidden="1" customHeight="1" x14ac:dyDescent="0.25">
      <c r="A141" s="912" t="str">
        <f t="shared" si="10"/>
        <v>OK</v>
      </c>
      <c r="B141" s="360"/>
      <c r="C141" s="360"/>
      <c r="D141" s="361"/>
      <c r="E141" s="1608"/>
      <c r="F141" s="1609"/>
      <c r="G141" s="1609"/>
      <c r="H141" s="1609"/>
      <c r="I141" s="1609"/>
      <c r="J141" s="1610"/>
      <c r="K141" s="1611"/>
      <c r="L141" s="1612"/>
      <c r="M141" s="360"/>
      <c r="N141" s="1613"/>
      <c r="O141" s="1614"/>
      <c r="P141" s="1615"/>
      <c r="Q141" s="1616" t="str">
        <f t="shared" si="12"/>
        <v/>
      </c>
      <c r="R141" s="1617"/>
      <c r="S141" s="338">
        <f t="shared" si="11"/>
        <v>0</v>
      </c>
    </row>
    <row r="142" spans="1:19" s="340" customFormat="1" ht="15.75" hidden="1" customHeight="1" x14ac:dyDescent="0.25">
      <c r="A142" s="912" t="str">
        <f t="shared" si="10"/>
        <v>OK</v>
      </c>
      <c r="B142" s="360"/>
      <c r="C142" s="360"/>
      <c r="D142" s="361"/>
      <c r="E142" s="1608"/>
      <c r="F142" s="1609"/>
      <c r="G142" s="1609"/>
      <c r="H142" s="1609"/>
      <c r="I142" s="1609"/>
      <c r="J142" s="1610"/>
      <c r="K142" s="1611"/>
      <c r="L142" s="1612"/>
      <c r="M142" s="360"/>
      <c r="N142" s="1613"/>
      <c r="O142" s="1614"/>
      <c r="P142" s="1615"/>
      <c r="Q142" s="1616" t="str">
        <f t="shared" si="12"/>
        <v/>
      </c>
      <c r="R142" s="1617"/>
      <c r="S142" s="338">
        <f t="shared" si="11"/>
        <v>0</v>
      </c>
    </row>
    <row r="143" spans="1:19" s="340" customFormat="1" ht="15.75" hidden="1" customHeight="1" x14ac:dyDescent="0.25">
      <c r="A143" s="912" t="str">
        <f t="shared" si="10"/>
        <v>OK</v>
      </c>
      <c r="B143" s="360"/>
      <c r="C143" s="360"/>
      <c r="D143" s="361"/>
      <c r="E143" s="1608"/>
      <c r="F143" s="1609"/>
      <c r="G143" s="1609"/>
      <c r="H143" s="1609"/>
      <c r="I143" s="1609"/>
      <c r="J143" s="1610"/>
      <c r="K143" s="1611"/>
      <c r="L143" s="1612"/>
      <c r="M143" s="360"/>
      <c r="N143" s="1613"/>
      <c r="O143" s="1614"/>
      <c r="P143" s="1615"/>
      <c r="Q143" s="1616" t="str">
        <f t="shared" si="12"/>
        <v/>
      </c>
      <c r="R143" s="1617"/>
      <c r="S143" s="338">
        <f t="shared" si="11"/>
        <v>0</v>
      </c>
    </row>
    <row r="144" spans="1:19" s="340" customFormat="1" ht="15.75" hidden="1" customHeight="1" x14ac:dyDescent="0.25">
      <c r="A144" s="912" t="str">
        <f t="shared" si="10"/>
        <v>OK</v>
      </c>
      <c r="B144" s="360"/>
      <c r="C144" s="360"/>
      <c r="D144" s="361"/>
      <c r="E144" s="1608"/>
      <c r="F144" s="1609"/>
      <c r="G144" s="1609"/>
      <c r="H144" s="1609"/>
      <c r="I144" s="1609"/>
      <c r="J144" s="1610"/>
      <c r="K144" s="1611"/>
      <c r="L144" s="1612"/>
      <c r="M144" s="360"/>
      <c r="N144" s="1613"/>
      <c r="O144" s="1614"/>
      <c r="P144" s="1615"/>
      <c r="Q144" s="1616" t="str">
        <f t="shared" si="12"/>
        <v/>
      </c>
      <c r="R144" s="1617"/>
      <c r="S144" s="338">
        <f t="shared" si="11"/>
        <v>0</v>
      </c>
    </row>
    <row r="145" spans="1:19" s="340" customFormat="1" ht="15.75" hidden="1" customHeight="1" x14ac:dyDescent="0.25">
      <c r="A145" s="912" t="str">
        <f t="shared" si="10"/>
        <v>OK</v>
      </c>
      <c r="B145" s="360"/>
      <c r="C145" s="360"/>
      <c r="D145" s="361"/>
      <c r="E145" s="1608"/>
      <c r="F145" s="1609"/>
      <c r="G145" s="1609"/>
      <c r="H145" s="1609"/>
      <c r="I145" s="1609"/>
      <c r="J145" s="1610"/>
      <c r="K145" s="1611"/>
      <c r="L145" s="1612"/>
      <c r="M145" s="360"/>
      <c r="N145" s="1613"/>
      <c r="O145" s="1614"/>
      <c r="P145" s="1615"/>
      <c r="Q145" s="1616" t="str">
        <f t="shared" si="12"/>
        <v/>
      </c>
      <c r="R145" s="1617"/>
      <c r="S145" s="338">
        <f t="shared" si="11"/>
        <v>0</v>
      </c>
    </row>
    <row r="146" spans="1:19" s="340" customFormat="1" ht="15.75" hidden="1" customHeight="1" x14ac:dyDescent="0.25">
      <c r="A146" s="912" t="str">
        <f t="shared" si="10"/>
        <v>OK</v>
      </c>
      <c r="B146" s="360"/>
      <c r="C146" s="360"/>
      <c r="D146" s="361"/>
      <c r="E146" s="1608"/>
      <c r="F146" s="1609"/>
      <c r="G146" s="1609"/>
      <c r="H146" s="1609"/>
      <c r="I146" s="1609"/>
      <c r="J146" s="1610"/>
      <c r="K146" s="1611"/>
      <c r="L146" s="1612"/>
      <c r="M146" s="360"/>
      <c r="N146" s="1613"/>
      <c r="O146" s="1614"/>
      <c r="P146" s="1615"/>
      <c r="Q146" s="1616" t="str">
        <f t="shared" si="12"/>
        <v/>
      </c>
      <c r="R146" s="1617"/>
      <c r="S146" s="338">
        <f t="shared" si="11"/>
        <v>0</v>
      </c>
    </row>
    <row r="147" spans="1:19" s="340" customFormat="1" ht="15.75" hidden="1" customHeight="1" x14ac:dyDescent="0.25">
      <c r="A147" s="912" t="str">
        <f t="shared" si="10"/>
        <v>OK</v>
      </c>
      <c r="B147" s="360"/>
      <c r="C147" s="360"/>
      <c r="D147" s="361"/>
      <c r="E147" s="1608"/>
      <c r="F147" s="1609"/>
      <c r="G147" s="1609"/>
      <c r="H147" s="1609"/>
      <c r="I147" s="1609"/>
      <c r="J147" s="1610"/>
      <c r="K147" s="1611"/>
      <c r="L147" s="1612"/>
      <c r="M147" s="360"/>
      <c r="N147" s="1613"/>
      <c r="O147" s="1614"/>
      <c r="P147" s="1615"/>
      <c r="Q147" s="1616" t="str">
        <f t="shared" si="12"/>
        <v/>
      </c>
      <c r="R147" s="1617"/>
      <c r="S147" s="338">
        <f t="shared" si="11"/>
        <v>0</v>
      </c>
    </row>
    <row r="148" spans="1:19" s="340" customFormat="1" ht="15.75" hidden="1" customHeight="1" x14ac:dyDescent="0.25">
      <c r="A148" s="912" t="str">
        <f t="shared" si="10"/>
        <v>OK</v>
      </c>
      <c r="B148" s="360"/>
      <c r="C148" s="360"/>
      <c r="D148" s="361"/>
      <c r="E148" s="1608"/>
      <c r="F148" s="1609"/>
      <c r="G148" s="1609"/>
      <c r="H148" s="1609"/>
      <c r="I148" s="1609"/>
      <c r="J148" s="1610"/>
      <c r="K148" s="1611"/>
      <c r="L148" s="1612"/>
      <c r="M148" s="360"/>
      <c r="N148" s="1613"/>
      <c r="O148" s="1614"/>
      <c r="P148" s="1615"/>
      <c r="Q148" s="1616" t="str">
        <f t="shared" si="12"/>
        <v/>
      </c>
      <c r="R148" s="1617"/>
      <c r="S148" s="338">
        <f t="shared" si="11"/>
        <v>0</v>
      </c>
    </row>
    <row r="149" spans="1:19" s="340" customFormat="1" ht="15.75" hidden="1" customHeight="1" x14ac:dyDescent="0.25">
      <c r="A149" s="912" t="str">
        <f t="shared" si="10"/>
        <v>OK</v>
      </c>
      <c r="B149" s="360"/>
      <c r="C149" s="360"/>
      <c r="D149" s="361"/>
      <c r="E149" s="1608"/>
      <c r="F149" s="1609"/>
      <c r="G149" s="1609"/>
      <c r="H149" s="1609"/>
      <c r="I149" s="1609"/>
      <c r="J149" s="1610"/>
      <c r="K149" s="1611"/>
      <c r="L149" s="1612"/>
      <c r="M149" s="360"/>
      <c r="N149" s="1613"/>
      <c r="O149" s="1614"/>
      <c r="P149" s="1615"/>
      <c r="Q149" s="1616" t="str">
        <f t="shared" si="12"/>
        <v/>
      </c>
      <c r="R149" s="1617"/>
      <c r="S149" s="338">
        <f t="shared" si="11"/>
        <v>0</v>
      </c>
    </row>
    <row r="150" spans="1:19" s="340" customFormat="1" ht="15.75" hidden="1" customHeight="1" x14ac:dyDescent="0.25">
      <c r="A150" s="912" t="str">
        <f t="shared" si="10"/>
        <v>OK</v>
      </c>
      <c r="B150" s="360"/>
      <c r="C150" s="360"/>
      <c r="D150" s="361"/>
      <c r="E150" s="1608"/>
      <c r="F150" s="1609"/>
      <c r="G150" s="1609"/>
      <c r="H150" s="1609"/>
      <c r="I150" s="1609"/>
      <c r="J150" s="1610"/>
      <c r="K150" s="1611"/>
      <c r="L150" s="1612"/>
      <c r="M150" s="360"/>
      <c r="N150" s="1613"/>
      <c r="O150" s="1614"/>
      <c r="P150" s="1615"/>
      <c r="Q150" s="1616" t="str">
        <f t="shared" si="12"/>
        <v/>
      </c>
      <c r="R150" s="1617"/>
      <c r="S150" s="338">
        <f t="shared" si="11"/>
        <v>0</v>
      </c>
    </row>
    <row r="151" spans="1:19" s="340" customFormat="1" ht="15.75" hidden="1" customHeight="1" x14ac:dyDescent="0.25">
      <c r="A151" s="912" t="str">
        <f t="shared" si="10"/>
        <v>OK</v>
      </c>
      <c r="B151" s="360"/>
      <c r="C151" s="360"/>
      <c r="D151" s="361"/>
      <c r="E151" s="1608"/>
      <c r="F151" s="1609"/>
      <c r="G151" s="1609"/>
      <c r="H151" s="1609"/>
      <c r="I151" s="1609"/>
      <c r="J151" s="1610"/>
      <c r="K151" s="1611"/>
      <c r="L151" s="1612"/>
      <c r="M151" s="360"/>
      <c r="N151" s="1613"/>
      <c r="O151" s="1614"/>
      <c r="P151" s="1615"/>
      <c r="Q151" s="1616" t="str">
        <f t="shared" si="12"/>
        <v/>
      </c>
      <c r="R151" s="1617"/>
      <c r="S151" s="338">
        <f t="shared" si="11"/>
        <v>0</v>
      </c>
    </row>
    <row r="152" spans="1:19" s="340" customFormat="1" ht="15.75" hidden="1" customHeight="1" x14ac:dyDescent="0.25">
      <c r="A152" s="912" t="str">
        <f t="shared" si="10"/>
        <v>OK</v>
      </c>
      <c r="B152" s="360"/>
      <c r="C152" s="360"/>
      <c r="D152" s="361"/>
      <c r="E152" s="1608"/>
      <c r="F152" s="1609"/>
      <c r="G152" s="1609"/>
      <c r="H152" s="1609"/>
      <c r="I152" s="1609"/>
      <c r="J152" s="1610"/>
      <c r="K152" s="1611"/>
      <c r="L152" s="1612"/>
      <c r="M152" s="360"/>
      <c r="N152" s="1613"/>
      <c r="O152" s="1614"/>
      <c r="P152" s="1615"/>
      <c r="Q152" s="1616" t="str">
        <f t="shared" si="12"/>
        <v/>
      </c>
      <c r="R152" s="1617"/>
      <c r="S152" s="338">
        <f t="shared" si="11"/>
        <v>0</v>
      </c>
    </row>
    <row r="153" spans="1:19" s="340" customFormat="1" ht="15.75" hidden="1" customHeight="1" x14ac:dyDescent="0.25">
      <c r="A153" s="912" t="str">
        <f t="shared" si="10"/>
        <v>OK</v>
      </c>
      <c r="B153" s="360"/>
      <c r="C153" s="360"/>
      <c r="D153" s="361"/>
      <c r="E153" s="1608"/>
      <c r="F153" s="1609"/>
      <c r="G153" s="1609"/>
      <c r="H153" s="1609"/>
      <c r="I153" s="1609"/>
      <c r="J153" s="1610"/>
      <c r="K153" s="1611"/>
      <c r="L153" s="1612"/>
      <c r="M153" s="360"/>
      <c r="N153" s="1613"/>
      <c r="O153" s="1614"/>
      <c r="P153" s="1615"/>
      <c r="Q153" s="1616" t="str">
        <f t="shared" si="12"/>
        <v/>
      </c>
      <c r="R153" s="1617"/>
      <c r="S153" s="338">
        <f t="shared" si="11"/>
        <v>0</v>
      </c>
    </row>
    <row r="154" spans="1:19" s="340" customFormat="1" ht="15.75" hidden="1" customHeight="1" x14ac:dyDescent="0.25">
      <c r="A154" s="912" t="str">
        <f t="shared" si="10"/>
        <v>OK</v>
      </c>
      <c r="B154" s="360"/>
      <c r="C154" s="360"/>
      <c r="D154" s="361"/>
      <c r="E154" s="1608"/>
      <c r="F154" s="1609"/>
      <c r="G154" s="1609"/>
      <c r="H154" s="1609"/>
      <c r="I154" s="1609"/>
      <c r="J154" s="1610"/>
      <c r="K154" s="1611"/>
      <c r="L154" s="1612"/>
      <c r="M154" s="360"/>
      <c r="N154" s="1613"/>
      <c r="O154" s="1614"/>
      <c r="P154" s="1615"/>
      <c r="Q154" s="1616" t="str">
        <f t="shared" si="12"/>
        <v/>
      </c>
      <c r="R154" s="1617"/>
      <c r="S154" s="338">
        <f t="shared" si="11"/>
        <v>0</v>
      </c>
    </row>
    <row r="155" spans="1:19" s="340" customFormat="1" ht="15.75" hidden="1" customHeight="1" x14ac:dyDescent="0.25">
      <c r="A155" s="912" t="str">
        <f t="shared" si="10"/>
        <v>OK</v>
      </c>
      <c r="B155" s="360"/>
      <c r="C155" s="360"/>
      <c r="D155" s="361"/>
      <c r="E155" s="1608"/>
      <c r="F155" s="1609"/>
      <c r="G155" s="1609"/>
      <c r="H155" s="1609"/>
      <c r="I155" s="1609"/>
      <c r="J155" s="1610"/>
      <c r="K155" s="1611"/>
      <c r="L155" s="1612"/>
      <c r="M155" s="360"/>
      <c r="N155" s="1613"/>
      <c r="O155" s="1614"/>
      <c r="P155" s="1615"/>
      <c r="Q155" s="1616" t="str">
        <f>IF(M155="","",M155*N155)</f>
        <v/>
      </c>
      <c r="R155" s="1617"/>
      <c r="S155" s="338">
        <f t="shared" si="11"/>
        <v>0</v>
      </c>
    </row>
    <row r="156" spans="1:19" s="340" customFormat="1" ht="15.75" hidden="1" customHeight="1" x14ac:dyDescent="0.25">
      <c r="A156" s="912" t="str">
        <f t="shared" si="10"/>
        <v>OK</v>
      </c>
      <c r="B156" s="360"/>
      <c r="C156" s="362"/>
      <c r="D156" s="363"/>
      <c r="E156" s="1620"/>
      <c r="F156" s="1621"/>
      <c r="G156" s="1621"/>
      <c r="H156" s="1621"/>
      <c r="I156" s="1621"/>
      <c r="J156" s="1622"/>
      <c r="K156" s="1623"/>
      <c r="L156" s="1624"/>
      <c r="M156" s="360"/>
      <c r="N156" s="1625"/>
      <c r="O156" s="1626"/>
      <c r="P156" s="1627"/>
      <c r="Q156" s="1628" t="str">
        <f>IF(M156="","",M156*N156)</f>
        <v/>
      </c>
      <c r="R156" s="1629"/>
      <c r="S156" s="338">
        <f t="shared" si="11"/>
        <v>0</v>
      </c>
    </row>
    <row r="157" spans="1:19" s="340" customFormat="1" ht="15.75" hidden="1" customHeight="1" x14ac:dyDescent="0.25">
      <c r="A157" s="912" t="str">
        <f t="shared" si="10"/>
        <v>OK</v>
      </c>
      <c r="B157" s="1630" t="s">
        <v>209</v>
      </c>
      <c r="C157" s="1631"/>
      <c r="D157" s="1631"/>
      <c r="E157" s="1631"/>
      <c r="F157" s="1631"/>
      <c r="G157" s="1631"/>
      <c r="H157" s="1631"/>
      <c r="I157" s="1631"/>
      <c r="J157" s="1631"/>
      <c r="K157" s="1631"/>
      <c r="L157" s="1631"/>
      <c r="M157" s="1632"/>
      <c r="N157" s="1633" t="s">
        <v>103</v>
      </c>
      <c r="O157" s="1634"/>
      <c r="P157" s="1635"/>
      <c r="Q157" s="1636">
        <f>SUM(Q136:R156)</f>
        <v>0</v>
      </c>
      <c r="R157" s="1637"/>
      <c r="S157" s="332">
        <f>SUM(S136:S156)</f>
        <v>0</v>
      </c>
    </row>
    <row r="158" spans="1:19" s="340" customFormat="1" ht="15.75" hidden="1" customHeight="1" x14ac:dyDescent="0.25">
      <c r="A158" s="912" t="str">
        <f t="shared" si="10"/>
        <v>OK</v>
      </c>
      <c r="B158" s="1642"/>
      <c r="C158" s="1642"/>
      <c r="D158" s="1642"/>
      <c r="E158" s="1642"/>
      <c r="F158" s="1642"/>
      <c r="G158" s="1642"/>
      <c r="H158" s="1642"/>
      <c r="I158" s="1642"/>
      <c r="J158" s="1642"/>
      <c r="K158" s="1642"/>
      <c r="L158" s="1642"/>
      <c r="M158" s="1642"/>
      <c r="N158" s="1642"/>
      <c r="O158" s="1642"/>
      <c r="P158" s="1642"/>
      <c r="Q158" s="1642"/>
      <c r="R158" s="1642"/>
      <c r="S158" s="334"/>
    </row>
    <row r="159" spans="1:19" s="340" customFormat="1" ht="15.75" hidden="1" customHeight="1" x14ac:dyDescent="0.25">
      <c r="A159" s="912" t="str">
        <f t="shared" si="10"/>
        <v>OK</v>
      </c>
      <c r="B159" s="1643" t="s">
        <v>104</v>
      </c>
      <c r="C159" s="1643"/>
      <c r="D159" s="1643"/>
      <c r="E159" s="1643"/>
      <c r="F159" s="1643"/>
      <c r="G159" s="1643"/>
      <c r="H159" s="1643"/>
      <c r="I159" s="1643"/>
      <c r="J159" s="1643"/>
      <c r="K159" s="1643"/>
      <c r="L159" s="1643"/>
      <c r="M159" s="1643"/>
      <c r="N159" s="1643"/>
      <c r="O159" s="1643"/>
      <c r="P159" s="1643"/>
      <c r="Q159" s="1643"/>
      <c r="R159" s="1643"/>
      <c r="S159" s="334"/>
    </row>
    <row r="160" spans="1:19" s="340" customFormat="1" ht="15.75" hidden="1" customHeight="1" x14ac:dyDescent="0.25">
      <c r="A160" s="912" t="str">
        <f t="shared" si="10"/>
        <v>OK</v>
      </c>
      <c r="B160" s="1644"/>
      <c r="C160" s="1645"/>
      <c r="D160" s="1645"/>
      <c r="E160" s="1645"/>
      <c r="F160" s="1645"/>
      <c r="G160" s="1645"/>
      <c r="H160" s="1645"/>
      <c r="I160" s="1645"/>
      <c r="J160" s="1645"/>
      <c r="K160" s="1645"/>
      <c r="L160" s="1645"/>
      <c r="M160" s="1645"/>
      <c r="N160" s="1645"/>
      <c r="O160" s="1645"/>
      <c r="P160" s="1645"/>
      <c r="Q160" s="1645"/>
      <c r="R160" s="1646"/>
      <c r="S160" s="334"/>
    </row>
    <row r="161" spans="1:19" s="340" customFormat="1" ht="23.25" hidden="1" customHeight="1" x14ac:dyDescent="0.25">
      <c r="A161" s="912" t="str">
        <f t="shared" si="10"/>
        <v>OK</v>
      </c>
      <c r="B161" s="119"/>
      <c r="C161" s="120" t="s">
        <v>85</v>
      </c>
      <c r="D161" s="1647" t="str">
        <f>Dados!$G$128</f>
        <v/>
      </c>
      <c r="E161" s="1647"/>
      <c r="F161" s="121"/>
      <c r="G161" s="121"/>
      <c r="H161" s="121"/>
      <c r="I161" s="121"/>
      <c r="J161" s="1648" t="str">
        <f>Dados!$E$109</f>
        <v/>
      </c>
      <c r="K161" s="1649"/>
      <c r="L161" s="1650"/>
      <c r="M161" s="122"/>
      <c r="N161" s="1618"/>
      <c r="O161" s="1618"/>
      <c r="P161" s="1618"/>
      <c r="Q161" s="1618"/>
      <c r="R161" s="1619"/>
      <c r="S161" s="334"/>
    </row>
    <row r="162" spans="1:19" s="340" customFormat="1" ht="23.25" hidden="1" customHeight="1" x14ac:dyDescent="0.25">
      <c r="A162" s="912" t="str">
        <f t="shared" si="10"/>
        <v>OK</v>
      </c>
      <c r="B162" s="1638" t="s">
        <v>109</v>
      </c>
      <c r="C162" s="1639"/>
      <c r="D162" s="1639"/>
      <c r="E162" s="1639"/>
      <c r="F162" s="123"/>
      <c r="G162" s="123"/>
      <c r="H162" s="123"/>
      <c r="I162" s="123"/>
      <c r="J162" s="1639" t="s">
        <v>287</v>
      </c>
      <c r="K162" s="1639"/>
      <c r="L162" s="1639"/>
      <c r="M162" s="124"/>
      <c r="N162" s="1640" t="s">
        <v>151</v>
      </c>
      <c r="O162" s="1640"/>
      <c r="P162" s="1640"/>
      <c r="Q162" s="1640"/>
      <c r="R162" s="1641"/>
      <c r="S162" s="334"/>
    </row>
    <row r="163" spans="1:19" s="340" customFormat="1" hidden="1" x14ac:dyDescent="0.25">
      <c r="A163" s="912" t="str">
        <f>IF($S$157&lt;=18,"OK","")</f>
        <v>OK</v>
      </c>
      <c r="S163" s="341"/>
    </row>
    <row r="164" spans="1:19" s="340" customFormat="1" ht="8.25" hidden="1" customHeight="1" x14ac:dyDescent="0.25">
      <c r="A164" s="912" t="str">
        <f t="shared" ref="A164:A202" si="13">IF($S$157&lt;=18,"OK","")</f>
        <v>OK</v>
      </c>
      <c r="B164" s="1681"/>
      <c r="C164" s="1681"/>
      <c r="D164" s="1681"/>
      <c r="E164" s="1681"/>
      <c r="F164" s="1681"/>
      <c r="G164" s="1681"/>
      <c r="H164" s="1681"/>
      <c r="I164" s="1681"/>
      <c r="J164" s="1681"/>
      <c r="K164" s="1681"/>
      <c r="L164" s="1681"/>
      <c r="M164" s="1681"/>
      <c r="N164" s="1681"/>
      <c r="O164" s="1681"/>
      <c r="P164" s="1681"/>
      <c r="Q164" s="1681"/>
      <c r="R164" s="1681"/>
      <c r="S164" s="326"/>
    </row>
    <row r="165" spans="1:19" s="340" customFormat="1" ht="27" hidden="1" customHeight="1" x14ac:dyDescent="0.25">
      <c r="A165" s="912" t="str">
        <f t="shared" si="13"/>
        <v>OK</v>
      </c>
      <c r="B165" s="109"/>
      <c r="C165" s="110"/>
      <c r="D165" s="1442" t="s">
        <v>298</v>
      </c>
      <c r="E165" s="1442"/>
      <c r="F165" s="1442"/>
      <c r="G165" s="1442"/>
      <c r="H165" s="1442"/>
      <c r="I165" s="1442"/>
      <c r="J165" s="1442"/>
      <c r="K165" s="1442"/>
      <c r="L165" s="1442"/>
      <c r="M165" s="109"/>
      <c r="N165" s="109"/>
      <c r="O165" s="109"/>
      <c r="P165" s="109"/>
      <c r="Q165" s="109"/>
      <c r="R165" s="111" t="s">
        <v>88</v>
      </c>
      <c r="S165" s="329"/>
    </row>
    <row r="166" spans="1:19" s="340" customFormat="1" ht="16.5" hidden="1" customHeight="1" x14ac:dyDescent="0.25">
      <c r="A166" s="912" t="str">
        <f t="shared" si="13"/>
        <v>OK</v>
      </c>
      <c r="B166" s="109"/>
      <c r="C166" s="110"/>
      <c r="D166" s="1442" t="s">
        <v>300</v>
      </c>
      <c r="E166" s="1442"/>
      <c r="F166" s="1442"/>
      <c r="G166" s="1442"/>
      <c r="H166" s="1442"/>
      <c r="I166" s="1442"/>
      <c r="J166" s="1442"/>
      <c r="K166" s="1442"/>
      <c r="L166" s="1442"/>
      <c r="M166" s="109"/>
      <c r="N166" s="109"/>
      <c r="O166" s="109"/>
      <c r="P166" s="112"/>
      <c r="Q166" s="112"/>
      <c r="R166" s="113" t="s">
        <v>89</v>
      </c>
      <c r="S166" s="329"/>
    </row>
    <row r="167" spans="1:19" s="340" customFormat="1" ht="16.5" hidden="1" customHeight="1" x14ac:dyDescent="0.25">
      <c r="A167" s="912" t="str">
        <f t="shared" si="13"/>
        <v>OK</v>
      </c>
      <c r="B167" s="109"/>
      <c r="C167" s="110"/>
      <c r="D167" s="1395" t="s">
        <v>302</v>
      </c>
      <c r="E167" s="1395"/>
      <c r="F167" s="1395"/>
      <c r="G167" s="1395"/>
      <c r="H167" s="1395"/>
      <c r="I167" s="1395"/>
      <c r="J167" s="1395"/>
      <c r="K167" s="1395"/>
      <c r="L167" s="1395"/>
      <c r="M167" s="109"/>
      <c r="N167" s="109"/>
      <c r="O167" s="109"/>
      <c r="P167" s="112"/>
      <c r="Q167" s="112"/>
      <c r="R167" s="113"/>
      <c r="S167" s="329"/>
    </row>
    <row r="168" spans="1:19" s="340" customFormat="1" ht="15.75" hidden="1" customHeight="1" x14ac:dyDescent="0.25">
      <c r="A168" s="912" t="str">
        <f t="shared" si="13"/>
        <v>OK</v>
      </c>
      <c r="B168" s="1677"/>
      <c r="C168" s="1677"/>
      <c r="D168" s="1677"/>
      <c r="E168" s="1677"/>
      <c r="F168" s="1677"/>
      <c r="G168" s="1677"/>
      <c r="H168" s="1677"/>
      <c r="I168" s="1677"/>
      <c r="J168" s="1677"/>
      <c r="K168" s="1677"/>
      <c r="L168" s="1677"/>
      <c r="M168" s="1677"/>
      <c r="N168" s="1677"/>
      <c r="O168" s="1677"/>
      <c r="P168" s="1677"/>
      <c r="Q168" s="1677"/>
      <c r="R168" s="1677"/>
      <c r="S168" s="329"/>
    </row>
    <row r="169" spans="1:19" s="340" customFormat="1" ht="15.75" hidden="1" customHeight="1" x14ac:dyDescent="0.25">
      <c r="A169" s="912" t="str">
        <f t="shared" si="13"/>
        <v>OK</v>
      </c>
      <c r="B169" s="1643" t="s">
        <v>90</v>
      </c>
      <c r="C169" s="1643"/>
      <c r="D169" s="1643"/>
      <c r="E169" s="1643"/>
      <c r="F169" s="1643"/>
      <c r="G169" s="1643"/>
      <c r="H169" s="1643"/>
      <c r="I169" s="1643"/>
      <c r="J169" s="1643"/>
      <c r="K169" s="1643"/>
      <c r="L169" s="1643"/>
      <c r="M169" s="1643"/>
      <c r="N169" s="1643"/>
      <c r="O169" s="1678"/>
      <c r="P169" s="1678"/>
      <c r="Q169" s="1678"/>
      <c r="R169" s="1643"/>
      <c r="S169" s="334"/>
    </row>
    <row r="170" spans="1:19" s="340" customFormat="1" ht="9.75" hidden="1" customHeight="1" x14ac:dyDescent="0.25">
      <c r="A170" s="912" t="str">
        <f t="shared" si="13"/>
        <v>OK</v>
      </c>
      <c r="B170" s="142" t="s">
        <v>169</v>
      </c>
      <c r="C170" s="1679" t="s">
        <v>337</v>
      </c>
      <c r="D170" s="1679"/>
      <c r="E170" s="1679"/>
      <c r="F170" s="1679"/>
      <c r="G170" s="1679"/>
      <c r="H170" s="1679"/>
      <c r="I170" s="1679"/>
      <c r="J170" s="1680"/>
      <c r="K170" s="115" t="s">
        <v>91</v>
      </c>
      <c r="L170" s="129" t="s">
        <v>92</v>
      </c>
      <c r="M170" s="1670" t="s">
        <v>250</v>
      </c>
      <c r="N170" s="1672"/>
      <c r="O170" s="1670" t="s">
        <v>93</v>
      </c>
      <c r="P170" s="1671"/>
      <c r="Q170" s="1672"/>
      <c r="R170" s="114" t="s">
        <v>94</v>
      </c>
      <c r="S170" s="334"/>
    </row>
    <row r="171" spans="1:19" s="340" customFormat="1" ht="15" hidden="1" customHeight="1" x14ac:dyDescent="0.25">
      <c r="A171" s="912" t="str">
        <f t="shared" si="13"/>
        <v>OK</v>
      </c>
      <c r="B171" s="1673" t="str">
        <f>Dados!$E$67</f>
        <v/>
      </c>
      <c r="C171" s="1674"/>
      <c r="D171" s="1674"/>
      <c r="E171" s="1674"/>
      <c r="F171" s="1674"/>
      <c r="G171" s="1674"/>
      <c r="H171" s="1674"/>
      <c r="I171" s="1674"/>
      <c r="J171" s="1675"/>
      <c r="K171" s="212" t="str">
        <f>Dados!$E$71</f>
        <v/>
      </c>
      <c r="L171" s="182" t="str">
        <f>Dados!$H$71</f>
        <v/>
      </c>
      <c r="M171" s="1673" t="str">
        <f>Dados!$E$7</f>
        <v/>
      </c>
      <c r="N171" s="1675"/>
      <c r="O171" s="144" t="str">
        <f>Dados!$G$9</f>
        <v/>
      </c>
      <c r="P171" s="145" t="s">
        <v>292</v>
      </c>
      <c r="Q171" s="146" t="str">
        <f>Dados!$I$9</f>
        <v/>
      </c>
      <c r="R171" s="143" t="str">
        <f>Dados!$E$9</f>
        <v/>
      </c>
      <c r="S171" s="335"/>
    </row>
    <row r="172" spans="1:19" s="340" customFormat="1" ht="8.25" hidden="1" customHeight="1" x14ac:dyDescent="0.25">
      <c r="A172" s="912" t="str">
        <f t="shared" si="13"/>
        <v>OK</v>
      </c>
      <c r="B172" s="1676"/>
      <c r="C172" s="1676"/>
      <c r="D172" s="1676"/>
      <c r="E172" s="1676"/>
      <c r="F172" s="1676"/>
      <c r="G172" s="1676"/>
      <c r="H172" s="1676"/>
      <c r="I172" s="1676"/>
      <c r="J172" s="1676"/>
      <c r="K172" s="1676"/>
      <c r="L172" s="1676"/>
      <c r="M172" s="1676"/>
      <c r="N172" s="1676"/>
      <c r="O172" s="1676"/>
      <c r="P172" s="1676"/>
      <c r="Q172" s="1676"/>
      <c r="R172" s="1676"/>
      <c r="S172" s="334"/>
    </row>
    <row r="173" spans="1:19" s="340" customFormat="1" ht="15.75" hidden="1" customHeight="1" x14ac:dyDescent="0.25">
      <c r="A173" s="912" t="str">
        <f t="shared" si="13"/>
        <v>OK</v>
      </c>
      <c r="B173" s="1643" t="s">
        <v>95</v>
      </c>
      <c r="C173" s="1643"/>
      <c r="D173" s="1643"/>
      <c r="E173" s="1643"/>
      <c r="F173" s="1643"/>
      <c r="G173" s="1643"/>
      <c r="H173" s="1643"/>
      <c r="I173" s="1643"/>
      <c r="J173" s="1643"/>
      <c r="K173" s="1643"/>
      <c r="L173" s="1643"/>
      <c r="M173" s="1643"/>
      <c r="N173" s="1643"/>
      <c r="O173" s="1643"/>
      <c r="P173" s="1643"/>
      <c r="Q173" s="1643"/>
      <c r="R173" s="1643"/>
      <c r="S173" s="334"/>
    </row>
    <row r="174" spans="1:19" s="340" customFormat="1" ht="12" hidden="1" customHeight="1" x14ac:dyDescent="0.25">
      <c r="A174" s="912" t="str">
        <f t="shared" si="13"/>
        <v>OK</v>
      </c>
      <c r="B174" s="1667" t="s">
        <v>96</v>
      </c>
      <c r="C174" s="1668"/>
      <c r="D174" s="1669"/>
      <c r="E174" s="1670" t="s">
        <v>97</v>
      </c>
      <c r="F174" s="1671"/>
      <c r="G174" s="1671"/>
      <c r="H174" s="1671"/>
      <c r="I174" s="1671"/>
      <c r="J174" s="1672"/>
      <c r="K174" s="1670" t="s">
        <v>98</v>
      </c>
      <c r="L174" s="1672"/>
      <c r="M174" s="116" t="s">
        <v>99</v>
      </c>
      <c r="N174" s="1667" t="s">
        <v>100</v>
      </c>
      <c r="O174" s="1668"/>
      <c r="P174" s="1668"/>
      <c r="Q174" s="1668"/>
      <c r="R174" s="1669"/>
      <c r="S174" s="334"/>
    </row>
    <row r="175" spans="1:19" s="340" customFormat="1" ht="15.75" hidden="1" customHeight="1" x14ac:dyDescent="0.25">
      <c r="A175" s="912" t="str">
        <f t="shared" si="13"/>
        <v>OK</v>
      </c>
      <c r="B175" s="117" t="s">
        <v>281</v>
      </c>
      <c r="C175" s="117" t="s">
        <v>330</v>
      </c>
      <c r="D175" s="117" t="s">
        <v>282</v>
      </c>
      <c r="E175" s="1661"/>
      <c r="F175" s="1662"/>
      <c r="G175" s="1662"/>
      <c r="H175" s="1662"/>
      <c r="I175" s="1662"/>
      <c r="J175" s="1663"/>
      <c r="K175" s="1661"/>
      <c r="L175" s="1663"/>
      <c r="M175" s="118"/>
      <c r="N175" s="1664" t="s">
        <v>101</v>
      </c>
      <c r="O175" s="1664"/>
      <c r="P175" s="1664"/>
      <c r="Q175" s="1665" t="s">
        <v>102</v>
      </c>
      <c r="R175" s="1666"/>
      <c r="S175" s="337"/>
    </row>
    <row r="176" spans="1:19" s="340" customFormat="1" ht="15.75" hidden="1" customHeight="1" x14ac:dyDescent="0.25">
      <c r="A176" s="912" t="str">
        <f t="shared" si="13"/>
        <v>OK</v>
      </c>
      <c r="B176" s="213"/>
      <c r="C176" s="213"/>
      <c r="D176" s="214"/>
      <c r="E176" s="1651" t="s">
        <v>183</v>
      </c>
      <c r="F176" s="1652"/>
      <c r="G176" s="1652"/>
      <c r="H176" s="1652"/>
      <c r="I176" s="1652"/>
      <c r="J176" s="1653"/>
      <c r="K176" s="1654"/>
      <c r="L176" s="1655"/>
      <c r="M176" s="213"/>
      <c r="N176" s="1656"/>
      <c r="O176" s="1657"/>
      <c r="P176" s="1658"/>
      <c r="Q176" s="1659">
        <f>Q157</f>
        <v>0</v>
      </c>
      <c r="R176" s="1660"/>
      <c r="S176" s="338"/>
    </row>
    <row r="177" spans="1:19" s="340" customFormat="1" ht="15.75" hidden="1" customHeight="1" x14ac:dyDescent="0.25">
      <c r="A177" s="912" t="str">
        <f t="shared" si="13"/>
        <v>OK</v>
      </c>
      <c r="B177" s="360"/>
      <c r="C177" s="360"/>
      <c r="D177" s="361"/>
      <c r="E177" s="1608"/>
      <c r="F177" s="1609"/>
      <c r="G177" s="1609"/>
      <c r="H177" s="1609"/>
      <c r="I177" s="1609"/>
      <c r="J177" s="1610"/>
      <c r="K177" s="1611"/>
      <c r="L177" s="1612"/>
      <c r="M177" s="360"/>
      <c r="N177" s="1613"/>
      <c r="O177" s="1614"/>
      <c r="P177" s="1615"/>
      <c r="Q177" s="1616" t="str">
        <f>IF(M177="","",M177*N177)</f>
        <v/>
      </c>
      <c r="R177" s="1617"/>
      <c r="S177" s="338">
        <f t="shared" ref="S177:S196" si="14">IF(N177="",0,1)</f>
        <v>0</v>
      </c>
    </row>
    <row r="178" spans="1:19" s="340" customFormat="1" ht="15.75" hidden="1" customHeight="1" x14ac:dyDescent="0.25">
      <c r="A178" s="912" t="str">
        <f t="shared" si="13"/>
        <v>OK</v>
      </c>
      <c r="B178" s="360"/>
      <c r="C178" s="360"/>
      <c r="D178" s="361"/>
      <c r="E178" s="1608"/>
      <c r="F178" s="1609"/>
      <c r="G178" s="1609"/>
      <c r="H178" s="1609"/>
      <c r="I178" s="1609"/>
      <c r="J178" s="1610"/>
      <c r="K178" s="1611"/>
      <c r="L178" s="1612"/>
      <c r="M178" s="360"/>
      <c r="N178" s="1613"/>
      <c r="O178" s="1614"/>
      <c r="P178" s="1615"/>
      <c r="Q178" s="1616" t="str">
        <f>IF(M178="","",M178*N178)</f>
        <v/>
      </c>
      <c r="R178" s="1617"/>
      <c r="S178" s="338">
        <f t="shared" si="14"/>
        <v>0</v>
      </c>
    </row>
    <row r="179" spans="1:19" s="340" customFormat="1" ht="15.75" hidden="1" customHeight="1" x14ac:dyDescent="0.25">
      <c r="A179" s="912" t="str">
        <f t="shared" si="13"/>
        <v>OK</v>
      </c>
      <c r="B179" s="360"/>
      <c r="C179" s="360"/>
      <c r="D179" s="361"/>
      <c r="E179" s="1608"/>
      <c r="F179" s="1609"/>
      <c r="G179" s="1609"/>
      <c r="H179" s="1609"/>
      <c r="I179" s="1609"/>
      <c r="J179" s="1610"/>
      <c r="K179" s="1611"/>
      <c r="L179" s="1612"/>
      <c r="M179" s="360"/>
      <c r="N179" s="1613"/>
      <c r="O179" s="1614"/>
      <c r="P179" s="1615"/>
      <c r="Q179" s="1616" t="str">
        <f t="shared" ref="Q179:Q194" si="15">IF(M179="","",M179*N179)</f>
        <v/>
      </c>
      <c r="R179" s="1617"/>
      <c r="S179" s="338">
        <f t="shared" si="14"/>
        <v>0</v>
      </c>
    </row>
    <row r="180" spans="1:19" s="340" customFormat="1" ht="15.75" hidden="1" customHeight="1" x14ac:dyDescent="0.25">
      <c r="A180" s="912" t="str">
        <f t="shared" si="13"/>
        <v>OK</v>
      </c>
      <c r="B180" s="360"/>
      <c r="C180" s="360"/>
      <c r="D180" s="361"/>
      <c r="E180" s="1608"/>
      <c r="F180" s="1609"/>
      <c r="G180" s="1609"/>
      <c r="H180" s="1609"/>
      <c r="I180" s="1609"/>
      <c r="J180" s="1610"/>
      <c r="K180" s="1611"/>
      <c r="L180" s="1612"/>
      <c r="M180" s="360"/>
      <c r="N180" s="1613"/>
      <c r="O180" s="1614"/>
      <c r="P180" s="1615"/>
      <c r="Q180" s="1616" t="str">
        <f t="shared" si="15"/>
        <v/>
      </c>
      <c r="R180" s="1617"/>
      <c r="S180" s="338">
        <f t="shared" si="14"/>
        <v>0</v>
      </c>
    </row>
    <row r="181" spans="1:19" s="340" customFormat="1" ht="15.75" hidden="1" customHeight="1" x14ac:dyDescent="0.25">
      <c r="A181" s="912" t="str">
        <f t="shared" si="13"/>
        <v>OK</v>
      </c>
      <c r="B181" s="360"/>
      <c r="C181" s="360"/>
      <c r="D181" s="361"/>
      <c r="E181" s="1608"/>
      <c r="F181" s="1609"/>
      <c r="G181" s="1609"/>
      <c r="H181" s="1609"/>
      <c r="I181" s="1609"/>
      <c r="J181" s="1610"/>
      <c r="K181" s="1611"/>
      <c r="L181" s="1612"/>
      <c r="M181" s="360"/>
      <c r="N181" s="1613"/>
      <c r="O181" s="1614"/>
      <c r="P181" s="1615"/>
      <c r="Q181" s="1616" t="str">
        <f t="shared" si="15"/>
        <v/>
      </c>
      <c r="R181" s="1617"/>
      <c r="S181" s="338">
        <f t="shared" si="14"/>
        <v>0</v>
      </c>
    </row>
    <row r="182" spans="1:19" s="340" customFormat="1" ht="15.75" hidden="1" customHeight="1" x14ac:dyDescent="0.25">
      <c r="A182" s="912" t="str">
        <f t="shared" si="13"/>
        <v>OK</v>
      </c>
      <c r="B182" s="360"/>
      <c r="C182" s="360"/>
      <c r="D182" s="361"/>
      <c r="E182" s="1608"/>
      <c r="F182" s="1609"/>
      <c r="G182" s="1609"/>
      <c r="H182" s="1609"/>
      <c r="I182" s="1609"/>
      <c r="J182" s="1610"/>
      <c r="K182" s="1611"/>
      <c r="L182" s="1612"/>
      <c r="M182" s="360"/>
      <c r="N182" s="1613"/>
      <c r="O182" s="1614"/>
      <c r="P182" s="1615"/>
      <c r="Q182" s="1616" t="str">
        <f t="shared" si="15"/>
        <v/>
      </c>
      <c r="R182" s="1617"/>
      <c r="S182" s="338">
        <f t="shared" si="14"/>
        <v>0</v>
      </c>
    </row>
    <row r="183" spans="1:19" s="340" customFormat="1" ht="15.75" hidden="1" customHeight="1" x14ac:dyDescent="0.25">
      <c r="A183" s="912" t="str">
        <f t="shared" si="13"/>
        <v>OK</v>
      </c>
      <c r="B183" s="360"/>
      <c r="C183" s="360"/>
      <c r="D183" s="361"/>
      <c r="E183" s="1608"/>
      <c r="F183" s="1609"/>
      <c r="G183" s="1609"/>
      <c r="H183" s="1609"/>
      <c r="I183" s="1609"/>
      <c r="J183" s="1610"/>
      <c r="K183" s="1611"/>
      <c r="L183" s="1612"/>
      <c r="M183" s="360"/>
      <c r="N183" s="1613"/>
      <c r="O183" s="1614"/>
      <c r="P183" s="1615"/>
      <c r="Q183" s="1616" t="str">
        <f t="shared" si="15"/>
        <v/>
      </c>
      <c r="R183" s="1617"/>
      <c r="S183" s="338">
        <f t="shared" si="14"/>
        <v>0</v>
      </c>
    </row>
    <row r="184" spans="1:19" s="340" customFormat="1" ht="15.75" hidden="1" customHeight="1" x14ac:dyDescent="0.25">
      <c r="A184" s="912" t="str">
        <f t="shared" si="13"/>
        <v>OK</v>
      </c>
      <c r="B184" s="360"/>
      <c r="C184" s="360"/>
      <c r="D184" s="361"/>
      <c r="E184" s="1608"/>
      <c r="F184" s="1609"/>
      <c r="G184" s="1609"/>
      <c r="H184" s="1609"/>
      <c r="I184" s="1609"/>
      <c r="J184" s="1610"/>
      <c r="K184" s="1611"/>
      <c r="L184" s="1612"/>
      <c r="M184" s="360"/>
      <c r="N184" s="1613"/>
      <c r="O184" s="1614"/>
      <c r="P184" s="1615"/>
      <c r="Q184" s="1616" t="str">
        <f t="shared" si="15"/>
        <v/>
      </c>
      <c r="R184" s="1617"/>
      <c r="S184" s="338">
        <f t="shared" si="14"/>
        <v>0</v>
      </c>
    </row>
    <row r="185" spans="1:19" s="340" customFormat="1" ht="15.75" hidden="1" customHeight="1" x14ac:dyDescent="0.25">
      <c r="A185" s="912" t="str">
        <f t="shared" si="13"/>
        <v>OK</v>
      </c>
      <c r="B185" s="360"/>
      <c r="C185" s="360"/>
      <c r="D185" s="361"/>
      <c r="E185" s="1608"/>
      <c r="F185" s="1609"/>
      <c r="G185" s="1609"/>
      <c r="H185" s="1609"/>
      <c r="I185" s="1609"/>
      <c r="J185" s="1610"/>
      <c r="K185" s="1611"/>
      <c r="L185" s="1612"/>
      <c r="M185" s="360"/>
      <c r="N185" s="1613"/>
      <c r="O185" s="1614"/>
      <c r="P185" s="1615"/>
      <c r="Q185" s="1616" t="str">
        <f t="shared" si="15"/>
        <v/>
      </c>
      <c r="R185" s="1617"/>
      <c r="S185" s="338">
        <f t="shared" si="14"/>
        <v>0</v>
      </c>
    </row>
    <row r="186" spans="1:19" s="340" customFormat="1" ht="15.75" hidden="1" customHeight="1" x14ac:dyDescent="0.25">
      <c r="A186" s="912" t="str">
        <f t="shared" si="13"/>
        <v>OK</v>
      </c>
      <c r="B186" s="360"/>
      <c r="C186" s="360"/>
      <c r="D186" s="361"/>
      <c r="E186" s="1608"/>
      <c r="F186" s="1609"/>
      <c r="G186" s="1609"/>
      <c r="H186" s="1609"/>
      <c r="I186" s="1609"/>
      <c r="J186" s="1610"/>
      <c r="K186" s="1611"/>
      <c r="L186" s="1612"/>
      <c r="M186" s="360"/>
      <c r="N186" s="1613"/>
      <c r="O186" s="1614"/>
      <c r="P186" s="1615"/>
      <c r="Q186" s="1616" t="str">
        <f t="shared" si="15"/>
        <v/>
      </c>
      <c r="R186" s="1617"/>
      <c r="S186" s="338">
        <f t="shared" si="14"/>
        <v>0</v>
      </c>
    </row>
    <row r="187" spans="1:19" s="340" customFormat="1" ht="15.75" hidden="1" customHeight="1" x14ac:dyDescent="0.25">
      <c r="A187" s="912" t="str">
        <f t="shared" si="13"/>
        <v>OK</v>
      </c>
      <c r="B187" s="360"/>
      <c r="C187" s="360"/>
      <c r="D187" s="361"/>
      <c r="E187" s="1608"/>
      <c r="F187" s="1609"/>
      <c r="G187" s="1609"/>
      <c r="H187" s="1609"/>
      <c r="I187" s="1609"/>
      <c r="J187" s="1610"/>
      <c r="K187" s="1611"/>
      <c r="L187" s="1612"/>
      <c r="M187" s="360"/>
      <c r="N187" s="1613"/>
      <c r="O187" s="1614"/>
      <c r="P187" s="1615"/>
      <c r="Q187" s="1616" t="str">
        <f t="shared" si="15"/>
        <v/>
      </c>
      <c r="R187" s="1617"/>
      <c r="S187" s="338">
        <f t="shared" si="14"/>
        <v>0</v>
      </c>
    </row>
    <row r="188" spans="1:19" s="340" customFormat="1" ht="15.75" hidden="1" customHeight="1" x14ac:dyDescent="0.25">
      <c r="A188" s="912" t="str">
        <f t="shared" si="13"/>
        <v>OK</v>
      </c>
      <c r="B188" s="360"/>
      <c r="C188" s="360"/>
      <c r="D188" s="361"/>
      <c r="E188" s="1608"/>
      <c r="F188" s="1609"/>
      <c r="G188" s="1609"/>
      <c r="H188" s="1609"/>
      <c r="I188" s="1609"/>
      <c r="J188" s="1610"/>
      <c r="K188" s="1611"/>
      <c r="L188" s="1612"/>
      <c r="M188" s="360"/>
      <c r="N188" s="1613"/>
      <c r="O188" s="1614"/>
      <c r="P188" s="1615"/>
      <c r="Q188" s="1616" t="str">
        <f t="shared" si="15"/>
        <v/>
      </c>
      <c r="R188" s="1617"/>
      <c r="S188" s="338">
        <f t="shared" si="14"/>
        <v>0</v>
      </c>
    </row>
    <row r="189" spans="1:19" s="340" customFormat="1" ht="15.75" hidden="1" customHeight="1" x14ac:dyDescent="0.25">
      <c r="A189" s="912" t="str">
        <f t="shared" si="13"/>
        <v>OK</v>
      </c>
      <c r="B189" s="360"/>
      <c r="C189" s="360"/>
      <c r="D189" s="361"/>
      <c r="E189" s="1608"/>
      <c r="F189" s="1609"/>
      <c r="G189" s="1609"/>
      <c r="H189" s="1609"/>
      <c r="I189" s="1609"/>
      <c r="J189" s="1610"/>
      <c r="K189" s="1611"/>
      <c r="L189" s="1612"/>
      <c r="M189" s="360"/>
      <c r="N189" s="1613"/>
      <c r="O189" s="1614"/>
      <c r="P189" s="1615"/>
      <c r="Q189" s="1616" t="str">
        <f t="shared" si="15"/>
        <v/>
      </c>
      <c r="R189" s="1617"/>
      <c r="S189" s="338">
        <f t="shared" si="14"/>
        <v>0</v>
      </c>
    </row>
    <row r="190" spans="1:19" s="340" customFormat="1" ht="15.75" hidden="1" customHeight="1" x14ac:dyDescent="0.25">
      <c r="A190" s="912" t="str">
        <f t="shared" si="13"/>
        <v>OK</v>
      </c>
      <c r="B190" s="360"/>
      <c r="C190" s="360"/>
      <c r="D190" s="361"/>
      <c r="E190" s="1608"/>
      <c r="F190" s="1609"/>
      <c r="G190" s="1609"/>
      <c r="H190" s="1609"/>
      <c r="I190" s="1609"/>
      <c r="J190" s="1610"/>
      <c r="K190" s="1611"/>
      <c r="L190" s="1612"/>
      <c r="M190" s="360"/>
      <c r="N190" s="1613"/>
      <c r="O190" s="1614"/>
      <c r="P190" s="1615"/>
      <c r="Q190" s="1616" t="str">
        <f t="shared" si="15"/>
        <v/>
      </c>
      <c r="R190" s="1617"/>
      <c r="S190" s="338">
        <f t="shared" si="14"/>
        <v>0</v>
      </c>
    </row>
    <row r="191" spans="1:19" s="340" customFormat="1" ht="15.75" hidden="1" customHeight="1" x14ac:dyDescent="0.25">
      <c r="A191" s="912" t="str">
        <f t="shared" si="13"/>
        <v>OK</v>
      </c>
      <c r="B191" s="360"/>
      <c r="C191" s="360"/>
      <c r="D191" s="361"/>
      <c r="E191" s="1608"/>
      <c r="F191" s="1609"/>
      <c r="G191" s="1609"/>
      <c r="H191" s="1609"/>
      <c r="I191" s="1609"/>
      <c r="J191" s="1610"/>
      <c r="K191" s="1611"/>
      <c r="L191" s="1612"/>
      <c r="M191" s="360"/>
      <c r="N191" s="1613"/>
      <c r="O191" s="1614"/>
      <c r="P191" s="1615"/>
      <c r="Q191" s="1616" t="str">
        <f t="shared" si="15"/>
        <v/>
      </c>
      <c r="R191" s="1617"/>
      <c r="S191" s="338">
        <f t="shared" si="14"/>
        <v>0</v>
      </c>
    </row>
    <row r="192" spans="1:19" s="340" customFormat="1" ht="15.75" hidden="1" customHeight="1" x14ac:dyDescent="0.25">
      <c r="A192" s="912" t="str">
        <f t="shared" si="13"/>
        <v>OK</v>
      </c>
      <c r="B192" s="360"/>
      <c r="C192" s="360"/>
      <c r="D192" s="361"/>
      <c r="E192" s="1608"/>
      <c r="F192" s="1609"/>
      <c r="G192" s="1609"/>
      <c r="H192" s="1609"/>
      <c r="I192" s="1609"/>
      <c r="J192" s="1610"/>
      <c r="K192" s="1611"/>
      <c r="L192" s="1612"/>
      <c r="M192" s="360"/>
      <c r="N192" s="1613"/>
      <c r="O192" s="1614"/>
      <c r="P192" s="1615"/>
      <c r="Q192" s="1616" t="str">
        <f t="shared" si="15"/>
        <v/>
      </c>
      <c r="R192" s="1617"/>
      <c r="S192" s="338">
        <f t="shared" si="14"/>
        <v>0</v>
      </c>
    </row>
    <row r="193" spans="1:19" s="340" customFormat="1" ht="15.75" hidden="1" customHeight="1" x14ac:dyDescent="0.25">
      <c r="A193" s="912" t="str">
        <f t="shared" si="13"/>
        <v>OK</v>
      </c>
      <c r="B193" s="360"/>
      <c r="C193" s="360"/>
      <c r="D193" s="361"/>
      <c r="E193" s="1608"/>
      <c r="F193" s="1609"/>
      <c r="G193" s="1609"/>
      <c r="H193" s="1609"/>
      <c r="I193" s="1609"/>
      <c r="J193" s="1610"/>
      <c r="K193" s="1611"/>
      <c r="L193" s="1612"/>
      <c r="M193" s="360"/>
      <c r="N193" s="1613"/>
      <c r="O193" s="1614"/>
      <c r="P193" s="1615"/>
      <c r="Q193" s="1616" t="str">
        <f t="shared" si="15"/>
        <v/>
      </c>
      <c r="R193" s="1617"/>
      <c r="S193" s="338">
        <f t="shared" si="14"/>
        <v>0</v>
      </c>
    </row>
    <row r="194" spans="1:19" s="340" customFormat="1" ht="15.75" hidden="1" customHeight="1" x14ac:dyDescent="0.25">
      <c r="A194" s="912" t="str">
        <f t="shared" si="13"/>
        <v>OK</v>
      </c>
      <c r="B194" s="360"/>
      <c r="C194" s="360"/>
      <c r="D194" s="361"/>
      <c r="E194" s="1608"/>
      <c r="F194" s="1609"/>
      <c r="G194" s="1609"/>
      <c r="H194" s="1609"/>
      <c r="I194" s="1609"/>
      <c r="J194" s="1610"/>
      <c r="K194" s="1611"/>
      <c r="L194" s="1612"/>
      <c r="M194" s="360"/>
      <c r="N194" s="1613"/>
      <c r="O194" s="1614"/>
      <c r="P194" s="1615"/>
      <c r="Q194" s="1616" t="str">
        <f t="shared" si="15"/>
        <v/>
      </c>
      <c r="R194" s="1617"/>
      <c r="S194" s="338">
        <f t="shared" si="14"/>
        <v>0</v>
      </c>
    </row>
    <row r="195" spans="1:19" s="340" customFormat="1" ht="15.75" hidden="1" customHeight="1" x14ac:dyDescent="0.25">
      <c r="A195" s="912" t="str">
        <f t="shared" si="13"/>
        <v>OK</v>
      </c>
      <c r="B195" s="360"/>
      <c r="C195" s="360"/>
      <c r="D195" s="361"/>
      <c r="E195" s="1608"/>
      <c r="F195" s="1609"/>
      <c r="G195" s="1609"/>
      <c r="H195" s="1609"/>
      <c r="I195" s="1609"/>
      <c r="J195" s="1610"/>
      <c r="K195" s="1611"/>
      <c r="L195" s="1612"/>
      <c r="M195" s="360"/>
      <c r="N195" s="1613"/>
      <c r="O195" s="1614"/>
      <c r="P195" s="1615"/>
      <c r="Q195" s="1616" t="str">
        <f>IF(M195="","",M195*N195)</f>
        <v/>
      </c>
      <c r="R195" s="1617"/>
      <c r="S195" s="338">
        <f t="shared" si="14"/>
        <v>0</v>
      </c>
    </row>
    <row r="196" spans="1:19" s="340" customFormat="1" ht="15.75" hidden="1" customHeight="1" x14ac:dyDescent="0.25">
      <c r="A196" s="912" t="str">
        <f t="shared" si="13"/>
        <v>OK</v>
      </c>
      <c r="B196" s="360"/>
      <c r="C196" s="362"/>
      <c r="D196" s="363"/>
      <c r="E196" s="1620"/>
      <c r="F196" s="1621"/>
      <c r="G196" s="1621"/>
      <c r="H196" s="1621"/>
      <c r="I196" s="1621"/>
      <c r="J196" s="1622"/>
      <c r="K196" s="1623"/>
      <c r="L196" s="1624"/>
      <c r="M196" s="360"/>
      <c r="N196" s="1625"/>
      <c r="O196" s="1626"/>
      <c r="P196" s="1627"/>
      <c r="Q196" s="1628" t="str">
        <f>IF(M196="","",M196*N196)</f>
        <v/>
      </c>
      <c r="R196" s="1629"/>
      <c r="S196" s="338">
        <f t="shared" si="14"/>
        <v>0</v>
      </c>
    </row>
    <row r="197" spans="1:19" s="340" customFormat="1" ht="15.75" hidden="1" customHeight="1" x14ac:dyDescent="0.25">
      <c r="A197" s="912" t="str">
        <f t="shared" si="13"/>
        <v>OK</v>
      </c>
      <c r="B197" s="1630" t="s">
        <v>209</v>
      </c>
      <c r="C197" s="1631"/>
      <c r="D197" s="1631"/>
      <c r="E197" s="1631"/>
      <c r="F197" s="1631"/>
      <c r="G197" s="1631"/>
      <c r="H197" s="1631"/>
      <c r="I197" s="1631"/>
      <c r="J197" s="1631"/>
      <c r="K197" s="1631"/>
      <c r="L197" s="1631"/>
      <c r="M197" s="1632"/>
      <c r="N197" s="1633" t="s">
        <v>103</v>
      </c>
      <c r="O197" s="1634"/>
      <c r="P197" s="1635"/>
      <c r="Q197" s="1636">
        <f>SUM(Q176:R196)</f>
        <v>0</v>
      </c>
      <c r="R197" s="1637"/>
      <c r="S197" s="332">
        <f>SUM(S176:S196)</f>
        <v>0</v>
      </c>
    </row>
    <row r="198" spans="1:19" s="340" customFormat="1" ht="15.75" hidden="1" customHeight="1" x14ac:dyDescent="0.25">
      <c r="A198" s="912" t="str">
        <f t="shared" si="13"/>
        <v>OK</v>
      </c>
      <c r="B198" s="1642"/>
      <c r="C198" s="1642"/>
      <c r="D198" s="1642"/>
      <c r="E198" s="1642"/>
      <c r="F198" s="1642"/>
      <c r="G198" s="1642"/>
      <c r="H198" s="1642"/>
      <c r="I198" s="1642"/>
      <c r="J198" s="1642"/>
      <c r="K198" s="1642"/>
      <c r="L198" s="1642"/>
      <c r="M198" s="1642"/>
      <c r="N198" s="1642"/>
      <c r="O198" s="1642"/>
      <c r="P198" s="1642"/>
      <c r="Q198" s="1642"/>
      <c r="R198" s="1642"/>
      <c r="S198" s="334"/>
    </row>
    <row r="199" spans="1:19" s="340" customFormat="1" ht="15.75" hidden="1" customHeight="1" x14ac:dyDescent="0.25">
      <c r="A199" s="912" t="str">
        <f t="shared" si="13"/>
        <v>OK</v>
      </c>
      <c r="B199" s="1643" t="s">
        <v>104</v>
      </c>
      <c r="C199" s="1643"/>
      <c r="D199" s="1643"/>
      <c r="E199" s="1643"/>
      <c r="F199" s="1643"/>
      <c r="G199" s="1643"/>
      <c r="H199" s="1643"/>
      <c r="I199" s="1643"/>
      <c r="J199" s="1643"/>
      <c r="K199" s="1643"/>
      <c r="L199" s="1643"/>
      <c r="M199" s="1643"/>
      <c r="N199" s="1643"/>
      <c r="O199" s="1643"/>
      <c r="P199" s="1643"/>
      <c r="Q199" s="1643"/>
      <c r="R199" s="1643"/>
      <c r="S199" s="334"/>
    </row>
    <row r="200" spans="1:19" s="340" customFormat="1" ht="15.75" hidden="1" customHeight="1" x14ac:dyDescent="0.25">
      <c r="A200" s="912" t="str">
        <f t="shared" si="13"/>
        <v>OK</v>
      </c>
      <c r="B200" s="1644"/>
      <c r="C200" s="1645"/>
      <c r="D200" s="1645"/>
      <c r="E200" s="1645"/>
      <c r="F200" s="1645"/>
      <c r="G200" s="1645"/>
      <c r="H200" s="1645"/>
      <c r="I200" s="1645"/>
      <c r="J200" s="1645"/>
      <c r="K200" s="1645"/>
      <c r="L200" s="1645"/>
      <c r="M200" s="1645"/>
      <c r="N200" s="1645"/>
      <c r="O200" s="1645"/>
      <c r="P200" s="1645"/>
      <c r="Q200" s="1645"/>
      <c r="R200" s="1646"/>
      <c r="S200" s="334"/>
    </row>
    <row r="201" spans="1:19" s="340" customFormat="1" ht="23.25" hidden="1" customHeight="1" x14ac:dyDescent="0.25">
      <c r="A201" s="912" t="str">
        <f t="shared" si="13"/>
        <v>OK</v>
      </c>
      <c r="B201" s="119"/>
      <c r="C201" s="120" t="s">
        <v>85</v>
      </c>
      <c r="D201" s="1647" t="str">
        <f>Dados!$G$128</f>
        <v/>
      </c>
      <c r="E201" s="1647"/>
      <c r="F201" s="121"/>
      <c r="G201" s="121"/>
      <c r="H201" s="121"/>
      <c r="I201" s="121"/>
      <c r="J201" s="1648" t="str">
        <f>Dados!$E$109</f>
        <v/>
      </c>
      <c r="K201" s="1649"/>
      <c r="L201" s="1650"/>
      <c r="M201" s="122"/>
      <c r="N201" s="1618"/>
      <c r="O201" s="1618"/>
      <c r="P201" s="1618"/>
      <c r="Q201" s="1618"/>
      <c r="R201" s="1619"/>
      <c r="S201" s="334"/>
    </row>
    <row r="202" spans="1:19" s="340" customFormat="1" ht="23.25" hidden="1" customHeight="1" x14ac:dyDescent="0.25">
      <c r="A202" s="912" t="str">
        <f t="shared" si="13"/>
        <v>OK</v>
      </c>
      <c r="B202" s="1638" t="s">
        <v>109</v>
      </c>
      <c r="C202" s="1639"/>
      <c r="D202" s="1639"/>
      <c r="E202" s="1639"/>
      <c r="F202" s="123"/>
      <c r="G202" s="123"/>
      <c r="H202" s="123"/>
      <c r="I202" s="123"/>
      <c r="J202" s="1639" t="s">
        <v>287</v>
      </c>
      <c r="K202" s="1639"/>
      <c r="L202" s="1639"/>
      <c r="M202" s="124"/>
      <c r="N202" s="1640" t="s">
        <v>151</v>
      </c>
      <c r="O202" s="1640"/>
      <c r="P202" s="1640"/>
      <c r="Q202" s="1640"/>
      <c r="R202" s="1641"/>
      <c r="S202" s="334"/>
    </row>
    <row r="203" spans="1:19" x14ac:dyDescent="0.25">
      <c r="A203" s="912" t="str">
        <f>IF($S$157&gt;=18,"OK","")</f>
        <v/>
      </c>
    </row>
  </sheetData>
  <sheetProtection password="F261" sheet="1" objects="1" scenarios="1"/>
  <mergeCells count="598">
    <mergeCell ref="U5:U42"/>
    <mergeCell ref="M2:P2"/>
    <mergeCell ref="D81:E81"/>
    <mergeCell ref="J81:L81"/>
    <mergeCell ref="N81:R81"/>
    <mergeCell ref="B77:M77"/>
    <mergeCell ref="N77:P77"/>
    <mergeCell ref="Q77:R77"/>
    <mergeCell ref="B78:R78"/>
    <mergeCell ref="E76:J76"/>
    <mergeCell ref="K76:L76"/>
    <mergeCell ref="N76:P76"/>
    <mergeCell ref="Q76:R76"/>
    <mergeCell ref="E75:J75"/>
    <mergeCell ref="K75:L75"/>
    <mergeCell ref="N75:P75"/>
    <mergeCell ref="Q75:R75"/>
    <mergeCell ref="E69:J69"/>
    <mergeCell ref="K69:L69"/>
    <mergeCell ref="N69:P69"/>
    <mergeCell ref="Q69:R69"/>
    <mergeCell ref="E70:J70"/>
    <mergeCell ref="K70:L70"/>
    <mergeCell ref="N70:P70"/>
    <mergeCell ref="B82:E82"/>
    <mergeCell ref="J82:L82"/>
    <mergeCell ref="N82:R82"/>
    <mergeCell ref="B79:R79"/>
    <mergeCell ref="B80:E80"/>
    <mergeCell ref="F80:L80"/>
    <mergeCell ref="M80:R80"/>
    <mergeCell ref="E72:J72"/>
    <mergeCell ref="K72:L72"/>
    <mergeCell ref="N72:P72"/>
    <mergeCell ref="Q72:R72"/>
    <mergeCell ref="E73:J73"/>
    <mergeCell ref="K73:L73"/>
    <mergeCell ref="N73:P73"/>
    <mergeCell ref="Q73:R73"/>
    <mergeCell ref="E74:J74"/>
    <mergeCell ref="K74:L74"/>
    <mergeCell ref="N74:P74"/>
    <mergeCell ref="Q74:R74"/>
    <mergeCell ref="E65:J65"/>
    <mergeCell ref="K65:L65"/>
    <mergeCell ref="N65:P65"/>
    <mergeCell ref="Q65:R65"/>
    <mergeCell ref="E71:J71"/>
    <mergeCell ref="K71:L71"/>
    <mergeCell ref="N71:P71"/>
    <mergeCell ref="Q71:R71"/>
    <mergeCell ref="E66:J66"/>
    <mergeCell ref="K66:L66"/>
    <mergeCell ref="N66:P66"/>
    <mergeCell ref="Q66:R66"/>
    <mergeCell ref="E67:J67"/>
    <mergeCell ref="K67:L67"/>
    <mergeCell ref="N67:P67"/>
    <mergeCell ref="Q67:R67"/>
    <mergeCell ref="E68:J68"/>
    <mergeCell ref="K68:L68"/>
    <mergeCell ref="N68:P68"/>
    <mergeCell ref="Q68:R68"/>
    <mergeCell ref="Q70:R70"/>
    <mergeCell ref="E62:J62"/>
    <mergeCell ref="K62:L62"/>
    <mergeCell ref="N62:P62"/>
    <mergeCell ref="Q62:R62"/>
    <mergeCell ref="E63:J63"/>
    <mergeCell ref="K63:L63"/>
    <mergeCell ref="N63:P63"/>
    <mergeCell ref="Q63:R63"/>
    <mergeCell ref="E64:J64"/>
    <mergeCell ref="K64:L64"/>
    <mergeCell ref="N64:P64"/>
    <mergeCell ref="Q64:R64"/>
    <mergeCell ref="E59:J59"/>
    <mergeCell ref="K59:L59"/>
    <mergeCell ref="N59:P59"/>
    <mergeCell ref="Q59:R59"/>
    <mergeCell ref="E60:J60"/>
    <mergeCell ref="K60:L60"/>
    <mergeCell ref="N60:P60"/>
    <mergeCell ref="Q60:R60"/>
    <mergeCell ref="E61:J61"/>
    <mergeCell ref="K61:L61"/>
    <mergeCell ref="N61:P61"/>
    <mergeCell ref="Q61:R61"/>
    <mergeCell ref="Q33:R33"/>
    <mergeCell ref="Q34:R34"/>
    <mergeCell ref="N32:P32"/>
    <mergeCell ref="N30:P30"/>
    <mergeCell ref="Q30:R30"/>
    <mergeCell ref="Q31:R31"/>
    <mergeCell ref="N31:P31"/>
    <mergeCell ref="K33:L33"/>
    <mergeCell ref="N33:P33"/>
    <mergeCell ref="N34:P34"/>
    <mergeCell ref="K31:L31"/>
    <mergeCell ref="N57:P57"/>
    <mergeCell ref="Q57:R57"/>
    <mergeCell ref="E58:J58"/>
    <mergeCell ref="K58:L58"/>
    <mergeCell ref="N58:P58"/>
    <mergeCell ref="Q37:R37"/>
    <mergeCell ref="B51:J51"/>
    <mergeCell ref="D47:L47"/>
    <mergeCell ref="Q55:R55"/>
    <mergeCell ref="E56:J56"/>
    <mergeCell ref="K56:L56"/>
    <mergeCell ref="N56:P56"/>
    <mergeCell ref="Q56:R56"/>
    <mergeCell ref="E55:J55"/>
    <mergeCell ref="K55:L55"/>
    <mergeCell ref="N55:P55"/>
    <mergeCell ref="E57:J57"/>
    <mergeCell ref="C38:R38"/>
    <mergeCell ref="K29:L29"/>
    <mergeCell ref="K28:L28"/>
    <mergeCell ref="E31:J31"/>
    <mergeCell ref="Q28:R28"/>
    <mergeCell ref="Q29:R29"/>
    <mergeCell ref="E29:J29"/>
    <mergeCell ref="Q32:R32"/>
    <mergeCell ref="E28:J28"/>
    <mergeCell ref="N28:P28"/>
    <mergeCell ref="N29:P29"/>
    <mergeCell ref="B4:R4"/>
    <mergeCell ref="N15:P15"/>
    <mergeCell ref="E14:J14"/>
    <mergeCell ref="E15:J15"/>
    <mergeCell ref="B9:R9"/>
    <mergeCell ref="B11:J11"/>
    <mergeCell ref="K14:L14"/>
    <mergeCell ref="K15:L15"/>
    <mergeCell ref="B12:R12"/>
    <mergeCell ref="B13:R13"/>
    <mergeCell ref="C10:J10"/>
    <mergeCell ref="M11:N11"/>
    <mergeCell ref="D6:L6"/>
    <mergeCell ref="D7:L7"/>
    <mergeCell ref="B14:D14"/>
    <mergeCell ref="N14:R14"/>
    <mergeCell ref="B8:R8"/>
    <mergeCell ref="O10:Q10"/>
    <mergeCell ref="Q15:R15"/>
    <mergeCell ref="M10:N10"/>
    <mergeCell ref="D5:J5"/>
    <mergeCell ref="K5:M5"/>
    <mergeCell ref="K16:L16"/>
    <mergeCell ref="K17:L17"/>
    <mergeCell ref="N16:P16"/>
    <mergeCell ref="E18:J18"/>
    <mergeCell ref="E23:J23"/>
    <mergeCell ref="K25:L25"/>
    <mergeCell ref="Q22:R22"/>
    <mergeCell ref="Q23:R23"/>
    <mergeCell ref="Q24:R24"/>
    <mergeCell ref="N24:P24"/>
    <mergeCell ref="Q25:R25"/>
    <mergeCell ref="N17:P17"/>
    <mergeCell ref="E20:J20"/>
    <mergeCell ref="Q17:R17"/>
    <mergeCell ref="N18:P18"/>
    <mergeCell ref="Q18:R18"/>
    <mergeCell ref="E21:J21"/>
    <mergeCell ref="E24:J24"/>
    <mergeCell ref="N22:P22"/>
    <mergeCell ref="K24:L24"/>
    <mergeCell ref="N20:P20"/>
    <mergeCell ref="Q16:R16"/>
    <mergeCell ref="E16:J16"/>
    <mergeCell ref="K23:L23"/>
    <mergeCell ref="Q27:R27"/>
    <mergeCell ref="N25:P25"/>
    <mergeCell ref="E27:J27"/>
    <mergeCell ref="K18:L18"/>
    <mergeCell ref="E22:J22"/>
    <mergeCell ref="K26:L26"/>
    <mergeCell ref="N19:P19"/>
    <mergeCell ref="E19:J19"/>
    <mergeCell ref="K21:L21"/>
    <mergeCell ref="K22:L22"/>
    <mergeCell ref="N21:P21"/>
    <mergeCell ref="K19:L19"/>
    <mergeCell ref="Q20:R20"/>
    <mergeCell ref="N23:P23"/>
    <mergeCell ref="Q21:R21"/>
    <mergeCell ref="Q26:R26"/>
    <mergeCell ref="N27:P27"/>
    <mergeCell ref="E25:J25"/>
    <mergeCell ref="E26:J26"/>
    <mergeCell ref="N26:P26"/>
    <mergeCell ref="Q19:R19"/>
    <mergeCell ref="K20:L20"/>
    <mergeCell ref="K27:L27"/>
    <mergeCell ref="E17:J17"/>
    <mergeCell ref="B84:R84"/>
    <mergeCell ref="E36:J36"/>
    <mergeCell ref="K35:L35"/>
    <mergeCell ref="K36:L36"/>
    <mergeCell ref="K34:L34"/>
    <mergeCell ref="E35:J35"/>
    <mergeCell ref="E34:J34"/>
    <mergeCell ref="K32:L32"/>
    <mergeCell ref="K30:L30"/>
    <mergeCell ref="B40:E40"/>
    <mergeCell ref="M40:R40"/>
    <mergeCell ref="N41:R41"/>
    <mergeCell ref="M51:N51"/>
    <mergeCell ref="B44:R44"/>
    <mergeCell ref="D45:L45"/>
    <mergeCell ref="D46:L46"/>
    <mergeCell ref="D41:E41"/>
    <mergeCell ref="B49:R49"/>
    <mergeCell ref="I41:L41"/>
    <mergeCell ref="E33:J33"/>
    <mergeCell ref="E30:J30"/>
    <mergeCell ref="E32:J32"/>
    <mergeCell ref="Q58:R58"/>
    <mergeCell ref="D85:L85"/>
    <mergeCell ref="Q35:R35"/>
    <mergeCell ref="B37:M37"/>
    <mergeCell ref="F40:L40"/>
    <mergeCell ref="K54:L54"/>
    <mergeCell ref="B39:R39"/>
    <mergeCell ref="N54:R54"/>
    <mergeCell ref="B42:E42"/>
    <mergeCell ref="D86:L86"/>
    <mergeCell ref="Q36:R36"/>
    <mergeCell ref="N37:P37"/>
    <mergeCell ref="N35:P35"/>
    <mergeCell ref="N36:P36"/>
    <mergeCell ref="B54:D54"/>
    <mergeCell ref="E54:J54"/>
    <mergeCell ref="B53:R53"/>
    <mergeCell ref="C50:J50"/>
    <mergeCell ref="M50:N50"/>
    <mergeCell ref="N42:R42"/>
    <mergeCell ref="O50:Q50"/>
    <mergeCell ref="B52:R52"/>
    <mergeCell ref="B48:R48"/>
    <mergeCell ref="I42:L42"/>
    <mergeCell ref="K57:L57"/>
    <mergeCell ref="B91:J91"/>
    <mergeCell ref="M91:N91"/>
    <mergeCell ref="B92:R92"/>
    <mergeCell ref="B93:R93"/>
    <mergeCell ref="D87:L87"/>
    <mergeCell ref="B94:D94"/>
    <mergeCell ref="E94:J94"/>
    <mergeCell ref="K94:L94"/>
    <mergeCell ref="B89:R89"/>
    <mergeCell ref="C90:J90"/>
    <mergeCell ref="M90:N90"/>
    <mergeCell ref="O90:Q90"/>
    <mergeCell ref="B88:R88"/>
    <mergeCell ref="N94:R94"/>
    <mergeCell ref="E97:J97"/>
    <mergeCell ref="K97:L97"/>
    <mergeCell ref="N97:P97"/>
    <mergeCell ref="Q97:R97"/>
    <mergeCell ref="E96:J96"/>
    <mergeCell ref="K96:L96"/>
    <mergeCell ref="N96:P96"/>
    <mergeCell ref="Q96:R96"/>
    <mergeCell ref="E95:J95"/>
    <mergeCell ref="K95:L95"/>
    <mergeCell ref="N95:P95"/>
    <mergeCell ref="Q95:R95"/>
    <mergeCell ref="E100:J100"/>
    <mergeCell ref="K100:L100"/>
    <mergeCell ref="N100:P100"/>
    <mergeCell ref="Q100:R100"/>
    <mergeCell ref="E99:J99"/>
    <mergeCell ref="K99:L99"/>
    <mergeCell ref="N99:P99"/>
    <mergeCell ref="Q99:R99"/>
    <mergeCell ref="E98:J98"/>
    <mergeCell ref="K98:L98"/>
    <mergeCell ref="N98:P98"/>
    <mergeCell ref="Q98:R98"/>
    <mergeCell ref="E103:J103"/>
    <mergeCell ref="K103:L103"/>
    <mergeCell ref="N103:P103"/>
    <mergeCell ref="Q103:R103"/>
    <mergeCell ref="E102:J102"/>
    <mergeCell ref="K102:L102"/>
    <mergeCell ref="N102:P102"/>
    <mergeCell ref="Q102:R102"/>
    <mergeCell ref="E101:J101"/>
    <mergeCell ref="K101:L101"/>
    <mergeCell ref="N101:P101"/>
    <mergeCell ref="Q101:R101"/>
    <mergeCell ref="E106:J106"/>
    <mergeCell ref="K106:L106"/>
    <mergeCell ref="N106:P106"/>
    <mergeCell ref="Q106:R106"/>
    <mergeCell ref="E105:J105"/>
    <mergeCell ref="K105:L105"/>
    <mergeCell ref="N105:P105"/>
    <mergeCell ref="Q105:R105"/>
    <mergeCell ref="E104:J104"/>
    <mergeCell ref="K104:L104"/>
    <mergeCell ref="N104:P104"/>
    <mergeCell ref="Q104:R104"/>
    <mergeCell ref="E109:J109"/>
    <mergeCell ref="K109:L109"/>
    <mergeCell ref="N109:P109"/>
    <mergeCell ref="Q109:R109"/>
    <mergeCell ref="E108:J108"/>
    <mergeCell ref="K108:L108"/>
    <mergeCell ref="N108:P108"/>
    <mergeCell ref="Q108:R108"/>
    <mergeCell ref="E107:J107"/>
    <mergeCell ref="K107:L107"/>
    <mergeCell ref="N107:P107"/>
    <mergeCell ref="Q107:R107"/>
    <mergeCell ref="E113:J113"/>
    <mergeCell ref="K113:L113"/>
    <mergeCell ref="N113:P113"/>
    <mergeCell ref="Q113:R113"/>
    <mergeCell ref="N111:P111"/>
    <mergeCell ref="Q111:R111"/>
    <mergeCell ref="B117:M117"/>
    <mergeCell ref="N117:P117"/>
    <mergeCell ref="Q117:R117"/>
    <mergeCell ref="Q116:R116"/>
    <mergeCell ref="E114:J114"/>
    <mergeCell ref="K114:L114"/>
    <mergeCell ref="Q115:R115"/>
    <mergeCell ref="E116:J116"/>
    <mergeCell ref="K116:L116"/>
    <mergeCell ref="N116:P116"/>
    <mergeCell ref="N110:P110"/>
    <mergeCell ref="Q110:R110"/>
    <mergeCell ref="E111:J111"/>
    <mergeCell ref="K111:L111"/>
    <mergeCell ref="E112:J112"/>
    <mergeCell ref="K112:L112"/>
    <mergeCell ref="N112:P112"/>
    <mergeCell ref="Q112:R112"/>
    <mergeCell ref="E110:J110"/>
    <mergeCell ref="K110:L110"/>
    <mergeCell ref="B119:R119"/>
    <mergeCell ref="B120:E120"/>
    <mergeCell ref="F120:L120"/>
    <mergeCell ref="M120:R120"/>
    <mergeCell ref="B118:R118"/>
    <mergeCell ref="N114:P114"/>
    <mergeCell ref="Q114:R114"/>
    <mergeCell ref="E115:J115"/>
    <mergeCell ref="K115:L115"/>
    <mergeCell ref="N115:P115"/>
    <mergeCell ref="D126:L126"/>
    <mergeCell ref="D127:L127"/>
    <mergeCell ref="D121:E121"/>
    <mergeCell ref="J121:L121"/>
    <mergeCell ref="N121:R121"/>
    <mergeCell ref="B122:E122"/>
    <mergeCell ref="J122:L122"/>
    <mergeCell ref="N122:R122"/>
    <mergeCell ref="B124:R124"/>
    <mergeCell ref="D125:L125"/>
    <mergeCell ref="B134:D134"/>
    <mergeCell ref="E134:J134"/>
    <mergeCell ref="K134:L134"/>
    <mergeCell ref="N134:R134"/>
    <mergeCell ref="B131:J131"/>
    <mergeCell ref="M131:N131"/>
    <mergeCell ref="B132:R132"/>
    <mergeCell ref="B133:R133"/>
    <mergeCell ref="B128:R128"/>
    <mergeCell ref="B129:R129"/>
    <mergeCell ref="C130:J130"/>
    <mergeCell ref="M130:N130"/>
    <mergeCell ref="O130:Q130"/>
    <mergeCell ref="E137:J137"/>
    <mergeCell ref="K137:L137"/>
    <mergeCell ref="N137:P137"/>
    <mergeCell ref="Q137:R137"/>
    <mergeCell ref="E136:J136"/>
    <mergeCell ref="K136:L136"/>
    <mergeCell ref="N136:P136"/>
    <mergeCell ref="Q136:R136"/>
    <mergeCell ref="E135:J135"/>
    <mergeCell ref="K135:L135"/>
    <mergeCell ref="N135:P135"/>
    <mergeCell ref="Q135:R135"/>
    <mergeCell ref="E140:J140"/>
    <mergeCell ref="K140:L140"/>
    <mergeCell ref="N140:P140"/>
    <mergeCell ref="Q140:R140"/>
    <mergeCell ref="E139:J139"/>
    <mergeCell ref="K139:L139"/>
    <mergeCell ref="N139:P139"/>
    <mergeCell ref="Q139:R139"/>
    <mergeCell ref="E138:J138"/>
    <mergeCell ref="K138:L138"/>
    <mergeCell ref="N138:P138"/>
    <mergeCell ref="Q138:R138"/>
    <mergeCell ref="E143:J143"/>
    <mergeCell ref="K143:L143"/>
    <mergeCell ref="N143:P143"/>
    <mergeCell ref="Q143:R143"/>
    <mergeCell ref="E142:J142"/>
    <mergeCell ref="K142:L142"/>
    <mergeCell ref="N142:P142"/>
    <mergeCell ref="Q142:R142"/>
    <mergeCell ref="E141:J141"/>
    <mergeCell ref="K141:L141"/>
    <mergeCell ref="N141:P141"/>
    <mergeCell ref="Q141:R141"/>
    <mergeCell ref="E146:J146"/>
    <mergeCell ref="K146:L146"/>
    <mergeCell ref="N146:P146"/>
    <mergeCell ref="Q146:R146"/>
    <mergeCell ref="E145:J145"/>
    <mergeCell ref="K145:L145"/>
    <mergeCell ref="N145:P145"/>
    <mergeCell ref="Q145:R145"/>
    <mergeCell ref="E144:J144"/>
    <mergeCell ref="K144:L144"/>
    <mergeCell ref="N144:P144"/>
    <mergeCell ref="Q144:R144"/>
    <mergeCell ref="E149:J149"/>
    <mergeCell ref="K149:L149"/>
    <mergeCell ref="N149:P149"/>
    <mergeCell ref="Q149:R149"/>
    <mergeCell ref="E148:J148"/>
    <mergeCell ref="K148:L148"/>
    <mergeCell ref="N148:P148"/>
    <mergeCell ref="Q148:R148"/>
    <mergeCell ref="E147:J147"/>
    <mergeCell ref="K147:L147"/>
    <mergeCell ref="N147:P147"/>
    <mergeCell ref="Q147:R147"/>
    <mergeCell ref="E153:J153"/>
    <mergeCell ref="K153:L153"/>
    <mergeCell ref="N153:P153"/>
    <mergeCell ref="Q153:R153"/>
    <mergeCell ref="N151:P151"/>
    <mergeCell ref="Q151:R151"/>
    <mergeCell ref="B157:M157"/>
    <mergeCell ref="N157:P157"/>
    <mergeCell ref="Q157:R157"/>
    <mergeCell ref="Q156:R156"/>
    <mergeCell ref="E154:J154"/>
    <mergeCell ref="K154:L154"/>
    <mergeCell ref="Q155:R155"/>
    <mergeCell ref="E156:J156"/>
    <mergeCell ref="K156:L156"/>
    <mergeCell ref="N156:P156"/>
    <mergeCell ref="N150:P150"/>
    <mergeCell ref="Q150:R150"/>
    <mergeCell ref="E151:J151"/>
    <mergeCell ref="K151:L151"/>
    <mergeCell ref="E152:J152"/>
    <mergeCell ref="K152:L152"/>
    <mergeCell ref="N152:P152"/>
    <mergeCell ref="Q152:R152"/>
    <mergeCell ref="E150:J150"/>
    <mergeCell ref="K150:L150"/>
    <mergeCell ref="B159:R159"/>
    <mergeCell ref="B160:E160"/>
    <mergeCell ref="F160:L160"/>
    <mergeCell ref="M160:R160"/>
    <mergeCell ref="B158:R158"/>
    <mergeCell ref="N154:P154"/>
    <mergeCell ref="Q154:R154"/>
    <mergeCell ref="E155:J155"/>
    <mergeCell ref="K155:L155"/>
    <mergeCell ref="N155:P155"/>
    <mergeCell ref="D166:L166"/>
    <mergeCell ref="D167:L167"/>
    <mergeCell ref="D161:E161"/>
    <mergeCell ref="J161:L161"/>
    <mergeCell ref="N161:R161"/>
    <mergeCell ref="B162:E162"/>
    <mergeCell ref="J162:L162"/>
    <mergeCell ref="N162:R162"/>
    <mergeCell ref="B164:R164"/>
    <mergeCell ref="D165:L165"/>
    <mergeCell ref="B171:J171"/>
    <mergeCell ref="M171:N171"/>
    <mergeCell ref="B172:R172"/>
    <mergeCell ref="B173:R173"/>
    <mergeCell ref="B168:R168"/>
    <mergeCell ref="B169:R169"/>
    <mergeCell ref="C170:J170"/>
    <mergeCell ref="M170:N170"/>
    <mergeCell ref="O170:Q170"/>
    <mergeCell ref="E176:J176"/>
    <mergeCell ref="K176:L176"/>
    <mergeCell ref="N176:P176"/>
    <mergeCell ref="Q176:R176"/>
    <mergeCell ref="E175:J175"/>
    <mergeCell ref="K175:L175"/>
    <mergeCell ref="N175:P175"/>
    <mergeCell ref="Q175:R175"/>
    <mergeCell ref="B174:D174"/>
    <mergeCell ref="E174:J174"/>
    <mergeCell ref="K174:L174"/>
    <mergeCell ref="N174:R174"/>
    <mergeCell ref="E179:J179"/>
    <mergeCell ref="K179:L179"/>
    <mergeCell ref="N179:P179"/>
    <mergeCell ref="Q179:R179"/>
    <mergeCell ref="E178:J178"/>
    <mergeCell ref="K178:L178"/>
    <mergeCell ref="N178:P178"/>
    <mergeCell ref="Q178:R178"/>
    <mergeCell ref="E177:J177"/>
    <mergeCell ref="K177:L177"/>
    <mergeCell ref="N177:P177"/>
    <mergeCell ref="Q177:R177"/>
    <mergeCell ref="E182:J182"/>
    <mergeCell ref="K182:L182"/>
    <mergeCell ref="N182:P182"/>
    <mergeCell ref="Q182:R182"/>
    <mergeCell ref="E181:J181"/>
    <mergeCell ref="K181:L181"/>
    <mergeCell ref="N181:P181"/>
    <mergeCell ref="Q181:R181"/>
    <mergeCell ref="E180:J180"/>
    <mergeCell ref="K180:L180"/>
    <mergeCell ref="N180:P180"/>
    <mergeCell ref="Q180:R180"/>
    <mergeCell ref="E185:J185"/>
    <mergeCell ref="K185:L185"/>
    <mergeCell ref="N185:P185"/>
    <mergeCell ref="Q185:R185"/>
    <mergeCell ref="E184:J184"/>
    <mergeCell ref="K184:L184"/>
    <mergeCell ref="N184:P184"/>
    <mergeCell ref="Q184:R184"/>
    <mergeCell ref="E183:J183"/>
    <mergeCell ref="K183:L183"/>
    <mergeCell ref="N183:P183"/>
    <mergeCell ref="Q183:R183"/>
    <mergeCell ref="E188:J188"/>
    <mergeCell ref="K188:L188"/>
    <mergeCell ref="N188:P188"/>
    <mergeCell ref="Q188:R188"/>
    <mergeCell ref="E187:J187"/>
    <mergeCell ref="K187:L187"/>
    <mergeCell ref="N187:P187"/>
    <mergeCell ref="Q187:R187"/>
    <mergeCell ref="E186:J186"/>
    <mergeCell ref="K186:L186"/>
    <mergeCell ref="N186:P186"/>
    <mergeCell ref="Q186:R186"/>
    <mergeCell ref="E191:J191"/>
    <mergeCell ref="K191:L191"/>
    <mergeCell ref="N191:P191"/>
    <mergeCell ref="Q191:R191"/>
    <mergeCell ref="E190:J190"/>
    <mergeCell ref="K190:L190"/>
    <mergeCell ref="N190:P190"/>
    <mergeCell ref="Q190:R190"/>
    <mergeCell ref="E189:J189"/>
    <mergeCell ref="K189:L189"/>
    <mergeCell ref="N189:P189"/>
    <mergeCell ref="Q189:R189"/>
    <mergeCell ref="B202:E202"/>
    <mergeCell ref="J202:L202"/>
    <mergeCell ref="N202:R202"/>
    <mergeCell ref="B198:R198"/>
    <mergeCell ref="B199:R199"/>
    <mergeCell ref="B200:E200"/>
    <mergeCell ref="F200:L200"/>
    <mergeCell ref="M200:R200"/>
    <mergeCell ref="D201:E201"/>
    <mergeCell ref="J201:L201"/>
    <mergeCell ref="E193:J193"/>
    <mergeCell ref="K193:L193"/>
    <mergeCell ref="N193:P193"/>
    <mergeCell ref="Q193:R193"/>
    <mergeCell ref="N201:R201"/>
    <mergeCell ref="E192:J192"/>
    <mergeCell ref="K192:L192"/>
    <mergeCell ref="N192:P192"/>
    <mergeCell ref="Q192:R192"/>
    <mergeCell ref="E196:J196"/>
    <mergeCell ref="K196:L196"/>
    <mergeCell ref="N196:P196"/>
    <mergeCell ref="Q196:R196"/>
    <mergeCell ref="E194:J194"/>
    <mergeCell ref="B197:M197"/>
    <mergeCell ref="N197:P197"/>
    <mergeCell ref="Q197:R197"/>
    <mergeCell ref="E195:J195"/>
    <mergeCell ref="K195:L195"/>
    <mergeCell ref="N195:P195"/>
    <mergeCell ref="Q195:R195"/>
    <mergeCell ref="K194:L194"/>
    <mergeCell ref="N194:P194"/>
    <mergeCell ref="Q194:R194"/>
  </mergeCells>
  <phoneticPr fontId="22" type="noConversion"/>
  <conditionalFormatting sqref="O171:R171 B171 K171:M171 O131:R131 B131 K131:M131 O91:R91 B91 K91:M91 O11:R11 B11 K11:M11 O51:R51 B51 K51:M51">
    <cfRule type="cellIs" dxfId="176" priority="6" stopIfTrue="1" operator="lessThanOrEqual">
      <formula>0</formula>
    </cfRule>
  </conditionalFormatting>
  <conditionalFormatting sqref="Q197:R197 J201:L201 D201:E201 J161:L161 D161:E161 Q157:R157 Q117 D121:E121 J121 D41:E41 Q37:R37 J81:L81 D81:E81 Q77:R77 I41">
    <cfRule type="cellIs" dxfId="175" priority="7" stopIfTrue="1" operator="equal">
      <formula>0</formula>
    </cfRule>
  </conditionalFormatting>
  <conditionalFormatting sqref="B16:R35 B57:R75 B97:R115 B137:R155 B177:R195">
    <cfRule type="expression" dxfId="174" priority="3" stopIfTrue="1">
      <formula>$S16=1</formula>
    </cfRule>
    <cfRule type="cellIs" dxfId="173" priority="4" stopIfTrue="1" operator="equal">
      <formula>0</formula>
    </cfRule>
  </conditionalFormatting>
  <dataValidations count="1">
    <dataValidation type="list" allowBlank="1" showInputMessage="1" showErrorMessage="1" sqref="B177:B196 B97:B116 B57:B76 B137:B156">
      <formula1>"CF,NF,Outros"</formula1>
    </dataValidation>
  </dataValidations>
  <printOptions horizontalCentered="1" verticalCentered="1"/>
  <pageMargins left="7.874015748031496E-2" right="0" top="0.19685039370078741" bottom="0.19685039370078741" header="0.19685039370078741" footer="0.19685039370078741"/>
  <pageSetup paperSize="9" scale="88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indexed="47"/>
    <pageSetUpPr fitToPage="1"/>
  </sheetPr>
  <dimension ref="A1:AC51"/>
  <sheetViews>
    <sheetView showGridLines="0" showRowColHeaders="0" view="pageBreakPreview" zoomScaleNormal="85" zoomScaleSheetLayoutView="100" workbookViewId="0">
      <pane ySplit="1" topLeftCell="A2" activePane="bottomLeft" state="frozen"/>
      <selection pane="bottomLeft"/>
    </sheetView>
  </sheetViews>
  <sheetFormatPr defaultColWidth="0" defaultRowHeight="15" zeroHeight="1" x14ac:dyDescent="0.2"/>
  <cols>
    <col min="1" max="1" width="5" style="346" customWidth="1"/>
    <col min="2" max="2" width="11.28515625" style="346" customWidth="1"/>
    <col min="3" max="4" width="10.28515625" style="346" customWidth="1"/>
    <col min="5" max="5" width="6.7109375" style="346" customWidth="1"/>
    <col min="6" max="6" width="8.7109375" style="346" customWidth="1"/>
    <col min="7" max="7" width="12.42578125" style="346" customWidth="1"/>
    <col min="8" max="8" width="17.28515625" style="346" customWidth="1"/>
    <col min="9" max="9" width="3.140625" style="346" customWidth="1"/>
    <col min="10" max="10" width="10.5703125" style="346" customWidth="1"/>
    <col min="11" max="11" width="3.28515625" style="346" customWidth="1"/>
    <col min="12" max="12" width="10.28515625" style="346" customWidth="1"/>
    <col min="13" max="13" width="3.7109375" style="346" customWidth="1"/>
    <col min="14" max="14" width="12.42578125" style="346" customWidth="1"/>
    <col min="15" max="15" width="14.5703125" style="346" customWidth="1"/>
    <col min="16" max="16" width="4.5703125" style="346" customWidth="1"/>
    <col min="17" max="17" width="11.5703125" style="346" customWidth="1"/>
    <col min="18" max="18" width="13.42578125" style="346" customWidth="1"/>
    <col min="19" max="19" width="3.85546875" style="346" hidden="1" customWidth="1"/>
    <col min="20" max="20" width="18.42578125" style="346" hidden="1" customWidth="1"/>
    <col min="21" max="21" width="15.5703125" style="346" hidden="1" customWidth="1"/>
    <col min="22" max="22" width="10.28515625" style="346" hidden="1" customWidth="1"/>
    <col min="23" max="23" width="4.5703125" style="346" hidden="1" customWidth="1"/>
    <col min="24" max="24" width="10.28515625" style="346" hidden="1" customWidth="1"/>
    <col min="25" max="25" width="15.7109375" style="346" hidden="1" customWidth="1"/>
    <col min="26" max="26" width="10.28515625" style="346" hidden="1" customWidth="1"/>
    <col min="27" max="27" width="3.85546875" style="346" hidden="1" customWidth="1"/>
    <col min="28" max="28" width="11.7109375" style="346" customWidth="1"/>
    <col min="29" max="29" width="0" style="346" hidden="1" customWidth="1"/>
    <col min="30" max="16384" width="10.28515625" style="346" hidden="1"/>
  </cols>
  <sheetData>
    <row r="1" spans="1:28" s="344" customFormat="1" ht="37.5" customHeight="1" x14ac:dyDescent="0.25">
      <c r="A1" s="1015" t="str">
        <f>IF(Dados!$E$3="","",Dados!$E$3)</f>
        <v/>
      </c>
      <c r="B1" s="914"/>
      <c r="C1" s="914"/>
      <c r="D1" s="914"/>
      <c r="E1" s="914"/>
      <c r="F1" s="915"/>
      <c r="G1" s="915"/>
      <c r="H1" s="914"/>
      <c r="I1" s="914"/>
      <c r="J1" s="916"/>
      <c r="K1" s="916"/>
      <c r="L1" s="916"/>
      <c r="M1" s="914"/>
      <c r="N1" s="914"/>
      <c r="O1" s="914"/>
      <c r="P1" s="914"/>
      <c r="Q1" s="914"/>
      <c r="R1" s="914"/>
      <c r="S1" s="343"/>
      <c r="U1" s="344">
        <v>1</v>
      </c>
      <c r="V1" s="344">
        <v>1</v>
      </c>
      <c r="AB1" s="923"/>
    </row>
    <row r="2" spans="1:28" s="344" customFormat="1" ht="15.75" customHeight="1" x14ac:dyDescent="0.25">
      <c r="A2" s="914"/>
      <c r="B2" s="926">
        <f>Dados!$K$3</f>
        <v>0</v>
      </c>
      <c r="C2" s="927"/>
      <c r="D2" s="1834" t="s">
        <v>298</v>
      </c>
      <c r="E2" s="1834"/>
      <c r="F2" s="1834"/>
      <c r="G2" s="1834"/>
      <c r="H2" s="1834"/>
      <c r="I2" s="1834"/>
      <c r="J2" s="1834"/>
      <c r="K2" s="928"/>
      <c r="L2" s="1835"/>
      <c r="M2" s="1835"/>
      <c r="N2" s="1835"/>
      <c r="O2" s="1835"/>
      <c r="P2" s="927"/>
      <c r="Q2" s="927"/>
      <c r="R2" s="927"/>
      <c r="S2" s="343"/>
      <c r="AA2" s="1831"/>
      <c r="AB2" s="923"/>
    </row>
    <row r="3" spans="1:28" s="344" customFormat="1" ht="13.5" customHeight="1" x14ac:dyDescent="0.25">
      <c r="A3" s="914"/>
      <c r="B3" s="929"/>
      <c r="C3" s="927"/>
      <c r="D3" s="1834" t="s">
        <v>300</v>
      </c>
      <c r="E3" s="1834"/>
      <c r="F3" s="1834"/>
      <c r="G3" s="1834"/>
      <c r="H3" s="1834"/>
      <c r="I3" s="1834"/>
      <c r="J3" s="1834"/>
      <c r="K3" s="928"/>
      <c r="L3" s="1835"/>
      <c r="M3" s="1835"/>
      <c r="N3" s="1835"/>
      <c r="O3" s="1835"/>
      <c r="P3" s="927"/>
      <c r="Q3" s="927"/>
      <c r="R3" s="927"/>
      <c r="S3" s="343"/>
      <c r="AA3" s="1831"/>
      <c r="AB3" s="923"/>
    </row>
    <row r="4" spans="1:28" ht="21" customHeight="1" x14ac:dyDescent="0.25">
      <c r="A4" s="917"/>
      <c r="B4" s="930"/>
      <c r="C4" s="931"/>
      <c r="D4" s="1798" t="s">
        <v>302</v>
      </c>
      <c r="E4" s="1798"/>
      <c r="F4" s="1798"/>
      <c r="G4" s="1798"/>
      <c r="H4" s="1798"/>
      <c r="I4" s="1798"/>
      <c r="J4" s="1798"/>
      <c r="K4" s="1798"/>
      <c r="L4" s="1798"/>
      <c r="M4" s="1798"/>
      <c r="N4" s="932"/>
      <c r="O4" s="933"/>
      <c r="P4" s="932"/>
      <c r="Q4" s="930"/>
      <c r="R4" s="932" t="s">
        <v>256</v>
      </c>
      <c r="S4" s="345"/>
      <c r="AA4" s="1831"/>
      <c r="AB4" s="920"/>
    </row>
    <row r="5" spans="1:28" ht="18" customHeight="1" x14ac:dyDescent="0.25">
      <c r="A5" s="917"/>
      <c r="B5" s="930"/>
      <c r="C5" s="931"/>
      <c r="D5" s="930"/>
      <c r="E5" s="930"/>
      <c r="F5" s="934"/>
      <c r="G5" s="930"/>
      <c r="H5" s="930"/>
      <c r="I5" s="935"/>
      <c r="J5" s="935"/>
      <c r="K5" s="935"/>
      <c r="L5" s="935"/>
      <c r="M5" s="933"/>
      <c r="N5" s="935"/>
      <c r="O5" s="933"/>
      <c r="P5" s="935"/>
      <c r="Q5" s="930"/>
      <c r="R5" s="935" t="s">
        <v>257</v>
      </c>
      <c r="S5" s="345"/>
      <c r="AA5" s="1831"/>
      <c r="AB5" s="920"/>
    </row>
    <row r="6" spans="1:28" s="344" customFormat="1" ht="7.5" hidden="1" customHeight="1" x14ac:dyDescent="0.25">
      <c r="A6" s="230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343"/>
      <c r="AA6" s="1831"/>
      <c r="AB6" s="923"/>
    </row>
    <row r="7" spans="1:28" x14ac:dyDescent="0.2">
      <c r="A7" s="917"/>
      <c r="B7" s="1799" t="s">
        <v>90</v>
      </c>
      <c r="C7" s="1799"/>
      <c r="D7" s="1799"/>
      <c r="E7" s="1799"/>
      <c r="F7" s="1799"/>
      <c r="G7" s="1799"/>
      <c r="H7" s="1799"/>
      <c r="I7" s="1799"/>
      <c r="J7" s="1799"/>
      <c r="K7" s="1799"/>
      <c r="L7" s="1799"/>
      <c r="M7" s="1799"/>
      <c r="N7" s="1799"/>
      <c r="O7" s="1799"/>
      <c r="P7" s="1799"/>
      <c r="Q7" s="1799"/>
      <c r="R7" s="1799"/>
      <c r="S7" s="347"/>
      <c r="AA7" s="1831"/>
      <c r="AB7" s="920"/>
    </row>
    <row r="8" spans="1:28" s="349" customFormat="1" ht="11.25" customHeight="1" x14ac:dyDescent="0.2">
      <c r="A8" s="918"/>
      <c r="B8" s="232" t="s">
        <v>169</v>
      </c>
      <c r="C8" s="1755" t="str">
        <f>MOD_2!$E$10</f>
        <v>APM da(o)</v>
      </c>
      <c r="D8" s="1755"/>
      <c r="E8" s="1755"/>
      <c r="F8" s="1755"/>
      <c r="G8" s="1755"/>
      <c r="H8" s="1755"/>
      <c r="I8" s="233"/>
      <c r="J8" s="234"/>
      <c r="K8" s="1748" t="s">
        <v>258</v>
      </c>
      <c r="L8" s="1749"/>
      <c r="M8" s="1750"/>
      <c r="N8" s="263" t="s">
        <v>164</v>
      </c>
      <c r="O8" s="1756" t="s">
        <v>249</v>
      </c>
      <c r="P8" s="1757"/>
      <c r="Q8" s="1758"/>
      <c r="R8" s="235" t="s">
        <v>259</v>
      </c>
      <c r="S8" s="348"/>
      <c r="AA8" s="1831"/>
      <c r="AB8" s="924"/>
    </row>
    <row r="9" spans="1:28" ht="18.75" customHeight="1" x14ac:dyDescent="0.2">
      <c r="A9" s="917"/>
      <c r="B9" s="1754" t="str">
        <f>Dados!$E$67</f>
        <v/>
      </c>
      <c r="C9" s="1745"/>
      <c r="D9" s="1745"/>
      <c r="E9" s="1745"/>
      <c r="F9" s="1745"/>
      <c r="G9" s="1745"/>
      <c r="H9" s="1745"/>
      <c r="I9" s="1745"/>
      <c r="J9" s="1746"/>
      <c r="K9" s="1751" t="str">
        <f>Dados!$E$71</f>
        <v/>
      </c>
      <c r="L9" s="1752"/>
      <c r="M9" s="1753"/>
      <c r="N9" s="236" t="str">
        <f>Dados!$H$71</f>
        <v/>
      </c>
      <c r="O9" s="1745" t="str">
        <f>Dados!$E$7</f>
        <v/>
      </c>
      <c r="P9" s="1745"/>
      <c r="Q9" s="1746"/>
      <c r="R9" s="237" t="str">
        <f>Dados!$E$9</f>
        <v/>
      </c>
      <c r="S9" s="347"/>
      <c r="AA9" s="1831"/>
      <c r="AB9" s="920"/>
    </row>
    <row r="10" spans="1:28" ht="4.5" customHeight="1" x14ac:dyDescent="0.2">
      <c r="A10" s="917"/>
      <c r="B10" s="1747"/>
      <c r="C10" s="1747"/>
      <c r="D10" s="1747"/>
      <c r="E10" s="1747"/>
      <c r="F10" s="1747"/>
      <c r="G10" s="1747"/>
      <c r="H10" s="1747"/>
      <c r="I10" s="1747"/>
      <c r="J10" s="1747"/>
      <c r="K10" s="1747"/>
      <c r="L10" s="1747"/>
      <c r="M10" s="1747"/>
      <c r="N10" s="1747"/>
      <c r="O10" s="1747"/>
      <c r="P10" s="1747"/>
      <c r="Q10" s="1747"/>
      <c r="R10" s="1747"/>
      <c r="S10" s="347"/>
      <c r="AA10" s="1831"/>
      <c r="AB10" s="920"/>
    </row>
    <row r="11" spans="1:28" x14ac:dyDescent="0.2">
      <c r="A11" s="917"/>
      <c r="B11" s="1799" t="s">
        <v>260</v>
      </c>
      <c r="C11" s="1799"/>
      <c r="D11" s="1799"/>
      <c r="E11" s="1799"/>
      <c r="F11" s="1799"/>
      <c r="G11" s="1799"/>
      <c r="H11" s="1799"/>
      <c r="I11" s="1799"/>
      <c r="J11" s="1799"/>
      <c r="K11" s="1799"/>
      <c r="L11" s="1799"/>
      <c r="M11" s="1799"/>
      <c r="N11" s="1799"/>
      <c r="O11" s="1799"/>
      <c r="P11" s="1799"/>
      <c r="Q11" s="1799"/>
      <c r="R11" s="1799"/>
      <c r="S11" s="347"/>
      <c r="AA11" s="1831"/>
      <c r="AB11" s="920"/>
    </row>
    <row r="12" spans="1:28" ht="12" customHeight="1" x14ac:dyDescent="0.2">
      <c r="A12" s="917"/>
      <c r="B12" s="235" t="s">
        <v>261</v>
      </c>
      <c r="C12" s="1759" t="s">
        <v>148</v>
      </c>
      <c r="D12" s="1760"/>
      <c r="E12" s="1761"/>
      <c r="F12" s="1759" t="s">
        <v>262</v>
      </c>
      <c r="G12" s="1760"/>
      <c r="H12" s="1761"/>
      <c r="I12" s="1759" t="s">
        <v>263</v>
      </c>
      <c r="J12" s="1760"/>
      <c r="K12" s="1760"/>
      <c r="L12" s="1760"/>
      <c r="M12" s="1761"/>
      <c r="N12" s="1812" t="s">
        <v>149</v>
      </c>
      <c r="O12" s="1813"/>
      <c r="P12" s="1759" t="s">
        <v>112</v>
      </c>
      <c r="Q12" s="1760"/>
      <c r="R12" s="1761"/>
      <c r="S12" s="350"/>
      <c r="T12" s="351"/>
      <c r="U12" s="351"/>
      <c r="V12" s="351"/>
      <c r="AA12" s="1831"/>
      <c r="AB12" s="920"/>
    </row>
    <row r="13" spans="1:28" s="353" customFormat="1" ht="35.25" customHeight="1" x14ac:dyDescent="0.2">
      <c r="A13" s="919"/>
      <c r="B13" s="272" t="str">
        <f>Dados!$H$100</f>
        <v/>
      </c>
      <c r="C13" s="1805" t="str">
        <f>Dados!$E$96</f>
        <v/>
      </c>
      <c r="D13" s="1806"/>
      <c r="E13" s="1807"/>
      <c r="F13" s="1805" t="str">
        <f>Dados!$G$96</f>
        <v/>
      </c>
      <c r="G13" s="1806"/>
      <c r="H13" s="1807"/>
      <c r="I13" s="238" t="s">
        <v>152</v>
      </c>
      <c r="J13" s="163" t="str">
        <f>Dados!$G$9</f>
        <v/>
      </c>
      <c r="K13" s="239" t="s">
        <v>292</v>
      </c>
      <c r="L13" s="1803" t="str">
        <f>Dados!$I$9</f>
        <v/>
      </c>
      <c r="M13" s="1804"/>
      <c r="N13" s="1808" t="str">
        <f>Dados!$E$102</f>
        <v/>
      </c>
      <c r="O13" s="1809"/>
      <c r="P13" s="240" t="s">
        <v>113</v>
      </c>
      <c r="Q13" s="1810">
        <f>Dados!$G$102</f>
        <v>0</v>
      </c>
      <c r="R13" s="1811"/>
      <c r="S13" s="352"/>
      <c r="AA13" s="1831"/>
      <c r="AB13" s="925"/>
    </row>
    <row r="14" spans="1:28" ht="4.5" customHeight="1" x14ac:dyDescent="0.25">
      <c r="A14" s="917"/>
      <c r="B14" s="241"/>
      <c r="C14" s="241"/>
      <c r="D14" s="241"/>
      <c r="E14" s="241"/>
      <c r="F14" s="241"/>
      <c r="G14" s="241"/>
      <c r="H14" s="241"/>
      <c r="I14" s="241"/>
      <c r="J14" s="241"/>
      <c r="K14" s="242"/>
      <c r="L14" s="242"/>
      <c r="M14" s="243"/>
      <c r="N14" s="244"/>
      <c r="O14" s="245"/>
      <c r="P14" s="245"/>
      <c r="Q14" s="245"/>
      <c r="R14" s="245"/>
      <c r="S14" s="347"/>
      <c r="AA14" s="1831"/>
      <c r="AB14" s="920"/>
    </row>
    <row r="15" spans="1:28" ht="14.25" customHeight="1" x14ac:dyDescent="0.2">
      <c r="A15" s="917"/>
      <c r="B15" s="1800" t="s">
        <v>114</v>
      </c>
      <c r="C15" s="1801"/>
      <c r="D15" s="1801"/>
      <c r="E15" s="1801"/>
      <c r="F15" s="1801"/>
      <c r="G15" s="1801"/>
      <c r="H15" s="1801"/>
      <c r="I15" s="1801"/>
      <c r="J15" s="1801"/>
      <c r="K15" s="1801"/>
      <c r="L15" s="1801"/>
      <c r="M15" s="1801"/>
      <c r="N15" s="1801"/>
      <c r="O15" s="1801"/>
      <c r="P15" s="1801"/>
      <c r="Q15" s="1801"/>
      <c r="R15" s="1802"/>
      <c r="S15" s="347"/>
      <c r="AA15" s="1831"/>
      <c r="AB15" s="920"/>
    </row>
    <row r="16" spans="1:28" ht="15.75" customHeight="1" x14ac:dyDescent="0.2">
      <c r="A16" s="917"/>
      <c r="B16" s="1814" t="s">
        <v>115</v>
      </c>
      <c r="C16" s="1815"/>
      <c r="D16" s="1815"/>
      <c r="E16" s="1815"/>
      <c r="F16" s="1815"/>
      <c r="G16" s="1815"/>
      <c r="H16" s="1815"/>
      <c r="I16" s="1816"/>
      <c r="J16" s="1814" t="s">
        <v>153</v>
      </c>
      <c r="K16" s="1815"/>
      <c r="L16" s="1815"/>
      <c r="M16" s="1815"/>
      <c r="N16" s="1815"/>
      <c r="O16" s="1815"/>
      <c r="P16" s="1816"/>
      <c r="Q16" s="1759" t="s">
        <v>150</v>
      </c>
      <c r="R16" s="1761"/>
      <c r="S16" s="347"/>
      <c r="AA16" s="1831"/>
      <c r="AB16" s="920"/>
    </row>
    <row r="17" spans="1:28" ht="24" customHeight="1" x14ac:dyDescent="0.2">
      <c r="A17" s="917"/>
      <c r="B17" s="246" t="s">
        <v>282</v>
      </c>
      <c r="C17" s="1767" t="s">
        <v>116</v>
      </c>
      <c r="D17" s="1768"/>
      <c r="E17" s="1768"/>
      <c r="F17" s="1769"/>
      <c r="G17" s="247" t="s">
        <v>207</v>
      </c>
      <c r="H17" s="1767" t="s">
        <v>118</v>
      </c>
      <c r="I17" s="1769"/>
      <c r="J17" s="1767" t="s">
        <v>154</v>
      </c>
      <c r="K17" s="1768"/>
      <c r="L17" s="1768"/>
      <c r="M17" s="1769"/>
      <c r="N17" s="247" t="s">
        <v>117</v>
      </c>
      <c r="O17" s="1763" t="s">
        <v>118</v>
      </c>
      <c r="P17" s="1763"/>
      <c r="Q17" s="248"/>
      <c r="R17" s="249"/>
      <c r="S17" s="347"/>
      <c r="AA17" s="1831"/>
      <c r="AB17" s="920"/>
    </row>
    <row r="18" spans="1:28" ht="15.75" customHeight="1" x14ac:dyDescent="0.2">
      <c r="A18" s="917"/>
      <c r="B18" s="266"/>
      <c r="C18" s="1774"/>
      <c r="D18" s="1775"/>
      <c r="E18" s="1775"/>
      <c r="F18" s="1776"/>
      <c r="G18" s="267"/>
      <c r="H18" s="1762"/>
      <c r="I18" s="1762"/>
      <c r="J18" s="1764" t="str">
        <f>IF(O18="","",IF(O18=0,"","Não Compensado  Repasse Anterior"))</f>
        <v/>
      </c>
      <c r="K18" s="1765"/>
      <c r="L18" s="1765"/>
      <c r="M18" s="1766"/>
      <c r="N18" s="265"/>
      <c r="O18" s="1770">
        <f>IF(Dados!$I$133="",0,Dados!$I$133)</f>
        <v>0</v>
      </c>
      <c r="P18" s="1771"/>
      <c r="Q18" s="1772">
        <f>Q13+(H18-O18)</f>
        <v>0</v>
      </c>
      <c r="R18" s="1773"/>
      <c r="S18" s="354">
        <f>IF(O18=0,0,1)</f>
        <v>0</v>
      </c>
      <c r="T18" s="355" t="s">
        <v>294</v>
      </c>
      <c r="U18" s="355" t="s">
        <v>294</v>
      </c>
      <c r="V18" s="355" t="s">
        <v>293</v>
      </c>
      <c r="W18" s="355"/>
      <c r="X18" s="355" t="s">
        <v>294</v>
      </c>
      <c r="Y18" s="355" t="s">
        <v>208</v>
      </c>
      <c r="AA18" s="1831"/>
      <c r="AB18" s="920"/>
    </row>
    <row r="19" spans="1:28" ht="15.75" customHeight="1" x14ac:dyDescent="0.2">
      <c r="A19" s="920"/>
      <c r="B19" s="364"/>
      <c r="C19" s="1737"/>
      <c r="D19" s="1738"/>
      <c r="E19" s="1738"/>
      <c r="F19" s="1739"/>
      <c r="G19" s="365"/>
      <c r="H19" s="1740"/>
      <c r="I19" s="1741"/>
      <c r="J19" s="1744" t="str">
        <f>IF(Despesas!$BQ4="","","Cheque nº: "&amp;Despesas!$BQ4)</f>
        <v/>
      </c>
      <c r="K19" s="1744"/>
      <c r="L19" s="1744"/>
      <c r="M19" s="1744"/>
      <c r="N19" s="274" t="str">
        <f>IF(Despesas!$BT4="","",Despesas!$BT4)</f>
        <v/>
      </c>
      <c r="O19" s="1742">
        <f>IF(Despesas!$BU4="",0,Despesas!$BU4)</f>
        <v>0</v>
      </c>
      <c r="P19" s="1743"/>
      <c r="Q19" s="1735">
        <f t="shared" ref="Q19:Q34" si="0">IF(O19+H19=0,0,Q18+(H19-O19))</f>
        <v>0</v>
      </c>
      <c r="R19" s="1736"/>
      <c r="S19" s="356">
        <f t="shared" ref="S19:S34" si="1">IF(O19=0,0,1)</f>
        <v>0</v>
      </c>
      <c r="T19" s="357" t="str">
        <f>IF(Q19=0,"",Q19)</f>
        <v/>
      </c>
      <c r="U19" s="358" t="str">
        <f>IF(G19="CUSTEIO",H19,"")</f>
        <v/>
      </c>
      <c r="V19" s="358" t="str">
        <f>IF(G19="CAPITAL",H19,"")</f>
        <v/>
      </c>
      <c r="X19" s="357">
        <f>O19</f>
        <v>0</v>
      </c>
      <c r="Y19" s="357">
        <f>H19+O19</f>
        <v>0</v>
      </c>
      <c r="AA19" s="1831"/>
      <c r="AB19" s="920"/>
    </row>
    <row r="20" spans="1:28" ht="15.75" customHeight="1" x14ac:dyDescent="0.2">
      <c r="A20" s="920"/>
      <c r="B20" s="364"/>
      <c r="C20" s="1737"/>
      <c r="D20" s="1738"/>
      <c r="E20" s="1738"/>
      <c r="F20" s="1739"/>
      <c r="G20" s="365"/>
      <c r="H20" s="1740"/>
      <c r="I20" s="1741"/>
      <c r="J20" s="1744" t="str">
        <f>IF(Despesas!$BQ5="","","Cheque nº: "&amp;Despesas!$BQ5)</f>
        <v/>
      </c>
      <c r="K20" s="1744"/>
      <c r="L20" s="1744"/>
      <c r="M20" s="1744"/>
      <c r="N20" s="274" t="str">
        <f>IF(Despesas!$BT5="","",Despesas!$BT5)</f>
        <v/>
      </c>
      <c r="O20" s="1742">
        <f>IF(Despesas!$BU5="",0,Despesas!$BU5)</f>
        <v>0</v>
      </c>
      <c r="P20" s="1743"/>
      <c r="Q20" s="1735">
        <f t="shared" si="0"/>
        <v>0</v>
      </c>
      <c r="R20" s="1736"/>
      <c r="S20" s="356">
        <f t="shared" si="1"/>
        <v>0</v>
      </c>
      <c r="T20" s="357" t="str">
        <f t="shared" ref="T20:T34" si="2">IF(Q20=0,"",Q20)</f>
        <v/>
      </c>
      <c r="U20" s="358" t="str">
        <f t="shared" ref="U20:U34" si="3">IF(G20="CUSTEIO",H20,"")</f>
        <v/>
      </c>
      <c r="V20" s="358" t="str">
        <f t="shared" ref="V20:V34" si="4">IF(G20="CAPITAL",H20,"")</f>
        <v/>
      </c>
      <c r="X20" s="357">
        <f t="shared" ref="X20:X34" si="5">O20</f>
        <v>0</v>
      </c>
      <c r="Y20" s="357">
        <f t="shared" ref="Y20:Y34" si="6">H20+O20</f>
        <v>0</v>
      </c>
      <c r="AA20" s="1831"/>
      <c r="AB20" s="920"/>
    </row>
    <row r="21" spans="1:28" ht="15.75" customHeight="1" x14ac:dyDescent="0.2">
      <c r="A21" s="920"/>
      <c r="B21" s="364"/>
      <c r="C21" s="1737"/>
      <c r="D21" s="1738"/>
      <c r="E21" s="1738"/>
      <c r="F21" s="1739"/>
      <c r="G21" s="365"/>
      <c r="H21" s="1740"/>
      <c r="I21" s="1741"/>
      <c r="J21" s="1744" t="str">
        <f>IF(Despesas!$BQ6="","","Cheque nº: "&amp;Despesas!$BQ6)</f>
        <v/>
      </c>
      <c r="K21" s="1744"/>
      <c r="L21" s="1744"/>
      <c r="M21" s="1744"/>
      <c r="N21" s="274" t="str">
        <f>IF(Despesas!$BT6="","",Despesas!$BT6)</f>
        <v/>
      </c>
      <c r="O21" s="1742">
        <f>IF(Despesas!$BU6="",0,Despesas!$BU6)</f>
        <v>0</v>
      </c>
      <c r="P21" s="1743"/>
      <c r="Q21" s="1735">
        <f t="shared" si="0"/>
        <v>0</v>
      </c>
      <c r="R21" s="1736"/>
      <c r="S21" s="356">
        <f t="shared" si="1"/>
        <v>0</v>
      </c>
      <c r="T21" s="357" t="str">
        <f t="shared" si="2"/>
        <v/>
      </c>
      <c r="U21" s="358" t="str">
        <f t="shared" si="3"/>
        <v/>
      </c>
      <c r="V21" s="358" t="str">
        <f t="shared" si="4"/>
        <v/>
      </c>
      <c r="X21" s="357">
        <f t="shared" si="5"/>
        <v>0</v>
      </c>
      <c r="Y21" s="357">
        <f t="shared" si="6"/>
        <v>0</v>
      </c>
      <c r="AA21" s="1831"/>
      <c r="AB21" s="920"/>
    </row>
    <row r="22" spans="1:28" ht="15.75" customHeight="1" x14ac:dyDescent="0.2">
      <c r="A22" s="920"/>
      <c r="B22" s="364"/>
      <c r="C22" s="1737"/>
      <c r="D22" s="1738"/>
      <c r="E22" s="1738"/>
      <c r="F22" s="1739"/>
      <c r="G22" s="365"/>
      <c r="H22" s="1740"/>
      <c r="I22" s="1741"/>
      <c r="J22" s="1744" t="str">
        <f>IF(Despesas!$BQ7="","","Cheque nº: "&amp;Despesas!$BQ7)</f>
        <v/>
      </c>
      <c r="K22" s="1744"/>
      <c r="L22" s="1744"/>
      <c r="M22" s="1744"/>
      <c r="N22" s="274" t="str">
        <f>IF(Despesas!$BT7="","",Despesas!$BT7)</f>
        <v/>
      </c>
      <c r="O22" s="1742">
        <f>IF(Despesas!$BU7="",0,Despesas!$BU7)</f>
        <v>0</v>
      </c>
      <c r="P22" s="1743"/>
      <c r="Q22" s="1735">
        <f t="shared" si="0"/>
        <v>0</v>
      </c>
      <c r="R22" s="1736"/>
      <c r="S22" s="356">
        <f t="shared" si="1"/>
        <v>0</v>
      </c>
      <c r="T22" s="357" t="str">
        <f t="shared" si="2"/>
        <v/>
      </c>
      <c r="U22" s="358" t="str">
        <f t="shared" si="3"/>
        <v/>
      </c>
      <c r="V22" s="358" t="str">
        <f t="shared" si="4"/>
        <v/>
      </c>
      <c r="X22" s="357">
        <f t="shared" si="5"/>
        <v>0</v>
      </c>
      <c r="Y22" s="357">
        <f t="shared" si="6"/>
        <v>0</v>
      </c>
      <c r="AA22" s="1831"/>
      <c r="AB22" s="920"/>
    </row>
    <row r="23" spans="1:28" ht="15.75" customHeight="1" x14ac:dyDescent="0.2">
      <c r="A23" s="920"/>
      <c r="B23" s="364"/>
      <c r="C23" s="1737"/>
      <c r="D23" s="1738"/>
      <c r="E23" s="1738"/>
      <c r="F23" s="1739"/>
      <c r="G23" s="365"/>
      <c r="H23" s="1740"/>
      <c r="I23" s="1741"/>
      <c r="J23" s="1744" t="str">
        <f>IF(Despesas!$BQ8="","","Cheque nº: "&amp;Despesas!$BQ8)</f>
        <v/>
      </c>
      <c r="K23" s="1744"/>
      <c r="L23" s="1744"/>
      <c r="M23" s="1744"/>
      <c r="N23" s="274" t="str">
        <f>IF(Despesas!$BT8="","",Despesas!$BT8)</f>
        <v/>
      </c>
      <c r="O23" s="1742">
        <f>IF(Despesas!$BU8="",0,Despesas!$BU8)</f>
        <v>0</v>
      </c>
      <c r="P23" s="1743"/>
      <c r="Q23" s="1735">
        <f t="shared" si="0"/>
        <v>0</v>
      </c>
      <c r="R23" s="1736"/>
      <c r="S23" s="356">
        <f t="shared" si="1"/>
        <v>0</v>
      </c>
      <c r="T23" s="357" t="str">
        <f t="shared" si="2"/>
        <v/>
      </c>
      <c r="U23" s="358" t="str">
        <f t="shared" si="3"/>
        <v/>
      </c>
      <c r="V23" s="358" t="str">
        <f t="shared" si="4"/>
        <v/>
      </c>
      <c r="X23" s="357">
        <f t="shared" si="5"/>
        <v>0</v>
      </c>
      <c r="Y23" s="357">
        <f t="shared" si="6"/>
        <v>0</v>
      </c>
      <c r="AA23" s="1831"/>
      <c r="AB23" s="920"/>
    </row>
    <row r="24" spans="1:28" ht="15.75" customHeight="1" x14ac:dyDescent="0.2">
      <c r="A24" s="920"/>
      <c r="B24" s="364"/>
      <c r="C24" s="1737"/>
      <c r="D24" s="1738"/>
      <c r="E24" s="1738"/>
      <c r="F24" s="1739"/>
      <c r="G24" s="365"/>
      <c r="H24" s="1740"/>
      <c r="I24" s="1741"/>
      <c r="J24" s="1744" t="str">
        <f>IF(Despesas!$BQ9="","","Cheque nº: "&amp;Despesas!$BQ9)</f>
        <v/>
      </c>
      <c r="K24" s="1744"/>
      <c r="L24" s="1744"/>
      <c r="M24" s="1744"/>
      <c r="N24" s="274" t="str">
        <f>IF(Despesas!$BT9="","",Despesas!$BT9)</f>
        <v/>
      </c>
      <c r="O24" s="1742">
        <f>IF(Despesas!$BU9="",0,Despesas!$BU9)</f>
        <v>0</v>
      </c>
      <c r="P24" s="1743"/>
      <c r="Q24" s="1735">
        <f t="shared" si="0"/>
        <v>0</v>
      </c>
      <c r="R24" s="1736"/>
      <c r="S24" s="356">
        <f t="shared" si="1"/>
        <v>0</v>
      </c>
      <c r="T24" s="357" t="str">
        <f t="shared" si="2"/>
        <v/>
      </c>
      <c r="U24" s="358" t="str">
        <f t="shared" si="3"/>
        <v/>
      </c>
      <c r="V24" s="358" t="str">
        <f t="shared" si="4"/>
        <v/>
      </c>
      <c r="X24" s="357">
        <f t="shared" si="5"/>
        <v>0</v>
      </c>
      <c r="Y24" s="357">
        <f t="shared" si="6"/>
        <v>0</v>
      </c>
      <c r="AA24" s="1831"/>
      <c r="AB24" s="920"/>
    </row>
    <row r="25" spans="1:28" ht="15.75" customHeight="1" x14ac:dyDescent="0.2">
      <c r="A25" s="920"/>
      <c r="B25" s="364"/>
      <c r="C25" s="1737"/>
      <c r="D25" s="1738"/>
      <c r="E25" s="1738"/>
      <c r="F25" s="1739"/>
      <c r="G25" s="365"/>
      <c r="H25" s="1740"/>
      <c r="I25" s="1741"/>
      <c r="J25" s="1744" t="str">
        <f>IF(Despesas!$BQ10="","","Cheque nº: "&amp;Despesas!$BQ10)</f>
        <v/>
      </c>
      <c r="K25" s="1744"/>
      <c r="L25" s="1744"/>
      <c r="M25" s="1744"/>
      <c r="N25" s="274" t="str">
        <f>IF(Despesas!$BT10="","",Despesas!$BT10)</f>
        <v/>
      </c>
      <c r="O25" s="1742">
        <f>IF(Despesas!$BU10="",0,Despesas!$BU10)</f>
        <v>0</v>
      </c>
      <c r="P25" s="1743"/>
      <c r="Q25" s="1735">
        <f t="shared" si="0"/>
        <v>0</v>
      </c>
      <c r="R25" s="1736"/>
      <c r="S25" s="356">
        <f t="shared" si="1"/>
        <v>0</v>
      </c>
      <c r="T25" s="357" t="str">
        <f t="shared" si="2"/>
        <v/>
      </c>
      <c r="U25" s="358" t="str">
        <f t="shared" si="3"/>
        <v/>
      </c>
      <c r="V25" s="358" t="str">
        <f t="shared" si="4"/>
        <v/>
      </c>
      <c r="X25" s="357">
        <f t="shared" si="5"/>
        <v>0</v>
      </c>
      <c r="Y25" s="357">
        <f t="shared" si="6"/>
        <v>0</v>
      </c>
      <c r="AA25" s="1831"/>
      <c r="AB25" s="920"/>
    </row>
    <row r="26" spans="1:28" ht="15.75" customHeight="1" x14ac:dyDescent="0.2">
      <c r="A26" s="920"/>
      <c r="B26" s="364"/>
      <c r="C26" s="1737"/>
      <c r="D26" s="1738"/>
      <c r="E26" s="1738"/>
      <c r="F26" s="1739"/>
      <c r="G26" s="365"/>
      <c r="H26" s="1740"/>
      <c r="I26" s="1741"/>
      <c r="J26" s="1744" t="str">
        <f>IF(Despesas!$BQ11="","","Cheque nº: "&amp;Despesas!$BQ11)</f>
        <v/>
      </c>
      <c r="K26" s="1744"/>
      <c r="L26" s="1744"/>
      <c r="M26" s="1744"/>
      <c r="N26" s="274" t="str">
        <f>IF(Despesas!$BT11="","",Despesas!$BT11)</f>
        <v/>
      </c>
      <c r="O26" s="1742">
        <f>IF(Despesas!$BU11="",0,Despesas!$BU11)</f>
        <v>0</v>
      </c>
      <c r="P26" s="1743"/>
      <c r="Q26" s="1735">
        <f t="shared" si="0"/>
        <v>0</v>
      </c>
      <c r="R26" s="1736"/>
      <c r="S26" s="356">
        <f t="shared" si="1"/>
        <v>0</v>
      </c>
      <c r="T26" s="357" t="str">
        <f t="shared" si="2"/>
        <v/>
      </c>
      <c r="U26" s="358" t="str">
        <f t="shared" si="3"/>
        <v/>
      </c>
      <c r="V26" s="358" t="str">
        <f t="shared" si="4"/>
        <v/>
      </c>
      <c r="X26" s="357">
        <f t="shared" si="5"/>
        <v>0</v>
      </c>
      <c r="Y26" s="357">
        <f t="shared" si="6"/>
        <v>0</v>
      </c>
      <c r="AA26" s="1831"/>
      <c r="AB26" s="920"/>
    </row>
    <row r="27" spans="1:28" ht="15.75" customHeight="1" x14ac:dyDescent="0.2">
      <c r="A27" s="920"/>
      <c r="B27" s="364"/>
      <c r="C27" s="1737"/>
      <c r="D27" s="1738"/>
      <c r="E27" s="1738"/>
      <c r="F27" s="1739"/>
      <c r="G27" s="365"/>
      <c r="H27" s="1740"/>
      <c r="I27" s="1741"/>
      <c r="J27" s="1744" t="str">
        <f>IF(Despesas!$BQ12="","","Cheque nº: "&amp;Despesas!$BQ12)</f>
        <v/>
      </c>
      <c r="K27" s="1744"/>
      <c r="L27" s="1744"/>
      <c r="M27" s="1744"/>
      <c r="N27" s="274" t="str">
        <f>IF(Despesas!$BT12="","",Despesas!$BT12)</f>
        <v/>
      </c>
      <c r="O27" s="1742">
        <f>IF(Despesas!$BU12="",0,Despesas!$BU12)</f>
        <v>0</v>
      </c>
      <c r="P27" s="1743"/>
      <c r="Q27" s="1735">
        <f t="shared" si="0"/>
        <v>0</v>
      </c>
      <c r="R27" s="1736"/>
      <c r="S27" s="356">
        <f t="shared" si="1"/>
        <v>0</v>
      </c>
      <c r="T27" s="357" t="str">
        <f t="shared" si="2"/>
        <v/>
      </c>
      <c r="U27" s="358" t="str">
        <f t="shared" si="3"/>
        <v/>
      </c>
      <c r="V27" s="358" t="str">
        <f t="shared" si="4"/>
        <v/>
      </c>
      <c r="X27" s="357">
        <f t="shared" si="5"/>
        <v>0</v>
      </c>
      <c r="Y27" s="357">
        <f t="shared" si="6"/>
        <v>0</v>
      </c>
      <c r="AA27" s="1831"/>
      <c r="AB27" s="920"/>
    </row>
    <row r="28" spans="1:28" ht="15.75" customHeight="1" x14ac:dyDescent="0.2">
      <c r="A28" s="920"/>
      <c r="B28" s="364"/>
      <c r="C28" s="1737"/>
      <c r="D28" s="1738"/>
      <c r="E28" s="1738"/>
      <c r="F28" s="1739"/>
      <c r="G28" s="365"/>
      <c r="H28" s="1740"/>
      <c r="I28" s="1741"/>
      <c r="J28" s="1744" t="str">
        <f>IF(Despesas!$BQ13="","","Cheque nº: "&amp;Despesas!$BQ13)</f>
        <v/>
      </c>
      <c r="K28" s="1744"/>
      <c r="L28" s="1744"/>
      <c r="M28" s="1744"/>
      <c r="N28" s="274" t="str">
        <f>IF(Despesas!$BT13="","",Despesas!$BT13)</f>
        <v/>
      </c>
      <c r="O28" s="1742">
        <f>IF(Despesas!$BU13="",0,Despesas!$BU13)</f>
        <v>0</v>
      </c>
      <c r="P28" s="1743"/>
      <c r="Q28" s="1735">
        <f t="shared" si="0"/>
        <v>0</v>
      </c>
      <c r="R28" s="1736"/>
      <c r="S28" s="356">
        <f t="shared" si="1"/>
        <v>0</v>
      </c>
      <c r="T28" s="357" t="str">
        <f t="shared" si="2"/>
        <v/>
      </c>
      <c r="U28" s="358" t="str">
        <f t="shared" si="3"/>
        <v/>
      </c>
      <c r="V28" s="358" t="str">
        <f t="shared" si="4"/>
        <v/>
      </c>
      <c r="X28" s="357">
        <f t="shared" si="5"/>
        <v>0</v>
      </c>
      <c r="Y28" s="357">
        <f t="shared" si="6"/>
        <v>0</v>
      </c>
      <c r="AA28" s="1831"/>
      <c r="AB28" s="920"/>
    </row>
    <row r="29" spans="1:28" ht="15.75" customHeight="1" x14ac:dyDescent="0.2">
      <c r="A29" s="920"/>
      <c r="B29" s="364"/>
      <c r="C29" s="1737"/>
      <c r="D29" s="1738"/>
      <c r="E29" s="1738"/>
      <c r="F29" s="1739"/>
      <c r="G29" s="365"/>
      <c r="H29" s="1740"/>
      <c r="I29" s="1741"/>
      <c r="J29" s="1744" t="str">
        <f>IF(Despesas!$BQ14="","","Cheque nº: "&amp;Despesas!$BQ14)</f>
        <v/>
      </c>
      <c r="K29" s="1744"/>
      <c r="L29" s="1744"/>
      <c r="M29" s="1744"/>
      <c r="N29" s="274" t="str">
        <f>IF(Despesas!$BT14="","",Despesas!$BT14)</f>
        <v/>
      </c>
      <c r="O29" s="1742">
        <f>IF(Despesas!$BU14="",0,Despesas!$BU14)</f>
        <v>0</v>
      </c>
      <c r="P29" s="1743"/>
      <c r="Q29" s="1735">
        <f t="shared" si="0"/>
        <v>0</v>
      </c>
      <c r="R29" s="1736"/>
      <c r="S29" s="356">
        <f t="shared" si="1"/>
        <v>0</v>
      </c>
      <c r="T29" s="357" t="str">
        <f t="shared" si="2"/>
        <v/>
      </c>
      <c r="U29" s="358" t="str">
        <f t="shared" si="3"/>
        <v/>
      </c>
      <c r="V29" s="358" t="str">
        <f t="shared" si="4"/>
        <v/>
      </c>
      <c r="X29" s="357">
        <f t="shared" si="5"/>
        <v>0</v>
      </c>
      <c r="Y29" s="357">
        <f t="shared" si="6"/>
        <v>0</v>
      </c>
      <c r="AA29" s="1831"/>
      <c r="AB29" s="920"/>
    </row>
    <row r="30" spans="1:28" ht="15.75" customHeight="1" x14ac:dyDescent="0.2">
      <c r="A30" s="920"/>
      <c r="B30" s="364"/>
      <c r="C30" s="1737"/>
      <c r="D30" s="1738"/>
      <c r="E30" s="1738"/>
      <c r="F30" s="1739"/>
      <c r="G30" s="365"/>
      <c r="H30" s="1740"/>
      <c r="I30" s="1741"/>
      <c r="J30" s="1744" t="str">
        <f>IF(Despesas!$BQ15="","","Cheque nº: "&amp;Despesas!$BQ15)</f>
        <v/>
      </c>
      <c r="K30" s="1744"/>
      <c r="L30" s="1744"/>
      <c r="M30" s="1744"/>
      <c r="N30" s="274" t="str">
        <f>IF(Despesas!$BT15="","",Despesas!$BT15)</f>
        <v/>
      </c>
      <c r="O30" s="1742">
        <f>IF(Despesas!$BU15="",0,Despesas!$BU15)</f>
        <v>0</v>
      </c>
      <c r="P30" s="1743"/>
      <c r="Q30" s="1735">
        <f t="shared" si="0"/>
        <v>0</v>
      </c>
      <c r="R30" s="1736"/>
      <c r="S30" s="356">
        <f t="shared" si="1"/>
        <v>0</v>
      </c>
      <c r="T30" s="357" t="str">
        <f t="shared" si="2"/>
        <v/>
      </c>
      <c r="U30" s="358" t="str">
        <f t="shared" si="3"/>
        <v/>
      </c>
      <c r="V30" s="358" t="str">
        <f t="shared" si="4"/>
        <v/>
      </c>
      <c r="X30" s="357">
        <f t="shared" si="5"/>
        <v>0</v>
      </c>
      <c r="Y30" s="357">
        <f t="shared" si="6"/>
        <v>0</v>
      </c>
      <c r="AA30" s="1831"/>
      <c r="AB30" s="920"/>
    </row>
    <row r="31" spans="1:28" ht="15.75" customHeight="1" x14ac:dyDescent="0.2">
      <c r="A31" s="920"/>
      <c r="B31" s="364"/>
      <c r="C31" s="1737"/>
      <c r="D31" s="1738"/>
      <c r="E31" s="1738"/>
      <c r="F31" s="1739"/>
      <c r="G31" s="365"/>
      <c r="H31" s="1740"/>
      <c r="I31" s="1741"/>
      <c r="J31" s="1744" t="str">
        <f>IF(Despesas!$BQ16="","","Cheque nº: "&amp;Despesas!$BQ16)</f>
        <v/>
      </c>
      <c r="K31" s="1744"/>
      <c r="L31" s="1744"/>
      <c r="M31" s="1744"/>
      <c r="N31" s="274" t="str">
        <f>IF(Despesas!$BT16="","",Despesas!$BT16)</f>
        <v/>
      </c>
      <c r="O31" s="1742">
        <f>IF(Despesas!$BU16="",0,Despesas!$BU16)</f>
        <v>0</v>
      </c>
      <c r="P31" s="1743"/>
      <c r="Q31" s="1735">
        <f t="shared" si="0"/>
        <v>0</v>
      </c>
      <c r="R31" s="1736"/>
      <c r="S31" s="356">
        <f t="shared" si="1"/>
        <v>0</v>
      </c>
      <c r="T31" s="357" t="str">
        <f t="shared" si="2"/>
        <v/>
      </c>
      <c r="U31" s="358" t="str">
        <f t="shared" si="3"/>
        <v/>
      </c>
      <c r="V31" s="358" t="str">
        <f t="shared" si="4"/>
        <v/>
      </c>
      <c r="X31" s="357">
        <f t="shared" si="5"/>
        <v>0</v>
      </c>
      <c r="Y31" s="357">
        <f t="shared" si="6"/>
        <v>0</v>
      </c>
      <c r="AA31" s="1831"/>
      <c r="AB31" s="920"/>
    </row>
    <row r="32" spans="1:28" ht="15.75" customHeight="1" x14ac:dyDescent="0.2">
      <c r="A32" s="920"/>
      <c r="B32" s="364"/>
      <c r="C32" s="1737"/>
      <c r="D32" s="1738"/>
      <c r="E32" s="1738"/>
      <c r="F32" s="1739"/>
      <c r="G32" s="365"/>
      <c r="H32" s="1740"/>
      <c r="I32" s="1741"/>
      <c r="J32" s="1744" t="str">
        <f>IF(Despesas!$BQ17="","","Cheque nº: "&amp;Despesas!$BQ17)</f>
        <v/>
      </c>
      <c r="K32" s="1744"/>
      <c r="L32" s="1744"/>
      <c r="M32" s="1744"/>
      <c r="N32" s="274" t="str">
        <f>IF(Despesas!$BT17="","",Despesas!$BT17)</f>
        <v/>
      </c>
      <c r="O32" s="1742">
        <f>IF(Despesas!$BU17="",0,Despesas!$BU17)</f>
        <v>0</v>
      </c>
      <c r="P32" s="1743"/>
      <c r="Q32" s="1735">
        <f t="shared" si="0"/>
        <v>0</v>
      </c>
      <c r="R32" s="1736"/>
      <c r="S32" s="356">
        <f t="shared" si="1"/>
        <v>0</v>
      </c>
      <c r="T32" s="357" t="str">
        <f t="shared" si="2"/>
        <v/>
      </c>
      <c r="U32" s="358" t="str">
        <f t="shared" si="3"/>
        <v/>
      </c>
      <c r="V32" s="358" t="str">
        <f t="shared" si="4"/>
        <v/>
      </c>
      <c r="X32" s="357">
        <f t="shared" si="5"/>
        <v>0</v>
      </c>
      <c r="Y32" s="357">
        <f t="shared" si="6"/>
        <v>0</v>
      </c>
      <c r="AA32" s="1831"/>
      <c r="AB32" s="920"/>
    </row>
    <row r="33" spans="1:28" ht="15.75" customHeight="1" x14ac:dyDescent="0.2">
      <c r="A33" s="920"/>
      <c r="B33" s="364"/>
      <c r="C33" s="1737"/>
      <c r="D33" s="1738"/>
      <c r="E33" s="1738"/>
      <c r="F33" s="1739"/>
      <c r="G33" s="365"/>
      <c r="H33" s="1740"/>
      <c r="I33" s="1741"/>
      <c r="J33" s="1744" t="str">
        <f>IF(Despesas!$BQ18="","","Cheque nº: "&amp;Despesas!$BQ18)</f>
        <v/>
      </c>
      <c r="K33" s="1744"/>
      <c r="L33" s="1744"/>
      <c r="M33" s="1744"/>
      <c r="N33" s="274" t="str">
        <f>IF(Despesas!$BT18="","",Despesas!$BT18)</f>
        <v/>
      </c>
      <c r="O33" s="1742">
        <f>IF(Despesas!$BU18="",0,Despesas!$BU18)</f>
        <v>0</v>
      </c>
      <c r="P33" s="1743"/>
      <c r="Q33" s="1735">
        <f t="shared" si="0"/>
        <v>0</v>
      </c>
      <c r="R33" s="1736"/>
      <c r="S33" s="356">
        <f t="shared" si="1"/>
        <v>0</v>
      </c>
      <c r="T33" s="357" t="str">
        <f t="shared" si="2"/>
        <v/>
      </c>
      <c r="U33" s="358" t="str">
        <f t="shared" si="3"/>
        <v/>
      </c>
      <c r="V33" s="358" t="str">
        <f t="shared" si="4"/>
        <v/>
      </c>
      <c r="X33" s="357">
        <f t="shared" si="5"/>
        <v>0</v>
      </c>
      <c r="Y33" s="357">
        <f t="shared" si="6"/>
        <v>0</v>
      </c>
      <c r="AA33" s="1831"/>
      <c r="AB33" s="920"/>
    </row>
    <row r="34" spans="1:28" ht="15.75" customHeight="1" x14ac:dyDescent="0.2">
      <c r="A34" s="920"/>
      <c r="B34" s="364"/>
      <c r="C34" s="1737"/>
      <c r="D34" s="1738"/>
      <c r="E34" s="1738"/>
      <c r="F34" s="1739"/>
      <c r="G34" s="365"/>
      <c r="H34" s="1740"/>
      <c r="I34" s="1741"/>
      <c r="J34" s="1744" t="str">
        <f>IF(Despesas!$BQ19="","","Cheque nº: "&amp;Despesas!$BQ19)</f>
        <v/>
      </c>
      <c r="K34" s="1744"/>
      <c r="L34" s="1744"/>
      <c r="M34" s="1744"/>
      <c r="N34" s="274" t="str">
        <f>IF(Despesas!$BT19="","",Despesas!$BT19)</f>
        <v/>
      </c>
      <c r="O34" s="1742">
        <f>IF(Despesas!$BU19="",0,Despesas!$BU19)</f>
        <v>0</v>
      </c>
      <c r="P34" s="1743"/>
      <c r="Q34" s="1735">
        <f t="shared" si="0"/>
        <v>0</v>
      </c>
      <c r="R34" s="1736"/>
      <c r="S34" s="356">
        <f t="shared" si="1"/>
        <v>0</v>
      </c>
      <c r="T34" s="357" t="str">
        <f t="shared" si="2"/>
        <v/>
      </c>
      <c r="U34" s="358" t="str">
        <f t="shared" si="3"/>
        <v/>
      </c>
      <c r="V34" s="358" t="str">
        <f t="shared" si="4"/>
        <v/>
      </c>
      <c r="X34" s="357">
        <f t="shared" si="5"/>
        <v>0</v>
      </c>
      <c r="Y34" s="357">
        <f t="shared" si="6"/>
        <v>0</v>
      </c>
      <c r="AA34" s="1831"/>
      <c r="AB34" s="920"/>
    </row>
    <row r="35" spans="1:28" ht="14.25" customHeight="1" x14ac:dyDescent="0.2">
      <c r="A35" s="920"/>
      <c r="B35" s="1784"/>
      <c r="C35" s="1784"/>
      <c r="D35" s="1785"/>
      <c r="E35" s="268" t="s">
        <v>119</v>
      </c>
      <c r="F35" s="269"/>
      <c r="G35" s="270" t="s">
        <v>336</v>
      </c>
      <c r="H35" s="1777">
        <f>SUM(H18:I34)</f>
        <v>0</v>
      </c>
      <c r="I35" s="1778"/>
      <c r="J35" s="1792"/>
      <c r="K35" s="1793"/>
      <c r="L35" s="1793"/>
      <c r="M35" s="1793"/>
      <c r="N35" s="1794"/>
      <c r="O35" s="1779">
        <f>SUM(O18:P34)</f>
        <v>0</v>
      </c>
      <c r="P35" s="1780"/>
      <c r="Q35" s="1832">
        <f>Q13+H35-O35</f>
        <v>0</v>
      </c>
      <c r="R35" s="1833"/>
      <c r="S35" s="347"/>
      <c r="T35" s="358"/>
      <c r="U35" s="358">
        <f>SUM(U19:U34)</f>
        <v>0</v>
      </c>
      <c r="V35" s="358">
        <f>SUM(V19:V34)</f>
        <v>0</v>
      </c>
      <c r="X35" s="358">
        <f>SUM(X19:X34)</f>
        <v>0</v>
      </c>
      <c r="AA35" s="1831"/>
      <c r="AB35" s="920"/>
    </row>
    <row r="36" spans="1:28" ht="3.75" customHeight="1" x14ac:dyDescent="0.2">
      <c r="A36" s="920"/>
      <c r="B36" s="1823"/>
      <c r="C36" s="1823"/>
      <c r="D36" s="1823"/>
      <c r="E36" s="1823"/>
      <c r="F36" s="1823"/>
      <c r="G36" s="1823"/>
      <c r="H36" s="1823"/>
      <c r="I36" s="1823"/>
      <c r="J36" s="1823"/>
      <c r="K36" s="1823"/>
      <c r="L36" s="1823"/>
      <c r="M36" s="1823"/>
      <c r="N36" s="1823"/>
      <c r="O36" s="1823"/>
      <c r="P36" s="1823"/>
      <c r="Q36" s="1823"/>
      <c r="R36" s="1823"/>
      <c r="S36" s="345"/>
      <c r="AA36" s="1831"/>
      <c r="AB36" s="920"/>
    </row>
    <row r="37" spans="1:28" ht="8.25" customHeight="1" x14ac:dyDescent="0.2">
      <c r="A37" s="920"/>
      <c r="B37" s="1824" t="s">
        <v>165</v>
      </c>
      <c r="C37" s="1825"/>
      <c r="D37" s="1825"/>
      <c r="E37" s="1825"/>
      <c r="F37" s="1825"/>
      <c r="G37" s="1825"/>
      <c r="H37" s="1825"/>
      <c r="I37" s="1825"/>
      <c r="J37" s="1825"/>
      <c r="K37" s="1825"/>
      <c r="L37" s="1825"/>
      <c r="M37" s="1825"/>
      <c r="N37" s="1825"/>
      <c r="O37" s="1825"/>
      <c r="P37" s="1825"/>
      <c r="Q37" s="1825"/>
      <c r="R37" s="1826"/>
      <c r="S37" s="347"/>
      <c r="AA37" s="1831"/>
      <c r="AB37" s="920"/>
    </row>
    <row r="38" spans="1:28" ht="7.5" customHeight="1" x14ac:dyDescent="0.2">
      <c r="A38" s="920"/>
      <c r="B38" s="1827"/>
      <c r="C38" s="1828"/>
      <c r="D38" s="1828"/>
      <c r="E38" s="1828"/>
      <c r="F38" s="1828"/>
      <c r="G38" s="1828"/>
      <c r="H38" s="1828"/>
      <c r="I38" s="1828"/>
      <c r="J38" s="1828"/>
      <c r="K38" s="1828"/>
      <c r="L38" s="1828"/>
      <c r="M38" s="1828"/>
      <c r="N38" s="1828"/>
      <c r="O38" s="1828"/>
      <c r="P38" s="1828"/>
      <c r="Q38" s="1828"/>
      <c r="R38" s="1829"/>
      <c r="S38" s="347"/>
      <c r="AA38" s="1831"/>
      <c r="AB38" s="920"/>
    </row>
    <row r="39" spans="1:28" ht="24" customHeight="1" x14ac:dyDescent="0.2">
      <c r="A39" s="920"/>
      <c r="B39" s="1786"/>
      <c r="C39" s="1787"/>
      <c r="D39" s="1787"/>
      <c r="E39" s="1787"/>
      <c r="F39" s="1787"/>
      <c r="G39" s="1787"/>
      <c r="H39" s="1787"/>
      <c r="I39" s="1787"/>
      <c r="J39" s="1787"/>
      <c r="K39" s="1787"/>
      <c r="L39" s="1787"/>
      <c r="M39" s="1787"/>
      <c r="N39" s="1787"/>
      <c r="O39" s="1787"/>
      <c r="P39" s="1787"/>
      <c r="Q39" s="1787"/>
      <c r="R39" s="1788"/>
      <c r="S39" s="347"/>
      <c r="U39" s="358">
        <f>SUM(H35,O35)</f>
        <v>0</v>
      </c>
      <c r="AA39" s="1831"/>
      <c r="AB39" s="920"/>
    </row>
    <row r="40" spans="1:28" ht="24.75" customHeight="1" x14ac:dyDescent="0.2">
      <c r="A40" s="920"/>
      <c r="B40" s="1789"/>
      <c r="C40" s="1790"/>
      <c r="D40" s="1790"/>
      <c r="E40" s="1790"/>
      <c r="F40" s="1790"/>
      <c r="G40" s="1790"/>
      <c r="H40" s="1790"/>
      <c r="I40" s="1790"/>
      <c r="J40" s="1790"/>
      <c r="K40" s="1790"/>
      <c r="L40" s="1790"/>
      <c r="M40" s="1790"/>
      <c r="N40" s="1790"/>
      <c r="O40" s="1790"/>
      <c r="P40" s="1790"/>
      <c r="Q40" s="1790"/>
      <c r="R40" s="1791"/>
      <c r="S40" s="347"/>
      <c r="AA40" s="1831"/>
      <c r="AB40" s="920"/>
    </row>
    <row r="41" spans="1:28" x14ac:dyDescent="0.2">
      <c r="A41" s="920"/>
      <c r="B41" s="1781" t="s">
        <v>120</v>
      </c>
      <c r="C41" s="1782"/>
      <c r="D41" s="1782"/>
      <c r="E41" s="1782"/>
      <c r="F41" s="1782"/>
      <c r="G41" s="1782"/>
      <c r="H41" s="1782"/>
      <c r="I41" s="1782"/>
      <c r="J41" s="1782"/>
      <c r="K41" s="1782"/>
      <c r="L41" s="1782"/>
      <c r="M41" s="1782"/>
      <c r="N41" s="1782"/>
      <c r="O41" s="1782"/>
      <c r="P41" s="1782"/>
      <c r="Q41" s="1782"/>
      <c r="R41" s="1783"/>
      <c r="S41" s="347"/>
      <c r="AA41" s="1831"/>
      <c r="AB41" s="920"/>
    </row>
    <row r="42" spans="1:28" ht="6.75" customHeight="1" x14ac:dyDescent="0.2">
      <c r="A42" s="920"/>
      <c r="B42" s="1797"/>
      <c r="C42" s="1795"/>
      <c r="D42" s="1795"/>
      <c r="E42" s="1795"/>
      <c r="F42" s="1795"/>
      <c r="G42" s="1795"/>
      <c r="H42" s="1795"/>
      <c r="I42" s="1795"/>
      <c r="J42" s="1795"/>
      <c r="K42" s="250"/>
      <c r="L42" s="250"/>
      <c r="M42" s="1795"/>
      <c r="N42" s="1795"/>
      <c r="O42" s="1795"/>
      <c r="P42" s="1795"/>
      <c r="Q42" s="1795"/>
      <c r="R42" s="1796"/>
      <c r="S42" s="345"/>
      <c r="AA42" s="1831"/>
      <c r="AB42" s="920"/>
    </row>
    <row r="43" spans="1:28" ht="24" customHeight="1" x14ac:dyDescent="0.2">
      <c r="A43" s="920"/>
      <c r="B43" s="251"/>
      <c r="C43" s="231"/>
      <c r="D43" s="252"/>
      <c r="E43" s="253"/>
      <c r="F43" s="1821" t="str">
        <f>Dados!$E$109</f>
        <v/>
      </c>
      <c r="G43" s="1821"/>
      <c r="H43" s="1821"/>
      <c r="I43" s="1821"/>
      <c r="J43" s="1821"/>
      <c r="K43" s="1821"/>
      <c r="L43" s="252"/>
      <c r="M43" s="1830"/>
      <c r="N43" s="1830"/>
      <c r="O43" s="1830"/>
      <c r="P43" s="1830"/>
      <c r="Q43" s="1830"/>
      <c r="R43" s="254"/>
      <c r="S43" s="345"/>
      <c r="AA43" s="1831"/>
      <c r="AB43" s="920"/>
    </row>
    <row r="44" spans="1:28" s="53" customFormat="1" ht="15.75" customHeight="1" x14ac:dyDescent="0.2">
      <c r="A44" s="921"/>
      <c r="B44" s="1819"/>
      <c r="C44" s="1820"/>
      <c r="D44" s="253"/>
      <c r="E44" s="253"/>
      <c r="F44" s="1822" t="str">
        <f>MOD_2!$J$47</f>
        <v>Nome do Presidente da Diretoria Executiva da APM</v>
      </c>
      <c r="G44" s="1822"/>
      <c r="H44" s="1822"/>
      <c r="I44" s="1822"/>
      <c r="J44" s="1822"/>
      <c r="K44" s="1822"/>
      <c r="L44" s="255"/>
      <c r="M44" s="1818" t="str">
        <f>MOD_2!$T$47</f>
        <v>Assinatura do Presidente da Diretoria Executiva da APM</v>
      </c>
      <c r="N44" s="1818"/>
      <c r="O44" s="1818"/>
      <c r="P44" s="1818"/>
      <c r="Q44" s="1818"/>
      <c r="R44" s="256"/>
      <c r="S44" s="16"/>
      <c r="AA44" s="1831"/>
      <c r="AB44" s="921"/>
    </row>
    <row r="45" spans="1:28" s="53" customFormat="1" ht="12.75" x14ac:dyDescent="0.2">
      <c r="A45" s="921"/>
      <c r="B45" s="1817"/>
      <c r="C45" s="1818"/>
      <c r="D45" s="257"/>
      <c r="E45" s="258"/>
      <c r="F45" s="257"/>
      <c r="G45" s="257"/>
      <c r="H45" s="257"/>
      <c r="I45" s="257"/>
      <c r="J45" s="257"/>
      <c r="K45" s="253"/>
      <c r="L45" s="253"/>
      <c r="M45" s="253"/>
      <c r="N45" s="253"/>
      <c r="O45" s="258"/>
      <c r="P45" s="253"/>
      <c r="Q45" s="253"/>
      <c r="R45" s="256"/>
      <c r="S45" s="16"/>
      <c r="AA45" s="1831"/>
      <c r="AB45" s="921"/>
    </row>
    <row r="46" spans="1:28" s="53" customFormat="1" ht="19.5" customHeight="1" x14ac:dyDescent="0.2">
      <c r="A46" s="921"/>
      <c r="B46" s="259" t="s">
        <v>85</v>
      </c>
      <c r="C46" s="1647" t="str">
        <f>IF(Dados!$G$128="","",Dados!$G$128)</f>
        <v/>
      </c>
      <c r="D46" s="1647"/>
      <c r="E46" s="253"/>
      <c r="F46" s="1821" t="str">
        <f>Dados!$E$91</f>
        <v/>
      </c>
      <c r="G46" s="1821"/>
      <c r="H46" s="1821"/>
      <c r="I46" s="1821"/>
      <c r="J46" s="1821"/>
      <c r="K46" s="1821"/>
      <c r="L46" s="253"/>
      <c r="M46" s="1830"/>
      <c r="N46" s="1830"/>
      <c r="O46" s="1830"/>
      <c r="P46" s="1830"/>
      <c r="Q46" s="1830"/>
      <c r="R46" s="256"/>
      <c r="S46" s="16"/>
      <c r="AA46" s="1831"/>
      <c r="AB46" s="921"/>
    </row>
    <row r="47" spans="1:28" s="53" customFormat="1" ht="15.75" customHeight="1" x14ac:dyDescent="0.2">
      <c r="A47" s="921"/>
      <c r="B47" s="1817" t="s">
        <v>109</v>
      </c>
      <c r="C47" s="1818"/>
      <c r="D47" s="1818"/>
      <c r="E47" s="253"/>
      <c r="F47" s="1822" t="str">
        <f>MOD_2!$J$50</f>
        <v>Nome do Presidente do Conselho Fiscal da APM</v>
      </c>
      <c r="G47" s="1822"/>
      <c r="H47" s="1822"/>
      <c r="I47" s="1822"/>
      <c r="J47" s="1822"/>
      <c r="K47" s="1822"/>
      <c r="L47" s="253"/>
      <c r="M47" s="1818" t="str">
        <f>MOD_2!$T$50</f>
        <v>Assinatura do Presidente do Conselho Fiscal da APM</v>
      </c>
      <c r="N47" s="1818"/>
      <c r="O47" s="1818"/>
      <c r="P47" s="1818"/>
      <c r="Q47" s="1818"/>
      <c r="R47" s="256"/>
      <c r="S47" s="16"/>
      <c r="AA47" s="1831"/>
      <c r="AB47" s="921"/>
    </row>
    <row r="48" spans="1:28" ht="9.75" customHeight="1" x14ac:dyDescent="0.2">
      <c r="A48" s="920"/>
      <c r="B48" s="260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2"/>
      <c r="S48" s="345"/>
      <c r="AA48" s="1831"/>
      <c r="AB48" s="920"/>
    </row>
    <row r="49" spans="1:29" x14ac:dyDescent="0.2">
      <c r="A49" s="920"/>
      <c r="B49" s="920"/>
      <c r="C49" s="920"/>
      <c r="D49" s="920"/>
      <c r="E49" s="920"/>
      <c r="F49" s="920"/>
      <c r="G49" s="920"/>
      <c r="H49" s="920"/>
      <c r="I49" s="920"/>
      <c r="J49" s="920"/>
      <c r="K49" s="920"/>
      <c r="L49" s="920"/>
      <c r="M49" s="920"/>
      <c r="N49" s="920"/>
      <c r="O49" s="920"/>
      <c r="P49" s="920"/>
      <c r="Q49" s="920"/>
      <c r="R49" s="920"/>
      <c r="S49" s="920"/>
      <c r="T49" s="920"/>
      <c r="U49" s="920"/>
      <c r="V49" s="920"/>
      <c r="W49" s="920"/>
      <c r="X49" s="920"/>
      <c r="Y49" s="920"/>
      <c r="Z49" s="920"/>
      <c r="AA49" s="920"/>
      <c r="AB49" s="920"/>
      <c r="AC49" s="922"/>
    </row>
    <row r="50" spans="1:29" hidden="1" x14ac:dyDescent="0.2"/>
    <row r="51" spans="1:29" hidden="1" x14ac:dyDescent="0.2"/>
  </sheetData>
  <sheetProtection password="F261" sheet="1" objects="1" scenarios="1"/>
  <mergeCells count="141">
    <mergeCell ref="AA2:AA48"/>
    <mergeCell ref="Q35:R35"/>
    <mergeCell ref="D2:J2"/>
    <mergeCell ref="D3:J3"/>
    <mergeCell ref="L2:O3"/>
    <mergeCell ref="O26:P26"/>
    <mergeCell ref="J26:M26"/>
    <mergeCell ref="H26:I26"/>
    <mergeCell ref="Q30:R30"/>
    <mergeCell ref="O30:P30"/>
    <mergeCell ref="Q29:R29"/>
    <mergeCell ref="J29:M29"/>
    <mergeCell ref="O21:P21"/>
    <mergeCell ref="O22:P22"/>
    <mergeCell ref="J23:M23"/>
    <mergeCell ref="J21:M21"/>
    <mergeCell ref="J30:M30"/>
    <mergeCell ref="J28:M28"/>
    <mergeCell ref="O28:P28"/>
    <mergeCell ref="Q21:R21"/>
    <mergeCell ref="J22:M22"/>
    <mergeCell ref="O29:P29"/>
    <mergeCell ref="Q22:R22"/>
    <mergeCell ref="O23:P23"/>
    <mergeCell ref="O33:P33"/>
    <mergeCell ref="O34:P34"/>
    <mergeCell ref="J34:M34"/>
    <mergeCell ref="Q34:R34"/>
    <mergeCell ref="J33:M33"/>
    <mergeCell ref="Q32:R32"/>
    <mergeCell ref="O31:P31"/>
    <mergeCell ref="O32:P32"/>
    <mergeCell ref="J31:M31"/>
    <mergeCell ref="Q33:R33"/>
    <mergeCell ref="J32:M32"/>
    <mergeCell ref="B47:D47"/>
    <mergeCell ref="B45:C45"/>
    <mergeCell ref="B44:C44"/>
    <mergeCell ref="F46:K46"/>
    <mergeCell ref="F47:K47"/>
    <mergeCell ref="C46:D46"/>
    <mergeCell ref="F44:K44"/>
    <mergeCell ref="F43:K43"/>
    <mergeCell ref="B36:R36"/>
    <mergeCell ref="F42:J42"/>
    <mergeCell ref="B37:R38"/>
    <mergeCell ref="M44:Q44"/>
    <mergeCell ref="M43:Q43"/>
    <mergeCell ref="M47:Q47"/>
    <mergeCell ref="M46:Q46"/>
    <mergeCell ref="H35:I35"/>
    <mergeCell ref="O35:P35"/>
    <mergeCell ref="B41:R41"/>
    <mergeCell ref="B35:D35"/>
    <mergeCell ref="B39:R40"/>
    <mergeCell ref="J35:N35"/>
    <mergeCell ref="M42:R42"/>
    <mergeCell ref="B42:E42"/>
    <mergeCell ref="D4:M4"/>
    <mergeCell ref="B7:R7"/>
    <mergeCell ref="B15:R15"/>
    <mergeCell ref="Q16:R16"/>
    <mergeCell ref="C12:E12"/>
    <mergeCell ref="L13:M13"/>
    <mergeCell ref="C13:E13"/>
    <mergeCell ref="N13:O13"/>
    <mergeCell ref="Q13:R13"/>
    <mergeCell ref="P12:R12"/>
    <mergeCell ref="N12:O12"/>
    <mergeCell ref="B11:R11"/>
    <mergeCell ref="I12:M12"/>
    <mergeCell ref="F13:H13"/>
    <mergeCell ref="J16:P16"/>
    <mergeCell ref="B16:I16"/>
    <mergeCell ref="O9:Q9"/>
    <mergeCell ref="B10:R10"/>
    <mergeCell ref="K8:M8"/>
    <mergeCell ref="K9:M9"/>
    <mergeCell ref="B9:J9"/>
    <mergeCell ref="C8:H8"/>
    <mergeCell ref="O8:Q8"/>
    <mergeCell ref="F12:H12"/>
    <mergeCell ref="J19:M19"/>
    <mergeCell ref="H18:I18"/>
    <mergeCell ref="O17:P17"/>
    <mergeCell ref="J18:M18"/>
    <mergeCell ref="C17:F17"/>
    <mergeCell ref="H17:I17"/>
    <mergeCell ref="O18:P18"/>
    <mergeCell ref="J17:M17"/>
    <mergeCell ref="Q18:R18"/>
    <mergeCell ref="C18:F18"/>
    <mergeCell ref="Q19:R19"/>
    <mergeCell ref="Q23:R23"/>
    <mergeCell ref="Q25:R25"/>
    <mergeCell ref="C27:F27"/>
    <mergeCell ref="C34:F34"/>
    <mergeCell ref="H34:I34"/>
    <mergeCell ref="C24:F24"/>
    <mergeCell ref="H24:I24"/>
    <mergeCell ref="C33:F33"/>
    <mergeCell ref="H22:I22"/>
    <mergeCell ref="C23:F23"/>
    <mergeCell ref="H28:I28"/>
    <mergeCell ref="C25:F25"/>
    <mergeCell ref="H25:I25"/>
    <mergeCell ref="J27:M27"/>
    <mergeCell ref="Q28:R28"/>
    <mergeCell ref="O27:P27"/>
    <mergeCell ref="Q27:R27"/>
    <mergeCell ref="Q24:R24"/>
    <mergeCell ref="J24:M24"/>
    <mergeCell ref="Q26:R26"/>
    <mergeCell ref="O25:P25"/>
    <mergeCell ref="O24:P24"/>
    <mergeCell ref="J25:M25"/>
    <mergeCell ref="Q31:R31"/>
    <mergeCell ref="Q20:R20"/>
    <mergeCell ref="C20:F20"/>
    <mergeCell ref="H20:I20"/>
    <mergeCell ref="O19:P19"/>
    <mergeCell ref="O20:P20"/>
    <mergeCell ref="C19:F19"/>
    <mergeCell ref="H19:I19"/>
    <mergeCell ref="H33:I33"/>
    <mergeCell ref="C32:F32"/>
    <mergeCell ref="H32:I32"/>
    <mergeCell ref="C30:F30"/>
    <mergeCell ref="C21:F21"/>
    <mergeCell ref="H21:I21"/>
    <mergeCell ref="C22:F22"/>
    <mergeCell ref="C31:F31"/>
    <mergeCell ref="H31:I31"/>
    <mergeCell ref="H23:I23"/>
    <mergeCell ref="C26:F26"/>
    <mergeCell ref="H27:I27"/>
    <mergeCell ref="H30:I30"/>
    <mergeCell ref="C29:F29"/>
    <mergeCell ref="H29:I29"/>
    <mergeCell ref="C28:F28"/>
    <mergeCell ref="J20:M20"/>
  </mergeCells>
  <phoneticPr fontId="23" type="noConversion"/>
  <conditionalFormatting sqref="F46:K46 B13:H13 J13 L13 K9 B9 H35:I35 F43:K43 R9 N9:O9 N13:O13 C46:D46 O19:P35">
    <cfRule type="cellIs" dxfId="172" priority="4" stopIfTrue="1" operator="equal">
      <formula>0</formula>
    </cfRule>
  </conditionalFormatting>
  <conditionalFormatting sqref="O18:R18">
    <cfRule type="cellIs" dxfId="171" priority="7" stopIfTrue="1" operator="equal">
      <formula>0</formula>
    </cfRule>
  </conditionalFormatting>
  <conditionalFormatting sqref="Q19:R34">
    <cfRule type="expression" dxfId="170" priority="2" stopIfTrue="1">
      <formula>IF(AND(B19="",Q19=0),TRUE)</formula>
    </cfRule>
  </conditionalFormatting>
  <conditionalFormatting sqref="Q35:R35">
    <cfRule type="cellIs" dxfId="169" priority="1" stopIfTrue="1" operator="equal">
      <formula>0</formula>
    </cfRule>
  </conditionalFormatting>
  <dataValidations count="4">
    <dataValidation type="list" allowBlank="1" showInputMessage="1" showErrorMessage="1" sqref="G19:G34">
      <formula1>"CUSTEIO,CAPITAL"</formula1>
    </dataValidation>
    <dataValidation type="whole" allowBlank="1" showInputMessage="1" showErrorMessage="1" errorTitle="IMPRIMIR" error="NÚMERO MAIOR QUE O TOTAL DE PÁGINAS_x000a__x000a_PREVISTO!!" sqref="J1">
      <formula1>1</formula1>
      <formula2>S3</formula2>
    </dataValidation>
    <dataValidation type="whole" allowBlank="1" showInputMessage="1" showErrorMessage="1" errorTitle="IMPRIMIR" error="NÚMERO MAIOR QUE O TOTAL DE PÁGINAS_x000a__x000a_PREVISTO!!" sqref="L1">
      <formula1>J1</formula1>
      <formula2>S3</formula2>
    </dataValidation>
    <dataValidation allowBlank="1" showInputMessage="1" showErrorMessage="1" errorTitle="IMPRIMIR" error="NÚMERO MAIOR QUE O TOTAL DE PÁGINAS_x000a__x000a_PREVISTO!!" sqref="K1"/>
  </dataValidations>
  <printOptions horizontalCentered="1" verticalCentered="1"/>
  <pageMargins left="0.19685039370078741" right="0" top="0.19685039370078741" bottom="0" header="0.19685039370078741" footer="0.18"/>
  <pageSetup paperSize="9" scale="82" orientation="landscape" errors="blank" r:id="rId1"/>
  <headerFooter alignWithMargins="0"/>
  <ignoredErrors>
    <ignoredError sqref="R18" evalError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indexed="45"/>
    <pageSetUpPr fitToPage="1"/>
  </sheetPr>
  <dimension ref="A1:AA204"/>
  <sheetViews>
    <sheetView showRowColHeaders="0" view="pageBreakPreview" topLeftCell="C1" zoomScale="110" zoomScaleNormal="115" zoomScaleSheetLayoutView="110" workbookViewId="0">
      <pane ySplit="3" topLeftCell="A4" activePane="bottomLeft" state="frozen"/>
      <selection pane="bottomLeft" activeCell="C1" sqref="C1"/>
    </sheetView>
  </sheetViews>
  <sheetFormatPr defaultColWidth="0" defaultRowHeight="12.75" zeroHeight="1" x14ac:dyDescent="0.2"/>
  <cols>
    <col min="1" max="1" width="11.140625" style="57" hidden="1" customWidth="1"/>
    <col min="2" max="2" width="2.5703125" style="57" hidden="1" customWidth="1"/>
    <col min="3" max="3" width="9.28515625" style="57" bestFit="1" customWidth="1"/>
    <col min="4" max="4" width="10" style="57" bestFit="1" customWidth="1"/>
    <col min="5" max="5" width="3.28515625" style="57" customWidth="1"/>
    <col min="6" max="8" width="9.140625" style="57" customWidth="1"/>
    <col min="9" max="9" width="12.85546875" style="57" customWidth="1"/>
    <col min="10" max="12" width="9.140625" style="57" customWidth="1"/>
    <col min="13" max="15" width="10.42578125" style="57" customWidth="1"/>
    <col min="16" max="16" width="13.7109375" style="57" customWidth="1"/>
    <col min="17" max="17" width="14.140625" style="57" customWidth="1"/>
    <col min="18" max="18" width="4.5703125" style="57" hidden="1" customWidth="1"/>
    <col min="19" max="19" width="3.85546875" style="57" hidden="1" customWidth="1"/>
    <col min="20" max="20" width="1.7109375" style="57" customWidth="1"/>
    <col min="21" max="21" width="20.7109375" style="57" hidden="1" customWidth="1"/>
    <col min="22" max="22" width="32.42578125" style="57" hidden="1" customWidth="1"/>
    <col min="23" max="23" width="88" style="57" hidden="1" customWidth="1"/>
    <col min="24" max="26" width="0" style="57" hidden="1" customWidth="1"/>
    <col min="27" max="16384" width="6.7109375" style="57" hidden="1"/>
  </cols>
  <sheetData>
    <row r="1" spans="1:27" ht="14.2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167" t="str">
        <f>IF(Q2=1,"PÁGINA",IF(Q2&gt;=2,"PÁGINAS"))</f>
        <v>PÁGINA</v>
      </c>
      <c r="R1" s="56"/>
      <c r="S1" s="56"/>
      <c r="T1" s="367"/>
    </row>
    <row r="2" spans="1:27" s="278" customFormat="1" ht="16.5" customHeight="1" thickBot="1" x14ac:dyDescent="0.25">
      <c r="A2" s="174"/>
      <c r="B2" s="174"/>
      <c r="C2" s="174"/>
      <c r="D2" s="174"/>
      <c r="E2" s="174"/>
      <c r="F2" s="174"/>
      <c r="G2" s="174"/>
      <c r="H2" s="174"/>
      <c r="I2" s="174"/>
      <c r="J2" s="533">
        <v>1</v>
      </c>
      <c r="K2" s="401" t="s">
        <v>202</v>
      </c>
      <c r="L2" s="533">
        <v>1</v>
      </c>
      <c r="M2" s="220"/>
      <c r="N2" s="533">
        <v>1</v>
      </c>
      <c r="O2" s="56"/>
      <c r="P2" s="56"/>
      <c r="Q2" s="287">
        <f>R4</f>
        <v>1</v>
      </c>
      <c r="R2" s="174"/>
      <c r="S2" s="174"/>
      <c r="T2" s="518"/>
    </row>
    <row r="3" spans="1:27" s="277" customFormat="1" ht="14.25" customHeight="1" x14ac:dyDescent="0.2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86"/>
      <c r="R3" s="276"/>
      <c r="S3" s="276"/>
      <c r="T3" s="519"/>
    </row>
    <row r="4" spans="1:27" ht="15.75" x14ac:dyDescent="0.25">
      <c r="A4" s="56"/>
      <c r="B4" s="56"/>
      <c r="C4" s="1339"/>
      <c r="D4" s="1339"/>
      <c r="E4" s="1339"/>
      <c r="F4" s="1339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381" t="s">
        <v>122</v>
      </c>
      <c r="R4" s="207">
        <f>IF(R9&lt;=21,1,IF(R9&lt;=41,2,IF(R9&lt;=61,3,IF(R9&lt;=81,4,IF(R9&lt;=101,5,"")))))</f>
        <v>1</v>
      </c>
      <c r="S4" s="1899" t="str">
        <f>IF(Dados!$H$2="","",Dados!$H$2)</f>
        <v/>
      </c>
      <c r="T4" s="367"/>
    </row>
    <row r="5" spans="1:27" ht="18.75" thickBot="1" x14ac:dyDescent="0.3">
      <c r="A5" s="56"/>
      <c r="B5" s="56"/>
      <c r="C5" s="1837" t="s">
        <v>123</v>
      </c>
      <c r="D5" s="1837"/>
      <c r="E5" s="1837"/>
      <c r="F5" s="1837"/>
      <c r="G5" s="1837"/>
      <c r="H5" s="1837"/>
      <c r="I5" s="1837"/>
      <c r="J5" s="1837"/>
      <c r="K5" s="1837"/>
      <c r="L5" s="1837"/>
      <c r="M5" s="1837"/>
      <c r="N5" s="1837"/>
      <c r="O5" s="1837"/>
      <c r="P5" s="1837"/>
      <c r="Q5" s="1837"/>
      <c r="R5" s="56"/>
      <c r="S5" s="1899"/>
      <c r="T5" s="367"/>
      <c r="U5" s="57" t="str">
        <f>Dados!$J$71</f>
        <v/>
      </c>
    </row>
    <row r="6" spans="1:27" ht="11.25" customHeight="1" x14ac:dyDescent="0.2">
      <c r="A6" s="56"/>
      <c r="B6" s="56"/>
      <c r="C6" s="58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60"/>
      <c r="R6" s="56"/>
      <c r="S6" s="1899"/>
      <c r="T6" s="367"/>
    </row>
    <row r="7" spans="1:27" ht="101.25" customHeight="1" x14ac:dyDescent="0.2">
      <c r="A7" s="56"/>
      <c r="B7" s="56"/>
      <c r="C7" s="1900" t="str">
        <f>U16&amp;V16&amp;U17&amp;U20&amp;U18&amp;U21</f>
        <v>Pelo presente instrumento, a , da Unidade Educacional 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v>
      </c>
      <c r="D7" s="1901"/>
      <c r="E7" s="1901"/>
      <c r="F7" s="1901"/>
      <c r="G7" s="1901"/>
      <c r="H7" s="1901"/>
      <c r="I7" s="1901"/>
      <c r="J7" s="1901"/>
      <c r="K7" s="1901"/>
      <c r="L7" s="1901"/>
      <c r="M7" s="1901"/>
      <c r="N7" s="1901"/>
      <c r="O7" s="1901"/>
      <c r="P7" s="1901"/>
      <c r="Q7" s="1902"/>
      <c r="R7" s="56"/>
      <c r="S7" s="1899"/>
      <c r="T7" s="367"/>
      <c r="U7" s="192" t="s">
        <v>452</v>
      </c>
      <c r="W7" s="192" t="s">
        <v>470</v>
      </c>
    </row>
    <row r="8" spans="1:27" ht="10.5" hidden="1" customHeight="1" x14ac:dyDescent="0.2">
      <c r="A8" s="56"/>
      <c r="B8" s="56"/>
      <c r="C8" s="1888"/>
      <c r="D8" s="1889"/>
      <c r="E8" s="1889"/>
      <c r="F8" s="1889"/>
      <c r="G8" s="1889"/>
      <c r="H8" s="1889"/>
      <c r="I8" s="1889"/>
      <c r="J8" s="1889"/>
      <c r="K8" s="1889"/>
      <c r="L8" s="1889"/>
      <c r="M8" s="1889"/>
      <c r="N8" s="1889"/>
      <c r="O8" s="1889"/>
      <c r="P8" s="1889"/>
      <c r="Q8" s="1890"/>
      <c r="R8" s="56"/>
      <c r="S8" s="1899"/>
      <c r="T8" s="367"/>
      <c r="U8" s="192" t="s">
        <v>453</v>
      </c>
      <c r="W8" s="192" t="s">
        <v>471</v>
      </c>
    </row>
    <row r="9" spans="1:27" ht="25.5" hidden="1" customHeight="1" x14ac:dyDescent="0.2">
      <c r="A9" s="56"/>
      <c r="B9" s="56"/>
      <c r="C9" s="1842"/>
      <c r="D9" s="1843"/>
      <c r="E9" s="1843"/>
      <c r="F9" s="1886"/>
      <c r="G9" s="1887"/>
      <c r="H9" s="1887"/>
      <c r="I9" s="1887"/>
      <c r="J9" s="1887"/>
      <c r="K9" s="1887"/>
      <c r="L9" s="1887"/>
      <c r="M9" s="1887"/>
      <c r="N9" s="1843"/>
      <c r="O9" s="1843"/>
      <c r="P9" s="1843"/>
      <c r="Q9" s="1848"/>
      <c r="R9" s="207">
        <f>R37+R77+R117+R157+R197</f>
        <v>0</v>
      </c>
      <c r="S9" s="1899"/>
      <c r="T9" s="367"/>
      <c r="U9" s="57" t="str">
        <f>IF(U5="","",IF(U5="CEU",U8,U7))</f>
        <v/>
      </c>
    </row>
    <row r="10" spans="1:27" ht="12.75" hidden="1" customHeight="1" x14ac:dyDescent="0.2">
      <c r="A10" s="56"/>
      <c r="B10" s="56"/>
      <c r="C10" s="1842"/>
      <c r="D10" s="1843"/>
      <c r="E10" s="1843"/>
      <c r="F10" s="1843"/>
      <c r="G10" s="1843"/>
      <c r="H10" s="1843"/>
      <c r="I10" s="1843"/>
      <c r="J10" s="1843"/>
      <c r="K10" s="1843"/>
      <c r="L10" s="1843"/>
      <c r="M10" s="1843"/>
      <c r="N10" s="1843"/>
      <c r="O10" s="1843"/>
      <c r="P10" s="1843"/>
      <c r="Q10" s="1848"/>
      <c r="R10" s="56"/>
      <c r="S10" s="1899"/>
      <c r="T10" s="367"/>
    </row>
    <row r="11" spans="1:27" ht="12.75" hidden="1" customHeight="1" x14ac:dyDescent="0.2">
      <c r="A11" s="56"/>
      <c r="B11" s="56"/>
      <c r="C11" s="1842"/>
      <c r="D11" s="1843"/>
      <c r="E11" s="1843"/>
      <c r="F11" s="1843"/>
      <c r="G11" s="1843"/>
      <c r="H11" s="1843"/>
      <c r="I11" s="1843"/>
      <c r="J11" s="1843"/>
      <c r="K11" s="1843"/>
      <c r="L11" s="1843"/>
      <c r="M11" s="1843"/>
      <c r="N11" s="1843"/>
      <c r="O11" s="1843"/>
      <c r="P11" s="1843"/>
      <c r="Q11" s="1848"/>
      <c r="R11" s="56"/>
      <c r="S11" s="1899"/>
      <c r="T11" s="367"/>
    </row>
    <row r="12" spans="1:27" ht="6" customHeight="1" thickBot="1" x14ac:dyDescent="0.25">
      <c r="A12" s="56"/>
      <c r="B12" s="56"/>
      <c r="C12" s="1849"/>
      <c r="D12" s="1850"/>
      <c r="E12" s="1850"/>
      <c r="F12" s="1850"/>
      <c r="G12" s="1850"/>
      <c r="H12" s="1850"/>
      <c r="I12" s="1850"/>
      <c r="J12" s="1850"/>
      <c r="K12" s="1850"/>
      <c r="L12" s="1850"/>
      <c r="M12" s="1850"/>
      <c r="N12" s="1850"/>
      <c r="O12" s="1850"/>
      <c r="P12" s="1850"/>
      <c r="Q12" s="1851"/>
      <c r="R12" s="56"/>
      <c r="S12" s="1899"/>
      <c r="T12" s="367"/>
    </row>
    <row r="13" spans="1:27" ht="13.5" thickBot="1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899"/>
      <c r="T13" s="367"/>
    </row>
    <row r="14" spans="1:27" x14ac:dyDescent="0.2">
      <c r="A14" s="56"/>
      <c r="B14" s="56"/>
      <c r="C14" s="66" t="s">
        <v>125</v>
      </c>
      <c r="D14" s="1852" t="s">
        <v>126</v>
      </c>
      <c r="E14" s="1853"/>
      <c r="F14" s="1853"/>
      <c r="G14" s="1853"/>
      <c r="H14" s="1853"/>
      <c r="I14" s="1854"/>
      <c r="J14" s="1357" t="s">
        <v>127</v>
      </c>
      <c r="K14" s="1358"/>
      <c r="L14" s="1858"/>
      <c r="M14" s="1859" t="s">
        <v>131</v>
      </c>
      <c r="N14" s="1368" t="s">
        <v>128</v>
      </c>
      <c r="O14" s="1868"/>
      <c r="P14" s="1368" t="s">
        <v>118</v>
      </c>
      <c r="Q14" s="1370"/>
      <c r="R14" s="67"/>
      <c r="S14" s="1899"/>
      <c r="T14" s="367"/>
    </row>
    <row r="15" spans="1:27" x14ac:dyDescent="0.2">
      <c r="A15" s="56"/>
      <c r="B15" s="56"/>
      <c r="C15" s="68" t="s">
        <v>129</v>
      </c>
      <c r="D15" s="1855"/>
      <c r="E15" s="1856"/>
      <c r="F15" s="1856"/>
      <c r="G15" s="1856"/>
      <c r="H15" s="1856"/>
      <c r="I15" s="1857"/>
      <c r="J15" s="1866" t="s">
        <v>130</v>
      </c>
      <c r="K15" s="1321"/>
      <c r="L15" s="1867"/>
      <c r="M15" s="1860"/>
      <c r="N15" s="69" t="s">
        <v>330</v>
      </c>
      <c r="O15" s="70" t="s">
        <v>282</v>
      </c>
      <c r="P15" s="71" t="s">
        <v>101</v>
      </c>
      <c r="Q15" s="72" t="s">
        <v>102</v>
      </c>
      <c r="R15" s="67"/>
      <c r="S15" s="1899"/>
      <c r="T15" s="367"/>
    </row>
    <row r="16" spans="1:27" x14ac:dyDescent="0.2">
      <c r="A16" s="56"/>
      <c r="B16" s="56" t="str">
        <f>IF(D16="","",1)</f>
        <v/>
      </c>
      <c r="C16" s="198" t="str">
        <f>IF(B16="","",1)</f>
        <v/>
      </c>
      <c r="D16" s="1884" t="str">
        <f>IF(MOD_3!$E16="","",MOD_3!$E16)</f>
        <v/>
      </c>
      <c r="E16" s="1884"/>
      <c r="F16" s="1884"/>
      <c r="G16" s="1884"/>
      <c r="H16" s="1884"/>
      <c r="I16" s="1885"/>
      <c r="J16" s="1881" t="str">
        <f>IF(MOD_3!$K16="","",MOD_3!$K16)</f>
        <v/>
      </c>
      <c r="K16" s="1882"/>
      <c r="L16" s="1883"/>
      <c r="M16" s="55" t="str">
        <f>IF(MOD_3!$M16="","",MOD_3!$M16)</f>
        <v/>
      </c>
      <c r="N16" s="777" t="str">
        <f>IF(MOD_3!$C16="","",MOD_3!$C16)</f>
        <v/>
      </c>
      <c r="O16" s="191" t="str">
        <f>IF(MOD_3!$D16="","",MOD_3!$D16)</f>
        <v/>
      </c>
      <c r="P16" s="147" t="str">
        <f>IF(MOD_3!$N16="","",MOD_3!$N16)</f>
        <v/>
      </c>
      <c r="Q16" s="279" t="str">
        <f>IF(MOD_3!$Q16="","",MOD_3!$Q16)</f>
        <v/>
      </c>
      <c r="R16" s="73">
        <f>MOD_3!S16</f>
        <v>0</v>
      </c>
      <c r="S16" s="1899"/>
      <c r="T16" s="367"/>
      <c r="U16" s="192" t="s">
        <v>469</v>
      </c>
      <c r="V16" s="192" t="str">
        <f>IF(U5="","",IF(U5="CEU",W8,W7))</f>
        <v/>
      </c>
      <c r="AA16" s="57" t="str">
        <f>IF(LEN(J16)=0,"",LEN(J16))</f>
        <v/>
      </c>
    </row>
    <row r="17" spans="1:27" x14ac:dyDescent="0.2">
      <c r="A17" s="56"/>
      <c r="B17" s="56" t="str">
        <f t="shared" ref="B17:B36" si="0">IF(R16=0,B16,B16+1)</f>
        <v/>
      </c>
      <c r="C17" s="199" t="str">
        <f t="shared" ref="C17:C36" si="1">IF(D17="","",IF(B17=B16,"",B16+1))</f>
        <v/>
      </c>
      <c r="D17" s="1878" t="str">
        <f>IF(MOD_3!$E17="","",MOD_3!$E17)</f>
        <v/>
      </c>
      <c r="E17" s="1879"/>
      <c r="F17" s="1879"/>
      <c r="G17" s="1879"/>
      <c r="H17" s="1879"/>
      <c r="I17" s="1880"/>
      <c r="J17" s="1876" t="str">
        <f>IF(MOD_3!$K17="","",MOD_3!$K17)</f>
        <v/>
      </c>
      <c r="K17" s="1876"/>
      <c r="L17" s="1877"/>
      <c r="M17" s="194" t="str">
        <f>IF(MOD_3!$M17="","",MOD_3!$M17)</f>
        <v/>
      </c>
      <c r="N17" s="778" t="str">
        <f>IF(MOD_3!$C17="","",MOD_3!$C17)</f>
        <v/>
      </c>
      <c r="O17" s="200" t="str">
        <f>IF(MOD_3!$D17="","",MOD_3!$D17)</f>
        <v/>
      </c>
      <c r="P17" s="201" t="str">
        <f>IF(MOD_3!$N17="","",MOD_3!$N17)</f>
        <v/>
      </c>
      <c r="Q17" s="280" t="str">
        <f>IF(MOD_3!$Q17="","",MOD_3!$Q17)</f>
        <v/>
      </c>
      <c r="R17" s="73">
        <f>MOD_3!S17</f>
        <v>0</v>
      </c>
      <c r="S17" s="1899"/>
      <c r="T17" s="367"/>
      <c r="U17" s="57" t="str">
        <f>Dados!$E$67</f>
        <v/>
      </c>
      <c r="AA17" s="57" t="str">
        <f t="shared" ref="AA17:AA36" si="2">IF(LEN(J17)=0,"",LEN(J17))</f>
        <v/>
      </c>
    </row>
    <row r="18" spans="1:27" x14ac:dyDescent="0.2">
      <c r="A18" s="56"/>
      <c r="B18" s="56" t="str">
        <f t="shared" si="0"/>
        <v/>
      </c>
      <c r="C18" s="199" t="str">
        <f t="shared" si="1"/>
        <v/>
      </c>
      <c r="D18" s="1878" t="str">
        <f>IF(MOD_3!$E18="","",MOD_3!$E18)</f>
        <v/>
      </c>
      <c r="E18" s="1879"/>
      <c r="F18" s="1879"/>
      <c r="G18" s="1879"/>
      <c r="H18" s="1879"/>
      <c r="I18" s="1880"/>
      <c r="J18" s="1876" t="str">
        <f>IF(MOD_3!$K18="","",MOD_3!$K18)</f>
        <v/>
      </c>
      <c r="K18" s="1876"/>
      <c r="L18" s="1877"/>
      <c r="M18" s="194" t="str">
        <f>IF(MOD_3!$M18="","",MOD_3!$M18)</f>
        <v/>
      </c>
      <c r="N18" s="778" t="str">
        <f>IF(MOD_3!$C18="","",MOD_3!$C18)</f>
        <v/>
      </c>
      <c r="O18" s="200" t="str">
        <f>IF(MOD_3!$D18="","",MOD_3!$D18)</f>
        <v/>
      </c>
      <c r="P18" s="201" t="str">
        <f>IF(MOD_3!$N18="","",MOD_3!$N18)</f>
        <v/>
      </c>
      <c r="Q18" s="280" t="str">
        <f>IF(MOD_3!$Q18="","",MOD_3!$Q18)</f>
        <v/>
      </c>
      <c r="R18" s="73">
        <f>MOD_3!S18</f>
        <v>0</v>
      </c>
      <c r="S18" s="1899"/>
      <c r="T18" s="367"/>
      <c r="U18" s="497" t="str">
        <f>Dados!$E$69</f>
        <v/>
      </c>
      <c r="AA18" s="57" t="str">
        <f t="shared" si="2"/>
        <v/>
      </c>
    </row>
    <row r="19" spans="1:27" x14ac:dyDescent="0.2">
      <c r="A19" s="56"/>
      <c r="B19" s="56" t="str">
        <f t="shared" si="0"/>
        <v/>
      </c>
      <c r="C19" s="199" t="str">
        <f t="shared" si="1"/>
        <v/>
      </c>
      <c r="D19" s="1878" t="str">
        <f>IF(MOD_3!$E19="","",MOD_3!$E19)</f>
        <v/>
      </c>
      <c r="E19" s="1879"/>
      <c r="F19" s="1879"/>
      <c r="G19" s="1879"/>
      <c r="H19" s="1879"/>
      <c r="I19" s="1880"/>
      <c r="J19" s="1876" t="str">
        <f>IF(MOD_3!$K19="","",MOD_3!$K19)</f>
        <v/>
      </c>
      <c r="K19" s="1876"/>
      <c r="L19" s="1877"/>
      <c r="M19" s="194" t="str">
        <f>IF(MOD_3!$M19="","",MOD_3!$M19)</f>
        <v/>
      </c>
      <c r="N19" s="778" t="str">
        <f>IF(MOD_3!$C19="","",MOD_3!$C19)</f>
        <v/>
      </c>
      <c r="O19" s="200" t="str">
        <f>IF(MOD_3!$D19="","",MOD_3!$D19)</f>
        <v/>
      </c>
      <c r="P19" s="201" t="str">
        <f>IF(MOD_3!$N19="","",MOD_3!$N19)</f>
        <v/>
      </c>
      <c r="Q19" s="280" t="str">
        <f>IF(MOD_3!$Q19="","",MOD_3!$Q19)</f>
        <v/>
      </c>
      <c r="R19" s="73">
        <f>MOD_3!S19</f>
        <v>0</v>
      </c>
      <c r="S19" s="1899"/>
      <c r="T19" s="367"/>
      <c r="AA19" s="57" t="str">
        <f t="shared" si="2"/>
        <v/>
      </c>
    </row>
    <row r="20" spans="1:27" x14ac:dyDescent="0.2">
      <c r="A20" s="56"/>
      <c r="B20" s="56" t="str">
        <f t="shared" si="0"/>
        <v/>
      </c>
      <c r="C20" s="199" t="str">
        <f t="shared" si="1"/>
        <v/>
      </c>
      <c r="D20" s="1878" t="str">
        <f>IF(MOD_3!$E20="","",MOD_3!$E20)</f>
        <v/>
      </c>
      <c r="E20" s="1879"/>
      <c r="F20" s="1879"/>
      <c r="G20" s="1879"/>
      <c r="H20" s="1879"/>
      <c r="I20" s="1880"/>
      <c r="J20" s="1876" t="str">
        <f>IF(MOD_3!$K20="","",MOD_3!$K20)</f>
        <v/>
      </c>
      <c r="K20" s="1876"/>
      <c r="L20" s="1877"/>
      <c r="M20" s="194" t="str">
        <f>IF(MOD_3!$M20="","",MOD_3!$M20)</f>
        <v/>
      </c>
      <c r="N20" s="778" t="str">
        <f>IF(MOD_3!$C20="","",MOD_3!$C20)</f>
        <v/>
      </c>
      <c r="O20" s="200" t="str">
        <f>IF(MOD_3!$D20="","",MOD_3!$D20)</f>
        <v/>
      </c>
      <c r="P20" s="201" t="str">
        <f>IF(MOD_3!$N20="","",MOD_3!$N20)</f>
        <v/>
      </c>
      <c r="Q20" s="280" t="str">
        <f>IF(MOD_3!$Q20="","",MOD_3!$Q20)</f>
        <v/>
      </c>
      <c r="R20" s="73">
        <f>MOD_3!S20</f>
        <v>0</v>
      </c>
      <c r="S20" s="1899"/>
      <c r="T20" s="367"/>
      <c r="U20" s="192" t="s">
        <v>478</v>
      </c>
      <c r="AA20" s="57" t="str">
        <f t="shared" si="2"/>
        <v/>
      </c>
    </row>
    <row r="21" spans="1:27" x14ac:dyDescent="0.2">
      <c r="A21" s="56"/>
      <c r="B21" s="56" t="str">
        <f t="shared" si="0"/>
        <v/>
      </c>
      <c r="C21" s="288" t="str">
        <f t="shared" si="1"/>
        <v/>
      </c>
      <c r="D21" s="1878" t="str">
        <f>IF(MOD_3!$E21="","",MOD_3!$E21)</f>
        <v/>
      </c>
      <c r="E21" s="1879"/>
      <c r="F21" s="1879"/>
      <c r="G21" s="1879"/>
      <c r="H21" s="1879"/>
      <c r="I21" s="1880"/>
      <c r="J21" s="1876" t="str">
        <f>IF(MOD_3!$K21="","",MOD_3!$K21)</f>
        <v/>
      </c>
      <c r="K21" s="1876"/>
      <c r="L21" s="1877"/>
      <c r="M21" s="194" t="str">
        <f>IF(MOD_3!$M21="","",MOD_3!$M21)</f>
        <v/>
      </c>
      <c r="N21" s="778" t="str">
        <f>IF(MOD_3!$C21="","",MOD_3!$C21)</f>
        <v/>
      </c>
      <c r="O21" s="200" t="str">
        <f>IF(MOD_3!$D21="","",MOD_3!$D21)</f>
        <v/>
      </c>
      <c r="P21" s="201" t="str">
        <f>IF(MOD_3!$N21="","",MOD_3!$N21)</f>
        <v/>
      </c>
      <c r="Q21" s="280" t="str">
        <f>IF(MOD_3!$Q21="","",MOD_3!$Q21)</f>
        <v/>
      </c>
      <c r="R21" s="73">
        <f>MOD_3!S21</f>
        <v>0</v>
      </c>
      <c r="S21" s="1899"/>
      <c r="T21" s="367"/>
      <c r="U21" s="192" t="s">
        <v>472</v>
      </c>
      <c r="AA21" s="57" t="str">
        <f t="shared" si="2"/>
        <v/>
      </c>
    </row>
    <row r="22" spans="1:27" x14ac:dyDescent="0.2">
      <c r="A22" s="56"/>
      <c r="B22" s="56" t="str">
        <f t="shared" si="0"/>
        <v/>
      </c>
      <c r="C22" s="199" t="str">
        <f t="shared" si="1"/>
        <v/>
      </c>
      <c r="D22" s="1878" t="str">
        <f>IF(MOD_3!$E22="","",MOD_3!$E22)</f>
        <v/>
      </c>
      <c r="E22" s="1879"/>
      <c r="F22" s="1879"/>
      <c r="G22" s="1879"/>
      <c r="H22" s="1879"/>
      <c r="I22" s="1880"/>
      <c r="J22" s="1876" t="str">
        <f>IF(MOD_3!$K22="","",MOD_3!$K22)</f>
        <v/>
      </c>
      <c r="K22" s="1876"/>
      <c r="L22" s="1877"/>
      <c r="M22" s="194" t="str">
        <f>IF(MOD_3!$M22="","",MOD_3!$M22)</f>
        <v/>
      </c>
      <c r="N22" s="778" t="str">
        <f>IF(MOD_3!$C22="","",MOD_3!$C22)</f>
        <v/>
      </c>
      <c r="O22" s="200" t="str">
        <f>IF(MOD_3!$D22="","",MOD_3!$D22)</f>
        <v/>
      </c>
      <c r="P22" s="201" t="str">
        <f>IF(MOD_3!$N22="","",MOD_3!$N22)</f>
        <v/>
      </c>
      <c r="Q22" s="280" t="str">
        <f>IF(MOD_3!$Q22="","",MOD_3!$Q22)</f>
        <v/>
      </c>
      <c r="R22" s="73">
        <f>MOD_3!S22</f>
        <v>0</v>
      </c>
      <c r="S22" s="1899"/>
      <c r="T22" s="367"/>
      <c r="AA22" s="57" t="str">
        <f t="shared" si="2"/>
        <v/>
      </c>
    </row>
    <row r="23" spans="1:27" x14ac:dyDescent="0.2">
      <c r="A23" s="56"/>
      <c r="B23" s="56" t="str">
        <f t="shared" si="0"/>
        <v/>
      </c>
      <c r="C23" s="199" t="str">
        <f t="shared" si="1"/>
        <v/>
      </c>
      <c r="D23" s="1878" t="str">
        <f>IF(MOD_3!$E23="","",MOD_3!$E23)</f>
        <v/>
      </c>
      <c r="E23" s="1879"/>
      <c r="F23" s="1879"/>
      <c r="G23" s="1879"/>
      <c r="H23" s="1879"/>
      <c r="I23" s="1880"/>
      <c r="J23" s="1876" t="str">
        <f>IF(MOD_3!$K23="","",MOD_3!$K23)</f>
        <v/>
      </c>
      <c r="K23" s="1876"/>
      <c r="L23" s="1877"/>
      <c r="M23" s="194" t="str">
        <f>IF(MOD_3!$M23="","",MOD_3!$M23)</f>
        <v/>
      </c>
      <c r="N23" s="778" t="str">
        <f>IF(MOD_3!$C23="","",MOD_3!$C23)</f>
        <v/>
      </c>
      <c r="O23" s="200" t="str">
        <f>IF(MOD_3!$D23="","",MOD_3!$D23)</f>
        <v/>
      </c>
      <c r="P23" s="201" t="str">
        <f>IF(MOD_3!$N23="","",MOD_3!$N23)</f>
        <v/>
      </c>
      <c r="Q23" s="280" t="str">
        <f>IF(MOD_3!$Q23="","",MOD_3!$Q23)</f>
        <v/>
      </c>
      <c r="R23" s="73">
        <f>MOD_3!S23</f>
        <v>0</v>
      </c>
      <c r="S23" s="1899"/>
      <c r="T23" s="367"/>
      <c r="AA23" s="57" t="str">
        <f t="shared" si="2"/>
        <v/>
      </c>
    </row>
    <row r="24" spans="1:27" x14ac:dyDescent="0.2">
      <c r="A24" s="56"/>
      <c r="B24" s="56" t="str">
        <f t="shared" si="0"/>
        <v/>
      </c>
      <c r="C24" s="199" t="str">
        <f t="shared" si="1"/>
        <v/>
      </c>
      <c r="D24" s="1878" t="str">
        <f>IF(MOD_3!$E24="","",MOD_3!$E24)</f>
        <v/>
      </c>
      <c r="E24" s="1879"/>
      <c r="F24" s="1879"/>
      <c r="G24" s="1879"/>
      <c r="H24" s="1879"/>
      <c r="I24" s="1880"/>
      <c r="J24" s="1876" t="str">
        <f>IF(MOD_3!$K24="","",MOD_3!$K24)</f>
        <v/>
      </c>
      <c r="K24" s="1876"/>
      <c r="L24" s="1877"/>
      <c r="M24" s="194" t="str">
        <f>IF(MOD_3!$M24="","",MOD_3!$M24)</f>
        <v/>
      </c>
      <c r="N24" s="778" t="str">
        <f>IF(MOD_3!$C24="","",MOD_3!$C24)</f>
        <v/>
      </c>
      <c r="O24" s="200" t="str">
        <f>IF(MOD_3!$D24="","",MOD_3!$D24)</f>
        <v/>
      </c>
      <c r="P24" s="201" t="str">
        <f>IF(MOD_3!$N24="","",MOD_3!$N24)</f>
        <v/>
      </c>
      <c r="Q24" s="280" t="str">
        <f>IF(MOD_3!$Q24="","",MOD_3!$Q24)</f>
        <v/>
      </c>
      <c r="R24" s="73">
        <f>MOD_3!S24</f>
        <v>0</v>
      </c>
      <c r="S24" s="1899"/>
      <c r="T24" s="367"/>
      <c r="AA24" s="57" t="str">
        <f t="shared" si="2"/>
        <v/>
      </c>
    </row>
    <row r="25" spans="1:27" x14ac:dyDescent="0.2">
      <c r="A25" s="56"/>
      <c r="B25" s="56" t="str">
        <f t="shared" si="0"/>
        <v/>
      </c>
      <c r="C25" s="199" t="str">
        <f t="shared" si="1"/>
        <v/>
      </c>
      <c r="D25" s="1878" t="str">
        <f>IF(MOD_3!$E25="","",MOD_3!$E25)</f>
        <v/>
      </c>
      <c r="E25" s="1879"/>
      <c r="F25" s="1879"/>
      <c r="G25" s="1879"/>
      <c r="H25" s="1879"/>
      <c r="I25" s="1880"/>
      <c r="J25" s="1876" t="str">
        <f>IF(MOD_3!$K25="","",MOD_3!$K25)</f>
        <v/>
      </c>
      <c r="K25" s="1876"/>
      <c r="L25" s="1877"/>
      <c r="M25" s="194" t="str">
        <f>IF(MOD_3!$M25="","",MOD_3!$M25)</f>
        <v/>
      </c>
      <c r="N25" s="778" t="str">
        <f>IF(MOD_3!$C25="","",MOD_3!$C25)</f>
        <v/>
      </c>
      <c r="O25" s="200" t="str">
        <f>IF(MOD_3!$D25="","",MOD_3!$D25)</f>
        <v/>
      </c>
      <c r="P25" s="201" t="str">
        <f>IF(MOD_3!$N25="","",MOD_3!$N25)</f>
        <v/>
      </c>
      <c r="Q25" s="280" t="str">
        <f>IF(MOD_3!$Q25="","",MOD_3!$Q25)</f>
        <v/>
      </c>
      <c r="R25" s="73">
        <f>MOD_3!S25</f>
        <v>0</v>
      </c>
      <c r="S25" s="1899"/>
      <c r="T25" s="367"/>
      <c r="AA25" s="57" t="str">
        <f t="shared" si="2"/>
        <v/>
      </c>
    </row>
    <row r="26" spans="1:27" x14ac:dyDescent="0.2">
      <c r="A26" s="56"/>
      <c r="B26" s="56" t="str">
        <f t="shared" si="0"/>
        <v/>
      </c>
      <c r="C26" s="199" t="str">
        <f t="shared" si="1"/>
        <v/>
      </c>
      <c r="D26" s="1878" t="str">
        <f>IF(MOD_3!$E26="","",MOD_3!$E26)</f>
        <v/>
      </c>
      <c r="E26" s="1879"/>
      <c r="F26" s="1879"/>
      <c r="G26" s="1879"/>
      <c r="H26" s="1879"/>
      <c r="I26" s="1880"/>
      <c r="J26" s="1876" t="str">
        <f>IF(MOD_3!$K26="","",MOD_3!$K26)</f>
        <v/>
      </c>
      <c r="K26" s="1876"/>
      <c r="L26" s="1877"/>
      <c r="M26" s="194" t="str">
        <f>IF(MOD_3!$M26="","",MOD_3!$M26)</f>
        <v/>
      </c>
      <c r="N26" s="778" t="str">
        <f>IF(MOD_3!$C26="","",MOD_3!$C26)</f>
        <v/>
      </c>
      <c r="O26" s="200" t="str">
        <f>IF(MOD_3!$D26="","",MOD_3!$D26)</f>
        <v/>
      </c>
      <c r="P26" s="201" t="str">
        <f>IF(MOD_3!$N26="","",MOD_3!$N26)</f>
        <v/>
      </c>
      <c r="Q26" s="280" t="str">
        <f>IF(MOD_3!$Q26="","",MOD_3!$Q26)</f>
        <v/>
      </c>
      <c r="R26" s="73">
        <f>MOD_3!S26</f>
        <v>0</v>
      </c>
      <c r="S26" s="1899"/>
      <c r="T26" s="367"/>
      <c r="AA26" s="57" t="str">
        <f t="shared" si="2"/>
        <v/>
      </c>
    </row>
    <row r="27" spans="1:27" ht="12.75" customHeight="1" x14ac:dyDescent="0.2">
      <c r="A27" s="56"/>
      <c r="B27" s="56" t="str">
        <f t="shared" si="0"/>
        <v/>
      </c>
      <c r="C27" s="288" t="str">
        <f t="shared" si="1"/>
        <v/>
      </c>
      <c r="D27" s="1878" t="str">
        <f>IF(MOD_3!$E27="","",MOD_3!$E27)</f>
        <v/>
      </c>
      <c r="E27" s="1879"/>
      <c r="F27" s="1879"/>
      <c r="G27" s="1879"/>
      <c r="H27" s="1879"/>
      <c r="I27" s="1880"/>
      <c r="J27" s="1876" t="str">
        <f>IF(MOD_3!$K27="","",MOD_3!$K27)</f>
        <v/>
      </c>
      <c r="K27" s="1876"/>
      <c r="L27" s="1877"/>
      <c r="M27" s="194" t="str">
        <f>IF(MOD_3!$M27="","",MOD_3!$M27)</f>
        <v/>
      </c>
      <c r="N27" s="778" t="str">
        <f>IF(MOD_3!$C27="","",MOD_3!$C27)</f>
        <v/>
      </c>
      <c r="O27" s="200" t="str">
        <f>IF(MOD_3!$D27="","",MOD_3!$D27)</f>
        <v/>
      </c>
      <c r="P27" s="201" t="str">
        <f>IF(MOD_3!$N27="","",MOD_3!$N27)</f>
        <v/>
      </c>
      <c r="Q27" s="280" t="str">
        <f>IF(MOD_3!$Q27="","",MOD_3!$Q27)</f>
        <v/>
      </c>
      <c r="R27" s="73">
        <f>MOD_3!S27</f>
        <v>0</v>
      </c>
      <c r="S27" s="1899"/>
      <c r="T27" s="367"/>
      <c r="AA27" s="57" t="str">
        <f t="shared" si="2"/>
        <v/>
      </c>
    </row>
    <row r="28" spans="1:27" x14ac:dyDescent="0.2">
      <c r="A28" s="56"/>
      <c r="B28" s="56" t="str">
        <f t="shared" si="0"/>
        <v/>
      </c>
      <c r="C28" s="288" t="str">
        <f t="shared" si="1"/>
        <v/>
      </c>
      <c r="D28" s="1878" t="str">
        <f>IF(MOD_3!$E28="","",MOD_3!$E28)</f>
        <v/>
      </c>
      <c r="E28" s="1879"/>
      <c r="F28" s="1879"/>
      <c r="G28" s="1879"/>
      <c r="H28" s="1879"/>
      <c r="I28" s="1880"/>
      <c r="J28" s="1876" t="str">
        <f>IF(MOD_3!$K28="","",MOD_3!$K28)</f>
        <v/>
      </c>
      <c r="K28" s="1876"/>
      <c r="L28" s="1877"/>
      <c r="M28" s="194" t="str">
        <f>IF(MOD_3!$M28="","",MOD_3!$M28)</f>
        <v/>
      </c>
      <c r="N28" s="778" t="str">
        <f>IF(MOD_3!$C28="","",MOD_3!$C28)</f>
        <v/>
      </c>
      <c r="O28" s="200" t="str">
        <f>IF(MOD_3!$D28="","",MOD_3!$D28)</f>
        <v/>
      </c>
      <c r="P28" s="201" t="str">
        <f>IF(MOD_3!$N28="","",MOD_3!$N28)</f>
        <v/>
      </c>
      <c r="Q28" s="280" t="str">
        <f>IF(MOD_3!$Q28="","",MOD_3!$Q28)</f>
        <v/>
      </c>
      <c r="R28" s="73">
        <f>MOD_3!S28</f>
        <v>0</v>
      </c>
      <c r="S28" s="1899"/>
      <c r="T28" s="367"/>
      <c r="AA28" s="57" t="str">
        <f t="shared" si="2"/>
        <v/>
      </c>
    </row>
    <row r="29" spans="1:27" x14ac:dyDescent="0.2">
      <c r="A29" s="56"/>
      <c r="B29" s="56" t="str">
        <f t="shared" si="0"/>
        <v/>
      </c>
      <c r="C29" s="199" t="str">
        <f t="shared" si="1"/>
        <v/>
      </c>
      <c r="D29" s="1878" t="str">
        <f>IF(MOD_3!$E29="","",MOD_3!$E29)</f>
        <v/>
      </c>
      <c r="E29" s="1879"/>
      <c r="F29" s="1879"/>
      <c r="G29" s="1879"/>
      <c r="H29" s="1879"/>
      <c r="I29" s="1880"/>
      <c r="J29" s="1876" t="str">
        <f>IF(MOD_3!$K29="","",MOD_3!$K29)</f>
        <v/>
      </c>
      <c r="K29" s="1876"/>
      <c r="L29" s="1877"/>
      <c r="M29" s="194" t="str">
        <f>IF(MOD_3!$M29="","",MOD_3!$M29)</f>
        <v/>
      </c>
      <c r="N29" s="778" t="str">
        <f>IF(MOD_3!$C29="","",MOD_3!$C29)</f>
        <v/>
      </c>
      <c r="O29" s="200" t="str">
        <f>IF(MOD_3!$D29="","",MOD_3!$D29)</f>
        <v/>
      </c>
      <c r="P29" s="201" t="str">
        <f>IF(MOD_3!$N29="","",MOD_3!$N29)</f>
        <v/>
      </c>
      <c r="Q29" s="280" t="str">
        <f>IF(MOD_3!$Q29="","",MOD_3!$Q29)</f>
        <v/>
      </c>
      <c r="R29" s="73">
        <f>MOD_3!S29</f>
        <v>0</v>
      </c>
      <c r="S29" s="1899"/>
      <c r="T29" s="367"/>
      <c r="AA29" s="57" t="str">
        <f t="shared" si="2"/>
        <v/>
      </c>
    </row>
    <row r="30" spans="1:27" ht="12.75" customHeight="1" x14ac:dyDescent="0.2">
      <c r="A30" s="56"/>
      <c r="B30" s="56" t="str">
        <f t="shared" si="0"/>
        <v/>
      </c>
      <c r="C30" s="199" t="str">
        <f t="shared" si="1"/>
        <v/>
      </c>
      <c r="D30" s="1878" t="str">
        <f>IF(MOD_3!$E30="","",MOD_3!$E30)</f>
        <v/>
      </c>
      <c r="E30" s="1879"/>
      <c r="F30" s="1879"/>
      <c r="G30" s="1879"/>
      <c r="H30" s="1879"/>
      <c r="I30" s="1880"/>
      <c r="J30" s="1876" t="str">
        <f>IF(MOD_3!$K30="","",MOD_3!$K30)</f>
        <v/>
      </c>
      <c r="K30" s="1876"/>
      <c r="L30" s="1877"/>
      <c r="M30" s="194" t="str">
        <f>IF(MOD_3!$M30="","",MOD_3!$M30)</f>
        <v/>
      </c>
      <c r="N30" s="778" t="str">
        <f>IF(MOD_3!$C30="","",MOD_3!$C30)</f>
        <v/>
      </c>
      <c r="O30" s="200" t="str">
        <f>IF(MOD_3!$D30="","",MOD_3!$D30)</f>
        <v/>
      </c>
      <c r="P30" s="201" t="str">
        <f>IF(MOD_3!$N30="","",MOD_3!$N30)</f>
        <v/>
      </c>
      <c r="Q30" s="280" t="str">
        <f>IF(MOD_3!$Q30="","",MOD_3!$Q30)</f>
        <v/>
      </c>
      <c r="R30" s="73">
        <f>MOD_3!S30</f>
        <v>0</v>
      </c>
      <c r="S30" s="1899"/>
      <c r="T30" s="367"/>
      <c r="AA30" s="57" t="str">
        <f t="shared" si="2"/>
        <v/>
      </c>
    </row>
    <row r="31" spans="1:27" ht="12.75" customHeight="1" x14ac:dyDescent="0.2">
      <c r="A31" s="56"/>
      <c r="B31" s="56" t="str">
        <f t="shared" si="0"/>
        <v/>
      </c>
      <c r="C31" s="199" t="str">
        <f t="shared" si="1"/>
        <v/>
      </c>
      <c r="D31" s="1878" t="str">
        <f>IF(MOD_3!$E31="","",MOD_3!$E31)</f>
        <v/>
      </c>
      <c r="E31" s="1879"/>
      <c r="F31" s="1879"/>
      <c r="G31" s="1879"/>
      <c r="H31" s="1879"/>
      <c r="I31" s="1880"/>
      <c r="J31" s="1876" t="str">
        <f>IF(MOD_3!$K31="","",MOD_3!$K31)</f>
        <v/>
      </c>
      <c r="K31" s="1876"/>
      <c r="L31" s="1877"/>
      <c r="M31" s="194" t="str">
        <f>IF(MOD_3!$M31="","",MOD_3!$M31)</f>
        <v/>
      </c>
      <c r="N31" s="778" t="str">
        <f>IF(MOD_3!$C31="","",MOD_3!$C31)</f>
        <v/>
      </c>
      <c r="O31" s="200" t="str">
        <f>IF(MOD_3!$D31="","",MOD_3!$D31)</f>
        <v/>
      </c>
      <c r="P31" s="201" t="str">
        <f>IF(MOD_3!$N31="","",MOD_3!$N31)</f>
        <v/>
      </c>
      <c r="Q31" s="280" t="str">
        <f>IF(MOD_3!$Q31="","",MOD_3!$Q31)</f>
        <v/>
      </c>
      <c r="R31" s="73">
        <f>MOD_3!S31</f>
        <v>0</v>
      </c>
      <c r="S31" s="1899"/>
      <c r="T31" s="367"/>
      <c r="AA31" s="57" t="str">
        <f t="shared" si="2"/>
        <v/>
      </c>
    </row>
    <row r="32" spans="1:27" x14ac:dyDescent="0.2">
      <c r="A32" s="56"/>
      <c r="B32" s="56" t="str">
        <f t="shared" si="0"/>
        <v/>
      </c>
      <c r="C32" s="199" t="str">
        <f t="shared" si="1"/>
        <v/>
      </c>
      <c r="D32" s="1878" t="str">
        <f>IF(MOD_3!$E32="","",MOD_3!$E32)</f>
        <v/>
      </c>
      <c r="E32" s="1879"/>
      <c r="F32" s="1879"/>
      <c r="G32" s="1879"/>
      <c r="H32" s="1879"/>
      <c r="I32" s="1880"/>
      <c r="J32" s="1876" t="str">
        <f>IF(MOD_3!$K32="","",MOD_3!$K32)</f>
        <v/>
      </c>
      <c r="K32" s="1876"/>
      <c r="L32" s="1877"/>
      <c r="M32" s="194" t="str">
        <f>IF(MOD_3!$M32="","",MOD_3!$M32)</f>
        <v/>
      </c>
      <c r="N32" s="778" t="str">
        <f>IF(MOD_3!$C32="","",MOD_3!$C32)</f>
        <v/>
      </c>
      <c r="O32" s="200" t="str">
        <f>IF(MOD_3!$D32="","",MOD_3!$D32)</f>
        <v/>
      </c>
      <c r="P32" s="201" t="str">
        <f>IF(MOD_3!$N32="","",MOD_3!$N32)</f>
        <v/>
      </c>
      <c r="Q32" s="280" t="str">
        <f>IF(MOD_3!$Q32="","",MOD_3!$Q32)</f>
        <v/>
      </c>
      <c r="R32" s="73">
        <f>MOD_3!S32</f>
        <v>0</v>
      </c>
      <c r="S32" s="1899"/>
      <c r="T32" s="367"/>
      <c r="AA32" s="57" t="str">
        <f t="shared" si="2"/>
        <v/>
      </c>
    </row>
    <row r="33" spans="1:27" x14ac:dyDescent="0.2">
      <c r="A33" s="56"/>
      <c r="B33" s="56" t="str">
        <f t="shared" si="0"/>
        <v/>
      </c>
      <c r="C33" s="199" t="str">
        <f t="shared" si="1"/>
        <v/>
      </c>
      <c r="D33" s="1878" t="str">
        <f>IF(MOD_3!$E33="","",MOD_3!$E33)</f>
        <v/>
      </c>
      <c r="E33" s="1879"/>
      <c r="F33" s="1879"/>
      <c r="G33" s="1879"/>
      <c r="H33" s="1879"/>
      <c r="I33" s="1880"/>
      <c r="J33" s="1876" t="str">
        <f>IF(MOD_3!$K33="","",MOD_3!$K33)</f>
        <v/>
      </c>
      <c r="K33" s="1876"/>
      <c r="L33" s="1877"/>
      <c r="M33" s="194" t="str">
        <f>IF(MOD_3!$M33="","",MOD_3!$M33)</f>
        <v/>
      </c>
      <c r="N33" s="778" t="str">
        <f>IF(MOD_3!$C33="","",MOD_3!$C33)</f>
        <v/>
      </c>
      <c r="O33" s="200" t="str">
        <f>IF(MOD_3!$D33="","",MOD_3!$D33)</f>
        <v/>
      </c>
      <c r="P33" s="201" t="str">
        <f>IF(MOD_3!$N33="","",MOD_3!$N33)</f>
        <v/>
      </c>
      <c r="Q33" s="280" t="str">
        <f>IF(MOD_3!$Q33="","",MOD_3!$Q33)</f>
        <v/>
      </c>
      <c r="R33" s="73">
        <f>MOD_3!S33</f>
        <v>0</v>
      </c>
      <c r="S33" s="1899"/>
      <c r="T33" s="367"/>
      <c r="AA33" s="57" t="str">
        <f t="shared" si="2"/>
        <v/>
      </c>
    </row>
    <row r="34" spans="1:27" x14ac:dyDescent="0.2">
      <c r="A34" s="56"/>
      <c r="B34" s="56" t="str">
        <f t="shared" si="0"/>
        <v/>
      </c>
      <c r="C34" s="199" t="str">
        <f t="shared" si="1"/>
        <v/>
      </c>
      <c r="D34" s="1878" t="str">
        <f>IF(MOD_3!$E34="","",MOD_3!$E34)</f>
        <v/>
      </c>
      <c r="E34" s="1879"/>
      <c r="F34" s="1879"/>
      <c r="G34" s="1879"/>
      <c r="H34" s="1879"/>
      <c r="I34" s="1880"/>
      <c r="J34" s="1876" t="str">
        <f>IF(MOD_3!$K34="","",MOD_3!$K34)</f>
        <v/>
      </c>
      <c r="K34" s="1876"/>
      <c r="L34" s="1877"/>
      <c r="M34" s="194" t="str">
        <f>IF(MOD_3!$M34="","",MOD_3!$M34)</f>
        <v/>
      </c>
      <c r="N34" s="778" t="str">
        <f>IF(MOD_3!$C34="","",MOD_3!$C34)</f>
        <v/>
      </c>
      <c r="O34" s="200" t="str">
        <f>IF(MOD_3!$D34="","",MOD_3!$D34)</f>
        <v/>
      </c>
      <c r="P34" s="201" t="str">
        <f>IF(MOD_3!$N34="","",MOD_3!$N34)</f>
        <v/>
      </c>
      <c r="Q34" s="280" t="str">
        <f>IF(MOD_3!$Q34="","",MOD_3!$Q34)</f>
        <v/>
      </c>
      <c r="R34" s="73">
        <f>MOD_3!S34</f>
        <v>0</v>
      </c>
      <c r="S34" s="1899"/>
      <c r="T34" s="367"/>
      <c r="AA34" s="57" t="str">
        <f t="shared" si="2"/>
        <v/>
      </c>
    </row>
    <row r="35" spans="1:27" x14ac:dyDescent="0.2">
      <c r="A35" s="56"/>
      <c r="B35" s="56" t="str">
        <f t="shared" si="0"/>
        <v/>
      </c>
      <c r="C35" s="199" t="str">
        <f t="shared" si="1"/>
        <v/>
      </c>
      <c r="D35" s="1878" t="str">
        <f>IF(MOD_3!$E35="","",MOD_3!$E35)</f>
        <v/>
      </c>
      <c r="E35" s="1879"/>
      <c r="F35" s="1879"/>
      <c r="G35" s="1879"/>
      <c r="H35" s="1879"/>
      <c r="I35" s="1880"/>
      <c r="J35" s="1876" t="str">
        <f>IF(MOD_3!$K35="","",MOD_3!$K35)</f>
        <v/>
      </c>
      <c r="K35" s="1876"/>
      <c r="L35" s="1877"/>
      <c r="M35" s="194" t="str">
        <f>IF(MOD_3!$M35="","",MOD_3!$M35)</f>
        <v/>
      </c>
      <c r="N35" s="778" t="str">
        <f>IF(MOD_3!$C35="","",MOD_3!$C35)</f>
        <v/>
      </c>
      <c r="O35" s="200" t="str">
        <f>IF(MOD_3!$D35="","",MOD_3!$D35)</f>
        <v/>
      </c>
      <c r="P35" s="201" t="str">
        <f>IF(MOD_3!$N35="","",MOD_3!$N35)</f>
        <v/>
      </c>
      <c r="Q35" s="280" t="str">
        <f>IF(MOD_3!$Q35="","",MOD_3!$Q35)</f>
        <v/>
      </c>
      <c r="R35" s="73">
        <f>MOD_3!S35</f>
        <v>0</v>
      </c>
      <c r="S35" s="1899"/>
      <c r="T35" s="367"/>
      <c r="AA35" s="57" t="str">
        <f t="shared" si="2"/>
        <v/>
      </c>
    </row>
    <row r="36" spans="1:27" ht="13.5" thickBot="1" x14ac:dyDescent="0.25">
      <c r="A36" s="56"/>
      <c r="B36" s="56" t="str">
        <f t="shared" si="0"/>
        <v/>
      </c>
      <c r="C36" s="273" t="str">
        <f t="shared" si="1"/>
        <v/>
      </c>
      <c r="D36" s="1893" t="str">
        <f>IF(MOD_3!$E36="","",MOD_3!$E36)</f>
        <v/>
      </c>
      <c r="E36" s="1894"/>
      <c r="F36" s="1894"/>
      <c r="G36" s="1894"/>
      <c r="H36" s="1894"/>
      <c r="I36" s="1895"/>
      <c r="J36" s="1891" t="str">
        <f>IF(MOD_3!$K36="","",MOD_3!$K36)</f>
        <v/>
      </c>
      <c r="K36" s="1891"/>
      <c r="L36" s="1892"/>
      <c r="M36" s="195" t="str">
        <f>IF(MOD_3!$M36="","",MOD_3!$M36)</f>
        <v/>
      </c>
      <c r="N36" s="779" t="str">
        <f>IF(MOD_3!$C36="","",MOD_3!$C36)</f>
        <v/>
      </c>
      <c r="O36" s="196" t="str">
        <f>IF(MOD_3!$D36="","",MOD_3!$D36)</f>
        <v/>
      </c>
      <c r="P36" s="197" t="str">
        <f>IF(MOD_3!$N36="","",MOD_3!$N36)</f>
        <v/>
      </c>
      <c r="Q36" s="281" t="str">
        <f>IF(MOD_3!$Q36="","",MOD_3!$Q36)</f>
        <v/>
      </c>
      <c r="R36" s="73">
        <f>MOD_3!S36</f>
        <v>0</v>
      </c>
      <c r="S36" s="1899"/>
      <c r="T36" s="367"/>
      <c r="AA36" s="57" t="str">
        <f t="shared" si="2"/>
        <v/>
      </c>
    </row>
    <row r="37" spans="1:27" ht="13.5" thickBot="1" x14ac:dyDescent="0.25">
      <c r="A37" s="56"/>
      <c r="B37" s="56"/>
      <c r="C37" s="1869" t="str">
        <f>MOD_3!$B37</f>
        <v>Transportar.......................................................................</v>
      </c>
      <c r="D37" s="1387"/>
      <c r="E37" s="1387"/>
      <c r="F37" s="1387"/>
      <c r="G37" s="1387"/>
      <c r="H37" s="1387"/>
      <c r="I37" s="1387"/>
      <c r="J37" s="1387"/>
      <c r="K37" s="1387"/>
      <c r="L37" s="1387"/>
      <c r="M37" s="1387"/>
      <c r="N37" s="1387"/>
      <c r="O37" s="202" t="s">
        <v>102</v>
      </c>
      <c r="P37" s="180">
        <f>SUM(P16:P36)</f>
        <v>0</v>
      </c>
      <c r="Q37" s="282">
        <f>SUM(Q16:Q36)</f>
        <v>0</v>
      </c>
      <c r="R37" s="73">
        <f>SUM(R16:R36)</f>
        <v>0</v>
      </c>
      <c r="S37" s="1899"/>
      <c r="T37" s="367"/>
    </row>
    <row r="38" spans="1:27" ht="25.5" customHeight="1" thickBot="1" x14ac:dyDescent="0.25">
      <c r="A38" s="56"/>
      <c r="B38" s="56"/>
      <c r="C38" s="676" t="s">
        <v>694</v>
      </c>
      <c r="D38" s="1896" t="str">
        <f>IF(MOD_3!$C$38="","",MOD_3!$C$38)</f>
        <v/>
      </c>
      <c r="E38" s="1897"/>
      <c r="F38" s="1897"/>
      <c r="G38" s="1897"/>
      <c r="H38" s="1897"/>
      <c r="I38" s="1897"/>
      <c r="J38" s="1897"/>
      <c r="K38" s="1897"/>
      <c r="L38" s="1897"/>
      <c r="M38" s="1897"/>
      <c r="N38" s="1897"/>
      <c r="O38" s="1897"/>
      <c r="P38" s="1897"/>
      <c r="Q38" s="1898"/>
      <c r="R38" s="74"/>
      <c r="S38" s="1899"/>
      <c r="T38" s="367"/>
    </row>
    <row r="39" spans="1:27" x14ac:dyDescent="0.2">
      <c r="A39" s="56"/>
      <c r="B39" s="56"/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5"/>
      <c r="R39" s="74"/>
      <c r="S39" s="1899"/>
      <c r="T39" s="367"/>
    </row>
    <row r="40" spans="1:27" x14ac:dyDescent="0.2">
      <c r="A40" s="56"/>
      <c r="B40" s="56"/>
      <c r="C40" s="75" t="s">
        <v>85</v>
      </c>
      <c r="D40" s="156" t="str">
        <f>IF(Dados!$G$128="","",Dados!$G$128)</f>
        <v/>
      </c>
      <c r="E40" s="62"/>
      <c r="F40" s="1336" t="str">
        <f>Dados!$E$109</f>
        <v/>
      </c>
      <c r="G40" s="1336"/>
      <c r="H40" s="1336"/>
      <c r="I40" s="1336"/>
      <c r="J40" s="1336"/>
      <c r="K40" s="1336"/>
      <c r="L40" s="62"/>
      <c r="M40" s="1336"/>
      <c r="N40" s="1336"/>
      <c r="O40" s="1336"/>
      <c r="P40" s="1336"/>
      <c r="Q40" s="76"/>
      <c r="R40" s="77"/>
      <c r="S40" s="1899"/>
      <c r="T40" s="367"/>
    </row>
    <row r="41" spans="1:27" ht="13.5" thickBot="1" x14ac:dyDescent="0.25">
      <c r="A41" s="56"/>
      <c r="B41" s="56"/>
      <c r="C41" s="78" t="s">
        <v>132</v>
      </c>
      <c r="D41" s="79"/>
      <c r="E41" s="79"/>
      <c r="F41" s="1874" t="str">
        <f>MOD_2!$J$47</f>
        <v>Nome do Presidente da Diretoria Executiva da APM</v>
      </c>
      <c r="G41" s="1874"/>
      <c r="H41" s="1874"/>
      <c r="I41" s="1874"/>
      <c r="J41" s="1874"/>
      <c r="K41" s="1874"/>
      <c r="L41" s="79"/>
      <c r="M41" s="1874" t="str">
        <f>MOD_2!$T$47</f>
        <v>Assinatura do Presidente da Diretoria Executiva da APM</v>
      </c>
      <c r="N41" s="1874"/>
      <c r="O41" s="1874"/>
      <c r="P41" s="1874"/>
      <c r="Q41" s="80"/>
      <c r="R41" s="56"/>
      <c r="S41" s="1899"/>
      <c r="T41" s="367"/>
    </row>
    <row r="42" spans="1:27" hidden="1" x14ac:dyDescent="0.2">
      <c r="A42" s="264" t="str">
        <f t="shared" ref="A42:A81" si="3">IF($R$37&lt;=18,"OK","")</f>
        <v>OK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</row>
    <row r="43" spans="1:27" hidden="1" x14ac:dyDescent="0.2">
      <c r="A43" s="264" t="str">
        <f t="shared" si="3"/>
        <v>OK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</row>
    <row r="44" spans="1:27" hidden="1" x14ac:dyDescent="0.2">
      <c r="A44" s="264" t="str">
        <f t="shared" si="3"/>
        <v>OK</v>
      </c>
      <c r="B44" s="56"/>
      <c r="C44" s="1836" t="s">
        <v>122</v>
      </c>
      <c r="D44" s="1836"/>
      <c r="E44" s="1836"/>
      <c r="F44" s="1836"/>
      <c r="G44" s="1836"/>
      <c r="H44" s="1836"/>
      <c r="I44" s="1836"/>
      <c r="J44" s="1836"/>
      <c r="K44" s="1836"/>
      <c r="L44" s="1836"/>
      <c r="M44" s="1836"/>
      <c r="N44" s="1836"/>
      <c r="O44" s="1836"/>
      <c r="P44" s="1836"/>
      <c r="Q44" s="1836"/>
      <c r="R44" s="56"/>
      <c r="S44" s="56"/>
    </row>
    <row r="45" spans="1:27" ht="18.75" hidden="1" thickBot="1" x14ac:dyDescent="0.3">
      <c r="A45" s="264" t="str">
        <f t="shared" si="3"/>
        <v>OK</v>
      </c>
      <c r="B45" s="56"/>
      <c r="C45" s="1837" t="s">
        <v>123</v>
      </c>
      <c r="D45" s="1837"/>
      <c r="E45" s="1837"/>
      <c r="F45" s="1837"/>
      <c r="G45" s="1837"/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56"/>
      <c r="S45" s="56"/>
    </row>
    <row r="46" spans="1:27" hidden="1" x14ac:dyDescent="0.2">
      <c r="A46" s="264" t="str">
        <f t="shared" si="3"/>
        <v>OK</v>
      </c>
      <c r="B46" s="56"/>
      <c r="C46" s="58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6"/>
      <c r="S46" s="56"/>
    </row>
    <row r="47" spans="1:27" hidden="1" x14ac:dyDescent="0.2">
      <c r="A47" s="264" t="str">
        <f t="shared" si="3"/>
        <v>OK</v>
      </c>
      <c r="B47" s="56"/>
      <c r="C47" s="61" t="s">
        <v>124</v>
      </c>
      <c r="D47" s="62"/>
      <c r="E47" s="62"/>
      <c r="F47" s="62"/>
      <c r="G47" s="62"/>
      <c r="H47" s="62"/>
      <c r="I47" s="62"/>
      <c r="J47" s="1838" t="str">
        <f>Dados!$E$69</f>
        <v/>
      </c>
      <c r="K47" s="1838"/>
      <c r="L47" s="1838"/>
      <c r="M47" s="1838"/>
      <c r="N47" s="1838"/>
      <c r="O47" s="1838"/>
      <c r="P47" s="1838"/>
      <c r="Q47" s="1839"/>
      <c r="R47" s="56"/>
      <c r="S47" s="56"/>
    </row>
    <row r="48" spans="1:27" hidden="1" x14ac:dyDescent="0.2">
      <c r="A48" s="264" t="str">
        <f t="shared" si="3"/>
        <v>OK</v>
      </c>
      <c r="B48" s="56"/>
      <c r="C48" s="63"/>
      <c r="D48" s="64"/>
      <c r="E48" s="62"/>
      <c r="F48" s="62"/>
      <c r="G48" s="62"/>
      <c r="H48" s="62"/>
      <c r="I48" s="62"/>
      <c r="J48" s="1840" t="s">
        <v>196</v>
      </c>
      <c r="K48" s="1840"/>
      <c r="L48" s="1840"/>
      <c r="M48" s="1840"/>
      <c r="N48" s="1840"/>
      <c r="O48" s="1840"/>
      <c r="P48" s="1840"/>
      <c r="Q48" s="1841"/>
      <c r="R48" s="56"/>
      <c r="S48" s="56"/>
    </row>
    <row r="49" spans="1:19" hidden="1" x14ac:dyDescent="0.2">
      <c r="A49" s="264" t="str">
        <f t="shared" si="3"/>
        <v>OK</v>
      </c>
      <c r="B49" s="56"/>
      <c r="C49" s="1842" t="s">
        <v>133</v>
      </c>
      <c r="D49" s="1843"/>
      <c r="E49" s="1843"/>
      <c r="F49" s="1838">
        <f>$J$7</f>
        <v>0</v>
      </c>
      <c r="G49" s="1838"/>
      <c r="H49" s="1838"/>
      <c r="I49" s="1838"/>
      <c r="J49" s="1838"/>
      <c r="K49" s="1838"/>
      <c r="L49" s="1838"/>
      <c r="M49" s="1838"/>
      <c r="N49" s="1843" t="s">
        <v>40</v>
      </c>
      <c r="O49" s="1843"/>
      <c r="P49" s="1843"/>
      <c r="Q49" s="1848"/>
      <c r="R49" s="56"/>
      <c r="S49" s="56"/>
    </row>
    <row r="50" spans="1:19" hidden="1" x14ac:dyDescent="0.2">
      <c r="A50" s="264" t="str">
        <f t="shared" si="3"/>
        <v>OK</v>
      </c>
      <c r="B50" s="56"/>
      <c r="C50" s="1842" t="s">
        <v>239</v>
      </c>
      <c r="D50" s="1843"/>
      <c r="E50" s="1843"/>
      <c r="F50" s="1843"/>
      <c r="G50" s="1843"/>
      <c r="H50" s="1843"/>
      <c r="I50" s="1843"/>
      <c r="J50" s="1843"/>
      <c r="K50" s="1843"/>
      <c r="L50" s="1843"/>
      <c r="M50" s="1843"/>
      <c r="N50" s="1843"/>
      <c r="O50" s="1843"/>
      <c r="P50" s="1843"/>
      <c r="Q50" s="1848"/>
      <c r="R50" s="56"/>
      <c r="S50" s="56"/>
    </row>
    <row r="51" spans="1:19" hidden="1" x14ac:dyDescent="0.2">
      <c r="A51" s="264" t="str">
        <f t="shared" si="3"/>
        <v>OK</v>
      </c>
      <c r="B51" s="56"/>
      <c r="C51" s="1842" t="s">
        <v>240</v>
      </c>
      <c r="D51" s="1843"/>
      <c r="E51" s="1843"/>
      <c r="F51" s="1843"/>
      <c r="G51" s="1843"/>
      <c r="H51" s="1843"/>
      <c r="I51" s="1843"/>
      <c r="J51" s="1843"/>
      <c r="K51" s="1843"/>
      <c r="L51" s="1843"/>
      <c r="M51" s="1843"/>
      <c r="N51" s="1843"/>
      <c r="O51" s="1843"/>
      <c r="P51" s="1843"/>
      <c r="Q51" s="1848"/>
      <c r="R51" s="56"/>
      <c r="S51" s="56"/>
    </row>
    <row r="52" spans="1:19" ht="13.5" hidden="1" thickBot="1" x14ac:dyDescent="0.25">
      <c r="A52" s="264" t="str">
        <f t="shared" si="3"/>
        <v>OK</v>
      </c>
      <c r="B52" s="56"/>
      <c r="C52" s="1849" t="s">
        <v>241</v>
      </c>
      <c r="D52" s="1850"/>
      <c r="E52" s="1850"/>
      <c r="F52" s="1850"/>
      <c r="G52" s="1850"/>
      <c r="H52" s="1850"/>
      <c r="I52" s="1850"/>
      <c r="J52" s="1850"/>
      <c r="K52" s="1850"/>
      <c r="L52" s="1850"/>
      <c r="M52" s="1850"/>
      <c r="N52" s="1850"/>
      <c r="O52" s="1850"/>
      <c r="P52" s="1850"/>
      <c r="Q52" s="1851"/>
      <c r="R52" s="56"/>
      <c r="S52" s="56"/>
    </row>
    <row r="53" spans="1:19" ht="13.5" hidden="1" thickBot="1" x14ac:dyDescent="0.25">
      <c r="A53" s="264" t="str">
        <f t="shared" si="3"/>
        <v>OK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</row>
    <row r="54" spans="1:19" hidden="1" x14ac:dyDescent="0.2">
      <c r="A54" s="264" t="str">
        <f t="shared" si="3"/>
        <v>OK</v>
      </c>
      <c r="B54" s="56"/>
      <c r="C54" s="66" t="s">
        <v>125</v>
      </c>
      <c r="D54" s="1852" t="s">
        <v>126</v>
      </c>
      <c r="E54" s="1853"/>
      <c r="F54" s="1853"/>
      <c r="G54" s="1853"/>
      <c r="H54" s="1853"/>
      <c r="I54" s="1854"/>
      <c r="J54" s="1357" t="s">
        <v>127</v>
      </c>
      <c r="K54" s="1358"/>
      <c r="L54" s="1858"/>
      <c r="M54" s="1859" t="s">
        <v>131</v>
      </c>
      <c r="N54" s="1368" t="s">
        <v>128</v>
      </c>
      <c r="O54" s="1868"/>
      <c r="P54" s="1368" t="s">
        <v>118</v>
      </c>
      <c r="Q54" s="1370"/>
      <c r="R54" s="67"/>
      <c r="S54" s="56"/>
    </row>
    <row r="55" spans="1:19" hidden="1" x14ac:dyDescent="0.2">
      <c r="A55" s="264" t="str">
        <f t="shared" si="3"/>
        <v>OK</v>
      </c>
      <c r="B55" s="56"/>
      <c r="C55" s="68" t="s">
        <v>129</v>
      </c>
      <c r="D55" s="1855"/>
      <c r="E55" s="1856"/>
      <c r="F55" s="1856"/>
      <c r="G55" s="1856"/>
      <c r="H55" s="1856"/>
      <c r="I55" s="1857"/>
      <c r="J55" s="1866" t="s">
        <v>130</v>
      </c>
      <c r="K55" s="1321"/>
      <c r="L55" s="1867"/>
      <c r="M55" s="1860"/>
      <c r="N55" s="69" t="s">
        <v>330</v>
      </c>
      <c r="O55" s="70" t="s">
        <v>282</v>
      </c>
      <c r="P55" s="71" t="s">
        <v>101</v>
      </c>
      <c r="Q55" s="72" t="s">
        <v>102</v>
      </c>
      <c r="R55" s="67"/>
      <c r="S55" s="56"/>
    </row>
    <row r="56" spans="1:19" hidden="1" x14ac:dyDescent="0.2">
      <c r="A56" s="264" t="str">
        <f t="shared" si="3"/>
        <v>OK</v>
      </c>
      <c r="B56" s="56"/>
      <c r="C56" s="215"/>
      <c r="D56" s="1875" t="str">
        <f>MOD_3!$E56</f>
        <v>De transporte .....................................................................</v>
      </c>
      <c r="E56" s="1861"/>
      <c r="F56" s="1861"/>
      <c r="G56" s="1861"/>
      <c r="H56" s="1861"/>
      <c r="I56" s="1862"/>
      <c r="J56" s="1863">
        <f>MOD_3!$K56</f>
        <v>0</v>
      </c>
      <c r="K56" s="1864"/>
      <c r="L56" s="1865"/>
      <c r="M56" s="216">
        <f>MOD_3!$M56</f>
        <v>0</v>
      </c>
      <c r="N56" s="217">
        <f>MOD_3!$C56</f>
        <v>0</v>
      </c>
      <c r="O56" s="218">
        <f>MOD_3!$D56</f>
        <v>0</v>
      </c>
      <c r="P56" s="283">
        <f>MOD_3!$N56</f>
        <v>0</v>
      </c>
      <c r="Q56" s="284">
        <f>MOD_3!$Q56</f>
        <v>0</v>
      </c>
      <c r="R56" s="73"/>
      <c r="S56" s="56"/>
    </row>
    <row r="57" spans="1:19" hidden="1" x14ac:dyDescent="0.2">
      <c r="A57" s="264" t="str">
        <f t="shared" si="3"/>
        <v>OK</v>
      </c>
      <c r="B57" s="56" t="str">
        <f>IF(R57=0,B36,B36+1)</f>
        <v/>
      </c>
      <c r="C57" s="199" t="str">
        <f t="shared" ref="C57:C76" si="4">IF(D57="","",IF(B57=B56,"",B56+1))</f>
        <v/>
      </c>
      <c r="D57" s="1844" t="str">
        <f>IF(MOD_3!$E57="","",MOD_3!$E57)</f>
        <v/>
      </c>
      <c r="E57" s="1843"/>
      <c r="F57" s="1843"/>
      <c r="G57" s="1843"/>
      <c r="H57" s="1843"/>
      <c r="I57" s="1845"/>
      <c r="J57" s="1846" t="str">
        <f>IF(MOD_3!$K57="","",MOD_3!$K57)</f>
        <v/>
      </c>
      <c r="K57" s="1846"/>
      <c r="L57" s="1847"/>
      <c r="M57" s="194" t="str">
        <f>IF(MOD_3!$M57="","",MOD_3!$M57)</f>
        <v/>
      </c>
      <c r="N57" s="194" t="str">
        <f>IF(MOD_3!$C57="","",MOD_3!$C57)</f>
        <v/>
      </c>
      <c r="O57" s="200" t="str">
        <f>IF(MOD_3!$D57="","",MOD_3!$D57)</f>
        <v/>
      </c>
      <c r="P57" s="201" t="str">
        <f>IF(MOD_3!$N57="","",MOD_3!$N57)</f>
        <v/>
      </c>
      <c r="Q57" s="280" t="str">
        <f>IF(MOD_3!$Q57="","",MOD_3!$Q57)</f>
        <v/>
      </c>
      <c r="R57" s="73">
        <f>MOD_3!S57</f>
        <v>0</v>
      </c>
      <c r="S57" s="56"/>
    </row>
    <row r="58" spans="1:19" hidden="1" x14ac:dyDescent="0.2">
      <c r="A58" s="264" t="str">
        <f t="shared" si="3"/>
        <v>OK</v>
      </c>
      <c r="B58" s="56" t="str">
        <f t="shared" ref="B58:B76" si="5">IF(R57=0,B57,B57+1)</f>
        <v/>
      </c>
      <c r="C58" s="199" t="str">
        <f t="shared" si="4"/>
        <v/>
      </c>
      <c r="D58" s="1844" t="str">
        <f>IF(MOD_3!$E58="","",MOD_3!$E58)</f>
        <v/>
      </c>
      <c r="E58" s="1843"/>
      <c r="F58" s="1843"/>
      <c r="G58" s="1843"/>
      <c r="H58" s="1843"/>
      <c r="I58" s="1845"/>
      <c r="J58" s="1846" t="str">
        <f>IF(MOD_3!$K58="","",MOD_3!$K58)</f>
        <v/>
      </c>
      <c r="K58" s="1846"/>
      <c r="L58" s="1847"/>
      <c r="M58" s="194" t="str">
        <f>IF(MOD_3!$M58="","",MOD_3!$M58)</f>
        <v/>
      </c>
      <c r="N58" s="194" t="str">
        <f>IF(MOD_3!$C58="","",MOD_3!$C58)</f>
        <v/>
      </c>
      <c r="O58" s="200" t="str">
        <f>IF(MOD_3!$D58="","",MOD_3!$D58)</f>
        <v/>
      </c>
      <c r="P58" s="201" t="str">
        <f>IF(MOD_3!$N58="","",MOD_3!$N58)</f>
        <v/>
      </c>
      <c r="Q58" s="280" t="str">
        <f>IF(MOD_3!$Q58="","",MOD_3!$Q58)</f>
        <v/>
      </c>
      <c r="R58" s="73">
        <f>MOD_3!S58</f>
        <v>0</v>
      </c>
      <c r="S58" s="56"/>
    </row>
    <row r="59" spans="1:19" hidden="1" x14ac:dyDescent="0.2">
      <c r="A59" s="264" t="str">
        <f t="shared" si="3"/>
        <v>OK</v>
      </c>
      <c r="B59" s="56" t="str">
        <f t="shared" si="5"/>
        <v/>
      </c>
      <c r="C59" s="199" t="str">
        <f t="shared" si="4"/>
        <v/>
      </c>
      <c r="D59" s="1844" t="str">
        <f>IF(MOD_3!$E59="","",MOD_3!$E59)</f>
        <v/>
      </c>
      <c r="E59" s="1843"/>
      <c r="F59" s="1843"/>
      <c r="G59" s="1843"/>
      <c r="H59" s="1843"/>
      <c r="I59" s="1845"/>
      <c r="J59" s="1846" t="str">
        <f>IF(MOD_3!$K59="","",MOD_3!$K59)</f>
        <v/>
      </c>
      <c r="K59" s="1846"/>
      <c r="L59" s="1847"/>
      <c r="M59" s="194" t="str">
        <f>IF(MOD_3!$M59="","",MOD_3!$M59)</f>
        <v/>
      </c>
      <c r="N59" s="194" t="str">
        <f>IF(MOD_3!$C59="","",MOD_3!$C59)</f>
        <v/>
      </c>
      <c r="O59" s="200" t="str">
        <f>IF(MOD_3!$D59="","",MOD_3!$D59)</f>
        <v/>
      </c>
      <c r="P59" s="201" t="str">
        <f>IF(MOD_3!$N59="","",MOD_3!$N59)</f>
        <v/>
      </c>
      <c r="Q59" s="280" t="str">
        <f>IF(MOD_3!$Q59="","",MOD_3!$Q59)</f>
        <v/>
      </c>
      <c r="R59" s="73">
        <f>MOD_3!S59</f>
        <v>0</v>
      </c>
      <c r="S59" s="56"/>
    </row>
    <row r="60" spans="1:19" hidden="1" x14ac:dyDescent="0.2">
      <c r="A60" s="264" t="str">
        <f t="shared" si="3"/>
        <v>OK</v>
      </c>
      <c r="B60" s="56" t="str">
        <f t="shared" si="5"/>
        <v/>
      </c>
      <c r="C60" s="199" t="str">
        <f t="shared" si="4"/>
        <v/>
      </c>
      <c r="D60" s="1844" t="str">
        <f>IF(MOD_3!$E60="","",MOD_3!$E60)</f>
        <v/>
      </c>
      <c r="E60" s="1843"/>
      <c r="F60" s="1843"/>
      <c r="G60" s="1843"/>
      <c r="H60" s="1843"/>
      <c r="I60" s="1845"/>
      <c r="J60" s="1846" t="str">
        <f>IF(MOD_3!$K60="","",MOD_3!$K60)</f>
        <v/>
      </c>
      <c r="K60" s="1846"/>
      <c r="L60" s="1847"/>
      <c r="M60" s="194" t="str">
        <f>IF(MOD_3!$M60="","",MOD_3!$M60)</f>
        <v/>
      </c>
      <c r="N60" s="194" t="str">
        <f>IF(MOD_3!$C60="","",MOD_3!$C60)</f>
        <v/>
      </c>
      <c r="O60" s="200" t="str">
        <f>IF(MOD_3!$D60="","",MOD_3!$D60)</f>
        <v/>
      </c>
      <c r="P60" s="201" t="str">
        <f>IF(MOD_3!$N60="","",MOD_3!$N60)</f>
        <v/>
      </c>
      <c r="Q60" s="280" t="str">
        <f>IF(MOD_3!$Q60="","",MOD_3!$Q60)</f>
        <v/>
      </c>
      <c r="R60" s="73">
        <f>MOD_3!S60</f>
        <v>0</v>
      </c>
      <c r="S60" s="56"/>
    </row>
    <row r="61" spans="1:19" hidden="1" x14ac:dyDescent="0.2">
      <c r="A61" s="264" t="str">
        <f t="shared" si="3"/>
        <v>OK</v>
      </c>
      <c r="B61" s="56" t="str">
        <f t="shared" si="5"/>
        <v/>
      </c>
      <c r="C61" s="288" t="str">
        <f t="shared" si="4"/>
        <v/>
      </c>
      <c r="D61" s="1844" t="str">
        <f>IF(MOD_3!$E61="","",MOD_3!$E61)</f>
        <v/>
      </c>
      <c r="E61" s="1843"/>
      <c r="F61" s="1843"/>
      <c r="G61" s="1843"/>
      <c r="H61" s="1843"/>
      <c r="I61" s="1845"/>
      <c r="J61" s="1846" t="str">
        <f>IF(MOD_3!$K61="","",MOD_3!$K61)</f>
        <v/>
      </c>
      <c r="K61" s="1846"/>
      <c r="L61" s="1847"/>
      <c r="M61" s="194" t="str">
        <f>IF(MOD_3!$M61="","",MOD_3!$M61)</f>
        <v/>
      </c>
      <c r="N61" s="194" t="str">
        <f>IF(MOD_3!$C61="","",MOD_3!$C61)</f>
        <v/>
      </c>
      <c r="O61" s="200" t="str">
        <f>IF(MOD_3!$D61="","",MOD_3!$D61)</f>
        <v/>
      </c>
      <c r="P61" s="201" t="str">
        <f>IF(MOD_3!$N61="","",MOD_3!$N61)</f>
        <v/>
      </c>
      <c r="Q61" s="280" t="str">
        <f>IF(MOD_3!$Q61="","",MOD_3!$Q61)</f>
        <v/>
      </c>
      <c r="R61" s="73">
        <f>MOD_3!S61</f>
        <v>0</v>
      </c>
      <c r="S61" s="56"/>
    </row>
    <row r="62" spans="1:19" hidden="1" x14ac:dyDescent="0.2">
      <c r="A62" s="264" t="str">
        <f t="shared" si="3"/>
        <v>OK</v>
      </c>
      <c r="B62" s="56" t="str">
        <f t="shared" si="5"/>
        <v/>
      </c>
      <c r="C62" s="199" t="str">
        <f t="shared" si="4"/>
        <v/>
      </c>
      <c r="D62" s="1844" t="str">
        <f>IF(MOD_3!$E62="","",MOD_3!$E62)</f>
        <v/>
      </c>
      <c r="E62" s="1843"/>
      <c r="F62" s="1843"/>
      <c r="G62" s="1843"/>
      <c r="H62" s="1843"/>
      <c r="I62" s="1845"/>
      <c r="J62" s="1846" t="str">
        <f>IF(MOD_3!$K62="","",MOD_3!$K62)</f>
        <v/>
      </c>
      <c r="K62" s="1846"/>
      <c r="L62" s="1847"/>
      <c r="M62" s="194" t="str">
        <f>IF(MOD_3!$M62="","",MOD_3!$M62)</f>
        <v/>
      </c>
      <c r="N62" s="194" t="str">
        <f>IF(MOD_3!$C62="","",MOD_3!$C62)</f>
        <v/>
      </c>
      <c r="O62" s="200" t="str">
        <f>IF(MOD_3!$D62="","",MOD_3!$D62)</f>
        <v/>
      </c>
      <c r="P62" s="201" t="str">
        <f>IF(MOD_3!$N62="","",MOD_3!$N62)</f>
        <v/>
      </c>
      <c r="Q62" s="280" t="str">
        <f>IF(MOD_3!$Q62="","",MOD_3!$Q62)</f>
        <v/>
      </c>
      <c r="R62" s="73">
        <f>MOD_3!S62</f>
        <v>0</v>
      </c>
      <c r="S62" s="56"/>
    </row>
    <row r="63" spans="1:19" hidden="1" x14ac:dyDescent="0.2">
      <c r="A63" s="264" t="str">
        <f t="shared" si="3"/>
        <v>OK</v>
      </c>
      <c r="B63" s="56" t="str">
        <f t="shared" si="5"/>
        <v/>
      </c>
      <c r="C63" s="199" t="str">
        <f t="shared" si="4"/>
        <v/>
      </c>
      <c r="D63" s="1844" t="str">
        <f>IF(MOD_3!$E63="","",MOD_3!$E63)</f>
        <v/>
      </c>
      <c r="E63" s="1843"/>
      <c r="F63" s="1843"/>
      <c r="G63" s="1843"/>
      <c r="H63" s="1843"/>
      <c r="I63" s="1845"/>
      <c r="J63" s="1846" t="str">
        <f>IF(MOD_3!$K63="","",MOD_3!$K63)</f>
        <v/>
      </c>
      <c r="K63" s="1846"/>
      <c r="L63" s="1847"/>
      <c r="M63" s="194" t="str">
        <f>IF(MOD_3!$M63="","",MOD_3!$M63)</f>
        <v/>
      </c>
      <c r="N63" s="194" t="str">
        <f>IF(MOD_3!$C63="","",MOD_3!$C63)</f>
        <v/>
      </c>
      <c r="O63" s="200" t="str">
        <f>IF(MOD_3!$D63="","",MOD_3!$D63)</f>
        <v/>
      </c>
      <c r="P63" s="201" t="str">
        <f>IF(MOD_3!$N63="","",MOD_3!$N63)</f>
        <v/>
      </c>
      <c r="Q63" s="280" t="str">
        <f>IF(MOD_3!$Q63="","",MOD_3!$Q63)</f>
        <v/>
      </c>
      <c r="R63" s="73">
        <f>MOD_3!S63</f>
        <v>0</v>
      </c>
      <c r="S63" s="56"/>
    </row>
    <row r="64" spans="1:19" hidden="1" x14ac:dyDescent="0.2">
      <c r="A64" s="264" t="str">
        <f t="shared" si="3"/>
        <v>OK</v>
      </c>
      <c r="B64" s="56" t="str">
        <f t="shared" si="5"/>
        <v/>
      </c>
      <c r="C64" s="199" t="str">
        <f t="shared" si="4"/>
        <v/>
      </c>
      <c r="D64" s="1844" t="str">
        <f>IF(MOD_3!$E64="","",MOD_3!$E64)</f>
        <v/>
      </c>
      <c r="E64" s="1843"/>
      <c r="F64" s="1843"/>
      <c r="G64" s="1843"/>
      <c r="H64" s="1843"/>
      <c r="I64" s="1845"/>
      <c r="J64" s="1846" t="str">
        <f>IF(MOD_3!$K64="","",MOD_3!$K64)</f>
        <v/>
      </c>
      <c r="K64" s="1846"/>
      <c r="L64" s="1847"/>
      <c r="M64" s="194" t="str">
        <f>IF(MOD_3!$M64="","",MOD_3!$M64)</f>
        <v/>
      </c>
      <c r="N64" s="194" t="str">
        <f>IF(MOD_3!$C64="","",MOD_3!$C64)</f>
        <v/>
      </c>
      <c r="O64" s="200" t="str">
        <f>IF(MOD_3!$D64="","",MOD_3!$D64)</f>
        <v/>
      </c>
      <c r="P64" s="201" t="str">
        <f>IF(MOD_3!$N64="","",MOD_3!$N64)</f>
        <v/>
      </c>
      <c r="Q64" s="280" t="str">
        <f>IF(MOD_3!$Q64="","",MOD_3!$Q64)</f>
        <v/>
      </c>
      <c r="R64" s="73">
        <f>MOD_3!S64</f>
        <v>0</v>
      </c>
      <c r="S64" s="56"/>
    </row>
    <row r="65" spans="1:19" hidden="1" x14ac:dyDescent="0.2">
      <c r="A65" s="264" t="str">
        <f t="shared" si="3"/>
        <v>OK</v>
      </c>
      <c r="B65" s="56" t="str">
        <f t="shared" si="5"/>
        <v/>
      </c>
      <c r="C65" s="199" t="str">
        <f t="shared" si="4"/>
        <v/>
      </c>
      <c r="D65" s="1844" t="str">
        <f>IF(MOD_3!$E65="","",MOD_3!$E65)</f>
        <v/>
      </c>
      <c r="E65" s="1843"/>
      <c r="F65" s="1843"/>
      <c r="G65" s="1843"/>
      <c r="H65" s="1843"/>
      <c r="I65" s="1845"/>
      <c r="J65" s="1846" t="str">
        <f>IF(MOD_3!$K65="","",MOD_3!$K65)</f>
        <v/>
      </c>
      <c r="K65" s="1846"/>
      <c r="L65" s="1847"/>
      <c r="M65" s="194" t="str">
        <f>IF(MOD_3!$M65="","",MOD_3!$M65)</f>
        <v/>
      </c>
      <c r="N65" s="194" t="str">
        <f>IF(MOD_3!$C65="","",MOD_3!$C65)</f>
        <v/>
      </c>
      <c r="O65" s="200" t="str">
        <f>IF(MOD_3!$D65="","",MOD_3!$D65)</f>
        <v/>
      </c>
      <c r="P65" s="201" t="str">
        <f>IF(MOD_3!$N65="","",MOD_3!$N65)</f>
        <v/>
      </c>
      <c r="Q65" s="280" t="str">
        <f>IF(MOD_3!$Q65="","",MOD_3!$Q65)</f>
        <v/>
      </c>
      <c r="R65" s="73">
        <f>MOD_3!S65</f>
        <v>0</v>
      </c>
      <c r="S65" s="56"/>
    </row>
    <row r="66" spans="1:19" hidden="1" x14ac:dyDescent="0.2">
      <c r="A66" s="264" t="str">
        <f t="shared" si="3"/>
        <v>OK</v>
      </c>
      <c r="B66" s="56" t="str">
        <f t="shared" si="5"/>
        <v/>
      </c>
      <c r="C66" s="199" t="str">
        <f t="shared" si="4"/>
        <v/>
      </c>
      <c r="D66" s="1844" t="str">
        <f>IF(MOD_3!$E66="","",MOD_3!$E66)</f>
        <v/>
      </c>
      <c r="E66" s="1843"/>
      <c r="F66" s="1843"/>
      <c r="G66" s="1843"/>
      <c r="H66" s="1843"/>
      <c r="I66" s="1845"/>
      <c r="J66" s="1846" t="str">
        <f>IF(MOD_3!$K66="","",MOD_3!$K66)</f>
        <v/>
      </c>
      <c r="K66" s="1846"/>
      <c r="L66" s="1847"/>
      <c r="M66" s="194" t="str">
        <f>IF(MOD_3!$M66="","",MOD_3!$M66)</f>
        <v/>
      </c>
      <c r="N66" s="194" t="str">
        <f>IF(MOD_3!$C66="","",MOD_3!$C66)</f>
        <v/>
      </c>
      <c r="O66" s="200" t="str">
        <f>IF(MOD_3!$D66="","",MOD_3!$D66)</f>
        <v/>
      </c>
      <c r="P66" s="201" t="str">
        <f>IF(MOD_3!$N66="","",MOD_3!$N66)</f>
        <v/>
      </c>
      <c r="Q66" s="280" t="str">
        <f>IF(MOD_3!$Q66="","",MOD_3!$Q66)</f>
        <v/>
      </c>
      <c r="R66" s="73">
        <f>MOD_3!S66</f>
        <v>0</v>
      </c>
      <c r="S66" s="56"/>
    </row>
    <row r="67" spans="1:19" hidden="1" x14ac:dyDescent="0.2">
      <c r="A67" s="264" t="str">
        <f t="shared" si="3"/>
        <v>OK</v>
      </c>
      <c r="B67" s="56" t="str">
        <f t="shared" si="5"/>
        <v/>
      </c>
      <c r="C67" s="288" t="str">
        <f t="shared" si="4"/>
        <v/>
      </c>
      <c r="D67" s="1844" t="str">
        <f>IF(MOD_3!$E67="","",MOD_3!$E67)</f>
        <v/>
      </c>
      <c r="E67" s="1843"/>
      <c r="F67" s="1843"/>
      <c r="G67" s="1843"/>
      <c r="H67" s="1843"/>
      <c r="I67" s="1845"/>
      <c r="J67" s="1846" t="str">
        <f>IF(MOD_3!$K67="","",MOD_3!$K67)</f>
        <v/>
      </c>
      <c r="K67" s="1846"/>
      <c r="L67" s="1847"/>
      <c r="M67" s="194" t="str">
        <f>IF(MOD_3!$M67="","",MOD_3!$M67)</f>
        <v/>
      </c>
      <c r="N67" s="194" t="str">
        <f>IF(MOD_3!$C67="","",MOD_3!$C67)</f>
        <v/>
      </c>
      <c r="O67" s="200" t="str">
        <f>IF(MOD_3!$D67="","",MOD_3!$D67)</f>
        <v/>
      </c>
      <c r="P67" s="201" t="str">
        <f>IF(MOD_3!$N67="","",MOD_3!$N67)</f>
        <v/>
      </c>
      <c r="Q67" s="280" t="str">
        <f>IF(MOD_3!$Q67="","",MOD_3!$Q67)</f>
        <v/>
      </c>
      <c r="R67" s="73">
        <f>MOD_3!S67</f>
        <v>0</v>
      </c>
      <c r="S67" s="56"/>
    </row>
    <row r="68" spans="1:19" hidden="1" x14ac:dyDescent="0.2">
      <c r="A68" s="264" t="str">
        <f t="shared" si="3"/>
        <v>OK</v>
      </c>
      <c r="B68" s="56" t="str">
        <f t="shared" si="5"/>
        <v/>
      </c>
      <c r="C68" s="288" t="str">
        <f t="shared" si="4"/>
        <v/>
      </c>
      <c r="D68" s="1844" t="str">
        <f>IF(MOD_3!$E68="","",MOD_3!$E68)</f>
        <v/>
      </c>
      <c r="E68" s="1843"/>
      <c r="F68" s="1843"/>
      <c r="G68" s="1843"/>
      <c r="H68" s="1843"/>
      <c r="I68" s="1845"/>
      <c r="J68" s="1846" t="str">
        <f>IF(MOD_3!$K68="","",MOD_3!$K68)</f>
        <v/>
      </c>
      <c r="K68" s="1846"/>
      <c r="L68" s="1847"/>
      <c r="M68" s="194" t="str">
        <f>IF(MOD_3!$M68="","",MOD_3!$M68)</f>
        <v/>
      </c>
      <c r="N68" s="194" t="str">
        <f>IF(MOD_3!$C68="","",MOD_3!$C68)</f>
        <v/>
      </c>
      <c r="O68" s="200" t="str">
        <f>IF(MOD_3!$D68="","",MOD_3!$D68)</f>
        <v/>
      </c>
      <c r="P68" s="201" t="str">
        <f>IF(MOD_3!$N68="","",MOD_3!$N68)</f>
        <v/>
      </c>
      <c r="Q68" s="280" t="str">
        <f>IF(MOD_3!$Q68="","",MOD_3!$Q68)</f>
        <v/>
      </c>
      <c r="R68" s="73">
        <f>MOD_3!S68</f>
        <v>0</v>
      </c>
      <c r="S68" s="56"/>
    </row>
    <row r="69" spans="1:19" hidden="1" x14ac:dyDescent="0.2">
      <c r="A69" s="264" t="str">
        <f t="shared" si="3"/>
        <v>OK</v>
      </c>
      <c r="B69" s="56" t="str">
        <f t="shared" si="5"/>
        <v/>
      </c>
      <c r="C69" s="199" t="str">
        <f t="shared" si="4"/>
        <v/>
      </c>
      <c r="D69" s="1844" t="str">
        <f>IF(MOD_3!$E69="","",MOD_3!$E69)</f>
        <v/>
      </c>
      <c r="E69" s="1843"/>
      <c r="F69" s="1843"/>
      <c r="G69" s="1843"/>
      <c r="H69" s="1843"/>
      <c r="I69" s="1845"/>
      <c r="J69" s="1846" t="str">
        <f>IF(MOD_3!$K69="","",MOD_3!$K69)</f>
        <v/>
      </c>
      <c r="K69" s="1846"/>
      <c r="L69" s="1847"/>
      <c r="M69" s="194" t="str">
        <f>IF(MOD_3!$M69="","",MOD_3!$M69)</f>
        <v/>
      </c>
      <c r="N69" s="194" t="str">
        <f>IF(MOD_3!$C69="","",MOD_3!$C69)</f>
        <v/>
      </c>
      <c r="O69" s="200" t="str">
        <f>IF(MOD_3!$D69="","",MOD_3!$D69)</f>
        <v/>
      </c>
      <c r="P69" s="201" t="str">
        <f>IF(MOD_3!$N69="","",MOD_3!$N69)</f>
        <v/>
      </c>
      <c r="Q69" s="280" t="str">
        <f>IF(MOD_3!$Q69="","",MOD_3!$Q69)</f>
        <v/>
      </c>
      <c r="R69" s="73">
        <f>MOD_3!S69</f>
        <v>0</v>
      </c>
      <c r="S69" s="56"/>
    </row>
    <row r="70" spans="1:19" hidden="1" x14ac:dyDescent="0.2">
      <c r="A70" s="264" t="str">
        <f t="shared" si="3"/>
        <v>OK</v>
      </c>
      <c r="B70" s="56" t="str">
        <f t="shared" si="5"/>
        <v/>
      </c>
      <c r="C70" s="199" t="str">
        <f t="shared" si="4"/>
        <v/>
      </c>
      <c r="D70" s="1844" t="str">
        <f>IF(MOD_3!$E70="","",MOD_3!$E70)</f>
        <v/>
      </c>
      <c r="E70" s="1843"/>
      <c r="F70" s="1843"/>
      <c r="G70" s="1843"/>
      <c r="H70" s="1843"/>
      <c r="I70" s="1845"/>
      <c r="J70" s="1846" t="str">
        <f>IF(MOD_3!$K70="","",MOD_3!$K70)</f>
        <v/>
      </c>
      <c r="K70" s="1846"/>
      <c r="L70" s="1847"/>
      <c r="M70" s="194" t="str">
        <f>IF(MOD_3!$M70="","",MOD_3!$M70)</f>
        <v/>
      </c>
      <c r="N70" s="194" t="str">
        <f>IF(MOD_3!$C70="","",MOD_3!$C70)</f>
        <v/>
      </c>
      <c r="O70" s="200" t="str">
        <f>IF(MOD_3!$D70="","",MOD_3!$D70)</f>
        <v/>
      </c>
      <c r="P70" s="201" t="str">
        <f>IF(MOD_3!$N70="","",MOD_3!$N70)</f>
        <v/>
      </c>
      <c r="Q70" s="280" t="str">
        <f>IF(MOD_3!$Q70="","",MOD_3!$Q70)</f>
        <v/>
      </c>
      <c r="R70" s="73">
        <f>MOD_3!S70</f>
        <v>0</v>
      </c>
      <c r="S70" s="56"/>
    </row>
    <row r="71" spans="1:19" hidden="1" x14ac:dyDescent="0.2">
      <c r="A71" s="264" t="str">
        <f t="shared" si="3"/>
        <v>OK</v>
      </c>
      <c r="B71" s="56" t="str">
        <f t="shared" si="5"/>
        <v/>
      </c>
      <c r="C71" s="199" t="str">
        <f t="shared" si="4"/>
        <v/>
      </c>
      <c r="D71" s="1844" t="str">
        <f>IF(MOD_3!$E71="","",MOD_3!$E71)</f>
        <v/>
      </c>
      <c r="E71" s="1843"/>
      <c r="F71" s="1843"/>
      <c r="G71" s="1843"/>
      <c r="H71" s="1843"/>
      <c r="I71" s="1845"/>
      <c r="J71" s="1846" t="str">
        <f>IF(MOD_3!$K71="","",MOD_3!$K71)</f>
        <v/>
      </c>
      <c r="K71" s="1846"/>
      <c r="L71" s="1847"/>
      <c r="M71" s="194" t="str">
        <f>IF(MOD_3!$M71="","",MOD_3!$M71)</f>
        <v/>
      </c>
      <c r="N71" s="194" t="str">
        <f>IF(MOD_3!$C71="","",MOD_3!$C71)</f>
        <v/>
      </c>
      <c r="O71" s="200" t="str">
        <f>IF(MOD_3!$D71="","",MOD_3!$D71)</f>
        <v/>
      </c>
      <c r="P71" s="201" t="str">
        <f>IF(MOD_3!$N71="","",MOD_3!$N71)</f>
        <v/>
      </c>
      <c r="Q71" s="280" t="str">
        <f>IF(MOD_3!$Q71="","",MOD_3!$Q71)</f>
        <v/>
      </c>
      <c r="R71" s="73">
        <f>MOD_3!S71</f>
        <v>0</v>
      </c>
      <c r="S71" s="56"/>
    </row>
    <row r="72" spans="1:19" hidden="1" x14ac:dyDescent="0.2">
      <c r="A72" s="264" t="str">
        <f t="shared" si="3"/>
        <v>OK</v>
      </c>
      <c r="B72" s="56" t="str">
        <f t="shared" si="5"/>
        <v/>
      </c>
      <c r="C72" s="199" t="str">
        <f t="shared" si="4"/>
        <v/>
      </c>
      <c r="D72" s="1844" t="str">
        <f>IF(MOD_3!$E72="","",MOD_3!$E72)</f>
        <v/>
      </c>
      <c r="E72" s="1843"/>
      <c r="F72" s="1843"/>
      <c r="G72" s="1843"/>
      <c r="H72" s="1843"/>
      <c r="I72" s="1845"/>
      <c r="J72" s="1846" t="str">
        <f>IF(MOD_3!$K72="","",MOD_3!$K72)</f>
        <v/>
      </c>
      <c r="K72" s="1846"/>
      <c r="L72" s="1847"/>
      <c r="M72" s="194" t="str">
        <f>IF(MOD_3!$M72="","",MOD_3!$M72)</f>
        <v/>
      </c>
      <c r="N72" s="194" t="str">
        <f>IF(MOD_3!$C72="","",MOD_3!$C72)</f>
        <v/>
      </c>
      <c r="O72" s="200" t="str">
        <f>IF(MOD_3!$D72="","",MOD_3!$D72)</f>
        <v/>
      </c>
      <c r="P72" s="201" t="str">
        <f>IF(MOD_3!$N72="","",MOD_3!$N72)</f>
        <v/>
      </c>
      <c r="Q72" s="280" t="str">
        <f>IF(MOD_3!$Q72="","",MOD_3!$Q72)</f>
        <v/>
      </c>
      <c r="R72" s="73">
        <f>MOD_3!S72</f>
        <v>0</v>
      </c>
      <c r="S72" s="56"/>
    </row>
    <row r="73" spans="1:19" hidden="1" x14ac:dyDescent="0.2">
      <c r="A73" s="264" t="str">
        <f t="shared" si="3"/>
        <v>OK</v>
      </c>
      <c r="B73" s="56" t="str">
        <f t="shared" si="5"/>
        <v/>
      </c>
      <c r="C73" s="199" t="str">
        <f t="shared" si="4"/>
        <v/>
      </c>
      <c r="D73" s="1844" t="str">
        <f>IF(MOD_3!$E73="","",MOD_3!$E73)</f>
        <v/>
      </c>
      <c r="E73" s="1843"/>
      <c r="F73" s="1843"/>
      <c r="G73" s="1843"/>
      <c r="H73" s="1843"/>
      <c r="I73" s="1845"/>
      <c r="J73" s="1846" t="str">
        <f>IF(MOD_3!$K73="","",MOD_3!$K73)</f>
        <v/>
      </c>
      <c r="K73" s="1846"/>
      <c r="L73" s="1847"/>
      <c r="M73" s="194" t="str">
        <f>IF(MOD_3!$M73="","",MOD_3!$M73)</f>
        <v/>
      </c>
      <c r="N73" s="194" t="str">
        <f>IF(MOD_3!$C73="","",MOD_3!$C73)</f>
        <v/>
      </c>
      <c r="O73" s="200" t="str">
        <f>IF(MOD_3!$D73="","",MOD_3!$D73)</f>
        <v/>
      </c>
      <c r="P73" s="201" t="str">
        <f>IF(MOD_3!$N73="","",MOD_3!$N73)</f>
        <v/>
      </c>
      <c r="Q73" s="280" t="str">
        <f>IF(MOD_3!$Q73="","",MOD_3!$Q73)</f>
        <v/>
      </c>
      <c r="R73" s="73">
        <f>MOD_3!S73</f>
        <v>0</v>
      </c>
      <c r="S73" s="56"/>
    </row>
    <row r="74" spans="1:19" hidden="1" x14ac:dyDescent="0.2">
      <c r="A74" s="264" t="str">
        <f t="shared" si="3"/>
        <v>OK</v>
      </c>
      <c r="B74" s="56" t="str">
        <f t="shared" si="5"/>
        <v/>
      </c>
      <c r="C74" s="199" t="str">
        <f t="shared" si="4"/>
        <v/>
      </c>
      <c r="D74" s="1844" t="str">
        <f>IF(MOD_3!$E74="","",MOD_3!$E74)</f>
        <v/>
      </c>
      <c r="E74" s="1843"/>
      <c r="F74" s="1843"/>
      <c r="G74" s="1843"/>
      <c r="H74" s="1843"/>
      <c r="I74" s="1845"/>
      <c r="J74" s="1846" t="str">
        <f>IF(MOD_3!$K74="","",MOD_3!$K74)</f>
        <v/>
      </c>
      <c r="K74" s="1846"/>
      <c r="L74" s="1847"/>
      <c r="M74" s="194" t="str">
        <f>IF(MOD_3!$M74="","",MOD_3!$M74)</f>
        <v/>
      </c>
      <c r="N74" s="194" t="str">
        <f>IF(MOD_3!$C74="","",MOD_3!$C74)</f>
        <v/>
      </c>
      <c r="O74" s="200" t="str">
        <f>IF(MOD_3!$D74="","",MOD_3!$D74)</f>
        <v/>
      </c>
      <c r="P74" s="201" t="str">
        <f>IF(MOD_3!$N74="","",MOD_3!$N74)</f>
        <v/>
      </c>
      <c r="Q74" s="280" t="str">
        <f>IF(MOD_3!$Q74="","",MOD_3!$Q74)</f>
        <v/>
      </c>
      <c r="R74" s="73">
        <f>MOD_3!S74</f>
        <v>0</v>
      </c>
      <c r="S74" s="56"/>
    </row>
    <row r="75" spans="1:19" hidden="1" x14ac:dyDescent="0.2">
      <c r="A75" s="264" t="str">
        <f t="shared" si="3"/>
        <v>OK</v>
      </c>
      <c r="B75" s="56" t="str">
        <f t="shared" si="5"/>
        <v/>
      </c>
      <c r="C75" s="199" t="str">
        <f t="shared" si="4"/>
        <v/>
      </c>
      <c r="D75" s="1844" t="str">
        <f>IF(MOD_3!$E75="","",MOD_3!$E75)</f>
        <v/>
      </c>
      <c r="E75" s="1843"/>
      <c r="F75" s="1843"/>
      <c r="G75" s="1843"/>
      <c r="H75" s="1843"/>
      <c r="I75" s="1845"/>
      <c r="J75" s="1846" t="str">
        <f>IF(MOD_3!$K75="","",MOD_3!$K75)</f>
        <v/>
      </c>
      <c r="K75" s="1846"/>
      <c r="L75" s="1847"/>
      <c r="M75" s="194" t="str">
        <f>IF(MOD_3!$M75="","",MOD_3!$M75)</f>
        <v/>
      </c>
      <c r="N75" s="194" t="str">
        <f>IF(MOD_3!$C75="","",MOD_3!$C75)</f>
        <v/>
      </c>
      <c r="O75" s="200" t="str">
        <f>IF(MOD_3!$D75="","",MOD_3!$D75)</f>
        <v/>
      </c>
      <c r="P75" s="201" t="str">
        <f>IF(MOD_3!$N75="","",MOD_3!$N75)</f>
        <v/>
      </c>
      <c r="Q75" s="280" t="str">
        <f>IF(MOD_3!$Q75="","",MOD_3!$Q75)</f>
        <v/>
      </c>
      <c r="R75" s="73">
        <f>MOD_3!S75</f>
        <v>0</v>
      </c>
      <c r="S75" s="56"/>
    </row>
    <row r="76" spans="1:19" ht="13.5" hidden="1" thickBot="1" x14ac:dyDescent="0.25">
      <c r="A76" s="264" t="str">
        <f t="shared" si="3"/>
        <v>OK</v>
      </c>
      <c r="B76" s="56" t="str">
        <f t="shared" si="5"/>
        <v/>
      </c>
      <c r="C76" s="273" t="str">
        <f t="shared" si="4"/>
        <v/>
      </c>
      <c r="D76" s="1871" t="str">
        <f>IF(MOD_3!$E76="","",MOD_3!$E76)</f>
        <v/>
      </c>
      <c r="E76" s="1850"/>
      <c r="F76" s="1850"/>
      <c r="G76" s="1850"/>
      <c r="H76" s="1850"/>
      <c r="I76" s="1872"/>
      <c r="J76" s="1361" t="str">
        <f>IF(MOD_3!$K76="","",MOD_3!$K76)</f>
        <v/>
      </c>
      <c r="K76" s="1361"/>
      <c r="L76" s="1873"/>
      <c r="M76" s="195" t="str">
        <f>IF(MOD_3!$M76="","",MOD_3!$M76)</f>
        <v/>
      </c>
      <c r="N76" s="195" t="str">
        <f>IF(MOD_3!$C76="","",MOD_3!$C76)</f>
        <v/>
      </c>
      <c r="O76" s="196" t="str">
        <f>IF(MOD_3!$D76="","",MOD_3!$D76)</f>
        <v/>
      </c>
      <c r="P76" s="197" t="str">
        <f>IF(MOD_3!$N76="","",MOD_3!$N76)</f>
        <v/>
      </c>
      <c r="Q76" s="281" t="str">
        <f>IF(MOD_3!$Q76="","",MOD_3!$Q76)</f>
        <v/>
      </c>
      <c r="R76" s="73">
        <f>MOD_3!S76</f>
        <v>0</v>
      </c>
      <c r="S76" s="56"/>
    </row>
    <row r="77" spans="1:19" ht="13.5" hidden="1" thickBot="1" x14ac:dyDescent="0.25">
      <c r="A77" s="264" t="str">
        <f t="shared" si="3"/>
        <v>OK</v>
      </c>
      <c r="B77" s="56"/>
      <c r="C77" s="1869" t="str">
        <f>MOD_3!$B77</f>
        <v>Transportar.......................................................................</v>
      </c>
      <c r="D77" s="1387"/>
      <c r="E77" s="1387"/>
      <c r="F77" s="1387"/>
      <c r="G77" s="1387"/>
      <c r="H77" s="1387"/>
      <c r="I77" s="1387"/>
      <c r="J77" s="1387"/>
      <c r="K77" s="1387"/>
      <c r="L77" s="1387"/>
      <c r="M77" s="1387"/>
      <c r="N77" s="1387"/>
      <c r="O77" s="202" t="s">
        <v>102</v>
      </c>
      <c r="P77" s="285">
        <f>SUM(P56:P76)</f>
        <v>0</v>
      </c>
      <c r="Q77" s="282">
        <f>SUM(Q56:Q76)</f>
        <v>0</v>
      </c>
      <c r="R77" s="73">
        <f>SUM(R57:R76)</f>
        <v>0</v>
      </c>
      <c r="S77" s="56"/>
    </row>
    <row r="78" spans="1:19" hidden="1" x14ac:dyDescent="0.2">
      <c r="A78" s="264" t="str">
        <f t="shared" si="3"/>
        <v>OK</v>
      </c>
      <c r="B78" s="56"/>
      <c r="C78" s="58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74"/>
      <c r="S78" s="56"/>
    </row>
    <row r="79" spans="1:19" hidden="1" x14ac:dyDescent="0.2">
      <c r="A79" s="264" t="str">
        <f t="shared" si="3"/>
        <v>OK</v>
      </c>
      <c r="B79" s="56"/>
      <c r="C79" s="61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5"/>
      <c r="R79" s="74"/>
      <c r="S79" s="56"/>
    </row>
    <row r="80" spans="1:19" hidden="1" x14ac:dyDescent="0.2">
      <c r="A80" s="264" t="str">
        <f t="shared" si="3"/>
        <v>OK</v>
      </c>
      <c r="B80" s="56"/>
      <c r="C80" s="75" t="s">
        <v>85</v>
      </c>
      <c r="D80" s="156" t="str">
        <f>Dados!$G$128</f>
        <v/>
      </c>
      <c r="E80" s="62"/>
      <c r="F80" s="1336" t="str">
        <f>Dados!$E$109</f>
        <v/>
      </c>
      <c r="G80" s="1336"/>
      <c r="H80" s="1336"/>
      <c r="I80" s="1336"/>
      <c r="J80" s="1336"/>
      <c r="K80" s="1336"/>
      <c r="L80" s="62"/>
      <c r="M80" s="1336"/>
      <c r="N80" s="1336"/>
      <c r="O80" s="1336"/>
      <c r="P80" s="1336"/>
      <c r="Q80" s="76"/>
      <c r="R80" s="77"/>
      <c r="S80" s="56"/>
    </row>
    <row r="81" spans="1:19" ht="13.5" hidden="1" thickBot="1" x14ac:dyDescent="0.25">
      <c r="A81" s="264" t="str">
        <f t="shared" si="3"/>
        <v>OK</v>
      </c>
      <c r="B81" s="56"/>
      <c r="C81" s="78" t="s">
        <v>132</v>
      </c>
      <c r="D81" s="79"/>
      <c r="E81" s="79"/>
      <c r="F81" s="1874" t="s">
        <v>285</v>
      </c>
      <c r="G81" s="1874"/>
      <c r="H81" s="1874"/>
      <c r="I81" s="1874"/>
      <c r="J81" s="1874"/>
      <c r="K81" s="1874"/>
      <c r="L81" s="79"/>
      <c r="M81" s="1874" t="s">
        <v>151</v>
      </c>
      <c r="N81" s="1874"/>
      <c r="O81" s="1874"/>
      <c r="P81" s="1874"/>
      <c r="Q81" s="80"/>
      <c r="R81" s="56"/>
      <c r="S81" s="56"/>
    </row>
    <row r="82" spans="1:19" ht="9.75" hidden="1" customHeight="1" x14ac:dyDescent="0.2">
      <c r="A82" s="264" t="str">
        <f t="shared" ref="A82:A121" si="6">IF($R$77&lt;=18,"OK","")</f>
        <v>OK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</row>
    <row r="83" spans="1:19" ht="9.75" hidden="1" customHeight="1" x14ac:dyDescent="0.2">
      <c r="A83" s="264" t="str">
        <f t="shared" si="6"/>
        <v>OK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</row>
    <row r="84" spans="1:19" hidden="1" x14ac:dyDescent="0.2">
      <c r="A84" s="264" t="str">
        <f t="shared" si="6"/>
        <v>OK</v>
      </c>
      <c r="B84" s="56"/>
      <c r="C84" s="1836" t="s">
        <v>122</v>
      </c>
      <c r="D84" s="1836"/>
      <c r="E84" s="1836"/>
      <c r="F84" s="1836"/>
      <c r="G84" s="1836"/>
      <c r="H84" s="1836"/>
      <c r="I84" s="1836"/>
      <c r="J84" s="1836"/>
      <c r="K84" s="1836"/>
      <c r="L84" s="1836"/>
      <c r="M84" s="1836"/>
      <c r="N84" s="1836"/>
      <c r="O84" s="1836"/>
      <c r="P84" s="1836"/>
      <c r="Q84" s="1836"/>
      <c r="R84" s="56"/>
      <c r="S84" s="56"/>
    </row>
    <row r="85" spans="1:19" ht="18.75" hidden="1" thickBot="1" x14ac:dyDescent="0.3">
      <c r="A85" s="264" t="str">
        <f t="shared" si="6"/>
        <v>OK</v>
      </c>
      <c r="B85" s="56"/>
      <c r="C85" s="1837" t="s">
        <v>123</v>
      </c>
      <c r="D85" s="1837"/>
      <c r="E85" s="1837"/>
      <c r="F85" s="1837"/>
      <c r="G85" s="1837"/>
      <c r="H85" s="1837"/>
      <c r="I85" s="1837"/>
      <c r="J85" s="1837"/>
      <c r="K85" s="1837"/>
      <c r="L85" s="1837"/>
      <c r="M85" s="1837"/>
      <c r="N85" s="1837"/>
      <c r="O85" s="1837"/>
      <c r="P85" s="1837"/>
      <c r="Q85" s="1837"/>
      <c r="R85" s="56"/>
      <c r="S85" s="56"/>
    </row>
    <row r="86" spans="1:19" hidden="1" x14ac:dyDescent="0.2">
      <c r="A86" s="264" t="str">
        <f t="shared" si="6"/>
        <v>OK</v>
      </c>
      <c r="B86" s="56"/>
      <c r="C86" s="58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6"/>
      <c r="S86" s="56"/>
    </row>
    <row r="87" spans="1:19" hidden="1" x14ac:dyDescent="0.2">
      <c r="A87" s="264" t="str">
        <f t="shared" si="6"/>
        <v>OK</v>
      </c>
      <c r="B87" s="56"/>
      <c r="C87" s="61" t="s">
        <v>124</v>
      </c>
      <c r="D87" s="62"/>
      <c r="E87" s="62"/>
      <c r="F87" s="62"/>
      <c r="G87" s="62"/>
      <c r="H87" s="62"/>
      <c r="I87" s="62"/>
      <c r="J87" s="1838" t="str">
        <f>Dados!$E$69</f>
        <v/>
      </c>
      <c r="K87" s="1838"/>
      <c r="L87" s="1838"/>
      <c r="M87" s="1838"/>
      <c r="N87" s="1838"/>
      <c r="O87" s="1838"/>
      <c r="P87" s="1838"/>
      <c r="Q87" s="1839"/>
      <c r="R87" s="56"/>
      <c r="S87" s="56"/>
    </row>
    <row r="88" spans="1:19" hidden="1" x14ac:dyDescent="0.2">
      <c r="A88" s="264" t="str">
        <f t="shared" si="6"/>
        <v>OK</v>
      </c>
      <c r="B88" s="56"/>
      <c r="C88" s="63"/>
      <c r="D88" s="64"/>
      <c r="E88" s="62"/>
      <c r="F88" s="62"/>
      <c r="G88" s="62"/>
      <c r="H88" s="62"/>
      <c r="I88" s="62"/>
      <c r="J88" s="1840" t="s">
        <v>196</v>
      </c>
      <c r="K88" s="1840"/>
      <c r="L88" s="1840"/>
      <c r="M88" s="1840"/>
      <c r="N88" s="1840"/>
      <c r="O88" s="1840"/>
      <c r="P88" s="1840"/>
      <c r="Q88" s="1841"/>
      <c r="R88" s="56"/>
      <c r="S88" s="56"/>
    </row>
    <row r="89" spans="1:19" hidden="1" x14ac:dyDescent="0.2">
      <c r="A89" s="264" t="str">
        <f t="shared" si="6"/>
        <v>OK</v>
      </c>
      <c r="B89" s="56"/>
      <c r="C89" s="1842" t="s">
        <v>133</v>
      </c>
      <c r="D89" s="1843"/>
      <c r="E89" s="1843"/>
      <c r="F89" s="1838">
        <f>$J$7</f>
        <v>0</v>
      </c>
      <c r="G89" s="1838"/>
      <c r="H89" s="1838"/>
      <c r="I89" s="1838"/>
      <c r="J89" s="1838"/>
      <c r="K89" s="1838"/>
      <c r="L89" s="1838"/>
      <c r="M89" s="1838"/>
      <c r="N89" s="1843" t="s">
        <v>40</v>
      </c>
      <c r="O89" s="1843"/>
      <c r="P89" s="1843"/>
      <c r="Q89" s="1848"/>
      <c r="R89" s="56"/>
      <c r="S89" s="56"/>
    </row>
    <row r="90" spans="1:19" hidden="1" x14ac:dyDescent="0.2">
      <c r="A90" s="264" t="str">
        <f t="shared" si="6"/>
        <v>OK</v>
      </c>
      <c r="B90" s="56"/>
      <c r="C90" s="1842" t="s">
        <v>239</v>
      </c>
      <c r="D90" s="1843"/>
      <c r="E90" s="1843"/>
      <c r="F90" s="1843"/>
      <c r="G90" s="1843"/>
      <c r="H90" s="1843"/>
      <c r="I90" s="1843"/>
      <c r="J90" s="1843"/>
      <c r="K90" s="1843"/>
      <c r="L90" s="1843"/>
      <c r="M90" s="1843"/>
      <c r="N90" s="1843"/>
      <c r="O90" s="1843"/>
      <c r="P90" s="1843"/>
      <c r="Q90" s="1848"/>
      <c r="R90" s="56"/>
      <c r="S90" s="56"/>
    </row>
    <row r="91" spans="1:19" hidden="1" x14ac:dyDescent="0.2">
      <c r="A91" s="264" t="str">
        <f t="shared" si="6"/>
        <v>OK</v>
      </c>
      <c r="B91" s="56"/>
      <c r="C91" s="1842" t="s">
        <v>240</v>
      </c>
      <c r="D91" s="1843"/>
      <c r="E91" s="1843"/>
      <c r="F91" s="1843"/>
      <c r="G91" s="1843"/>
      <c r="H91" s="1843"/>
      <c r="I91" s="1843"/>
      <c r="J91" s="1843"/>
      <c r="K91" s="1843"/>
      <c r="L91" s="1843"/>
      <c r="M91" s="1843"/>
      <c r="N91" s="1843"/>
      <c r="O91" s="1843"/>
      <c r="P91" s="1843"/>
      <c r="Q91" s="1848"/>
      <c r="R91" s="56"/>
      <c r="S91" s="56"/>
    </row>
    <row r="92" spans="1:19" ht="13.5" hidden="1" thickBot="1" x14ac:dyDescent="0.25">
      <c r="A92" s="264" t="str">
        <f t="shared" si="6"/>
        <v>OK</v>
      </c>
      <c r="B92" s="56"/>
      <c r="C92" s="1849" t="s">
        <v>241</v>
      </c>
      <c r="D92" s="1850"/>
      <c r="E92" s="1850"/>
      <c r="F92" s="1850"/>
      <c r="G92" s="1850"/>
      <c r="H92" s="1850"/>
      <c r="I92" s="1850"/>
      <c r="J92" s="1850"/>
      <c r="K92" s="1850"/>
      <c r="L92" s="1850"/>
      <c r="M92" s="1850"/>
      <c r="N92" s="1850"/>
      <c r="O92" s="1850"/>
      <c r="P92" s="1850"/>
      <c r="Q92" s="1851"/>
      <c r="R92" s="56"/>
      <c r="S92" s="56"/>
    </row>
    <row r="93" spans="1:19" ht="13.5" hidden="1" thickBot="1" x14ac:dyDescent="0.25">
      <c r="A93" s="264" t="str">
        <f t="shared" si="6"/>
        <v>OK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</row>
    <row r="94" spans="1:19" hidden="1" x14ac:dyDescent="0.2">
      <c r="A94" s="264" t="str">
        <f t="shared" si="6"/>
        <v>OK</v>
      </c>
      <c r="B94" s="56"/>
      <c r="C94" s="66" t="s">
        <v>125</v>
      </c>
      <c r="D94" s="1852" t="s">
        <v>126</v>
      </c>
      <c r="E94" s="1853"/>
      <c r="F94" s="1853"/>
      <c r="G94" s="1853"/>
      <c r="H94" s="1853"/>
      <c r="I94" s="1854"/>
      <c r="J94" s="1357" t="s">
        <v>127</v>
      </c>
      <c r="K94" s="1358"/>
      <c r="L94" s="1858"/>
      <c r="M94" s="1859" t="s">
        <v>131</v>
      </c>
      <c r="N94" s="1368" t="s">
        <v>128</v>
      </c>
      <c r="O94" s="1868"/>
      <c r="P94" s="1368" t="s">
        <v>118</v>
      </c>
      <c r="Q94" s="1370"/>
      <c r="R94" s="67"/>
      <c r="S94" s="56"/>
    </row>
    <row r="95" spans="1:19" hidden="1" x14ac:dyDescent="0.2">
      <c r="A95" s="264" t="str">
        <f t="shared" si="6"/>
        <v>OK</v>
      </c>
      <c r="B95" s="56"/>
      <c r="C95" s="68" t="s">
        <v>129</v>
      </c>
      <c r="D95" s="1855"/>
      <c r="E95" s="1856"/>
      <c r="F95" s="1856"/>
      <c r="G95" s="1856"/>
      <c r="H95" s="1856"/>
      <c r="I95" s="1857"/>
      <c r="J95" s="1866" t="s">
        <v>130</v>
      </c>
      <c r="K95" s="1321"/>
      <c r="L95" s="1867"/>
      <c r="M95" s="1860"/>
      <c r="N95" s="69" t="s">
        <v>330</v>
      </c>
      <c r="O95" s="70" t="s">
        <v>282</v>
      </c>
      <c r="P95" s="71" t="s">
        <v>101</v>
      </c>
      <c r="Q95" s="72" t="s">
        <v>102</v>
      </c>
      <c r="R95" s="67"/>
      <c r="S95" s="56"/>
    </row>
    <row r="96" spans="1:19" hidden="1" x14ac:dyDescent="0.2">
      <c r="A96" s="264" t="str">
        <f t="shared" si="6"/>
        <v>OK</v>
      </c>
      <c r="B96" s="56"/>
      <c r="C96" s="215"/>
      <c r="D96" s="1875" t="str">
        <f>MOD_3!$E96</f>
        <v>De transporte .....................................................................</v>
      </c>
      <c r="E96" s="1861"/>
      <c r="F96" s="1861"/>
      <c r="G96" s="1861"/>
      <c r="H96" s="1861"/>
      <c r="I96" s="1862"/>
      <c r="J96" s="1863">
        <f>MOD_3!$K96</f>
        <v>0</v>
      </c>
      <c r="K96" s="1864"/>
      <c r="L96" s="1865"/>
      <c r="M96" s="216">
        <f>MOD_3!$M96</f>
        <v>0</v>
      </c>
      <c r="N96" s="217">
        <f>MOD_3!$C96</f>
        <v>0</v>
      </c>
      <c r="O96" s="218">
        <f>MOD_3!$D96</f>
        <v>0</v>
      </c>
      <c r="P96" s="283">
        <f>MOD_3!$N96</f>
        <v>0</v>
      </c>
      <c r="Q96" s="284">
        <f>MOD_3!$Q96</f>
        <v>0</v>
      </c>
      <c r="R96" s="73"/>
      <c r="S96" s="56"/>
    </row>
    <row r="97" spans="1:19" hidden="1" x14ac:dyDescent="0.2">
      <c r="A97" s="264" t="str">
        <f t="shared" si="6"/>
        <v>OK</v>
      </c>
      <c r="B97" s="56" t="str">
        <f>IF(R97=0,B76,B76+1)</f>
        <v/>
      </c>
      <c r="C97" s="199" t="str">
        <f t="shared" ref="C97:C116" si="7">IF(D97="","",IF(B97=B96,"",B96+1))</f>
        <v/>
      </c>
      <c r="D97" s="1844" t="str">
        <f>IF(MOD_3!$E97="","",MOD_3!$E97)</f>
        <v/>
      </c>
      <c r="E97" s="1843"/>
      <c r="F97" s="1843"/>
      <c r="G97" s="1843"/>
      <c r="H97" s="1843"/>
      <c r="I97" s="1845"/>
      <c r="J97" s="1846" t="str">
        <f>IF(MOD_3!$K97="","",MOD_3!$K97)</f>
        <v/>
      </c>
      <c r="K97" s="1846"/>
      <c r="L97" s="1847"/>
      <c r="M97" s="194" t="str">
        <f>IF(MOD_3!$M97="","",MOD_3!$M97)</f>
        <v/>
      </c>
      <c r="N97" s="194" t="str">
        <f>IF(MOD_3!$C97="","",MOD_3!$C97)</f>
        <v/>
      </c>
      <c r="O97" s="200" t="str">
        <f>IF(MOD_3!$D97="","",MOD_3!$D97)</f>
        <v/>
      </c>
      <c r="P97" s="201" t="str">
        <f>IF(MOD_3!$N97="","",MOD_3!$N97)</f>
        <v/>
      </c>
      <c r="Q97" s="280" t="str">
        <f>IF(MOD_3!$Q97="","",MOD_3!$Q97)</f>
        <v/>
      </c>
      <c r="R97" s="73">
        <f>MOD_3!S97</f>
        <v>0</v>
      </c>
      <c r="S97" s="56"/>
    </row>
    <row r="98" spans="1:19" hidden="1" x14ac:dyDescent="0.2">
      <c r="A98" s="264" t="str">
        <f t="shared" si="6"/>
        <v>OK</v>
      </c>
      <c r="B98" s="56" t="str">
        <f t="shared" ref="B98:B116" si="8">IF(R97=0,B97,B97+1)</f>
        <v/>
      </c>
      <c r="C98" s="199" t="str">
        <f t="shared" si="7"/>
        <v/>
      </c>
      <c r="D98" s="1844" t="str">
        <f>IF(MOD_3!$E98="","",MOD_3!$E98)</f>
        <v/>
      </c>
      <c r="E98" s="1843"/>
      <c r="F98" s="1843"/>
      <c r="G98" s="1843"/>
      <c r="H98" s="1843"/>
      <c r="I98" s="1845"/>
      <c r="J98" s="1846" t="str">
        <f>IF(MOD_3!$K98="","",MOD_3!$K98)</f>
        <v/>
      </c>
      <c r="K98" s="1846"/>
      <c r="L98" s="1847"/>
      <c r="M98" s="194" t="str">
        <f>IF(MOD_3!$M98="","",MOD_3!$M98)</f>
        <v/>
      </c>
      <c r="N98" s="194" t="str">
        <f>IF(MOD_3!$C98="","",MOD_3!$C98)</f>
        <v/>
      </c>
      <c r="O98" s="200" t="str">
        <f>IF(MOD_3!$D98="","",MOD_3!$D98)</f>
        <v/>
      </c>
      <c r="P98" s="201" t="str">
        <f>IF(MOD_3!$N98="","",MOD_3!$N98)</f>
        <v/>
      </c>
      <c r="Q98" s="280" t="str">
        <f>IF(MOD_3!$Q98="","",MOD_3!$Q98)</f>
        <v/>
      </c>
      <c r="R98" s="73">
        <f>MOD_3!S98</f>
        <v>0</v>
      </c>
      <c r="S98" s="56"/>
    </row>
    <row r="99" spans="1:19" hidden="1" x14ac:dyDescent="0.2">
      <c r="A99" s="264" t="str">
        <f t="shared" si="6"/>
        <v>OK</v>
      </c>
      <c r="B99" s="56" t="str">
        <f t="shared" si="8"/>
        <v/>
      </c>
      <c r="C99" s="199" t="str">
        <f t="shared" si="7"/>
        <v/>
      </c>
      <c r="D99" s="1844" t="str">
        <f>IF(MOD_3!$E99="","",MOD_3!$E99)</f>
        <v/>
      </c>
      <c r="E99" s="1843"/>
      <c r="F99" s="1843"/>
      <c r="G99" s="1843"/>
      <c r="H99" s="1843"/>
      <c r="I99" s="1845"/>
      <c r="J99" s="1846" t="str">
        <f>IF(MOD_3!$K99="","",MOD_3!$K99)</f>
        <v/>
      </c>
      <c r="K99" s="1846"/>
      <c r="L99" s="1847"/>
      <c r="M99" s="194" t="str">
        <f>IF(MOD_3!$M99="","",MOD_3!$M99)</f>
        <v/>
      </c>
      <c r="N99" s="194" t="str">
        <f>IF(MOD_3!$C99="","",MOD_3!$C99)</f>
        <v/>
      </c>
      <c r="O99" s="200" t="str">
        <f>IF(MOD_3!$D99="","",MOD_3!$D99)</f>
        <v/>
      </c>
      <c r="P99" s="201" t="str">
        <f>IF(MOD_3!$N99="","",MOD_3!$N99)</f>
        <v/>
      </c>
      <c r="Q99" s="280" t="str">
        <f>IF(MOD_3!$Q99="","",MOD_3!$Q99)</f>
        <v/>
      </c>
      <c r="R99" s="73">
        <f>MOD_3!S99</f>
        <v>0</v>
      </c>
      <c r="S99" s="56"/>
    </row>
    <row r="100" spans="1:19" hidden="1" x14ac:dyDescent="0.2">
      <c r="A100" s="264" t="str">
        <f t="shared" si="6"/>
        <v>OK</v>
      </c>
      <c r="B100" s="56" t="str">
        <f t="shared" si="8"/>
        <v/>
      </c>
      <c r="C100" s="199" t="str">
        <f t="shared" si="7"/>
        <v/>
      </c>
      <c r="D100" s="1844" t="str">
        <f>IF(MOD_3!$E100="","",MOD_3!$E100)</f>
        <v/>
      </c>
      <c r="E100" s="1843"/>
      <c r="F100" s="1843"/>
      <c r="G100" s="1843"/>
      <c r="H100" s="1843"/>
      <c r="I100" s="1845"/>
      <c r="J100" s="1846" t="str">
        <f>IF(MOD_3!$K100="","",MOD_3!$K100)</f>
        <v/>
      </c>
      <c r="K100" s="1846"/>
      <c r="L100" s="1847"/>
      <c r="M100" s="194" t="str">
        <f>IF(MOD_3!$M100="","",MOD_3!$M100)</f>
        <v/>
      </c>
      <c r="N100" s="194" t="str">
        <f>IF(MOD_3!$C100="","",MOD_3!$C100)</f>
        <v/>
      </c>
      <c r="O100" s="200" t="str">
        <f>IF(MOD_3!$D100="","",MOD_3!$D100)</f>
        <v/>
      </c>
      <c r="P100" s="201" t="str">
        <f>IF(MOD_3!$N100="","",MOD_3!$N100)</f>
        <v/>
      </c>
      <c r="Q100" s="280" t="str">
        <f>IF(MOD_3!$Q100="","",MOD_3!$Q100)</f>
        <v/>
      </c>
      <c r="R100" s="73">
        <f>MOD_3!S100</f>
        <v>0</v>
      </c>
      <c r="S100" s="56"/>
    </row>
    <row r="101" spans="1:19" hidden="1" x14ac:dyDescent="0.2">
      <c r="A101" s="264" t="str">
        <f t="shared" si="6"/>
        <v>OK</v>
      </c>
      <c r="B101" s="56" t="str">
        <f t="shared" si="8"/>
        <v/>
      </c>
      <c r="C101" s="288" t="str">
        <f t="shared" si="7"/>
        <v/>
      </c>
      <c r="D101" s="1844" t="str">
        <f>IF(MOD_3!$E101="","",MOD_3!$E101)</f>
        <v/>
      </c>
      <c r="E101" s="1843"/>
      <c r="F101" s="1843"/>
      <c r="G101" s="1843"/>
      <c r="H101" s="1843"/>
      <c r="I101" s="1845"/>
      <c r="J101" s="1846" t="str">
        <f>IF(MOD_3!$K101="","",MOD_3!$K101)</f>
        <v/>
      </c>
      <c r="K101" s="1846"/>
      <c r="L101" s="1847"/>
      <c r="M101" s="194" t="str">
        <f>IF(MOD_3!$M101="","",MOD_3!$M101)</f>
        <v/>
      </c>
      <c r="N101" s="194" t="str">
        <f>IF(MOD_3!$C101="","",MOD_3!$C101)</f>
        <v/>
      </c>
      <c r="O101" s="200" t="str">
        <f>IF(MOD_3!$D101="","",MOD_3!$D101)</f>
        <v/>
      </c>
      <c r="P101" s="201" t="str">
        <f>IF(MOD_3!$N101="","",MOD_3!$N101)</f>
        <v/>
      </c>
      <c r="Q101" s="280" t="str">
        <f>IF(MOD_3!$Q101="","",MOD_3!$Q101)</f>
        <v/>
      </c>
      <c r="R101" s="73">
        <f>MOD_3!S101</f>
        <v>0</v>
      </c>
      <c r="S101" s="56"/>
    </row>
    <row r="102" spans="1:19" hidden="1" x14ac:dyDescent="0.2">
      <c r="A102" s="264" t="str">
        <f t="shared" si="6"/>
        <v>OK</v>
      </c>
      <c r="B102" s="56" t="str">
        <f t="shared" si="8"/>
        <v/>
      </c>
      <c r="C102" s="199" t="str">
        <f t="shared" si="7"/>
        <v/>
      </c>
      <c r="D102" s="1844" t="str">
        <f>IF(MOD_3!$E102="","",MOD_3!$E102)</f>
        <v/>
      </c>
      <c r="E102" s="1843"/>
      <c r="F102" s="1843"/>
      <c r="G102" s="1843"/>
      <c r="H102" s="1843"/>
      <c r="I102" s="1845"/>
      <c r="J102" s="1846" t="str">
        <f>IF(MOD_3!$K102="","",MOD_3!$K102)</f>
        <v/>
      </c>
      <c r="K102" s="1846"/>
      <c r="L102" s="1847"/>
      <c r="M102" s="194" t="str">
        <f>IF(MOD_3!$M102="","",MOD_3!$M102)</f>
        <v/>
      </c>
      <c r="N102" s="194" t="str">
        <f>IF(MOD_3!$C102="","",MOD_3!$C102)</f>
        <v/>
      </c>
      <c r="O102" s="200" t="str">
        <f>IF(MOD_3!$D102="","",MOD_3!$D102)</f>
        <v/>
      </c>
      <c r="P102" s="201" t="str">
        <f>IF(MOD_3!$N102="","",MOD_3!$N102)</f>
        <v/>
      </c>
      <c r="Q102" s="280" t="str">
        <f>IF(MOD_3!$Q102="","",MOD_3!$Q102)</f>
        <v/>
      </c>
      <c r="R102" s="73">
        <f>MOD_3!S102</f>
        <v>0</v>
      </c>
      <c r="S102" s="56"/>
    </row>
    <row r="103" spans="1:19" hidden="1" x14ac:dyDescent="0.2">
      <c r="A103" s="264" t="str">
        <f t="shared" si="6"/>
        <v>OK</v>
      </c>
      <c r="B103" s="56" t="str">
        <f t="shared" si="8"/>
        <v/>
      </c>
      <c r="C103" s="199" t="str">
        <f t="shared" si="7"/>
        <v/>
      </c>
      <c r="D103" s="1844" t="str">
        <f>IF(MOD_3!$E103="","",MOD_3!$E103)</f>
        <v/>
      </c>
      <c r="E103" s="1843"/>
      <c r="F103" s="1843"/>
      <c r="G103" s="1843"/>
      <c r="H103" s="1843"/>
      <c r="I103" s="1845"/>
      <c r="J103" s="1846" t="str">
        <f>IF(MOD_3!$K103="","",MOD_3!$K103)</f>
        <v/>
      </c>
      <c r="K103" s="1846"/>
      <c r="L103" s="1847"/>
      <c r="M103" s="194" t="str">
        <f>IF(MOD_3!$M103="","",MOD_3!$M103)</f>
        <v/>
      </c>
      <c r="N103" s="194" t="str">
        <f>IF(MOD_3!$C103="","",MOD_3!$C103)</f>
        <v/>
      </c>
      <c r="O103" s="200" t="str">
        <f>IF(MOD_3!$D103="","",MOD_3!$D103)</f>
        <v/>
      </c>
      <c r="P103" s="201" t="str">
        <f>IF(MOD_3!$N103="","",MOD_3!$N103)</f>
        <v/>
      </c>
      <c r="Q103" s="280" t="str">
        <f>IF(MOD_3!$Q103="","",MOD_3!$Q103)</f>
        <v/>
      </c>
      <c r="R103" s="73">
        <f>MOD_3!S103</f>
        <v>0</v>
      </c>
      <c r="S103" s="56"/>
    </row>
    <row r="104" spans="1:19" hidden="1" x14ac:dyDescent="0.2">
      <c r="A104" s="264" t="str">
        <f t="shared" si="6"/>
        <v>OK</v>
      </c>
      <c r="B104" s="56" t="str">
        <f t="shared" si="8"/>
        <v/>
      </c>
      <c r="C104" s="199" t="str">
        <f t="shared" si="7"/>
        <v/>
      </c>
      <c r="D104" s="1844" t="str">
        <f>IF(MOD_3!$E104="","",MOD_3!$E104)</f>
        <v/>
      </c>
      <c r="E104" s="1843"/>
      <c r="F104" s="1843"/>
      <c r="G104" s="1843"/>
      <c r="H104" s="1843"/>
      <c r="I104" s="1845"/>
      <c r="J104" s="1846" t="str">
        <f>IF(MOD_3!$K104="","",MOD_3!$K104)</f>
        <v/>
      </c>
      <c r="K104" s="1846"/>
      <c r="L104" s="1847"/>
      <c r="M104" s="194" t="str">
        <f>IF(MOD_3!$M104="","",MOD_3!$M104)</f>
        <v/>
      </c>
      <c r="N104" s="194" t="str">
        <f>IF(MOD_3!$C104="","",MOD_3!$C104)</f>
        <v/>
      </c>
      <c r="O104" s="200" t="str">
        <f>IF(MOD_3!$D104="","",MOD_3!$D104)</f>
        <v/>
      </c>
      <c r="P104" s="201" t="str">
        <f>IF(MOD_3!$N104="","",MOD_3!$N104)</f>
        <v/>
      </c>
      <c r="Q104" s="280" t="str">
        <f>IF(MOD_3!$Q104="","",MOD_3!$Q104)</f>
        <v/>
      </c>
      <c r="R104" s="73">
        <f>MOD_3!S104</f>
        <v>0</v>
      </c>
      <c r="S104" s="56"/>
    </row>
    <row r="105" spans="1:19" hidden="1" x14ac:dyDescent="0.2">
      <c r="A105" s="264" t="str">
        <f t="shared" si="6"/>
        <v>OK</v>
      </c>
      <c r="B105" s="56" t="str">
        <f t="shared" si="8"/>
        <v/>
      </c>
      <c r="C105" s="199" t="str">
        <f t="shared" si="7"/>
        <v/>
      </c>
      <c r="D105" s="1844" t="str">
        <f>IF(MOD_3!$E105="","",MOD_3!$E105)</f>
        <v/>
      </c>
      <c r="E105" s="1843"/>
      <c r="F105" s="1843"/>
      <c r="G105" s="1843"/>
      <c r="H105" s="1843"/>
      <c r="I105" s="1845"/>
      <c r="J105" s="1846" t="str">
        <f>IF(MOD_3!$K105="","",MOD_3!$K105)</f>
        <v/>
      </c>
      <c r="K105" s="1846"/>
      <c r="L105" s="1847"/>
      <c r="M105" s="194" t="str">
        <f>IF(MOD_3!$M105="","",MOD_3!$M105)</f>
        <v/>
      </c>
      <c r="N105" s="194" t="str">
        <f>IF(MOD_3!$C105="","",MOD_3!$C105)</f>
        <v/>
      </c>
      <c r="O105" s="200" t="str">
        <f>IF(MOD_3!$D105="","",MOD_3!$D105)</f>
        <v/>
      </c>
      <c r="P105" s="201" t="str">
        <f>IF(MOD_3!$N105="","",MOD_3!$N105)</f>
        <v/>
      </c>
      <c r="Q105" s="280" t="str">
        <f>IF(MOD_3!$Q105="","",MOD_3!$Q105)</f>
        <v/>
      </c>
      <c r="R105" s="73">
        <f>MOD_3!S105</f>
        <v>0</v>
      </c>
      <c r="S105" s="56"/>
    </row>
    <row r="106" spans="1:19" hidden="1" x14ac:dyDescent="0.2">
      <c r="A106" s="264" t="str">
        <f t="shared" si="6"/>
        <v>OK</v>
      </c>
      <c r="B106" s="56" t="str">
        <f t="shared" si="8"/>
        <v/>
      </c>
      <c r="C106" s="199" t="str">
        <f t="shared" si="7"/>
        <v/>
      </c>
      <c r="D106" s="1844" t="str">
        <f>IF(MOD_3!$E106="","",MOD_3!$E106)</f>
        <v/>
      </c>
      <c r="E106" s="1843"/>
      <c r="F106" s="1843"/>
      <c r="G106" s="1843"/>
      <c r="H106" s="1843"/>
      <c r="I106" s="1845"/>
      <c r="J106" s="1846" t="str">
        <f>IF(MOD_3!$K106="","",MOD_3!$K106)</f>
        <v/>
      </c>
      <c r="K106" s="1846"/>
      <c r="L106" s="1847"/>
      <c r="M106" s="194" t="str">
        <f>IF(MOD_3!$M106="","",MOD_3!$M106)</f>
        <v/>
      </c>
      <c r="N106" s="194" t="str">
        <f>IF(MOD_3!$C106="","",MOD_3!$C106)</f>
        <v/>
      </c>
      <c r="O106" s="200" t="str">
        <f>IF(MOD_3!$D106="","",MOD_3!$D106)</f>
        <v/>
      </c>
      <c r="P106" s="201" t="str">
        <f>IF(MOD_3!$N106="","",MOD_3!$N106)</f>
        <v/>
      </c>
      <c r="Q106" s="280" t="str">
        <f>IF(MOD_3!$Q106="","",MOD_3!$Q106)</f>
        <v/>
      </c>
      <c r="R106" s="73">
        <f>MOD_3!S106</f>
        <v>0</v>
      </c>
      <c r="S106" s="56"/>
    </row>
    <row r="107" spans="1:19" hidden="1" x14ac:dyDescent="0.2">
      <c r="A107" s="264" t="str">
        <f t="shared" si="6"/>
        <v>OK</v>
      </c>
      <c r="B107" s="56" t="str">
        <f t="shared" si="8"/>
        <v/>
      </c>
      <c r="C107" s="288" t="str">
        <f t="shared" si="7"/>
        <v/>
      </c>
      <c r="D107" s="1844" t="str">
        <f>IF(MOD_3!$E107="","",MOD_3!$E107)</f>
        <v/>
      </c>
      <c r="E107" s="1843"/>
      <c r="F107" s="1843"/>
      <c r="G107" s="1843"/>
      <c r="H107" s="1843"/>
      <c r="I107" s="1845"/>
      <c r="J107" s="1846" t="str">
        <f>IF(MOD_3!$K107="","",MOD_3!$K107)</f>
        <v/>
      </c>
      <c r="K107" s="1846"/>
      <c r="L107" s="1847"/>
      <c r="M107" s="194" t="str">
        <f>IF(MOD_3!$M107="","",MOD_3!$M107)</f>
        <v/>
      </c>
      <c r="N107" s="194" t="str">
        <f>IF(MOD_3!$C107="","",MOD_3!$C107)</f>
        <v/>
      </c>
      <c r="O107" s="200" t="str">
        <f>IF(MOD_3!$D107="","",MOD_3!$D107)</f>
        <v/>
      </c>
      <c r="P107" s="201" t="str">
        <f>IF(MOD_3!$N107="","",MOD_3!$N107)</f>
        <v/>
      </c>
      <c r="Q107" s="280" t="str">
        <f>IF(MOD_3!$Q107="","",MOD_3!$Q107)</f>
        <v/>
      </c>
      <c r="R107" s="73">
        <f>MOD_3!S107</f>
        <v>0</v>
      </c>
      <c r="S107" s="56"/>
    </row>
    <row r="108" spans="1:19" hidden="1" x14ac:dyDescent="0.2">
      <c r="A108" s="264" t="str">
        <f t="shared" si="6"/>
        <v>OK</v>
      </c>
      <c r="B108" s="56" t="str">
        <f t="shared" si="8"/>
        <v/>
      </c>
      <c r="C108" s="288" t="str">
        <f t="shared" si="7"/>
        <v/>
      </c>
      <c r="D108" s="1844" t="str">
        <f>IF(MOD_3!$E108="","",MOD_3!$E108)</f>
        <v/>
      </c>
      <c r="E108" s="1843"/>
      <c r="F108" s="1843"/>
      <c r="G108" s="1843"/>
      <c r="H108" s="1843"/>
      <c r="I108" s="1845"/>
      <c r="J108" s="1846" t="str">
        <f>IF(MOD_3!$K108="","",MOD_3!$K108)</f>
        <v/>
      </c>
      <c r="K108" s="1846"/>
      <c r="L108" s="1847"/>
      <c r="M108" s="194" t="str">
        <f>IF(MOD_3!$M108="","",MOD_3!$M108)</f>
        <v/>
      </c>
      <c r="N108" s="194" t="str">
        <f>IF(MOD_3!$C108="","",MOD_3!$C108)</f>
        <v/>
      </c>
      <c r="O108" s="200" t="str">
        <f>IF(MOD_3!$D108="","",MOD_3!$D108)</f>
        <v/>
      </c>
      <c r="P108" s="201" t="str">
        <f>IF(MOD_3!$N108="","",MOD_3!$N108)</f>
        <v/>
      </c>
      <c r="Q108" s="280" t="str">
        <f>IF(MOD_3!$Q108="","",MOD_3!$Q108)</f>
        <v/>
      </c>
      <c r="R108" s="73">
        <f>MOD_3!S108</f>
        <v>0</v>
      </c>
      <c r="S108" s="56"/>
    </row>
    <row r="109" spans="1:19" hidden="1" x14ac:dyDescent="0.2">
      <c r="A109" s="264" t="str">
        <f t="shared" si="6"/>
        <v>OK</v>
      </c>
      <c r="B109" s="56" t="str">
        <f t="shared" si="8"/>
        <v/>
      </c>
      <c r="C109" s="199" t="str">
        <f t="shared" si="7"/>
        <v/>
      </c>
      <c r="D109" s="1844" t="str">
        <f>IF(MOD_3!$E109="","",MOD_3!$E109)</f>
        <v/>
      </c>
      <c r="E109" s="1843"/>
      <c r="F109" s="1843"/>
      <c r="G109" s="1843"/>
      <c r="H109" s="1843"/>
      <c r="I109" s="1845"/>
      <c r="J109" s="1846" t="str">
        <f>IF(MOD_3!$K109="","",MOD_3!$K109)</f>
        <v/>
      </c>
      <c r="K109" s="1846"/>
      <c r="L109" s="1847"/>
      <c r="M109" s="194" t="str">
        <f>IF(MOD_3!$M109="","",MOD_3!$M109)</f>
        <v/>
      </c>
      <c r="N109" s="194" t="str">
        <f>IF(MOD_3!$C109="","",MOD_3!$C109)</f>
        <v/>
      </c>
      <c r="O109" s="200" t="str">
        <f>IF(MOD_3!$D109="","",MOD_3!$D109)</f>
        <v/>
      </c>
      <c r="P109" s="201" t="str">
        <f>IF(MOD_3!$N109="","",MOD_3!$N109)</f>
        <v/>
      </c>
      <c r="Q109" s="280" t="str">
        <f>IF(MOD_3!$Q109="","",MOD_3!$Q109)</f>
        <v/>
      </c>
      <c r="R109" s="73">
        <f>MOD_3!S109</f>
        <v>0</v>
      </c>
      <c r="S109" s="56"/>
    </row>
    <row r="110" spans="1:19" hidden="1" x14ac:dyDescent="0.2">
      <c r="A110" s="264" t="str">
        <f t="shared" si="6"/>
        <v>OK</v>
      </c>
      <c r="B110" s="56" t="str">
        <f t="shared" si="8"/>
        <v/>
      </c>
      <c r="C110" s="199" t="str">
        <f t="shared" si="7"/>
        <v/>
      </c>
      <c r="D110" s="1844" t="str">
        <f>IF(MOD_3!$E110="","",MOD_3!$E110)</f>
        <v/>
      </c>
      <c r="E110" s="1843"/>
      <c r="F110" s="1843"/>
      <c r="G110" s="1843"/>
      <c r="H110" s="1843"/>
      <c r="I110" s="1845"/>
      <c r="J110" s="1846" t="str">
        <f>IF(MOD_3!$K110="","",MOD_3!$K110)</f>
        <v/>
      </c>
      <c r="K110" s="1846"/>
      <c r="L110" s="1847"/>
      <c r="M110" s="194" t="str">
        <f>IF(MOD_3!$M110="","",MOD_3!$M110)</f>
        <v/>
      </c>
      <c r="N110" s="194" t="str">
        <f>IF(MOD_3!$C110="","",MOD_3!$C110)</f>
        <v/>
      </c>
      <c r="O110" s="200" t="str">
        <f>IF(MOD_3!$D110="","",MOD_3!$D110)</f>
        <v/>
      </c>
      <c r="P110" s="201" t="str">
        <f>IF(MOD_3!$N110="","",MOD_3!$N110)</f>
        <v/>
      </c>
      <c r="Q110" s="280" t="str">
        <f>IF(MOD_3!$Q110="","",MOD_3!$Q110)</f>
        <v/>
      </c>
      <c r="R110" s="73">
        <f>MOD_3!S110</f>
        <v>0</v>
      </c>
      <c r="S110" s="56"/>
    </row>
    <row r="111" spans="1:19" hidden="1" x14ac:dyDescent="0.2">
      <c r="A111" s="264" t="str">
        <f t="shared" si="6"/>
        <v>OK</v>
      </c>
      <c r="B111" s="56" t="str">
        <f t="shared" si="8"/>
        <v/>
      </c>
      <c r="C111" s="199" t="str">
        <f t="shared" si="7"/>
        <v/>
      </c>
      <c r="D111" s="1844" t="str">
        <f>IF(MOD_3!$E111="","",MOD_3!$E111)</f>
        <v/>
      </c>
      <c r="E111" s="1843"/>
      <c r="F111" s="1843"/>
      <c r="G111" s="1843"/>
      <c r="H111" s="1843"/>
      <c r="I111" s="1845"/>
      <c r="J111" s="1846" t="str">
        <f>IF(MOD_3!$K111="","",MOD_3!$K111)</f>
        <v/>
      </c>
      <c r="K111" s="1846"/>
      <c r="L111" s="1847"/>
      <c r="M111" s="194" t="str">
        <f>IF(MOD_3!$M111="","",MOD_3!$M111)</f>
        <v/>
      </c>
      <c r="N111" s="194" t="str">
        <f>IF(MOD_3!$C111="","",MOD_3!$C111)</f>
        <v/>
      </c>
      <c r="O111" s="200" t="str">
        <f>IF(MOD_3!$D111="","",MOD_3!$D111)</f>
        <v/>
      </c>
      <c r="P111" s="201" t="str">
        <f>IF(MOD_3!$N111="","",MOD_3!$N111)</f>
        <v/>
      </c>
      <c r="Q111" s="280" t="str">
        <f>IF(MOD_3!$Q111="","",MOD_3!$Q111)</f>
        <v/>
      </c>
      <c r="R111" s="73">
        <f>MOD_3!S111</f>
        <v>0</v>
      </c>
      <c r="S111" s="56"/>
    </row>
    <row r="112" spans="1:19" hidden="1" x14ac:dyDescent="0.2">
      <c r="A112" s="264" t="str">
        <f t="shared" si="6"/>
        <v>OK</v>
      </c>
      <c r="B112" s="56" t="str">
        <f t="shared" si="8"/>
        <v/>
      </c>
      <c r="C112" s="199" t="str">
        <f t="shared" si="7"/>
        <v/>
      </c>
      <c r="D112" s="1844" t="str">
        <f>IF(MOD_3!$E112="","",MOD_3!$E112)</f>
        <v/>
      </c>
      <c r="E112" s="1843"/>
      <c r="F112" s="1843"/>
      <c r="G112" s="1843"/>
      <c r="H112" s="1843"/>
      <c r="I112" s="1845"/>
      <c r="J112" s="1846" t="str">
        <f>IF(MOD_3!$K112="","",MOD_3!$K112)</f>
        <v/>
      </c>
      <c r="K112" s="1846"/>
      <c r="L112" s="1847"/>
      <c r="M112" s="194" t="str">
        <f>IF(MOD_3!$M112="","",MOD_3!$M112)</f>
        <v/>
      </c>
      <c r="N112" s="194" t="str">
        <f>IF(MOD_3!$C112="","",MOD_3!$C112)</f>
        <v/>
      </c>
      <c r="O112" s="200" t="str">
        <f>IF(MOD_3!$D112="","",MOD_3!$D112)</f>
        <v/>
      </c>
      <c r="P112" s="201" t="str">
        <f>IF(MOD_3!$N112="","",MOD_3!$N112)</f>
        <v/>
      </c>
      <c r="Q112" s="280" t="str">
        <f>IF(MOD_3!$Q112="","",MOD_3!$Q112)</f>
        <v/>
      </c>
      <c r="R112" s="73">
        <f>MOD_3!S112</f>
        <v>0</v>
      </c>
      <c r="S112" s="56"/>
    </row>
    <row r="113" spans="1:19" hidden="1" x14ac:dyDescent="0.2">
      <c r="A113" s="264" t="str">
        <f t="shared" si="6"/>
        <v>OK</v>
      </c>
      <c r="B113" s="56" t="str">
        <f t="shared" si="8"/>
        <v/>
      </c>
      <c r="C113" s="199" t="str">
        <f t="shared" si="7"/>
        <v/>
      </c>
      <c r="D113" s="1844" t="str">
        <f>IF(MOD_3!$E113="","",MOD_3!$E113)</f>
        <v/>
      </c>
      <c r="E113" s="1843"/>
      <c r="F113" s="1843"/>
      <c r="G113" s="1843"/>
      <c r="H113" s="1843"/>
      <c r="I113" s="1845"/>
      <c r="J113" s="1846" t="str">
        <f>IF(MOD_3!$K113="","",MOD_3!$K113)</f>
        <v/>
      </c>
      <c r="K113" s="1846"/>
      <c r="L113" s="1847"/>
      <c r="M113" s="194" t="str">
        <f>IF(MOD_3!$M113="","",MOD_3!$M113)</f>
        <v/>
      </c>
      <c r="N113" s="194" t="str">
        <f>IF(MOD_3!$C113="","",MOD_3!$C113)</f>
        <v/>
      </c>
      <c r="O113" s="200" t="str">
        <f>IF(MOD_3!$D113="","",MOD_3!$D113)</f>
        <v/>
      </c>
      <c r="P113" s="201" t="str">
        <f>IF(MOD_3!$N113="","",MOD_3!$N113)</f>
        <v/>
      </c>
      <c r="Q113" s="280" t="str">
        <f>IF(MOD_3!$Q113="","",MOD_3!$Q113)</f>
        <v/>
      </c>
      <c r="R113" s="73">
        <f>MOD_3!S113</f>
        <v>0</v>
      </c>
      <c r="S113" s="56"/>
    </row>
    <row r="114" spans="1:19" hidden="1" x14ac:dyDescent="0.2">
      <c r="A114" s="264" t="str">
        <f t="shared" si="6"/>
        <v>OK</v>
      </c>
      <c r="B114" s="56" t="str">
        <f t="shared" si="8"/>
        <v/>
      </c>
      <c r="C114" s="199" t="str">
        <f t="shared" si="7"/>
        <v/>
      </c>
      <c r="D114" s="1844" t="str">
        <f>IF(MOD_3!$E114="","",MOD_3!$E114)</f>
        <v/>
      </c>
      <c r="E114" s="1843"/>
      <c r="F114" s="1843"/>
      <c r="G114" s="1843"/>
      <c r="H114" s="1843"/>
      <c r="I114" s="1845"/>
      <c r="J114" s="1846" t="str">
        <f>IF(MOD_3!$K114="","",MOD_3!$K114)</f>
        <v/>
      </c>
      <c r="K114" s="1846"/>
      <c r="L114" s="1847"/>
      <c r="M114" s="194" t="str">
        <f>IF(MOD_3!$M114="","",MOD_3!$M114)</f>
        <v/>
      </c>
      <c r="N114" s="194" t="str">
        <f>IF(MOD_3!$C114="","",MOD_3!$C114)</f>
        <v/>
      </c>
      <c r="O114" s="200" t="str">
        <f>IF(MOD_3!$D114="","",MOD_3!$D114)</f>
        <v/>
      </c>
      <c r="P114" s="201" t="str">
        <f>IF(MOD_3!$N114="","",MOD_3!$N114)</f>
        <v/>
      </c>
      <c r="Q114" s="280" t="str">
        <f>IF(MOD_3!$Q114="","",MOD_3!$Q114)</f>
        <v/>
      </c>
      <c r="R114" s="73">
        <f>MOD_3!S114</f>
        <v>0</v>
      </c>
      <c r="S114" s="56"/>
    </row>
    <row r="115" spans="1:19" hidden="1" x14ac:dyDescent="0.2">
      <c r="A115" s="264" t="str">
        <f t="shared" si="6"/>
        <v>OK</v>
      </c>
      <c r="B115" s="56" t="str">
        <f t="shared" si="8"/>
        <v/>
      </c>
      <c r="C115" s="199" t="str">
        <f t="shared" si="7"/>
        <v/>
      </c>
      <c r="D115" s="1844" t="str">
        <f>IF(MOD_3!$E115="","",MOD_3!$E115)</f>
        <v/>
      </c>
      <c r="E115" s="1843"/>
      <c r="F115" s="1843"/>
      <c r="G115" s="1843"/>
      <c r="H115" s="1843"/>
      <c r="I115" s="1845"/>
      <c r="J115" s="1846" t="str">
        <f>IF(MOD_3!$K115="","",MOD_3!$K115)</f>
        <v/>
      </c>
      <c r="K115" s="1846"/>
      <c r="L115" s="1847"/>
      <c r="M115" s="194" t="str">
        <f>IF(MOD_3!$M115="","",MOD_3!$M115)</f>
        <v/>
      </c>
      <c r="N115" s="194" t="str">
        <f>IF(MOD_3!$C115="","",MOD_3!$C115)</f>
        <v/>
      </c>
      <c r="O115" s="200" t="str">
        <f>IF(MOD_3!$D115="","",MOD_3!$D115)</f>
        <v/>
      </c>
      <c r="P115" s="201" t="str">
        <f>IF(MOD_3!$N115="","",MOD_3!$N115)</f>
        <v/>
      </c>
      <c r="Q115" s="280" t="str">
        <f>IF(MOD_3!$Q115="","",MOD_3!$Q115)</f>
        <v/>
      </c>
      <c r="R115" s="73">
        <f>MOD_3!S115</f>
        <v>0</v>
      </c>
      <c r="S115" s="56"/>
    </row>
    <row r="116" spans="1:19" ht="13.5" hidden="1" thickBot="1" x14ac:dyDescent="0.25">
      <c r="A116" s="264" t="str">
        <f t="shared" si="6"/>
        <v>OK</v>
      </c>
      <c r="B116" s="56" t="str">
        <f t="shared" si="8"/>
        <v/>
      </c>
      <c r="C116" s="273" t="str">
        <f t="shared" si="7"/>
        <v/>
      </c>
      <c r="D116" s="1871" t="str">
        <f>IF(MOD_3!$E116="","",MOD_3!$E116)</f>
        <v/>
      </c>
      <c r="E116" s="1850"/>
      <c r="F116" s="1850"/>
      <c r="G116" s="1850"/>
      <c r="H116" s="1850"/>
      <c r="I116" s="1872"/>
      <c r="J116" s="1361" t="str">
        <f>IF(MOD_3!$K116="","",MOD_3!$K116)</f>
        <v/>
      </c>
      <c r="K116" s="1361"/>
      <c r="L116" s="1873"/>
      <c r="M116" s="195" t="str">
        <f>IF(MOD_3!$M116="","",MOD_3!$M116)</f>
        <v/>
      </c>
      <c r="N116" s="195" t="str">
        <f>IF(MOD_3!$C116="","",MOD_3!$C116)</f>
        <v/>
      </c>
      <c r="O116" s="196" t="str">
        <f>IF(MOD_3!$D116="","",MOD_3!$D116)</f>
        <v/>
      </c>
      <c r="P116" s="197" t="str">
        <f>IF(MOD_3!$N116="","",MOD_3!$N116)</f>
        <v/>
      </c>
      <c r="Q116" s="281" t="str">
        <f>IF(MOD_3!$Q116="","",MOD_3!$Q116)</f>
        <v/>
      </c>
      <c r="R116" s="73">
        <f>MOD_3!S116</f>
        <v>0</v>
      </c>
      <c r="S116" s="56"/>
    </row>
    <row r="117" spans="1:19" ht="13.5" hidden="1" thickBot="1" x14ac:dyDescent="0.25">
      <c r="A117" s="264" t="str">
        <f t="shared" si="6"/>
        <v>OK</v>
      </c>
      <c r="B117" s="56"/>
      <c r="C117" s="1869" t="str">
        <f>MOD_3!$B117</f>
        <v>Transportar.......................................................................</v>
      </c>
      <c r="D117" s="1387"/>
      <c r="E117" s="1387"/>
      <c r="F117" s="1387"/>
      <c r="G117" s="1387"/>
      <c r="H117" s="1387"/>
      <c r="I117" s="1387"/>
      <c r="J117" s="1387"/>
      <c r="K117" s="1387"/>
      <c r="L117" s="1387"/>
      <c r="M117" s="1387"/>
      <c r="N117" s="1870"/>
      <c r="O117" s="202" t="s">
        <v>102</v>
      </c>
      <c r="P117" s="285">
        <f>SUM(P96:P116)</f>
        <v>0</v>
      </c>
      <c r="Q117" s="282">
        <f>SUM(Q96:Q116)</f>
        <v>0</v>
      </c>
      <c r="R117" s="73">
        <f>SUM(R97:R116)</f>
        <v>0</v>
      </c>
      <c r="S117" s="56"/>
    </row>
    <row r="118" spans="1:19" hidden="1" x14ac:dyDescent="0.2">
      <c r="A118" s="264" t="str">
        <f t="shared" si="6"/>
        <v>OK</v>
      </c>
      <c r="B118" s="56"/>
      <c r="C118" s="58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60"/>
      <c r="R118" s="74"/>
      <c r="S118" s="56"/>
    </row>
    <row r="119" spans="1:19" hidden="1" x14ac:dyDescent="0.2">
      <c r="A119" s="264" t="str">
        <f t="shared" si="6"/>
        <v>OK</v>
      </c>
      <c r="B119" s="56"/>
      <c r="C119" s="61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5"/>
      <c r="R119" s="74"/>
      <c r="S119" s="56"/>
    </row>
    <row r="120" spans="1:19" hidden="1" x14ac:dyDescent="0.2">
      <c r="A120" s="264" t="str">
        <f t="shared" si="6"/>
        <v>OK</v>
      </c>
      <c r="B120" s="56"/>
      <c r="C120" s="75" t="s">
        <v>85</v>
      </c>
      <c r="D120" s="156" t="str">
        <f>Dados!$G$128</f>
        <v/>
      </c>
      <c r="E120" s="62"/>
      <c r="F120" s="1336" t="str">
        <f>Dados!$E$109</f>
        <v/>
      </c>
      <c r="G120" s="1336"/>
      <c r="H120" s="1336"/>
      <c r="I120" s="1336"/>
      <c r="J120" s="1336"/>
      <c r="K120" s="1336"/>
      <c r="L120" s="62"/>
      <c r="M120" s="1336"/>
      <c r="N120" s="1336"/>
      <c r="O120" s="1336"/>
      <c r="P120" s="1336"/>
      <c r="Q120" s="76"/>
      <c r="R120" s="77"/>
      <c r="S120" s="56"/>
    </row>
    <row r="121" spans="1:19" ht="13.5" hidden="1" thickBot="1" x14ac:dyDescent="0.25">
      <c r="A121" s="264" t="str">
        <f t="shared" si="6"/>
        <v>OK</v>
      </c>
      <c r="B121" s="56"/>
      <c r="C121" s="78" t="s">
        <v>132</v>
      </c>
      <c r="D121" s="79"/>
      <c r="E121" s="79"/>
      <c r="F121" s="1874" t="s">
        <v>285</v>
      </c>
      <c r="G121" s="1874"/>
      <c r="H121" s="1874"/>
      <c r="I121" s="1874"/>
      <c r="J121" s="1874"/>
      <c r="K121" s="1874"/>
      <c r="L121" s="79"/>
      <c r="M121" s="1874" t="s">
        <v>151</v>
      </c>
      <c r="N121" s="1874"/>
      <c r="O121" s="1874"/>
      <c r="P121" s="1874"/>
      <c r="Q121" s="80"/>
      <c r="R121" s="56"/>
      <c r="S121" s="56"/>
    </row>
    <row r="122" spans="1:19" ht="9.75" hidden="1" customHeight="1" x14ac:dyDescent="0.2">
      <c r="A122" s="264" t="str">
        <f t="shared" ref="A122:A161" si="9">IF($R$117&lt;=18,"OK","")</f>
        <v>OK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</row>
    <row r="123" spans="1:19" ht="9.75" hidden="1" customHeight="1" x14ac:dyDescent="0.2">
      <c r="A123" s="264" t="str">
        <f t="shared" si="9"/>
        <v>OK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</row>
    <row r="124" spans="1:19" hidden="1" x14ac:dyDescent="0.2">
      <c r="A124" s="264" t="str">
        <f t="shared" si="9"/>
        <v>OK</v>
      </c>
      <c r="B124" s="56"/>
      <c r="C124" s="1836" t="s">
        <v>122</v>
      </c>
      <c r="D124" s="1836"/>
      <c r="E124" s="1836"/>
      <c r="F124" s="1836"/>
      <c r="G124" s="1836"/>
      <c r="H124" s="1836"/>
      <c r="I124" s="1836"/>
      <c r="J124" s="1836"/>
      <c r="K124" s="1836"/>
      <c r="L124" s="1836"/>
      <c r="M124" s="1836"/>
      <c r="N124" s="1836"/>
      <c r="O124" s="1836"/>
      <c r="P124" s="1836"/>
      <c r="Q124" s="1836"/>
      <c r="R124" s="56"/>
      <c r="S124" s="56"/>
    </row>
    <row r="125" spans="1:19" ht="18.75" hidden="1" thickBot="1" x14ac:dyDescent="0.3">
      <c r="A125" s="264" t="str">
        <f t="shared" si="9"/>
        <v>OK</v>
      </c>
      <c r="B125" s="56"/>
      <c r="C125" s="1837" t="s">
        <v>123</v>
      </c>
      <c r="D125" s="1837"/>
      <c r="E125" s="1837"/>
      <c r="F125" s="1837"/>
      <c r="G125" s="1837"/>
      <c r="H125" s="1837"/>
      <c r="I125" s="1837"/>
      <c r="J125" s="1837"/>
      <c r="K125" s="1837"/>
      <c r="L125" s="1837"/>
      <c r="M125" s="1837"/>
      <c r="N125" s="1837"/>
      <c r="O125" s="1837"/>
      <c r="P125" s="1837"/>
      <c r="Q125" s="1837"/>
      <c r="R125" s="56"/>
      <c r="S125" s="56"/>
    </row>
    <row r="126" spans="1:19" hidden="1" x14ac:dyDescent="0.2">
      <c r="A126" s="264" t="str">
        <f t="shared" si="9"/>
        <v>OK</v>
      </c>
      <c r="B126" s="56"/>
      <c r="C126" s="58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60"/>
      <c r="R126" s="56"/>
      <c r="S126" s="56"/>
    </row>
    <row r="127" spans="1:19" hidden="1" x14ac:dyDescent="0.2">
      <c r="A127" s="264" t="str">
        <f t="shared" si="9"/>
        <v>OK</v>
      </c>
      <c r="B127" s="56"/>
      <c r="C127" s="61" t="s">
        <v>124</v>
      </c>
      <c r="D127" s="62"/>
      <c r="E127" s="62"/>
      <c r="F127" s="62"/>
      <c r="G127" s="62"/>
      <c r="H127" s="62"/>
      <c r="I127" s="62"/>
      <c r="J127" s="1838" t="str">
        <f>Dados!$E$69</f>
        <v/>
      </c>
      <c r="K127" s="1838"/>
      <c r="L127" s="1838"/>
      <c r="M127" s="1838"/>
      <c r="N127" s="1838"/>
      <c r="O127" s="1838"/>
      <c r="P127" s="1838"/>
      <c r="Q127" s="1839"/>
      <c r="R127" s="56"/>
      <c r="S127" s="56"/>
    </row>
    <row r="128" spans="1:19" hidden="1" x14ac:dyDescent="0.2">
      <c r="A128" s="264" t="str">
        <f t="shared" si="9"/>
        <v>OK</v>
      </c>
      <c r="B128" s="56"/>
      <c r="C128" s="63"/>
      <c r="D128" s="64"/>
      <c r="E128" s="62"/>
      <c r="F128" s="62"/>
      <c r="G128" s="62"/>
      <c r="H128" s="62"/>
      <c r="I128" s="62"/>
      <c r="J128" s="1840" t="s">
        <v>196</v>
      </c>
      <c r="K128" s="1840"/>
      <c r="L128" s="1840"/>
      <c r="M128" s="1840"/>
      <c r="N128" s="1840"/>
      <c r="O128" s="1840"/>
      <c r="P128" s="1840"/>
      <c r="Q128" s="1841"/>
      <c r="R128" s="56"/>
      <c r="S128" s="56"/>
    </row>
    <row r="129" spans="1:19" hidden="1" x14ac:dyDescent="0.2">
      <c r="A129" s="264" t="str">
        <f t="shared" si="9"/>
        <v>OK</v>
      </c>
      <c r="B129" s="56"/>
      <c r="C129" s="1842" t="s">
        <v>133</v>
      </c>
      <c r="D129" s="1843"/>
      <c r="E129" s="1843"/>
      <c r="F129" s="1838">
        <f>$J$7</f>
        <v>0</v>
      </c>
      <c r="G129" s="1838"/>
      <c r="H129" s="1838"/>
      <c r="I129" s="1838"/>
      <c r="J129" s="1838"/>
      <c r="K129" s="1838"/>
      <c r="L129" s="1838"/>
      <c r="M129" s="1838"/>
      <c r="N129" s="1843" t="s">
        <v>40</v>
      </c>
      <c r="O129" s="1843"/>
      <c r="P129" s="1843"/>
      <c r="Q129" s="1848"/>
      <c r="R129" s="56"/>
      <c r="S129" s="56"/>
    </row>
    <row r="130" spans="1:19" hidden="1" x14ac:dyDescent="0.2">
      <c r="A130" s="264" t="str">
        <f t="shared" si="9"/>
        <v>OK</v>
      </c>
      <c r="B130" s="56"/>
      <c r="C130" s="1842" t="s">
        <v>239</v>
      </c>
      <c r="D130" s="1843"/>
      <c r="E130" s="1843"/>
      <c r="F130" s="1843"/>
      <c r="G130" s="1843"/>
      <c r="H130" s="1843"/>
      <c r="I130" s="1843"/>
      <c r="J130" s="1843"/>
      <c r="K130" s="1843"/>
      <c r="L130" s="1843"/>
      <c r="M130" s="1843"/>
      <c r="N130" s="1843"/>
      <c r="O130" s="1843"/>
      <c r="P130" s="1843"/>
      <c r="Q130" s="1848"/>
      <c r="R130" s="56"/>
      <c r="S130" s="56"/>
    </row>
    <row r="131" spans="1:19" hidden="1" x14ac:dyDescent="0.2">
      <c r="A131" s="264" t="str">
        <f t="shared" si="9"/>
        <v>OK</v>
      </c>
      <c r="B131" s="56"/>
      <c r="C131" s="1842" t="s">
        <v>240</v>
      </c>
      <c r="D131" s="1843"/>
      <c r="E131" s="1843"/>
      <c r="F131" s="1843"/>
      <c r="G131" s="1843"/>
      <c r="H131" s="1843"/>
      <c r="I131" s="1843"/>
      <c r="J131" s="1843"/>
      <c r="K131" s="1843"/>
      <c r="L131" s="1843"/>
      <c r="M131" s="1843"/>
      <c r="N131" s="1843"/>
      <c r="O131" s="1843"/>
      <c r="P131" s="1843"/>
      <c r="Q131" s="1848"/>
      <c r="R131" s="56"/>
      <c r="S131" s="56"/>
    </row>
    <row r="132" spans="1:19" ht="13.5" hidden="1" thickBot="1" x14ac:dyDescent="0.25">
      <c r="A132" s="264" t="str">
        <f t="shared" si="9"/>
        <v>OK</v>
      </c>
      <c r="B132" s="56"/>
      <c r="C132" s="1849" t="s">
        <v>241</v>
      </c>
      <c r="D132" s="1850"/>
      <c r="E132" s="1850"/>
      <c r="F132" s="1850"/>
      <c r="G132" s="1850"/>
      <c r="H132" s="1850"/>
      <c r="I132" s="1850"/>
      <c r="J132" s="1850"/>
      <c r="K132" s="1850"/>
      <c r="L132" s="1850"/>
      <c r="M132" s="1850"/>
      <c r="N132" s="1850"/>
      <c r="O132" s="1850"/>
      <c r="P132" s="1850"/>
      <c r="Q132" s="1851"/>
      <c r="R132" s="56"/>
      <c r="S132" s="56"/>
    </row>
    <row r="133" spans="1:19" ht="13.5" hidden="1" thickBot="1" x14ac:dyDescent="0.25">
      <c r="A133" s="264" t="str">
        <f t="shared" si="9"/>
        <v>OK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</row>
    <row r="134" spans="1:19" hidden="1" x14ac:dyDescent="0.2">
      <c r="A134" s="264" t="str">
        <f t="shared" si="9"/>
        <v>OK</v>
      </c>
      <c r="B134" s="56"/>
      <c r="C134" s="66" t="s">
        <v>125</v>
      </c>
      <c r="D134" s="1852" t="s">
        <v>126</v>
      </c>
      <c r="E134" s="1853"/>
      <c r="F134" s="1853"/>
      <c r="G134" s="1853"/>
      <c r="H134" s="1853"/>
      <c r="I134" s="1854"/>
      <c r="J134" s="1357" t="s">
        <v>127</v>
      </c>
      <c r="K134" s="1358"/>
      <c r="L134" s="1858"/>
      <c r="M134" s="1859" t="s">
        <v>131</v>
      </c>
      <c r="N134" s="1368" t="s">
        <v>128</v>
      </c>
      <c r="O134" s="1868"/>
      <c r="P134" s="1368" t="s">
        <v>118</v>
      </c>
      <c r="Q134" s="1370"/>
      <c r="R134" s="67"/>
      <c r="S134" s="56"/>
    </row>
    <row r="135" spans="1:19" hidden="1" x14ac:dyDescent="0.2">
      <c r="A135" s="264" t="str">
        <f t="shared" si="9"/>
        <v>OK</v>
      </c>
      <c r="B135" s="56"/>
      <c r="C135" s="68" t="s">
        <v>129</v>
      </c>
      <c r="D135" s="1855"/>
      <c r="E135" s="1856"/>
      <c r="F135" s="1856"/>
      <c r="G135" s="1856"/>
      <c r="H135" s="1856"/>
      <c r="I135" s="1857"/>
      <c r="J135" s="1866" t="s">
        <v>130</v>
      </c>
      <c r="K135" s="1321"/>
      <c r="L135" s="1867"/>
      <c r="M135" s="1860"/>
      <c r="N135" s="69" t="s">
        <v>330</v>
      </c>
      <c r="O135" s="70" t="s">
        <v>282</v>
      </c>
      <c r="P135" s="71" t="s">
        <v>101</v>
      </c>
      <c r="Q135" s="72" t="s">
        <v>102</v>
      </c>
      <c r="R135" s="67"/>
      <c r="S135" s="56"/>
    </row>
    <row r="136" spans="1:19" hidden="1" x14ac:dyDescent="0.2">
      <c r="A136" s="264" t="str">
        <f t="shared" si="9"/>
        <v>OK</v>
      </c>
      <c r="B136" s="56"/>
      <c r="C136" s="215"/>
      <c r="D136" s="1861" t="str">
        <f>MOD_3!$E136</f>
        <v>De transporte .....................................................................</v>
      </c>
      <c r="E136" s="1861"/>
      <c r="F136" s="1861"/>
      <c r="G136" s="1861"/>
      <c r="H136" s="1861"/>
      <c r="I136" s="1862"/>
      <c r="J136" s="1863">
        <f>MOD_3!$K136</f>
        <v>0</v>
      </c>
      <c r="K136" s="1864"/>
      <c r="L136" s="1865"/>
      <c r="M136" s="216">
        <f>MOD_3!$M136</f>
        <v>0</v>
      </c>
      <c r="N136" s="217">
        <f>MOD_3!$C136</f>
        <v>0</v>
      </c>
      <c r="O136" s="218">
        <f>MOD_3!$D136</f>
        <v>0</v>
      </c>
      <c r="P136" s="283">
        <f>MOD_3!$N136</f>
        <v>0</v>
      </c>
      <c r="Q136" s="284">
        <f>MOD_3!$Q136</f>
        <v>0</v>
      </c>
      <c r="R136" s="73"/>
      <c r="S136" s="56"/>
    </row>
    <row r="137" spans="1:19" hidden="1" x14ac:dyDescent="0.2">
      <c r="A137" s="264" t="str">
        <f t="shared" si="9"/>
        <v>OK</v>
      </c>
      <c r="B137" s="56" t="str">
        <f>IF(R137=0,B116,B116+1)</f>
        <v/>
      </c>
      <c r="C137" s="199" t="str">
        <f t="shared" ref="C137:C156" si="10">IF(D137="","",IF(B137=B136,"",B136+1))</f>
        <v/>
      </c>
      <c r="D137" s="1844" t="str">
        <f>IF(MOD_3!$E137="","",MOD_3!$E137)</f>
        <v/>
      </c>
      <c r="E137" s="1843"/>
      <c r="F137" s="1843"/>
      <c r="G137" s="1843"/>
      <c r="H137" s="1843"/>
      <c r="I137" s="1845"/>
      <c r="J137" s="1846" t="str">
        <f>IF(MOD_3!$K137="","",MOD_3!$K137)</f>
        <v/>
      </c>
      <c r="K137" s="1846"/>
      <c r="L137" s="1847"/>
      <c r="M137" s="194" t="str">
        <f>IF(MOD_3!$M137="","",MOD_3!$M137)</f>
        <v/>
      </c>
      <c r="N137" s="194" t="str">
        <f>IF(MOD_3!$C137="","",MOD_3!$C137)</f>
        <v/>
      </c>
      <c r="O137" s="200" t="str">
        <f>IF(MOD_3!$D137="","",MOD_3!$D137)</f>
        <v/>
      </c>
      <c r="P137" s="201" t="str">
        <f>IF(MOD_3!$N137="","",MOD_3!$N137)</f>
        <v/>
      </c>
      <c r="Q137" s="280" t="str">
        <f>IF(MOD_3!$Q137="","",MOD_3!$Q137)</f>
        <v/>
      </c>
      <c r="R137" s="73">
        <f>MOD_3!S137</f>
        <v>0</v>
      </c>
      <c r="S137" s="56"/>
    </row>
    <row r="138" spans="1:19" hidden="1" x14ac:dyDescent="0.2">
      <c r="A138" s="264" t="str">
        <f t="shared" si="9"/>
        <v>OK</v>
      </c>
      <c r="B138" s="56" t="str">
        <f t="shared" ref="B138:B156" si="11">IF(R137=0,B137,B137+1)</f>
        <v/>
      </c>
      <c r="C138" s="199" t="str">
        <f t="shared" si="10"/>
        <v/>
      </c>
      <c r="D138" s="1844" t="str">
        <f>IF(MOD_3!$E138="","",MOD_3!$E138)</f>
        <v/>
      </c>
      <c r="E138" s="1843"/>
      <c r="F138" s="1843"/>
      <c r="G138" s="1843"/>
      <c r="H138" s="1843"/>
      <c r="I138" s="1845"/>
      <c r="J138" s="1846" t="str">
        <f>IF(MOD_3!$K138="","",MOD_3!$K138)</f>
        <v/>
      </c>
      <c r="K138" s="1846"/>
      <c r="L138" s="1847"/>
      <c r="M138" s="194" t="str">
        <f>IF(MOD_3!$M138="","",MOD_3!$M138)</f>
        <v/>
      </c>
      <c r="N138" s="194" t="str">
        <f>IF(MOD_3!$C138="","",MOD_3!$C138)</f>
        <v/>
      </c>
      <c r="O138" s="200" t="str">
        <f>IF(MOD_3!$D138="","",MOD_3!$D138)</f>
        <v/>
      </c>
      <c r="P138" s="201" t="str">
        <f>IF(MOD_3!$N138="","",MOD_3!$N138)</f>
        <v/>
      </c>
      <c r="Q138" s="280" t="str">
        <f>IF(MOD_3!$Q138="","",MOD_3!$Q138)</f>
        <v/>
      </c>
      <c r="R138" s="73">
        <f>MOD_3!S138</f>
        <v>0</v>
      </c>
      <c r="S138" s="56"/>
    </row>
    <row r="139" spans="1:19" hidden="1" x14ac:dyDescent="0.2">
      <c r="A139" s="264" t="str">
        <f t="shared" si="9"/>
        <v>OK</v>
      </c>
      <c r="B139" s="56" t="str">
        <f t="shared" si="11"/>
        <v/>
      </c>
      <c r="C139" s="199" t="str">
        <f t="shared" si="10"/>
        <v/>
      </c>
      <c r="D139" s="1844" t="str">
        <f>IF(MOD_3!$E139="","",MOD_3!$E139)</f>
        <v/>
      </c>
      <c r="E139" s="1843"/>
      <c r="F139" s="1843"/>
      <c r="G139" s="1843"/>
      <c r="H139" s="1843"/>
      <c r="I139" s="1845"/>
      <c r="J139" s="1846" t="str">
        <f>IF(MOD_3!$K139="","",MOD_3!$K139)</f>
        <v/>
      </c>
      <c r="K139" s="1846"/>
      <c r="L139" s="1847"/>
      <c r="M139" s="194" t="str">
        <f>IF(MOD_3!$M139="","",MOD_3!$M139)</f>
        <v/>
      </c>
      <c r="N139" s="194" t="str">
        <f>IF(MOD_3!$C139="","",MOD_3!$C139)</f>
        <v/>
      </c>
      <c r="O139" s="200" t="str">
        <f>IF(MOD_3!$D139="","",MOD_3!$D139)</f>
        <v/>
      </c>
      <c r="P139" s="201" t="str">
        <f>IF(MOD_3!$N139="","",MOD_3!$N139)</f>
        <v/>
      </c>
      <c r="Q139" s="280" t="str">
        <f>IF(MOD_3!$Q139="","",MOD_3!$Q139)</f>
        <v/>
      </c>
      <c r="R139" s="73">
        <f>MOD_3!S139</f>
        <v>0</v>
      </c>
      <c r="S139" s="56"/>
    </row>
    <row r="140" spans="1:19" hidden="1" x14ac:dyDescent="0.2">
      <c r="A140" s="264" t="str">
        <f t="shared" si="9"/>
        <v>OK</v>
      </c>
      <c r="B140" s="56" t="str">
        <f t="shared" si="11"/>
        <v/>
      </c>
      <c r="C140" s="199" t="str">
        <f t="shared" si="10"/>
        <v/>
      </c>
      <c r="D140" s="1844" t="str">
        <f>IF(MOD_3!$E140="","",MOD_3!$E140)</f>
        <v/>
      </c>
      <c r="E140" s="1843"/>
      <c r="F140" s="1843"/>
      <c r="G140" s="1843"/>
      <c r="H140" s="1843"/>
      <c r="I140" s="1845"/>
      <c r="J140" s="1846" t="str">
        <f>IF(MOD_3!$K140="","",MOD_3!$K140)</f>
        <v/>
      </c>
      <c r="K140" s="1846"/>
      <c r="L140" s="1847"/>
      <c r="M140" s="194" t="str">
        <f>IF(MOD_3!$M140="","",MOD_3!$M140)</f>
        <v/>
      </c>
      <c r="N140" s="194" t="str">
        <f>IF(MOD_3!$C140="","",MOD_3!$C140)</f>
        <v/>
      </c>
      <c r="O140" s="200" t="str">
        <f>IF(MOD_3!$D140="","",MOD_3!$D140)</f>
        <v/>
      </c>
      <c r="P140" s="201" t="str">
        <f>IF(MOD_3!$N140="","",MOD_3!$N140)</f>
        <v/>
      </c>
      <c r="Q140" s="280" t="str">
        <f>IF(MOD_3!$Q140="","",MOD_3!$Q140)</f>
        <v/>
      </c>
      <c r="R140" s="73">
        <f>MOD_3!S140</f>
        <v>0</v>
      </c>
      <c r="S140" s="56"/>
    </row>
    <row r="141" spans="1:19" hidden="1" x14ac:dyDescent="0.2">
      <c r="A141" s="264" t="str">
        <f t="shared" si="9"/>
        <v>OK</v>
      </c>
      <c r="B141" s="56" t="str">
        <f t="shared" si="11"/>
        <v/>
      </c>
      <c r="C141" s="288" t="str">
        <f t="shared" si="10"/>
        <v/>
      </c>
      <c r="D141" s="1844" t="str">
        <f>IF(MOD_3!$E141="","",MOD_3!$E141)</f>
        <v/>
      </c>
      <c r="E141" s="1843"/>
      <c r="F141" s="1843"/>
      <c r="G141" s="1843"/>
      <c r="H141" s="1843"/>
      <c r="I141" s="1845"/>
      <c r="J141" s="1846" t="str">
        <f>IF(MOD_3!$K141="","",MOD_3!$K141)</f>
        <v/>
      </c>
      <c r="K141" s="1846"/>
      <c r="L141" s="1847"/>
      <c r="M141" s="194" t="str">
        <f>IF(MOD_3!$M141="","",MOD_3!$M141)</f>
        <v/>
      </c>
      <c r="N141" s="194" t="str">
        <f>IF(MOD_3!$C141="","",MOD_3!$C141)</f>
        <v/>
      </c>
      <c r="O141" s="200" t="str">
        <f>IF(MOD_3!$D141="","",MOD_3!$D141)</f>
        <v/>
      </c>
      <c r="P141" s="201" t="str">
        <f>IF(MOD_3!$N141="","",MOD_3!$N141)</f>
        <v/>
      </c>
      <c r="Q141" s="280" t="str">
        <f>IF(MOD_3!$Q141="","",MOD_3!$Q141)</f>
        <v/>
      </c>
      <c r="R141" s="73">
        <f>MOD_3!S141</f>
        <v>0</v>
      </c>
      <c r="S141" s="56"/>
    </row>
    <row r="142" spans="1:19" hidden="1" x14ac:dyDescent="0.2">
      <c r="A142" s="264" t="str">
        <f t="shared" si="9"/>
        <v>OK</v>
      </c>
      <c r="B142" s="56" t="str">
        <f t="shared" si="11"/>
        <v/>
      </c>
      <c r="C142" s="199" t="str">
        <f t="shared" si="10"/>
        <v/>
      </c>
      <c r="D142" s="1844" t="str">
        <f>IF(MOD_3!$E142="","",MOD_3!$E142)</f>
        <v/>
      </c>
      <c r="E142" s="1843"/>
      <c r="F142" s="1843"/>
      <c r="G142" s="1843"/>
      <c r="H142" s="1843"/>
      <c r="I142" s="1845"/>
      <c r="J142" s="1846" t="str">
        <f>IF(MOD_3!$K142="","",MOD_3!$K142)</f>
        <v/>
      </c>
      <c r="K142" s="1846"/>
      <c r="L142" s="1847"/>
      <c r="M142" s="194" t="str">
        <f>IF(MOD_3!$M142="","",MOD_3!$M142)</f>
        <v/>
      </c>
      <c r="N142" s="194" t="str">
        <f>IF(MOD_3!$C142="","",MOD_3!$C142)</f>
        <v/>
      </c>
      <c r="O142" s="200" t="str">
        <f>IF(MOD_3!$D142="","",MOD_3!$D142)</f>
        <v/>
      </c>
      <c r="P142" s="201" t="str">
        <f>IF(MOD_3!$N142="","",MOD_3!$N142)</f>
        <v/>
      </c>
      <c r="Q142" s="280" t="str">
        <f>IF(MOD_3!$Q142="","",MOD_3!$Q142)</f>
        <v/>
      </c>
      <c r="R142" s="73">
        <f>MOD_3!S142</f>
        <v>0</v>
      </c>
      <c r="S142" s="56"/>
    </row>
    <row r="143" spans="1:19" hidden="1" x14ac:dyDescent="0.2">
      <c r="A143" s="264" t="str">
        <f t="shared" si="9"/>
        <v>OK</v>
      </c>
      <c r="B143" s="56" t="str">
        <f t="shared" si="11"/>
        <v/>
      </c>
      <c r="C143" s="199" t="str">
        <f t="shared" si="10"/>
        <v/>
      </c>
      <c r="D143" s="1844" t="str">
        <f>IF(MOD_3!$E143="","",MOD_3!$E143)</f>
        <v/>
      </c>
      <c r="E143" s="1843"/>
      <c r="F143" s="1843"/>
      <c r="G143" s="1843"/>
      <c r="H143" s="1843"/>
      <c r="I143" s="1845"/>
      <c r="J143" s="1846" t="str">
        <f>IF(MOD_3!$K143="","",MOD_3!$K143)</f>
        <v/>
      </c>
      <c r="K143" s="1846"/>
      <c r="L143" s="1847"/>
      <c r="M143" s="194" t="str">
        <f>IF(MOD_3!$M143="","",MOD_3!$M143)</f>
        <v/>
      </c>
      <c r="N143" s="194" t="str">
        <f>IF(MOD_3!$C143="","",MOD_3!$C143)</f>
        <v/>
      </c>
      <c r="O143" s="200" t="str">
        <f>IF(MOD_3!$D143="","",MOD_3!$D143)</f>
        <v/>
      </c>
      <c r="P143" s="201" t="str">
        <f>IF(MOD_3!$N143="","",MOD_3!$N143)</f>
        <v/>
      </c>
      <c r="Q143" s="280" t="str">
        <f>IF(MOD_3!$Q143="","",MOD_3!$Q143)</f>
        <v/>
      </c>
      <c r="R143" s="73">
        <f>MOD_3!S143</f>
        <v>0</v>
      </c>
      <c r="S143" s="56"/>
    </row>
    <row r="144" spans="1:19" hidden="1" x14ac:dyDescent="0.2">
      <c r="A144" s="264" t="str">
        <f t="shared" si="9"/>
        <v>OK</v>
      </c>
      <c r="B144" s="56" t="str">
        <f t="shared" si="11"/>
        <v/>
      </c>
      <c r="C144" s="199" t="str">
        <f t="shared" si="10"/>
        <v/>
      </c>
      <c r="D144" s="1844" t="str">
        <f>IF(MOD_3!$E144="","",MOD_3!$E144)</f>
        <v/>
      </c>
      <c r="E144" s="1843"/>
      <c r="F144" s="1843"/>
      <c r="G144" s="1843"/>
      <c r="H144" s="1843"/>
      <c r="I144" s="1845"/>
      <c r="J144" s="1846" t="str">
        <f>IF(MOD_3!$K144="","",MOD_3!$K144)</f>
        <v/>
      </c>
      <c r="K144" s="1846"/>
      <c r="L144" s="1847"/>
      <c r="M144" s="194" t="str">
        <f>IF(MOD_3!$M144="","",MOD_3!$M144)</f>
        <v/>
      </c>
      <c r="N144" s="194" t="str">
        <f>IF(MOD_3!$C144="","",MOD_3!$C144)</f>
        <v/>
      </c>
      <c r="O144" s="200" t="str">
        <f>IF(MOD_3!$D144="","",MOD_3!$D144)</f>
        <v/>
      </c>
      <c r="P144" s="201" t="str">
        <f>IF(MOD_3!$N144="","",MOD_3!$N144)</f>
        <v/>
      </c>
      <c r="Q144" s="280" t="str">
        <f>IF(MOD_3!$Q144="","",MOD_3!$Q144)</f>
        <v/>
      </c>
      <c r="R144" s="73">
        <f>MOD_3!S144</f>
        <v>0</v>
      </c>
      <c r="S144" s="56"/>
    </row>
    <row r="145" spans="1:19" hidden="1" x14ac:dyDescent="0.2">
      <c r="A145" s="264" t="str">
        <f t="shared" si="9"/>
        <v>OK</v>
      </c>
      <c r="B145" s="56" t="str">
        <f t="shared" si="11"/>
        <v/>
      </c>
      <c r="C145" s="199" t="str">
        <f t="shared" si="10"/>
        <v/>
      </c>
      <c r="D145" s="1844" t="str">
        <f>IF(MOD_3!$E145="","",MOD_3!$E145)</f>
        <v/>
      </c>
      <c r="E145" s="1843"/>
      <c r="F145" s="1843"/>
      <c r="G145" s="1843"/>
      <c r="H145" s="1843"/>
      <c r="I145" s="1845"/>
      <c r="J145" s="1846" t="str">
        <f>IF(MOD_3!$K145="","",MOD_3!$K145)</f>
        <v/>
      </c>
      <c r="K145" s="1846"/>
      <c r="L145" s="1847"/>
      <c r="M145" s="194" t="str">
        <f>IF(MOD_3!$M145="","",MOD_3!$M145)</f>
        <v/>
      </c>
      <c r="N145" s="194" t="str">
        <f>IF(MOD_3!$C145="","",MOD_3!$C145)</f>
        <v/>
      </c>
      <c r="O145" s="200" t="str">
        <f>IF(MOD_3!$D145="","",MOD_3!$D145)</f>
        <v/>
      </c>
      <c r="P145" s="201" t="str">
        <f>IF(MOD_3!$N145="","",MOD_3!$N145)</f>
        <v/>
      </c>
      <c r="Q145" s="280" t="str">
        <f>IF(MOD_3!$Q145="","",MOD_3!$Q145)</f>
        <v/>
      </c>
      <c r="R145" s="73">
        <f>MOD_3!S145</f>
        <v>0</v>
      </c>
      <c r="S145" s="56"/>
    </row>
    <row r="146" spans="1:19" hidden="1" x14ac:dyDescent="0.2">
      <c r="A146" s="264" t="str">
        <f t="shared" si="9"/>
        <v>OK</v>
      </c>
      <c r="B146" s="56" t="str">
        <f t="shared" si="11"/>
        <v/>
      </c>
      <c r="C146" s="199" t="str">
        <f t="shared" si="10"/>
        <v/>
      </c>
      <c r="D146" s="1844" t="str">
        <f>IF(MOD_3!$E146="","",MOD_3!$E146)</f>
        <v/>
      </c>
      <c r="E146" s="1843"/>
      <c r="F146" s="1843"/>
      <c r="G146" s="1843"/>
      <c r="H146" s="1843"/>
      <c r="I146" s="1845"/>
      <c r="J146" s="1846" t="str">
        <f>IF(MOD_3!$K146="","",MOD_3!$K146)</f>
        <v/>
      </c>
      <c r="K146" s="1846"/>
      <c r="L146" s="1847"/>
      <c r="M146" s="194" t="str">
        <f>IF(MOD_3!$M146="","",MOD_3!$M146)</f>
        <v/>
      </c>
      <c r="N146" s="194" t="str">
        <f>IF(MOD_3!$C146="","",MOD_3!$C146)</f>
        <v/>
      </c>
      <c r="O146" s="200" t="str">
        <f>IF(MOD_3!$D146="","",MOD_3!$D146)</f>
        <v/>
      </c>
      <c r="P146" s="201" t="str">
        <f>IF(MOD_3!$N146="","",MOD_3!$N146)</f>
        <v/>
      </c>
      <c r="Q146" s="280" t="str">
        <f>IF(MOD_3!$Q146="","",MOD_3!$Q146)</f>
        <v/>
      </c>
      <c r="R146" s="73">
        <f>MOD_3!S146</f>
        <v>0</v>
      </c>
      <c r="S146" s="56"/>
    </row>
    <row r="147" spans="1:19" hidden="1" x14ac:dyDescent="0.2">
      <c r="A147" s="264" t="str">
        <f t="shared" si="9"/>
        <v>OK</v>
      </c>
      <c r="B147" s="56" t="str">
        <f t="shared" si="11"/>
        <v/>
      </c>
      <c r="C147" s="288" t="str">
        <f t="shared" si="10"/>
        <v/>
      </c>
      <c r="D147" s="1844" t="str">
        <f>IF(MOD_3!$E147="","",MOD_3!$E147)</f>
        <v/>
      </c>
      <c r="E147" s="1843"/>
      <c r="F147" s="1843"/>
      <c r="G147" s="1843"/>
      <c r="H147" s="1843"/>
      <c r="I147" s="1845"/>
      <c r="J147" s="1846" t="str">
        <f>IF(MOD_3!$K147="","",MOD_3!$K147)</f>
        <v/>
      </c>
      <c r="K147" s="1846"/>
      <c r="L147" s="1847"/>
      <c r="M147" s="194" t="str">
        <f>IF(MOD_3!$M147="","",MOD_3!$M147)</f>
        <v/>
      </c>
      <c r="N147" s="194" t="str">
        <f>IF(MOD_3!$C147="","",MOD_3!$C147)</f>
        <v/>
      </c>
      <c r="O147" s="200" t="str">
        <f>IF(MOD_3!$D147="","",MOD_3!$D147)</f>
        <v/>
      </c>
      <c r="P147" s="201" t="str">
        <f>IF(MOD_3!$N147="","",MOD_3!$N147)</f>
        <v/>
      </c>
      <c r="Q147" s="280" t="str">
        <f>IF(MOD_3!$Q147="","",MOD_3!$Q147)</f>
        <v/>
      </c>
      <c r="R147" s="73">
        <f>MOD_3!S147</f>
        <v>0</v>
      </c>
      <c r="S147" s="56"/>
    </row>
    <row r="148" spans="1:19" hidden="1" x14ac:dyDescent="0.2">
      <c r="A148" s="264" t="str">
        <f t="shared" si="9"/>
        <v>OK</v>
      </c>
      <c r="B148" s="56" t="str">
        <f t="shared" si="11"/>
        <v/>
      </c>
      <c r="C148" s="288" t="str">
        <f t="shared" si="10"/>
        <v/>
      </c>
      <c r="D148" s="1844" t="str">
        <f>IF(MOD_3!$E148="","",MOD_3!$E148)</f>
        <v/>
      </c>
      <c r="E148" s="1843"/>
      <c r="F148" s="1843"/>
      <c r="G148" s="1843"/>
      <c r="H148" s="1843"/>
      <c r="I148" s="1845"/>
      <c r="J148" s="1846" t="str">
        <f>IF(MOD_3!$K148="","",MOD_3!$K148)</f>
        <v/>
      </c>
      <c r="K148" s="1846"/>
      <c r="L148" s="1847"/>
      <c r="M148" s="194" t="str">
        <f>IF(MOD_3!$M148="","",MOD_3!$M148)</f>
        <v/>
      </c>
      <c r="N148" s="194" t="str">
        <f>IF(MOD_3!$C148="","",MOD_3!$C148)</f>
        <v/>
      </c>
      <c r="O148" s="200" t="str">
        <f>IF(MOD_3!$D148="","",MOD_3!$D148)</f>
        <v/>
      </c>
      <c r="P148" s="201" t="str">
        <f>IF(MOD_3!$N148="","",MOD_3!$N148)</f>
        <v/>
      </c>
      <c r="Q148" s="280" t="str">
        <f>IF(MOD_3!$Q148="","",MOD_3!$Q148)</f>
        <v/>
      </c>
      <c r="R148" s="73">
        <f>MOD_3!S148</f>
        <v>0</v>
      </c>
      <c r="S148" s="56"/>
    </row>
    <row r="149" spans="1:19" hidden="1" x14ac:dyDescent="0.2">
      <c r="A149" s="264" t="str">
        <f t="shared" si="9"/>
        <v>OK</v>
      </c>
      <c r="B149" s="56" t="str">
        <f t="shared" si="11"/>
        <v/>
      </c>
      <c r="C149" s="199" t="str">
        <f t="shared" si="10"/>
        <v/>
      </c>
      <c r="D149" s="1844" t="str">
        <f>IF(MOD_3!$E149="","",MOD_3!$E149)</f>
        <v/>
      </c>
      <c r="E149" s="1843"/>
      <c r="F149" s="1843"/>
      <c r="G149" s="1843"/>
      <c r="H149" s="1843"/>
      <c r="I149" s="1845"/>
      <c r="J149" s="1846" t="str">
        <f>IF(MOD_3!$K149="","",MOD_3!$K149)</f>
        <v/>
      </c>
      <c r="K149" s="1846"/>
      <c r="L149" s="1847"/>
      <c r="M149" s="194" t="str">
        <f>IF(MOD_3!$M149="","",MOD_3!$M149)</f>
        <v/>
      </c>
      <c r="N149" s="194" t="str">
        <f>IF(MOD_3!$C149="","",MOD_3!$C149)</f>
        <v/>
      </c>
      <c r="O149" s="200" t="str">
        <f>IF(MOD_3!$D149="","",MOD_3!$D149)</f>
        <v/>
      </c>
      <c r="P149" s="201" t="str">
        <f>IF(MOD_3!$N149="","",MOD_3!$N149)</f>
        <v/>
      </c>
      <c r="Q149" s="280" t="str">
        <f>IF(MOD_3!$Q149="","",MOD_3!$Q149)</f>
        <v/>
      </c>
      <c r="R149" s="73">
        <f>MOD_3!S149</f>
        <v>0</v>
      </c>
      <c r="S149" s="56"/>
    </row>
    <row r="150" spans="1:19" hidden="1" x14ac:dyDescent="0.2">
      <c r="A150" s="264" t="str">
        <f t="shared" si="9"/>
        <v>OK</v>
      </c>
      <c r="B150" s="56" t="str">
        <f t="shared" si="11"/>
        <v/>
      </c>
      <c r="C150" s="199" t="str">
        <f t="shared" si="10"/>
        <v/>
      </c>
      <c r="D150" s="1844" t="str">
        <f>IF(MOD_3!$E150="","",MOD_3!$E150)</f>
        <v/>
      </c>
      <c r="E150" s="1843"/>
      <c r="F150" s="1843"/>
      <c r="G150" s="1843"/>
      <c r="H150" s="1843"/>
      <c r="I150" s="1845"/>
      <c r="J150" s="1846" t="str">
        <f>IF(MOD_3!$K150="","",MOD_3!$K150)</f>
        <v/>
      </c>
      <c r="K150" s="1846"/>
      <c r="L150" s="1847"/>
      <c r="M150" s="194" t="str">
        <f>IF(MOD_3!$M150="","",MOD_3!$M150)</f>
        <v/>
      </c>
      <c r="N150" s="194" t="str">
        <f>IF(MOD_3!$C150="","",MOD_3!$C150)</f>
        <v/>
      </c>
      <c r="O150" s="200" t="str">
        <f>IF(MOD_3!$D150="","",MOD_3!$D150)</f>
        <v/>
      </c>
      <c r="P150" s="201" t="str">
        <f>IF(MOD_3!$N150="","",MOD_3!$N150)</f>
        <v/>
      </c>
      <c r="Q150" s="280" t="str">
        <f>IF(MOD_3!$Q150="","",MOD_3!$Q150)</f>
        <v/>
      </c>
      <c r="R150" s="73">
        <f>MOD_3!S150</f>
        <v>0</v>
      </c>
      <c r="S150" s="56"/>
    </row>
    <row r="151" spans="1:19" hidden="1" x14ac:dyDescent="0.2">
      <c r="A151" s="264" t="str">
        <f t="shared" si="9"/>
        <v>OK</v>
      </c>
      <c r="B151" s="56" t="str">
        <f t="shared" si="11"/>
        <v/>
      </c>
      <c r="C151" s="199" t="str">
        <f t="shared" si="10"/>
        <v/>
      </c>
      <c r="D151" s="1844" t="str">
        <f>IF(MOD_3!$E151="","",MOD_3!$E151)</f>
        <v/>
      </c>
      <c r="E151" s="1843"/>
      <c r="F151" s="1843"/>
      <c r="G151" s="1843"/>
      <c r="H151" s="1843"/>
      <c r="I151" s="1845"/>
      <c r="J151" s="1846" t="str">
        <f>IF(MOD_3!$K151="","",MOD_3!$K151)</f>
        <v/>
      </c>
      <c r="K151" s="1846"/>
      <c r="L151" s="1847"/>
      <c r="M151" s="194" t="str">
        <f>IF(MOD_3!$M151="","",MOD_3!$M151)</f>
        <v/>
      </c>
      <c r="N151" s="194" t="str">
        <f>IF(MOD_3!$C151="","",MOD_3!$C151)</f>
        <v/>
      </c>
      <c r="O151" s="200" t="str">
        <f>IF(MOD_3!$D151="","",MOD_3!$D151)</f>
        <v/>
      </c>
      <c r="P151" s="201" t="str">
        <f>IF(MOD_3!$N151="","",MOD_3!$N151)</f>
        <v/>
      </c>
      <c r="Q151" s="280" t="str">
        <f>IF(MOD_3!$Q151="","",MOD_3!$Q151)</f>
        <v/>
      </c>
      <c r="R151" s="73">
        <f>MOD_3!S151</f>
        <v>0</v>
      </c>
      <c r="S151" s="56"/>
    </row>
    <row r="152" spans="1:19" hidden="1" x14ac:dyDescent="0.2">
      <c r="A152" s="264" t="str">
        <f t="shared" si="9"/>
        <v>OK</v>
      </c>
      <c r="B152" s="56" t="str">
        <f t="shared" si="11"/>
        <v/>
      </c>
      <c r="C152" s="199" t="str">
        <f t="shared" si="10"/>
        <v/>
      </c>
      <c r="D152" s="1844" t="str">
        <f>IF(MOD_3!$E152="","",MOD_3!$E152)</f>
        <v/>
      </c>
      <c r="E152" s="1843"/>
      <c r="F152" s="1843"/>
      <c r="G152" s="1843"/>
      <c r="H152" s="1843"/>
      <c r="I152" s="1845"/>
      <c r="J152" s="1846" t="str">
        <f>IF(MOD_3!$K152="","",MOD_3!$K152)</f>
        <v/>
      </c>
      <c r="K152" s="1846"/>
      <c r="L152" s="1847"/>
      <c r="M152" s="194" t="str">
        <f>IF(MOD_3!$M152="","",MOD_3!$M152)</f>
        <v/>
      </c>
      <c r="N152" s="194" t="str">
        <f>IF(MOD_3!$C152="","",MOD_3!$C152)</f>
        <v/>
      </c>
      <c r="O152" s="200" t="str">
        <f>IF(MOD_3!$D152="","",MOD_3!$D152)</f>
        <v/>
      </c>
      <c r="P152" s="201" t="str">
        <f>IF(MOD_3!$N152="","",MOD_3!$N152)</f>
        <v/>
      </c>
      <c r="Q152" s="280" t="str">
        <f>IF(MOD_3!$Q152="","",MOD_3!$Q152)</f>
        <v/>
      </c>
      <c r="R152" s="73">
        <f>MOD_3!S152</f>
        <v>0</v>
      </c>
      <c r="S152" s="56"/>
    </row>
    <row r="153" spans="1:19" hidden="1" x14ac:dyDescent="0.2">
      <c r="A153" s="264" t="str">
        <f t="shared" si="9"/>
        <v>OK</v>
      </c>
      <c r="B153" s="56" t="str">
        <f t="shared" si="11"/>
        <v/>
      </c>
      <c r="C153" s="199" t="str">
        <f t="shared" si="10"/>
        <v/>
      </c>
      <c r="D153" s="1844" t="str">
        <f>IF(MOD_3!$E153="","",MOD_3!$E153)</f>
        <v/>
      </c>
      <c r="E153" s="1843"/>
      <c r="F153" s="1843"/>
      <c r="G153" s="1843"/>
      <c r="H153" s="1843"/>
      <c r="I153" s="1845"/>
      <c r="J153" s="1846" t="str">
        <f>IF(MOD_3!$K153="","",MOD_3!$K153)</f>
        <v/>
      </c>
      <c r="K153" s="1846"/>
      <c r="L153" s="1847"/>
      <c r="M153" s="194" t="str">
        <f>IF(MOD_3!$M153="","",MOD_3!$M153)</f>
        <v/>
      </c>
      <c r="N153" s="194" t="str">
        <f>IF(MOD_3!$C153="","",MOD_3!$C153)</f>
        <v/>
      </c>
      <c r="O153" s="200" t="str">
        <f>IF(MOD_3!$D153="","",MOD_3!$D153)</f>
        <v/>
      </c>
      <c r="P153" s="201" t="str">
        <f>IF(MOD_3!$N153="","",MOD_3!$N153)</f>
        <v/>
      </c>
      <c r="Q153" s="280" t="str">
        <f>IF(MOD_3!$Q153="","",MOD_3!$Q153)</f>
        <v/>
      </c>
      <c r="R153" s="73">
        <f>MOD_3!S153</f>
        <v>0</v>
      </c>
      <c r="S153" s="56"/>
    </row>
    <row r="154" spans="1:19" hidden="1" x14ac:dyDescent="0.2">
      <c r="A154" s="264" t="str">
        <f t="shared" si="9"/>
        <v>OK</v>
      </c>
      <c r="B154" s="56" t="str">
        <f t="shared" si="11"/>
        <v/>
      </c>
      <c r="C154" s="199" t="str">
        <f t="shared" si="10"/>
        <v/>
      </c>
      <c r="D154" s="1844" t="str">
        <f>IF(MOD_3!$E154="","",MOD_3!$E154)</f>
        <v/>
      </c>
      <c r="E154" s="1843"/>
      <c r="F154" s="1843"/>
      <c r="G154" s="1843"/>
      <c r="H154" s="1843"/>
      <c r="I154" s="1845"/>
      <c r="J154" s="1846" t="str">
        <f>IF(MOD_3!$K154="","",MOD_3!$K154)</f>
        <v/>
      </c>
      <c r="K154" s="1846"/>
      <c r="L154" s="1847"/>
      <c r="M154" s="194" t="str">
        <f>IF(MOD_3!$M154="","",MOD_3!$M154)</f>
        <v/>
      </c>
      <c r="N154" s="194" t="str">
        <f>IF(MOD_3!$C154="","",MOD_3!$C154)</f>
        <v/>
      </c>
      <c r="O154" s="200" t="str">
        <f>IF(MOD_3!$D154="","",MOD_3!$D154)</f>
        <v/>
      </c>
      <c r="P154" s="201" t="str">
        <f>IF(MOD_3!$N154="","",MOD_3!$N154)</f>
        <v/>
      </c>
      <c r="Q154" s="280" t="str">
        <f>IF(MOD_3!$Q154="","",MOD_3!$Q154)</f>
        <v/>
      </c>
      <c r="R154" s="73">
        <f>MOD_3!S154</f>
        <v>0</v>
      </c>
      <c r="S154" s="56"/>
    </row>
    <row r="155" spans="1:19" hidden="1" x14ac:dyDescent="0.2">
      <c r="A155" s="264" t="str">
        <f t="shared" si="9"/>
        <v>OK</v>
      </c>
      <c r="B155" s="56" t="str">
        <f t="shared" si="11"/>
        <v/>
      </c>
      <c r="C155" s="199" t="str">
        <f t="shared" si="10"/>
        <v/>
      </c>
      <c r="D155" s="1844" t="str">
        <f>IF(MOD_3!$E155="","",MOD_3!$E155)</f>
        <v/>
      </c>
      <c r="E155" s="1843"/>
      <c r="F155" s="1843"/>
      <c r="G155" s="1843"/>
      <c r="H155" s="1843"/>
      <c r="I155" s="1845"/>
      <c r="J155" s="1846" t="str">
        <f>IF(MOD_3!$K155="","",MOD_3!$K155)</f>
        <v/>
      </c>
      <c r="K155" s="1846"/>
      <c r="L155" s="1847"/>
      <c r="M155" s="194" t="str">
        <f>IF(MOD_3!$M155="","",MOD_3!$M155)</f>
        <v/>
      </c>
      <c r="N155" s="194" t="str">
        <f>IF(MOD_3!$C155="","",MOD_3!$C155)</f>
        <v/>
      </c>
      <c r="O155" s="200" t="str">
        <f>IF(MOD_3!$D155="","",MOD_3!$D155)</f>
        <v/>
      </c>
      <c r="P155" s="201" t="str">
        <f>IF(MOD_3!$N155="","",MOD_3!$N155)</f>
        <v/>
      </c>
      <c r="Q155" s="280" t="str">
        <f>IF(MOD_3!$Q155="","",MOD_3!$Q155)</f>
        <v/>
      </c>
      <c r="R155" s="73">
        <f>MOD_3!S155</f>
        <v>0</v>
      </c>
      <c r="S155" s="56"/>
    </row>
    <row r="156" spans="1:19" ht="13.5" hidden="1" thickBot="1" x14ac:dyDescent="0.25">
      <c r="A156" s="264" t="str">
        <f t="shared" si="9"/>
        <v>OK</v>
      </c>
      <c r="B156" s="56" t="str">
        <f t="shared" si="11"/>
        <v/>
      </c>
      <c r="C156" s="273" t="str">
        <f t="shared" si="10"/>
        <v/>
      </c>
      <c r="D156" s="1871" t="str">
        <f>IF(MOD_3!$E156="","",MOD_3!$E156)</f>
        <v/>
      </c>
      <c r="E156" s="1850"/>
      <c r="F156" s="1850"/>
      <c r="G156" s="1850"/>
      <c r="H156" s="1850"/>
      <c r="I156" s="1872"/>
      <c r="J156" s="1361" t="str">
        <f>IF(MOD_3!$K156="","",MOD_3!$K156)</f>
        <v/>
      </c>
      <c r="K156" s="1361"/>
      <c r="L156" s="1873"/>
      <c r="M156" s="195" t="str">
        <f>IF(MOD_3!$M156="","",MOD_3!$M156)</f>
        <v/>
      </c>
      <c r="N156" s="195" t="str">
        <f>IF(MOD_3!$C156="","",MOD_3!$C156)</f>
        <v/>
      </c>
      <c r="O156" s="196" t="str">
        <f>IF(MOD_3!$D156="","",MOD_3!$D156)</f>
        <v/>
      </c>
      <c r="P156" s="197" t="str">
        <f>IF(MOD_3!$N156="","",MOD_3!$N156)</f>
        <v/>
      </c>
      <c r="Q156" s="281" t="str">
        <f>IF(MOD_3!$Q156="","",MOD_3!$Q156)</f>
        <v/>
      </c>
      <c r="R156" s="73">
        <f>MOD_3!S156</f>
        <v>0</v>
      </c>
      <c r="S156" s="56"/>
    </row>
    <row r="157" spans="1:19" ht="13.5" hidden="1" thickBot="1" x14ac:dyDescent="0.25">
      <c r="A157" s="264" t="str">
        <f t="shared" si="9"/>
        <v>OK</v>
      </c>
      <c r="B157" s="56"/>
      <c r="C157" s="1869" t="str">
        <f>MOD_3!$B157</f>
        <v>Transportar.......................................................................</v>
      </c>
      <c r="D157" s="1387"/>
      <c r="E157" s="1387"/>
      <c r="F157" s="1387"/>
      <c r="G157" s="1387"/>
      <c r="H157" s="1387"/>
      <c r="I157" s="1387"/>
      <c r="J157" s="1387"/>
      <c r="K157" s="1387"/>
      <c r="L157" s="1387"/>
      <c r="M157" s="1387"/>
      <c r="N157" s="1387"/>
      <c r="O157" s="202" t="s">
        <v>102</v>
      </c>
      <c r="P157" s="285">
        <f>SUM(P136:P156)</f>
        <v>0</v>
      </c>
      <c r="Q157" s="282">
        <f>SUM(Q136:Q156)</f>
        <v>0</v>
      </c>
      <c r="R157" s="73">
        <f>SUM(R137:R156)</f>
        <v>0</v>
      </c>
      <c r="S157" s="56"/>
    </row>
    <row r="158" spans="1:19" hidden="1" x14ac:dyDescent="0.2">
      <c r="A158" s="264" t="str">
        <f t="shared" si="9"/>
        <v>OK</v>
      </c>
      <c r="B158" s="56"/>
      <c r="C158" s="58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60"/>
      <c r="R158" s="56"/>
      <c r="S158" s="56"/>
    </row>
    <row r="159" spans="1:19" hidden="1" x14ac:dyDescent="0.2">
      <c r="A159" s="264" t="str">
        <f t="shared" si="9"/>
        <v>OK</v>
      </c>
      <c r="B159" s="56"/>
      <c r="C159" s="61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5"/>
      <c r="R159" s="56"/>
      <c r="S159" s="56"/>
    </row>
    <row r="160" spans="1:19" hidden="1" x14ac:dyDescent="0.2">
      <c r="A160" s="264" t="str">
        <f t="shared" si="9"/>
        <v>OK</v>
      </c>
      <c r="B160" s="56"/>
      <c r="C160" s="75" t="s">
        <v>85</v>
      </c>
      <c r="D160" s="156" t="str">
        <f>Dados!$G$128</f>
        <v/>
      </c>
      <c r="E160" s="62"/>
      <c r="F160" s="1336" t="str">
        <f>Dados!$E$109</f>
        <v/>
      </c>
      <c r="G160" s="1336"/>
      <c r="H160" s="1336"/>
      <c r="I160" s="1336"/>
      <c r="J160" s="1336"/>
      <c r="K160" s="1336"/>
      <c r="L160" s="62"/>
      <c r="M160" s="1336"/>
      <c r="N160" s="1336"/>
      <c r="O160" s="1336"/>
      <c r="P160" s="1336"/>
      <c r="Q160" s="76"/>
      <c r="R160" s="56"/>
      <c r="S160" s="56"/>
    </row>
    <row r="161" spans="1:19" ht="13.5" hidden="1" thickBot="1" x14ac:dyDescent="0.25">
      <c r="A161" s="264" t="str">
        <f t="shared" si="9"/>
        <v>OK</v>
      </c>
      <c r="B161" s="56"/>
      <c r="C161" s="78" t="s">
        <v>132</v>
      </c>
      <c r="D161" s="79"/>
      <c r="E161" s="79"/>
      <c r="F161" s="1874" t="s">
        <v>285</v>
      </c>
      <c r="G161" s="1874"/>
      <c r="H161" s="1874"/>
      <c r="I161" s="1874"/>
      <c r="J161" s="1874"/>
      <c r="K161" s="1874"/>
      <c r="L161" s="79"/>
      <c r="M161" s="1874" t="s">
        <v>151</v>
      </c>
      <c r="N161" s="1874"/>
      <c r="O161" s="1874"/>
      <c r="P161" s="1874"/>
      <c r="Q161" s="80"/>
      <c r="R161" s="56"/>
      <c r="S161" s="56"/>
    </row>
    <row r="162" spans="1:19" hidden="1" x14ac:dyDescent="0.2">
      <c r="A162" s="264" t="str">
        <f t="shared" ref="A162:A204" si="12">IF($R$157&lt;=18,"OK","")</f>
        <v>OK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</row>
    <row r="163" spans="1:19" hidden="1" x14ac:dyDescent="0.2">
      <c r="A163" s="264" t="str">
        <f t="shared" si="12"/>
        <v>OK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</row>
    <row r="164" spans="1:19" hidden="1" x14ac:dyDescent="0.2">
      <c r="A164" s="264" t="str">
        <f t="shared" si="12"/>
        <v>OK</v>
      </c>
      <c r="B164" s="56"/>
      <c r="C164" s="1836" t="s">
        <v>122</v>
      </c>
      <c r="D164" s="1836"/>
      <c r="E164" s="1836"/>
      <c r="F164" s="1836"/>
      <c r="G164" s="1836"/>
      <c r="H164" s="1836"/>
      <c r="I164" s="1836"/>
      <c r="J164" s="1836"/>
      <c r="K164" s="1836"/>
      <c r="L164" s="1836"/>
      <c r="M164" s="1836"/>
      <c r="N164" s="1836"/>
      <c r="O164" s="1836"/>
      <c r="P164" s="1836"/>
      <c r="Q164" s="1836"/>
      <c r="R164" s="56"/>
      <c r="S164" s="56"/>
    </row>
    <row r="165" spans="1:19" ht="18.75" hidden="1" thickBot="1" x14ac:dyDescent="0.3">
      <c r="A165" s="264" t="str">
        <f t="shared" si="12"/>
        <v>OK</v>
      </c>
      <c r="B165" s="56"/>
      <c r="C165" s="1837" t="s">
        <v>123</v>
      </c>
      <c r="D165" s="1837"/>
      <c r="E165" s="1837"/>
      <c r="F165" s="1837"/>
      <c r="G165" s="1837"/>
      <c r="H165" s="1837"/>
      <c r="I165" s="1837"/>
      <c r="J165" s="1837"/>
      <c r="K165" s="1837"/>
      <c r="L165" s="1837"/>
      <c r="M165" s="1837"/>
      <c r="N165" s="1837"/>
      <c r="O165" s="1837"/>
      <c r="P165" s="1837"/>
      <c r="Q165" s="1837"/>
      <c r="R165" s="56"/>
      <c r="S165" s="56"/>
    </row>
    <row r="166" spans="1:19" hidden="1" x14ac:dyDescent="0.2">
      <c r="A166" s="264" t="str">
        <f t="shared" si="12"/>
        <v>OK</v>
      </c>
      <c r="B166" s="56"/>
      <c r="C166" s="58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60"/>
      <c r="R166" s="56"/>
      <c r="S166" s="56"/>
    </row>
    <row r="167" spans="1:19" hidden="1" x14ac:dyDescent="0.2">
      <c r="A167" s="264" t="str">
        <f t="shared" si="12"/>
        <v>OK</v>
      </c>
      <c r="B167" s="56"/>
      <c r="C167" s="61" t="s">
        <v>124</v>
      </c>
      <c r="D167" s="62"/>
      <c r="E167" s="62"/>
      <c r="F167" s="62"/>
      <c r="G167" s="62"/>
      <c r="H167" s="62"/>
      <c r="I167" s="62"/>
      <c r="J167" s="1838" t="str">
        <f>Dados!$E$69</f>
        <v/>
      </c>
      <c r="K167" s="1838"/>
      <c r="L167" s="1838"/>
      <c r="M167" s="1838"/>
      <c r="N167" s="1838"/>
      <c r="O167" s="1838"/>
      <c r="P167" s="1838"/>
      <c r="Q167" s="1839"/>
      <c r="R167" s="56"/>
      <c r="S167" s="56"/>
    </row>
    <row r="168" spans="1:19" hidden="1" x14ac:dyDescent="0.2">
      <c r="A168" s="264" t="str">
        <f t="shared" si="12"/>
        <v>OK</v>
      </c>
      <c r="B168" s="56"/>
      <c r="C168" s="63"/>
      <c r="D168" s="64"/>
      <c r="E168" s="62"/>
      <c r="F168" s="62"/>
      <c r="G168" s="62"/>
      <c r="H168" s="62"/>
      <c r="I168" s="62"/>
      <c r="J168" s="1840" t="s">
        <v>196</v>
      </c>
      <c r="K168" s="1840"/>
      <c r="L168" s="1840"/>
      <c r="M168" s="1840"/>
      <c r="N168" s="1840"/>
      <c r="O168" s="1840"/>
      <c r="P168" s="1840"/>
      <c r="Q168" s="1841"/>
      <c r="R168" s="56"/>
      <c r="S168" s="56"/>
    </row>
    <row r="169" spans="1:19" hidden="1" x14ac:dyDescent="0.2">
      <c r="A169" s="264" t="str">
        <f t="shared" si="12"/>
        <v>OK</v>
      </c>
      <c r="B169" s="56"/>
      <c r="C169" s="1842" t="s">
        <v>133</v>
      </c>
      <c r="D169" s="1843"/>
      <c r="E169" s="1843"/>
      <c r="F169" s="1838">
        <f>$J$7</f>
        <v>0</v>
      </c>
      <c r="G169" s="1838"/>
      <c r="H169" s="1838"/>
      <c r="I169" s="1838"/>
      <c r="J169" s="1838"/>
      <c r="K169" s="1838"/>
      <c r="L169" s="1838"/>
      <c r="M169" s="1838"/>
      <c r="N169" s="1843" t="s">
        <v>40</v>
      </c>
      <c r="O169" s="1843"/>
      <c r="P169" s="1843"/>
      <c r="Q169" s="1848"/>
      <c r="R169" s="56"/>
      <c r="S169" s="56"/>
    </row>
    <row r="170" spans="1:19" hidden="1" x14ac:dyDescent="0.2">
      <c r="A170" s="264" t="str">
        <f t="shared" si="12"/>
        <v>OK</v>
      </c>
      <c r="B170" s="56"/>
      <c r="C170" s="1842" t="s">
        <v>239</v>
      </c>
      <c r="D170" s="1843"/>
      <c r="E170" s="1843"/>
      <c r="F170" s="1843"/>
      <c r="G170" s="1843"/>
      <c r="H170" s="1843"/>
      <c r="I170" s="1843"/>
      <c r="J170" s="1843"/>
      <c r="K170" s="1843"/>
      <c r="L170" s="1843"/>
      <c r="M170" s="1843"/>
      <c r="N170" s="1843"/>
      <c r="O170" s="1843"/>
      <c r="P170" s="1843"/>
      <c r="Q170" s="1848"/>
      <c r="R170" s="56"/>
      <c r="S170" s="56"/>
    </row>
    <row r="171" spans="1:19" hidden="1" x14ac:dyDescent="0.2">
      <c r="A171" s="264" t="str">
        <f t="shared" si="12"/>
        <v>OK</v>
      </c>
      <c r="B171" s="56"/>
      <c r="C171" s="1842" t="s">
        <v>240</v>
      </c>
      <c r="D171" s="1843"/>
      <c r="E171" s="1843"/>
      <c r="F171" s="1843"/>
      <c r="G171" s="1843"/>
      <c r="H171" s="1843"/>
      <c r="I171" s="1843"/>
      <c r="J171" s="1843"/>
      <c r="K171" s="1843"/>
      <c r="L171" s="1843"/>
      <c r="M171" s="1843"/>
      <c r="N171" s="1843"/>
      <c r="O171" s="1843"/>
      <c r="P171" s="1843"/>
      <c r="Q171" s="1848"/>
      <c r="R171" s="56"/>
      <c r="S171" s="56"/>
    </row>
    <row r="172" spans="1:19" ht="13.5" hidden="1" thickBot="1" x14ac:dyDescent="0.25">
      <c r="A172" s="264" t="str">
        <f t="shared" si="12"/>
        <v>OK</v>
      </c>
      <c r="B172" s="56"/>
      <c r="C172" s="1849" t="s">
        <v>241</v>
      </c>
      <c r="D172" s="1850"/>
      <c r="E172" s="1850"/>
      <c r="F172" s="1850"/>
      <c r="G172" s="1850"/>
      <c r="H172" s="1850"/>
      <c r="I172" s="1850"/>
      <c r="J172" s="1850"/>
      <c r="K172" s="1850"/>
      <c r="L172" s="1850"/>
      <c r="M172" s="1850"/>
      <c r="N172" s="1850"/>
      <c r="O172" s="1850"/>
      <c r="P172" s="1850"/>
      <c r="Q172" s="1851"/>
      <c r="R172" s="56"/>
      <c r="S172" s="56"/>
    </row>
    <row r="173" spans="1:19" ht="13.5" hidden="1" thickBot="1" x14ac:dyDescent="0.25">
      <c r="A173" s="264" t="str">
        <f t="shared" si="12"/>
        <v>OK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</row>
    <row r="174" spans="1:19" hidden="1" x14ac:dyDescent="0.2">
      <c r="A174" s="264" t="str">
        <f t="shared" si="12"/>
        <v>OK</v>
      </c>
      <c r="B174" s="56"/>
      <c r="C174" s="66" t="s">
        <v>125</v>
      </c>
      <c r="D174" s="1852" t="s">
        <v>126</v>
      </c>
      <c r="E174" s="1853"/>
      <c r="F174" s="1853"/>
      <c r="G174" s="1853"/>
      <c r="H174" s="1853"/>
      <c r="I174" s="1854"/>
      <c r="J174" s="1357" t="s">
        <v>127</v>
      </c>
      <c r="K174" s="1358"/>
      <c r="L174" s="1858"/>
      <c r="M174" s="1859" t="s">
        <v>131</v>
      </c>
      <c r="N174" s="1368" t="s">
        <v>128</v>
      </c>
      <c r="O174" s="1868"/>
      <c r="P174" s="1368" t="s">
        <v>118</v>
      </c>
      <c r="Q174" s="1370"/>
      <c r="R174" s="56"/>
      <c r="S174" s="56"/>
    </row>
    <row r="175" spans="1:19" hidden="1" x14ac:dyDescent="0.2">
      <c r="A175" s="264" t="str">
        <f t="shared" si="12"/>
        <v>OK</v>
      </c>
      <c r="B175" s="56"/>
      <c r="C175" s="68" t="s">
        <v>129</v>
      </c>
      <c r="D175" s="1855"/>
      <c r="E175" s="1856"/>
      <c r="F175" s="1856"/>
      <c r="G175" s="1856"/>
      <c r="H175" s="1856"/>
      <c r="I175" s="1857"/>
      <c r="J175" s="1866" t="s">
        <v>130</v>
      </c>
      <c r="K175" s="1321"/>
      <c r="L175" s="1867"/>
      <c r="M175" s="1860"/>
      <c r="N175" s="69" t="s">
        <v>330</v>
      </c>
      <c r="O175" s="70" t="s">
        <v>282</v>
      </c>
      <c r="P175" s="71" t="s">
        <v>101</v>
      </c>
      <c r="Q175" s="72" t="s">
        <v>102</v>
      </c>
      <c r="R175" s="56"/>
      <c r="S175" s="56"/>
    </row>
    <row r="176" spans="1:19" hidden="1" x14ac:dyDescent="0.2">
      <c r="A176" s="264" t="str">
        <f t="shared" si="12"/>
        <v>OK</v>
      </c>
      <c r="B176" s="56"/>
      <c r="C176" s="215"/>
      <c r="D176" s="1861" t="str">
        <f>MOD_3!$E176</f>
        <v>De transporte .....................................................................</v>
      </c>
      <c r="E176" s="1861"/>
      <c r="F176" s="1861"/>
      <c r="G176" s="1861"/>
      <c r="H176" s="1861"/>
      <c r="I176" s="1862"/>
      <c r="J176" s="1863">
        <f>MOD_3!$K176</f>
        <v>0</v>
      </c>
      <c r="K176" s="1864"/>
      <c r="L176" s="1865"/>
      <c r="M176" s="216">
        <f>MOD_3!$M176</f>
        <v>0</v>
      </c>
      <c r="N176" s="217">
        <f>MOD_3!$C176</f>
        <v>0</v>
      </c>
      <c r="O176" s="218">
        <f>MOD_3!$D176</f>
        <v>0</v>
      </c>
      <c r="P176" s="283">
        <f>MOD_3!$N176</f>
        <v>0</v>
      </c>
      <c r="Q176" s="284">
        <f>MOD_3!$Q176</f>
        <v>0</v>
      </c>
      <c r="R176" s="56"/>
      <c r="S176" s="56"/>
    </row>
    <row r="177" spans="1:19" hidden="1" x14ac:dyDescent="0.2">
      <c r="A177" s="264" t="str">
        <f t="shared" si="12"/>
        <v>OK</v>
      </c>
      <c r="B177" s="56" t="str">
        <f>IF(R177=0,B156,B156+1)</f>
        <v/>
      </c>
      <c r="C177" s="199" t="str">
        <f t="shared" ref="C177:C196" si="13">IF(D177="","",IF(B177=B176,"",B176+1))</f>
        <v/>
      </c>
      <c r="D177" s="1844" t="str">
        <f>IF(MOD_3!$E177="","",MOD_3!$E177)</f>
        <v/>
      </c>
      <c r="E177" s="1843"/>
      <c r="F177" s="1843"/>
      <c r="G177" s="1843"/>
      <c r="H177" s="1843"/>
      <c r="I177" s="1845"/>
      <c r="J177" s="1846" t="str">
        <f>IF(MOD_3!$K177="","",MOD_3!$K177)</f>
        <v/>
      </c>
      <c r="K177" s="1846"/>
      <c r="L177" s="1847"/>
      <c r="M177" s="194" t="str">
        <f>IF(MOD_3!$M177="","",MOD_3!$M177)</f>
        <v/>
      </c>
      <c r="N177" s="194" t="str">
        <f>IF(MOD_3!$C177="","",MOD_3!$C177)</f>
        <v/>
      </c>
      <c r="O177" s="200" t="str">
        <f>IF(MOD_3!$D177="","",MOD_3!$D177)</f>
        <v/>
      </c>
      <c r="P177" s="201" t="str">
        <f>IF(MOD_3!$N177="","",MOD_3!$N177)</f>
        <v/>
      </c>
      <c r="Q177" s="280" t="str">
        <f>IF(MOD_3!$Q177="","",MOD_3!$Q177)</f>
        <v/>
      </c>
      <c r="R177" s="73">
        <f>MOD_3!S177</f>
        <v>0</v>
      </c>
      <c r="S177" s="56"/>
    </row>
    <row r="178" spans="1:19" hidden="1" x14ac:dyDescent="0.2">
      <c r="A178" s="264" t="str">
        <f t="shared" si="12"/>
        <v>OK</v>
      </c>
      <c r="B178" s="56" t="str">
        <f t="shared" ref="B178:B196" si="14">IF(R177=0,B177,B177+1)</f>
        <v/>
      </c>
      <c r="C178" s="199" t="str">
        <f t="shared" si="13"/>
        <v/>
      </c>
      <c r="D178" s="1844" t="str">
        <f>IF(MOD_3!$E178="","",MOD_3!$E178)</f>
        <v/>
      </c>
      <c r="E178" s="1843"/>
      <c r="F178" s="1843"/>
      <c r="G178" s="1843"/>
      <c r="H178" s="1843"/>
      <c r="I178" s="1845"/>
      <c r="J178" s="1846" t="str">
        <f>IF(MOD_3!$K178="","",MOD_3!$K178)</f>
        <v/>
      </c>
      <c r="K178" s="1846"/>
      <c r="L178" s="1847"/>
      <c r="M178" s="194" t="str">
        <f>IF(MOD_3!$M178="","",MOD_3!$M178)</f>
        <v/>
      </c>
      <c r="N178" s="194" t="str">
        <f>IF(MOD_3!$C178="","",MOD_3!$C178)</f>
        <v/>
      </c>
      <c r="O178" s="200" t="str">
        <f>IF(MOD_3!$D178="","",MOD_3!$D178)</f>
        <v/>
      </c>
      <c r="P178" s="201" t="str">
        <f>IF(MOD_3!$N178="","",MOD_3!$N178)</f>
        <v/>
      </c>
      <c r="Q178" s="280" t="str">
        <f>IF(MOD_3!$Q178="","",MOD_3!$Q178)</f>
        <v/>
      </c>
      <c r="R178" s="73">
        <f>MOD_3!S178</f>
        <v>0</v>
      </c>
      <c r="S178" s="56"/>
    </row>
    <row r="179" spans="1:19" hidden="1" x14ac:dyDescent="0.2">
      <c r="A179" s="264" t="str">
        <f t="shared" si="12"/>
        <v>OK</v>
      </c>
      <c r="B179" s="56" t="str">
        <f t="shared" si="14"/>
        <v/>
      </c>
      <c r="C179" s="199" t="str">
        <f t="shared" si="13"/>
        <v/>
      </c>
      <c r="D179" s="1844" t="str">
        <f>IF(MOD_3!$E179="","",MOD_3!$E179)</f>
        <v/>
      </c>
      <c r="E179" s="1843"/>
      <c r="F179" s="1843"/>
      <c r="G179" s="1843"/>
      <c r="H179" s="1843"/>
      <c r="I179" s="1845"/>
      <c r="J179" s="1846" t="str">
        <f>IF(MOD_3!$K179="","",MOD_3!$K179)</f>
        <v/>
      </c>
      <c r="K179" s="1846"/>
      <c r="L179" s="1847"/>
      <c r="M179" s="194" t="str">
        <f>IF(MOD_3!$M179="","",MOD_3!$M179)</f>
        <v/>
      </c>
      <c r="N179" s="194" t="str">
        <f>IF(MOD_3!$C179="","",MOD_3!$C179)</f>
        <v/>
      </c>
      <c r="O179" s="200" t="str">
        <f>IF(MOD_3!$D179="","",MOD_3!$D179)</f>
        <v/>
      </c>
      <c r="P179" s="201" t="str">
        <f>IF(MOD_3!$N179="","",MOD_3!$N179)</f>
        <v/>
      </c>
      <c r="Q179" s="280" t="str">
        <f>IF(MOD_3!$Q179="","",MOD_3!$Q179)</f>
        <v/>
      </c>
      <c r="R179" s="73">
        <f>MOD_3!S179</f>
        <v>0</v>
      </c>
      <c r="S179" s="56"/>
    </row>
    <row r="180" spans="1:19" hidden="1" x14ac:dyDescent="0.2">
      <c r="A180" s="264" t="str">
        <f t="shared" si="12"/>
        <v>OK</v>
      </c>
      <c r="B180" s="56" t="str">
        <f t="shared" si="14"/>
        <v/>
      </c>
      <c r="C180" s="199" t="str">
        <f t="shared" si="13"/>
        <v/>
      </c>
      <c r="D180" s="1844" t="str">
        <f>IF(MOD_3!$E180="","",MOD_3!$E180)</f>
        <v/>
      </c>
      <c r="E180" s="1843"/>
      <c r="F180" s="1843"/>
      <c r="G180" s="1843"/>
      <c r="H180" s="1843"/>
      <c r="I180" s="1845"/>
      <c r="J180" s="1846" t="str">
        <f>IF(MOD_3!$K180="","",MOD_3!$K180)</f>
        <v/>
      </c>
      <c r="K180" s="1846"/>
      <c r="L180" s="1847"/>
      <c r="M180" s="194" t="str">
        <f>IF(MOD_3!$M180="","",MOD_3!$M180)</f>
        <v/>
      </c>
      <c r="N180" s="194" t="str">
        <f>IF(MOD_3!$C180="","",MOD_3!$C180)</f>
        <v/>
      </c>
      <c r="O180" s="200" t="str">
        <f>IF(MOD_3!$D180="","",MOD_3!$D180)</f>
        <v/>
      </c>
      <c r="P180" s="201" t="str">
        <f>IF(MOD_3!$N180="","",MOD_3!$N180)</f>
        <v/>
      </c>
      <c r="Q180" s="280" t="str">
        <f>IF(MOD_3!$Q180="","",MOD_3!$Q180)</f>
        <v/>
      </c>
      <c r="R180" s="73">
        <f>MOD_3!S180</f>
        <v>0</v>
      </c>
      <c r="S180" s="56"/>
    </row>
    <row r="181" spans="1:19" hidden="1" x14ac:dyDescent="0.2">
      <c r="A181" s="264" t="str">
        <f t="shared" si="12"/>
        <v>OK</v>
      </c>
      <c r="B181" s="56" t="str">
        <f t="shared" si="14"/>
        <v/>
      </c>
      <c r="C181" s="288" t="str">
        <f t="shared" si="13"/>
        <v/>
      </c>
      <c r="D181" s="1844" t="str">
        <f>IF(MOD_3!$E181="","",MOD_3!$E181)</f>
        <v/>
      </c>
      <c r="E181" s="1843"/>
      <c r="F181" s="1843"/>
      <c r="G181" s="1843"/>
      <c r="H181" s="1843"/>
      <c r="I181" s="1845"/>
      <c r="J181" s="1846" t="str">
        <f>IF(MOD_3!$K181="","",MOD_3!$K181)</f>
        <v/>
      </c>
      <c r="K181" s="1846"/>
      <c r="L181" s="1847"/>
      <c r="M181" s="194" t="str">
        <f>IF(MOD_3!$M181="","",MOD_3!$M181)</f>
        <v/>
      </c>
      <c r="N181" s="194" t="str">
        <f>IF(MOD_3!$C181="","",MOD_3!$C181)</f>
        <v/>
      </c>
      <c r="O181" s="200" t="str">
        <f>IF(MOD_3!$D181="","",MOD_3!$D181)</f>
        <v/>
      </c>
      <c r="P181" s="201" t="str">
        <f>IF(MOD_3!$N181="","",MOD_3!$N181)</f>
        <v/>
      </c>
      <c r="Q181" s="280" t="str">
        <f>IF(MOD_3!$Q181="","",MOD_3!$Q181)</f>
        <v/>
      </c>
      <c r="R181" s="73">
        <f>MOD_3!S181</f>
        <v>0</v>
      </c>
      <c r="S181" s="56"/>
    </row>
    <row r="182" spans="1:19" hidden="1" x14ac:dyDescent="0.2">
      <c r="A182" s="264" t="str">
        <f t="shared" si="12"/>
        <v>OK</v>
      </c>
      <c r="B182" s="56" t="str">
        <f t="shared" si="14"/>
        <v/>
      </c>
      <c r="C182" s="199" t="str">
        <f t="shared" si="13"/>
        <v/>
      </c>
      <c r="D182" s="1844" t="str">
        <f>IF(MOD_3!$E182="","",MOD_3!$E182)</f>
        <v/>
      </c>
      <c r="E182" s="1843"/>
      <c r="F182" s="1843"/>
      <c r="G182" s="1843"/>
      <c r="H182" s="1843"/>
      <c r="I182" s="1845"/>
      <c r="J182" s="1846" t="str">
        <f>IF(MOD_3!$K182="","",MOD_3!$K182)</f>
        <v/>
      </c>
      <c r="K182" s="1846"/>
      <c r="L182" s="1847"/>
      <c r="M182" s="194" t="str">
        <f>IF(MOD_3!$M182="","",MOD_3!$M182)</f>
        <v/>
      </c>
      <c r="N182" s="194" t="str">
        <f>IF(MOD_3!$C182="","",MOD_3!$C182)</f>
        <v/>
      </c>
      <c r="O182" s="200" t="str">
        <f>IF(MOD_3!$D182="","",MOD_3!$D182)</f>
        <v/>
      </c>
      <c r="P182" s="201" t="str">
        <f>IF(MOD_3!$N182="","",MOD_3!$N182)</f>
        <v/>
      </c>
      <c r="Q182" s="280" t="str">
        <f>IF(MOD_3!$Q182="","",MOD_3!$Q182)</f>
        <v/>
      </c>
      <c r="R182" s="73">
        <f>MOD_3!S182</f>
        <v>0</v>
      </c>
      <c r="S182" s="56"/>
    </row>
    <row r="183" spans="1:19" hidden="1" x14ac:dyDescent="0.2">
      <c r="A183" s="264" t="str">
        <f t="shared" si="12"/>
        <v>OK</v>
      </c>
      <c r="B183" s="56" t="str">
        <f t="shared" si="14"/>
        <v/>
      </c>
      <c r="C183" s="199" t="str">
        <f t="shared" si="13"/>
        <v/>
      </c>
      <c r="D183" s="1844" t="str">
        <f>IF(MOD_3!$E183="","",MOD_3!$E183)</f>
        <v/>
      </c>
      <c r="E183" s="1843"/>
      <c r="F183" s="1843"/>
      <c r="G183" s="1843"/>
      <c r="H183" s="1843"/>
      <c r="I183" s="1845"/>
      <c r="J183" s="1846" t="str">
        <f>IF(MOD_3!$K183="","",MOD_3!$K183)</f>
        <v/>
      </c>
      <c r="K183" s="1846"/>
      <c r="L183" s="1847"/>
      <c r="M183" s="194" t="str">
        <f>IF(MOD_3!$M183="","",MOD_3!$M183)</f>
        <v/>
      </c>
      <c r="N183" s="194" t="str">
        <f>IF(MOD_3!$C183="","",MOD_3!$C183)</f>
        <v/>
      </c>
      <c r="O183" s="200" t="str">
        <f>IF(MOD_3!$D183="","",MOD_3!$D183)</f>
        <v/>
      </c>
      <c r="P183" s="201" t="str">
        <f>IF(MOD_3!$N183="","",MOD_3!$N183)</f>
        <v/>
      </c>
      <c r="Q183" s="280" t="str">
        <f>IF(MOD_3!$Q183="","",MOD_3!$Q183)</f>
        <v/>
      </c>
      <c r="R183" s="73">
        <f>MOD_3!S183</f>
        <v>0</v>
      </c>
      <c r="S183" s="56"/>
    </row>
    <row r="184" spans="1:19" hidden="1" x14ac:dyDescent="0.2">
      <c r="A184" s="264" t="str">
        <f t="shared" si="12"/>
        <v>OK</v>
      </c>
      <c r="B184" s="56" t="str">
        <f t="shared" si="14"/>
        <v/>
      </c>
      <c r="C184" s="199" t="str">
        <f t="shared" si="13"/>
        <v/>
      </c>
      <c r="D184" s="1844" t="str">
        <f>IF(MOD_3!$E184="","",MOD_3!$E184)</f>
        <v/>
      </c>
      <c r="E184" s="1843"/>
      <c r="F184" s="1843"/>
      <c r="G184" s="1843"/>
      <c r="H184" s="1843"/>
      <c r="I184" s="1845"/>
      <c r="J184" s="1846" t="str">
        <f>IF(MOD_3!$K184="","",MOD_3!$K184)</f>
        <v/>
      </c>
      <c r="K184" s="1846"/>
      <c r="L184" s="1847"/>
      <c r="M184" s="194" t="str">
        <f>IF(MOD_3!$M184="","",MOD_3!$M184)</f>
        <v/>
      </c>
      <c r="N184" s="194" t="str">
        <f>IF(MOD_3!$C184="","",MOD_3!$C184)</f>
        <v/>
      </c>
      <c r="O184" s="200" t="str">
        <f>IF(MOD_3!$D184="","",MOD_3!$D184)</f>
        <v/>
      </c>
      <c r="P184" s="201" t="str">
        <f>IF(MOD_3!$N184="","",MOD_3!$N184)</f>
        <v/>
      </c>
      <c r="Q184" s="280" t="str">
        <f>IF(MOD_3!$Q184="","",MOD_3!$Q184)</f>
        <v/>
      </c>
      <c r="R184" s="73">
        <f>MOD_3!S184</f>
        <v>0</v>
      </c>
      <c r="S184" s="56"/>
    </row>
    <row r="185" spans="1:19" hidden="1" x14ac:dyDescent="0.2">
      <c r="A185" s="264" t="str">
        <f t="shared" si="12"/>
        <v>OK</v>
      </c>
      <c r="B185" s="56" t="str">
        <f t="shared" si="14"/>
        <v/>
      </c>
      <c r="C185" s="199" t="str">
        <f t="shared" si="13"/>
        <v/>
      </c>
      <c r="D185" s="1844" t="str">
        <f>IF(MOD_3!$E185="","",MOD_3!$E185)</f>
        <v/>
      </c>
      <c r="E185" s="1843"/>
      <c r="F185" s="1843"/>
      <c r="G185" s="1843"/>
      <c r="H185" s="1843"/>
      <c r="I185" s="1845"/>
      <c r="J185" s="1846" t="str">
        <f>IF(MOD_3!$K185="","",MOD_3!$K185)</f>
        <v/>
      </c>
      <c r="K185" s="1846"/>
      <c r="L185" s="1847"/>
      <c r="M185" s="194" t="str">
        <f>IF(MOD_3!$M185="","",MOD_3!$M185)</f>
        <v/>
      </c>
      <c r="N185" s="194" t="str">
        <f>IF(MOD_3!$C185="","",MOD_3!$C185)</f>
        <v/>
      </c>
      <c r="O185" s="200" t="str">
        <f>IF(MOD_3!$D185="","",MOD_3!$D185)</f>
        <v/>
      </c>
      <c r="P185" s="201" t="str">
        <f>IF(MOD_3!$N185="","",MOD_3!$N185)</f>
        <v/>
      </c>
      <c r="Q185" s="280" t="str">
        <f>IF(MOD_3!$Q185="","",MOD_3!$Q185)</f>
        <v/>
      </c>
      <c r="R185" s="73">
        <f>MOD_3!S185</f>
        <v>0</v>
      </c>
      <c r="S185" s="56"/>
    </row>
    <row r="186" spans="1:19" hidden="1" x14ac:dyDescent="0.2">
      <c r="A186" s="264" t="str">
        <f t="shared" si="12"/>
        <v>OK</v>
      </c>
      <c r="B186" s="56" t="str">
        <f t="shared" si="14"/>
        <v/>
      </c>
      <c r="C186" s="199" t="str">
        <f t="shared" si="13"/>
        <v/>
      </c>
      <c r="D186" s="1844" t="str">
        <f>IF(MOD_3!$E186="","",MOD_3!$E186)</f>
        <v/>
      </c>
      <c r="E186" s="1843"/>
      <c r="F186" s="1843"/>
      <c r="G186" s="1843"/>
      <c r="H186" s="1843"/>
      <c r="I186" s="1845"/>
      <c r="J186" s="1846" t="str">
        <f>IF(MOD_3!$K186="","",MOD_3!$K186)</f>
        <v/>
      </c>
      <c r="K186" s="1846"/>
      <c r="L186" s="1847"/>
      <c r="M186" s="194" t="str">
        <f>IF(MOD_3!$M186="","",MOD_3!$M186)</f>
        <v/>
      </c>
      <c r="N186" s="194" t="str">
        <f>IF(MOD_3!$C186="","",MOD_3!$C186)</f>
        <v/>
      </c>
      <c r="O186" s="200" t="str">
        <f>IF(MOD_3!$D186="","",MOD_3!$D186)</f>
        <v/>
      </c>
      <c r="P186" s="201" t="str">
        <f>IF(MOD_3!$N186="","",MOD_3!$N186)</f>
        <v/>
      </c>
      <c r="Q186" s="280" t="str">
        <f>IF(MOD_3!$Q186="","",MOD_3!$Q186)</f>
        <v/>
      </c>
      <c r="R186" s="73">
        <f>MOD_3!S186</f>
        <v>0</v>
      </c>
      <c r="S186" s="56"/>
    </row>
    <row r="187" spans="1:19" hidden="1" x14ac:dyDescent="0.2">
      <c r="A187" s="264" t="str">
        <f t="shared" si="12"/>
        <v>OK</v>
      </c>
      <c r="B187" s="56" t="str">
        <f t="shared" si="14"/>
        <v/>
      </c>
      <c r="C187" s="288" t="str">
        <f t="shared" si="13"/>
        <v/>
      </c>
      <c r="D187" s="1844" t="str">
        <f>IF(MOD_3!$E187="","",MOD_3!$E187)</f>
        <v/>
      </c>
      <c r="E187" s="1843"/>
      <c r="F187" s="1843"/>
      <c r="G187" s="1843"/>
      <c r="H187" s="1843"/>
      <c r="I187" s="1845"/>
      <c r="J187" s="1846" t="str">
        <f>IF(MOD_3!$K187="","",MOD_3!$K187)</f>
        <v/>
      </c>
      <c r="K187" s="1846"/>
      <c r="L187" s="1847"/>
      <c r="M187" s="194" t="str">
        <f>IF(MOD_3!$M187="","",MOD_3!$M187)</f>
        <v/>
      </c>
      <c r="N187" s="194" t="str">
        <f>IF(MOD_3!$C187="","",MOD_3!$C187)</f>
        <v/>
      </c>
      <c r="O187" s="200" t="str">
        <f>IF(MOD_3!$D187="","",MOD_3!$D187)</f>
        <v/>
      </c>
      <c r="P187" s="201" t="str">
        <f>IF(MOD_3!$N187="","",MOD_3!$N187)</f>
        <v/>
      </c>
      <c r="Q187" s="280" t="str">
        <f>IF(MOD_3!$Q187="","",MOD_3!$Q187)</f>
        <v/>
      </c>
      <c r="R187" s="73">
        <f>MOD_3!S187</f>
        <v>0</v>
      </c>
      <c r="S187" s="56"/>
    </row>
    <row r="188" spans="1:19" hidden="1" x14ac:dyDescent="0.2">
      <c r="A188" s="264" t="str">
        <f t="shared" si="12"/>
        <v>OK</v>
      </c>
      <c r="B188" s="56" t="str">
        <f t="shared" si="14"/>
        <v/>
      </c>
      <c r="C188" s="288" t="str">
        <f t="shared" si="13"/>
        <v/>
      </c>
      <c r="D188" s="1844" t="str">
        <f>IF(MOD_3!$E188="","",MOD_3!$E188)</f>
        <v/>
      </c>
      <c r="E188" s="1843"/>
      <c r="F188" s="1843"/>
      <c r="G188" s="1843"/>
      <c r="H188" s="1843"/>
      <c r="I188" s="1845"/>
      <c r="J188" s="1846" t="str">
        <f>IF(MOD_3!$K188="","",MOD_3!$K188)</f>
        <v/>
      </c>
      <c r="K188" s="1846"/>
      <c r="L188" s="1847"/>
      <c r="M188" s="194" t="str">
        <f>IF(MOD_3!$M188="","",MOD_3!$M188)</f>
        <v/>
      </c>
      <c r="N188" s="194" t="str">
        <f>IF(MOD_3!$C188="","",MOD_3!$C188)</f>
        <v/>
      </c>
      <c r="O188" s="200" t="str">
        <f>IF(MOD_3!$D188="","",MOD_3!$D188)</f>
        <v/>
      </c>
      <c r="P188" s="201" t="str">
        <f>IF(MOD_3!$N188="","",MOD_3!$N188)</f>
        <v/>
      </c>
      <c r="Q188" s="280" t="str">
        <f>IF(MOD_3!$Q188="","",MOD_3!$Q188)</f>
        <v/>
      </c>
      <c r="R188" s="73">
        <f>MOD_3!S188</f>
        <v>0</v>
      </c>
      <c r="S188" s="56"/>
    </row>
    <row r="189" spans="1:19" hidden="1" x14ac:dyDescent="0.2">
      <c r="A189" s="264" t="str">
        <f t="shared" si="12"/>
        <v>OK</v>
      </c>
      <c r="B189" s="56" t="str">
        <f t="shared" si="14"/>
        <v/>
      </c>
      <c r="C189" s="199" t="str">
        <f t="shared" si="13"/>
        <v/>
      </c>
      <c r="D189" s="1844" t="str">
        <f>IF(MOD_3!$E189="","",MOD_3!$E189)</f>
        <v/>
      </c>
      <c r="E189" s="1843"/>
      <c r="F189" s="1843"/>
      <c r="G189" s="1843"/>
      <c r="H189" s="1843"/>
      <c r="I189" s="1845"/>
      <c r="J189" s="1846" t="str">
        <f>IF(MOD_3!$K189="","",MOD_3!$K189)</f>
        <v/>
      </c>
      <c r="K189" s="1846"/>
      <c r="L189" s="1847"/>
      <c r="M189" s="194" t="str">
        <f>IF(MOD_3!$M189="","",MOD_3!$M189)</f>
        <v/>
      </c>
      <c r="N189" s="194" t="str">
        <f>IF(MOD_3!$C189="","",MOD_3!$C189)</f>
        <v/>
      </c>
      <c r="O189" s="200" t="str">
        <f>IF(MOD_3!$D189="","",MOD_3!$D189)</f>
        <v/>
      </c>
      <c r="P189" s="201" t="str">
        <f>IF(MOD_3!$N189="","",MOD_3!$N189)</f>
        <v/>
      </c>
      <c r="Q189" s="280" t="str">
        <f>IF(MOD_3!$Q189="","",MOD_3!$Q189)</f>
        <v/>
      </c>
      <c r="R189" s="73">
        <f>MOD_3!S189</f>
        <v>0</v>
      </c>
      <c r="S189" s="56"/>
    </row>
    <row r="190" spans="1:19" hidden="1" x14ac:dyDescent="0.2">
      <c r="A190" s="264" t="str">
        <f t="shared" si="12"/>
        <v>OK</v>
      </c>
      <c r="B190" s="56" t="str">
        <f t="shared" si="14"/>
        <v/>
      </c>
      <c r="C190" s="199" t="str">
        <f t="shared" si="13"/>
        <v/>
      </c>
      <c r="D190" s="1844" t="str">
        <f>IF(MOD_3!$E190="","",MOD_3!$E190)</f>
        <v/>
      </c>
      <c r="E190" s="1843"/>
      <c r="F190" s="1843"/>
      <c r="G190" s="1843"/>
      <c r="H190" s="1843"/>
      <c r="I190" s="1845"/>
      <c r="J190" s="1846" t="str">
        <f>IF(MOD_3!$K190="","",MOD_3!$K190)</f>
        <v/>
      </c>
      <c r="K190" s="1846"/>
      <c r="L190" s="1847"/>
      <c r="M190" s="194" t="str">
        <f>IF(MOD_3!$M190="","",MOD_3!$M190)</f>
        <v/>
      </c>
      <c r="N190" s="194" t="str">
        <f>IF(MOD_3!$C190="","",MOD_3!$C190)</f>
        <v/>
      </c>
      <c r="O190" s="200" t="str">
        <f>IF(MOD_3!$D190="","",MOD_3!$D190)</f>
        <v/>
      </c>
      <c r="P190" s="201" t="str">
        <f>IF(MOD_3!$N190="","",MOD_3!$N190)</f>
        <v/>
      </c>
      <c r="Q190" s="280" t="str">
        <f>IF(MOD_3!$Q190="","",MOD_3!$Q190)</f>
        <v/>
      </c>
      <c r="R190" s="73">
        <f>MOD_3!S190</f>
        <v>0</v>
      </c>
      <c r="S190" s="56"/>
    </row>
    <row r="191" spans="1:19" hidden="1" x14ac:dyDescent="0.2">
      <c r="A191" s="264" t="str">
        <f t="shared" si="12"/>
        <v>OK</v>
      </c>
      <c r="B191" s="56" t="str">
        <f t="shared" si="14"/>
        <v/>
      </c>
      <c r="C191" s="199" t="str">
        <f t="shared" si="13"/>
        <v/>
      </c>
      <c r="D191" s="1844" t="str">
        <f>IF(MOD_3!$E191="","",MOD_3!$E191)</f>
        <v/>
      </c>
      <c r="E191" s="1843"/>
      <c r="F191" s="1843"/>
      <c r="G191" s="1843"/>
      <c r="H191" s="1843"/>
      <c r="I191" s="1845"/>
      <c r="J191" s="1846" t="str">
        <f>IF(MOD_3!$K191="","",MOD_3!$K191)</f>
        <v/>
      </c>
      <c r="K191" s="1846"/>
      <c r="L191" s="1847"/>
      <c r="M191" s="194" t="str">
        <f>IF(MOD_3!$M191="","",MOD_3!$M191)</f>
        <v/>
      </c>
      <c r="N191" s="194" t="str">
        <f>IF(MOD_3!$C191="","",MOD_3!$C191)</f>
        <v/>
      </c>
      <c r="O191" s="200" t="str">
        <f>IF(MOD_3!$D191="","",MOD_3!$D191)</f>
        <v/>
      </c>
      <c r="P191" s="201" t="str">
        <f>IF(MOD_3!$N191="","",MOD_3!$N191)</f>
        <v/>
      </c>
      <c r="Q191" s="280" t="str">
        <f>IF(MOD_3!$Q191="","",MOD_3!$Q191)</f>
        <v/>
      </c>
      <c r="R191" s="73">
        <f>MOD_3!S191</f>
        <v>0</v>
      </c>
      <c r="S191" s="56"/>
    </row>
    <row r="192" spans="1:19" hidden="1" x14ac:dyDescent="0.2">
      <c r="A192" s="264" t="str">
        <f t="shared" si="12"/>
        <v>OK</v>
      </c>
      <c r="B192" s="56" t="str">
        <f t="shared" si="14"/>
        <v/>
      </c>
      <c r="C192" s="199" t="str">
        <f t="shared" si="13"/>
        <v/>
      </c>
      <c r="D192" s="1844" t="str">
        <f>IF(MOD_3!$E192="","",MOD_3!$E192)</f>
        <v/>
      </c>
      <c r="E192" s="1843"/>
      <c r="F192" s="1843"/>
      <c r="G192" s="1843"/>
      <c r="H192" s="1843"/>
      <c r="I192" s="1845"/>
      <c r="J192" s="1846" t="str">
        <f>IF(MOD_3!$K192="","",MOD_3!$K192)</f>
        <v/>
      </c>
      <c r="K192" s="1846"/>
      <c r="L192" s="1847"/>
      <c r="M192" s="194" t="str">
        <f>IF(MOD_3!$M192="","",MOD_3!$M192)</f>
        <v/>
      </c>
      <c r="N192" s="194" t="str">
        <f>IF(MOD_3!$C192="","",MOD_3!$C192)</f>
        <v/>
      </c>
      <c r="O192" s="200" t="str">
        <f>IF(MOD_3!$D192="","",MOD_3!$D192)</f>
        <v/>
      </c>
      <c r="P192" s="201" t="str">
        <f>IF(MOD_3!$N192="","",MOD_3!$N192)</f>
        <v/>
      </c>
      <c r="Q192" s="280" t="str">
        <f>IF(MOD_3!$Q192="","",MOD_3!$Q192)</f>
        <v/>
      </c>
      <c r="R192" s="73">
        <f>MOD_3!S192</f>
        <v>0</v>
      </c>
      <c r="S192" s="56"/>
    </row>
    <row r="193" spans="1:19" hidden="1" x14ac:dyDescent="0.2">
      <c r="A193" s="264" t="str">
        <f t="shared" si="12"/>
        <v>OK</v>
      </c>
      <c r="B193" s="56" t="str">
        <f t="shared" si="14"/>
        <v/>
      </c>
      <c r="C193" s="199" t="str">
        <f t="shared" si="13"/>
        <v/>
      </c>
      <c r="D193" s="1844" t="str">
        <f>IF(MOD_3!$E193="","",MOD_3!$E193)</f>
        <v/>
      </c>
      <c r="E193" s="1843"/>
      <c r="F193" s="1843"/>
      <c r="G193" s="1843"/>
      <c r="H193" s="1843"/>
      <c r="I193" s="1845"/>
      <c r="J193" s="1846" t="str">
        <f>IF(MOD_3!$K193="","",MOD_3!$K193)</f>
        <v/>
      </c>
      <c r="K193" s="1846"/>
      <c r="L193" s="1847"/>
      <c r="M193" s="194" t="str">
        <f>IF(MOD_3!$M193="","",MOD_3!$M193)</f>
        <v/>
      </c>
      <c r="N193" s="194" t="str">
        <f>IF(MOD_3!$C193="","",MOD_3!$C193)</f>
        <v/>
      </c>
      <c r="O193" s="200" t="str">
        <f>IF(MOD_3!$D193="","",MOD_3!$D193)</f>
        <v/>
      </c>
      <c r="P193" s="201" t="str">
        <f>IF(MOD_3!$N193="","",MOD_3!$N193)</f>
        <v/>
      </c>
      <c r="Q193" s="280" t="str">
        <f>IF(MOD_3!$Q193="","",MOD_3!$Q193)</f>
        <v/>
      </c>
      <c r="R193" s="73">
        <f>MOD_3!S193</f>
        <v>0</v>
      </c>
      <c r="S193" s="56"/>
    </row>
    <row r="194" spans="1:19" hidden="1" x14ac:dyDescent="0.2">
      <c r="A194" s="264" t="str">
        <f t="shared" si="12"/>
        <v>OK</v>
      </c>
      <c r="B194" s="56" t="str">
        <f t="shared" si="14"/>
        <v/>
      </c>
      <c r="C194" s="199" t="str">
        <f t="shared" si="13"/>
        <v/>
      </c>
      <c r="D194" s="1844" t="str">
        <f>IF(MOD_3!$E194="","",MOD_3!$E194)</f>
        <v/>
      </c>
      <c r="E194" s="1843"/>
      <c r="F194" s="1843"/>
      <c r="G194" s="1843"/>
      <c r="H194" s="1843"/>
      <c r="I194" s="1845"/>
      <c r="J194" s="1846" t="str">
        <f>IF(MOD_3!$K194="","",MOD_3!$K194)</f>
        <v/>
      </c>
      <c r="K194" s="1846"/>
      <c r="L194" s="1847"/>
      <c r="M194" s="194" t="str">
        <f>IF(MOD_3!$M194="","",MOD_3!$M194)</f>
        <v/>
      </c>
      <c r="N194" s="194" t="str">
        <f>IF(MOD_3!$C194="","",MOD_3!$C194)</f>
        <v/>
      </c>
      <c r="O194" s="200" t="str">
        <f>IF(MOD_3!$D194="","",MOD_3!$D194)</f>
        <v/>
      </c>
      <c r="P194" s="201" t="str">
        <f>IF(MOD_3!$N194="","",MOD_3!$N194)</f>
        <v/>
      </c>
      <c r="Q194" s="280" t="str">
        <f>IF(MOD_3!$Q194="","",MOD_3!$Q194)</f>
        <v/>
      </c>
      <c r="R194" s="73">
        <f>MOD_3!S194</f>
        <v>0</v>
      </c>
      <c r="S194" s="56"/>
    </row>
    <row r="195" spans="1:19" hidden="1" x14ac:dyDescent="0.2">
      <c r="A195" s="264" t="str">
        <f t="shared" si="12"/>
        <v>OK</v>
      </c>
      <c r="B195" s="56" t="str">
        <f t="shared" si="14"/>
        <v/>
      </c>
      <c r="C195" s="199" t="str">
        <f t="shared" si="13"/>
        <v/>
      </c>
      <c r="D195" s="1844" t="str">
        <f>IF(MOD_3!$E195="","",MOD_3!$E195)</f>
        <v/>
      </c>
      <c r="E195" s="1843"/>
      <c r="F195" s="1843"/>
      <c r="G195" s="1843"/>
      <c r="H195" s="1843"/>
      <c r="I195" s="1845"/>
      <c r="J195" s="1846" t="str">
        <f>IF(MOD_3!$K195="","",MOD_3!$K195)</f>
        <v/>
      </c>
      <c r="K195" s="1846"/>
      <c r="L195" s="1847"/>
      <c r="M195" s="194" t="str">
        <f>IF(MOD_3!$M195="","",MOD_3!$M195)</f>
        <v/>
      </c>
      <c r="N195" s="194" t="str">
        <f>IF(MOD_3!$C195="","",MOD_3!$C195)</f>
        <v/>
      </c>
      <c r="O195" s="200" t="str">
        <f>IF(MOD_3!$D195="","",MOD_3!$D195)</f>
        <v/>
      </c>
      <c r="P195" s="201" t="str">
        <f>IF(MOD_3!$N195="","",MOD_3!$N195)</f>
        <v/>
      </c>
      <c r="Q195" s="280" t="str">
        <f>IF(MOD_3!$Q195="","",MOD_3!$Q195)</f>
        <v/>
      </c>
      <c r="R195" s="73">
        <f>MOD_3!S195</f>
        <v>0</v>
      </c>
      <c r="S195" s="56"/>
    </row>
    <row r="196" spans="1:19" ht="13.5" hidden="1" thickBot="1" x14ac:dyDescent="0.25">
      <c r="A196" s="264" t="str">
        <f t="shared" si="12"/>
        <v>OK</v>
      </c>
      <c r="B196" s="56" t="str">
        <f t="shared" si="14"/>
        <v/>
      </c>
      <c r="C196" s="273" t="str">
        <f t="shared" si="13"/>
        <v/>
      </c>
      <c r="D196" s="1871" t="str">
        <f>IF(MOD_3!$E196="","",MOD_3!$E196)</f>
        <v/>
      </c>
      <c r="E196" s="1850"/>
      <c r="F196" s="1850"/>
      <c r="G196" s="1850"/>
      <c r="H196" s="1850"/>
      <c r="I196" s="1872"/>
      <c r="J196" s="1361" t="str">
        <f>IF(MOD_3!$K196="","",MOD_3!$K196)</f>
        <v/>
      </c>
      <c r="K196" s="1361"/>
      <c r="L196" s="1873"/>
      <c r="M196" s="195" t="str">
        <f>IF(MOD_3!$M196="","",MOD_3!$M196)</f>
        <v/>
      </c>
      <c r="N196" s="195" t="str">
        <f>IF(MOD_3!$C196="","",MOD_3!$C196)</f>
        <v/>
      </c>
      <c r="O196" s="196" t="str">
        <f>IF(MOD_3!$D196="","",MOD_3!$D196)</f>
        <v/>
      </c>
      <c r="P196" s="197" t="str">
        <f>IF(MOD_3!$N196="","",MOD_3!$N196)</f>
        <v/>
      </c>
      <c r="Q196" s="281" t="str">
        <f>IF(MOD_3!$Q196="","",MOD_3!$Q196)</f>
        <v/>
      </c>
      <c r="R196" s="73">
        <f>MOD_3!S196</f>
        <v>0</v>
      </c>
      <c r="S196" s="56"/>
    </row>
    <row r="197" spans="1:19" ht="13.5" hidden="1" thickBot="1" x14ac:dyDescent="0.25">
      <c r="A197" s="264" t="str">
        <f t="shared" si="12"/>
        <v>OK</v>
      </c>
      <c r="B197" s="56"/>
      <c r="C197" s="1869" t="str">
        <f>MOD_3!$B197</f>
        <v>Transportar.......................................................................</v>
      </c>
      <c r="D197" s="1387"/>
      <c r="E197" s="1387"/>
      <c r="F197" s="1387"/>
      <c r="G197" s="1387"/>
      <c r="H197" s="1387"/>
      <c r="I197" s="1387"/>
      <c r="J197" s="1387"/>
      <c r="K197" s="1387"/>
      <c r="L197" s="1387"/>
      <c r="M197" s="1387"/>
      <c r="N197" s="1387"/>
      <c r="O197" s="202" t="s">
        <v>102</v>
      </c>
      <c r="P197" s="285">
        <f>SUM(P176:P196)</f>
        <v>0</v>
      </c>
      <c r="Q197" s="282">
        <f>SUM(Q176:Q196)</f>
        <v>0</v>
      </c>
      <c r="R197" s="73">
        <f>SUM(R177:R196)</f>
        <v>0</v>
      </c>
      <c r="S197" s="56"/>
    </row>
    <row r="198" spans="1:19" hidden="1" x14ac:dyDescent="0.2">
      <c r="A198" s="264" t="str">
        <f t="shared" si="12"/>
        <v>OK</v>
      </c>
      <c r="B198" s="56"/>
      <c r="C198" s="58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60"/>
      <c r="R198" s="56"/>
      <c r="S198" s="56"/>
    </row>
    <row r="199" spans="1:19" hidden="1" x14ac:dyDescent="0.2">
      <c r="A199" s="264" t="str">
        <f t="shared" si="12"/>
        <v>OK</v>
      </c>
      <c r="B199" s="56"/>
      <c r="C199" s="61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5"/>
      <c r="R199" s="56"/>
      <c r="S199" s="56"/>
    </row>
    <row r="200" spans="1:19" hidden="1" x14ac:dyDescent="0.2">
      <c r="A200" s="264" t="str">
        <f t="shared" si="12"/>
        <v>OK</v>
      </c>
      <c r="B200" s="56"/>
      <c r="C200" s="75" t="s">
        <v>85</v>
      </c>
      <c r="D200" s="156" t="str">
        <f>Dados!$G$128</f>
        <v/>
      </c>
      <c r="E200" s="62"/>
      <c r="F200" s="1336" t="str">
        <f>Dados!$E$109</f>
        <v/>
      </c>
      <c r="G200" s="1336"/>
      <c r="H200" s="1336"/>
      <c r="I200" s="1336"/>
      <c r="J200" s="1336"/>
      <c r="K200" s="1336"/>
      <c r="L200" s="62"/>
      <c r="M200" s="1336"/>
      <c r="N200" s="1336"/>
      <c r="O200" s="1336"/>
      <c r="P200" s="1336"/>
      <c r="Q200" s="76"/>
      <c r="R200" s="56"/>
      <c r="S200" s="56"/>
    </row>
    <row r="201" spans="1:19" ht="13.5" hidden="1" thickBot="1" x14ac:dyDescent="0.25">
      <c r="A201" s="264" t="str">
        <f t="shared" si="12"/>
        <v>OK</v>
      </c>
      <c r="B201" s="56"/>
      <c r="C201" s="78" t="s">
        <v>132</v>
      </c>
      <c r="D201" s="79"/>
      <c r="E201" s="79"/>
      <c r="F201" s="1874" t="s">
        <v>285</v>
      </c>
      <c r="G201" s="1874"/>
      <c r="H201" s="1874"/>
      <c r="I201" s="1874"/>
      <c r="J201" s="1874"/>
      <c r="K201" s="1874"/>
      <c r="L201" s="79"/>
      <c r="M201" s="1874" t="s">
        <v>151</v>
      </c>
      <c r="N201" s="1874"/>
      <c r="O201" s="1874"/>
      <c r="P201" s="1874"/>
      <c r="Q201" s="80"/>
      <c r="R201" s="56"/>
      <c r="S201" s="56"/>
    </row>
    <row r="202" spans="1:19" hidden="1" x14ac:dyDescent="0.2">
      <c r="A202" s="264" t="str">
        <f t="shared" si="12"/>
        <v>OK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</row>
    <row r="203" spans="1:19" hidden="1" x14ac:dyDescent="0.2">
      <c r="A203" s="264" t="str">
        <f t="shared" si="12"/>
        <v>OK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</row>
    <row r="204" spans="1:19" hidden="1" x14ac:dyDescent="0.2">
      <c r="A204" s="264" t="str">
        <f t="shared" si="12"/>
        <v>OK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</row>
  </sheetData>
  <sheetProtection password="F261" sheet="1" objects="1" scenarios="1"/>
  <mergeCells count="317">
    <mergeCell ref="S4:S41"/>
    <mergeCell ref="D191:I191"/>
    <mergeCell ref="J191:L191"/>
    <mergeCell ref="D190:I190"/>
    <mergeCell ref="J190:L190"/>
    <mergeCell ref="C7:Q7"/>
    <mergeCell ref="F201:K201"/>
    <mergeCell ref="M201:P201"/>
    <mergeCell ref="D196:I196"/>
    <mergeCell ref="J196:L196"/>
    <mergeCell ref="C197:N197"/>
    <mergeCell ref="F200:K200"/>
    <mergeCell ref="M200:P200"/>
    <mergeCell ref="D195:I195"/>
    <mergeCell ref="J195:L195"/>
    <mergeCell ref="D192:I192"/>
    <mergeCell ref="J192:L192"/>
    <mergeCell ref="D193:I193"/>
    <mergeCell ref="J193:L193"/>
    <mergeCell ref="D194:I194"/>
    <mergeCell ref="J194:L194"/>
    <mergeCell ref="D185:I185"/>
    <mergeCell ref="J185:L185"/>
    <mergeCell ref="D186:I186"/>
    <mergeCell ref="J186:L186"/>
    <mergeCell ref="D189:I189"/>
    <mergeCell ref="J189:L189"/>
    <mergeCell ref="D187:I187"/>
    <mergeCell ref="J187:L187"/>
    <mergeCell ref="D188:I188"/>
    <mergeCell ref="J188:L188"/>
    <mergeCell ref="D180:I180"/>
    <mergeCell ref="J180:L180"/>
    <mergeCell ref="D181:I181"/>
    <mergeCell ref="J181:L181"/>
    <mergeCell ref="D182:I182"/>
    <mergeCell ref="J182:L182"/>
    <mergeCell ref="D183:I183"/>
    <mergeCell ref="J183:L183"/>
    <mergeCell ref="D184:I184"/>
    <mergeCell ref="J184:L184"/>
    <mergeCell ref="J175:L175"/>
    <mergeCell ref="C164:Q164"/>
    <mergeCell ref="C165:Q165"/>
    <mergeCell ref="J167:Q167"/>
    <mergeCell ref="J168:Q168"/>
    <mergeCell ref="C169:E169"/>
    <mergeCell ref="F169:M169"/>
    <mergeCell ref="N169:Q169"/>
    <mergeCell ref="D179:I179"/>
    <mergeCell ref="J179:L179"/>
    <mergeCell ref="C170:Q170"/>
    <mergeCell ref="C171:Q171"/>
    <mergeCell ref="C172:Q172"/>
    <mergeCell ref="D174:I175"/>
    <mergeCell ref="J174:L174"/>
    <mergeCell ref="M174:M175"/>
    <mergeCell ref="N174:O174"/>
    <mergeCell ref="P174:Q174"/>
    <mergeCell ref="D176:I176"/>
    <mergeCell ref="J176:L176"/>
    <mergeCell ref="D177:I177"/>
    <mergeCell ref="J177:L177"/>
    <mergeCell ref="D178:I178"/>
    <mergeCell ref="J178:L178"/>
    <mergeCell ref="M81:P81"/>
    <mergeCell ref="M14:M15"/>
    <mergeCell ref="M54:M55"/>
    <mergeCell ref="D76:I76"/>
    <mergeCell ref="J76:L76"/>
    <mergeCell ref="C77:N77"/>
    <mergeCell ref="F80:K80"/>
    <mergeCell ref="M80:P80"/>
    <mergeCell ref="D74:I74"/>
    <mergeCell ref="J74:L74"/>
    <mergeCell ref="D75:I75"/>
    <mergeCell ref="J75:L75"/>
    <mergeCell ref="D72:I72"/>
    <mergeCell ref="J72:L72"/>
    <mergeCell ref="D73:I73"/>
    <mergeCell ref="J73:L73"/>
    <mergeCell ref="D71:I71"/>
    <mergeCell ref="F81:K81"/>
    <mergeCell ref="J71:L71"/>
    <mergeCell ref="D67:I67"/>
    <mergeCell ref="J67:L67"/>
    <mergeCell ref="D68:I68"/>
    <mergeCell ref="J68:L68"/>
    <mergeCell ref="D69:I69"/>
    <mergeCell ref="J69:L69"/>
    <mergeCell ref="D70:I70"/>
    <mergeCell ref="J70:L70"/>
    <mergeCell ref="D65:I65"/>
    <mergeCell ref="J65:L65"/>
    <mergeCell ref="D66:I66"/>
    <mergeCell ref="J66:L66"/>
    <mergeCell ref="D61:I61"/>
    <mergeCell ref="J61:L61"/>
    <mergeCell ref="D62:I62"/>
    <mergeCell ref="J62:L62"/>
    <mergeCell ref="D63:I63"/>
    <mergeCell ref="J63:L63"/>
    <mergeCell ref="D64:I64"/>
    <mergeCell ref="J64:L64"/>
    <mergeCell ref="C52:Q52"/>
    <mergeCell ref="D54:I55"/>
    <mergeCell ref="J54:L54"/>
    <mergeCell ref="N54:O54"/>
    <mergeCell ref="P54:Q54"/>
    <mergeCell ref="J55:L55"/>
    <mergeCell ref="D60:I60"/>
    <mergeCell ref="J60:L60"/>
    <mergeCell ref="D59:I59"/>
    <mergeCell ref="J59:L59"/>
    <mergeCell ref="J56:L56"/>
    <mergeCell ref="D57:I57"/>
    <mergeCell ref="J57:L57"/>
    <mergeCell ref="D58:I58"/>
    <mergeCell ref="J58:L58"/>
    <mergeCell ref="D56:I56"/>
    <mergeCell ref="C44:Q44"/>
    <mergeCell ref="C45:Q45"/>
    <mergeCell ref="J47:Q47"/>
    <mergeCell ref="J48:Q48"/>
    <mergeCell ref="C49:E49"/>
    <mergeCell ref="F49:M49"/>
    <mergeCell ref="N49:Q49"/>
    <mergeCell ref="C50:Q50"/>
    <mergeCell ref="C51:Q51"/>
    <mergeCell ref="J27:L27"/>
    <mergeCell ref="D26:I26"/>
    <mergeCell ref="M41:P41"/>
    <mergeCell ref="F41:K41"/>
    <mergeCell ref="J31:L31"/>
    <mergeCell ref="J35:L35"/>
    <mergeCell ref="J36:L36"/>
    <mergeCell ref="M40:P40"/>
    <mergeCell ref="D31:I31"/>
    <mergeCell ref="D35:I35"/>
    <mergeCell ref="D36:I36"/>
    <mergeCell ref="F40:K40"/>
    <mergeCell ref="C37:N37"/>
    <mergeCell ref="D32:I32"/>
    <mergeCell ref="D38:Q38"/>
    <mergeCell ref="C5:Q5"/>
    <mergeCell ref="N14:O14"/>
    <mergeCell ref="P14:Q14"/>
    <mergeCell ref="C9:E9"/>
    <mergeCell ref="C10:Q10"/>
    <mergeCell ref="C11:Q11"/>
    <mergeCell ref="N9:Q9"/>
    <mergeCell ref="F9:M9"/>
    <mergeCell ref="C8:Q8"/>
    <mergeCell ref="C12:Q12"/>
    <mergeCell ref="C4:F4"/>
    <mergeCell ref="J87:Q87"/>
    <mergeCell ref="D16:I16"/>
    <mergeCell ref="D17:I17"/>
    <mergeCell ref="C85:Q85"/>
    <mergeCell ref="J28:L28"/>
    <mergeCell ref="C84:Q84"/>
    <mergeCell ref="D21:I21"/>
    <mergeCell ref="D25:I25"/>
    <mergeCell ref="D33:I33"/>
    <mergeCell ref="D34:I34"/>
    <mergeCell ref="J32:L32"/>
    <mergeCell ref="J33:L33"/>
    <mergeCell ref="J34:L34"/>
    <mergeCell ref="J22:L22"/>
    <mergeCell ref="D22:I22"/>
    <mergeCell ref="J29:L29"/>
    <mergeCell ref="J30:L30"/>
    <mergeCell ref="D28:I28"/>
    <mergeCell ref="D27:I27"/>
    <mergeCell ref="J23:L23"/>
    <mergeCell ref="J24:L24"/>
    <mergeCell ref="J25:L25"/>
    <mergeCell ref="J26:L26"/>
    <mergeCell ref="J21:L21"/>
    <mergeCell ref="D23:I23"/>
    <mergeCell ref="D20:I20"/>
    <mergeCell ref="D24:I24"/>
    <mergeCell ref="J20:L20"/>
    <mergeCell ref="J16:L16"/>
    <mergeCell ref="J17:L17"/>
    <mergeCell ref="J15:L15"/>
    <mergeCell ref="D14:I15"/>
    <mergeCell ref="J14:L14"/>
    <mergeCell ref="D96:I96"/>
    <mergeCell ref="J96:L96"/>
    <mergeCell ref="D97:I97"/>
    <mergeCell ref="J97:L97"/>
    <mergeCell ref="J100:L100"/>
    <mergeCell ref="P94:Q94"/>
    <mergeCell ref="N94:O94"/>
    <mergeCell ref="J18:L18"/>
    <mergeCell ref="J19:L19"/>
    <mergeCell ref="J88:Q88"/>
    <mergeCell ref="J95:L95"/>
    <mergeCell ref="C89:E89"/>
    <mergeCell ref="F89:M89"/>
    <mergeCell ref="N89:Q89"/>
    <mergeCell ref="C90:Q90"/>
    <mergeCell ref="C91:Q91"/>
    <mergeCell ref="C92:Q92"/>
    <mergeCell ref="D94:I95"/>
    <mergeCell ref="J94:L94"/>
    <mergeCell ref="M94:M95"/>
    <mergeCell ref="D29:I29"/>
    <mergeCell ref="D30:I30"/>
    <mergeCell ref="D18:I18"/>
    <mergeCell ref="D19:I19"/>
    <mergeCell ref="D108:I108"/>
    <mergeCell ref="J108:L108"/>
    <mergeCell ref="D105:I105"/>
    <mergeCell ref="J105:L105"/>
    <mergeCell ref="D98:I98"/>
    <mergeCell ref="J98:L98"/>
    <mergeCell ref="D99:I99"/>
    <mergeCell ref="J99:L99"/>
    <mergeCell ref="D100:I100"/>
    <mergeCell ref="D101:I101"/>
    <mergeCell ref="J101:L101"/>
    <mergeCell ref="D106:I106"/>
    <mergeCell ref="J106:L106"/>
    <mergeCell ref="D107:I107"/>
    <mergeCell ref="J107:L107"/>
    <mergeCell ref="D104:I104"/>
    <mergeCell ref="J104:L104"/>
    <mergeCell ref="D102:I102"/>
    <mergeCell ref="J102:L102"/>
    <mergeCell ref="D103:I103"/>
    <mergeCell ref="J103:L103"/>
    <mergeCell ref="D112:I112"/>
    <mergeCell ref="J112:L112"/>
    <mergeCell ref="D113:I113"/>
    <mergeCell ref="J113:L113"/>
    <mergeCell ref="D111:I111"/>
    <mergeCell ref="J111:L111"/>
    <mergeCell ref="D110:I110"/>
    <mergeCell ref="J110:L110"/>
    <mergeCell ref="D109:I109"/>
    <mergeCell ref="J109:L109"/>
    <mergeCell ref="F161:K161"/>
    <mergeCell ref="M161:P161"/>
    <mergeCell ref="F121:K121"/>
    <mergeCell ref="M121:P121"/>
    <mergeCell ref="D156:I156"/>
    <mergeCell ref="J156:L156"/>
    <mergeCell ref="C157:N157"/>
    <mergeCell ref="F160:K160"/>
    <mergeCell ref="M160:P160"/>
    <mergeCell ref="D154:I154"/>
    <mergeCell ref="D151:I151"/>
    <mergeCell ref="J151:L151"/>
    <mergeCell ref="J154:L154"/>
    <mergeCell ref="D155:I155"/>
    <mergeCell ref="J155:L155"/>
    <mergeCell ref="D152:I152"/>
    <mergeCell ref="J137:L137"/>
    <mergeCell ref="C131:Q131"/>
    <mergeCell ref="P134:Q134"/>
    <mergeCell ref="D142:I142"/>
    <mergeCell ref="J142:L142"/>
    <mergeCell ref="J152:L152"/>
    <mergeCell ref="D153:I153"/>
    <mergeCell ref="J153:L153"/>
    <mergeCell ref="C117:N117"/>
    <mergeCell ref="F120:K120"/>
    <mergeCell ref="M120:P120"/>
    <mergeCell ref="D114:I114"/>
    <mergeCell ref="J114:L114"/>
    <mergeCell ref="D115:I115"/>
    <mergeCell ref="J115:L115"/>
    <mergeCell ref="D116:I116"/>
    <mergeCell ref="J116:L116"/>
    <mergeCell ref="D139:I139"/>
    <mergeCell ref="J139:L139"/>
    <mergeCell ref="D136:I136"/>
    <mergeCell ref="J136:L136"/>
    <mergeCell ref="D137:I137"/>
    <mergeCell ref="J135:L135"/>
    <mergeCell ref="N134:O134"/>
    <mergeCell ref="D150:I150"/>
    <mergeCell ref="J150:L150"/>
    <mergeCell ref="D146:I146"/>
    <mergeCell ref="J146:L146"/>
    <mergeCell ref="D147:I147"/>
    <mergeCell ref="J147:L147"/>
    <mergeCell ref="D149:I149"/>
    <mergeCell ref="J149:L149"/>
    <mergeCell ref="D148:I148"/>
    <mergeCell ref="J148:L148"/>
    <mergeCell ref="C124:Q124"/>
    <mergeCell ref="C125:Q125"/>
    <mergeCell ref="J127:Q127"/>
    <mergeCell ref="J128:Q128"/>
    <mergeCell ref="C129:E129"/>
    <mergeCell ref="D145:I145"/>
    <mergeCell ref="J145:L145"/>
    <mergeCell ref="D143:I143"/>
    <mergeCell ref="J143:L143"/>
    <mergeCell ref="D144:I144"/>
    <mergeCell ref="J144:L144"/>
    <mergeCell ref="F129:M129"/>
    <mergeCell ref="N129:Q129"/>
    <mergeCell ref="D140:I140"/>
    <mergeCell ref="J140:L140"/>
    <mergeCell ref="D141:I141"/>
    <mergeCell ref="J141:L141"/>
    <mergeCell ref="C132:Q132"/>
    <mergeCell ref="D134:I135"/>
    <mergeCell ref="J134:L134"/>
    <mergeCell ref="M134:M135"/>
    <mergeCell ref="C130:Q130"/>
    <mergeCell ref="D138:I138"/>
    <mergeCell ref="J138:L138"/>
  </mergeCells>
  <phoneticPr fontId="16" type="noConversion"/>
  <conditionalFormatting sqref="C19:C36 C139:C156 C16 D16:Q35 C99:C116 C59:C76 D97:Q115 D57:Q75 D137:Q155 C179:C196 D177:Q195">
    <cfRule type="expression" dxfId="168" priority="3" stopIfTrue="1">
      <formula>$R16=1</formula>
    </cfRule>
    <cfRule type="cellIs" dxfId="167" priority="4" stopIfTrue="1" operator="equal">
      <formula>0</formula>
    </cfRule>
  </conditionalFormatting>
  <conditionalFormatting sqref="C17:C18 C57:C58 C97:C98 C137:C138 C177:C178">
    <cfRule type="expression" dxfId="166" priority="5" stopIfTrue="1">
      <formula>$R17=1</formula>
    </cfRule>
    <cfRule type="cellIs" dxfId="165" priority="6" stopIfTrue="1" operator="equal">
      <formula>C16</formula>
    </cfRule>
  </conditionalFormatting>
  <conditionalFormatting sqref="F40:K40 P37:Q37 D40 M36:Q36 C176:Q176 F9:M9 J36 F80:K80 P77:Q77 D80 C96:D96 J47:Q47 F49:M49 M76:Q76 D36 M56:Q56 F120:K120 P117:Q117 D120 C56:D56 C136:Q136 J87:Q87 F89:M89 J56 F160:K160 P157:Q157 D160 J76 J96 J127:Q127 F129:M129 M96:Q96 D76 M116:Q116 J116 D116 M156:Q156 F200:K200 P197:Q197 D200 J167:Q167 F169:M169 J156 D156 M196:Q196 J196 D196">
    <cfRule type="cellIs" dxfId="164" priority="7" stopIfTrue="1" operator="equal">
      <formula>0</formula>
    </cfRule>
  </conditionalFormatting>
  <dataValidations count="2">
    <dataValidation type="whole" allowBlank="1" showInputMessage="1" showErrorMessage="1" errorTitle="IMPRIMIR" error="NÚMERO MAIOR QUE O TOTAL DE PÁGINAS_x000a__x000a_PREVISTO!!!" sqref="J2">
      <formula1>1</formula1>
      <formula2>R4</formula2>
    </dataValidation>
    <dataValidation type="whole" allowBlank="1" showInputMessage="1" showErrorMessage="1" errorTitle="IMPRIMIR" error="NÚMERO MAIOR QUE O TOTAL DE PÁGINAS_x000a__x000a_PREVISTO!!!" sqref="L2">
      <formula1>J2</formula1>
      <formula2>R4</formula2>
    </dataValidation>
  </dataValidations>
  <printOptions horizontalCentered="1" verticalCentered="1"/>
  <pageMargins left="0.18" right="0.18" top="0.31496062992125984" bottom="0.43307086614173229" header="0.35433070866141736" footer="0.39370078740157483"/>
  <pageSetup paperSize="9" scale="97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BO36"/>
  <sheetViews>
    <sheetView showGridLines="0" showRowColHeaders="0" zoomScale="110" zoomScaleNormal="11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2.7109375" style="57" customWidth="1"/>
    <col min="2" max="2" width="1.7109375" style="57" customWidth="1"/>
    <col min="3" max="3" width="6.140625" style="57" customWidth="1"/>
    <col min="4" max="53" width="1.7109375" customWidth="1"/>
    <col min="54" max="54" width="4.85546875" customWidth="1"/>
    <col min="55" max="55" width="23.85546875" hidden="1" customWidth="1"/>
    <col min="56" max="56" width="22.42578125" hidden="1" customWidth="1"/>
    <col min="57" max="57" width="10.140625" hidden="1" customWidth="1"/>
    <col min="58" max="58" width="1.5703125" hidden="1" customWidth="1"/>
    <col min="59" max="59" width="10.140625" hidden="1" customWidth="1"/>
    <col min="60" max="60" width="2" hidden="1" customWidth="1"/>
    <col min="61" max="61" width="5" hidden="1" customWidth="1"/>
    <col min="62" max="62" width="1.5703125" hidden="1" customWidth="1"/>
    <col min="63" max="63" width="5" hidden="1" customWidth="1"/>
    <col min="64" max="64" width="1.5703125" hidden="1" customWidth="1"/>
    <col min="65" max="65" width="3" hidden="1" customWidth="1"/>
    <col min="66" max="66" width="18.140625" hidden="1" customWidth="1"/>
    <col min="67" max="67" width="19.42578125" hidden="1" customWidth="1"/>
    <col min="68" max="16384" width="9.140625" hidden="1"/>
  </cols>
  <sheetData>
    <row r="1" spans="1:66" ht="38.25" customHeight="1" x14ac:dyDescent="0.2">
      <c r="A1" s="1016" t="str">
        <f>IF(Dados!$E$3="","",Dados!$E$3)</f>
        <v/>
      </c>
      <c r="B1" s="367"/>
      <c r="C1" s="367"/>
      <c r="D1" s="298">
        <f>Dados!$K$3</f>
        <v>0</v>
      </c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7"/>
      <c r="AI1" s="367"/>
      <c r="AJ1" s="367"/>
      <c r="AK1" s="367"/>
      <c r="AL1" s="367"/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  <c r="AX1" s="367"/>
      <c r="AY1" s="367"/>
      <c r="AZ1" s="367"/>
      <c r="BA1" s="367"/>
      <c r="BB1" s="367"/>
    </row>
    <row r="2" spans="1:66" ht="12.75" customHeight="1" x14ac:dyDescent="0.2">
      <c r="A2" s="367"/>
      <c r="B2" s="367"/>
      <c r="C2" s="367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905" t="str">
        <f>IF(Dados!$H$2="","",Dados!$H$2)</f>
        <v/>
      </c>
      <c r="AL2" s="1905"/>
      <c r="AM2" s="1905"/>
      <c r="AN2" s="1905"/>
      <c r="AO2" s="1905"/>
      <c r="AP2" s="1905"/>
      <c r="AQ2" s="1905"/>
      <c r="AR2" s="1905"/>
      <c r="AS2" s="1905"/>
      <c r="AT2" s="1905"/>
      <c r="AU2" s="1905"/>
      <c r="AV2" s="1905"/>
      <c r="AW2" s="1905"/>
      <c r="AX2" s="1905"/>
      <c r="AY2" s="1905"/>
      <c r="AZ2" s="1905"/>
      <c r="BA2" s="1905"/>
      <c r="BB2" s="56"/>
      <c r="BC2" s="293"/>
    </row>
    <row r="3" spans="1:66" ht="12.75" customHeight="1" x14ac:dyDescent="0.2">
      <c r="A3" s="367"/>
      <c r="B3" s="367"/>
      <c r="C3" s="367"/>
      <c r="D3" s="376"/>
      <c r="E3" s="376"/>
      <c r="F3" s="376"/>
      <c r="G3" s="376"/>
      <c r="H3" s="376"/>
      <c r="I3" s="376"/>
      <c r="J3" s="56"/>
      <c r="K3" s="376" t="s">
        <v>298</v>
      </c>
      <c r="L3" s="376"/>
      <c r="M3" s="57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520"/>
      <c r="AL3" s="520"/>
      <c r="AM3" s="520"/>
      <c r="AN3" s="520"/>
      <c r="AO3" s="520"/>
      <c r="AP3" s="520"/>
      <c r="AQ3" s="520"/>
      <c r="AR3" s="520"/>
      <c r="AS3" s="520"/>
      <c r="AT3" s="520"/>
      <c r="AU3" s="520"/>
      <c r="AV3" s="520"/>
      <c r="AW3" s="520"/>
      <c r="AX3" s="520"/>
      <c r="AY3" s="520"/>
      <c r="AZ3" s="520"/>
      <c r="BA3" s="520"/>
      <c r="BB3" s="56"/>
      <c r="BC3" s="366" t="s">
        <v>468</v>
      </c>
    </row>
    <row r="4" spans="1:66" x14ac:dyDescent="0.2">
      <c r="A4" s="367"/>
      <c r="B4" s="367"/>
      <c r="C4" s="367"/>
      <c r="D4" s="376"/>
      <c r="E4" s="376"/>
      <c r="F4" s="376"/>
      <c r="G4" s="376"/>
      <c r="H4" s="376"/>
      <c r="I4" s="376"/>
      <c r="J4" s="56"/>
      <c r="K4" s="376" t="s">
        <v>300</v>
      </c>
      <c r="L4" s="376"/>
      <c r="M4" s="57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76"/>
      <c r="AC4" s="376"/>
      <c r="AD4" s="376"/>
      <c r="AE4" s="376"/>
      <c r="AF4" s="376"/>
      <c r="AG4" s="376"/>
      <c r="AH4" s="376"/>
      <c r="AI4" s="376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6"/>
      <c r="AZ4" s="376"/>
      <c r="BA4" s="376"/>
      <c r="BB4" s="56"/>
      <c r="BC4" s="371" t="s">
        <v>452</v>
      </c>
      <c r="BD4" s="366" t="str">
        <f>BC3&amp;BC4</f>
        <v>Presidente da Diretoria Executiva da APM</v>
      </c>
    </row>
    <row r="5" spans="1:66" x14ac:dyDescent="0.2">
      <c r="A5" s="367"/>
      <c r="B5" s="367"/>
      <c r="C5" s="367"/>
      <c r="D5" s="56"/>
      <c r="E5" s="56"/>
      <c r="F5" s="56"/>
      <c r="G5" s="56"/>
      <c r="H5" s="56"/>
      <c r="I5" s="56"/>
      <c r="J5" s="56"/>
      <c r="K5" s="377" t="str">
        <f>"DIRETORIA REGIONAL DE EDUCAÇÃO - "&amp;Dados!$E$7</f>
        <v xml:space="preserve">DIRETORIA REGIONAL DE EDUCAÇÃO - </v>
      </c>
      <c r="L5" s="56"/>
      <c r="M5" s="57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378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371" t="s">
        <v>453</v>
      </c>
      <c r="BD5" s="366" t="str">
        <f>BC3&amp;BC5</f>
        <v>Presidente da Diretoria Executiva da APMSUAC</v>
      </c>
    </row>
    <row r="6" spans="1:66" x14ac:dyDescent="0.2">
      <c r="A6" s="367"/>
      <c r="B6" s="367"/>
      <c r="C6" s="367"/>
      <c r="D6" s="56"/>
      <c r="E6" s="56"/>
      <c r="F6" s="56"/>
      <c r="G6" s="56"/>
      <c r="H6" s="56"/>
      <c r="I6" s="56"/>
      <c r="J6" s="56"/>
      <c r="K6" s="1903" t="str">
        <f>Oficio!$P$6</f>
        <v/>
      </c>
      <c r="L6" s="1903"/>
      <c r="M6" s="1903"/>
      <c r="N6" s="1903"/>
      <c r="O6" s="1903"/>
      <c r="P6" s="1903"/>
      <c r="Q6" s="1903"/>
      <c r="R6" s="1903"/>
      <c r="S6" s="1903"/>
      <c r="T6" s="1903"/>
      <c r="U6" s="1903"/>
      <c r="V6" s="1903"/>
      <c r="W6" s="1903"/>
      <c r="X6" s="1903"/>
      <c r="Y6" s="1903"/>
      <c r="Z6" s="1903"/>
      <c r="AA6" s="1903"/>
      <c r="AB6" s="1903"/>
      <c r="AC6" s="1903"/>
      <c r="AD6" s="1903"/>
      <c r="AE6" s="1903"/>
      <c r="AF6" s="1903"/>
      <c r="AG6" s="1903"/>
      <c r="AH6" s="1903"/>
      <c r="AI6" s="1903"/>
      <c r="AJ6" s="1903"/>
      <c r="AK6" s="1903"/>
      <c r="AL6" s="1903"/>
      <c r="AM6" s="1903"/>
      <c r="AN6" s="1903"/>
      <c r="AO6" s="1903"/>
      <c r="AP6" s="1903"/>
      <c r="AQ6" s="1903"/>
      <c r="AR6" s="1903"/>
      <c r="AS6" s="1903"/>
      <c r="AT6" s="1903"/>
      <c r="AU6" s="1903"/>
      <c r="AV6" s="1903"/>
      <c r="AW6" s="1903"/>
      <c r="AX6" s="1903"/>
      <c r="AY6" s="1903"/>
      <c r="AZ6" s="1903"/>
      <c r="BA6" s="1903"/>
      <c r="BB6" s="56"/>
      <c r="BC6" s="293"/>
    </row>
    <row r="7" spans="1:66" ht="35.25" customHeight="1" x14ac:dyDescent="0.2">
      <c r="A7" s="367"/>
      <c r="B7" s="367"/>
      <c r="C7" s="367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293"/>
      <c r="BG7" s="400"/>
    </row>
    <row r="8" spans="1:66" ht="15.75" x14ac:dyDescent="0.25">
      <c r="A8" s="367"/>
      <c r="B8" s="367"/>
      <c r="C8" s="367"/>
      <c r="D8" s="1907"/>
      <c r="E8" s="1907"/>
      <c r="F8" s="1907"/>
      <c r="G8" s="1907"/>
      <c r="H8" s="1907"/>
      <c r="I8" s="1907"/>
      <c r="J8" s="1907"/>
      <c r="K8" s="1907"/>
      <c r="L8" s="1907"/>
      <c r="M8" s="1907"/>
      <c r="N8" s="1907"/>
      <c r="O8" s="1907"/>
      <c r="P8" s="1907"/>
      <c r="Q8" s="1907"/>
      <c r="R8" s="1907"/>
      <c r="S8" s="1907"/>
      <c r="T8" s="1907"/>
      <c r="U8" s="1907"/>
      <c r="V8" s="367"/>
      <c r="W8" s="367"/>
      <c r="X8" s="367"/>
      <c r="Y8" s="367"/>
      <c r="Z8" s="367"/>
      <c r="AA8" s="367"/>
      <c r="AB8" s="367"/>
      <c r="AC8" s="367"/>
      <c r="AD8" s="367"/>
      <c r="AE8" s="367"/>
      <c r="AF8" s="367"/>
      <c r="AG8" s="367"/>
      <c r="AH8" s="367"/>
      <c r="AI8" s="367"/>
      <c r="AJ8" s="367"/>
      <c r="AK8" s="367"/>
      <c r="AL8" s="367"/>
      <c r="AM8" s="367"/>
      <c r="AN8" s="367"/>
      <c r="AO8" s="367"/>
      <c r="AP8" s="367"/>
      <c r="AQ8" s="367"/>
      <c r="AR8" s="367"/>
      <c r="AS8" s="367"/>
      <c r="AT8" s="367"/>
      <c r="AU8" s="367"/>
      <c r="AV8" s="367"/>
      <c r="AW8" s="367"/>
      <c r="AX8" s="367"/>
      <c r="AY8" s="367"/>
      <c r="AZ8" s="367"/>
      <c r="BA8" s="56"/>
      <c r="BB8" s="56"/>
      <c r="BC8" s="293" t="s">
        <v>596</v>
      </c>
      <c r="BD8" s="530">
        <f>MENU!$A$1</f>
        <v>3</v>
      </c>
      <c r="BG8" t="b">
        <f xml:space="preserve">
IF(AND(BD8=1,BC13=BE12),BE12,
IF(AND(BD8=2,BC13=BE12),BE13,
IF(AND(BD8=2,BC13=BE13),BE12,
IF(AND(BD8=3,BC13=BE12),BE13,
IF(AND(BD8=3,BC13=BE13),BE14,
IF(AND(BD8=3,BC13=BE12),BE12))))))</f>
        <v>0</v>
      </c>
    </row>
    <row r="9" spans="1:66" ht="24.75" customHeight="1" x14ac:dyDescent="0.2">
      <c r="A9" s="367"/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56"/>
      <c r="BB9" s="56"/>
      <c r="BC9" s="293"/>
    </row>
    <row r="10" spans="1:66" ht="14.25" customHeight="1" x14ac:dyDescent="0.2">
      <c r="A10" s="367"/>
      <c r="B10" s="367"/>
      <c r="C10" s="367"/>
      <c r="D10" s="512" t="s">
        <v>504</v>
      </c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8"/>
      <c r="BA10" s="56"/>
      <c r="BB10" s="56"/>
      <c r="BC10" s="391" t="str">
        <f>"A "&amp;Oficio!P6</f>
        <v xml:space="preserve">A </v>
      </c>
    </row>
    <row r="11" spans="1:66" ht="14.25" customHeight="1" x14ac:dyDescent="0.2">
      <c r="A11" s="367"/>
      <c r="B11" s="367"/>
      <c r="C11" s="367"/>
      <c r="D11" s="367" t="s">
        <v>364</v>
      </c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  <c r="V11" s="367"/>
      <c r="W11" s="367"/>
      <c r="X11" s="367"/>
      <c r="Y11" s="367"/>
      <c r="Z11" s="367"/>
      <c r="AA11" s="367"/>
      <c r="AB11" s="367"/>
      <c r="AC11" s="367"/>
      <c r="AD11" s="367"/>
      <c r="AE11" s="367"/>
      <c r="AF11" s="367"/>
      <c r="AG11" s="367"/>
      <c r="AH11" s="367"/>
      <c r="AI11" s="367"/>
      <c r="AJ11" s="367"/>
      <c r="AK11" s="367"/>
      <c r="AL11" s="367"/>
      <c r="AM11" s="367"/>
      <c r="AN11" s="367"/>
      <c r="AO11" s="367"/>
      <c r="AP11" s="367"/>
      <c r="AQ11" s="367"/>
      <c r="AR11" s="367"/>
      <c r="AS11" s="367"/>
      <c r="AT11" s="367"/>
      <c r="AU11" s="367"/>
      <c r="AV11" s="367"/>
      <c r="AW11" s="367"/>
      <c r="AX11" s="367"/>
      <c r="AY11" s="367"/>
      <c r="AZ11" s="367"/>
      <c r="BA11" s="56"/>
      <c r="BB11" s="56"/>
      <c r="BC11" s="391" t="str">
        <f>IF(OR(BC15="CECI",BC15="CIEJA",BC15="CEI",BC15="CEU CEI",BC15="CEU EMEI",BC15="CEU EMEF",BC15="CEMEI")," DO "," DA ")</f>
        <v xml:space="preserve"> DA </v>
      </c>
    </row>
    <row r="12" spans="1:66" ht="14.25" customHeight="1" x14ac:dyDescent="0.2">
      <c r="A12" s="367"/>
      <c r="B12" s="367"/>
      <c r="C12" s="367"/>
      <c r="D12" s="367" t="str">
        <f>"Diretoria Regional de Educação"&amp;" - "&amp;Dados!$E$7</f>
        <v xml:space="preserve">Diretoria Regional de Educação - </v>
      </c>
      <c r="E12" s="367"/>
      <c r="F12" s="367"/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/>
      <c r="AY12" s="367"/>
      <c r="AZ12" s="367"/>
      <c r="BA12" s="56"/>
      <c r="BB12" s="56"/>
      <c r="BC12" s="391" t="str">
        <f>IF(OR(BC15="CECI",BC15="CIEJA",BC15="CEI",BC15="CEU CEI",BC15="CEU EMEI",BC15="CEU EMEF",BC15="CEMEI")," do "," da ")</f>
        <v xml:space="preserve"> da </v>
      </c>
      <c r="BE12" s="366" t="s">
        <v>420</v>
      </c>
      <c r="BG12" t="str">
        <f>IF(BC13=BE12,BC14,"")</f>
        <v/>
      </c>
    </row>
    <row r="13" spans="1:66" x14ac:dyDescent="0.2">
      <c r="A13" s="367"/>
      <c r="B13" s="367"/>
      <c r="C13" s="367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/>
      <c r="AY13" s="367"/>
      <c r="AZ13" s="367"/>
      <c r="BA13" s="56"/>
      <c r="BB13" s="56"/>
      <c r="BC13" s="529" t="str">
        <f>Dados!$C$128</f>
        <v/>
      </c>
      <c r="BD13" t="b">
        <f xml:space="preserve">
IF(AND(BD8=1,BC13=BE12),BE12&amp;BC14+1,
IF(AND(BD8=2,BC13=BE12),BE13&amp;BC14,
IF(AND(BD8=2,BC13=BE13),BE12&amp;BC14+1,
IF(AND(BD8=3,BC13=BE12),BE13&amp;BC14,
IF(AND(BD8=3,BC13=BE13),BE14&amp;BC14,
IF(AND(BD8=3,BC13=BE14),BE12&amp;BC14+1,
IF(AND(BD8=3,BC13=BE12),BE12&amp;BC14+1)))))))</f>
        <v>0</v>
      </c>
      <c r="BE13" s="366" t="s">
        <v>421</v>
      </c>
      <c r="BG13" t="str">
        <f>IF(BC13=BE13,BC14,"")</f>
        <v/>
      </c>
    </row>
    <row r="14" spans="1:66" x14ac:dyDescent="0.2">
      <c r="A14" s="367"/>
      <c r="B14" s="367"/>
      <c r="C14" s="367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391" t="str">
        <f>Dados!$E$128</f>
        <v/>
      </c>
      <c r="BE14" s="366" t="s">
        <v>422</v>
      </c>
      <c r="BG14" t="str">
        <f>IF(BC13=BE14,BC14+1,"")</f>
        <v/>
      </c>
    </row>
    <row r="15" spans="1:66" ht="70.5" customHeight="1" x14ac:dyDescent="0.2">
      <c r="A15" s="367"/>
      <c r="B15" s="367"/>
      <c r="C15" s="367"/>
      <c r="D15" s="1344" t="str">
        <f>BC10&amp;BC18&amp;BN18&amp;BC20&amp;BC25&amp;BD15&amp;BC26</f>
        <v>A , inscrita no CNPJ nº , requer pagamento correspondente ao próximo Repasse do PTRF, conforme disposto no item 6, Anexo I, da Portaria SME nº 4.554/08.</v>
      </c>
      <c r="E15" s="1344"/>
      <c r="F15" s="1344"/>
      <c r="G15" s="1344"/>
      <c r="H15" s="1344"/>
      <c r="I15" s="1344"/>
      <c r="J15" s="1344"/>
      <c r="K15" s="1344"/>
      <c r="L15" s="1344"/>
      <c r="M15" s="1344"/>
      <c r="N15" s="1344"/>
      <c r="O15" s="1344"/>
      <c r="P15" s="1344"/>
      <c r="Q15" s="1344"/>
      <c r="R15" s="1344"/>
      <c r="S15" s="1344"/>
      <c r="T15" s="1344"/>
      <c r="U15" s="1344"/>
      <c r="V15" s="1344"/>
      <c r="W15" s="1344"/>
      <c r="X15" s="1344"/>
      <c r="Y15" s="1344"/>
      <c r="Z15" s="1344"/>
      <c r="AA15" s="1344"/>
      <c r="AB15" s="1344"/>
      <c r="AC15" s="1344"/>
      <c r="AD15" s="1344"/>
      <c r="AE15" s="1344"/>
      <c r="AF15" s="1344"/>
      <c r="AG15" s="1344"/>
      <c r="AH15" s="1344"/>
      <c r="AI15" s="1344"/>
      <c r="AJ15" s="1344"/>
      <c r="AK15" s="1344"/>
      <c r="AL15" s="1344"/>
      <c r="AM15" s="1344"/>
      <c r="AN15" s="1344"/>
      <c r="AO15" s="1344"/>
      <c r="AP15" s="1344"/>
      <c r="AQ15" s="1344"/>
      <c r="AR15" s="1344"/>
      <c r="AS15" s="1344"/>
      <c r="AT15" s="1344"/>
      <c r="AU15" s="1344"/>
      <c r="AV15" s="1344"/>
      <c r="AW15" s="1344"/>
      <c r="AX15" s="1344"/>
      <c r="AY15" s="1344"/>
      <c r="AZ15" s="1344"/>
      <c r="BA15" s="1344"/>
      <c r="BB15" s="56"/>
      <c r="BC15" s="391" t="str">
        <f>Dados!$J$71</f>
        <v/>
      </c>
      <c r="BD15" t="s">
        <v>15216</v>
      </c>
      <c r="BG15" t="str">
        <f>IF(BC13="","",IF(BC13=BE12,BC14,IF(BC13=BE13,BC14,IF(BC13=BE14,BC14+1))))</f>
        <v/>
      </c>
    </row>
    <row r="16" spans="1:66" ht="36" customHeight="1" x14ac:dyDescent="0.2">
      <c r="A16" s="367"/>
      <c r="B16" s="367"/>
      <c r="C16" s="367"/>
      <c r="D16" s="379"/>
      <c r="E16" s="379"/>
      <c r="F16" s="379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79"/>
      <c r="V16" s="379"/>
      <c r="W16" s="379"/>
      <c r="X16" s="379"/>
      <c r="Y16" s="379"/>
      <c r="Z16" s="379"/>
      <c r="AA16" s="379"/>
      <c r="AB16" s="379"/>
      <c r="AC16" s="379"/>
      <c r="AD16" s="379"/>
      <c r="AE16" s="379"/>
      <c r="AF16" s="379"/>
      <c r="AG16" s="379"/>
      <c r="AH16" s="379"/>
      <c r="AI16" s="379"/>
      <c r="AJ16" s="379"/>
      <c r="AK16" s="379"/>
      <c r="AL16" s="379"/>
      <c r="AM16" s="379"/>
      <c r="AN16" s="379"/>
      <c r="AO16" s="379"/>
      <c r="AP16" s="379"/>
      <c r="AQ16" s="379"/>
      <c r="AR16" s="379"/>
      <c r="AS16" s="379"/>
      <c r="AT16" s="379"/>
      <c r="AU16" s="379"/>
      <c r="AV16" s="379"/>
      <c r="AW16" s="379"/>
      <c r="AX16" s="379"/>
      <c r="AY16" s="379"/>
      <c r="AZ16" s="379"/>
      <c r="BA16" s="56"/>
      <c r="BB16" s="56"/>
      <c r="BC16" s="392" t="s">
        <v>372</v>
      </c>
      <c r="BN16" s="372">
        <f>LEN(BC19)</f>
        <v>0</v>
      </c>
    </row>
    <row r="17" spans="1:67" x14ac:dyDescent="0.2">
      <c r="A17" s="367"/>
      <c r="B17" s="367"/>
      <c r="C17" s="367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0"/>
      <c r="V17" s="380"/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380"/>
      <c r="AH17" s="380"/>
      <c r="AI17" s="380"/>
      <c r="AJ17" s="380"/>
      <c r="AK17" s="380"/>
      <c r="AL17" s="380"/>
      <c r="AM17" s="380"/>
      <c r="AN17" s="380"/>
      <c r="AO17" s="380"/>
      <c r="AP17" s="380"/>
      <c r="AQ17" s="380"/>
      <c r="AR17" s="380"/>
      <c r="AS17" s="380"/>
      <c r="AT17" s="380"/>
      <c r="AU17" s="380"/>
      <c r="AV17" s="380"/>
      <c r="AW17" s="380"/>
      <c r="AX17" s="380"/>
      <c r="AY17" s="380"/>
      <c r="AZ17" s="380"/>
      <c r="BA17" s="381" t="s">
        <v>1380</v>
      </c>
      <c r="BB17" s="56"/>
      <c r="BC17" s="498" t="str">
        <f>Dados!$H$75</f>
        <v/>
      </c>
      <c r="BD17" s="399" t="s">
        <v>424</v>
      </c>
      <c r="BE17" s="398"/>
      <c r="BF17" t="s">
        <v>246</v>
      </c>
      <c r="BG17" s="372" t="str">
        <f>MID(BC19,1,3)</f>
        <v/>
      </c>
      <c r="BH17" t="s">
        <v>246</v>
      </c>
      <c r="BI17" s="372" t="str">
        <f>MID(BC19,4,3)</f>
        <v/>
      </c>
      <c r="BJ17" s="373" t="s">
        <v>367</v>
      </c>
      <c r="BK17" t="str">
        <f>MID(BC19,7,4)</f>
        <v/>
      </c>
      <c r="BL17" t="s">
        <v>366</v>
      </c>
      <c r="BM17" t="str">
        <f>MID(BC19,11,2)</f>
        <v/>
      </c>
      <c r="BO17" t="str">
        <f>BD17&amp;BE17&amp;BF17&amp;BG17&amp;BH17&amp;BI17&amp;BJ17&amp;BK17&amp;BL17&amp;BM17</f>
        <v>00../-</v>
      </c>
    </row>
    <row r="18" spans="1:67" x14ac:dyDescent="0.2">
      <c r="A18" s="367"/>
      <c r="B18" s="367"/>
      <c r="C18" s="367"/>
      <c r="D18" s="380"/>
      <c r="E18" s="380"/>
      <c r="F18" s="380"/>
      <c r="G18" s="382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0"/>
      <c r="V18" s="380"/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380"/>
      <c r="AH18" s="380"/>
      <c r="AI18" s="380"/>
      <c r="AJ18" s="380"/>
      <c r="AK18" s="380"/>
      <c r="AL18" s="380"/>
      <c r="AM18" s="380"/>
      <c r="AN18" s="380"/>
      <c r="AO18" s="380"/>
      <c r="AP18" s="380"/>
      <c r="AQ18" s="380"/>
      <c r="AR18" s="380"/>
      <c r="AS18" s="380"/>
      <c r="AT18" s="380"/>
      <c r="AU18" s="380"/>
      <c r="AV18" s="380"/>
      <c r="AW18" s="380"/>
      <c r="AX18" s="380"/>
      <c r="AY18" s="380"/>
      <c r="AZ18" s="380"/>
      <c r="BA18" s="381"/>
      <c r="BB18" s="56"/>
      <c r="BC18" s="371" t="s">
        <v>365</v>
      </c>
      <c r="BD18" s="373" t="s">
        <v>368</v>
      </c>
      <c r="BE18" s="372" t="str">
        <f>MID(BC19,1,1)</f>
        <v/>
      </c>
      <c r="BF18" s="366" t="s">
        <v>246</v>
      </c>
      <c r="BG18" s="372" t="str">
        <f>MID(BC19,2,3)</f>
        <v/>
      </c>
      <c r="BH18" s="374" t="s">
        <v>246</v>
      </c>
      <c r="BI18" s="372" t="str">
        <f>MID(BC19,5,3)</f>
        <v/>
      </c>
      <c r="BJ18" s="373" t="s">
        <v>367</v>
      </c>
      <c r="BK18" t="str">
        <f>MID(BC19,8,4)</f>
        <v/>
      </c>
      <c r="BL18" s="374" t="s">
        <v>366</v>
      </c>
      <c r="BM18" t="str">
        <f>MID(BC19,12,2)</f>
        <v/>
      </c>
      <c r="BN18" s="522" t="str">
        <f>TEXT(BC19,"00\.000\.000\/0000-00")</f>
        <v/>
      </c>
      <c r="BO18" t="str">
        <f>BD18&amp;BE18&amp;BF18&amp;BG18&amp;BH18&amp;BI18&amp;BJ18&amp;BK18&amp;BL18&amp;BM18</f>
        <v>0../-</v>
      </c>
    </row>
    <row r="19" spans="1:67" x14ac:dyDescent="0.2">
      <c r="A19" s="367"/>
      <c r="B19" s="367"/>
      <c r="C19" s="367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0"/>
      <c r="V19" s="380"/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380"/>
      <c r="AH19" s="380"/>
      <c r="AI19" s="380"/>
      <c r="AJ19" s="380"/>
      <c r="AK19" s="380"/>
      <c r="AL19" s="380"/>
      <c r="AM19" s="380"/>
      <c r="AN19" s="380"/>
      <c r="AO19" s="380"/>
      <c r="AP19" s="380"/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56"/>
      <c r="BB19" s="56"/>
      <c r="BC19" s="375" t="str">
        <f>Dados!$E$71</f>
        <v/>
      </c>
      <c r="BE19" s="372" t="str">
        <f>MID(BC19,1,2)</f>
        <v/>
      </c>
      <c r="BF19" s="366" t="s">
        <v>246</v>
      </c>
      <c r="BG19" s="372" t="str">
        <f>MID(BC19,3,3)</f>
        <v/>
      </c>
      <c r="BH19" s="374" t="s">
        <v>246</v>
      </c>
      <c r="BI19" s="372" t="str">
        <f>MID(BC19,6,3)</f>
        <v/>
      </c>
      <c r="BJ19" s="373" t="s">
        <v>367</v>
      </c>
      <c r="BK19" s="372" t="str">
        <f>MID(BC19,9,4)</f>
        <v/>
      </c>
      <c r="BL19" s="374" t="s">
        <v>366</v>
      </c>
      <c r="BM19" s="372" t="str">
        <f>MID(BC19,13,2)</f>
        <v/>
      </c>
      <c r="BO19" t="str">
        <f>BE19&amp;BF19&amp;BG19&amp;BH19&amp;BI19&amp;BJ19&amp;BK19&amp;BL19&amp;BM19</f>
        <v>../-</v>
      </c>
    </row>
    <row r="20" spans="1:67" x14ac:dyDescent="0.2">
      <c r="A20" s="367"/>
      <c r="B20" s="367"/>
      <c r="C20" s="367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380"/>
      <c r="AH20" s="380"/>
      <c r="AI20" s="380"/>
      <c r="AJ20" s="380"/>
      <c r="AK20" s="380"/>
      <c r="AL20" s="380"/>
      <c r="AM20" s="380"/>
      <c r="AN20" s="380"/>
      <c r="AO20" s="380"/>
      <c r="AP20" s="380"/>
      <c r="AQ20" s="380"/>
      <c r="AR20" s="380"/>
      <c r="AS20" s="380"/>
      <c r="AT20" s="380"/>
      <c r="AU20" s="380"/>
      <c r="AV20" s="380"/>
      <c r="AW20" s="380"/>
      <c r="AX20" s="380"/>
      <c r="AY20" s="380"/>
      <c r="AZ20" s="380"/>
      <c r="BA20" s="56"/>
      <c r="BB20" s="56"/>
      <c r="BC20" s="293" t="s">
        <v>425</v>
      </c>
    </row>
    <row r="21" spans="1:67" x14ac:dyDescent="0.2">
      <c r="A21" s="367"/>
      <c r="B21" s="367"/>
      <c r="C21" s="367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  <c r="Z21" s="380"/>
      <c r="AA21" s="383" t="s">
        <v>349</v>
      </c>
      <c r="AB21" s="56"/>
      <c r="AC21" s="56"/>
      <c r="AD21" s="56"/>
      <c r="AE21" s="56"/>
      <c r="AF21" s="56"/>
      <c r="AG21" s="1236"/>
      <c r="AH21" s="1236"/>
      <c r="AI21" s="1267" t="s">
        <v>152</v>
      </c>
      <c r="AJ21" s="1267"/>
      <c r="AK21" s="1236"/>
      <c r="AL21" s="1236"/>
      <c r="AM21" s="1236"/>
      <c r="AN21" s="1236"/>
      <c r="AO21" s="1236"/>
      <c r="AP21" s="1236"/>
      <c r="AQ21" s="1236"/>
      <c r="AR21" s="1236"/>
      <c r="AS21" s="1236"/>
      <c r="AT21" s="1236"/>
      <c r="AU21" s="1236"/>
      <c r="AV21" s="1267" t="s">
        <v>152</v>
      </c>
      <c r="AW21" s="1267"/>
      <c r="AX21" s="1236"/>
      <c r="AY21" s="1236"/>
      <c r="AZ21" s="1236"/>
      <c r="BA21" s="1236"/>
      <c r="BB21" s="56"/>
      <c r="BC21" s="370" t="str">
        <f>Dados!$J$137</f>
        <v/>
      </c>
      <c r="BD21" s="366" t="s">
        <v>49</v>
      </c>
      <c r="BE21" s="370" t="str">
        <f>Dados!$J$138</f>
        <v/>
      </c>
    </row>
    <row r="22" spans="1:67" x14ac:dyDescent="0.2">
      <c r="A22" s="367"/>
      <c r="B22" s="367"/>
      <c r="C22" s="367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380"/>
      <c r="AH22" s="380"/>
      <c r="AI22" s="380"/>
      <c r="AJ22" s="380"/>
      <c r="AK22" s="380"/>
      <c r="AL22" s="380"/>
      <c r="AM22" s="380"/>
      <c r="AN22" s="380"/>
      <c r="AO22" s="380"/>
      <c r="AP22" s="380"/>
      <c r="AQ22" s="380"/>
      <c r="AR22" s="380"/>
      <c r="AS22" s="380"/>
      <c r="AT22" s="380"/>
      <c r="AU22" s="380"/>
      <c r="AV22" s="380"/>
      <c r="AW22" s="380"/>
      <c r="AX22" s="380"/>
      <c r="AY22" s="380"/>
      <c r="AZ22" s="380"/>
      <c r="BA22" s="56"/>
      <c r="BB22" s="56"/>
      <c r="BC22" s="366" t="e">
        <f>DAY(BC21)</f>
        <v>#VALUE!</v>
      </c>
      <c r="BD22" t="e">
        <f>MONTH(BC21)</f>
        <v>#VALUE!</v>
      </c>
      <c r="BE22" t="e">
        <f>YEAR(BC21)</f>
        <v>#VALUE!</v>
      </c>
      <c r="BF22" s="366" t="s">
        <v>292</v>
      </c>
      <c r="BG22" t="e">
        <f>DAY(BE21)</f>
        <v>#VALUE!</v>
      </c>
      <c r="BH22" t="e">
        <f>MONTH(BE21)</f>
        <v>#VALUE!</v>
      </c>
      <c r="BI22" t="e">
        <f>YEAR(BE21)</f>
        <v>#VALUE!</v>
      </c>
      <c r="BO22" s="413" t="s">
        <v>446</v>
      </c>
    </row>
    <row r="23" spans="1:67" x14ac:dyDescent="0.2">
      <c r="A23" s="367"/>
      <c r="B23" s="367"/>
      <c r="C23" s="367"/>
      <c r="D23" s="1242"/>
      <c r="E23" s="1242"/>
      <c r="F23" s="1242"/>
      <c r="G23" s="1242"/>
      <c r="H23" s="1242"/>
      <c r="I23" s="1242"/>
      <c r="J23" s="1242"/>
      <c r="K23" s="1242"/>
      <c r="L23" s="1242"/>
      <c r="M23" s="1242"/>
      <c r="N23" s="1242"/>
      <c r="O23" s="1242"/>
      <c r="P23" s="1242"/>
      <c r="Q23" s="1242"/>
      <c r="R23" s="380"/>
      <c r="S23" s="380"/>
      <c r="T23" s="380"/>
      <c r="U23" s="380"/>
      <c r="V23" s="380"/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380"/>
      <c r="AH23" s="380"/>
      <c r="AI23" s="380"/>
      <c r="AJ23" s="380"/>
      <c r="AK23" s="380"/>
      <c r="AL23" s="380"/>
      <c r="AM23" s="380"/>
      <c r="AN23" s="380"/>
      <c r="AO23" s="380"/>
      <c r="AP23" s="380"/>
      <c r="AQ23" s="380"/>
      <c r="AR23" s="380"/>
      <c r="AS23" s="380"/>
      <c r="AT23" s="380"/>
      <c r="AU23" s="380"/>
      <c r="AV23" s="380"/>
      <c r="AW23" s="380"/>
      <c r="AX23" s="380"/>
      <c r="AY23" s="380"/>
      <c r="AZ23" s="380"/>
      <c r="BA23" s="56"/>
      <c r="BB23" s="56"/>
      <c r="BC23" t="e">
        <f>BC22&amp;"/"&amp;BD22&amp;"/"&amp;BE22</f>
        <v>#VALUE!</v>
      </c>
      <c r="BO23" s="413" t="s">
        <v>447</v>
      </c>
    </row>
    <row r="24" spans="1:67" x14ac:dyDescent="0.2">
      <c r="A24" s="367"/>
      <c r="B24" s="367"/>
      <c r="C24" s="367"/>
      <c r="D24" s="1242"/>
      <c r="E24" s="1242"/>
      <c r="F24" s="1242"/>
      <c r="G24" s="1242"/>
      <c r="H24" s="1242"/>
      <c r="I24" s="1242"/>
      <c r="J24" s="1242"/>
      <c r="K24" s="1242"/>
      <c r="L24" s="1242"/>
      <c r="M24" s="1242"/>
      <c r="N24" s="1242"/>
      <c r="O24" s="1242"/>
      <c r="P24" s="1242"/>
      <c r="Q24" s="1242"/>
      <c r="R24" s="380"/>
      <c r="S24" s="380"/>
      <c r="T24" s="380"/>
      <c r="U24" s="380"/>
      <c r="V24" s="380"/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380"/>
      <c r="AH24" s="380"/>
      <c r="AI24" s="380"/>
      <c r="AJ24" s="380"/>
      <c r="AK24" s="380"/>
      <c r="AL24" s="380"/>
      <c r="AM24" s="380"/>
      <c r="AN24" s="380"/>
      <c r="AO24" s="380"/>
      <c r="AP24" s="380"/>
      <c r="AQ24" s="380"/>
      <c r="AR24" s="380"/>
      <c r="AS24" s="380"/>
      <c r="AT24" s="380"/>
      <c r="AU24" s="380"/>
      <c r="AV24" s="380"/>
      <c r="AW24" s="380"/>
      <c r="AX24" s="380"/>
      <c r="AY24" s="380"/>
      <c r="AZ24" s="380"/>
      <c r="BA24" s="56"/>
      <c r="BB24" s="56"/>
      <c r="BC24" t="e">
        <f>BG22&amp;"/"&amp;BH22&amp;"/"&amp;BI22</f>
        <v>#VALUE!</v>
      </c>
    </row>
    <row r="25" spans="1:67" x14ac:dyDescent="0.2">
      <c r="A25" s="367"/>
      <c r="B25" s="367"/>
      <c r="C25" s="36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7"/>
      <c r="AB25" s="367"/>
      <c r="AC25" s="367"/>
      <c r="AD25" s="367"/>
      <c r="AE25" s="367"/>
      <c r="AF25" s="367"/>
      <c r="AG25" s="367"/>
      <c r="AH25" s="367"/>
      <c r="AI25" s="367"/>
      <c r="AJ25" s="367"/>
      <c r="AK25" s="367"/>
      <c r="AL25" s="367"/>
      <c r="AM25" s="367"/>
      <c r="AN25" s="367"/>
      <c r="AO25" s="367"/>
      <c r="AP25" s="367"/>
      <c r="AQ25" s="367"/>
      <c r="AR25" s="367"/>
      <c r="AS25" s="367"/>
      <c r="AT25" s="367"/>
      <c r="AU25" s="367"/>
      <c r="AV25" s="367"/>
      <c r="AW25" s="367"/>
      <c r="AX25" s="367"/>
      <c r="AY25" s="367"/>
      <c r="AZ25" s="367"/>
      <c r="BA25" s="367"/>
      <c r="BB25" s="367"/>
      <c r="BC25" t="s">
        <v>426</v>
      </c>
    </row>
    <row r="26" spans="1:67" x14ac:dyDescent="0.2">
      <c r="A26" s="367"/>
      <c r="B26" s="367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7"/>
      <c r="S26" s="367"/>
      <c r="T26" s="367"/>
      <c r="U26" s="367"/>
      <c r="V26" s="367"/>
      <c r="W26" s="367"/>
      <c r="X26" s="367"/>
      <c r="Y26" s="367"/>
      <c r="Z26" s="367"/>
      <c r="AA26" s="367"/>
      <c r="AB26" s="367"/>
      <c r="AC26" s="367"/>
      <c r="AD26" s="367"/>
      <c r="AE26" s="367"/>
      <c r="AF26" s="367"/>
      <c r="AG26" s="367"/>
      <c r="AH26" s="367"/>
      <c r="AI26" s="367"/>
      <c r="AJ26" s="367"/>
      <c r="AK26" s="367"/>
      <c r="AL26" s="367"/>
      <c r="AM26" s="367"/>
      <c r="AN26" s="367"/>
      <c r="AO26" s="367"/>
      <c r="AP26" s="367"/>
      <c r="AQ26" s="367"/>
      <c r="AR26" s="367"/>
      <c r="AS26" s="367"/>
      <c r="AT26" s="367"/>
      <c r="AU26" s="367"/>
      <c r="AV26" s="367"/>
      <c r="AW26" s="367"/>
      <c r="AX26" s="367"/>
      <c r="AY26" s="367"/>
      <c r="AZ26" s="367"/>
      <c r="BA26" s="367"/>
      <c r="BB26" s="367"/>
      <c r="BC26" s="366" t="s">
        <v>371</v>
      </c>
    </row>
    <row r="27" spans="1:67" x14ac:dyDescent="0.2">
      <c r="A27" s="367"/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7"/>
      <c r="S27" s="367"/>
      <c r="T27" s="367"/>
      <c r="U27" s="367"/>
      <c r="V27" s="367"/>
      <c r="W27" s="367"/>
      <c r="X27" s="367"/>
      <c r="Y27" s="367"/>
      <c r="Z27" s="367"/>
      <c r="AA27" s="367"/>
      <c r="AB27" s="367"/>
      <c r="AC27" s="367"/>
      <c r="AD27" s="367"/>
      <c r="AE27" s="367"/>
      <c r="AF27" s="367"/>
      <c r="AG27" s="367"/>
      <c r="AH27" s="367"/>
      <c r="AI27" s="367"/>
      <c r="AJ27" s="367"/>
      <c r="AK27" s="367"/>
      <c r="AL27" s="367"/>
      <c r="AM27" s="367"/>
      <c r="AN27" s="367"/>
      <c r="AO27" s="367"/>
      <c r="AP27" s="367"/>
      <c r="AQ27" s="367"/>
      <c r="AR27" s="367"/>
      <c r="AS27" s="367"/>
      <c r="AT27" s="367"/>
      <c r="AU27" s="367"/>
      <c r="AV27" s="367"/>
      <c r="AW27" s="367"/>
      <c r="AX27" s="367"/>
      <c r="AY27" s="367"/>
      <c r="AZ27" s="367"/>
      <c r="BA27" s="367"/>
      <c r="BB27" s="367"/>
    </row>
    <row r="28" spans="1:67" x14ac:dyDescent="0.2">
      <c r="A28" s="367"/>
      <c r="B28" s="367"/>
      <c r="C28" s="367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  <c r="V28" s="367"/>
      <c r="W28" s="367"/>
      <c r="X28" s="367"/>
      <c r="Y28" s="367"/>
      <c r="Z28" s="367"/>
      <c r="AA28" s="367"/>
      <c r="AB28" s="1391"/>
      <c r="AC28" s="1391"/>
      <c r="AD28" s="1391"/>
      <c r="AE28" s="1391"/>
      <c r="AF28" s="1391"/>
      <c r="AG28" s="1391"/>
      <c r="AH28" s="1391"/>
      <c r="AI28" s="1391"/>
      <c r="AJ28" s="1391"/>
      <c r="AK28" s="1391"/>
      <c r="AL28" s="1391"/>
      <c r="AM28" s="1391"/>
      <c r="AN28" s="1391"/>
      <c r="AO28" s="1391"/>
      <c r="AP28" s="1391"/>
      <c r="AQ28" s="1391"/>
      <c r="AR28" s="1391"/>
      <c r="AS28" s="1391"/>
      <c r="AT28" s="1391"/>
      <c r="AU28" s="1391"/>
      <c r="AV28" s="1391"/>
      <c r="AW28" s="1391"/>
      <c r="AX28" s="1391"/>
      <c r="AY28" s="1391"/>
      <c r="AZ28" s="1391"/>
      <c r="BA28" s="1391"/>
      <c r="BB28" s="367"/>
    </row>
    <row r="29" spans="1:67" x14ac:dyDescent="0.2">
      <c r="A29" s="367"/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  <c r="V29" s="367"/>
      <c r="W29" s="367"/>
      <c r="X29" s="367"/>
      <c r="Y29" s="367"/>
      <c r="Z29" s="367"/>
      <c r="AA29" s="367"/>
      <c r="AB29" s="1904" t="str">
        <f>IF(BC15="","",IF(BC15="CEU",BD5,BD4))</f>
        <v/>
      </c>
      <c r="AC29" s="1904"/>
      <c r="AD29" s="1904"/>
      <c r="AE29" s="1904"/>
      <c r="AF29" s="1904"/>
      <c r="AG29" s="1904"/>
      <c r="AH29" s="1904"/>
      <c r="AI29" s="1904"/>
      <c r="AJ29" s="1904"/>
      <c r="AK29" s="1904"/>
      <c r="AL29" s="1904"/>
      <c r="AM29" s="1904"/>
      <c r="AN29" s="1904"/>
      <c r="AO29" s="1904"/>
      <c r="AP29" s="1904"/>
      <c r="AQ29" s="1904"/>
      <c r="AR29" s="1904"/>
      <c r="AS29" s="1904"/>
      <c r="AT29" s="1904"/>
      <c r="AU29" s="1904"/>
      <c r="AV29" s="1904"/>
      <c r="AW29" s="1904"/>
      <c r="AX29" s="1904"/>
      <c r="AY29" s="1904"/>
      <c r="AZ29" s="1904"/>
      <c r="BA29" s="1904"/>
      <c r="BB29" s="367"/>
    </row>
    <row r="30" spans="1:67" x14ac:dyDescent="0.2">
      <c r="A30" s="367"/>
      <c r="B30" s="367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7"/>
      <c r="S30" s="367"/>
      <c r="T30" s="367"/>
      <c r="U30" s="367"/>
      <c r="V30" s="367"/>
      <c r="W30" s="367"/>
      <c r="X30" s="367"/>
      <c r="Y30" s="367"/>
      <c r="Z30" s="367"/>
      <c r="AA30" s="367"/>
      <c r="AB30" s="1906" t="str">
        <f>Dados!$E$109</f>
        <v/>
      </c>
      <c r="AC30" s="1906"/>
      <c r="AD30" s="1906"/>
      <c r="AE30" s="1906"/>
      <c r="AF30" s="1906"/>
      <c r="AG30" s="1906"/>
      <c r="AH30" s="1906"/>
      <c r="AI30" s="1906"/>
      <c r="AJ30" s="1906"/>
      <c r="AK30" s="1906"/>
      <c r="AL30" s="1906"/>
      <c r="AM30" s="1906"/>
      <c r="AN30" s="1906"/>
      <c r="AO30" s="1906"/>
      <c r="AP30" s="1906"/>
      <c r="AQ30" s="1906"/>
      <c r="AR30" s="1906"/>
      <c r="AS30" s="1906"/>
      <c r="AT30" s="1906"/>
      <c r="AU30" s="1906"/>
      <c r="AV30" s="1906"/>
      <c r="AW30" s="1906"/>
      <c r="AX30" s="1906"/>
      <c r="AY30" s="1906"/>
      <c r="AZ30" s="1906"/>
      <c r="BA30" s="1906"/>
      <c r="BB30" s="367"/>
    </row>
    <row r="31" spans="1:67" x14ac:dyDescent="0.2">
      <c r="A31" s="367"/>
      <c r="B31" s="367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67"/>
      <c r="V31" s="367"/>
      <c r="W31" s="367"/>
      <c r="X31" s="367"/>
      <c r="Y31" s="367"/>
      <c r="Z31" s="367"/>
      <c r="AA31" s="367"/>
      <c r="AB31" s="1906" t="str">
        <f>IF(Dados!$E$107="","","CPF: "&amp;Dados!$E$107)</f>
        <v/>
      </c>
      <c r="AC31" s="1906"/>
      <c r="AD31" s="1906"/>
      <c r="AE31" s="1906"/>
      <c r="AF31" s="1906"/>
      <c r="AG31" s="1906"/>
      <c r="AH31" s="1906"/>
      <c r="AI31" s="1906"/>
      <c r="AJ31" s="1906"/>
      <c r="AK31" s="1906"/>
      <c r="AL31" s="1906"/>
      <c r="AM31" s="1906"/>
      <c r="AN31" s="1906"/>
      <c r="AO31" s="1906"/>
      <c r="AP31" s="1906"/>
      <c r="AQ31" s="1906"/>
      <c r="AR31" s="1906"/>
      <c r="AS31" s="1906"/>
      <c r="AT31" s="1906"/>
      <c r="AU31" s="1906"/>
      <c r="AV31" s="1906"/>
      <c r="AW31" s="1906"/>
      <c r="AX31" s="1906"/>
      <c r="AY31" s="1906"/>
      <c r="AZ31" s="1906"/>
      <c r="BA31" s="1906"/>
      <c r="BB31" s="367"/>
    </row>
    <row r="32" spans="1:67" x14ac:dyDescent="0.2">
      <c r="A32" s="367"/>
      <c r="B32" s="367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7"/>
      <c r="S32" s="367"/>
      <c r="T32" s="367"/>
      <c r="U32" s="367"/>
      <c r="V32" s="367"/>
      <c r="W32" s="367"/>
      <c r="X32" s="367"/>
      <c r="Y32" s="367"/>
      <c r="Z32" s="367"/>
      <c r="AA32" s="367"/>
      <c r="AB32" s="1906" t="str">
        <f>IF(Dados!$E$125="","","RG: "&amp;Dados!$E$125)</f>
        <v/>
      </c>
      <c r="AC32" s="1906"/>
      <c r="AD32" s="1906"/>
      <c r="AE32" s="1906"/>
      <c r="AF32" s="1906"/>
      <c r="AG32" s="1906"/>
      <c r="AH32" s="1906"/>
      <c r="AI32" s="1906"/>
      <c r="AJ32" s="1906"/>
      <c r="AK32" s="1906"/>
      <c r="AL32" s="1906"/>
      <c r="AM32" s="1906"/>
      <c r="AN32" s="1906"/>
      <c r="AO32" s="1906"/>
      <c r="AP32" s="1906"/>
      <c r="AQ32" s="1906"/>
      <c r="AR32" s="1906"/>
      <c r="AS32" s="1906"/>
      <c r="AT32" s="1906"/>
      <c r="AU32" s="1906"/>
      <c r="AV32" s="1906"/>
      <c r="AW32" s="1906"/>
      <c r="AX32" s="1906"/>
      <c r="AY32" s="1906"/>
      <c r="AZ32" s="1906"/>
      <c r="BA32" s="1906"/>
      <c r="BB32" s="367"/>
    </row>
    <row r="33" spans="1:54" x14ac:dyDescent="0.2">
      <c r="A33" s="367"/>
      <c r="B33" s="367"/>
      <c r="C33" s="367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7"/>
      <c r="S33" s="367"/>
      <c r="T33" s="367"/>
      <c r="U33" s="367"/>
      <c r="V33" s="367"/>
      <c r="W33" s="367"/>
      <c r="X33" s="367"/>
      <c r="Y33" s="367"/>
      <c r="Z33" s="367"/>
      <c r="AA33" s="367"/>
      <c r="AB33" s="367"/>
      <c r="AC33" s="367"/>
      <c r="AD33" s="367"/>
      <c r="AE33" s="367"/>
      <c r="AF33" s="367"/>
      <c r="AG33" s="367"/>
      <c r="AH33" s="367"/>
      <c r="AI33" s="367"/>
      <c r="AJ33" s="367"/>
      <c r="AK33" s="367"/>
      <c r="AL33" s="367"/>
      <c r="AM33" s="367"/>
      <c r="AN33" s="367"/>
      <c r="AO33" s="367"/>
      <c r="AP33" s="367"/>
      <c r="AQ33" s="367"/>
      <c r="AR33" s="367"/>
      <c r="AS33" s="367"/>
      <c r="AT33" s="367"/>
      <c r="AU33" s="367"/>
      <c r="AV33" s="367"/>
      <c r="AW33" s="367"/>
      <c r="AX33" s="367"/>
      <c r="AY33" s="367"/>
      <c r="AZ33" s="367"/>
      <c r="BA33" s="367"/>
      <c r="BB33" s="367"/>
    </row>
    <row r="34" spans="1:54" x14ac:dyDescent="0.2">
      <c r="A34" s="367"/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/>
      <c r="AO34" s="367"/>
      <c r="AP34" s="367"/>
      <c r="AQ34" s="367"/>
      <c r="AR34" s="367"/>
      <c r="AS34" s="367"/>
      <c r="AT34" s="367"/>
      <c r="AU34" s="367"/>
      <c r="AV34" s="367"/>
      <c r="AW34" s="367"/>
      <c r="AX34" s="367"/>
      <c r="AY34" s="367"/>
      <c r="AZ34" s="367"/>
      <c r="BA34" s="367"/>
      <c r="BB34" s="367"/>
    </row>
    <row r="35" spans="1:54" x14ac:dyDescent="0.2">
      <c r="A35" s="367"/>
      <c r="B35" s="36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7"/>
      <c r="S35" s="367"/>
      <c r="T35" s="367"/>
      <c r="U35" s="367"/>
      <c r="V35" s="367"/>
      <c r="W35" s="367"/>
      <c r="X35" s="367"/>
      <c r="Y35" s="367"/>
      <c r="Z35" s="367"/>
      <c r="AA35" s="367"/>
      <c r="AB35" s="367"/>
      <c r="AC35" s="367"/>
      <c r="AD35" s="367"/>
      <c r="AE35" s="367"/>
      <c r="AF35" s="367"/>
      <c r="AG35" s="367"/>
      <c r="AH35" s="367"/>
      <c r="AI35" s="367"/>
      <c r="AJ35" s="367"/>
      <c r="AK35" s="367"/>
      <c r="AL35" s="367"/>
      <c r="AM35" s="367"/>
      <c r="AN35" s="367"/>
      <c r="AO35" s="367"/>
      <c r="AP35" s="367"/>
      <c r="AQ35" s="367"/>
      <c r="AR35" s="367"/>
      <c r="AS35" s="367"/>
      <c r="AT35" s="367"/>
      <c r="AU35" s="367"/>
      <c r="AV35" s="367"/>
      <c r="AW35" s="367"/>
      <c r="AX35" s="367"/>
      <c r="AY35" s="367"/>
      <c r="AZ35" s="367"/>
      <c r="BA35" s="367"/>
      <c r="BB35" s="367"/>
    </row>
    <row r="36" spans="1:54" x14ac:dyDescent="0.2">
      <c r="A36" s="367"/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7"/>
      <c r="S36" s="367"/>
      <c r="T36" s="367"/>
      <c r="U36" s="367"/>
      <c r="V36" s="367"/>
      <c r="W36" s="367"/>
      <c r="X36" s="367"/>
      <c r="Y36" s="367"/>
      <c r="Z36" s="367"/>
      <c r="AA36" s="367"/>
      <c r="AB36" s="367"/>
      <c r="AC36" s="367"/>
      <c r="AD36" s="367"/>
      <c r="AE36" s="367"/>
      <c r="AF36" s="367"/>
      <c r="AG36" s="367"/>
      <c r="AH36" s="367"/>
      <c r="AI36" s="367"/>
      <c r="AJ36" s="367"/>
      <c r="AK36" s="367"/>
      <c r="AL36" s="367"/>
      <c r="AM36" s="367"/>
      <c r="AN36" s="367"/>
      <c r="AO36" s="367"/>
      <c r="AP36" s="367"/>
      <c r="AQ36" s="367"/>
      <c r="AR36" s="367"/>
      <c r="AS36" s="367"/>
      <c r="AT36" s="367"/>
      <c r="AU36" s="367"/>
      <c r="AV36" s="367"/>
      <c r="AW36" s="367"/>
      <c r="AX36" s="367"/>
      <c r="AY36" s="367"/>
      <c r="AZ36" s="367"/>
      <c r="BA36" s="367"/>
      <c r="BB36" s="367"/>
    </row>
  </sheetData>
  <sheetProtection password="F261" sheet="1" objects="1" scenarios="1"/>
  <mergeCells count="16">
    <mergeCell ref="AB30:BA30"/>
    <mergeCell ref="D8:U8"/>
    <mergeCell ref="AB32:BA32"/>
    <mergeCell ref="D23:Q23"/>
    <mergeCell ref="D15:BA15"/>
    <mergeCell ref="AG21:AH21"/>
    <mergeCell ref="AI21:AJ21"/>
    <mergeCell ref="AK21:AU21"/>
    <mergeCell ref="AV21:AW21"/>
    <mergeCell ref="AX21:BA21"/>
    <mergeCell ref="AB31:BA31"/>
    <mergeCell ref="K6:BA6"/>
    <mergeCell ref="D24:Q24"/>
    <mergeCell ref="AB28:BA28"/>
    <mergeCell ref="AB29:BA29"/>
    <mergeCell ref="AK2:BA2"/>
  </mergeCells>
  <conditionalFormatting sqref="AG21:AH21 AK21:AU21 AX21:BA21">
    <cfRule type="cellIs" dxfId="163" priority="3" stopIfTrue="1" operator="equal">
      <formula>0</formula>
    </cfRule>
  </conditionalFormatting>
  <pageMargins left="0.78740157480314965" right="0.51181102362204722" top="0.78740157480314965" bottom="0.78740157480314965" header="0.31496062992125984" footer="0.31496062992125984"/>
  <pageSetup paperSize="9" scale="96" orientation="portrait" r:id="rId1"/>
  <ignoredErrors>
    <ignoredError sqref="BD18" numberStoredAsText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XFC2324"/>
  <sheetViews>
    <sheetView showGridLines="0" zoomScale="70" zoomScaleNormal="70" workbookViewId="0">
      <selection activeCell="A3" sqref="A3"/>
    </sheetView>
  </sheetViews>
  <sheetFormatPr defaultColWidth="0" defaultRowHeight="12.75" zeroHeight="1" x14ac:dyDescent="0.2"/>
  <cols>
    <col min="1" max="1" width="6.5703125" style="393" bestFit="1" customWidth="1"/>
    <col min="2" max="2" width="7.140625" customWidth="1"/>
    <col min="3" max="3" width="65" bestFit="1" customWidth="1"/>
    <col min="4" max="4" width="8.85546875" bestFit="1" customWidth="1"/>
    <col min="5" max="5" width="49.28515625" customWidth="1"/>
    <col min="6" max="6" width="21.140625" bestFit="1" customWidth="1"/>
    <col min="7" max="7" width="44" bestFit="1" customWidth="1"/>
    <col min="8" max="8" width="15.42578125" bestFit="1" customWidth="1"/>
    <col min="9" max="9" width="14.28515625" bestFit="1" customWidth="1"/>
    <col min="10" max="10" width="10.42578125" bestFit="1" customWidth="1"/>
    <col min="11" max="11" width="42.28515625" bestFit="1" customWidth="1"/>
    <col min="12" max="12" width="7.28515625" bestFit="1" customWidth="1"/>
    <col min="13" max="13" width="36.5703125" bestFit="1" customWidth="1"/>
    <col min="14" max="14" width="9" bestFit="1" customWidth="1"/>
    <col min="15" max="15" width="9.140625" bestFit="1" customWidth="1"/>
    <col min="16" max="16" width="16.85546875" bestFit="1" customWidth="1"/>
    <col min="17" max="17" width="12.5703125" bestFit="1" customWidth="1"/>
    <col min="18" max="18" width="9.42578125" bestFit="1" customWidth="1"/>
    <col min="19" max="19" width="8.5703125" bestFit="1" customWidth="1"/>
    <col min="20" max="22" width="8.7109375" bestFit="1" customWidth="1"/>
    <col min="23" max="23" width="9.42578125" bestFit="1" customWidth="1"/>
    <col min="24" max="24" width="8.85546875" bestFit="1" customWidth="1"/>
    <col min="25" max="25" width="9.42578125" bestFit="1" customWidth="1"/>
    <col min="26" max="26" width="9.7109375" bestFit="1" customWidth="1"/>
    <col min="27" max="27" width="10.42578125" bestFit="1" customWidth="1"/>
    <col min="28" max="28" width="13.5703125" bestFit="1" customWidth="1"/>
    <col min="29" max="29" width="8" bestFit="1" customWidth="1"/>
    <col min="30" max="30" width="8.5703125" bestFit="1" customWidth="1"/>
    <col min="31" max="31" width="9.7109375" bestFit="1" customWidth="1"/>
    <col min="32" max="32" width="9.5703125" bestFit="1" customWidth="1"/>
    <col min="33" max="33" width="12.5703125" bestFit="1" customWidth="1"/>
    <col min="34" max="34" width="11" bestFit="1" customWidth="1"/>
    <col min="35" max="35" width="10.140625" bestFit="1" customWidth="1"/>
    <col min="36" max="36" width="7.28515625" bestFit="1" customWidth="1"/>
    <col min="37" max="37" width="26.85546875" bestFit="1" customWidth="1"/>
    <col min="38" max="38" width="10.5703125" bestFit="1" customWidth="1"/>
    <col min="39" max="39" width="45" bestFit="1" customWidth="1"/>
    <col min="40" max="40" width="77.42578125" bestFit="1" customWidth="1"/>
    <col min="41" max="41" width="40.85546875" bestFit="1" customWidth="1"/>
    <col min="42" max="42" width="59.28515625" bestFit="1" customWidth="1"/>
    <col min="43" max="43" width="65" bestFit="1" customWidth="1"/>
    <col min="44" max="44" width="9.85546875" bestFit="1" customWidth="1"/>
    <col min="45" max="45" width="6.85546875" bestFit="1" customWidth="1"/>
    <col min="46" max="46" width="9.140625" bestFit="1" customWidth="1"/>
    <col min="47" max="47" width="12" bestFit="1" customWidth="1"/>
    <col min="48" max="48" width="4.5703125" bestFit="1" customWidth="1"/>
    <col min="49" max="52" width="9" bestFit="1" customWidth="1"/>
    <col min="53" max="53" width="10.140625" bestFit="1" customWidth="1"/>
    <col min="54" max="54" width="7" bestFit="1" customWidth="1"/>
    <col min="55" max="55" width="7.140625" bestFit="1" customWidth="1"/>
    <col min="56" max="56" width="9.42578125" bestFit="1" customWidth="1"/>
    <col min="57" max="57" width="5.42578125" bestFit="1" customWidth="1"/>
    <col min="58" max="59" width="8.140625" bestFit="1" customWidth="1"/>
    <col min="60" max="60" width="6.140625" bestFit="1" customWidth="1"/>
    <col min="61" max="65" width="9.85546875" bestFit="1" customWidth="1"/>
    <col min="66" max="74" width="9.140625" customWidth="1"/>
    <col min="75" max="75" width="10" customWidth="1"/>
    <col min="76" max="87" width="9.140625" customWidth="1"/>
    <col min="88" max="16383" width="9.140625" hidden="1"/>
    <col min="16384" max="16384" width="1.7109375" hidden="1"/>
  </cols>
  <sheetData>
    <row r="1" spans="1:87" x14ac:dyDescent="0.2">
      <c r="A1" s="394">
        <v>1</v>
      </c>
      <c r="B1" s="394">
        <v>2</v>
      </c>
      <c r="C1" s="394">
        <v>3</v>
      </c>
      <c r="D1" s="394">
        <v>4</v>
      </c>
      <c r="E1" s="394">
        <v>5</v>
      </c>
      <c r="F1" s="394">
        <v>6</v>
      </c>
      <c r="G1" s="394">
        <v>7</v>
      </c>
      <c r="H1" s="394">
        <v>8</v>
      </c>
      <c r="I1" s="394">
        <v>9</v>
      </c>
      <c r="J1" s="394">
        <v>10</v>
      </c>
      <c r="K1" s="394">
        <v>11</v>
      </c>
      <c r="L1" s="394">
        <v>12</v>
      </c>
      <c r="M1" s="394">
        <v>13</v>
      </c>
      <c r="N1" s="394">
        <v>14</v>
      </c>
      <c r="O1" s="394">
        <v>15</v>
      </c>
      <c r="P1" s="394">
        <v>16</v>
      </c>
      <c r="Q1" s="394">
        <v>17</v>
      </c>
      <c r="R1" s="394">
        <v>18</v>
      </c>
      <c r="S1" s="394">
        <v>19</v>
      </c>
      <c r="T1" s="394">
        <v>20</v>
      </c>
      <c r="U1" s="394">
        <v>21</v>
      </c>
      <c r="V1" s="394">
        <v>22</v>
      </c>
      <c r="W1" s="394">
        <v>23</v>
      </c>
      <c r="X1" s="394">
        <v>24</v>
      </c>
      <c r="Y1" s="394">
        <v>25</v>
      </c>
      <c r="Z1" s="394">
        <v>26</v>
      </c>
      <c r="AA1" s="394">
        <v>27</v>
      </c>
      <c r="AB1" s="394">
        <v>28</v>
      </c>
      <c r="AC1" s="394">
        <v>29</v>
      </c>
      <c r="AD1" s="394">
        <v>30</v>
      </c>
      <c r="AE1" s="394">
        <v>31</v>
      </c>
      <c r="AF1" s="394">
        <v>32</v>
      </c>
      <c r="AG1" s="394">
        <v>33</v>
      </c>
      <c r="AH1" s="394">
        <v>34</v>
      </c>
      <c r="AI1" s="394">
        <v>35</v>
      </c>
      <c r="AJ1" s="394">
        <v>36</v>
      </c>
      <c r="AK1" s="394">
        <v>37</v>
      </c>
      <c r="AL1" s="394">
        <v>38</v>
      </c>
      <c r="AM1" s="394">
        <v>39</v>
      </c>
      <c r="AN1" s="394">
        <v>40</v>
      </c>
      <c r="AO1" s="394">
        <v>41</v>
      </c>
      <c r="AP1" s="395">
        <v>42</v>
      </c>
      <c r="AQ1" s="395">
        <v>43</v>
      </c>
      <c r="AR1" s="394">
        <v>44</v>
      </c>
      <c r="AS1" s="395">
        <v>45</v>
      </c>
      <c r="AT1" s="394">
        <v>46</v>
      </c>
      <c r="AU1" s="395">
        <v>47</v>
      </c>
      <c r="AV1" s="394">
        <v>48</v>
      </c>
      <c r="AW1" s="394">
        <v>49</v>
      </c>
      <c r="AX1" s="394">
        <v>50</v>
      </c>
      <c r="AY1" s="394">
        <v>51</v>
      </c>
      <c r="AZ1" s="394">
        <v>52</v>
      </c>
      <c r="BA1" s="394">
        <v>53</v>
      </c>
      <c r="BB1" s="394">
        <v>54</v>
      </c>
      <c r="BC1" s="394">
        <v>55</v>
      </c>
      <c r="BD1" s="394">
        <v>56</v>
      </c>
      <c r="BE1" s="394">
        <v>57</v>
      </c>
      <c r="BF1" s="1908" t="s">
        <v>1310</v>
      </c>
      <c r="BG1" s="1909"/>
      <c r="BH1" s="508"/>
      <c r="BI1" s="508" t="s">
        <v>1141</v>
      </c>
      <c r="BJ1" s="508" t="s">
        <v>1142</v>
      </c>
      <c r="BK1" s="508" t="s">
        <v>1143</v>
      </c>
      <c r="BL1" s="508" t="s">
        <v>1142</v>
      </c>
      <c r="BM1" s="508" t="s">
        <v>1143</v>
      </c>
      <c r="BN1" s="508" t="s">
        <v>1142</v>
      </c>
      <c r="BO1" s="1908" t="s">
        <v>1144</v>
      </c>
      <c r="BP1" s="1909"/>
      <c r="BQ1" s="1908" t="s">
        <v>1145</v>
      </c>
      <c r="BR1" s="1909"/>
      <c r="BS1" s="1908" t="s">
        <v>1146</v>
      </c>
      <c r="BT1" s="1909"/>
      <c r="BU1" s="1908" t="s">
        <v>1147</v>
      </c>
      <c r="BV1" s="1909"/>
      <c r="BW1" s="508" t="s">
        <v>1381</v>
      </c>
      <c r="BX1" s="1908" t="s">
        <v>12300</v>
      </c>
      <c r="BY1" s="1909"/>
      <c r="BZ1" s="1908" t="s">
        <v>12299</v>
      </c>
      <c r="CA1" s="1909"/>
      <c r="CB1" s="1908" t="s">
        <v>12327</v>
      </c>
      <c r="CC1" s="1909"/>
      <c r="CD1" s="1908" t="s">
        <v>12328</v>
      </c>
      <c r="CE1" s="1909"/>
      <c r="CF1" s="1908" t="s">
        <v>12301</v>
      </c>
      <c r="CG1" s="1909"/>
      <c r="CH1" s="1908" t="s">
        <v>12302</v>
      </c>
      <c r="CI1" s="1909"/>
    </row>
    <row r="2" spans="1:87" x14ac:dyDescent="0.2">
      <c r="A2" s="396" t="s">
        <v>373</v>
      </c>
      <c r="B2" s="445" t="s">
        <v>374</v>
      </c>
      <c r="C2" s="445" t="s">
        <v>375</v>
      </c>
      <c r="D2" s="445" t="s">
        <v>376</v>
      </c>
      <c r="E2" s="445" t="s">
        <v>377</v>
      </c>
      <c r="F2" s="445" t="s">
        <v>378</v>
      </c>
      <c r="G2" s="445" t="s">
        <v>379</v>
      </c>
      <c r="H2" s="445" t="s">
        <v>1148</v>
      </c>
      <c r="I2" s="445" t="s">
        <v>380</v>
      </c>
      <c r="J2" s="445" t="s">
        <v>381</v>
      </c>
      <c r="K2" s="445" t="s">
        <v>382</v>
      </c>
      <c r="L2" s="445" t="s">
        <v>383</v>
      </c>
      <c r="M2" s="445" t="s">
        <v>384</v>
      </c>
      <c r="N2" s="445" t="s">
        <v>385</v>
      </c>
      <c r="O2" s="445" t="s">
        <v>386</v>
      </c>
      <c r="P2" s="446" t="s">
        <v>387</v>
      </c>
      <c r="Q2" s="446" t="s">
        <v>388</v>
      </c>
      <c r="R2" s="446" t="s">
        <v>389</v>
      </c>
      <c r="S2" s="446" t="s">
        <v>390</v>
      </c>
      <c r="T2" s="446" t="s">
        <v>391</v>
      </c>
      <c r="U2" s="446" t="s">
        <v>392</v>
      </c>
      <c r="V2" s="446" t="s">
        <v>393</v>
      </c>
      <c r="W2" s="450" t="s">
        <v>394</v>
      </c>
      <c r="X2" s="450" t="s">
        <v>395</v>
      </c>
      <c r="Y2" s="450" t="s">
        <v>396</v>
      </c>
      <c r="Z2" s="450" t="s">
        <v>397</v>
      </c>
      <c r="AA2" s="672" t="s">
        <v>1149</v>
      </c>
      <c r="AB2" s="672" t="s">
        <v>398</v>
      </c>
      <c r="AC2" s="450" t="s">
        <v>399</v>
      </c>
      <c r="AD2" s="450" t="s">
        <v>400</v>
      </c>
      <c r="AE2" s="450" t="s">
        <v>397</v>
      </c>
      <c r="AF2" s="673" t="s">
        <v>1150</v>
      </c>
      <c r="AG2" s="673" t="s">
        <v>401</v>
      </c>
      <c r="AH2" s="671" t="s">
        <v>402</v>
      </c>
      <c r="AI2" s="671" t="s">
        <v>403</v>
      </c>
      <c r="AJ2" s="445" t="s">
        <v>404</v>
      </c>
      <c r="AK2" s="445" t="s">
        <v>405</v>
      </c>
      <c r="AL2" s="445" t="s">
        <v>406</v>
      </c>
      <c r="AM2" s="445" t="s">
        <v>407</v>
      </c>
      <c r="AN2" s="445" t="s">
        <v>408</v>
      </c>
      <c r="AO2" s="445" t="s">
        <v>409</v>
      </c>
      <c r="AP2" s="446" t="s">
        <v>410</v>
      </c>
      <c r="AQ2" s="451" t="s">
        <v>411</v>
      </c>
      <c r="AR2" s="445" t="s">
        <v>412</v>
      </c>
      <c r="AS2" s="445" t="s">
        <v>413</v>
      </c>
      <c r="AT2" s="445" t="s">
        <v>414</v>
      </c>
      <c r="AU2" s="445" t="s">
        <v>415</v>
      </c>
      <c r="AV2" s="445" t="s">
        <v>416</v>
      </c>
      <c r="AW2" s="445" t="s">
        <v>417</v>
      </c>
      <c r="AX2" s="445" t="s">
        <v>418</v>
      </c>
      <c r="AY2" s="445" t="s">
        <v>508</v>
      </c>
      <c r="AZ2" s="445" t="s">
        <v>1151</v>
      </c>
      <c r="BA2" s="445" t="s">
        <v>419</v>
      </c>
      <c r="BB2" s="445" t="s">
        <v>1152</v>
      </c>
      <c r="BC2" s="445" t="s">
        <v>1153</v>
      </c>
      <c r="BD2" s="445" t="s">
        <v>1154</v>
      </c>
      <c r="BE2" s="445">
        <v>10000</v>
      </c>
      <c r="BF2" s="445" t="s">
        <v>181</v>
      </c>
      <c r="BG2" s="445" t="s">
        <v>182</v>
      </c>
      <c r="BH2" s="445" t="s">
        <v>1311</v>
      </c>
      <c r="BI2" s="445" t="s">
        <v>709</v>
      </c>
      <c r="BJ2" s="445" t="s">
        <v>709</v>
      </c>
      <c r="BK2" s="445" t="s">
        <v>1155</v>
      </c>
      <c r="BL2" s="445" t="s">
        <v>1155</v>
      </c>
      <c r="BM2" s="445" t="s">
        <v>1156</v>
      </c>
      <c r="BN2" s="445" t="s">
        <v>1156</v>
      </c>
      <c r="BO2" s="445" t="s">
        <v>181</v>
      </c>
      <c r="BP2" s="445" t="s">
        <v>182</v>
      </c>
      <c r="BQ2" s="445" t="s">
        <v>181</v>
      </c>
      <c r="BR2" s="445" t="s">
        <v>182</v>
      </c>
      <c r="BS2" s="445" t="s">
        <v>181</v>
      </c>
      <c r="BT2" s="445" t="s">
        <v>182</v>
      </c>
      <c r="BU2" s="445" t="s">
        <v>181</v>
      </c>
      <c r="BV2" s="445" t="s">
        <v>182</v>
      </c>
      <c r="BW2" s="445" t="s">
        <v>181</v>
      </c>
      <c r="BX2" s="445" t="s">
        <v>181</v>
      </c>
      <c r="BY2" s="671" t="s">
        <v>182</v>
      </c>
      <c r="BZ2" s="445" t="s">
        <v>181</v>
      </c>
      <c r="CA2" s="671" t="s">
        <v>182</v>
      </c>
      <c r="CB2" s="445" t="s">
        <v>181</v>
      </c>
      <c r="CC2" s="671" t="s">
        <v>182</v>
      </c>
      <c r="CD2" s="445" t="s">
        <v>181</v>
      </c>
      <c r="CE2" s="671" t="s">
        <v>182</v>
      </c>
      <c r="CF2" s="445" t="s">
        <v>181</v>
      </c>
      <c r="CG2" s="671" t="s">
        <v>182</v>
      </c>
      <c r="CH2" s="445" t="s">
        <v>181</v>
      </c>
      <c r="CI2" s="671" t="s">
        <v>182</v>
      </c>
    </row>
    <row r="3" spans="1:87" s="447" customFormat="1" ht="12.75" customHeight="1" x14ac:dyDescent="0.2">
      <c r="A3" s="449">
        <v>86</v>
      </c>
      <c r="B3" s="453">
        <v>86</v>
      </c>
      <c r="C3" s="454" t="s">
        <v>1389</v>
      </c>
      <c r="D3" s="454" t="s">
        <v>1390</v>
      </c>
      <c r="E3" s="454" t="s">
        <v>1391</v>
      </c>
      <c r="F3" s="454" t="s">
        <v>523</v>
      </c>
      <c r="G3" s="454" t="s">
        <v>12332</v>
      </c>
      <c r="H3" s="455">
        <v>1142145000190</v>
      </c>
      <c r="I3" s="462">
        <v>35006</v>
      </c>
      <c r="J3" s="457">
        <v>24648990</v>
      </c>
      <c r="K3" s="454" t="s">
        <v>1393</v>
      </c>
      <c r="L3" s="458">
        <v>502</v>
      </c>
      <c r="M3" s="454" t="s">
        <v>1394</v>
      </c>
      <c r="N3" s="459">
        <v>8460365</v>
      </c>
      <c r="O3" s="460">
        <v>25578348</v>
      </c>
      <c r="P3" s="462">
        <v>261311</v>
      </c>
      <c r="Q3" s="462">
        <v>86</v>
      </c>
      <c r="R3" s="462">
        <v>43921</v>
      </c>
      <c r="S3" s="463">
        <v>443</v>
      </c>
      <c r="T3" s="464">
        <v>3.6</v>
      </c>
      <c r="U3" s="465">
        <v>1594.8</v>
      </c>
      <c r="V3" s="465">
        <v>15120</v>
      </c>
      <c r="W3" s="466">
        <v>0</v>
      </c>
      <c r="X3" s="467">
        <v>1</v>
      </c>
      <c r="Y3" s="466">
        <v>25072.2</v>
      </c>
      <c r="Z3" s="468" t="s">
        <v>516</v>
      </c>
      <c r="AA3" s="466">
        <v>103494.6</v>
      </c>
      <c r="AB3" s="466">
        <v>103494.6</v>
      </c>
      <c r="AC3" s="467">
        <v>0</v>
      </c>
      <c r="AD3" s="466">
        <v>0</v>
      </c>
      <c r="AE3" s="468" t="s">
        <v>516</v>
      </c>
      <c r="AF3" s="466">
        <v>0</v>
      </c>
      <c r="AG3" s="466">
        <v>0</v>
      </c>
      <c r="AH3" s="466">
        <v>38179.72</v>
      </c>
      <c r="AI3" s="466">
        <v>14068.66</v>
      </c>
      <c r="AJ3" s="469" t="s">
        <v>1395</v>
      </c>
      <c r="AK3" s="470" t="s">
        <v>523</v>
      </c>
      <c r="AL3" s="471" t="s">
        <v>1396</v>
      </c>
      <c r="AM3" s="470" t="s">
        <v>1397</v>
      </c>
      <c r="AN3" s="470" t="s">
        <v>1392</v>
      </c>
      <c r="AO3" s="470" t="s">
        <v>12333</v>
      </c>
      <c r="AP3" s="470" t="s">
        <v>1398</v>
      </c>
      <c r="AQ3" s="470" t="s">
        <v>1389</v>
      </c>
      <c r="AR3" s="472" t="s">
        <v>515</v>
      </c>
      <c r="AS3" s="473" t="s">
        <v>1385</v>
      </c>
      <c r="AT3" s="472" t="s">
        <v>1390</v>
      </c>
      <c r="AU3" s="472" t="s">
        <v>420</v>
      </c>
      <c r="AV3" s="472">
        <v>2020</v>
      </c>
      <c r="AW3" s="474" t="s">
        <v>15078</v>
      </c>
      <c r="AX3" s="475" t="s">
        <v>15079</v>
      </c>
      <c r="AY3" s="515">
        <v>1</v>
      </c>
      <c r="AZ3" s="474" t="s">
        <v>15079</v>
      </c>
      <c r="BA3" s="472" t="s">
        <v>1390</v>
      </c>
      <c r="BB3" s="472" t="s">
        <v>1385</v>
      </c>
      <c r="BC3" s="472" t="s">
        <v>1385</v>
      </c>
      <c r="BD3" s="472" t="s">
        <v>1385</v>
      </c>
      <c r="BE3" s="472" t="s">
        <v>1385</v>
      </c>
      <c r="BF3" s="472">
        <v>25072.2</v>
      </c>
      <c r="BG3" s="472">
        <v>0</v>
      </c>
      <c r="BH3" s="472" t="s">
        <v>1385</v>
      </c>
      <c r="BI3" s="510">
        <v>0</v>
      </c>
      <c r="BJ3" s="510">
        <v>0</v>
      </c>
      <c r="BK3" s="510">
        <v>0</v>
      </c>
      <c r="BL3" s="510">
        <v>0</v>
      </c>
      <c r="BM3" s="510">
        <v>0</v>
      </c>
      <c r="BN3" s="510">
        <v>4000</v>
      </c>
      <c r="BO3" s="510">
        <v>0</v>
      </c>
      <c r="BP3" s="510">
        <v>0</v>
      </c>
      <c r="BQ3" s="510">
        <v>0</v>
      </c>
      <c r="BR3" s="510">
        <v>0</v>
      </c>
      <c r="BS3" s="510">
        <v>0</v>
      </c>
      <c r="BT3" s="510">
        <v>0</v>
      </c>
      <c r="BU3" s="510">
        <v>0</v>
      </c>
      <c r="BV3" s="510">
        <v>0</v>
      </c>
      <c r="BW3" s="510">
        <v>0</v>
      </c>
      <c r="BX3" s="510">
        <v>30000</v>
      </c>
      <c r="BY3" s="1011">
        <v>0</v>
      </c>
      <c r="BZ3" s="510">
        <v>0</v>
      </c>
      <c r="CA3" s="1011">
        <v>0</v>
      </c>
      <c r="CB3" s="510">
        <v>0</v>
      </c>
      <c r="CC3" s="1011">
        <v>0</v>
      </c>
      <c r="CD3" s="510">
        <v>0</v>
      </c>
      <c r="CE3" s="1011">
        <v>0</v>
      </c>
      <c r="CF3" s="510">
        <v>48422.400000000001</v>
      </c>
      <c r="CG3" s="1011">
        <v>0</v>
      </c>
      <c r="CH3" s="510">
        <v>0</v>
      </c>
      <c r="CI3" s="1011">
        <v>0</v>
      </c>
    </row>
    <row r="4" spans="1:87" s="448" customFormat="1" ht="12.75" customHeight="1" x14ac:dyDescent="0.2">
      <c r="A4" s="449">
        <v>86</v>
      </c>
      <c r="B4" s="453">
        <v>94</v>
      </c>
      <c r="C4" s="454" t="s">
        <v>1399</v>
      </c>
      <c r="D4" s="454" t="s">
        <v>1390</v>
      </c>
      <c r="E4" s="454" t="s">
        <v>1400</v>
      </c>
      <c r="F4" s="454" t="s">
        <v>522</v>
      </c>
      <c r="G4" s="454" t="s">
        <v>12334</v>
      </c>
      <c r="H4" s="455">
        <v>61390860000173</v>
      </c>
      <c r="I4" s="462">
        <v>32770</v>
      </c>
      <c r="J4" s="457">
        <v>37588273</v>
      </c>
      <c r="K4" s="454" t="s">
        <v>1401</v>
      </c>
      <c r="L4" s="458">
        <v>295</v>
      </c>
      <c r="M4" s="454" t="s">
        <v>1402</v>
      </c>
      <c r="N4" s="459">
        <v>2563010</v>
      </c>
      <c r="O4" s="460">
        <v>38590322</v>
      </c>
      <c r="P4" s="462">
        <v>74996</v>
      </c>
      <c r="Q4" s="462">
        <v>31</v>
      </c>
      <c r="R4" s="462">
        <v>44035</v>
      </c>
      <c r="S4" s="463">
        <v>407</v>
      </c>
      <c r="T4" s="464">
        <v>3.6</v>
      </c>
      <c r="U4" s="465">
        <v>1465.2</v>
      </c>
      <c r="V4" s="465">
        <v>15120</v>
      </c>
      <c r="W4" s="466">
        <v>0</v>
      </c>
      <c r="X4" s="467">
        <v>1</v>
      </c>
      <c r="Y4" s="466">
        <v>24877.8</v>
      </c>
      <c r="Z4" s="468" t="s">
        <v>516</v>
      </c>
      <c r="AA4" s="466">
        <v>103026.6</v>
      </c>
      <c r="AB4" s="466">
        <v>103026.6</v>
      </c>
      <c r="AC4" s="467">
        <v>0</v>
      </c>
      <c r="AD4" s="466">
        <v>0</v>
      </c>
      <c r="AE4" s="468" t="s">
        <v>516</v>
      </c>
      <c r="AF4" s="466">
        <v>0</v>
      </c>
      <c r="AG4" s="466">
        <v>0</v>
      </c>
      <c r="AH4" s="466">
        <v>8267.2800000000007</v>
      </c>
      <c r="AI4" s="466">
        <v>4872.92</v>
      </c>
      <c r="AJ4" s="469" t="s">
        <v>1403</v>
      </c>
      <c r="AK4" s="470" t="s">
        <v>6341</v>
      </c>
      <c r="AL4" s="471" t="s">
        <v>1404</v>
      </c>
      <c r="AM4" s="470" t="s">
        <v>12335</v>
      </c>
      <c r="AN4" s="470" t="s">
        <v>1385</v>
      </c>
      <c r="AO4" s="470" t="s">
        <v>12336</v>
      </c>
      <c r="AP4" s="470" t="s">
        <v>1405</v>
      </c>
      <c r="AQ4" s="470" t="s">
        <v>1399</v>
      </c>
      <c r="AR4" s="472" t="s">
        <v>515</v>
      </c>
      <c r="AS4" s="473" t="s">
        <v>1385</v>
      </c>
      <c r="AT4" s="472" t="s">
        <v>1390</v>
      </c>
      <c r="AU4" s="472" t="s">
        <v>420</v>
      </c>
      <c r="AV4" s="472">
        <v>2020</v>
      </c>
      <c r="AW4" s="474" t="s">
        <v>15078</v>
      </c>
      <c r="AX4" s="475" t="s">
        <v>15079</v>
      </c>
      <c r="AY4" s="515">
        <v>1</v>
      </c>
      <c r="AZ4" s="474" t="s">
        <v>15079</v>
      </c>
      <c r="BA4" s="472" t="s">
        <v>1390</v>
      </c>
      <c r="BB4" s="472" t="s">
        <v>1385</v>
      </c>
      <c r="BC4" s="472" t="s">
        <v>1385</v>
      </c>
      <c r="BD4" s="472" t="s">
        <v>1385</v>
      </c>
      <c r="BE4" s="472" t="s">
        <v>1385</v>
      </c>
      <c r="BF4" s="472">
        <v>24877.8</v>
      </c>
      <c r="BG4" s="472">
        <v>0</v>
      </c>
      <c r="BH4" s="472" t="s">
        <v>1385</v>
      </c>
      <c r="BI4" s="510">
        <v>0</v>
      </c>
      <c r="BJ4" s="510">
        <v>0</v>
      </c>
      <c r="BK4" s="510">
        <v>0</v>
      </c>
      <c r="BL4" s="510">
        <v>0</v>
      </c>
      <c r="BM4" s="510">
        <v>0</v>
      </c>
      <c r="BN4" s="510">
        <v>0</v>
      </c>
      <c r="BO4" s="510">
        <v>0</v>
      </c>
      <c r="BP4" s="510">
        <v>0</v>
      </c>
      <c r="BQ4" s="510">
        <v>0</v>
      </c>
      <c r="BR4" s="510">
        <v>0</v>
      </c>
      <c r="BS4" s="510">
        <v>0</v>
      </c>
      <c r="BT4" s="510">
        <v>0</v>
      </c>
      <c r="BU4" s="510">
        <v>0</v>
      </c>
      <c r="BV4" s="510">
        <v>0</v>
      </c>
      <c r="BW4" s="510">
        <v>0</v>
      </c>
      <c r="BX4" s="510">
        <v>30000</v>
      </c>
      <c r="BY4" s="1011">
        <v>0</v>
      </c>
      <c r="BZ4" s="510">
        <v>0</v>
      </c>
      <c r="CA4" s="1011">
        <v>0</v>
      </c>
      <c r="CB4" s="510">
        <v>0</v>
      </c>
      <c r="CC4" s="1011">
        <v>0</v>
      </c>
      <c r="CD4" s="510">
        <v>0</v>
      </c>
      <c r="CE4" s="1011">
        <v>0</v>
      </c>
      <c r="CF4" s="510">
        <v>48148.800000000003</v>
      </c>
      <c r="CG4" s="1011">
        <v>0</v>
      </c>
      <c r="CH4" s="510">
        <v>0</v>
      </c>
      <c r="CI4" s="1011">
        <v>0</v>
      </c>
    </row>
    <row r="5" spans="1:87" s="448" customFormat="1" ht="12.75" customHeight="1" x14ac:dyDescent="0.2">
      <c r="A5" s="449">
        <v>64</v>
      </c>
      <c r="B5" s="453">
        <v>108</v>
      </c>
      <c r="C5" s="454" t="s">
        <v>1406</v>
      </c>
      <c r="D5" s="454" t="s">
        <v>517</v>
      </c>
      <c r="E5" s="454" t="s">
        <v>1407</v>
      </c>
      <c r="F5" s="454" t="s">
        <v>526</v>
      </c>
      <c r="G5" s="454" t="s">
        <v>12337</v>
      </c>
      <c r="H5" s="455">
        <v>1095757000179</v>
      </c>
      <c r="I5" s="462">
        <v>35125</v>
      </c>
      <c r="J5" s="457">
        <v>37470612</v>
      </c>
      <c r="K5" s="454" t="s">
        <v>1408</v>
      </c>
      <c r="L5" s="458">
        <v>159</v>
      </c>
      <c r="M5" s="454" t="s">
        <v>1409</v>
      </c>
      <c r="N5" s="459">
        <v>8090290</v>
      </c>
      <c r="O5" s="460">
        <v>25815030</v>
      </c>
      <c r="P5" s="462">
        <v>139966</v>
      </c>
      <c r="Q5" s="462">
        <v>64</v>
      </c>
      <c r="R5" s="462">
        <v>43928</v>
      </c>
      <c r="S5" s="463">
        <v>654</v>
      </c>
      <c r="T5" s="464">
        <v>5.4</v>
      </c>
      <c r="U5" s="465">
        <v>3531.6</v>
      </c>
      <c r="V5" s="465">
        <v>17100</v>
      </c>
      <c r="W5" s="466">
        <v>0</v>
      </c>
      <c r="X5" s="467">
        <v>1</v>
      </c>
      <c r="Y5" s="466">
        <v>30947.4</v>
      </c>
      <c r="Z5" s="468" t="s">
        <v>516</v>
      </c>
      <c r="AA5" s="466">
        <v>123832.6</v>
      </c>
      <c r="AB5" s="466">
        <v>123832.6</v>
      </c>
      <c r="AC5" s="467">
        <v>0</v>
      </c>
      <c r="AD5" s="466">
        <v>0</v>
      </c>
      <c r="AE5" s="468" t="s">
        <v>516</v>
      </c>
      <c r="AF5" s="466">
        <v>0</v>
      </c>
      <c r="AG5" s="466">
        <v>0</v>
      </c>
      <c r="AH5" s="466">
        <v>4773.34</v>
      </c>
      <c r="AI5" s="466">
        <v>1.62</v>
      </c>
      <c r="AJ5" s="469" t="s">
        <v>1410</v>
      </c>
      <c r="AK5" s="470" t="s">
        <v>1411</v>
      </c>
      <c r="AL5" s="471" t="s">
        <v>1412</v>
      </c>
      <c r="AM5" s="470" t="s">
        <v>1413</v>
      </c>
      <c r="AN5" s="470" t="s">
        <v>1385</v>
      </c>
      <c r="AO5" s="470" t="s">
        <v>1414</v>
      </c>
      <c r="AP5" s="470" t="s">
        <v>1415</v>
      </c>
      <c r="AQ5" s="470" t="s">
        <v>1406</v>
      </c>
      <c r="AR5" s="472" t="s">
        <v>515</v>
      </c>
      <c r="AS5" s="473" t="s">
        <v>1385</v>
      </c>
      <c r="AT5" s="472" t="s">
        <v>517</v>
      </c>
      <c r="AU5" s="472" t="s">
        <v>420</v>
      </c>
      <c r="AV5" s="472">
        <v>2020</v>
      </c>
      <c r="AW5" s="474" t="s">
        <v>15078</v>
      </c>
      <c r="AX5" s="475" t="s">
        <v>15079</v>
      </c>
      <c r="AY5" s="515">
        <v>1</v>
      </c>
      <c r="AZ5" s="474" t="s">
        <v>15079</v>
      </c>
      <c r="BA5" s="472" t="s">
        <v>517</v>
      </c>
      <c r="BB5" s="472" t="s">
        <v>1385</v>
      </c>
      <c r="BC5" s="472" t="s">
        <v>1385</v>
      </c>
      <c r="BD5" s="472" t="s">
        <v>1385</v>
      </c>
      <c r="BE5" s="472" t="s">
        <v>1385</v>
      </c>
      <c r="BF5" s="472">
        <v>30947.4</v>
      </c>
      <c r="BG5" s="472">
        <v>0</v>
      </c>
      <c r="BH5" s="472" t="s">
        <v>1385</v>
      </c>
      <c r="BI5" s="510">
        <v>0</v>
      </c>
      <c r="BJ5" s="510">
        <v>0</v>
      </c>
      <c r="BK5" s="510">
        <v>0</v>
      </c>
      <c r="BL5" s="510">
        <v>0</v>
      </c>
      <c r="BM5" s="510">
        <v>0</v>
      </c>
      <c r="BN5" s="510">
        <v>3500</v>
      </c>
      <c r="BO5" s="510">
        <v>0</v>
      </c>
      <c r="BP5" s="510">
        <v>0</v>
      </c>
      <c r="BQ5" s="510">
        <v>0</v>
      </c>
      <c r="BR5" s="510">
        <v>0</v>
      </c>
      <c r="BS5" s="510">
        <v>0</v>
      </c>
      <c r="BT5" s="510">
        <v>0</v>
      </c>
      <c r="BU5" s="510">
        <v>2500</v>
      </c>
      <c r="BV5" s="510">
        <v>2500</v>
      </c>
      <c r="BW5" s="510">
        <v>0</v>
      </c>
      <c r="BX5" s="510">
        <v>30000</v>
      </c>
      <c r="BY5" s="1011">
        <v>0</v>
      </c>
      <c r="BZ5" s="510">
        <v>0</v>
      </c>
      <c r="CA5" s="1011">
        <v>0</v>
      </c>
      <c r="CB5" s="510">
        <v>22000</v>
      </c>
      <c r="CC5" s="1011">
        <v>0</v>
      </c>
      <c r="CD5" s="510">
        <v>0</v>
      </c>
      <c r="CE5" s="1011">
        <v>0</v>
      </c>
      <c r="CF5" s="510">
        <v>40885.199999999997</v>
      </c>
      <c r="CG5" s="1011">
        <v>0</v>
      </c>
      <c r="CH5" s="510">
        <v>0</v>
      </c>
      <c r="CI5" s="1011">
        <v>0</v>
      </c>
    </row>
    <row r="6" spans="1:87" s="448" customFormat="1" ht="12.75" customHeight="1" x14ac:dyDescent="0.2">
      <c r="A6" s="449">
        <v>21</v>
      </c>
      <c r="B6" s="453">
        <v>191</v>
      </c>
      <c r="C6" s="454" t="s">
        <v>587</v>
      </c>
      <c r="D6" s="454" t="s">
        <v>517</v>
      </c>
      <c r="E6" s="454" t="s">
        <v>588</v>
      </c>
      <c r="F6" s="454" t="s">
        <v>519</v>
      </c>
      <c r="G6" s="454" t="s">
        <v>12338</v>
      </c>
      <c r="H6" s="455">
        <v>60731387000188</v>
      </c>
      <c r="I6" s="462">
        <v>32696</v>
      </c>
      <c r="J6" s="457">
        <v>37357255</v>
      </c>
      <c r="K6" s="454" t="s">
        <v>590</v>
      </c>
      <c r="L6" s="458">
        <v>140</v>
      </c>
      <c r="M6" s="454" t="s">
        <v>591</v>
      </c>
      <c r="N6" s="459">
        <v>5742100</v>
      </c>
      <c r="O6" s="460">
        <v>58450121</v>
      </c>
      <c r="P6" s="462">
        <v>116354</v>
      </c>
      <c r="Q6" s="462">
        <v>3</v>
      </c>
      <c r="R6" s="462">
        <v>43881</v>
      </c>
      <c r="S6" s="463">
        <v>476</v>
      </c>
      <c r="T6" s="464">
        <v>5.4</v>
      </c>
      <c r="U6" s="465">
        <v>2570.4</v>
      </c>
      <c r="V6" s="465">
        <v>15480</v>
      </c>
      <c r="W6" s="466">
        <v>0</v>
      </c>
      <c r="X6" s="467">
        <v>1</v>
      </c>
      <c r="Y6" s="466">
        <v>0</v>
      </c>
      <c r="Z6" s="468" t="s">
        <v>514</v>
      </c>
      <c r="AA6" s="466">
        <v>0</v>
      </c>
      <c r="AB6" s="466">
        <v>0</v>
      </c>
      <c r="AC6" s="467">
        <v>0</v>
      </c>
      <c r="AD6" s="466">
        <v>0</v>
      </c>
      <c r="AE6" s="468" t="s">
        <v>516</v>
      </c>
      <c r="AF6" s="466">
        <v>0</v>
      </c>
      <c r="AG6" s="466">
        <v>0</v>
      </c>
      <c r="AH6" s="466">
        <v>2401.25</v>
      </c>
      <c r="AI6" s="466">
        <v>11042.38</v>
      </c>
      <c r="AJ6" s="469" t="s">
        <v>592</v>
      </c>
      <c r="AK6" s="470" t="s">
        <v>593</v>
      </c>
      <c r="AL6" s="471" t="s">
        <v>594</v>
      </c>
      <c r="AM6" s="470" t="s">
        <v>12339</v>
      </c>
      <c r="AN6" s="470" t="s">
        <v>589</v>
      </c>
      <c r="AO6" s="470" t="s">
        <v>12340</v>
      </c>
      <c r="AP6" s="470" t="s">
        <v>595</v>
      </c>
      <c r="AQ6" s="470" t="s">
        <v>587</v>
      </c>
      <c r="AR6" s="472" t="s">
        <v>515</v>
      </c>
      <c r="AS6" s="473" t="s">
        <v>1385</v>
      </c>
      <c r="AT6" s="472" t="s">
        <v>517</v>
      </c>
      <c r="AU6" s="472" t="s">
        <v>420</v>
      </c>
      <c r="AV6" s="472">
        <v>2020</v>
      </c>
      <c r="AW6" s="474" t="s">
        <v>15078</v>
      </c>
      <c r="AX6" s="475" t="s">
        <v>15079</v>
      </c>
      <c r="AY6" s="515">
        <v>1</v>
      </c>
      <c r="AZ6" s="474" t="s">
        <v>15079</v>
      </c>
      <c r="BA6" s="472" t="s">
        <v>1385</v>
      </c>
      <c r="BB6" s="472" t="s">
        <v>1385</v>
      </c>
      <c r="BC6" s="472" t="s">
        <v>1385</v>
      </c>
      <c r="BD6" s="472" t="s">
        <v>1385</v>
      </c>
      <c r="BE6" s="472" t="s">
        <v>1385</v>
      </c>
      <c r="BF6" s="472">
        <v>27075.599999999999</v>
      </c>
      <c r="BG6" s="472">
        <v>0</v>
      </c>
      <c r="BH6" s="472" t="s">
        <v>516</v>
      </c>
      <c r="BI6" s="510">
        <v>0</v>
      </c>
      <c r="BJ6" s="510">
        <v>0</v>
      </c>
      <c r="BK6" s="510">
        <v>0</v>
      </c>
      <c r="BL6" s="510">
        <v>0</v>
      </c>
      <c r="BM6" s="510">
        <v>0</v>
      </c>
      <c r="BN6" s="510">
        <v>0</v>
      </c>
      <c r="BO6" s="510">
        <v>0</v>
      </c>
      <c r="BP6" s="510">
        <v>0</v>
      </c>
      <c r="BQ6" s="510">
        <v>0</v>
      </c>
      <c r="BR6" s="510">
        <v>0</v>
      </c>
      <c r="BS6" s="510">
        <v>0</v>
      </c>
      <c r="BT6" s="510">
        <v>0</v>
      </c>
      <c r="BU6" s="510">
        <v>0</v>
      </c>
      <c r="BV6" s="510">
        <v>0</v>
      </c>
      <c r="BW6" s="510">
        <v>0</v>
      </c>
      <c r="BX6" s="510">
        <v>0</v>
      </c>
      <c r="BY6" s="1011">
        <v>0</v>
      </c>
      <c r="BZ6" s="510">
        <v>0</v>
      </c>
      <c r="CA6" s="1011">
        <v>0</v>
      </c>
      <c r="CB6" s="510">
        <v>0</v>
      </c>
      <c r="CC6" s="1011">
        <v>0</v>
      </c>
      <c r="CD6" s="510">
        <v>0</v>
      </c>
      <c r="CE6" s="1011">
        <v>0</v>
      </c>
      <c r="CF6" s="510">
        <v>0</v>
      </c>
      <c r="CG6" s="1011">
        <v>0</v>
      </c>
      <c r="CH6" s="510">
        <v>0</v>
      </c>
      <c r="CI6" s="1011">
        <v>0</v>
      </c>
    </row>
    <row r="7" spans="1:87" s="447" customFormat="1" ht="12.75" customHeight="1" x14ac:dyDescent="0.2">
      <c r="A7" s="449">
        <v>29</v>
      </c>
      <c r="B7" s="453">
        <v>205</v>
      </c>
      <c r="C7" s="454" t="s">
        <v>1416</v>
      </c>
      <c r="D7" s="454" t="s">
        <v>1417</v>
      </c>
      <c r="E7" s="454" t="s">
        <v>1418</v>
      </c>
      <c r="F7" s="454" t="s">
        <v>528</v>
      </c>
      <c r="G7" s="454" t="s">
        <v>12341</v>
      </c>
      <c r="H7" s="455">
        <v>59951152000112</v>
      </c>
      <c r="I7" s="462">
        <v>32562</v>
      </c>
      <c r="J7" s="457">
        <v>37373293</v>
      </c>
      <c r="K7" s="454" t="s">
        <v>1420</v>
      </c>
      <c r="L7" s="458">
        <v>206</v>
      </c>
      <c r="M7" s="454" t="s">
        <v>1421</v>
      </c>
      <c r="N7" s="459">
        <v>5134120</v>
      </c>
      <c r="O7" s="460">
        <v>39067057</v>
      </c>
      <c r="P7" s="462">
        <v>263284</v>
      </c>
      <c r="Q7" s="462">
        <v>29</v>
      </c>
      <c r="R7" s="462">
        <v>43938</v>
      </c>
      <c r="S7" s="463">
        <v>51</v>
      </c>
      <c r="T7" s="464">
        <v>5.4</v>
      </c>
      <c r="U7" s="465">
        <v>275.39999999999998</v>
      </c>
      <c r="V7" s="465">
        <v>18000</v>
      </c>
      <c r="W7" s="466">
        <v>0</v>
      </c>
      <c r="X7" s="467">
        <v>1</v>
      </c>
      <c r="Y7" s="466">
        <v>27413.1</v>
      </c>
      <c r="Z7" s="468" t="s">
        <v>516</v>
      </c>
      <c r="AA7" s="466">
        <v>108899.1</v>
      </c>
      <c r="AB7" s="466">
        <v>108899.1</v>
      </c>
      <c r="AC7" s="467">
        <v>0</v>
      </c>
      <c r="AD7" s="466">
        <v>0</v>
      </c>
      <c r="AE7" s="468" t="s">
        <v>516</v>
      </c>
      <c r="AF7" s="466">
        <v>0</v>
      </c>
      <c r="AG7" s="466">
        <v>0</v>
      </c>
      <c r="AH7" s="466">
        <v>26574.62</v>
      </c>
      <c r="AI7" s="466">
        <v>13954.39</v>
      </c>
      <c r="AJ7" s="469" t="s">
        <v>1422</v>
      </c>
      <c r="AK7" s="470" t="s">
        <v>1423</v>
      </c>
      <c r="AL7" s="471" t="s">
        <v>1424</v>
      </c>
      <c r="AM7" s="470" t="s">
        <v>1425</v>
      </c>
      <c r="AN7" s="470" t="s">
        <v>1419</v>
      </c>
      <c r="AO7" s="470" t="s">
        <v>12342</v>
      </c>
      <c r="AP7" s="470" t="s">
        <v>1426</v>
      </c>
      <c r="AQ7" s="470" t="s">
        <v>1416</v>
      </c>
      <c r="AR7" s="472" t="s">
        <v>515</v>
      </c>
      <c r="AS7" s="473" t="s">
        <v>1385</v>
      </c>
      <c r="AT7" s="472" t="s">
        <v>1417</v>
      </c>
      <c r="AU7" s="472" t="s">
        <v>420</v>
      </c>
      <c r="AV7" s="472">
        <v>2020</v>
      </c>
      <c r="AW7" s="474" t="s">
        <v>15078</v>
      </c>
      <c r="AX7" s="475" t="s">
        <v>15079</v>
      </c>
      <c r="AY7" s="515">
        <v>1</v>
      </c>
      <c r="AZ7" s="474" t="s">
        <v>15079</v>
      </c>
      <c r="BA7" s="472" t="s">
        <v>1417</v>
      </c>
      <c r="BB7" s="472" t="s">
        <v>1385</v>
      </c>
      <c r="BC7" s="472" t="s">
        <v>1385</v>
      </c>
      <c r="BD7" s="472" t="s">
        <v>1385</v>
      </c>
      <c r="BE7" s="472" t="s">
        <v>1385</v>
      </c>
      <c r="BF7" s="472">
        <v>27413.1</v>
      </c>
      <c r="BG7" s="472">
        <v>0</v>
      </c>
      <c r="BH7" s="472" t="s">
        <v>1385</v>
      </c>
      <c r="BI7" s="510">
        <v>0</v>
      </c>
      <c r="BJ7" s="510">
        <v>0</v>
      </c>
      <c r="BK7" s="510">
        <v>0</v>
      </c>
      <c r="BL7" s="510">
        <v>0</v>
      </c>
      <c r="BM7" s="510">
        <v>0</v>
      </c>
      <c r="BN7" s="510">
        <v>2000</v>
      </c>
      <c r="BO7" s="510">
        <v>0</v>
      </c>
      <c r="BP7" s="510">
        <v>0</v>
      </c>
      <c r="BQ7" s="510">
        <v>0</v>
      </c>
      <c r="BR7" s="510">
        <v>0</v>
      </c>
      <c r="BS7" s="510">
        <v>0</v>
      </c>
      <c r="BT7" s="510">
        <v>0</v>
      </c>
      <c r="BU7" s="510">
        <v>0</v>
      </c>
      <c r="BV7" s="510">
        <v>0</v>
      </c>
      <c r="BW7" s="510">
        <v>0</v>
      </c>
      <c r="BX7" s="510">
        <v>30000</v>
      </c>
      <c r="BY7" s="1011">
        <v>0</v>
      </c>
      <c r="BZ7" s="510">
        <v>0</v>
      </c>
      <c r="CA7" s="1011">
        <v>0</v>
      </c>
      <c r="CB7" s="510">
        <v>0</v>
      </c>
      <c r="CC7" s="1011">
        <v>0</v>
      </c>
      <c r="CD7" s="510">
        <v>0</v>
      </c>
      <c r="CE7" s="1011">
        <v>0</v>
      </c>
      <c r="CF7" s="510">
        <v>51486</v>
      </c>
      <c r="CG7" s="1011">
        <v>0</v>
      </c>
      <c r="CH7" s="510">
        <v>0</v>
      </c>
      <c r="CI7" s="1011">
        <v>0</v>
      </c>
    </row>
    <row r="8" spans="1:87" s="448" customFormat="1" ht="12.75" customHeight="1" x14ac:dyDescent="0.2">
      <c r="A8" s="449">
        <v>55</v>
      </c>
      <c r="B8" s="453">
        <v>213</v>
      </c>
      <c r="C8" s="454" t="s">
        <v>1427</v>
      </c>
      <c r="D8" s="454" t="s">
        <v>1390</v>
      </c>
      <c r="E8" s="454" t="s">
        <v>1428</v>
      </c>
      <c r="F8" s="454" t="s">
        <v>519</v>
      </c>
      <c r="G8" s="454" t="s">
        <v>12343</v>
      </c>
      <c r="H8" s="455">
        <v>62022249000155</v>
      </c>
      <c r="I8" s="462">
        <v>32918</v>
      </c>
      <c r="J8" s="457">
        <v>37355244</v>
      </c>
      <c r="K8" s="454" t="s">
        <v>590</v>
      </c>
      <c r="L8" s="458">
        <v>90</v>
      </c>
      <c r="M8" s="454" t="s">
        <v>591</v>
      </c>
      <c r="N8" s="459">
        <v>5742100</v>
      </c>
      <c r="O8" s="460">
        <v>58425113</v>
      </c>
      <c r="P8" s="462">
        <v>122265</v>
      </c>
      <c r="Q8" s="462">
        <v>38</v>
      </c>
      <c r="R8" s="462">
        <v>43881</v>
      </c>
      <c r="S8" s="463">
        <v>242</v>
      </c>
      <c r="T8" s="464">
        <v>3.6</v>
      </c>
      <c r="U8" s="465">
        <v>871.2</v>
      </c>
      <c r="V8" s="465">
        <v>12240</v>
      </c>
      <c r="W8" s="466">
        <v>0</v>
      </c>
      <c r="X8" s="467">
        <v>1</v>
      </c>
      <c r="Y8" s="466">
        <v>0</v>
      </c>
      <c r="Z8" s="468" t="s">
        <v>514</v>
      </c>
      <c r="AA8" s="466">
        <v>0</v>
      </c>
      <c r="AB8" s="466">
        <v>0</v>
      </c>
      <c r="AC8" s="467">
        <v>0</v>
      </c>
      <c r="AD8" s="466">
        <v>0</v>
      </c>
      <c r="AE8" s="468" t="s">
        <v>516</v>
      </c>
      <c r="AF8" s="466">
        <v>0</v>
      </c>
      <c r="AG8" s="466">
        <v>0</v>
      </c>
      <c r="AH8" s="466">
        <v>3725.3</v>
      </c>
      <c r="AI8" s="466">
        <v>1000.49</v>
      </c>
      <c r="AJ8" s="469" t="s">
        <v>592</v>
      </c>
      <c r="AK8" s="470" t="s">
        <v>593</v>
      </c>
      <c r="AL8" s="471" t="s">
        <v>1430</v>
      </c>
      <c r="AM8" s="470" t="s">
        <v>1431</v>
      </c>
      <c r="AN8" s="470" t="s">
        <v>1429</v>
      </c>
      <c r="AO8" s="470" t="s">
        <v>1432</v>
      </c>
      <c r="AP8" s="470" t="s">
        <v>1433</v>
      </c>
      <c r="AQ8" s="470" t="s">
        <v>1427</v>
      </c>
      <c r="AR8" s="472" t="s">
        <v>515</v>
      </c>
      <c r="AS8" s="473" t="s">
        <v>1385</v>
      </c>
      <c r="AT8" s="472" t="s">
        <v>1390</v>
      </c>
      <c r="AU8" s="472" t="s">
        <v>420</v>
      </c>
      <c r="AV8" s="472">
        <v>2020</v>
      </c>
      <c r="AW8" s="474" t="s">
        <v>15078</v>
      </c>
      <c r="AX8" s="475" t="s">
        <v>15079</v>
      </c>
      <c r="AY8" s="515">
        <v>1</v>
      </c>
      <c r="AZ8" s="474" t="s">
        <v>15079</v>
      </c>
      <c r="BA8" s="472" t="s">
        <v>1385</v>
      </c>
      <c r="BB8" s="472" t="s">
        <v>1385</v>
      </c>
      <c r="BC8" s="472" t="s">
        <v>1385</v>
      </c>
      <c r="BD8" s="472" t="s">
        <v>1385</v>
      </c>
      <c r="BE8" s="472" t="s">
        <v>1385</v>
      </c>
      <c r="BF8" s="472">
        <v>19666.8</v>
      </c>
      <c r="BG8" s="472">
        <v>0</v>
      </c>
      <c r="BH8" s="472" t="s">
        <v>516</v>
      </c>
      <c r="BI8" s="510">
        <v>0</v>
      </c>
      <c r="BJ8" s="510">
        <v>0</v>
      </c>
      <c r="BK8" s="510">
        <v>0</v>
      </c>
      <c r="BL8" s="510">
        <v>0</v>
      </c>
      <c r="BM8" s="510">
        <v>0</v>
      </c>
      <c r="BN8" s="510">
        <v>0</v>
      </c>
      <c r="BO8" s="510">
        <v>0</v>
      </c>
      <c r="BP8" s="510">
        <v>0</v>
      </c>
      <c r="BQ8" s="510">
        <v>0</v>
      </c>
      <c r="BR8" s="510">
        <v>0</v>
      </c>
      <c r="BS8" s="510">
        <v>0</v>
      </c>
      <c r="BT8" s="510">
        <v>0</v>
      </c>
      <c r="BU8" s="510">
        <v>0</v>
      </c>
      <c r="BV8" s="510">
        <v>0</v>
      </c>
      <c r="BW8" s="510">
        <v>0</v>
      </c>
      <c r="BX8" s="510">
        <v>0</v>
      </c>
      <c r="BY8" s="1011">
        <v>0</v>
      </c>
      <c r="BZ8" s="510">
        <v>0</v>
      </c>
      <c r="CA8" s="1011">
        <v>0</v>
      </c>
      <c r="CB8" s="510">
        <v>0</v>
      </c>
      <c r="CC8" s="1011">
        <v>0</v>
      </c>
      <c r="CD8" s="510">
        <v>0</v>
      </c>
      <c r="CE8" s="1011">
        <v>0</v>
      </c>
      <c r="CF8" s="510">
        <v>0</v>
      </c>
      <c r="CG8" s="1011">
        <v>0</v>
      </c>
      <c r="CH8" s="510">
        <v>0</v>
      </c>
      <c r="CI8" s="1011">
        <v>0</v>
      </c>
    </row>
    <row r="9" spans="1:87" s="448" customFormat="1" ht="12.75" customHeight="1" x14ac:dyDescent="0.2">
      <c r="A9" s="449">
        <v>81</v>
      </c>
      <c r="B9" s="453">
        <v>221</v>
      </c>
      <c r="C9" s="454" t="s">
        <v>1434</v>
      </c>
      <c r="D9" s="454" t="s">
        <v>1390</v>
      </c>
      <c r="E9" s="454" t="s">
        <v>1435</v>
      </c>
      <c r="F9" s="454" t="s">
        <v>522</v>
      </c>
      <c r="G9" s="454" t="s">
        <v>12344</v>
      </c>
      <c r="H9" s="455">
        <v>59933630000161</v>
      </c>
      <c r="I9" s="462">
        <v>32493</v>
      </c>
      <c r="J9" s="457">
        <v>37586947</v>
      </c>
      <c r="K9" s="454" t="s">
        <v>1436</v>
      </c>
      <c r="L9" s="458">
        <v>51</v>
      </c>
      <c r="M9" s="454" t="s">
        <v>1437</v>
      </c>
      <c r="N9" s="459">
        <v>2727000</v>
      </c>
      <c r="O9" s="460">
        <v>39329355</v>
      </c>
      <c r="P9" s="462">
        <v>75097</v>
      </c>
      <c r="Q9" s="462">
        <v>26</v>
      </c>
      <c r="R9" s="462">
        <v>43911</v>
      </c>
      <c r="S9" s="463">
        <v>376</v>
      </c>
      <c r="T9" s="464">
        <v>3.6</v>
      </c>
      <c r="U9" s="465">
        <v>1353.6</v>
      </c>
      <c r="V9" s="465">
        <v>13680</v>
      </c>
      <c r="W9" s="466">
        <v>0</v>
      </c>
      <c r="X9" s="467">
        <v>1</v>
      </c>
      <c r="Y9" s="466">
        <v>22550.400000000001</v>
      </c>
      <c r="Z9" s="468" t="s">
        <v>516</v>
      </c>
      <c r="AA9" s="466">
        <v>97437.6</v>
      </c>
      <c r="AB9" s="466">
        <v>97437.6</v>
      </c>
      <c r="AC9" s="467">
        <v>0</v>
      </c>
      <c r="AD9" s="466">
        <v>0</v>
      </c>
      <c r="AE9" s="468" t="s">
        <v>516</v>
      </c>
      <c r="AF9" s="466">
        <v>0</v>
      </c>
      <c r="AG9" s="466">
        <v>0</v>
      </c>
      <c r="AH9" s="466">
        <v>26166.55</v>
      </c>
      <c r="AI9" s="466">
        <v>8900.26</v>
      </c>
      <c r="AJ9" s="469" t="s">
        <v>1438</v>
      </c>
      <c r="AK9" s="470" t="s">
        <v>12345</v>
      </c>
      <c r="AL9" s="471" t="s">
        <v>1439</v>
      </c>
      <c r="AM9" s="470" t="s">
        <v>1440</v>
      </c>
      <c r="AN9" s="470" t="s">
        <v>1385</v>
      </c>
      <c r="AO9" s="470" t="s">
        <v>1441</v>
      </c>
      <c r="AP9" s="470" t="s">
        <v>1442</v>
      </c>
      <c r="AQ9" s="470" t="s">
        <v>1434</v>
      </c>
      <c r="AR9" s="472" t="s">
        <v>515</v>
      </c>
      <c r="AS9" s="473" t="s">
        <v>1385</v>
      </c>
      <c r="AT9" s="472" t="s">
        <v>1390</v>
      </c>
      <c r="AU9" s="472" t="s">
        <v>420</v>
      </c>
      <c r="AV9" s="472">
        <v>2020</v>
      </c>
      <c r="AW9" s="474" t="s">
        <v>15078</v>
      </c>
      <c r="AX9" s="475" t="s">
        <v>15079</v>
      </c>
      <c r="AY9" s="515">
        <v>1</v>
      </c>
      <c r="AZ9" s="474" t="s">
        <v>15079</v>
      </c>
      <c r="BA9" s="472" t="s">
        <v>1390</v>
      </c>
      <c r="BB9" s="472" t="s">
        <v>1385</v>
      </c>
      <c r="BC9" s="472" t="s">
        <v>1385</v>
      </c>
      <c r="BD9" s="472" t="s">
        <v>1385</v>
      </c>
      <c r="BE9" s="472" t="s">
        <v>1385</v>
      </c>
      <c r="BF9" s="472">
        <v>22550.400000000001</v>
      </c>
      <c r="BG9" s="472">
        <v>0</v>
      </c>
      <c r="BH9" s="472" t="s">
        <v>1385</v>
      </c>
      <c r="BI9" s="510">
        <v>0</v>
      </c>
      <c r="BJ9" s="510">
        <v>0</v>
      </c>
      <c r="BK9" s="510">
        <v>0</v>
      </c>
      <c r="BL9" s="510">
        <v>0</v>
      </c>
      <c r="BM9" s="510">
        <v>0</v>
      </c>
      <c r="BN9" s="510">
        <v>3500</v>
      </c>
      <c r="BO9" s="510">
        <v>0</v>
      </c>
      <c r="BP9" s="510">
        <v>0</v>
      </c>
      <c r="BQ9" s="510">
        <v>0</v>
      </c>
      <c r="BR9" s="510">
        <v>0</v>
      </c>
      <c r="BS9" s="510">
        <v>0</v>
      </c>
      <c r="BT9" s="510">
        <v>0</v>
      </c>
      <c r="BU9" s="510">
        <v>0</v>
      </c>
      <c r="BV9" s="510">
        <v>0</v>
      </c>
      <c r="BW9" s="510">
        <v>0</v>
      </c>
      <c r="BX9" s="510">
        <v>30000</v>
      </c>
      <c r="BY9" s="1011">
        <v>0</v>
      </c>
      <c r="BZ9" s="510">
        <v>0</v>
      </c>
      <c r="CA9" s="1011">
        <v>0</v>
      </c>
      <c r="CB9" s="510">
        <v>0</v>
      </c>
      <c r="CC9" s="1011">
        <v>0</v>
      </c>
      <c r="CD9" s="510">
        <v>0</v>
      </c>
      <c r="CE9" s="1011">
        <v>0</v>
      </c>
      <c r="CF9" s="510">
        <v>44887.199999999997</v>
      </c>
      <c r="CG9" s="1011">
        <v>0</v>
      </c>
      <c r="CH9" s="510">
        <v>0</v>
      </c>
      <c r="CI9" s="1011">
        <v>0</v>
      </c>
    </row>
    <row r="10" spans="1:87" s="448" customFormat="1" ht="12.75" customHeight="1" x14ac:dyDescent="0.2">
      <c r="A10" s="449">
        <v>94</v>
      </c>
      <c r="B10" s="453">
        <v>230</v>
      </c>
      <c r="C10" s="454" t="s">
        <v>1443</v>
      </c>
      <c r="D10" s="454" t="s">
        <v>1390</v>
      </c>
      <c r="E10" s="454" t="s">
        <v>1444</v>
      </c>
      <c r="F10" s="454" t="s">
        <v>525</v>
      </c>
      <c r="G10" s="454" t="s">
        <v>12346</v>
      </c>
      <c r="H10" s="455">
        <v>67973859000158</v>
      </c>
      <c r="I10" s="462">
        <v>33787</v>
      </c>
      <c r="J10" s="457">
        <v>37411055</v>
      </c>
      <c r="K10" s="454" t="s">
        <v>1445</v>
      </c>
      <c r="L10" s="458" t="s">
        <v>1446</v>
      </c>
      <c r="M10" s="454" t="s">
        <v>1447</v>
      </c>
      <c r="N10" s="459">
        <v>2131080</v>
      </c>
      <c r="O10" s="460">
        <v>29559902</v>
      </c>
      <c r="P10" s="462">
        <v>336214</v>
      </c>
      <c r="Q10" s="462">
        <v>94</v>
      </c>
      <c r="R10" s="462">
        <v>43950</v>
      </c>
      <c r="S10" s="463">
        <v>311</v>
      </c>
      <c r="T10" s="464">
        <v>3.6</v>
      </c>
      <c r="U10" s="465">
        <v>1119.5999999999999</v>
      </c>
      <c r="V10" s="465">
        <v>13680</v>
      </c>
      <c r="W10" s="466">
        <v>0</v>
      </c>
      <c r="X10" s="467">
        <v>1</v>
      </c>
      <c r="Y10" s="466">
        <v>22199.4</v>
      </c>
      <c r="Z10" s="468" t="s">
        <v>516</v>
      </c>
      <c r="AA10" s="466">
        <v>96971.4</v>
      </c>
      <c r="AB10" s="466">
        <v>96971.4</v>
      </c>
      <c r="AC10" s="467">
        <v>0</v>
      </c>
      <c r="AD10" s="466">
        <v>0</v>
      </c>
      <c r="AE10" s="468" t="s">
        <v>516</v>
      </c>
      <c r="AF10" s="466">
        <v>0</v>
      </c>
      <c r="AG10" s="466">
        <v>0</v>
      </c>
      <c r="AH10" s="466">
        <v>31508.97</v>
      </c>
      <c r="AI10" s="466">
        <v>2959.92</v>
      </c>
      <c r="AJ10" s="469" t="s">
        <v>1448</v>
      </c>
      <c r="AK10" s="470" t="s">
        <v>1449</v>
      </c>
      <c r="AL10" s="471" t="s">
        <v>1450</v>
      </c>
      <c r="AM10" s="470" t="s">
        <v>1451</v>
      </c>
      <c r="AN10" s="470" t="s">
        <v>1452</v>
      </c>
      <c r="AO10" s="470" t="s">
        <v>1453</v>
      </c>
      <c r="AP10" s="470" t="s">
        <v>1454</v>
      </c>
      <c r="AQ10" s="470" t="s">
        <v>1443</v>
      </c>
      <c r="AR10" s="472" t="s">
        <v>515</v>
      </c>
      <c r="AS10" s="473" t="s">
        <v>1385</v>
      </c>
      <c r="AT10" s="472" t="s">
        <v>1390</v>
      </c>
      <c r="AU10" s="472" t="s">
        <v>420</v>
      </c>
      <c r="AV10" s="472">
        <v>2020</v>
      </c>
      <c r="AW10" s="474" t="s">
        <v>15078</v>
      </c>
      <c r="AX10" s="475" t="s">
        <v>15079</v>
      </c>
      <c r="AY10" s="515">
        <v>1</v>
      </c>
      <c r="AZ10" s="474" t="s">
        <v>15079</v>
      </c>
      <c r="BA10" s="472" t="s">
        <v>1390</v>
      </c>
      <c r="BB10" s="472" t="s">
        <v>1385</v>
      </c>
      <c r="BC10" s="472" t="s">
        <v>1385</v>
      </c>
      <c r="BD10" s="472" t="s">
        <v>1385</v>
      </c>
      <c r="BE10" s="472" t="s">
        <v>1385</v>
      </c>
      <c r="BF10" s="472">
        <v>22199.4</v>
      </c>
      <c r="BG10" s="472">
        <v>0</v>
      </c>
      <c r="BH10" s="472" t="s">
        <v>1385</v>
      </c>
      <c r="BI10" s="510">
        <v>0</v>
      </c>
      <c r="BJ10" s="510">
        <v>7056.6</v>
      </c>
      <c r="BK10" s="510">
        <v>0</v>
      </c>
      <c r="BL10" s="510">
        <v>0</v>
      </c>
      <c r="BM10" s="510">
        <v>0</v>
      </c>
      <c r="BN10" s="510">
        <v>3500</v>
      </c>
      <c r="BO10" s="510">
        <v>0</v>
      </c>
      <c r="BP10" s="510">
        <v>0</v>
      </c>
      <c r="BQ10" s="510">
        <v>0</v>
      </c>
      <c r="BR10" s="510">
        <v>0</v>
      </c>
      <c r="BS10" s="510">
        <v>0</v>
      </c>
      <c r="BT10" s="510">
        <v>0</v>
      </c>
      <c r="BU10" s="510">
        <v>0</v>
      </c>
      <c r="BV10" s="510">
        <v>0</v>
      </c>
      <c r="BW10" s="510">
        <v>0</v>
      </c>
      <c r="BX10" s="510">
        <v>30000</v>
      </c>
      <c r="BY10" s="1011">
        <v>0</v>
      </c>
      <c r="BZ10" s="510">
        <v>0</v>
      </c>
      <c r="CA10" s="1011">
        <v>0</v>
      </c>
      <c r="CB10" s="510">
        <v>0</v>
      </c>
      <c r="CC10" s="1011">
        <v>0</v>
      </c>
      <c r="CD10" s="510">
        <v>0</v>
      </c>
      <c r="CE10" s="1011">
        <v>0</v>
      </c>
      <c r="CF10" s="510">
        <v>44772</v>
      </c>
      <c r="CG10" s="1011">
        <v>0</v>
      </c>
      <c r="CH10" s="510">
        <v>0</v>
      </c>
      <c r="CI10" s="1011">
        <v>0</v>
      </c>
    </row>
    <row r="11" spans="1:87" s="448" customFormat="1" ht="12.75" customHeight="1" x14ac:dyDescent="0.2">
      <c r="A11" s="449">
        <v>101</v>
      </c>
      <c r="B11" s="453">
        <v>248</v>
      </c>
      <c r="C11" s="454" t="s">
        <v>1455</v>
      </c>
      <c r="D11" s="454" t="s">
        <v>1390</v>
      </c>
      <c r="E11" s="454" t="s">
        <v>1456</v>
      </c>
      <c r="F11" s="454" t="s">
        <v>525</v>
      </c>
      <c r="G11" s="454" t="s">
        <v>12347</v>
      </c>
      <c r="H11" s="455">
        <v>1140338000101</v>
      </c>
      <c r="I11" s="462">
        <v>35170</v>
      </c>
      <c r="J11" s="457">
        <v>37410903</v>
      </c>
      <c r="K11" s="454" t="s">
        <v>1458</v>
      </c>
      <c r="L11" s="458">
        <v>200</v>
      </c>
      <c r="M11" s="454" t="s">
        <v>1459</v>
      </c>
      <c r="N11" s="459">
        <v>2323040</v>
      </c>
      <c r="O11" s="460">
        <v>29956872</v>
      </c>
      <c r="P11" s="462">
        <v>336389</v>
      </c>
      <c r="Q11" s="462">
        <v>101</v>
      </c>
      <c r="R11" s="462">
        <v>43950</v>
      </c>
      <c r="S11" s="463">
        <v>572</v>
      </c>
      <c r="T11" s="464">
        <v>3.6</v>
      </c>
      <c r="U11" s="465">
        <v>2059.1999999999998</v>
      </c>
      <c r="V11" s="465">
        <v>16560</v>
      </c>
      <c r="W11" s="466">
        <v>0</v>
      </c>
      <c r="X11" s="467">
        <v>1</v>
      </c>
      <c r="Y11" s="466">
        <v>27928.799999999999</v>
      </c>
      <c r="Z11" s="468" t="s">
        <v>516</v>
      </c>
      <c r="AA11" s="466">
        <v>110138.4</v>
      </c>
      <c r="AB11" s="466">
        <v>110138.4</v>
      </c>
      <c r="AC11" s="467">
        <v>0</v>
      </c>
      <c r="AD11" s="466">
        <v>0</v>
      </c>
      <c r="AE11" s="468" t="s">
        <v>516</v>
      </c>
      <c r="AF11" s="466">
        <v>0</v>
      </c>
      <c r="AG11" s="466">
        <v>0</v>
      </c>
      <c r="AH11" s="466">
        <v>21967.57</v>
      </c>
      <c r="AI11" s="466">
        <v>8124.47</v>
      </c>
      <c r="AJ11" s="469" t="s">
        <v>1460</v>
      </c>
      <c r="AK11" s="470" t="s">
        <v>1461</v>
      </c>
      <c r="AL11" s="471" t="s">
        <v>1462</v>
      </c>
      <c r="AM11" s="470" t="s">
        <v>1463</v>
      </c>
      <c r="AN11" s="470" t="s">
        <v>1457</v>
      </c>
      <c r="AO11" s="470" t="s">
        <v>1464</v>
      </c>
      <c r="AP11" s="470" t="s">
        <v>1465</v>
      </c>
      <c r="AQ11" s="470" t="s">
        <v>1455</v>
      </c>
      <c r="AR11" s="472" t="s">
        <v>515</v>
      </c>
      <c r="AS11" s="473" t="s">
        <v>1385</v>
      </c>
      <c r="AT11" s="472" t="s">
        <v>1390</v>
      </c>
      <c r="AU11" s="472" t="s">
        <v>420</v>
      </c>
      <c r="AV11" s="472">
        <v>2020</v>
      </c>
      <c r="AW11" s="474" t="s">
        <v>15078</v>
      </c>
      <c r="AX11" s="475" t="s">
        <v>15079</v>
      </c>
      <c r="AY11" s="515">
        <v>1</v>
      </c>
      <c r="AZ11" s="474" t="s">
        <v>15079</v>
      </c>
      <c r="BA11" s="472" t="s">
        <v>1390</v>
      </c>
      <c r="BB11" s="472" t="s">
        <v>1385</v>
      </c>
      <c r="BC11" s="472" t="s">
        <v>1385</v>
      </c>
      <c r="BD11" s="472" t="s">
        <v>1385</v>
      </c>
      <c r="BE11" s="472" t="s">
        <v>1385</v>
      </c>
      <c r="BF11" s="472">
        <v>27928.799999999999</v>
      </c>
      <c r="BG11" s="472">
        <v>0</v>
      </c>
      <c r="BH11" s="472" t="s">
        <v>1385</v>
      </c>
      <c r="BI11" s="510">
        <v>0</v>
      </c>
      <c r="BJ11" s="510">
        <v>0</v>
      </c>
      <c r="BK11" s="510">
        <v>0</v>
      </c>
      <c r="BL11" s="510">
        <v>0</v>
      </c>
      <c r="BM11" s="510">
        <v>0</v>
      </c>
      <c r="BN11" s="510">
        <v>5000</v>
      </c>
      <c r="BO11" s="510">
        <v>0</v>
      </c>
      <c r="BP11" s="510">
        <v>0</v>
      </c>
      <c r="BQ11" s="510">
        <v>0</v>
      </c>
      <c r="BR11" s="510">
        <v>0</v>
      </c>
      <c r="BS11" s="510">
        <v>0</v>
      </c>
      <c r="BT11" s="510">
        <v>0</v>
      </c>
      <c r="BU11" s="510">
        <v>0</v>
      </c>
      <c r="BV11" s="510">
        <v>0</v>
      </c>
      <c r="BW11" s="510">
        <v>0</v>
      </c>
      <c r="BX11" s="510">
        <v>30000</v>
      </c>
      <c r="BY11" s="1011">
        <v>0</v>
      </c>
      <c r="BZ11" s="510">
        <v>0</v>
      </c>
      <c r="CA11" s="1011">
        <v>0</v>
      </c>
      <c r="CB11" s="510">
        <v>0</v>
      </c>
      <c r="CC11" s="1011">
        <v>0</v>
      </c>
      <c r="CD11" s="510">
        <v>0</v>
      </c>
      <c r="CE11" s="1011">
        <v>0</v>
      </c>
      <c r="CF11" s="510">
        <v>52209.599999999999</v>
      </c>
      <c r="CG11" s="1011">
        <v>0</v>
      </c>
      <c r="CH11" s="510">
        <v>0</v>
      </c>
      <c r="CI11" s="1011">
        <v>0</v>
      </c>
    </row>
    <row r="12" spans="1:87" s="448" customFormat="1" ht="12.75" customHeight="1" x14ac:dyDescent="0.2">
      <c r="A12" s="449">
        <v>160</v>
      </c>
      <c r="B12" s="453">
        <v>256</v>
      </c>
      <c r="C12" s="454" t="s">
        <v>1466</v>
      </c>
      <c r="D12" s="454" t="s">
        <v>1390</v>
      </c>
      <c r="E12" s="454" t="s">
        <v>1467</v>
      </c>
      <c r="F12" s="454" t="s">
        <v>520</v>
      </c>
      <c r="G12" s="454" t="s">
        <v>12348</v>
      </c>
      <c r="H12" s="455">
        <v>61582805000185</v>
      </c>
      <c r="I12" s="462">
        <v>32926</v>
      </c>
      <c r="J12" s="457">
        <v>37615963</v>
      </c>
      <c r="K12" s="454" t="s">
        <v>1468</v>
      </c>
      <c r="L12" s="458">
        <v>395</v>
      </c>
      <c r="M12" s="454" t="s">
        <v>1469</v>
      </c>
      <c r="N12" s="459">
        <v>5868670</v>
      </c>
      <c r="O12" s="460">
        <v>58217976</v>
      </c>
      <c r="P12" s="462">
        <v>307990</v>
      </c>
      <c r="Q12" s="462">
        <v>95</v>
      </c>
      <c r="R12" s="462">
        <v>43979</v>
      </c>
      <c r="S12" s="463">
        <v>305</v>
      </c>
      <c r="T12" s="464">
        <v>3.6</v>
      </c>
      <c r="U12" s="465">
        <v>1098</v>
      </c>
      <c r="V12" s="465">
        <v>13680</v>
      </c>
      <c r="W12" s="466">
        <v>0</v>
      </c>
      <c r="X12" s="467">
        <v>1</v>
      </c>
      <c r="Y12" s="466">
        <v>22167</v>
      </c>
      <c r="Z12" s="468" t="s">
        <v>516</v>
      </c>
      <c r="AA12" s="466">
        <v>96910.2</v>
      </c>
      <c r="AB12" s="466">
        <v>96910.2</v>
      </c>
      <c r="AC12" s="467">
        <v>0</v>
      </c>
      <c r="AD12" s="466">
        <v>0</v>
      </c>
      <c r="AE12" s="468" t="s">
        <v>516</v>
      </c>
      <c r="AF12" s="466">
        <v>2000</v>
      </c>
      <c r="AG12" s="466">
        <v>2000</v>
      </c>
      <c r="AH12" s="466">
        <v>21716.37</v>
      </c>
      <c r="AI12" s="466">
        <v>4406.09</v>
      </c>
      <c r="AJ12" s="469" t="s">
        <v>1470</v>
      </c>
      <c r="AK12" s="470" t="s">
        <v>1471</v>
      </c>
      <c r="AL12" s="471" t="s">
        <v>1472</v>
      </c>
      <c r="AM12" s="470" t="s">
        <v>1473</v>
      </c>
      <c r="AN12" s="470" t="s">
        <v>1474</v>
      </c>
      <c r="AO12" s="470" t="s">
        <v>1475</v>
      </c>
      <c r="AP12" s="470" t="s">
        <v>1476</v>
      </c>
      <c r="AQ12" s="470" t="s">
        <v>1466</v>
      </c>
      <c r="AR12" s="472" t="s">
        <v>515</v>
      </c>
      <c r="AS12" s="473" t="s">
        <v>1385</v>
      </c>
      <c r="AT12" s="472" t="s">
        <v>1390</v>
      </c>
      <c r="AU12" s="472" t="s">
        <v>420</v>
      </c>
      <c r="AV12" s="472">
        <v>2020</v>
      </c>
      <c r="AW12" s="474" t="s">
        <v>15078</v>
      </c>
      <c r="AX12" s="475" t="s">
        <v>15079</v>
      </c>
      <c r="AY12" s="515">
        <v>1</v>
      </c>
      <c r="AZ12" s="474" t="s">
        <v>15079</v>
      </c>
      <c r="BA12" s="472" t="s">
        <v>1390</v>
      </c>
      <c r="BB12" s="472" t="s">
        <v>1385</v>
      </c>
      <c r="BC12" s="472" t="s">
        <v>1385</v>
      </c>
      <c r="BD12" s="472" t="s">
        <v>1385</v>
      </c>
      <c r="BE12" s="472" t="s">
        <v>1385</v>
      </c>
      <c r="BF12" s="472">
        <v>22167</v>
      </c>
      <c r="BG12" s="472">
        <v>0</v>
      </c>
      <c r="BH12" s="472" t="s">
        <v>1385</v>
      </c>
      <c r="BI12" s="510">
        <v>0</v>
      </c>
      <c r="BJ12" s="510">
        <v>457.15</v>
      </c>
      <c r="BK12" s="510">
        <v>0</v>
      </c>
      <c r="BL12" s="510">
        <v>0</v>
      </c>
      <c r="BM12" s="510">
        <v>0</v>
      </c>
      <c r="BN12" s="510">
        <v>3500</v>
      </c>
      <c r="BO12" s="510">
        <v>0</v>
      </c>
      <c r="BP12" s="510">
        <v>2000</v>
      </c>
      <c r="BQ12" s="510">
        <v>0</v>
      </c>
      <c r="BR12" s="510">
        <v>0</v>
      </c>
      <c r="BS12" s="510">
        <v>0</v>
      </c>
      <c r="BT12" s="510">
        <v>0</v>
      </c>
      <c r="BU12" s="510">
        <v>0</v>
      </c>
      <c r="BV12" s="510">
        <v>0</v>
      </c>
      <c r="BW12" s="510">
        <v>0</v>
      </c>
      <c r="BX12" s="510">
        <v>30000</v>
      </c>
      <c r="BY12" s="1011">
        <v>0</v>
      </c>
      <c r="BZ12" s="510">
        <v>0</v>
      </c>
      <c r="CA12" s="1011">
        <v>0</v>
      </c>
      <c r="CB12" s="510">
        <v>0</v>
      </c>
      <c r="CC12" s="1011">
        <v>0</v>
      </c>
      <c r="CD12" s="510">
        <v>0</v>
      </c>
      <c r="CE12" s="1011">
        <v>0</v>
      </c>
      <c r="CF12" s="510">
        <v>44743.199999999997</v>
      </c>
      <c r="CG12" s="1011">
        <v>0</v>
      </c>
      <c r="CH12" s="510">
        <v>0</v>
      </c>
      <c r="CI12" s="1011">
        <v>0</v>
      </c>
    </row>
    <row r="13" spans="1:87" s="448" customFormat="1" ht="12.75" customHeight="1" x14ac:dyDescent="0.2">
      <c r="A13" s="449">
        <v>51</v>
      </c>
      <c r="B13" s="453">
        <v>264</v>
      </c>
      <c r="C13" s="454" t="s">
        <v>1477</v>
      </c>
      <c r="D13" s="454" t="s">
        <v>517</v>
      </c>
      <c r="E13" s="454" t="s">
        <v>1478</v>
      </c>
      <c r="F13" s="454" t="s">
        <v>529</v>
      </c>
      <c r="G13" s="454" t="s">
        <v>12349</v>
      </c>
      <c r="H13" s="455">
        <v>163388000141</v>
      </c>
      <c r="I13" s="462">
        <v>34558</v>
      </c>
      <c r="J13" s="457">
        <v>37524160</v>
      </c>
      <c r="K13" s="454" t="s">
        <v>1479</v>
      </c>
      <c r="L13" s="458">
        <v>199</v>
      </c>
      <c r="M13" s="454" t="s">
        <v>1480</v>
      </c>
      <c r="N13" s="459">
        <v>4433010</v>
      </c>
      <c r="O13" s="460">
        <v>56123503</v>
      </c>
      <c r="P13" s="462">
        <v>569812</v>
      </c>
      <c r="Q13" s="462">
        <v>76</v>
      </c>
      <c r="R13" s="462">
        <v>43921</v>
      </c>
      <c r="S13" s="463">
        <v>674</v>
      </c>
      <c r="T13" s="464">
        <v>5.4</v>
      </c>
      <c r="U13" s="465">
        <v>3639.6</v>
      </c>
      <c r="V13" s="465">
        <v>17100</v>
      </c>
      <c r="W13" s="466">
        <v>0</v>
      </c>
      <c r="X13" s="467">
        <v>1</v>
      </c>
      <c r="Y13" s="466">
        <v>31109.4</v>
      </c>
      <c r="Z13" s="468" t="s">
        <v>516</v>
      </c>
      <c r="AA13" s="466">
        <v>124480.6</v>
      </c>
      <c r="AB13" s="466">
        <v>124480.6</v>
      </c>
      <c r="AC13" s="467">
        <v>0</v>
      </c>
      <c r="AD13" s="466">
        <v>0</v>
      </c>
      <c r="AE13" s="468" t="s">
        <v>516</v>
      </c>
      <c r="AF13" s="466">
        <v>2000</v>
      </c>
      <c r="AG13" s="466">
        <v>2000</v>
      </c>
      <c r="AH13" s="466">
        <v>3569.74</v>
      </c>
      <c r="AI13" s="466">
        <v>5992.08</v>
      </c>
      <c r="AJ13" s="469" t="s">
        <v>1481</v>
      </c>
      <c r="AK13" s="470" t="s">
        <v>1482</v>
      </c>
      <c r="AL13" s="471" t="s">
        <v>1483</v>
      </c>
      <c r="AM13" s="470" t="s">
        <v>12350</v>
      </c>
      <c r="AN13" s="470" t="s">
        <v>12349</v>
      </c>
      <c r="AO13" s="470" t="s">
        <v>12351</v>
      </c>
      <c r="AP13" s="470" t="s">
        <v>1484</v>
      </c>
      <c r="AQ13" s="470" t="s">
        <v>1477</v>
      </c>
      <c r="AR13" s="472" t="s">
        <v>515</v>
      </c>
      <c r="AS13" s="473" t="s">
        <v>1385</v>
      </c>
      <c r="AT13" s="472" t="s">
        <v>517</v>
      </c>
      <c r="AU13" s="472" t="s">
        <v>420</v>
      </c>
      <c r="AV13" s="472">
        <v>2020</v>
      </c>
      <c r="AW13" s="474" t="s">
        <v>15078</v>
      </c>
      <c r="AX13" s="475" t="s">
        <v>15079</v>
      </c>
      <c r="AY13" s="515">
        <v>1</v>
      </c>
      <c r="AZ13" s="474" t="s">
        <v>15079</v>
      </c>
      <c r="BA13" s="472" t="s">
        <v>517</v>
      </c>
      <c r="BB13" s="472" t="s">
        <v>1385</v>
      </c>
      <c r="BC13" s="472" t="s">
        <v>1385</v>
      </c>
      <c r="BD13" s="472" t="s">
        <v>1385</v>
      </c>
      <c r="BE13" s="472" t="s">
        <v>1385</v>
      </c>
      <c r="BF13" s="472">
        <v>31109.4</v>
      </c>
      <c r="BG13" s="472">
        <v>0</v>
      </c>
      <c r="BH13" s="472" t="s">
        <v>1385</v>
      </c>
      <c r="BI13" s="510">
        <v>0</v>
      </c>
      <c r="BJ13" s="510">
        <v>0</v>
      </c>
      <c r="BK13" s="510">
        <v>0</v>
      </c>
      <c r="BL13" s="510">
        <v>512</v>
      </c>
      <c r="BM13" s="510">
        <v>0</v>
      </c>
      <c r="BN13" s="510">
        <v>3500</v>
      </c>
      <c r="BO13" s="510">
        <v>0</v>
      </c>
      <c r="BP13" s="510">
        <v>2000</v>
      </c>
      <c r="BQ13" s="510">
        <v>0</v>
      </c>
      <c r="BR13" s="510">
        <v>0</v>
      </c>
      <c r="BS13" s="510">
        <v>0</v>
      </c>
      <c r="BT13" s="510">
        <v>0</v>
      </c>
      <c r="BU13" s="510">
        <v>2500</v>
      </c>
      <c r="BV13" s="510">
        <v>2500</v>
      </c>
      <c r="BW13" s="510">
        <v>0</v>
      </c>
      <c r="BX13" s="510">
        <v>30000</v>
      </c>
      <c r="BY13" s="1011">
        <v>0</v>
      </c>
      <c r="BZ13" s="510">
        <v>0</v>
      </c>
      <c r="CA13" s="1011">
        <v>0</v>
      </c>
      <c r="CB13" s="510">
        <v>22000</v>
      </c>
      <c r="CC13" s="1011">
        <v>0</v>
      </c>
      <c r="CD13" s="510">
        <v>0</v>
      </c>
      <c r="CE13" s="1011">
        <v>0</v>
      </c>
      <c r="CF13" s="510">
        <v>41371.199999999997</v>
      </c>
      <c r="CG13" s="1011">
        <v>0</v>
      </c>
      <c r="CH13" s="510">
        <v>0</v>
      </c>
      <c r="CI13" s="1011">
        <v>0</v>
      </c>
    </row>
    <row r="14" spans="1:87" s="448" customFormat="1" ht="12.75" customHeight="1" x14ac:dyDescent="0.2">
      <c r="A14" s="449">
        <v>111</v>
      </c>
      <c r="B14" s="453">
        <v>281</v>
      </c>
      <c r="C14" s="454" t="s">
        <v>1485</v>
      </c>
      <c r="D14" s="454" t="s">
        <v>517</v>
      </c>
      <c r="E14" s="454" t="s">
        <v>1486</v>
      </c>
      <c r="F14" s="454" t="s">
        <v>520</v>
      </c>
      <c r="G14" s="454" t="s">
        <v>12352</v>
      </c>
      <c r="H14" s="455">
        <v>61573507000129</v>
      </c>
      <c r="I14" s="462">
        <v>32766</v>
      </c>
      <c r="J14" s="457">
        <v>37628259</v>
      </c>
      <c r="K14" s="454" t="s">
        <v>1487</v>
      </c>
      <c r="L14" s="458">
        <v>375</v>
      </c>
      <c r="M14" s="454" t="s">
        <v>1488</v>
      </c>
      <c r="N14" s="459">
        <v>5785180</v>
      </c>
      <c r="O14" s="460">
        <v>58416595</v>
      </c>
      <c r="P14" s="462">
        <v>304070</v>
      </c>
      <c r="Q14" s="462">
        <v>176</v>
      </c>
      <c r="R14" s="462">
        <v>43969</v>
      </c>
      <c r="S14" s="463">
        <v>516</v>
      </c>
      <c r="T14" s="464">
        <v>5.4</v>
      </c>
      <c r="U14" s="465">
        <v>2786.4</v>
      </c>
      <c r="V14" s="465">
        <v>17100</v>
      </c>
      <c r="W14" s="466">
        <v>0</v>
      </c>
      <c r="X14" s="467">
        <v>1</v>
      </c>
      <c r="Y14" s="466">
        <v>36242.1</v>
      </c>
      <c r="Z14" s="468" t="s">
        <v>516</v>
      </c>
      <c r="AA14" s="466">
        <v>135794.1</v>
      </c>
      <c r="AB14" s="466">
        <v>135794.1</v>
      </c>
      <c r="AC14" s="467">
        <v>0</v>
      </c>
      <c r="AD14" s="466">
        <v>0</v>
      </c>
      <c r="AE14" s="468" t="s">
        <v>516</v>
      </c>
      <c r="AF14" s="466">
        <v>0</v>
      </c>
      <c r="AG14" s="466">
        <v>0</v>
      </c>
      <c r="AH14" s="466">
        <v>27881.97</v>
      </c>
      <c r="AI14" s="466">
        <v>16496.84</v>
      </c>
      <c r="AJ14" s="469" t="s">
        <v>1489</v>
      </c>
      <c r="AK14" s="470" t="s">
        <v>520</v>
      </c>
      <c r="AL14" s="471" t="s">
        <v>1490</v>
      </c>
      <c r="AM14" s="470" t="s">
        <v>12353</v>
      </c>
      <c r="AN14" s="470" t="s">
        <v>1491</v>
      </c>
      <c r="AO14" s="470" t="s">
        <v>1492</v>
      </c>
      <c r="AP14" s="470" t="s">
        <v>1493</v>
      </c>
      <c r="AQ14" s="470" t="s">
        <v>1485</v>
      </c>
      <c r="AR14" s="472" t="s">
        <v>515</v>
      </c>
      <c r="AS14" s="473" t="s">
        <v>1385</v>
      </c>
      <c r="AT14" s="472" t="s">
        <v>517</v>
      </c>
      <c r="AU14" s="472" t="s">
        <v>420</v>
      </c>
      <c r="AV14" s="472">
        <v>2020</v>
      </c>
      <c r="AW14" s="474" t="s">
        <v>15078</v>
      </c>
      <c r="AX14" s="475" t="s">
        <v>15079</v>
      </c>
      <c r="AY14" s="515">
        <v>1</v>
      </c>
      <c r="AZ14" s="474" t="s">
        <v>15079</v>
      </c>
      <c r="BA14" s="472" t="s">
        <v>517</v>
      </c>
      <c r="BB14" s="472" t="s">
        <v>516</v>
      </c>
      <c r="BC14" s="472">
        <v>4</v>
      </c>
      <c r="BD14" s="472">
        <v>4275</v>
      </c>
      <c r="BE14" s="472">
        <v>0</v>
      </c>
      <c r="BF14" s="472">
        <v>36242.1</v>
      </c>
      <c r="BG14" s="472">
        <v>0</v>
      </c>
      <c r="BH14" s="472" t="s">
        <v>1385</v>
      </c>
      <c r="BI14" s="510">
        <v>0</v>
      </c>
      <c r="BJ14" s="510">
        <v>0</v>
      </c>
      <c r="BK14" s="510">
        <v>0</v>
      </c>
      <c r="BL14" s="510">
        <v>3500</v>
      </c>
      <c r="BM14" s="510">
        <v>0</v>
      </c>
      <c r="BN14" s="510">
        <v>3500</v>
      </c>
      <c r="BO14" s="510">
        <v>0</v>
      </c>
      <c r="BP14" s="510">
        <v>0</v>
      </c>
      <c r="BQ14" s="510">
        <v>0</v>
      </c>
      <c r="BR14" s="510">
        <v>0</v>
      </c>
      <c r="BS14" s="510">
        <v>0</v>
      </c>
      <c r="BT14" s="510">
        <v>0</v>
      </c>
      <c r="BU14" s="510">
        <v>2500</v>
      </c>
      <c r="BV14" s="510">
        <v>2500</v>
      </c>
      <c r="BW14" s="510">
        <v>0</v>
      </c>
      <c r="BX14" s="510">
        <v>30000</v>
      </c>
      <c r="BY14" s="1011">
        <v>0</v>
      </c>
      <c r="BZ14" s="510">
        <v>0</v>
      </c>
      <c r="CA14" s="1011">
        <v>0</v>
      </c>
      <c r="CB14" s="510">
        <v>22000</v>
      </c>
      <c r="CC14" s="1011">
        <v>0</v>
      </c>
      <c r="CD14" s="510">
        <v>0</v>
      </c>
      <c r="CE14" s="1011">
        <v>0</v>
      </c>
      <c r="CF14" s="510">
        <v>47552</v>
      </c>
      <c r="CG14" s="1011">
        <v>0</v>
      </c>
      <c r="CH14" s="510">
        <v>0</v>
      </c>
      <c r="CI14" s="1011">
        <v>0</v>
      </c>
    </row>
    <row r="15" spans="1:87" s="448" customFormat="1" ht="12.75" customHeight="1" x14ac:dyDescent="0.2">
      <c r="A15" s="449">
        <v>50</v>
      </c>
      <c r="B15" s="453">
        <v>299</v>
      </c>
      <c r="C15" s="454" t="s">
        <v>1494</v>
      </c>
      <c r="D15" s="454" t="s">
        <v>517</v>
      </c>
      <c r="E15" s="454" t="s">
        <v>1495</v>
      </c>
      <c r="F15" s="454" t="s">
        <v>522</v>
      </c>
      <c r="G15" s="454" t="s">
        <v>12354</v>
      </c>
      <c r="H15" s="455">
        <v>61570990000198</v>
      </c>
      <c r="I15" s="462">
        <v>32702</v>
      </c>
      <c r="J15" s="457">
        <v>37586840</v>
      </c>
      <c r="K15" s="454" t="s">
        <v>1496</v>
      </c>
      <c r="L15" s="458">
        <v>147</v>
      </c>
      <c r="M15" s="454" t="s">
        <v>1497</v>
      </c>
      <c r="N15" s="459">
        <v>2615020</v>
      </c>
      <c r="O15" s="460">
        <v>22586078</v>
      </c>
      <c r="P15" s="462">
        <v>80171</v>
      </c>
      <c r="Q15" s="462">
        <v>82</v>
      </c>
      <c r="R15" s="462">
        <v>43911</v>
      </c>
      <c r="S15" s="463">
        <v>513</v>
      </c>
      <c r="T15" s="464">
        <v>5.4</v>
      </c>
      <c r="U15" s="465">
        <v>2770.2</v>
      </c>
      <c r="V15" s="465">
        <v>17100</v>
      </c>
      <c r="W15" s="466">
        <v>0</v>
      </c>
      <c r="X15" s="467">
        <v>1</v>
      </c>
      <c r="Y15" s="466">
        <v>36217.800000000003</v>
      </c>
      <c r="Z15" s="468" t="s">
        <v>516</v>
      </c>
      <c r="AA15" s="466">
        <v>143996.6</v>
      </c>
      <c r="AB15" s="466">
        <v>143996.6</v>
      </c>
      <c r="AC15" s="467">
        <v>0</v>
      </c>
      <c r="AD15" s="466">
        <v>0</v>
      </c>
      <c r="AE15" s="468" t="s">
        <v>516</v>
      </c>
      <c r="AF15" s="466">
        <v>1200</v>
      </c>
      <c r="AG15" s="466">
        <v>1200</v>
      </c>
      <c r="AH15" s="466">
        <v>23668.09</v>
      </c>
      <c r="AI15" s="466">
        <v>6585.76</v>
      </c>
      <c r="AJ15" s="469" t="s">
        <v>1498</v>
      </c>
      <c r="AK15" s="470" t="s">
        <v>12355</v>
      </c>
      <c r="AL15" s="471" t="s">
        <v>1500</v>
      </c>
      <c r="AM15" s="470" t="s">
        <v>1501</v>
      </c>
      <c r="AN15" s="470" t="s">
        <v>1385</v>
      </c>
      <c r="AO15" s="470" t="s">
        <v>12356</v>
      </c>
      <c r="AP15" s="470" t="s">
        <v>1502</v>
      </c>
      <c r="AQ15" s="470" t="s">
        <v>1494</v>
      </c>
      <c r="AR15" s="472" t="s">
        <v>515</v>
      </c>
      <c r="AS15" s="473" t="s">
        <v>1385</v>
      </c>
      <c r="AT15" s="472" t="s">
        <v>517</v>
      </c>
      <c r="AU15" s="472" t="s">
        <v>420</v>
      </c>
      <c r="AV15" s="472">
        <v>2020</v>
      </c>
      <c r="AW15" s="474" t="s">
        <v>15078</v>
      </c>
      <c r="AX15" s="475" t="s">
        <v>15079</v>
      </c>
      <c r="AY15" s="515">
        <v>1</v>
      </c>
      <c r="AZ15" s="474" t="s">
        <v>15079</v>
      </c>
      <c r="BA15" s="472" t="s">
        <v>517</v>
      </c>
      <c r="BB15" s="472" t="s">
        <v>516</v>
      </c>
      <c r="BC15" s="472">
        <v>4</v>
      </c>
      <c r="BD15" s="472">
        <v>4275</v>
      </c>
      <c r="BE15" s="472">
        <v>0</v>
      </c>
      <c r="BF15" s="472">
        <v>36217.800000000003</v>
      </c>
      <c r="BG15" s="472">
        <v>0</v>
      </c>
      <c r="BH15" s="472" t="s">
        <v>1385</v>
      </c>
      <c r="BI15" s="510">
        <v>0</v>
      </c>
      <c r="BJ15" s="510">
        <v>0</v>
      </c>
      <c r="BK15" s="510">
        <v>0</v>
      </c>
      <c r="BL15" s="510">
        <v>0</v>
      </c>
      <c r="BM15" s="510">
        <v>0</v>
      </c>
      <c r="BN15" s="510">
        <v>3500</v>
      </c>
      <c r="BO15" s="510">
        <v>800</v>
      </c>
      <c r="BP15" s="510">
        <v>1200</v>
      </c>
      <c r="BQ15" s="510">
        <v>0</v>
      </c>
      <c r="BR15" s="510">
        <v>0</v>
      </c>
      <c r="BS15" s="510">
        <v>0</v>
      </c>
      <c r="BT15" s="510">
        <v>0</v>
      </c>
      <c r="BU15" s="510">
        <v>2500</v>
      </c>
      <c r="BV15" s="510">
        <v>2500</v>
      </c>
      <c r="BW15" s="510">
        <v>0</v>
      </c>
      <c r="BX15" s="510">
        <v>30000</v>
      </c>
      <c r="BY15" s="1011">
        <v>0</v>
      </c>
      <c r="BZ15" s="510">
        <v>0</v>
      </c>
      <c r="CA15" s="1011">
        <v>0</v>
      </c>
      <c r="CB15" s="510">
        <v>22000</v>
      </c>
      <c r="CC15" s="1011">
        <v>0</v>
      </c>
      <c r="CD15" s="510">
        <v>0</v>
      </c>
      <c r="CE15" s="1011">
        <v>0</v>
      </c>
      <c r="CF15" s="510">
        <v>54978.8</v>
      </c>
      <c r="CG15" s="1011">
        <v>0</v>
      </c>
      <c r="CH15" s="510">
        <v>0</v>
      </c>
      <c r="CI15" s="1011">
        <v>0</v>
      </c>
    </row>
    <row r="16" spans="1:87" s="448" customFormat="1" ht="12.75" customHeight="1" x14ac:dyDescent="0.2">
      <c r="A16" s="449">
        <v>39</v>
      </c>
      <c r="B16" s="453">
        <v>302</v>
      </c>
      <c r="C16" s="454" t="s">
        <v>1503</v>
      </c>
      <c r="D16" s="454" t="s">
        <v>517</v>
      </c>
      <c r="E16" s="454" t="s">
        <v>1504</v>
      </c>
      <c r="F16" s="454" t="s">
        <v>525</v>
      </c>
      <c r="G16" s="454" t="s">
        <v>12357</v>
      </c>
      <c r="H16" s="455">
        <v>60737467000140</v>
      </c>
      <c r="I16" s="462">
        <v>32693</v>
      </c>
      <c r="J16" s="457">
        <v>37382330</v>
      </c>
      <c r="K16" s="454" t="s">
        <v>1506</v>
      </c>
      <c r="L16" s="458">
        <v>1343</v>
      </c>
      <c r="M16" s="454" t="s">
        <v>1507</v>
      </c>
      <c r="N16" s="459">
        <v>2365010</v>
      </c>
      <c r="O16" s="460">
        <v>29952513</v>
      </c>
      <c r="P16" s="462">
        <v>330550</v>
      </c>
      <c r="Q16" s="462">
        <v>39</v>
      </c>
      <c r="R16" s="462">
        <v>43950</v>
      </c>
      <c r="S16" s="463">
        <v>888</v>
      </c>
      <c r="T16" s="464">
        <v>5.4</v>
      </c>
      <c r="U16" s="465">
        <v>4795.2</v>
      </c>
      <c r="V16" s="465">
        <v>18720</v>
      </c>
      <c r="W16" s="466">
        <v>0</v>
      </c>
      <c r="X16" s="467">
        <v>1</v>
      </c>
      <c r="Y16" s="466">
        <v>43696.800000000003</v>
      </c>
      <c r="Z16" s="468" t="s">
        <v>516</v>
      </c>
      <c r="AA16" s="466">
        <v>163786.79999999999</v>
      </c>
      <c r="AB16" s="466">
        <v>163786.79999999999</v>
      </c>
      <c r="AC16" s="467">
        <v>0</v>
      </c>
      <c r="AD16" s="466">
        <v>0</v>
      </c>
      <c r="AE16" s="468" t="s">
        <v>516</v>
      </c>
      <c r="AF16" s="466">
        <v>2000</v>
      </c>
      <c r="AG16" s="466">
        <v>2000</v>
      </c>
      <c r="AH16" s="466">
        <v>24973.1</v>
      </c>
      <c r="AI16" s="466">
        <v>0</v>
      </c>
      <c r="AJ16" s="469" t="s">
        <v>1448</v>
      </c>
      <c r="AK16" s="470" t="s">
        <v>1449</v>
      </c>
      <c r="AL16" s="471" t="s">
        <v>1508</v>
      </c>
      <c r="AM16" s="470" t="s">
        <v>1509</v>
      </c>
      <c r="AN16" s="470" t="s">
        <v>1505</v>
      </c>
      <c r="AO16" s="470" t="s">
        <v>1510</v>
      </c>
      <c r="AP16" s="470" t="s">
        <v>1511</v>
      </c>
      <c r="AQ16" s="470" t="s">
        <v>1503</v>
      </c>
      <c r="AR16" s="472" t="s">
        <v>515</v>
      </c>
      <c r="AS16" s="473" t="s">
        <v>1385</v>
      </c>
      <c r="AT16" s="472" t="s">
        <v>517</v>
      </c>
      <c r="AU16" s="472" t="s">
        <v>420</v>
      </c>
      <c r="AV16" s="472">
        <v>2020</v>
      </c>
      <c r="AW16" s="474" t="s">
        <v>15078</v>
      </c>
      <c r="AX16" s="475" t="s">
        <v>15079</v>
      </c>
      <c r="AY16" s="515">
        <v>1</v>
      </c>
      <c r="AZ16" s="474" t="s">
        <v>15079</v>
      </c>
      <c r="BA16" s="472" t="s">
        <v>517</v>
      </c>
      <c r="BB16" s="472" t="s">
        <v>516</v>
      </c>
      <c r="BC16" s="472">
        <v>6</v>
      </c>
      <c r="BD16" s="472">
        <v>5616</v>
      </c>
      <c r="BE16" s="472">
        <v>0</v>
      </c>
      <c r="BF16" s="472">
        <v>43696.800000000003</v>
      </c>
      <c r="BG16" s="472">
        <v>0</v>
      </c>
      <c r="BH16" s="472" t="s">
        <v>1385</v>
      </c>
      <c r="BI16" s="510">
        <v>0</v>
      </c>
      <c r="BJ16" s="510">
        <v>0</v>
      </c>
      <c r="BK16" s="510">
        <v>0</v>
      </c>
      <c r="BL16" s="510">
        <v>1374</v>
      </c>
      <c r="BM16" s="510">
        <v>0</v>
      </c>
      <c r="BN16" s="510">
        <v>0</v>
      </c>
      <c r="BO16" s="510">
        <v>0</v>
      </c>
      <c r="BP16" s="510">
        <v>2000</v>
      </c>
      <c r="BQ16" s="510">
        <v>0</v>
      </c>
      <c r="BR16" s="510">
        <v>0</v>
      </c>
      <c r="BS16" s="510">
        <v>0</v>
      </c>
      <c r="BT16" s="510">
        <v>0</v>
      </c>
      <c r="BU16" s="510">
        <v>2500</v>
      </c>
      <c r="BV16" s="510">
        <v>2500</v>
      </c>
      <c r="BW16" s="510">
        <v>0</v>
      </c>
      <c r="BX16" s="510">
        <v>30000</v>
      </c>
      <c r="BY16" s="1011">
        <v>0</v>
      </c>
      <c r="BZ16" s="510">
        <v>0</v>
      </c>
      <c r="CA16" s="1011">
        <v>0</v>
      </c>
      <c r="CB16" s="510">
        <v>22000</v>
      </c>
      <c r="CC16" s="1011">
        <v>0</v>
      </c>
      <c r="CD16" s="510">
        <v>0</v>
      </c>
      <c r="CE16" s="1011">
        <v>0</v>
      </c>
      <c r="CF16" s="510">
        <v>68090</v>
      </c>
      <c r="CG16" s="1011">
        <v>0</v>
      </c>
      <c r="CH16" s="510">
        <v>0</v>
      </c>
      <c r="CI16" s="1011">
        <v>0</v>
      </c>
    </row>
    <row r="17" spans="1:87" s="448" customFormat="1" ht="12.75" customHeight="1" x14ac:dyDescent="0.2">
      <c r="A17" s="449">
        <v>56</v>
      </c>
      <c r="B17" s="453">
        <v>311</v>
      </c>
      <c r="C17" s="454" t="s">
        <v>1512</v>
      </c>
      <c r="D17" s="454" t="s">
        <v>517</v>
      </c>
      <c r="E17" s="454" t="s">
        <v>1512</v>
      </c>
      <c r="F17" s="454" t="s">
        <v>520</v>
      </c>
      <c r="G17" s="454" t="s">
        <v>12358</v>
      </c>
      <c r="H17" s="455">
        <v>62279633000138</v>
      </c>
      <c r="I17" s="462">
        <v>32973</v>
      </c>
      <c r="J17" s="457">
        <v>37619721</v>
      </c>
      <c r="K17" s="454" t="s">
        <v>1513</v>
      </c>
      <c r="L17" s="458">
        <v>36</v>
      </c>
      <c r="M17" s="454" t="s">
        <v>1514</v>
      </c>
      <c r="N17" s="459">
        <v>5880290</v>
      </c>
      <c r="O17" s="460">
        <v>58737928</v>
      </c>
      <c r="P17" s="462">
        <v>299963</v>
      </c>
      <c r="Q17" s="462">
        <v>121</v>
      </c>
      <c r="R17" s="462">
        <v>43969</v>
      </c>
      <c r="S17" s="463">
        <v>833</v>
      </c>
      <c r="T17" s="464">
        <v>5.4</v>
      </c>
      <c r="U17" s="465">
        <v>4498.2</v>
      </c>
      <c r="V17" s="465">
        <v>18720</v>
      </c>
      <c r="W17" s="466">
        <v>0</v>
      </c>
      <c r="X17" s="467">
        <v>1</v>
      </c>
      <c r="Y17" s="466">
        <v>34827.300000000003</v>
      </c>
      <c r="Z17" s="468" t="s">
        <v>516</v>
      </c>
      <c r="AA17" s="466">
        <v>132702.1</v>
      </c>
      <c r="AB17" s="466">
        <v>132702.1</v>
      </c>
      <c r="AC17" s="467">
        <v>0</v>
      </c>
      <c r="AD17" s="466">
        <v>0</v>
      </c>
      <c r="AE17" s="468" t="s">
        <v>516</v>
      </c>
      <c r="AF17" s="466">
        <v>2000</v>
      </c>
      <c r="AG17" s="466">
        <v>2000</v>
      </c>
      <c r="AH17" s="466">
        <v>38125.300000000003</v>
      </c>
      <c r="AI17" s="466">
        <v>8086.76</v>
      </c>
      <c r="AJ17" s="469" t="s">
        <v>1515</v>
      </c>
      <c r="AK17" s="470" t="s">
        <v>1516</v>
      </c>
      <c r="AL17" s="471" t="s">
        <v>1517</v>
      </c>
      <c r="AM17" s="470" t="s">
        <v>1518</v>
      </c>
      <c r="AN17" s="470" t="s">
        <v>1519</v>
      </c>
      <c r="AO17" s="470" t="s">
        <v>1520</v>
      </c>
      <c r="AP17" s="470" t="s">
        <v>1521</v>
      </c>
      <c r="AQ17" s="470" t="s">
        <v>1512</v>
      </c>
      <c r="AR17" s="472" t="s">
        <v>515</v>
      </c>
      <c r="AS17" s="473" t="s">
        <v>1385</v>
      </c>
      <c r="AT17" s="472" t="s">
        <v>517</v>
      </c>
      <c r="AU17" s="472" t="s">
        <v>420</v>
      </c>
      <c r="AV17" s="472">
        <v>2020</v>
      </c>
      <c r="AW17" s="474" t="s">
        <v>15078</v>
      </c>
      <c r="AX17" s="475" t="s">
        <v>15079</v>
      </c>
      <c r="AY17" s="515">
        <v>1</v>
      </c>
      <c r="AZ17" s="474" t="s">
        <v>15079</v>
      </c>
      <c r="BA17" s="472" t="s">
        <v>517</v>
      </c>
      <c r="BB17" s="472" t="s">
        <v>1385</v>
      </c>
      <c r="BC17" s="472" t="s">
        <v>1385</v>
      </c>
      <c r="BD17" s="472" t="s">
        <v>1385</v>
      </c>
      <c r="BE17" s="472" t="s">
        <v>1385</v>
      </c>
      <c r="BF17" s="472">
        <v>34827.300000000003</v>
      </c>
      <c r="BG17" s="472">
        <v>0</v>
      </c>
      <c r="BH17" s="472" t="s">
        <v>1385</v>
      </c>
      <c r="BI17" s="510">
        <v>0</v>
      </c>
      <c r="BJ17" s="510">
        <v>2597.36</v>
      </c>
      <c r="BK17" s="510">
        <v>0</v>
      </c>
      <c r="BL17" s="510">
        <v>0</v>
      </c>
      <c r="BM17" s="510">
        <v>0</v>
      </c>
      <c r="BN17" s="510">
        <v>5000</v>
      </c>
      <c r="BO17" s="510">
        <v>0</v>
      </c>
      <c r="BP17" s="510">
        <v>2000</v>
      </c>
      <c r="BQ17" s="510">
        <v>0</v>
      </c>
      <c r="BR17" s="510">
        <v>0</v>
      </c>
      <c r="BS17" s="510">
        <v>0</v>
      </c>
      <c r="BT17" s="510">
        <v>0</v>
      </c>
      <c r="BU17" s="510">
        <v>2500</v>
      </c>
      <c r="BV17" s="510">
        <v>2500</v>
      </c>
      <c r="BW17" s="510">
        <v>0</v>
      </c>
      <c r="BX17" s="510">
        <v>30000</v>
      </c>
      <c r="BY17" s="1011">
        <v>0</v>
      </c>
      <c r="BZ17" s="510">
        <v>0</v>
      </c>
      <c r="CA17" s="1011">
        <v>0</v>
      </c>
      <c r="CB17" s="510">
        <v>22000</v>
      </c>
      <c r="CC17" s="1011">
        <v>0</v>
      </c>
      <c r="CD17" s="510">
        <v>0</v>
      </c>
      <c r="CE17" s="1011">
        <v>0</v>
      </c>
      <c r="CF17" s="510">
        <v>45874.8</v>
      </c>
      <c r="CG17" s="1011">
        <v>0</v>
      </c>
      <c r="CH17" s="510">
        <v>0</v>
      </c>
      <c r="CI17" s="1011">
        <v>0</v>
      </c>
    </row>
    <row r="18" spans="1:87" ht="12.75" customHeight="1" x14ac:dyDescent="0.2">
      <c r="A18" s="449">
        <v>35</v>
      </c>
      <c r="B18" s="453">
        <v>329</v>
      </c>
      <c r="C18" s="454" t="s">
        <v>1522</v>
      </c>
      <c r="D18" s="454" t="s">
        <v>1417</v>
      </c>
      <c r="E18" s="454" t="s">
        <v>1523</v>
      </c>
      <c r="F18" s="454" t="s">
        <v>527</v>
      </c>
      <c r="G18" s="454" t="s">
        <v>12359</v>
      </c>
      <c r="H18" s="455">
        <v>61056321000100</v>
      </c>
      <c r="I18" s="462">
        <v>32689</v>
      </c>
      <c r="J18" s="457">
        <v>37585959</v>
      </c>
      <c r="K18" s="454" t="s">
        <v>1524</v>
      </c>
      <c r="L18" s="458">
        <v>459</v>
      </c>
      <c r="M18" s="454" t="s">
        <v>1525</v>
      </c>
      <c r="N18" s="459">
        <v>3166000</v>
      </c>
      <c r="O18" s="460">
        <v>26946923</v>
      </c>
      <c r="P18" s="462">
        <v>254331</v>
      </c>
      <c r="Q18" s="462">
        <v>121</v>
      </c>
      <c r="R18" s="462">
        <v>43917</v>
      </c>
      <c r="S18" s="463">
        <v>171</v>
      </c>
      <c r="T18" s="464">
        <v>5.4</v>
      </c>
      <c r="U18" s="465">
        <v>923.4</v>
      </c>
      <c r="V18" s="465">
        <v>18000</v>
      </c>
      <c r="W18" s="466">
        <v>0</v>
      </c>
      <c r="X18" s="467">
        <v>1</v>
      </c>
      <c r="Y18" s="466">
        <v>28385.1</v>
      </c>
      <c r="Z18" s="468" t="s">
        <v>516</v>
      </c>
      <c r="AA18" s="466">
        <v>111080.7</v>
      </c>
      <c r="AB18" s="466">
        <v>111080.7</v>
      </c>
      <c r="AC18" s="467">
        <v>0</v>
      </c>
      <c r="AD18" s="466">
        <v>0</v>
      </c>
      <c r="AE18" s="468" t="s">
        <v>516</v>
      </c>
      <c r="AF18" s="466">
        <v>0</v>
      </c>
      <c r="AG18" s="466">
        <v>0</v>
      </c>
      <c r="AH18" s="466">
        <v>15709.49</v>
      </c>
      <c r="AI18" s="466">
        <v>6575.55</v>
      </c>
      <c r="AJ18" s="469" t="s">
        <v>1526</v>
      </c>
      <c r="AK18" s="470" t="s">
        <v>1527</v>
      </c>
      <c r="AL18" s="471" t="s">
        <v>1528</v>
      </c>
      <c r="AM18" s="470" t="s">
        <v>1529</v>
      </c>
      <c r="AN18" s="470" t="s">
        <v>12360</v>
      </c>
      <c r="AO18" s="470" t="s">
        <v>12361</v>
      </c>
      <c r="AP18" s="470" t="s">
        <v>1530</v>
      </c>
      <c r="AQ18" s="470" t="s">
        <v>1522</v>
      </c>
      <c r="AR18" s="472" t="s">
        <v>515</v>
      </c>
      <c r="AS18" s="473" t="s">
        <v>1385</v>
      </c>
      <c r="AT18" s="472" t="s">
        <v>1417</v>
      </c>
      <c r="AU18" s="472" t="s">
        <v>420</v>
      </c>
      <c r="AV18" s="472">
        <v>2020</v>
      </c>
      <c r="AW18" s="474" t="s">
        <v>15078</v>
      </c>
      <c r="AX18" s="475" t="s">
        <v>15079</v>
      </c>
      <c r="AY18" s="515">
        <v>1</v>
      </c>
      <c r="AZ18" s="474" t="s">
        <v>15079</v>
      </c>
      <c r="BA18" s="472" t="s">
        <v>1417</v>
      </c>
      <c r="BB18" s="472" t="s">
        <v>1385</v>
      </c>
      <c r="BC18" s="472" t="s">
        <v>1385</v>
      </c>
      <c r="BD18" s="472" t="s">
        <v>1385</v>
      </c>
      <c r="BE18" s="472" t="s">
        <v>1385</v>
      </c>
      <c r="BF18" s="472">
        <v>28385.1</v>
      </c>
      <c r="BG18" s="472">
        <v>0</v>
      </c>
      <c r="BH18" s="472" t="s">
        <v>1385</v>
      </c>
      <c r="BI18" s="510">
        <v>0</v>
      </c>
      <c r="BJ18" s="510">
        <v>0</v>
      </c>
      <c r="BK18" s="510">
        <v>0</v>
      </c>
      <c r="BL18" s="510">
        <v>1393</v>
      </c>
      <c r="BM18" s="510">
        <v>0</v>
      </c>
      <c r="BN18" s="510">
        <v>2000</v>
      </c>
      <c r="BO18" s="510">
        <v>0</v>
      </c>
      <c r="BP18" s="510">
        <v>0</v>
      </c>
      <c r="BQ18" s="510">
        <v>0</v>
      </c>
      <c r="BR18" s="510">
        <v>0</v>
      </c>
      <c r="BS18" s="510">
        <v>0</v>
      </c>
      <c r="BT18" s="510">
        <v>0</v>
      </c>
      <c r="BU18" s="510">
        <v>0</v>
      </c>
      <c r="BV18" s="510">
        <v>0</v>
      </c>
      <c r="BW18" s="510">
        <v>0</v>
      </c>
      <c r="BX18" s="510">
        <v>30000</v>
      </c>
      <c r="BY18" s="1011">
        <v>0</v>
      </c>
      <c r="BZ18" s="510">
        <v>0</v>
      </c>
      <c r="CA18" s="1011">
        <v>0</v>
      </c>
      <c r="CB18" s="510">
        <v>0</v>
      </c>
      <c r="CC18" s="1011">
        <v>0</v>
      </c>
      <c r="CD18" s="510">
        <v>0</v>
      </c>
      <c r="CE18" s="1011">
        <v>0</v>
      </c>
      <c r="CF18" s="510">
        <v>52695.6</v>
      </c>
      <c r="CG18" s="1011">
        <v>0</v>
      </c>
      <c r="CH18" s="510">
        <v>0</v>
      </c>
      <c r="CI18" s="1011">
        <v>0</v>
      </c>
    </row>
    <row r="19" spans="1:87" ht="12.75" customHeight="1" x14ac:dyDescent="0.2">
      <c r="A19" s="449">
        <v>27</v>
      </c>
      <c r="B19" s="453">
        <v>337</v>
      </c>
      <c r="C19" s="454" t="s">
        <v>1531</v>
      </c>
      <c r="D19" s="454" t="s">
        <v>1417</v>
      </c>
      <c r="E19" s="454" t="s">
        <v>1532</v>
      </c>
      <c r="F19" s="454" t="s">
        <v>525</v>
      </c>
      <c r="G19" s="454" t="s">
        <v>12362</v>
      </c>
      <c r="H19" s="455">
        <v>62569918000103</v>
      </c>
      <c r="I19" s="462">
        <v>32968</v>
      </c>
      <c r="J19" s="457">
        <v>37387146</v>
      </c>
      <c r="K19" s="454" t="s">
        <v>1533</v>
      </c>
      <c r="L19" s="458">
        <v>212</v>
      </c>
      <c r="M19" s="454" t="s">
        <v>1534</v>
      </c>
      <c r="N19" s="459">
        <v>2258220</v>
      </c>
      <c r="O19" s="460">
        <v>22401005</v>
      </c>
      <c r="P19" s="462">
        <v>327762</v>
      </c>
      <c r="Q19" s="462">
        <v>27</v>
      </c>
      <c r="R19" s="462">
        <v>43950</v>
      </c>
      <c r="S19" s="463">
        <v>53</v>
      </c>
      <c r="T19" s="464">
        <v>5.4</v>
      </c>
      <c r="U19" s="465">
        <v>286.2</v>
      </c>
      <c r="V19" s="465">
        <v>18000</v>
      </c>
      <c r="W19" s="466">
        <v>0</v>
      </c>
      <c r="X19" s="467">
        <v>1</v>
      </c>
      <c r="Y19" s="466">
        <v>27429.3</v>
      </c>
      <c r="Z19" s="468" t="s">
        <v>516</v>
      </c>
      <c r="AA19" s="466">
        <v>109055.7</v>
      </c>
      <c r="AB19" s="466">
        <v>109055.7</v>
      </c>
      <c r="AC19" s="467">
        <v>0</v>
      </c>
      <c r="AD19" s="466">
        <v>0</v>
      </c>
      <c r="AE19" s="468" t="s">
        <v>516</v>
      </c>
      <c r="AF19" s="466">
        <v>0</v>
      </c>
      <c r="AG19" s="466">
        <v>0</v>
      </c>
      <c r="AH19" s="466">
        <v>18314.36</v>
      </c>
      <c r="AI19" s="466">
        <v>6555</v>
      </c>
      <c r="AJ19" s="469" t="s">
        <v>1535</v>
      </c>
      <c r="AK19" s="470" t="s">
        <v>1536</v>
      </c>
      <c r="AL19" s="471" t="s">
        <v>1537</v>
      </c>
      <c r="AM19" s="470" t="s">
        <v>12363</v>
      </c>
      <c r="AN19" s="470" t="s">
        <v>1538</v>
      </c>
      <c r="AO19" s="470" t="s">
        <v>1539</v>
      </c>
      <c r="AP19" s="470" t="s">
        <v>1540</v>
      </c>
      <c r="AQ19" s="470" t="s">
        <v>1531</v>
      </c>
      <c r="AR19" s="472" t="s">
        <v>515</v>
      </c>
      <c r="AS19" s="473" t="s">
        <v>1385</v>
      </c>
      <c r="AT19" s="472" t="s">
        <v>1417</v>
      </c>
      <c r="AU19" s="472" t="s">
        <v>420</v>
      </c>
      <c r="AV19" s="472">
        <v>2020</v>
      </c>
      <c r="AW19" s="474" t="s">
        <v>15078</v>
      </c>
      <c r="AX19" s="475" t="s">
        <v>15079</v>
      </c>
      <c r="AY19" s="515">
        <v>1</v>
      </c>
      <c r="AZ19" s="474" t="s">
        <v>15079</v>
      </c>
      <c r="BA19" s="472" t="s">
        <v>1417</v>
      </c>
      <c r="BB19" s="472" t="s">
        <v>1385</v>
      </c>
      <c r="BC19" s="472" t="s">
        <v>1385</v>
      </c>
      <c r="BD19" s="472" t="s">
        <v>1385</v>
      </c>
      <c r="BE19" s="472" t="s">
        <v>1385</v>
      </c>
      <c r="BF19" s="472">
        <v>27429.3</v>
      </c>
      <c r="BG19" s="472">
        <v>0</v>
      </c>
      <c r="BH19" s="472" t="s">
        <v>1385</v>
      </c>
      <c r="BI19" s="510">
        <v>0</v>
      </c>
      <c r="BJ19" s="510">
        <v>0</v>
      </c>
      <c r="BK19" s="510">
        <v>0</v>
      </c>
      <c r="BL19" s="510">
        <v>0</v>
      </c>
      <c r="BM19" s="510">
        <v>0</v>
      </c>
      <c r="BN19" s="510">
        <v>2000</v>
      </c>
      <c r="BO19" s="510">
        <v>0</v>
      </c>
      <c r="BP19" s="510">
        <v>0</v>
      </c>
      <c r="BQ19" s="510">
        <v>0</v>
      </c>
      <c r="BR19" s="510">
        <v>0</v>
      </c>
      <c r="BS19" s="510">
        <v>0</v>
      </c>
      <c r="BT19" s="510">
        <v>0</v>
      </c>
      <c r="BU19" s="510">
        <v>2500</v>
      </c>
      <c r="BV19" s="510">
        <v>2500</v>
      </c>
      <c r="BW19" s="510">
        <v>0</v>
      </c>
      <c r="BX19" s="510">
        <v>30000</v>
      </c>
      <c r="BY19" s="1011">
        <v>0</v>
      </c>
      <c r="BZ19" s="510">
        <v>0</v>
      </c>
      <c r="CA19" s="1011">
        <v>0</v>
      </c>
      <c r="CB19" s="510">
        <v>0</v>
      </c>
      <c r="CC19" s="1011">
        <v>0</v>
      </c>
      <c r="CD19" s="510">
        <v>0</v>
      </c>
      <c r="CE19" s="1011">
        <v>0</v>
      </c>
      <c r="CF19" s="510">
        <v>51626.400000000001</v>
      </c>
      <c r="CG19" s="1011">
        <v>0</v>
      </c>
      <c r="CH19" s="510">
        <v>0</v>
      </c>
      <c r="CI19" s="1011">
        <v>0</v>
      </c>
    </row>
    <row r="20" spans="1:87" s="448" customFormat="1" ht="12.75" customHeight="1" x14ac:dyDescent="0.2">
      <c r="A20" s="449">
        <v>73</v>
      </c>
      <c r="B20" s="453">
        <v>388</v>
      </c>
      <c r="C20" s="454" t="s">
        <v>1541</v>
      </c>
      <c r="D20" s="454" t="s">
        <v>1390</v>
      </c>
      <c r="E20" s="454" t="s">
        <v>1542</v>
      </c>
      <c r="F20" s="454" t="s">
        <v>529</v>
      </c>
      <c r="G20" s="454" t="s">
        <v>12364</v>
      </c>
      <c r="H20" s="455">
        <v>61582938000151</v>
      </c>
      <c r="I20" s="462">
        <v>32919</v>
      </c>
      <c r="J20" s="457">
        <v>37522957</v>
      </c>
      <c r="K20" s="454" t="s">
        <v>1543</v>
      </c>
      <c r="L20" s="458">
        <v>128</v>
      </c>
      <c r="M20" s="454" t="s">
        <v>1480</v>
      </c>
      <c r="N20" s="459">
        <v>4475380</v>
      </c>
      <c r="O20" s="460">
        <v>56740025</v>
      </c>
      <c r="P20" s="462">
        <v>563458</v>
      </c>
      <c r="Q20" s="462">
        <v>38</v>
      </c>
      <c r="R20" s="462">
        <v>43921</v>
      </c>
      <c r="S20" s="463">
        <v>474</v>
      </c>
      <c r="T20" s="464">
        <v>3.6</v>
      </c>
      <c r="U20" s="465">
        <v>1706.4</v>
      </c>
      <c r="V20" s="465">
        <v>15120</v>
      </c>
      <c r="W20" s="466">
        <v>0</v>
      </c>
      <c r="X20" s="467">
        <v>1</v>
      </c>
      <c r="Y20" s="466">
        <v>25239.599999999999</v>
      </c>
      <c r="Z20" s="468" t="s">
        <v>516</v>
      </c>
      <c r="AA20" s="466">
        <v>103791.6</v>
      </c>
      <c r="AB20" s="466">
        <v>103791.6</v>
      </c>
      <c r="AC20" s="467">
        <v>0</v>
      </c>
      <c r="AD20" s="466">
        <v>0</v>
      </c>
      <c r="AE20" s="468" t="s">
        <v>516</v>
      </c>
      <c r="AF20" s="466">
        <v>0</v>
      </c>
      <c r="AG20" s="466">
        <v>0</v>
      </c>
      <c r="AH20" s="466">
        <v>29544.42</v>
      </c>
      <c r="AI20" s="466">
        <v>3814.29</v>
      </c>
      <c r="AJ20" s="469" t="s">
        <v>1544</v>
      </c>
      <c r="AK20" s="470" t="s">
        <v>1545</v>
      </c>
      <c r="AL20" s="471" t="s">
        <v>1546</v>
      </c>
      <c r="AM20" s="470" t="s">
        <v>1547</v>
      </c>
      <c r="AN20" s="470" t="s">
        <v>12364</v>
      </c>
      <c r="AO20" s="470" t="s">
        <v>12365</v>
      </c>
      <c r="AP20" s="470" t="s">
        <v>1548</v>
      </c>
      <c r="AQ20" s="470" t="s">
        <v>1541</v>
      </c>
      <c r="AR20" s="472" t="s">
        <v>515</v>
      </c>
      <c r="AS20" s="473" t="s">
        <v>1385</v>
      </c>
      <c r="AT20" s="472" t="s">
        <v>1390</v>
      </c>
      <c r="AU20" s="472" t="s">
        <v>420</v>
      </c>
      <c r="AV20" s="472">
        <v>2020</v>
      </c>
      <c r="AW20" s="474" t="s">
        <v>15078</v>
      </c>
      <c r="AX20" s="475" t="s">
        <v>15079</v>
      </c>
      <c r="AY20" s="515">
        <v>1</v>
      </c>
      <c r="AZ20" s="474" t="s">
        <v>15079</v>
      </c>
      <c r="BA20" s="472" t="s">
        <v>1390</v>
      </c>
      <c r="BB20" s="472" t="s">
        <v>1385</v>
      </c>
      <c r="BC20" s="472" t="s">
        <v>1385</v>
      </c>
      <c r="BD20" s="472" t="s">
        <v>1385</v>
      </c>
      <c r="BE20" s="472" t="s">
        <v>1385</v>
      </c>
      <c r="BF20" s="509">
        <v>25239.599999999999</v>
      </c>
      <c r="BG20" s="509">
        <v>0</v>
      </c>
      <c r="BH20" s="472" t="s">
        <v>1385</v>
      </c>
      <c r="BI20" s="510">
        <v>0</v>
      </c>
      <c r="BJ20" s="510">
        <v>0</v>
      </c>
      <c r="BK20" s="510">
        <v>0</v>
      </c>
      <c r="BL20" s="510">
        <v>0</v>
      </c>
      <c r="BM20" s="510">
        <v>0</v>
      </c>
      <c r="BN20" s="510">
        <v>4000</v>
      </c>
      <c r="BO20" s="510">
        <v>0</v>
      </c>
      <c r="BP20" s="510">
        <v>0</v>
      </c>
      <c r="BQ20" s="510">
        <v>0</v>
      </c>
      <c r="BR20" s="510">
        <v>0</v>
      </c>
      <c r="BS20" s="510">
        <v>0</v>
      </c>
      <c r="BT20" s="510">
        <v>0</v>
      </c>
      <c r="BU20" s="510">
        <v>0</v>
      </c>
      <c r="BV20" s="510">
        <v>0</v>
      </c>
      <c r="BW20" s="510">
        <v>0</v>
      </c>
      <c r="BX20" s="510">
        <v>30000</v>
      </c>
      <c r="BY20" s="1011">
        <v>0</v>
      </c>
      <c r="BZ20" s="510">
        <v>0</v>
      </c>
      <c r="CA20" s="1011">
        <v>0</v>
      </c>
      <c r="CB20" s="510">
        <v>0</v>
      </c>
      <c r="CC20" s="1011">
        <v>0</v>
      </c>
      <c r="CD20" s="510">
        <v>0</v>
      </c>
      <c r="CE20" s="1011">
        <v>0</v>
      </c>
      <c r="CF20" s="510">
        <v>48552</v>
      </c>
      <c r="CG20" s="1011">
        <v>0</v>
      </c>
      <c r="CH20" s="510">
        <v>0</v>
      </c>
      <c r="CI20" s="1011">
        <v>0</v>
      </c>
    </row>
    <row r="21" spans="1:87" ht="12.75" customHeight="1" x14ac:dyDescent="0.2">
      <c r="A21" s="449">
        <v>38</v>
      </c>
      <c r="B21" s="453">
        <v>418</v>
      </c>
      <c r="C21" s="454" t="s">
        <v>1549</v>
      </c>
      <c r="D21" s="454" t="s">
        <v>517</v>
      </c>
      <c r="E21" s="454" t="s">
        <v>1550</v>
      </c>
      <c r="F21" s="454" t="s">
        <v>529</v>
      </c>
      <c r="G21" s="454" t="s">
        <v>12366</v>
      </c>
      <c r="H21" s="455">
        <v>65503724000101</v>
      </c>
      <c r="I21" s="462">
        <v>33396</v>
      </c>
      <c r="J21" s="457">
        <v>37523406</v>
      </c>
      <c r="K21" s="454" t="s">
        <v>1551</v>
      </c>
      <c r="L21" s="458">
        <v>291</v>
      </c>
      <c r="M21" s="454" t="s">
        <v>1545</v>
      </c>
      <c r="N21" s="459">
        <v>4457100</v>
      </c>
      <c r="O21" s="460">
        <v>56114691</v>
      </c>
      <c r="P21" s="462">
        <v>563792</v>
      </c>
      <c r="Q21" s="462">
        <v>62</v>
      </c>
      <c r="R21" s="462">
        <v>43921</v>
      </c>
      <c r="S21" s="463">
        <v>382</v>
      </c>
      <c r="T21" s="464">
        <v>5.4</v>
      </c>
      <c r="U21" s="465">
        <v>2062.8000000000002</v>
      </c>
      <c r="V21" s="465">
        <v>15480</v>
      </c>
      <c r="W21" s="466">
        <v>0</v>
      </c>
      <c r="X21" s="467">
        <v>1</v>
      </c>
      <c r="Y21" s="466">
        <v>30958.2</v>
      </c>
      <c r="Z21" s="468" t="s">
        <v>516</v>
      </c>
      <c r="AA21" s="466">
        <v>132288.6</v>
      </c>
      <c r="AB21" s="466">
        <v>132288.6</v>
      </c>
      <c r="AC21" s="467">
        <v>0</v>
      </c>
      <c r="AD21" s="466">
        <v>0</v>
      </c>
      <c r="AE21" s="468" t="s">
        <v>516</v>
      </c>
      <c r="AF21" s="466">
        <v>0</v>
      </c>
      <c r="AG21" s="466">
        <v>0</v>
      </c>
      <c r="AH21" s="466">
        <v>21535.57</v>
      </c>
      <c r="AI21" s="466">
        <v>11972.45</v>
      </c>
      <c r="AJ21" s="469" t="s">
        <v>1481</v>
      </c>
      <c r="AK21" s="470" t="s">
        <v>1482</v>
      </c>
      <c r="AL21" s="471" t="s">
        <v>1552</v>
      </c>
      <c r="AM21" s="470" t="s">
        <v>1553</v>
      </c>
      <c r="AN21" s="470" t="s">
        <v>12366</v>
      </c>
      <c r="AO21" s="470" t="s">
        <v>1554</v>
      </c>
      <c r="AP21" s="470" t="s">
        <v>1555</v>
      </c>
      <c r="AQ21" s="470" t="s">
        <v>1549</v>
      </c>
      <c r="AR21" s="472" t="s">
        <v>515</v>
      </c>
      <c r="AS21" s="473" t="s">
        <v>1385</v>
      </c>
      <c r="AT21" s="472" t="s">
        <v>517</v>
      </c>
      <c r="AU21" s="472" t="s">
        <v>420</v>
      </c>
      <c r="AV21" s="472">
        <v>2020</v>
      </c>
      <c r="AW21" s="474" t="s">
        <v>15078</v>
      </c>
      <c r="AX21" s="475" t="s">
        <v>15079</v>
      </c>
      <c r="AY21" s="515">
        <v>1</v>
      </c>
      <c r="AZ21" s="474" t="s">
        <v>15079</v>
      </c>
      <c r="BA21" s="472" t="s">
        <v>517</v>
      </c>
      <c r="BB21" s="472" t="s">
        <v>516</v>
      </c>
      <c r="BC21" s="472">
        <v>2</v>
      </c>
      <c r="BD21" s="472">
        <v>3096</v>
      </c>
      <c r="BE21" s="472">
        <v>0</v>
      </c>
      <c r="BF21" s="472">
        <v>30958.2</v>
      </c>
      <c r="BG21" s="472">
        <v>0</v>
      </c>
      <c r="BH21" s="472" t="s">
        <v>1385</v>
      </c>
      <c r="BI21" s="510">
        <v>0</v>
      </c>
      <c r="BJ21" s="510">
        <v>0</v>
      </c>
      <c r="BK21" s="510">
        <v>0</v>
      </c>
      <c r="BL21" s="510">
        <v>0</v>
      </c>
      <c r="BM21" s="510">
        <v>0</v>
      </c>
      <c r="BN21" s="510">
        <v>3500</v>
      </c>
      <c r="BO21" s="510">
        <v>0</v>
      </c>
      <c r="BP21" s="510">
        <v>0</v>
      </c>
      <c r="BQ21" s="510">
        <v>0</v>
      </c>
      <c r="BR21" s="510">
        <v>0</v>
      </c>
      <c r="BS21" s="510">
        <v>0</v>
      </c>
      <c r="BT21" s="510">
        <v>0</v>
      </c>
      <c r="BU21" s="510">
        <v>2500</v>
      </c>
      <c r="BV21" s="510">
        <v>2500</v>
      </c>
      <c r="BW21" s="510">
        <v>0</v>
      </c>
      <c r="BX21" s="510">
        <v>30000</v>
      </c>
      <c r="BY21" s="1011">
        <v>0</v>
      </c>
      <c r="BZ21" s="510">
        <v>0</v>
      </c>
      <c r="CA21" s="1011">
        <v>0</v>
      </c>
      <c r="CB21" s="510">
        <v>22000</v>
      </c>
      <c r="CC21" s="1011">
        <v>0</v>
      </c>
      <c r="CD21" s="510">
        <v>0</v>
      </c>
      <c r="CE21" s="1011">
        <v>0</v>
      </c>
      <c r="CF21" s="510">
        <v>49330.400000000001</v>
      </c>
      <c r="CG21" s="1011">
        <v>0</v>
      </c>
      <c r="CH21" s="510">
        <v>0</v>
      </c>
      <c r="CI21" s="1011">
        <v>0</v>
      </c>
    </row>
    <row r="22" spans="1:87" ht="12.75" customHeight="1" x14ac:dyDescent="0.2">
      <c r="A22" s="449">
        <v>97</v>
      </c>
      <c r="B22" s="453">
        <v>426</v>
      </c>
      <c r="C22" s="454" t="s">
        <v>1556</v>
      </c>
      <c r="D22" s="454" t="s">
        <v>1390</v>
      </c>
      <c r="E22" s="454" t="s">
        <v>1557</v>
      </c>
      <c r="F22" s="454" t="s">
        <v>513</v>
      </c>
      <c r="G22" s="454" t="s">
        <v>12367</v>
      </c>
      <c r="H22" s="455">
        <v>64617376000122</v>
      </c>
      <c r="I22" s="462">
        <v>33262</v>
      </c>
      <c r="J22" s="457">
        <v>37532146</v>
      </c>
      <c r="K22" s="454" t="s">
        <v>1558</v>
      </c>
      <c r="L22" s="458">
        <v>257</v>
      </c>
      <c r="M22" s="454" t="s">
        <v>1559</v>
      </c>
      <c r="N22" s="459">
        <v>8320120</v>
      </c>
      <c r="O22" s="460">
        <v>20153216</v>
      </c>
      <c r="P22" s="462">
        <v>151427</v>
      </c>
      <c r="Q22" s="462">
        <v>97</v>
      </c>
      <c r="R22" s="462">
        <v>43937</v>
      </c>
      <c r="S22" s="463">
        <v>221</v>
      </c>
      <c r="T22" s="464">
        <v>3.6</v>
      </c>
      <c r="U22" s="465">
        <v>795.6</v>
      </c>
      <c r="V22" s="465">
        <v>12240</v>
      </c>
      <c r="W22" s="466">
        <v>0</v>
      </c>
      <c r="X22" s="467">
        <v>1</v>
      </c>
      <c r="Y22" s="466">
        <v>19553.400000000001</v>
      </c>
      <c r="Z22" s="468" t="s">
        <v>516</v>
      </c>
      <c r="AA22" s="466">
        <v>90531</v>
      </c>
      <c r="AB22" s="466">
        <v>90531</v>
      </c>
      <c r="AC22" s="467">
        <v>0</v>
      </c>
      <c r="AD22" s="466">
        <v>0</v>
      </c>
      <c r="AE22" s="468" t="s">
        <v>516</v>
      </c>
      <c r="AF22" s="466">
        <v>0</v>
      </c>
      <c r="AG22" s="466">
        <v>0</v>
      </c>
      <c r="AH22" s="466">
        <v>35154.1</v>
      </c>
      <c r="AI22" s="466">
        <v>6914.44</v>
      </c>
      <c r="AJ22" s="469" t="s">
        <v>1560</v>
      </c>
      <c r="AK22" s="470" t="s">
        <v>1561</v>
      </c>
      <c r="AL22" s="471" t="s">
        <v>1562</v>
      </c>
      <c r="AM22" s="470" t="s">
        <v>1563</v>
      </c>
      <c r="AN22" s="470" t="s">
        <v>1564</v>
      </c>
      <c r="AO22" s="470" t="s">
        <v>1565</v>
      </c>
      <c r="AP22" s="470" t="s">
        <v>1566</v>
      </c>
      <c r="AQ22" s="470" t="s">
        <v>1556</v>
      </c>
      <c r="AR22" s="472" t="s">
        <v>515</v>
      </c>
      <c r="AS22" s="473" t="s">
        <v>1385</v>
      </c>
      <c r="AT22" s="472" t="s">
        <v>1390</v>
      </c>
      <c r="AU22" s="472" t="s">
        <v>420</v>
      </c>
      <c r="AV22" s="472">
        <v>2020</v>
      </c>
      <c r="AW22" s="474" t="s">
        <v>15078</v>
      </c>
      <c r="AX22" s="475" t="s">
        <v>15079</v>
      </c>
      <c r="AY22" s="515">
        <v>1</v>
      </c>
      <c r="AZ22" s="474" t="s">
        <v>15079</v>
      </c>
      <c r="BA22" s="472" t="s">
        <v>1390</v>
      </c>
      <c r="BB22" s="472" t="s">
        <v>1385</v>
      </c>
      <c r="BC22" s="472" t="s">
        <v>1385</v>
      </c>
      <c r="BD22" s="472" t="s">
        <v>1385</v>
      </c>
      <c r="BE22" s="472" t="s">
        <v>1385</v>
      </c>
      <c r="BF22" s="472">
        <v>19553.400000000001</v>
      </c>
      <c r="BG22" s="472">
        <v>0</v>
      </c>
      <c r="BH22" s="472" t="s">
        <v>1385</v>
      </c>
      <c r="BI22" s="510">
        <v>0</v>
      </c>
      <c r="BJ22" s="510">
        <v>0</v>
      </c>
      <c r="BK22" s="510">
        <v>0</v>
      </c>
      <c r="BL22" s="510">
        <v>0</v>
      </c>
      <c r="BM22" s="510">
        <v>0</v>
      </c>
      <c r="BN22" s="510">
        <v>3000</v>
      </c>
      <c r="BO22" s="510">
        <v>0</v>
      </c>
      <c r="BP22" s="510">
        <v>0</v>
      </c>
      <c r="BQ22" s="510">
        <v>0</v>
      </c>
      <c r="BR22" s="510">
        <v>0</v>
      </c>
      <c r="BS22" s="510">
        <v>0</v>
      </c>
      <c r="BT22" s="510">
        <v>0</v>
      </c>
      <c r="BU22" s="510">
        <v>0</v>
      </c>
      <c r="BV22" s="510">
        <v>0</v>
      </c>
      <c r="BW22" s="510">
        <v>0</v>
      </c>
      <c r="BX22" s="510">
        <v>30000</v>
      </c>
      <c r="BY22" s="1011">
        <v>0</v>
      </c>
      <c r="BZ22" s="510">
        <v>0</v>
      </c>
      <c r="CA22" s="1011">
        <v>0</v>
      </c>
      <c r="CB22" s="510">
        <v>0</v>
      </c>
      <c r="CC22" s="1011">
        <v>0</v>
      </c>
      <c r="CD22" s="510">
        <v>0</v>
      </c>
      <c r="CE22" s="1011">
        <v>0</v>
      </c>
      <c r="CF22" s="510">
        <v>40977.599999999999</v>
      </c>
      <c r="CG22" s="1011">
        <v>0</v>
      </c>
      <c r="CH22" s="510">
        <v>0</v>
      </c>
      <c r="CI22" s="1011">
        <v>0</v>
      </c>
    </row>
    <row r="23" spans="1:87" ht="12.75" customHeight="1" x14ac:dyDescent="0.2">
      <c r="A23" s="449">
        <v>97</v>
      </c>
      <c r="B23" s="453">
        <v>434</v>
      </c>
      <c r="C23" s="454" t="s">
        <v>1567</v>
      </c>
      <c r="D23" s="454" t="s">
        <v>1390</v>
      </c>
      <c r="E23" s="454" t="s">
        <v>1568</v>
      </c>
      <c r="F23" s="454" t="s">
        <v>528</v>
      </c>
      <c r="G23" s="454" t="s">
        <v>12368</v>
      </c>
      <c r="H23" s="455">
        <v>61604310000100</v>
      </c>
      <c r="I23" s="462">
        <v>32813</v>
      </c>
      <c r="J23" s="457">
        <v>37380427</v>
      </c>
      <c r="K23" s="454" t="s">
        <v>1569</v>
      </c>
      <c r="L23" s="458">
        <v>100</v>
      </c>
      <c r="M23" s="454" t="s">
        <v>1570</v>
      </c>
      <c r="N23" s="459">
        <v>5157060</v>
      </c>
      <c r="O23" s="460">
        <v>39410593</v>
      </c>
      <c r="P23" s="462">
        <v>212442</v>
      </c>
      <c r="Q23" s="462">
        <v>97</v>
      </c>
      <c r="R23" s="462">
        <v>43938</v>
      </c>
      <c r="S23" s="463">
        <v>239</v>
      </c>
      <c r="T23" s="464">
        <v>3.6</v>
      </c>
      <c r="U23" s="465">
        <v>860.4</v>
      </c>
      <c r="V23" s="465">
        <v>12240</v>
      </c>
      <c r="W23" s="466">
        <v>0</v>
      </c>
      <c r="X23" s="467">
        <v>1</v>
      </c>
      <c r="Y23" s="466">
        <v>19650.599999999999</v>
      </c>
      <c r="Z23" s="468" t="s">
        <v>516</v>
      </c>
      <c r="AA23" s="466">
        <v>90988.2</v>
      </c>
      <c r="AB23" s="466">
        <v>90988.2</v>
      </c>
      <c r="AC23" s="467">
        <v>0</v>
      </c>
      <c r="AD23" s="466">
        <v>0</v>
      </c>
      <c r="AE23" s="468" t="s">
        <v>516</v>
      </c>
      <c r="AF23" s="466">
        <v>0</v>
      </c>
      <c r="AG23" s="466">
        <v>0</v>
      </c>
      <c r="AH23" s="466">
        <v>5473.01</v>
      </c>
      <c r="AI23" s="466">
        <v>33.6</v>
      </c>
      <c r="AJ23" s="469" t="s">
        <v>1571</v>
      </c>
      <c r="AK23" s="470" t="s">
        <v>528</v>
      </c>
      <c r="AL23" s="471" t="s">
        <v>1572</v>
      </c>
      <c r="AM23" s="470" t="s">
        <v>12369</v>
      </c>
      <c r="AN23" s="470" t="s">
        <v>1385</v>
      </c>
      <c r="AO23" s="470" t="s">
        <v>1573</v>
      </c>
      <c r="AP23" s="470" t="s">
        <v>1574</v>
      </c>
      <c r="AQ23" s="470" t="s">
        <v>1567</v>
      </c>
      <c r="AR23" s="472" t="s">
        <v>515</v>
      </c>
      <c r="AS23" s="473" t="s">
        <v>1385</v>
      </c>
      <c r="AT23" s="472" t="s">
        <v>1390</v>
      </c>
      <c r="AU23" s="472" t="s">
        <v>420</v>
      </c>
      <c r="AV23" s="472">
        <v>2020</v>
      </c>
      <c r="AW23" s="474" t="s">
        <v>15078</v>
      </c>
      <c r="AX23" s="475" t="s">
        <v>15079</v>
      </c>
      <c r="AY23" s="515">
        <v>1</v>
      </c>
      <c r="AZ23" s="474" t="s">
        <v>15079</v>
      </c>
      <c r="BA23" s="472" t="s">
        <v>1390</v>
      </c>
      <c r="BB23" s="472" t="s">
        <v>1385</v>
      </c>
      <c r="BC23" s="472" t="s">
        <v>1385</v>
      </c>
      <c r="BD23" s="472" t="s">
        <v>1385</v>
      </c>
      <c r="BE23" s="472" t="s">
        <v>1385</v>
      </c>
      <c r="BF23" s="472">
        <v>19650.599999999999</v>
      </c>
      <c r="BG23" s="472">
        <v>0</v>
      </c>
      <c r="BH23" s="472" t="s">
        <v>1385</v>
      </c>
      <c r="BI23" s="510">
        <v>0</v>
      </c>
      <c r="BJ23" s="510">
        <v>0</v>
      </c>
      <c r="BK23" s="510">
        <v>0</v>
      </c>
      <c r="BL23" s="510">
        <v>0</v>
      </c>
      <c r="BM23" s="510">
        <v>0</v>
      </c>
      <c r="BN23" s="510">
        <v>3000</v>
      </c>
      <c r="BO23" s="510">
        <v>0</v>
      </c>
      <c r="BP23" s="510">
        <v>0</v>
      </c>
      <c r="BQ23" s="510">
        <v>0</v>
      </c>
      <c r="BR23" s="510">
        <v>0</v>
      </c>
      <c r="BS23" s="510">
        <v>0</v>
      </c>
      <c r="BT23" s="510">
        <v>0</v>
      </c>
      <c r="BU23" s="510">
        <v>0</v>
      </c>
      <c r="BV23" s="510">
        <v>0</v>
      </c>
      <c r="BW23" s="510">
        <v>0</v>
      </c>
      <c r="BX23" s="510">
        <v>30000</v>
      </c>
      <c r="BY23" s="1011">
        <v>0</v>
      </c>
      <c r="BZ23" s="510">
        <v>0</v>
      </c>
      <c r="CA23" s="1011">
        <v>0</v>
      </c>
      <c r="CB23" s="510">
        <v>0</v>
      </c>
      <c r="CC23" s="1011">
        <v>0</v>
      </c>
      <c r="CD23" s="510">
        <v>0</v>
      </c>
      <c r="CE23" s="1011">
        <v>0</v>
      </c>
      <c r="CF23" s="510">
        <v>41337.599999999999</v>
      </c>
      <c r="CG23" s="1011">
        <v>0</v>
      </c>
      <c r="CH23" s="510">
        <v>0</v>
      </c>
      <c r="CI23" s="1011">
        <v>0</v>
      </c>
    </row>
    <row r="24" spans="1:87" s="448" customFormat="1" ht="12.75" customHeight="1" x14ac:dyDescent="0.2">
      <c r="A24" s="449">
        <v>68</v>
      </c>
      <c r="B24" s="453">
        <v>442</v>
      </c>
      <c r="C24" s="454" t="s">
        <v>1575</v>
      </c>
      <c r="D24" s="454" t="s">
        <v>1390</v>
      </c>
      <c r="E24" s="454" t="s">
        <v>1576</v>
      </c>
      <c r="F24" s="454" t="s">
        <v>524</v>
      </c>
      <c r="G24" s="454" t="s">
        <v>12370</v>
      </c>
      <c r="H24" s="455">
        <v>68479021000175</v>
      </c>
      <c r="I24" s="462">
        <v>33935</v>
      </c>
      <c r="J24" s="457">
        <v>37500112</v>
      </c>
      <c r="K24" s="454" t="s">
        <v>1578</v>
      </c>
      <c r="L24" s="458">
        <v>123</v>
      </c>
      <c r="M24" s="454" t="s">
        <v>1579</v>
      </c>
      <c r="N24" s="459">
        <v>3240040</v>
      </c>
      <c r="O24" s="460">
        <v>29187032</v>
      </c>
      <c r="P24" s="462">
        <v>205098</v>
      </c>
      <c r="Q24" s="462">
        <v>74</v>
      </c>
      <c r="R24" s="462">
        <v>43906</v>
      </c>
      <c r="S24" s="463">
        <v>300</v>
      </c>
      <c r="T24" s="464">
        <v>3.6</v>
      </c>
      <c r="U24" s="465">
        <v>1080</v>
      </c>
      <c r="V24" s="465">
        <v>12240</v>
      </c>
      <c r="W24" s="466">
        <v>0</v>
      </c>
      <c r="X24" s="467">
        <v>1</v>
      </c>
      <c r="Y24" s="466">
        <v>19980</v>
      </c>
      <c r="Z24" s="468" t="s">
        <v>516</v>
      </c>
      <c r="AA24" s="466">
        <v>94564.800000000003</v>
      </c>
      <c r="AB24" s="466">
        <v>94564.800000000003</v>
      </c>
      <c r="AC24" s="467">
        <v>0</v>
      </c>
      <c r="AD24" s="466">
        <v>0</v>
      </c>
      <c r="AE24" s="468" t="s">
        <v>516</v>
      </c>
      <c r="AF24" s="466">
        <v>0</v>
      </c>
      <c r="AG24" s="466">
        <v>0</v>
      </c>
      <c r="AH24" s="466">
        <v>14464.2</v>
      </c>
      <c r="AI24" s="466">
        <v>5973.33</v>
      </c>
      <c r="AJ24" s="469" t="s">
        <v>1580</v>
      </c>
      <c r="AK24" s="470" t="s">
        <v>1581</v>
      </c>
      <c r="AL24" s="471" t="s">
        <v>1582</v>
      </c>
      <c r="AM24" s="470" t="s">
        <v>15154</v>
      </c>
      <c r="AN24" s="470" t="s">
        <v>1577</v>
      </c>
      <c r="AO24" s="470" t="s">
        <v>12371</v>
      </c>
      <c r="AP24" s="470" t="s">
        <v>1583</v>
      </c>
      <c r="AQ24" s="470" t="s">
        <v>1575</v>
      </c>
      <c r="AR24" s="472" t="s">
        <v>515</v>
      </c>
      <c r="AS24" s="473" t="s">
        <v>1385</v>
      </c>
      <c r="AT24" s="472" t="s">
        <v>1390</v>
      </c>
      <c r="AU24" s="472" t="s">
        <v>420</v>
      </c>
      <c r="AV24" s="472">
        <v>2020</v>
      </c>
      <c r="AW24" s="474" t="s">
        <v>15078</v>
      </c>
      <c r="AX24" s="475" t="s">
        <v>15079</v>
      </c>
      <c r="AY24" s="515">
        <v>1</v>
      </c>
      <c r="AZ24" s="474" t="s">
        <v>15079</v>
      </c>
      <c r="BA24" s="472" t="s">
        <v>1390</v>
      </c>
      <c r="BB24" s="472" t="s">
        <v>1385</v>
      </c>
      <c r="BC24" s="472" t="s">
        <v>1385</v>
      </c>
      <c r="BD24" s="472" t="s">
        <v>1385</v>
      </c>
      <c r="BE24" s="472" t="s">
        <v>1385</v>
      </c>
      <c r="BF24" s="509">
        <v>19980</v>
      </c>
      <c r="BG24" s="472">
        <v>0</v>
      </c>
      <c r="BH24" s="472" t="s">
        <v>1385</v>
      </c>
      <c r="BI24" s="510">
        <v>0</v>
      </c>
      <c r="BJ24" s="510">
        <v>0</v>
      </c>
      <c r="BK24" s="510">
        <v>0</v>
      </c>
      <c r="BL24" s="510">
        <v>0</v>
      </c>
      <c r="BM24" s="510">
        <v>0</v>
      </c>
      <c r="BN24" s="510">
        <v>3500</v>
      </c>
      <c r="BO24" s="510">
        <v>0</v>
      </c>
      <c r="BP24" s="510">
        <v>0</v>
      </c>
      <c r="BQ24" s="510">
        <v>0</v>
      </c>
      <c r="BR24" s="510">
        <v>0</v>
      </c>
      <c r="BS24" s="510">
        <v>0</v>
      </c>
      <c r="BT24" s="510">
        <v>0</v>
      </c>
      <c r="BU24" s="510">
        <v>0</v>
      </c>
      <c r="BV24" s="510">
        <v>0</v>
      </c>
      <c r="BW24" s="510">
        <v>0</v>
      </c>
      <c r="BX24" s="510">
        <v>30000</v>
      </c>
      <c r="BY24" s="1011">
        <v>0</v>
      </c>
      <c r="BZ24" s="510">
        <v>0</v>
      </c>
      <c r="CA24" s="1011">
        <v>0</v>
      </c>
      <c r="CB24" s="510">
        <v>0</v>
      </c>
      <c r="CC24" s="1011">
        <v>0</v>
      </c>
      <c r="CD24" s="510">
        <v>0</v>
      </c>
      <c r="CE24" s="1011">
        <v>0</v>
      </c>
      <c r="CF24" s="510">
        <v>44584.800000000003</v>
      </c>
      <c r="CG24" s="1011">
        <v>0</v>
      </c>
      <c r="CH24" s="510">
        <v>0</v>
      </c>
      <c r="CI24" s="1011">
        <v>0</v>
      </c>
    </row>
    <row r="25" spans="1:87" ht="12.75" customHeight="1" x14ac:dyDescent="0.2">
      <c r="A25" s="449">
        <v>112</v>
      </c>
      <c r="B25" s="453">
        <v>451</v>
      </c>
      <c r="C25" s="454" t="s">
        <v>1584</v>
      </c>
      <c r="D25" s="454" t="s">
        <v>1390</v>
      </c>
      <c r="E25" s="454" t="s">
        <v>1585</v>
      </c>
      <c r="F25" s="454" t="s">
        <v>528</v>
      </c>
      <c r="G25" s="454" t="s">
        <v>12372</v>
      </c>
      <c r="H25" s="455">
        <v>61604195000173</v>
      </c>
      <c r="I25" s="462">
        <v>32808</v>
      </c>
      <c r="J25" s="457">
        <v>37380370</v>
      </c>
      <c r="K25" s="454" t="s">
        <v>1586</v>
      </c>
      <c r="L25" s="458">
        <v>193</v>
      </c>
      <c r="M25" s="454" t="s">
        <v>1587</v>
      </c>
      <c r="N25" s="459">
        <v>5158000</v>
      </c>
      <c r="O25" s="460">
        <v>39049242</v>
      </c>
      <c r="P25" s="462">
        <v>301860</v>
      </c>
      <c r="Q25" s="462">
        <v>112</v>
      </c>
      <c r="R25" s="462">
        <v>43938</v>
      </c>
      <c r="S25" s="463">
        <v>206</v>
      </c>
      <c r="T25" s="464">
        <v>3.6</v>
      </c>
      <c r="U25" s="465">
        <v>741.6</v>
      </c>
      <c r="V25" s="465">
        <v>12240</v>
      </c>
      <c r="W25" s="466">
        <v>0</v>
      </c>
      <c r="X25" s="467">
        <v>1</v>
      </c>
      <c r="Y25" s="466">
        <v>19472.400000000001</v>
      </c>
      <c r="Z25" s="468" t="s">
        <v>516</v>
      </c>
      <c r="AA25" s="466">
        <v>90514.8</v>
      </c>
      <c r="AB25" s="466">
        <v>90514.8</v>
      </c>
      <c r="AC25" s="467">
        <v>0</v>
      </c>
      <c r="AD25" s="466">
        <v>0</v>
      </c>
      <c r="AE25" s="468" t="s">
        <v>516</v>
      </c>
      <c r="AF25" s="466">
        <v>0</v>
      </c>
      <c r="AG25" s="466">
        <v>0</v>
      </c>
      <c r="AH25" s="466">
        <v>10870.47</v>
      </c>
      <c r="AI25" s="466">
        <v>9073.84</v>
      </c>
      <c r="AJ25" s="469" t="s">
        <v>1588</v>
      </c>
      <c r="AK25" s="470" t="s">
        <v>1589</v>
      </c>
      <c r="AL25" s="471" t="s">
        <v>1590</v>
      </c>
      <c r="AM25" s="470" t="s">
        <v>1591</v>
      </c>
      <c r="AN25" s="470" t="s">
        <v>1592</v>
      </c>
      <c r="AO25" s="470" t="s">
        <v>12373</v>
      </c>
      <c r="AP25" s="470" t="s">
        <v>1593</v>
      </c>
      <c r="AQ25" s="470" t="s">
        <v>1584</v>
      </c>
      <c r="AR25" s="472" t="s">
        <v>515</v>
      </c>
      <c r="AS25" s="473" t="s">
        <v>1385</v>
      </c>
      <c r="AT25" s="472" t="s">
        <v>1390</v>
      </c>
      <c r="AU25" s="472" t="s">
        <v>420</v>
      </c>
      <c r="AV25" s="472">
        <v>2020</v>
      </c>
      <c r="AW25" s="474" t="s">
        <v>15078</v>
      </c>
      <c r="AX25" s="475" t="s">
        <v>15079</v>
      </c>
      <c r="AY25" s="515">
        <v>1</v>
      </c>
      <c r="AZ25" s="474" t="s">
        <v>15079</v>
      </c>
      <c r="BA25" s="472" t="s">
        <v>1390</v>
      </c>
      <c r="BB25" s="472" t="s">
        <v>1385</v>
      </c>
      <c r="BC25" s="472" t="s">
        <v>1385</v>
      </c>
      <c r="BD25" s="472" t="s">
        <v>1385</v>
      </c>
      <c r="BE25" s="472" t="s">
        <v>1385</v>
      </c>
      <c r="BF25" s="472">
        <v>19472.400000000001</v>
      </c>
      <c r="BG25" s="472">
        <v>0</v>
      </c>
      <c r="BH25" s="472" t="s">
        <v>1385</v>
      </c>
      <c r="BI25" s="510">
        <v>0</v>
      </c>
      <c r="BJ25" s="510">
        <v>0</v>
      </c>
      <c r="BK25" s="510">
        <v>0</v>
      </c>
      <c r="BL25" s="510">
        <v>0</v>
      </c>
      <c r="BM25" s="510">
        <v>0</v>
      </c>
      <c r="BN25" s="510">
        <v>3000</v>
      </c>
      <c r="BO25" s="510">
        <v>0</v>
      </c>
      <c r="BP25" s="510">
        <v>0</v>
      </c>
      <c r="BQ25" s="510">
        <v>0</v>
      </c>
      <c r="BR25" s="510">
        <v>0</v>
      </c>
      <c r="BS25" s="510">
        <v>0</v>
      </c>
      <c r="BT25" s="510">
        <v>0</v>
      </c>
      <c r="BU25" s="510">
        <v>0</v>
      </c>
      <c r="BV25" s="510">
        <v>0</v>
      </c>
      <c r="BW25" s="510">
        <v>0</v>
      </c>
      <c r="BX25" s="510">
        <v>30000</v>
      </c>
      <c r="BY25" s="1011">
        <v>0</v>
      </c>
      <c r="BZ25" s="510">
        <v>0</v>
      </c>
      <c r="CA25" s="1011">
        <v>0</v>
      </c>
      <c r="CB25" s="510">
        <v>0</v>
      </c>
      <c r="CC25" s="1011">
        <v>0</v>
      </c>
      <c r="CD25" s="510">
        <v>0</v>
      </c>
      <c r="CE25" s="1011">
        <v>0</v>
      </c>
      <c r="CF25" s="510">
        <v>41042.400000000001</v>
      </c>
      <c r="CG25" s="1011">
        <v>0</v>
      </c>
      <c r="CH25" s="510">
        <v>0</v>
      </c>
      <c r="CI25" s="1011">
        <v>0</v>
      </c>
    </row>
    <row r="26" spans="1:87" ht="12.75" customHeight="1" x14ac:dyDescent="0.2">
      <c r="A26" s="449">
        <v>128</v>
      </c>
      <c r="B26" s="453">
        <v>469</v>
      </c>
      <c r="C26" s="454" t="s">
        <v>1594</v>
      </c>
      <c r="D26" s="454" t="s">
        <v>1390</v>
      </c>
      <c r="E26" s="454" t="s">
        <v>1595</v>
      </c>
      <c r="F26" s="454" t="s">
        <v>528</v>
      </c>
      <c r="G26" s="454" t="s">
        <v>12374</v>
      </c>
      <c r="H26" s="455">
        <v>65520298000106</v>
      </c>
      <c r="I26" s="462">
        <v>38619</v>
      </c>
      <c r="J26" s="457">
        <v>37382500</v>
      </c>
      <c r="K26" s="454" t="s">
        <v>1596</v>
      </c>
      <c r="L26" s="458">
        <v>60</v>
      </c>
      <c r="M26" s="454" t="s">
        <v>1597</v>
      </c>
      <c r="N26" s="459">
        <v>5307040</v>
      </c>
      <c r="O26" s="460">
        <v>38365027</v>
      </c>
      <c r="P26" s="462">
        <v>252525</v>
      </c>
      <c r="Q26" s="462">
        <v>128</v>
      </c>
      <c r="R26" s="462">
        <v>43938</v>
      </c>
      <c r="S26" s="463">
        <v>136</v>
      </c>
      <c r="T26" s="464">
        <v>3.6</v>
      </c>
      <c r="U26" s="465">
        <v>489.6</v>
      </c>
      <c r="V26" s="465">
        <v>10800</v>
      </c>
      <c r="W26" s="466">
        <v>0</v>
      </c>
      <c r="X26" s="467">
        <v>1</v>
      </c>
      <c r="Y26" s="466">
        <v>16934.400000000001</v>
      </c>
      <c r="Z26" s="468" t="s">
        <v>516</v>
      </c>
      <c r="AA26" s="466">
        <v>84751.2</v>
      </c>
      <c r="AB26" s="466">
        <v>84751.2</v>
      </c>
      <c r="AC26" s="467">
        <v>0</v>
      </c>
      <c r="AD26" s="466">
        <v>0</v>
      </c>
      <c r="AE26" s="468" t="s">
        <v>516</v>
      </c>
      <c r="AF26" s="466">
        <v>0</v>
      </c>
      <c r="AG26" s="466">
        <v>0</v>
      </c>
      <c r="AH26" s="466">
        <v>21829.200000000001</v>
      </c>
      <c r="AI26" s="466">
        <v>2605.25</v>
      </c>
      <c r="AJ26" s="469" t="s">
        <v>1588</v>
      </c>
      <c r="AK26" s="470" t="s">
        <v>1589</v>
      </c>
      <c r="AL26" s="471" t="s">
        <v>1598</v>
      </c>
      <c r="AM26" s="470" t="s">
        <v>12375</v>
      </c>
      <c r="AN26" s="470" t="s">
        <v>1599</v>
      </c>
      <c r="AO26" s="470" t="s">
        <v>12376</v>
      </c>
      <c r="AP26" s="470" t="s">
        <v>1600</v>
      </c>
      <c r="AQ26" s="470" t="s">
        <v>1594</v>
      </c>
      <c r="AR26" s="472" t="s">
        <v>515</v>
      </c>
      <c r="AS26" s="473" t="s">
        <v>1385</v>
      </c>
      <c r="AT26" s="472" t="s">
        <v>1390</v>
      </c>
      <c r="AU26" s="472" t="s">
        <v>420</v>
      </c>
      <c r="AV26" s="472">
        <v>2020</v>
      </c>
      <c r="AW26" s="474" t="s">
        <v>15078</v>
      </c>
      <c r="AX26" s="475" t="s">
        <v>15079</v>
      </c>
      <c r="AY26" s="515">
        <v>1</v>
      </c>
      <c r="AZ26" s="474" t="s">
        <v>15079</v>
      </c>
      <c r="BA26" s="472" t="s">
        <v>1390</v>
      </c>
      <c r="BB26" s="472" t="s">
        <v>1385</v>
      </c>
      <c r="BC26" s="472" t="s">
        <v>1385</v>
      </c>
      <c r="BD26" s="472" t="s">
        <v>1385</v>
      </c>
      <c r="BE26" s="472" t="s">
        <v>1385</v>
      </c>
      <c r="BF26" s="472">
        <v>16934.400000000001</v>
      </c>
      <c r="BG26" s="472">
        <v>0</v>
      </c>
      <c r="BH26" s="472" t="s">
        <v>1385</v>
      </c>
      <c r="BI26" s="510">
        <v>0</v>
      </c>
      <c r="BJ26" s="510">
        <v>0</v>
      </c>
      <c r="BK26" s="510">
        <v>0</v>
      </c>
      <c r="BL26" s="510">
        <v>0</v>
      </c>
      <c r="BM26" s="510">
        <v>0</v>
      </c>
      <c r="BN26" s="510">
        <v>2000</v>
      </c>
      <c r="BO26" s="510">
        <v>0</v>
      </c>
      <c r="BP26" s="510">
        <v>0</v>
      </c>
      <c r="BQ26" s="510">
        <v>0</v>
      </c>
      <c r="BR26" s="510">
        <v>0</v>
      </c>
      <c r="BS26" s="510">
        <v>0</v>
      </c>
      <c r="BT26" s="510">
        <v>0</v>
      </c>
      <c r="BU26" s="510">
        <v>0</v>
      </c>
      <c r="BV26" s="510">
        <v>0</v>
      </c>
      <c r="BW26" s="510">
        <v>0</v>
      </c>
      <c r="BX26" s="510">
        <v>30000</v>
      </c>
      <c r="BY26" s="1011">
        <v>0</v>
      </c>
      <c r="BZ26" s="510">
        <v>0</v>
      </c>
      <c r="CA26" s="1011">
        <v>0</v>
      </c>
      <c r="CB26" s="510">
        <v>0</v>
      </c>
      <c r="CC26" s="1011">
        <v>0</v>
      </c>
      <c r="CD26" s="510">
        <v>0</v>
      </c>
      <c r="CE26" s="1011">
        <v>0</v>
      </c>
      <c r="CF26" s="510">
        <v>37816.800000000003</v>
      </c>
      <c r="CG26" s="1011">
        <v>0</v>
      </c>
      <c r="CH26" s="510">
        <v>0</v>
      </c>
      <c r="CI26" s="1011">
        <v>0</v>
      </c>
    </row>
    <row r="27" spans="1:87" ht="12.75" customHeight="1" x14ac:dyDescent="0.2">
      <c r="A27" s="449">
        <v>28</v>
      </c>
      <c r="B27" s="453">
        <v>477</v>
      </c>
      <c r="C27" s="454" t="s">
        <v>1601</v>
      </c>
      <c r="D27" s="454" t="s">
        <v>517</v>
      </c>
      <c r="E27" s="454" t="s">
        <v>1602</v>
      </c>
      <c r="F27" s="454" t="s">
        <v>519</v>
      </c>
      <c r="G27" s="454" t="s">
        <v>12377</v>
      </c>
      <c r="H27" s="455">
        <v>61370102000193</v>
      </c>
      <c r="I27" s="462">
        <v>32786</v>
      </c>
      <c r="J27" s="457">
        <v>37354841</v>
      </c>
      <c r="K27" s="454" t="s">
        <v>1604</v>
      </c>
      <c r="L27" s="458">
        <v>333</v>
      </c>
      <c r="M27" s="454" t="s">
        <v>1605</v>
      </c>
      <c r="N27" s="459">
        <v>5563120</v>
      </c>
      <c r="O27" s="460">
        <v>37820714</v>
      </c>
      <c r="P27" s="462">
        <v>123547</v>
      </c>
      <c r="Q27" s="462">
        <v>12</v>
      </c>
      <c r="R27" s="462">
        <v>43881</v>
      </c>
      <c r="S27" s="463">
        <v>599</v>
      </c>
      <c r="T27" s="464">
        <v>5.4</v>
      </c>
      <c r="U27" s="465">
        <v>3234.6</v>
      </c>
      <c r="V27" s="465">
        <v>17100</v>
      </c>
      <c r="W27" s="466">
        <v>0</v>
      </c>
      <c r="X27" s="467">
        <v>1</v>
      </c>
      <c r="Y27" s="466">
        <v>0</v>
      </c>
      <c r="Z27" s="468" t="s">
        <v>514</v>
      </c>
      <c r="AA27" s="466">
        <v>0</v>
      </c>
      <c r="AB27" s="466">
        <v>0</v>
      </c>
      <c r="AC27" s="467">
        <v>0</v>
      </c>
      <c r="AD27" s="466">
        <v>0</v>
      </c>
      <c r="AE27" s="468" t="s">
        <v>516</v>
      </c>
      <c r="AF27" s="466">
        <v>0</v>
      </c>
      <c r="AG27" s="466">
        <v>0</v>
      </c>
      <c r="AH27" s="466">
        <v>4234.57</v>
      </c>
      <c r="AI27" s="466">
        <v>6310.6</v>
      </c>
      <c r="AJ27" s="469" t="s">
        <v>1606</v>
      </c>
      <c r="AK27" s="470" t="s">
        <v>519</v>
      </c>
      <c r="AL27" s="471" t="s">
        <v>1607</v>
      </c>
      <c r="AM27" s="470" t="s">
        <v>1608</v>
      </c>
      <c r="AN27" s="470" t="s">
        <v>1603</v>
      </c>
      <c r="AO27" s="470" t="s">
        <v>1609</v>
      </c>
      <c r="AP27" s="470" t="s">
        <v>1610</v>
      </c>
      <c r="AQ27" s="470" t="s">
        <v>1601</v>
      </c>
      <c r="AR27" s="472" t="s">
        <v>515</v>
      </c>
      <c r="AS27" s="473" t="s">
        <v>1385</v>
      </c>
      <c r="AT27" s="472" t="s">
        <v>517</v>
      </c>
      <c r="AU27" s="472" t="s">
        <v>420</v>
      </c>
      <c r="AV27" s="472">
        <v>2020</v>
      </c>
      <c r="AW27" s="474" t="s">
        <v>15078</v>
      </c>
      <c r="AX27" s="475" t="s">
        <v>15079</v>
      </c>
      <c r="AY27" s="515">
        <v>1</v>
      </c>
      <c r="AZ27" s="474" t="s">
        <v>15079</v>
      </c>
      <c r="BA27" s="472" t="s">
        <v>1385</v>
      </c>
      <c r="BB27" s="472" t="s">
        <v>1385</v>
      </c>
      <c r="BC27" s="472" t="s">
        <v>1385</v>
      </c>
      <c r="BD27" s="472" t="s">
        <v>1385</v>
      </c>
      <c r="BE27" s="472" t="s">
        <v>1385</v>
      </c>
      <c r="BF27" s="472">
        <v>30501.9</v>
      </c>
      <c r="BG27" s="472">
        <v>0</v>
      </c>
      <c r="BH27" s="472" t="s">
        <v>516</v>
      </c>
      <c r="BI27" s="510">
        <v>0</v>
      </c>
      <c r="BJ27" s="510">
        <v>0</v>
      </c>
      <c r="BK27" s="510">
        <v>0</v>
      </c>
      <c r="BL27" s="510">
        <v>0</v>
      </c>
      <c r="BM27" s="510">
        <v>0</v>
      </c>
      <c r="BN27" s="510">
        <v>0</v>
      </c>
      <c r="BO27" s="510">
        <v>0</v>
      </c>
      <c r="BP27" s="510">
        <v>0</v>
      </c>
      <c r="BQ27" s="510">
        <v>0</v>
      </c>
      <c r="BR27" s="510">
        <v>0</v>
      </c>
      <c r="BS27" s="510">
        <v>0</v>
      </c>
      <c r="BT27" s="510">
        <v>0</v>
      </c>
      <c r="BU27" s="510">
        <v>0</v>
      </c>
      <c r="BV27" s="510">
        <v>0</v>
      </c>
      <c r="BW27" s="510">
        <v>0</v>
      </c>
      <c r="BX27" s="510">
        <v>0</v>
      </c>
      <c r="BY27" s="1011">
        <v>0</v>
      </c>
      <c r="BZ27" s="510">
        <v>0</v>
      </c>
      <c r="CA27" s="1011">
        <v>0</v>
      </c>
      <c r="CB27" s="510">
        <v>0</v>
      </c>
      <c r="CC27" s="1011">
        <v>0</v>
      </c>
      <c r="CD27" s="510">
        <v>0</v>
      </c>
      <c r="CE27" s="1011">
        <v>0</v>
      </c>
      <c r="CF27" s="510">
        <v>0</v>
      </c>
      <c r="CG27" s="1011">
        <v>0</v>
      </c>
      <c r="CH27" s="510">
        <v>0</v>
      </c>
      <c r="CI27" s="1011">
        <v>0</v>
      </c>
    </row>
    <row r="28" spans="1:87" ht="12.75" customHeight="1" x14ac:dyDescent="0.2">
      <c r="A28" s="449">
        <v>44</v>
      </c>
      <c r="B28" s="453">
        <v>485</v>
      </c>
      <c r="C28" s="454" t="s">
        <v>1611</v>
      </c>
      <c r="D28" s="454" t="s">
        <v>517</v>
      </c>
      <c r="E28" s="454" t="s">
        <v>1612</v>
      </c>
      <c r="F28" s="454" t="s">
        <v>527</v>
      </c>
      <c r="G28" s="454" t="s">
        <v>12378</v>
      </c>
      <c r="H28" s="455">
        <v>61381745000132</v>
      </c>
      <c r="I28" s="462">
        <v>37437</v>
      </c>
      <c r="J28" s="457">
        <v>37554816</v>
      </c>
      <c r="K28" s="454" t="s">
        <v>1613</v>
      </c>
      <c r="L28" s="458">
        <v>902</v>
      </c>
      <c r="M28" s="454" t="s">
        <v>1614</v>
      </c>
      <c r="N28" s="459">
        <v>3524030</v>
      </c>
      <c r="O28" s="460">
        <v>27812502</v>
      </c>
      <c r="P28" s="462">
        <v>196633</v>
      </c>
      <c r="Q28" s="462">
        <v>92</v>
      </c>
      <c r="R28" s="462">
        <v>43917</v>
      </c>
      <c r="S28" s="463">
        <v>540</v>
      </c>
      <c r="T28" s="464">
        <v>5.4</v>
      </c>
      <c r="U28" s="465">
        <v>2916</v>
      </c>
      <c r="V28" s="465">
        <v>17100</v>
      </c>
      <c r="W28" s="466">
        <v>0</v>
      </c>
      <c r="X28" s="467">
        <v>1</v>
      </c>
      <c r="Y28" s="466">
        <v>30024</v>
      </c>
      <c r="Z28" s="468" t="s">
        <v>516</v>
      </c>
      <c r="AA28" s="466">
        <v>122012.8</v>
      </c>
      <c r="AB28" s="466">
        <v>122012.8</v>
      </c>
      <c r="AC28" s="467">
        <v>0</v>
      </c>
      <c r="AD28" s="466">
        <v>0</v>
      </c>
      <c r="AE28" s="468" t="s">
        <v>516</v>
      </c>
      <c r="AF28" s="466">
        <v>2000</v>
      </c>
      <c r="AG28" s="466">
        <v>2000</v>
      </c>
      <c r="AH28" s="466">
        <v>24425</v>
      </c>
      <c r="AI28" s="466">
        <v>4806.3999999999996</v>
      </c>
      <c r="AJ28" s="469" t="s">
        <v>1560</v>
      </c>
      <c r="AK28" s="470" t="s">
        <v>1615</v>
      </c>
      <c r="AL28" s="471" t="s">
        <v>1616</v>
      </c>
      <c r="AM28" s="470" t="s">
        <v>1617</v>
      </c>
      <c r="AN28" s="470" t="s">
        <v>12378</v>
      </c>
      <c r="AO28" s="470" t="s">
        <v>1618</v>
      </c>
      <c r="AP28" s="470" t="s">
        <v>1619</v>
      </c>
      <c r="AQ28" s="470" t="s">
        <v>1611</v>
      </c>
      <c r="AR28" s="472" t="s">
        <v>515</v>
      </c>
      <c r="AS28" s="473" t="s">
        <v>1385</v>
      </c>
      <c r="AT28" s="472" t="s">
        <v>517</v>
      </c>
      <c r="AU28" s="472" t="s">
        <v>420</v>
      </c>
      <c r="AV28" s="472">
        <v>2020</v>
      </c>
      <c r="AW28" s="474" t="s">
        <v>15078</v>
      </c>
      <c r="AX28" s="475" t="s">
        <v>15079</v>
      </c>
      <c r="AY28" s="515">
        <v>1</v>
      </c>
      <c r="AZ28" s="474" t="s">
        <v>15079</v>
      </c>
      <c r="BA28" s="472" t="s">
        <v>517</v>
      </c>
      <c r="BB28" s="472" t="s">
        <v>1385</v>
      </c>
      <c r="BC28" s="472" t="s">
        <v>1385</v>
      </c>
      <c r="BD28" s="472" t="s">
        <v>1385</v>
      </c>
      <c r="BE28" s="472" t="s">
        <v>1385</v>
      </c>
      <c r="BF28" s="472">
        <v>30024</v>
      </c>
      <c r="BG28" s="472">
        <v>0</v>
      </c>
      <c r="BH28" s="472" t="s">
        <v>1385</v>
      </c>
      <c r="BI28" s="510">
        <v>0</v>
      </c>
      <c r="BJ28" s="510">
        <v>0</v>
      </c>
      <c r="BK28" s="510">
        <v>0</v>
      </c>
      <c r="BL28" s="510">
        <v>0</v>
      </c>
      <c r="BM28" s="510">
        <v>0</v>
      </c>
      <c r="BN28" s="510">
        <v>3500</v>
      </c>
      <c r="BO28" s="510">
        <v>0</v>
      </c>
      <c r="BP28" s="510">
        <v>2000</v>
      </c>
      <c r="BQ28" s="510">
        <v>0</v>
      </c>
      <c r="BR28" s="510">
        <v>0</v>
      </c>
      <c r="BS28" s="510">
        <v>0</v>
      </c>
      <c r="BT28" s="510">
        <v>0</v>
      </c>
      <c r="BU28" s="510">
        <v>2500</v>
      </c>
      <c r="BV28" s="510">
        <v>2500</v>
      </c>
      <c r="BW28" s="510">
        <v>0</v>
      </c>
      <c r="BX28" s="510">
        <v>30000</v>
      </c>
      <c r="BY28" s="1011">
        <v>0</v>
      </c>
      <c r="BZ28" s="510">
        <v>0</v>
      </c>
      <c r="CA28" s="1011">
        <v>0</v>
      </c>
      <c r="CB28" s="510">
        <v>22000</v>
      </c>
      <c r="CC28" s="1011">
        <v>0</v>
      </c>
      <c r="CD28" s="510">
        <v>0</v>
      </c>
      <c r="CE28" s="1011">
        <v>0</v>
      </c>
      <c r="CF28" s="510">
        <v>39988.800000000003</v>
      </c>
      <c r="CG28" s="1011">
        <v>0</v>
      </c>
      <c r="CH28" s="510">
        <v>0</v>
      </c>
      <c r="CI28" s="1011">
        <v>0</v>
      </c>
    </row>
    <row r="29" spans="1:87" ht="12.75" customHeight="1" x14ac:dyDescent="0.2">
      <c r="A29" s="449">
        <v>72</v>
      </c>
      <c r="B29" s="453">
        <v>493</v>
      </c>
      <c r="C29" s="454" t="s">
        <v>1620</v>
      </c>
      <c r="D29" s="454" t="s">
        <v>1390</v>
      </c>
      <c r="E29" s="454" t="s">
        <v>1621</v>
      </c>
      <c r="F29" s="454" t="s">
        <v>521</v>
      </c>
      <c r="G29" s="454" t="s">
        <v>12379</v>
      </c>
      <c r="H29" s="455">
        <v>68156165000190</v>
      </c>
      <c r="I29" s="462">
        <v>33843</v>
      </c>
      <c r="J29" s="457">
        <v>37588761</v>
      </c>
      <c r="K29" s="454" t="s">
        <v>1622</v>
      </c>
      <c r="L29" s="458">
        <v>400</v>
      </c>
      <c r="M29" s="454" t="s">
        <v>1623</v>
      </c>
      <c r="N29" s="459">
        <v>4844000</v>
      </c>
      <c r="O29" s="460">
        <v>59287612</v>
      </c>
      <c r="P29" s="462">
        <v>91742</v>
      </c>
      <c r="Q29" s="462">
        <v>32</v>
      </c>
      <c r="R29" s="462">
        <v>43934</v>
      </c>
      <c r="S29" s="463">
        <v>412</v>
      </c>
      <c r="T29" s="464">
        <v>3.6</v>
      </c>
      <c r="U29" s="465">
        <v>1483.2</v>
      </c>
      <c r="V29" s="465">
        <v>15120</v>
      </c>
      <c r="W29" s="466">
        <v>0</v>
      </c>
      <c r="X29" s="467">
        <v>1</v>
      </c>
      <c r="Y29" s="466">
        <v>24904.799999999999</v>
      </c>
      <c r="Z29" s="468" t="s">
        <v>516</v>
      </c>
      <c r="AA29" s="466">
        <v>100058.4</v>
      </c>
      <c r="AB29" s="466">
        <v>100058.4</v>
      </c>
      <c r="AC29" s="467">
        <v>0</v>
      </c>
      <c r="AD29" s="466">
        <v>0</v>
      </c>
      <c r="AE29" s="468" t="s">
        <v>516</v>
      </c>
      <c r="AF29" s="466">
        <v>0</v>
      </c>
      <c r="AG29" s="466">
        <v>0</v>
      </c>
      <c r="AH29" s="466">
        <v>25190.01</v>
      </c>
      <c r="AI29" s="466">
        <v>11604.15</v>
      </c>
      <c r="AJ29" s="469" t="s">
        <v>1624</v>
      </c>
      <c r="AK29" s="470" t="s">
        <v>1625</v>
      </c>
      <c r="AL29" s="471" t="s">
        <v>1626</v>
      </c>
      <c r="AM29" s="470" t="s">
        <v>12380</v>
      </c>
      <c r="AN29" s="470" t="s">
        <v>1385</v>
      </c>
      <c r="AO29" s="470" t="s">
        <v>14922</v>
      </c>
      <c r="AP29" s="470" t="s">
        <v>1627</v>
      </c>
      <c r="AQ29" s="470" t="s">
        <v>1620</v>
      </c>
      <c r="AR29" s="472" t="s">
        <v>515</v>
      </c>
      <c r="AS29" s="473" t="s">
        <v>1385</v>
      </c>
      <c r="AT29" s="472" t="s">
        <v>1390</v>
      </c>
      <c r="AU29" s="472" t="s">
        <v>420</v>
      </c>
      <c r="AV29" s="472">
        <v>2020</v>
      </c>
      <c r="AW29" s="474" t="s">
        <v>15078</v>
      </c>
      <c r="AX29" s="475" t="s">
        <v>15079</v>
      </c>
      <c r="AY29" s="515">
        <v>1</v>
      </c>
      <c r="AZ29" s="474" t="s">
        <v>15079</v>
      </c>
      <c r="BA29" s="472" t="s">
        <v>1390</v>
      </c>
      <c r="BB29" s="472" t="s">
        <v>1385</v>
      </c>
      <c r="BC29" s="472" t="s">
        <v>1385</v>
      </c>
      <c r="BD29" s="472" t="s">
        <v>1385</v>
      </c>
      <c r="BE29" s="472" t="s">
        <v>1385</v>
      </c>
      <c r="BF29" s="509">
        <v>24904.799999999999</v>
      </c>
      <c r="BG29" s="509">
        <v>0</v>
      </c>
      <c r="BH29" s="472" t="s">
        <v>1385</v>
      </c>
      <c r="BI29" s="510">
        <v>0</v>
      </c>
      <c r="BJ29" s="510">
        <v>4516.9399999999996</v>
      </c>
      <c r="BK29" s="510">
        <v>0</v>
      </c>
      <c r="BL29" s="510">
        <v>0</v>
      </c>
      <c r="BM29" s="510">
        <v>0</v>
      </c>
      <c r="BN29" s="510">
        <v>4000</v>
      </c>
      <c r="BO29" s="510">
        <v>0</v>
      </c>
      <c r="BP29" s="510">
        <v>0</v>
      </c>
      <c r="BQ29" s="510">
        <v>0</v>
      </c>
      <c r="BR29" s="510">
        <v>0</v>
      </c>
      <c r="BS29" s="510">
        <v>0</v>
      </c>
      <c r="BT29" s="510">
        <v>0</v>
      </c>
      <c r="BU29" s="510">
        <v>0</v>
      </c>
      <c r="BV29" s="510">
        <v>0</v>
      </c>
      <c r="BW29" s="510">
        <v>0</v>
      </c>
      <c r="BX29" s="510">
        <v>30000</v>
      </c>
      <c r="BY29" s="1011">
        <v>0</v>
      </c>
      <c r="BZ29" s="510">
        <v>0</v>
      </c>
      <c r="CA29" s="1011">
        <v>0</v>
      </c>
      <c r="CB29" s="510">
        <v>0</v>
      </c>
      <c r="CC29" s="1011">
        <v>0</v>
      </c>
      <c r="CD29" s="510">
        <v>0</v>
      </c>
      <c r="CE29" s="1011">
        <v>0</v>
      </c>
      <c r="CF29" s="510">
        <v>45153.599999999999</v>
      </c>
      <c r="CG29" s="1011">
        <v>0</v>
      </c>
      <c r="CH29" s="510">
        <v>0</v>
      </c>
      <c r="CI29" s="1011">
        <v>0</v>
      </c>
    </row>
    <row r="30" spans="1:87" ht="12.75" customHeight="1" x14ac:dyDescent="0.2">
      <c r="A30" s="449">
        <v>83</v>
      </c>
      <c r="B30" s="453">
        <v>531</v>
      </c>
      <c r="C30" s="454" t="s">
        <v>1628</v>
      </c>
      <c r="D30" s="454" t="s">
        <v>1390</v>
      </c>
      <c r="E30" s="454" t="s">
        <v>1629</v>
      </c>
      <c r="F30" s="454" t="s">
        <v>521</v>
      </c>
      <c r="G30" s="454" t="s">
        <v>12381</v>
      </c>
      <c r="H30" s="455">
        <v>61573556000161</v>
      </c>
      <c r="I30" s="462">
        <v>32762</v>
      </c>
      <c r="J30" s="457">
        <v>37588770</v>
      </c>
      <c r="K30" s="454" t="s">
        <v>1630</v>
      </c>
      <c r="L30" s="458">
        <v>200</v>
      </c>
      <c r="M30" s="454" t="s">
        <v>1631</v>
      </c>
      <c r="N30" s="459">
        <v>4858580</v>
      </c>
      <c r="O30" s="460">
        <v>55263674</v>
      </c>
      <c r="P30" s="462">
        <v>79491</v>
      </c>
      <c r="Q30" s="462">
        <v>28</v>
      </c>
      <c r="R30" s="462">
        <v>43934</v>
      </c>
      <c r="S30" s="463">
        <v>626</v>
      </c>
      <c r="T30" s="464">
        <v>3.6</v>
      </c>
      <c r="U30" s="465">
        <v>2253.6</v>
      </c>
      <c r="V30" s="465">
        <v>18000</v>
      </c>
      <c r="W30" s="466">
        <v>0</v>
      </c>
      <c r="X30" s="467">
        <v>1</v>
      </c>
      <c r="Y30" s="466">
        <v>30380.400000000001</v>
      </c>
      <c r="Z30" s="468" t="s">
        <v>516</v>
      </c>
      <c r="AA30" s="466">
        <v>115887.6</v>
      </c>
      <c r="AB30" s="466">
        <v>115887.6</v>
      </c>
      <c r="AC30" s="467">
        <v>0</v>
      </c>
      <c r="AD30" s="466">
        <v>0</v>
      </c>
      <c r="AE30" s="468" t="s">
        <v>516</v>
      </c>
      <c r="AF30" s="466">
        <v>0</v>
      </c>
      <c r="AG30" s="466">
        <v>0</v>
      </c>
      <c r="AH30" s="466">
        <v>15549.12</v>
      </c>
      <c r="AI30" s="466">
        <v>404.8</v>
      </c>
      <c r="AJ30" s="469" t="s">
        <v>1481</v>
      </c>
      <c r="AK30" s="470" t="s">
        <v>1632</v>
      </c>
      <c r="AL30" s="471" t="s">
        <v>1633</v>
      </c>
      <c r="AM30" s="470" t="s">
        <v>1634</v>
      </c>
      <c r="AN30" s="470" t="s">
        <v>1385</v>
      </c>
      <c r="AO30" s="470" t="s">
        <v>14931</v>
      </c>
      <c r="AP30" s="470" t="s">
        <v>1635</v>
      </c>
      <c r="AQ30" s="470" t="s">
        <v>1628</v>
      </c>
      <c r="AR30" s="472" t="s">
        <v>515</v>
      </c>
      <c r="AS30" s="473" t="s">
        <v>1385</v>
      </c>
      <c r="AT30" s="472" t="s">
        <v>1390</v>
      </c>
      <c r="AU30" s="472" t="s">
        <v>420</v>
      </c>
      <c r="AV30" s="472">
        <v>2020</v>
      </c>
      <c r="AW30" s="474" t="s">
        <v>15078</v>
      </c>
      <c r="AX30" s="475" t="s">
        <v>15079</v>
      </c>
      <c r="AY30" s="515">
        <v>1</v>
      </c>
      <c r="AZ30" s="474" t="s">
        <v>15079</v>
      </c>
      <c r="BA30" s="472" t="s">
        <v>1390</v>
      </c>
      <c r="BB30" s="472" t="s">
        <v>1385</v>
      </c>
      <c r="BC30" s="472" t="s">
        <v>1385</v>
      </c>
      <c r="BD30" s="472" t="s">
        <v>1385</v>
      </c>
      <c r="BE30" s="472" t="s">
        <v>1385</v>
      </c>
      <c r="BF30" s="472">
        <v>30380.400000000001</v>
      </c>
      <c r="BG30" s="472">
        <v>0</v>
      </c>
      <c r="BH30" s="472" t="s">
        <v>1385</v>
      </c>
      <c r="BI30" s="510">
        <v>0</v>
      </c>
      <c r="BJ30" s="510">
        <v>0</v>
      </c>
      <c r="BK30" s="510">
        <v>0</v>
      </c>
      <c r="BL30" s="510">
        <v>0</v>
      </c>
      <c r="BM30" s="510">
        <v>0</v>
      </c>
      <c r="BN30" s="510">
        <v>5000</v>
      </c>
      <c r="BO30" s="510">
        <v>0</v>
      </c>
      <c r="BP30" s="510">
        <v>0</v>
      </c>
      <c r="BQ30" s="510">
        <v>0</v>
      </c>
      <c r="BR30" s="510">
        <v>0</v>
      </c>
      <c r="BS30" s="510">
        <v>0</v>
      </c>
      <c r="BT30" s="510">
        <v>0</v>
      </c>
      <c r="BU30" s="510">
        <v>0</v>
      </c>
      <c r="BV30" s="510">
        <v>0</v>
      </c>
      <c r="BW30" s="510">
        <v>0</v>
      </c>
      <c r="BX30" s="510">
        <v>30000</v>
      </c>
      <c r="BY30" s="1011">
        <v>0</v>
      </c>
      <c r="BZ30" s="510">
        <v>0</v>
      </c>
      <c r="CA30" s="1011">
        <v>0</v>
      </c>
      <c r="CB30" s="510">
        <v>0</v>
      </c>
      <c r="CC30" s="1011">
        <v>0</v>
      </c>
      <c r="CD30" s="510">
        <v>0</v>
      </c>
      <c r="CE30" s="1011">
        <v>0</v>
      </c>
      <c r="CF30" s="510">
        <v>55507.199999999997</v>
      </c>
      <c r="CG30" s="1011">
        <v>0</v>
      </c>
      <c r="CH30" s="510">
        <v>0</v>
      </c>
      <c r="CI30" s="1011">
        <v>0</v>
      </c>
    </row>
    <row r="31" spans="1:87" ht="12.75" customHeight="1" x14ac:dyDescent="0.2">
      <c r="A31" s="449">
        <v>73</v>
      </c>
      <c r="B31" s="453">
        <v>540</v>
      </c>
      <c r="C31" s="454" t="s">
        <v>1636</v>
      </c>
      <c r="D31" s="454" t="s">
        <v>517</v>
      </c>
      <c r="E31" s="454" t="s">
        <v>1637</v>
      </c>
      <c r="F31" s="454" t="s">
        <v>528</v>
      </c>
      <c r="G31" s="454" t="s">
        <v>12382</v>
      </c>
      <c r="H31" s="455">
        <v>61058947000148</v>
      </c>
      <c r="I31" s="462">
        <v>32710</v>
      </c>
      <c r="J31" s="457">
        <v>37374818</v>
      </c>
      <c r="K31" s="454" t="s">
        <v>1638</v>
      </c>
      <c r="L31" s="458">
        <v>165</v>
      </c>
      <c r="M31" s="454" t="s">
        <v>1639</v>
      </c>
      <c r="N31" s="459">
        <v>2986110</v>
      </c>
      <c r="O31" s="460">
        <v>39415024</v>
      </c>
      <c r="P31" s="462">
        <v>262423</v>
      </c>
      <c r="Q31" s="462">
        <v>73</v>
      </c>
      <c r="R31" s="462">
        <v>43938</v>
      </c>
      <c r="S31" s="463">
        <v>988</v>
      </c>
      <c r="T31" s="464">
        <v>5.4</v>
      </c>
      <c r="U31" s="465">
        <v>5335.2</v>
      </c>
      <c r="V31" s="465">
        <v>20340</v>
      </c>
      <c r="W31" s="466">
        <v>0</v>
      </c>
      <c r="X31" s="467">
        <v>1</v>
      </c>
      <c r="Y31" s="466">
        <v>38512.800000000003</v>
      </c>
      <c r="Z31" s="468" t="s">
        <v>516</v>
      </c>
      <c r="AA31" s="466">
        <v>141928</v>
      </c>
      <c r="AB31" s="466">
        <v>141928</v>
      </c>
      <c r="AC31" s="467">
        <v>0</v>
      </c>
      <c r="AD31" s="466">
        <v>0</v>
      </c>
      <c r="AE31" s="468" t="s">
        <v>516</v>
      </c>
      <c r="AF31" s="466">
        <v>0</v>
      </c>
      <c r="AG31" s="466">
        <v>0</v>
      </c>
      <c r="AH31" s="466">
        <v>20587.5</v>
      </c>
      <c r="AI31" s="466">
        <v>10217.620000000001</v>
      </c>
      <c r="AJ31" s="469" t="s">
        <v>1571</v>
      </c>
      <c r="AK31" s="470" t="s">
        <v>528</v>
      </c>
      <c r="AL31" s="471" t="s">
        <v>1640</v>
      </c>
      <c r="AM31" s="470" t="s">
        <v>1641</v>
      </c>
      <c r="AN31" s="470" t="s">
        <v>1642</v>
      </c>
      <c r="AO31" s="470" t="s">
        <v>12383</v>
      </c>
      <c r="AP31" s="470" t="s">
        <v>1643</v>
      </c>
      <c r="AQ31" s="470" t="s">
        <v>1636</v>
      </c>
      <c r="AR31" s="472" t="s">
        <v>515</v>
      </c>
      <c r="AS31" s="473" t="s">
        <v>1385</v>
      </c>
      <c r="AT31" s="472" t="s">
        <v>517</v>
      </c>
      <c r="AU31" s="472" t="s">
        <v>420</v>
      </c>
      <c r="AV31" s="472">
        <v>2020</v>
      </c>
      <c r="AW31" s="474" t="s">
        <v>15078</v>
      </c>
      <c r="AX31" s="475" t="s">
        <v>15079</v>
      </c>
      <c r="AY31" s="515">
        <v>1</v>
      </c>
      <c r="AZ31" s="474" t="s">
        <v>15079</v>
      </c>
      <c r="BA31" s="472" t="s">
        <v>517</v>
      </c>
      <c r="BB31" s="472" t="s">
        <v>1385</v>
      </c>
      <c r="BC31" s="472" t="s">
        <v>1385</v>
      </c>
      <c r="BD31" s="472" t="s">
        <v>1385</v>
      </c>
      <c r="BE31" s="472" t="s">
        <v>1385</v>
      </c>
      <c r="BF31" s="472">
        <v>38512.800000000003</v>
      </c>
      <c r="BG31" s="472">
        <v>0</v>
      </c>
      <c r="BH31" s="472" t="s">
        <v>1385</v>
      </c>
      <c r="BI31" s="510">
        <v>0</v>
      </c>
      <c r="BJ31" s="510">
        <v>0</v>
      </c>
      <c r="BK31" s="510">
        <v>0</v>
      </c>
      <c r="BL31" s="510">
        <v>0</v>
      </c>
      <c r="BM31" s="510">
        <v>0</v>
      </c>
      <c r="BN31" s="510">
        <v>5000</v>
      </c>
      <c r="BO31" s="510">
        <v>0</v>
      </c>
      <c r="BP31" s="510">
        <v>0</v>
      </c>
      <c r="BQ31" s="510">
        <v>0</v>
      </c>
      <c r="BR31" s="510">
        <v>0</v>
      </c>
      <c r="BS31" s="510">
        <v>0</v>
      </c>
      <c r="BT31" s="510">
        <v>0</v>
      </c>
      <c r="BU31" s="510">
        <v>0</v>
      </c>
      <c r="BV31" s="510">
        <v>0</v>
      </c>
      <c r="BW31" s="510">
        <v>0</v>
      </c>
      <c r="BX31" s="510">
        <v>30000</v>
      </c>
      <c r="BY31" s="1011">
        <v>0</v>
      </c>
      <c r="BZ31" s="510">
        <v>0</v>
      </c>
      <c r="CA31" s="1011">
        <v>0</v>
      </c>
      <c r="CB31" s="510">
        <v>22000</v>
      </c>
      <c r="CC31" s="1011">
        <v>0</v>
      </c>
      <c r="CD31" s="510">
        <v>0</v>
      </c>
      <c r="CE31" s="1011">
        <v>0</v>
      </c>
      <c r="CF31" s="510">
        <v>51415.199999999997</v>
      </c>
      <c r="CG31" s="1011">
        <v>0</v>
      </c>
      <c r="CH31" s="510">
        <v>0</v>
      </c>
      <c r="CI31" s="1011">
        <v>0</v>
      </c>
    </row>
    <row r="32" spans="1:87" ht="12.75" customHeight="1" x14ac:dyDescent="0.2">
      <c r="A32" s="449">
        <v>102</v>
      </c>
      <c r="B32" s="453">
        <v>558</v>
      </c>
      <c r="C32" s="454" t="s">
        <v>1644</v>
      </c>
      <c r="D32" s="454" t="s">
        <v>1390</v>
      </c>
      <c r="E32" s="454" t="s">
        <v>1645</v>
      </c>
      <c r="F32" s="454" t="s">
        <v>524</v>
      </c>
      <c r="G32" s="454" t="s">
        <v>12384</v>
      </c>
      <c r="H32" s="455">
        <v>68151000000126</v>
      </c>
      <c r="I32" s="462">
        <v>33814</v>
      </c>
      <c r="J32" s="457">
        <v>37498185</v>
      </c>
      <c r="K32" s="454" t="s">
        <v>1646</v>
      </c>
      <c r="L32" s="458">
        <v>1963</v>
      </c>
      <c r="M32" s="454" t="s">
        <v>1647</v>
      </c>
      <c r="N32" s="459">
        <v>4040033</v>
      </c>
      <c r="O32" s="460">
        <v>55492369</v>
      </c>
      <c r="P32" s="462">
        <v>209000</v>
      </c>
      <c r="Q32" s="462">
        <v>110</v>
      </c>
      <c r="R32" s="462">
        <v>43906</v>
      </c>
      <c r="S32" s="463">
        <v>120</v>
      </c>
      <c r="T32" s="464">
        <v>3.6</v>
      </c>
      <c r="U32" s="465">
        <v>432</v>
      </c>
      <c r="V32" s="465">
        <v>10800</v>
      </c>
      <c r="W32" s="466">
        <v>0</v>
      </c>
      <c r="X32" s="467">
        <v>1</v>
      </c>
      <c r="Y32" s="466">
        <v>20898</v>
      </c>
      <c r="Z32" s="468" t="s">
        <v>516</v>
      </c>
      <c r="AA32" s="466">
        <v>98740.4</v>
      </c>
      <c r="AB32" s="466">
        <v>98740.4</v>
      </c>
      <c r="AC32" s="467">
        <v>0</v>
      </c>
      <c r="AD32" s="466">
        <v>0</v>
      </c>
      <c r="AE32" s="468" t="s">
        <v>516</v>
      </c>
      <c r="AF32" s="466">
        <v>0</v>
      </c>
      <c r="AG32" s="466">
        <v>0</v>
      </c>
      <c r="AH32" s="466">
        <v>22159.95</v>
      </c>
      <c r="AI32" s="466">
        <v>5805.08</v>
      </c>
      <c r="AJ32" s="469" t="s">
        <v>1648</v>
      </c>
      <c r="AK32" s="470" t="s">
        <v>1649</v>
      </c>
      <c r="AL32" s="471" t="s">
        <v>1650</v>
      </c>
      <c r="AM32" s="470" t="s">
        <v>15188</v>
      </c>
      <c r="AN32" s="470" t="s">
        <v>12385</v>
      </c>
      <c r="AO32" s="470" t="s">
        <v>1651</v>
      </c>
      <c r="AP32" s="470" t="s">
        <v>1652</v>
      </c>
      <c r="AQ32" s="470" t="s">
        <v>1644</v>
      </c>
      <c r="AR32" s="472" t="s">
        <v>515</v>
      </c>
      <c r="AS32" s="473" t="s">
        <v>1385</v>
      </c>
      <c r="AT32" s="472" t="s">
        <v>1390</v>
      </c>
      <c r="AU32" s="472" t="s">
        <v>420</v>
      </c>
      <c r="AV32" s="472">
        <v>2020</v>
      </c>
      <c r="AW32" s="474" t="s">
        <v>15078</v>
      </c>
      <c r="AX32" s="475" t="s">
        <v>15079</v>
      </c>
      <c r="AY32" s="515">
        <v>1</v>
      </c>
      <c r="AZ32" s="474" t="s">
        <v>15079</v>
      </c>
      <c r="BA32" s="472" t="s">
        <v>1390</v>
      </c>
      <c r="BB32" s="472" t="s">
        <v>516</v>
      </c>
      <c r="BC32" s="472">
        <v>4</v>
      </c>
      <c r="BD32" s="472">
        <v>2700</v>
      </c>
      <c r="BE32" s="472">
        <v>0</v>
      </c>
      <c r="BF32" s="472">
        <v>20898</v>
      </c>
      <c r="BG32" s="472">
        <v>0</v>
      </c>
      <c r="BH32" s="472" t="s">
        <v>1385</v>
      </c>
      <c r="BI32" s="510">
        <v>0</v>
      </c>
      <c r="BJ32" s="510">
        <v>0</v>
      </c>
      <c r="BK32" s="510">
        <v>0</v>
      </c>
      <c r="BL32" s="510">
        <v>0</v>
      </c>
      <c r="BM32" s="510">
        <v>0</v>
      </c>
      <c r="BN32" s="510">
        <v>2000</v>
      </c>
      <c r="BO32" s="510">
        <v>0</v>
      </c>
      <c r="BP32" s="510">
        <v>0</v>
      </c>
      <c r="BQ32" s="510">
        <v>0</v>
      </c>
      <c r="BR32" s="510">
        <v>0</v>
      </c>
      <c r="BS32" s="510">
        <v>0</v>
      </c>
      <c r="BT32" s="510">
        <v>0</v>
      </c>
      <c r="BU32" s="510">
        <v>0</v>
      </c>
      <c r="BV32" s="510">
        <v>0</v>
      </c>
      <c r="BW32" s="510">
        <v>0</v>
      </c>
      <c r="BX32" s="510">
        <v>30000</v>
      </c>
      <c r="BY32" s="1011">
        <v>0</v>
      </c>
      <c r="BZ32" s="510">
        <v>0</v>
      </c>
      <c r="CA32" s="1011">
        <v>0</v>
      </c>
      <c r="CB32" s="510">
        <v>0</v>
      </c>
      <c r="CC32" s="1011">
        <v>0</v>
      </c>
      <c r="CD32" s="510">
        <v>0</v>
      </c>
      <c r="CE32" s="1011">
        <v>0</v>
      </c>
      <c r="CF32" s="510">
        <v>47842.400000000001</v>
      </c>
      <c r="CG32" s="1011">
        <v>0</v>
      </c>
      <c r="CH32" s="510">
        <v>0</v>
      </c>
      <c r="CI32" s="1011">
        <v>0</v>
      </c>
    </row>
    <row r="33" spans="1:87" ht="12.75" customHeight="1" x14ac:dyDescent="0.2">
      <c r="A33" s="449">
        <v>108</v>
      </c>
      <c r="B33" s="453">
        <v>566</v>
      </c>
      <c r="C33" s="454" t="s">
        <v>1653</v>
      </c>
      <c r="D33" s="454" t="s">
        <v>517</v>
      </c>
      <c r="E33" s="454" t="s">
        <v>1653</v>
      </c>
      <c r="F33" s="454" t="s">
        <v>520</v>
      </c>
      <c r="G33" s="454" t="s">
        <v>12386</v>
      </c>
      <c r="H33" s="455">
        <v>61581831000199</v>
      </c>
      <c r="I33" s="462">
        <v>32892</v>
      </c>
      <c r="J33" s="457">
        <v>37619845</v>
      </c>
      <c r="K33" s="454" t="s">
        <v>1655</v>
      </c>
      <c r="L33" s="458">
        <v>20</v>
      </c>
      <c r="M33" s="454" t="s">
        <v>1656</v>
      </c>
      <c r="N33" s="459">
        <v>4953040</v>
      </c>
      <c r="O33" s="460">
        <v>58999876</v>
      </c>
      <c r="P33" s="462">
        <v>304002</v>
      </c>
      <c r="Q33" s="462">
        <v>173</v>
      </c>
      <c r="R33" s="462">
        <v>43969</v>
      </c>
      <c r="S33" s="463">
        <v>1317</v>
      </c>
      <c r="T33" s="464">
        <v>5.4</v>
      </c>
      <c r="U33" s="465">
        <v>7111.8</v>
      </c>
      <c r="V33" s="465">
        <v>21960</v>
      </c>
      <c r="W33" s="466">
        <v>0</v>
      </c>
      <c r="X33" s="467">
        <v>1</v>
      </c>
      <c r="Y33" s="466">
        <v>43607.7</v>
      </c>
      <c r="Z33" s="468" t="s">
        <v>516</v>
      </c>
      <c r="AA33" s="466">
        <v>154312.9</v>
      </c>
      <c r="AB33" s="466">
        <v>154312.9</v>
      </c>
      <c r="AC33" s="467">
        <v>0</v>
      </c>
      <c r="AD33" s="466">
        <v>0</v>
      </c>
      <c r="AE33" s="468" t="s">
        <v>516</v>
      </c>
      <c r="AF33" s="466">
        <v>0</v>
      </c>
      <c r="AG33" s="466">
        <v>0</v>
      </c>
      <c r="AH33" s="466">
        <v>27311.99</v>
      </c>
      <c r="AI33" s="466">
        <v>8721.5400000000009</v>
      </c>
      <c r="AJ33" s="469" t="s">
        <v>1657</v>
      </c>
      <c r="AK33" s="470" t="s">
        <v>521</v>
      </c>
      <c r="AL33" s="471" t="s">
        <v>1658</v>
      </c>
      <c r="AM33" s="470" t="s">
        <v>1659</v>
      </c>
      <c r="AN33" s="470" t="s">
        <v>1654</v>
      </c>
      <c r="AO33" s="470" t="s">
        <v>1660</v>
      </c>
      <c r="AP33" s="470" t="s">
        <v>1661</v>
      </c>
      <c r="AQ33" s="470" t="s">
        <v>1653</v>
      </c>
      <c r="AR33" s="472" t="s">
        <v>515</v>
      </c>
      <c r="AS33" s="473" t="s">
        <v>1385</v>
      </c>
      <c r="AT33" s="472" t="s">
        <v>517</v>
      </c>
      <c r="AU33" s="472" t="s">
        <v>420</v>
      </c>
      <c r="AV33" s="472">
        <v>2020</v>
      </c>
      <c r="AW33" s="474" t="s">
        <v>15078</v>
      </c>
      <c r="AX33" s="475" t="s">
        <v>15079</v>
      </c>
      <c r="AY33" s="515">
        <v>1</v>
      </c>
      <c r="AZ33" s="474" t="s">
        <v>15079</v>
      </c>
      <c r="BA33" s="472" t="s">
        <v>517</v>
      </c>
      <c r="BB33" s="472" t="s">
        <v>1385</v>
      </c>
      <c r="BC33" s="472" t="s">
        <v>1385</v>
      </c>
      <c r="BD33" s="472" t="s">
        <v>1385</v>
      </c>
      <c r="BE33" s="472" t="s">
        <v>1385</v>
      </c>
      <c r="BF33" s="472">
        <v>43607.7</v>
      </c>
      <c r="BG33" s="472">
        <v>0</v>
      </c>
      <c r="BH33" s="472" t="s">
        <v>1385</v>
      </c>
      <c r="BI33" s="510">
        <v>0</v>
      </c>
      <c r="BJ33" s="510">
        <v>0</v>
      </c>
      <c r="BK33" s="510">
        <v>0</v>
      </c>
      <c r="BL33" s="510">
        <v>3500</v>
      </c>
      <c r="BM33" s="510">
        <v>0</v>
      </c>
      <c r="BN33" s="510">
        <v>6000</v>
      </c>
      <c r="BO33" s="510">
        <v>0</v>
      </c>
      <c r="BP33" s="510">
        <v>0</v>
      </c>
      <c r="BQ33" s="510">
        <v>0</v>
      </c>
      <c r="BR33" s="510">
        <v>0</v>
      </c>
      <c r="BS33" s="510">
        <v>0</v>
      </c>
      <c r="BT33" s="510">
        <v>0</v>
      </c>
      <c r="BU33" s="510">
        <v>0</v>
      </c>
      <c r="BV33" s="510">
        <v>0</v>
      </c>
      <c r="BW33" s="510">
        <v>0</v>
      </c>
      <c r="BX33" s="510">
        <v>30000</v>
      </c>
      <c r="BY33" s="1011">
        <v>0</v>
      </c>
      <c r="BZ33" s="510">
        <v>0</v>
      </c>
      <c r="CA33" s="1011">
        <v>0</v>
      </c>
      <c r="CB33" s="510">
        <v>22000</v>
      </c>
      <c r="CC33" s="1011">
        <v>0</v>
      </c>
      <c r="CD33" s="510">
        <v>0</v>
      </c>
      <c r="CE33" s="1011">
        <v>0</v>
      </c>
      <c r="CF33" s="510">
        <v>58705.2</v>
      </c>
      <c r="CG33" s="1011">
        <v>0</v>
      </c>
      <c r="CH33" s="510">
        <v>0</v>
      </c>
      <c r="CI33" s="1011">
        <v>0</v>
      </c>
    </row>
    <row r="34" spans="1:87" ht="12.75" customHeight="1" x14ac:dyDescent="0.2">
      <c r="A34" s="449">
        <v>154</v>
      </c>
      <c r="B34" s="453">
        <v>574</v>
      </c>
      <c r="C34" s="454" t="s">
        <v>1662</v>
      </c>
      <c r="D34" s="454" t="s">
        <v>1390</v>
      </c>
      <c r="E34" s="454" t="s">
        <v>1662</v>
      </c>
      <c r="F34" s="454" t="s">
        <v>520</v>
      </c>
      <c r="G34" s="454" t="s">
        <v>12387</v>
      </c>
      <c r="H34" s="455">
        <v>68156538000123</v>
      </c>
      <c r="I34" s="462">
        <v>33848</v>
      </c>
      <c r="J34" s="457">
        <v>37616307</v>
      </c>
      <c r="K34" s="454" t="s">
        <v>1664</v>
      </c>
      <c r="L34" s="458">
        <v>142</v>
      </c>
      <c r="M34" s="454" t="s">
        <v>1665</v>
      </c>
      <c r="N34" s="459">
        <v>4945005</v>
      </c>
      <c r="O34" s="460">
        <v>55171008</v>
      </c>
      <c r="P34" s="462">
        <v>306668</v>
      </c>
      <c r="Q34" s="462">
        <v>89</v>
      </c>
      <c r="R34" s="462">
        <v>43969</v>
      </c>
      <c r="S34" s="463">
        <v>271</v>
      </c>
      <c r="T34" s="464">
        <v>3.6</v>
      </c>
      <c r="U34" s="465">
        <v>975.6</v>
      </c>
      <c r="V34" s="465">
        <v>12240</v>
      </c>
      <c r="W34" s="466">
        <v>0</v>
      </c>
      <c r="X34" s="467">
        <v>1</v>
      </c>
      <c r="Y34" s="466">
        <v>19823.400000000001</v>
      </c>
      <c r="Z34" s="468" t="s">
        <v>516</v>
      </c>
      <c r="AA34" s="466">
        <v>91233</v>
      </c>
      <c r="AB34" s="466">
        <v>91233</v>
      </c>
      <c r="AC34" s="467">
        <v>0</v>
      </c>
      <c r="AD34" s="466">
        <v>0</v>
      </c>
      <c r="AE34" s="468" t="s">
        <v>516</v>
      </c>
      <c r="AF34" s="466">
        <v>0</v>
      </c>
      <c r="AG34" s="466">
        <v>0</v>
      </c>
      <c r="AH34" s="466">
        <v>22358.1</v>
      </c>
      <c r="AI34" s="466">
        <v>3915</v>
      </c>
      <c r="AJ34" s="469" t="s">
        <v>1470</v>
      </c>
      <c r="AK34" s="470" t="s">
        <v>1471</v>
      </c>
      <c r="AL34" s="471" t="s">
        <v>1666</v>
      </c>
      <c r="AM34" s="470" t="s">
        <v>1667</v>
      </c>
      <c r="AN34" s="470" t="s">
        <v>1663</v>
      </c>
      <c r="AO34" s="470" t="s">
        <v>1668</v>
      </c>
      <c r="AP34" s="470" t="s">
        <v>1669</v>
      </c>
      <c r="AQ34" s="470" t="s">
        <v>1662</v>
      </c>
      <c r="AR34" s="472" t="s">
        <v>515</v>
      </c>
      <c r="AS34" s="473" t="s">
        <v>1385</v>
      </c>
      <c r="AT34" s="472" t="s">
        <v>1390</v>
      </c>
      <c r="AU34" s="472" t="s">
        <v>420</v>
      </c>
      <c r="AV34" s="472">
        <v>2020</v>
      </c>
      <c r="AW34" s="474" t="s">
        <v>15078</v>
      </c>
      <c r="AX34" s="475" t="s">
        <v>15079</v>
      </c>
      <c r="AY34" s="515">
        <v>1</v>
      </c>
      <c r="AZ34" s="474" t="s">
        <v>15079</v>
      </c>
      <c r="BA34" s="472" t="s">
        <v>1390</v>
      </c>
      <c r="BB34" s="472" t="s">
        <v>1385</v>
      </c>
      <c r="BC34" s="472" t="s">
        <v>1385</v>
      </c>
      <c r="BD34" s="472" t="s">
        <v>1385</v>
      </c>
      <c r="BE34" s="472" t="s">
        <v>1385</v>
      </c>
      <c r="BF34" s="472">
        <v>19823.400000000001</v>
      </c>
      <c r="BG34" s="472">
        <v>0</v>
      </c>
      <c r="BH34" s="472" t="s">
        <v>1385</v>
      </c>
      <c r="BI34" s="510">
        <v>0</v>
      </c>
      <c r="BJ34" s="510">
        <v>0</v>
      </c>
      <c r="BK34" s="510">
        <v>0</v>
      </c>
      <c r="BL34" s="510">
        <v>0</v>
      </c>
      <c r="BM34" s="510">
        <v>0</v>
      </c>
      <c r="BN34" s="510">
        <v>3500</v>
      </c>
      <c r="BO34" s="510">
        <v>0</v>
      </c>
      <c r="BP34" s="510">
        <v>0</v>
      </c>
      <c r="BQ34" s="510">
        <v>0</v>
      </c>
      <c r="BR34" s="510">
        <v>0</v>
      </c>
      <c r="BS34" s="510">
        <v>0</v>
      </c>
      <c r="BT34" s="510">
        <v>0</v>
      </c>
      <c r="BU34" s="510">
        <v>0</v>
      </c>
      <c r="BV34" s="510">
        <v>0</v>
      </c>
      <c r="BW34" s="510">
        <v>0</v>
      </c>
      <c r="BX34" s="510">
        <v>30000</v>
      </c>
      <c r="BY34" s="1011">
        <v>0</v>
      </c>
      <c r="BZ34" s="510">
        <v>0</v>
      </c>
      <c r="CA34" s="1011">
        <v>0</v>
      </c>
      <c r="CB34" s="510">
        <v>0</v>
      </c>
      <c r="CC34" s="1011">
        <v>0</v>
      </c>
      <c r="CD34" s="510">
        <v>0</v>
      </c>
      <c r="CE34" s="1011">
        <v>0</v>
      </c>
      <c r="CF34" s="510">
        <v>41409.599999999999</v>
      </c>
      <c r="CG34" s="1011">
        <v>0</v>
      </c>
      <c r="CH34" s="510">
        <v>0</v>
      </c>
      <c r="CI34" s="1011">
        <v>0</v>
      </c>
    </row>
    <row r="35" spans="1:87" ht="12.75" customHeight="1" x14ac:dyDescent="0.2">
      <c r="A35" s="449">
        <v>57</v>
      </c>
      <c r="B35" s="453">
        <v>892</v>
      </c>
      <c r="C35" s="454" t="s">
        <v>1670</v>
      </c>
      <c r="D35" s="454" t="s">
        <v>517</v>
      </c>
      <c r="E35" s="454" t="s">
        <v>1671</v>
      </c>
      <c r="F35" s="454" t="s">
        <v>513</v>
      </c>
      <c r="G35" s="454" t="s">
        <v>12388</v>
      </c>
      <c r="H35" s="455">
        <v>1362012000129</v>
      </c>
      <c r="I35" s="462">
        <v>34242</v>
      </c>
      <c r="J35" s="457">
        <v>37476203</v>
      </c>
      <c r="K35" s="454" t="s">
        <v>1672</v>
      </c>
      <c r="L35" s="458" t="s">
        <v>1446</v>
      </c>
      <c r="M35" s="454" t="s">
        <v>1673</v>
      </c>
      <c r="N35" s="459">
        <v>3928130</v>
      </c>
      <c r="O35" s="460">
        <v>27312097</v>
      </c>
      <c r="P35" s="462">
        <v>150170</v>
      </c>
      <c r="Q35" s="462">
        <v>57</v>
      </c>
      <c r="R35" s="462">
        <v>43937</v>
      </c>
      <c r="S35" s="463">
        <v>542</v>
      </c>
      <c r="T35" s="464">
        <v>5.4</v>
      </c>
      <c r="U35" s="465">
        <v>2926.8</v>
      </c>
      <c r="V35" s="465">
        <v>17100</v>
      </c>
      <c r="W35" s="466">
        <v>0</v>
      </c>
      <c r="X35" s="467">
        <v>1</v>
      </c>
      <c r="Y35" s="466">
        <v>30040.2</v>
      </c>
      <c r="Z35" s="468" t="s">
        <v>516</v>
      </c>
      <c r="AA35" s="466">
        <v>121953.4</v>
      </c>
      <c r="AB35" s="466">
        <v>121953.4</v>
      </c>
      <c r="AC35" s="467">
        <v>0</v>
      </c>
      <c r="AD35" s="466">
        <v>0</v>
      </c>
      <c r="AE35" s="468" t="s">
        <v>516</v>
      </c>
      <c r="AF35" s="466">
        <v>0</v>
      </c>
      <c r="AG35" s="466">
        <v>0</v>
      </c>
      <c r="AH35" s="466">
        <v>13248.72</v>
      </c>
      <c r="AI35" s="466">
        <v>10137</v>
      </c>
      <c r="AJ35" s="469" t="s">
        <v>1674</v>
      </c>
      <c r="AK35" s="470" t="s">
        <v>518</v>
      </c>
      <c r="AL35" s="471" t="s">
        <v>1675</v>
      </c>
      <c r="AM35" s="470" t="s">
        <v>1676</v>
      </c>
      <c r="AN35" s="470" t="s">
        <v>1677</v>
      </c>
      <c r="AO35" s="470" t="s">
        <v>1678</v>
      </c>
      <c r="AP35" s="470" t="s">
        <v>1679</v>
      </c>
      <c r="AQ35" s="470" t="s">
        <v>1670</v>
      </c>
      <c r="AR35" s="472" t="s">
        <v>515</v>
      </c>
      <c r="AS35" s="473" t="s">
        <v>1385</v>
      </c>
      <c r="AT35" s="472" t="s">
        <v>517</v>
      </c>
      <c r="AU35" s="472" t="s">
        <v>420</v>
      </c>
      <c r="AV35" s="472">
        <v>2020</v>
      </c>
      <c r="AW35" s="474" t="s">
        <v>15078</v>
      </c>
      <c r="AX35" s="475" t="s">
        <v>15079</v>
      </c>
      <c r="AY35" s="515">
        <v>1</v>
      </c>
      <c r="AZ35" s="474" t="s">
        <v>15079</v>
      </c>
      <c r="BA35" s="472" t="s">
        <v>517</v>
      </c>
      <c r="BB35" s="472" t="s">
        <v>1385</v>
      </c>
      <c r="BC35" s="472" t="s">
        <v>1385</v>
      </c>
      <c r="BD35" s="472" t="s">
        <v>1385</v>
      </c>
      <c r="BE35" s="472" t="s">
        <v>1385</v>
      </c>
      <c r="BF35" s="472">
        <v>30040.2</v>
      </c>
      <c r="BG35" s="472">
        <v>0</v>
      </c>
      <c r="BH35" s="472" t="s">
        <v>1385</v>
      </c>
      <c r="BI35" s="510">
        <v>0</v>
      </c>
      <c r="BJ35" s="510">
        <v>0</v>
      </c>
      <c r="BK35" s="510">
        <v>0</v>
      </c>
      <c r="BL35" s="510">
        <v>3500</v>
      </c>
      <c r="BM35" s="510">
        <v>0</v>
      </c>
      <c r="BN35" s="510">
        <v>3500</v>
      </c>
      <c r="BO35" s="510">
        <v>0</v>
      </c>
      <c r="BP35" s="510">
        <v>0</v>
      </c>
      <c r="BQ35" s="510">
        <v>0</v>
      </c>
      <c r="BR35" s="510">
        <v>0</v>
      </c>
      <c r="BS35" s="510">
        <v>0</v>
      </c>
      <c r="BT35" s="510">
        <v>0</v>
      </c>
      <c r="BU35" s="510">
        <v>2500</v>
      </c>
      <c r="BV35" s="510">
        <v>2500</v>
      </c>
      <c r="BW35" s="510">
        <v>0</v>
      </c>
      <c r="BX35" s="510">
        <v>30000</v>
      </c>
      <c r="BY35" s="1011">
        <v>0</v>
      </c>
      <c r="BZ35" s="510">
        <v>0</v>
      </c>
      <c r="CA35" s="1011">
        <v>0</v>
      </c>
      <c r="CB35" s="510">
        <v>22000</v>
      </c>
      <c r="CC35" s="1011">
        <v>0</v>
      </c>
      <c r="CD35" s="510">
        <v>0</v>
      </c>
      <c r="CE35" s="1011">
        <v>0</v>
      </c>
      <c r="CF35" s="510">
        <v>39913.199999999997</v>
      </c>
      <c r="CG35" s="1011">
        <v>0</v>
      </c>
      <c r="CH35" s="510">
        <v>0</v>
      </c>
      <c r="CI35" s="1011">
        <v>0</v>
      </c>
    </row>
    <row r="36" spans="1:87" s="448" customFormat="1" ht="12.75" customHeight="1" x14ac:dyDescent="0.2">
      <c r="A36" s="449">
        <v>43</v>
      </c>
      <c r="B36" s="453">
        <v>8834</v>
      </c>
      <c r="C36" s="454" t="s">
        <v>1680</v>
      </c>
      <c r="D36" s="454" t="s">
        <v>517</v>
      </c>
      <c r="E36" s="454" t="s">
        <v>1681</v>
      </c>
      <c r="F36" s="454" t="s">
        <v>523</v>
      </c>
      <c r="G36" s="454" t="s">
        <v>12389</v>
      </c>
      <c r="H36" s="455">
        <v>73310534000198</v>
      </c>
      <c r="I36" s="462">
        <v>34135</v>
      </c>
      <c r="J36" s="457">
        <v>37615254</v>
      </c>
      <c r="K36" s="454" t="s">
        <v>1683</v>
      </c>
      <c r="L36" s="458">
        <v>807</v>
      </c>
      <c r="M36" s="454" t="s">
        <v>523</v>
      </c>
      <c r="N36" s="459">
        <v>8440180</v>
      </c>
      <c r="O36" s="460">
        <v>25544580</v>
      </c>
      <c r="P36" s="462">
        <v>264876</v>
      </c>
      <c r="Q36" s="462">
        <v>43</v>
      </c>
      <c r="R36" s="462">
        <v>43921</v>
      </c>
      <c r="S36" s="463">
        <v>1161</v>
      </c>
      <c r="T36" s="464">
        <v>5.4</v>
      </c>
      <c r="U36" s="465">
        <v>6269.4</v>
      </c>
      <c r="V36" s="465">
        <v>20340</v>
      </c>
      <c r="W36" s="466">
        <v>0</v>
      </c>
      <c r="X36" s="467">
        <v>1</v>
      </c>
      <c r="Y36" s="466">
        <v>39914.1</v>
      </c>
      <c r="Z36" s="468" t="s">
        <v>516</v>
      </c>
      <c r="AA36" s="466">
        <v>145348.9</v>
      </c>
      <c r="AB36" s="466">
        <v>145348.9</v>
      </c>
      <c r="AC36" s="467">
        <v>0</v>
      </c>
      <c r="AD36" s="466">
        <v>0</v>
      </c>
      <c r="AE36" s="468" t="s">
        <v>516</v>
      </c>
      <c r="AF36" s="466">
        <v>0</v>
      </c>
      <c r="AG36" s="466">
        <v>0</v>
      </c>
      <c r="AH36" s="466">
        <v>23106.42</v>
      </c>
      <c r="AI36" s="466">
        <v>12795.64</v>
      </c>
      <c r="AJ36" s="469" t="s">
        <v>1674</v>
      </c>
      <c r="AK36" s="470" t="s">
        <v>518</v>
      </c>
      <c r="AL36" s="471" t="s">
        <v>1684</v>
      </c>
      <c r="AM36" s="470" t="s">
        <v>1685</v>
      </c>
      <c r="AN36" s="470" t="s">
        <v>1682</v>
      </c>
      <c r="AO36" s="470" t="s">
        <v>1686</v>
      </c>
      <c r="AP36" s="470" t="s">
        <v>1687</v>
      </c>
      <c r="AQ36" s="470" t="s">
        <v>1680</v>
      </c>
      <c r="AR36" s="472" t="s">
        <v>515</v>
      </c>
      <c r="AS36" s="473" t="s">
        <v>1385</v>
      </c>
      <c r="AT36" s="472" t="s">
        <v>517</v>
      </c>
      <c r="AU36" s="472" t="s">
        <v>420</v>
      </c>
      <c r="AV36" s="472">
        <v>2020</v>
      </c>
      <c r="AW36" s="474" t="s">
        <v>15078</v>
      </c>
      <c r="AX36" s="475" t="s">
        <v>15079</v>
      </c>
      <c r="AY36" s="515">
        <v>1</v>
      </c>
      <c r="AZ36" s="474" t="s">
        <v>15079</v>
      </c>
      <c r="BA36" s="472" t="s">
        <v>517</v>
      </c>
      <c r="BB36" s="472" t="s">
        <v>1385</v>
      </c>
      <c r="BC36" s="472" t="s">
        <v>1385</v>
      </c>
      <c r="BD36" s="472" t="s">
        <v>1385</v>
      </c>
      <c r="BE36" s="472" t="s">
        <v>1385</v>
      </c>
      <c r="BF36" s="472">
        <v>39914.1</v>
      </c>
      <c r="BG36" s="472">
        <v>0</v>
      </c>
      <c r="BH36" s="472" t="s">
        <v>1385</v>
      </c>
      <c r="BI36" s="510">
        <v>0</v>
      </c>
      <c r="BJ36" s="510">
        <v>0</v>
      </c>
      <c r="BK36" s="510">
        <v>0</v>
      </c>
      <c r="BL36" s="510">
        <v>0</v>
      </c>
      <c r="BM36" s="510">
        <v>0</v>
      </c>
      <c r="BN36" s="510">
        <v>5000</v>
      </c>
      <c r="BO36" s="510">
        <v>0</v>
      </c>
      <c r="BP36" s="510">
        <v>0</v>
      </c>
      <c r="BQ36" s="510">
        <v>0</v>
      </c>
      <c r="BR36" s="510">
        <v>0</v>
      </c>
      <c r="BS36" s="510">
        <v>0</v>
      </c>
      <c r="BT36" s="510">
        <v>0</v>
      </c>
      <c r="BU36" s="510">
        <v>2500</v>
      </c>
      <c r="BV36" s="510">
        <v>2500</v>
      </c>
      <c r="BW36" s="510">
        <v>0</v>
      </c>
      <c r="BX36" s="510">
        <v>30000</v>
      </c>
      <c r="BY36" s="1011">
        <v>0</v>
      </c>
      <c r="BZ36" s="510">
        <v>0</v>
      </c>
      <c r="CA36" s="1011">
        <v>0</v>
      </c>
      <c r="CB36" s="510">
        <v>22000</v>
      </c>
      <c r="CC36" s="1011">
        <v>0</v>
      </c>
      <c r="CD36" s="510">
        <v>0</v>
      </c>
      <c r="CE36" s="1011">
        <v>0</v>
      </c>
      <c r="CF36" s="510">
        <v>53434.8</v>
      </c>
      <c r="CG36" s="1011">
        <v>0</v>
      </c>
      <c r="CH36" s="510">
        <v>0</v>
      </c>
      <c r="CI36" s="1011">
        <v>0</v>
      </c>
    </row>
    <row r="37" spans="1:87" ht="12.75" customHeight="1" x14ac:dyDescent="0.2">
      <c r="A37" s="449">
        <v>50</v>
      </c>
      <c r="B37" s="453">
        <v>8842</v>
      </c>
      <c r="C37" s="454" t="s">
        <v>1688</v>
      </c>
      <c r="D37" s="454" t="s">
        <v>517</v>
      </c>
      <c r="E37" s="454" t="s">
        <v>1689</v>
      </c>
      <c r="F37" s="454" t="s">
        <v>518</v>
      </c>
      <c r="G37" s="454" t="s">
        <v>12390</v>
      </c>
      <c r="H37" s="455">
        <v>1446852000170</v>
      </c>
      <c r="I37" s="462">
        <v>35318</v>
      </c>
      <c r="J37" s="457">
        <v>37468855</v>
      </c>
      <c r="K37" s="454" t="s">
        <v>1691</v>
      </c>
      <c r="L37" s="458">
        <v>260</v>
      </c>
      <c r="M37" s="454" t="s">
        <v>1692</v>
      </c>
      <c r="N37" s="459">
        <v>8280330</v>
      </c>
      <c r="O37" s="460">
        <v>27481131</v>
      </c>
      <c r="P37" s="462">
        <v>50159</v>
      </c>
      <c r="Q37" s="462">
        <v>95</v>
      </c>
      <c r="R37" s="462">
        <v>43934</v>
      </c>
      <c r="S37" s="463">
        <v>467</v>
      </c>
      <c r="T37" s="464">
        <v>5.4</v>
      </c>
      <c r="U37" s="465">
        <v>2521.8000000000002</v>
      </c>
      <c r="V37" s="465">
        <v>15480</v>
      </c>
      <c r="W37" s="466">
        <v>0</v>
      </c>
      <c r="X37" s="467">
        <v>1</v>
      </c>
      <c r="Y37" s="466">
        <v>27002.7</v>
      </c>
      <c r="Z37" s="468" t="s">
        <v>516</v>
      </c>
      <c r="AA37" s="466">
        <v>115092.7</v>
      </c>
      <c r="AB37" s="466">
        <v>115092.7</v>
      </c>
      <c r="AC37" s="467">
        <v>0</v>
      </c>
      <c r="AD37" s="466">
        <v>0</v>
      </c>
      <c r="AE37" s="468" t="s">
        <v>516</v>
      </c>
      <c r="AF37" s="466">
        <v>0</v>
      </c>
      <c r="AG37" s="466">
        <v>0</v>
      </c>
      <c r="AH37" s="466">
        <v>17831.95</v>
      </c>
      <c r="AI37" s="466">
        <v>3491.52</v>
      </c>
      <c r="AJ37" s="469" t="s">
        <v>1674</v>
      </c>
      <c r="AK37" s="470" t="s">
        <v>518</v>
      </c>
      <c r="AL37" s="471" t="s">
        <v>1693</v>
      </c>
      <c r="AM37" s="470" t="s">
        <v>12391</v>
      </c>
      <c r="AN37" s="470" t="s">
        <v>1690</v>
      </c>
      <c r="AO37" s="470" t="s">
        <v>14969</v>
      </c>
      <c r="AP37" s="470" t="s">
        <v>1694</v>
      </c>
      <c r="AQ37" s="470" t="s">
        <v>1688</v>
      </c>
      <c r="AR37" s="472" t="s">
        <v>515</v>
      </c>
      <c r="AS37" s="473" t="s">
        <v>1385</v>
      </c>
      <c r="AT37" s="472" t="s">
        <v>517</v>
      </c>
      <c r="AU37" s="472" t="s">
        <v>420</v>
      </c>
      <c r="AV37" s="472">
        <v>2020</v>
      </c>
      <c r="AW37" s="474" t="s">
        <v>15078</v>
      </c>
      <c r="AX37" s="475" t="s">
        <v>15079</v>
      </c>
      <c r="AY37" s="515">
        <v>1</v>
      </c>
      <c r="AZ37" s="474" t="s">
        <v>15079</v>
      </c>
      <c r="BA37" s="472" t="s">
        <v>517</v>
      </c>
      <c r="BB37" s="472" t="s">
        <v>1385</v>
      </c>
      <c r="BC37" s="472" t="s">
        <v>1385</v>
      </c>
      <c r="BD37" s="472" t="s">
        <v>1385</v>
      </c>
      <c r="BE37" s="472" t="s">
        <v>1385</v>
      </c>
      <c r="BF37" s="472">
        <v>27002.7</v>
      </c>
      <c r="BG37" s="472">
        <v>0</v>
      </c>
      <c r="BH37" s="472" t="s">
        <v>1385</v>
      </c>
      <c r="BI37" s="510">
        <v>0</v>
      </c>
      <c r="BJ37" s="510">
        <v>0</v>
      </c>
      <c r="BK37" s="510">
        <v>0</v>
      </c>
      <c r="BL37" s="510">
        <v>1181.48</v>
      </c>
      <c r="BM37" s="510">
        <v>0</v>
      </c>
      <c r="BN37" s="510">
        <v>2750</v>
      </c>
      <c r="BO37" s="510">
        <v>0</v>
      </c>
      <c r="BP37" s="510">
        <v>0</v>
      </c>
      <c r="BQ37" s="510">
        <v>0</v>
      </c>
      <c r="BR37" s="510">
        <v>0</v>
      </c>
      <c r="BS37" s="510">
        <v>0</v>
      </c>
      <c r="BT37" s="510">
        <v>0</v>
      </c>
      <c r="BU37" s="510">
        <v>2500</v>
      </c>
      <c r="BV37" s="510">
        <v>2500</v>
      </c>
      <c r="BW37" s="510">
        <v>0</v>
      </c>
      <c r="BX37" s="510">
        <v>30000</v>
      </c>
      <c r="BY37" s="1011">
        <v>0</v>
      </c>
      <c r="BZ37" s="510">
        <v>0</v>
      </c>
      <c r="CA37" s="1011">
        <v>0</v>
      </c>
      <c r="CB37" s="510">
        <v>22000</v>
      </c>
      <c r="CC37" s="1011">
        <v>0</v>
      </c>
      <c r="CD37" s="510">
        <v>0</v>
      </c>
      <c r="CE37" s="1011">
        <v>0</v>
      </c>
      <c r="CF37" s="510">
        <v>36090</v>
      </c>
      <c r="CG37" s="1011">
        <v>0</v>
      </c>
      <c r="CH37" s="510">
        <v>0</v>
      </c>
      <c r="CI37" s="1011">
        <v>0</v>
      </c>
    </row>
    <row r="38" spans="1:87" ht="12.75" customHeight="1" x14ac:dyDescent="0.2">
      <c r="A38" s="449">
        <v>85</v>
      </c>
      <c r="B38" s="453">
        <v>9130</v>
      </c>
      <c r="C38" s="454" t="s">
        <v>1695</v>
      </c>
      <c r="D38" s="454" t="s">
        <v>1390</v>
      </c>
      <c r="E38" s="454" t="s">
        <v>1696</v>
      </c>
      <c r="F38" s="454" t="s">
        <v>523</v>
      </c>
      <c r="G38" s="454" t="s">
        <v>12392</v>
      </c>
      <c r="H38" s="455">
        <v>68479880000164</v>
      </c>
      <c r="I38" s="462">
        <v>33913</v>
      </c>
      <c r="J38" s="457">
        <v>37615580</v>
      </c>
      <c r="K38" s="454" t="s">
        <v>1698</v>
      </c>
      <c r="L38" s="458">
        <v>195</v>
      </c>
      <c r="M38" s="454" t="s">
        <v>1699</v>
      </c>
      <c r="N38" s="459">
        <v>8421105</v>
      </c>
      <c r="O38" s="460">
        <v>25552615</v>
      </c>
      <c r="P38" s="462">
        <v>261320</v>
      </c>
      <c r="Q38" s="462">
        <v>85</v>
      </c>
      <c r="R38" s="462">
        <v>43921</v>
      </c>
      <c r="S38" s="463">
        <v>336</v>
      </c>
      <c r="T38" s="464">
        <v>3.6</v>
      </c>
      <c r="U38" s="465">
        <v>1209.5999999999999</v>
      </c>
      <c r="V38" s="465">
        <v>13680</v>
      </c>
      <c r="W38" s="466">
        <v>0</v>
      </c>
      <c r="X38" s="467">
        <v>1</v>
      </c>
      <c r="Y38" s="466">
        <v>22334.400000000001</v>
      </c>
      <c r="Z38" s="468" t="s">
        <v>516</v>
      </c>
      <c r="AA38" s="466">
        <v>97128</v>
      </c>
      <c r="AB38" s="466">
        <v>97128</v>
      </c>
      <c r="AC38" s="467">
        <v>0</v>
      </c>
      <c r="AD38" s="466">
        <v>0</v>
      </c>
      <c r="AE38" s="468" t="s">
        <v>516</v>
      </c>
      <c r="AF38" s="466">
        <v>0</v>
      </c>
      <c r="AG38" s="466">
        <v>0</v>
      </c>
      <c r="AH38" s="466">
        <v>14894.07</v>
      </c>
      <c r="AI38" s="466">
        <v>5664.61</v>
      </c>
      <c r="AJ38" s="469" t="s">
        <v>1395</v>
      </c>
      <c r="AK38" s="470" t="s">
        <v>523</v>
      </c>
      <c r="AL38" s="471" t="s">
        <v>1700</v>
      </c>
      <c r="AM38" s="470" t="s">
        <v>12393</v>
      </c>
      <c r="AN38" s="470" t="s">
        <v>1697</v>
      </c>
      <c r="AO38" s="470" t="s">
        <v>1701</v>
      </c>
      <c r="AP38" s="470" t="s">
        <v>1702</v>
      </c>
      <c r="AQ38" s="470" t="s">
        <v>1695</v>
      </c>
      <c r="AR38" s="472" t="s">
        <v>515</v>
      </c>
      <c r="AS38" s="473" t="s">
        <v>1385</v>
      </c>
      <c r="AT38" s="472" t="s">
        <v>1390</v>
      </c>
      <c r="AU38" s="472" t="s">
        <v>420</v>
      </c>
      <c r="AV38" s="472">
        <v>2020</v>
      </c>
      <c r="AW38" s="474" t="s">
        <v>15078</v>
      </c>
      <c r="AX38" s="475" t="s">
        <v>15079</v>
      </c>
      <c r="AY38" s="515">
        <v>1</v>
      </c>
      <c r="AZ38" s="474" t="s">
        <v>15079</v>
      </c>
      <c r="BA38" s="472" t="s">
        <v>1390</v>
      </c>
      <c r="BB38" s="472" t="s">
        <v>1385</v>
      </c>
      <c r="BC38" s="472" t="s">
        <v>1385</v>
      </c>
      <c r="BD38" s="472" t="s">
        <v>1385</v>
      </c>
      <c r="BE38" s="472" t="s">
        <v>1385</v>
      </c>
      <c r="BF38" s="472">
        <v>22334.400000000001</v>
      </c>
      <c r="BG38" s="472">
        <v>0</v>
      </c>
      <c r="BH38" s="472" t="s">
        <v>1385</v>
      </c>
      <c r="BI38" s="510">
        <v>0</v>
      </c>
      <c r="BJ38" s="510">
        <v>0</v>
      </c>
      <c r="BK38" s="510">
        <v>0</v>
      </c>
      <c r="BL38" s="510">
        <v>0</v>
      </c>
      <c r="BM38" s="510">
        <v>0</v>
      </c>
      <c r="BN38" s="510">
        <v>3500</v>
      </c>
      <c r="BO38" s="510">
        <v>0</v>
      </c>
      <c r="BP38" s="510">
        <v>0</v>
      </c>
      <c r="BQ38" s="510">
        <v>0</v>
      </c>
      <c r="BR38" s="510">
        <v>0</v>
      </c>
      <c r="BS38" s="510">
        <v>0</v>
      </c>
      <c r="BT38" s="510">
        <v>0</v>
      </c>
      <c r="BU38" s="510">
        <v>0</v>
      </c>
      <c r="BV38" s="510">
        <v>0</v>
      </c>
      <c r="BW38" s="510">
        <v>0</v>
      </c>
      <c r="BX38" s="510">
        <v>30000</v>
      </c>
      <c r="BY38" s="1011">
        <v>0</v>
      </c>
      <c r="BZ38" s="510">
        <v>0</v>
      </c>
      <c r="CA38" s="1011">
        <v>0</v>
      </c>
      <c r="CB38" s="510">
        <v>0</v>
      </c>
      <c r="CC38" s="1011">
        <v>0</v>
      </c>
      <c r="CD38" s="510">
        <v>0</v>
      </c>
      <c r="CE38" s="1011">
        <v>0</v>
      </c>
      <c r="CF38" s="510">
        <v>44793.599999999999</v>
      </c>
      <c r="CG38" s="1011">
        <v>0</v>
      </c>
      <c r="CH38" s="510">
        <v>0</v>
      </c>
      <c r="CI38" s="1011">
        <v>0</v>
      </c>
    </row>
    <row r="39" spans="1:87" ht="12.75" customHeight="1" x14ac:dyDescent="0.2">
      <c r="A39" s="449">
        <v>31</v>
      </c>
      <c r="B39" s="453">
        <v>9148</v>
      </c>
      <c r="C39" s="454" t="s">
        <v>1703</v>
      </c>
      <c r="D39" s="454" t="s">
        <v>517</v>
      </c>
      <c r="E39" s="454" t="s">
        <v>1704</v>
      </c>
      <c r="F39" s="454" t="s">
        <v>523</v>
      </c>
      <c r="G39" s="454" t="s">
        <v>12394</v>
      </c>
      <c r="H39" s="455">
        <v>1148799000120</v>
      </c>
      <c r="I39" s="462">
        <v>35163</v>
      </c>
      <c r="J39" s="457">
        <v>37621351</v>
      </c>
      <c r="K39" s="454" t="s">
        <v>1705</v>
      </c>
      <c r="L39" s="458">
        <v>60</v>
      </c>
      <c r="M39" s="454" t="s">
        <v>1699</v>
      </c>
      <c r="N39" s="459">
        <v>8472170</v>
      </c>
      <c r="O39" s="460">
        <v>25554046</v>
      </c>
      <c r="P39" s="462">
        <v>263748</v>
      </c>
      <c r="Q39" s="462">
        <v>31</v>
      </c>
      <c r="R39" s="462">
        <v>43921</v>
      </c>
      <c r="S39" s="463">
        <v>798</v>
      </c>
      <c r="T39" s="464">
        <v>5.4</v>
      </c>
      <c r="U39" s="465">
        <v>4309.2</v>
      </c>
      <c r="V39" s="465">
        <v>18720</v>
      </c>
      <c r="W39" s="466">
        <v>0</v>
      </c>
      <c r="X39" s="467">
        <v>1</v>
      </c>
      <c r="Y39" s="466">
        <v>34543.800000000003</v>
      </c>
      <c r="Z39" s="468" t="s">
        <v>516</v>
      </c>
      <c r="AA39" s="466">
        <v>132116.20000000001</v>
      </c>
      <c r="AB39" s="466">
        <v>132116.20000000001</v>
      </c>
      <c r="AC39" s="467">
        <v>0</v>
      </c>
      <c r="AD39" s="466">
        <v>0</v>
      </c>
      <c r="AE39" s="468" t="s">
        <v>516</v>
      </c>
      <c r="AF39" s="466">
        <v>0</v>
      </c>
      <c r="AG39" s="466">
        <v>0</v>
      </c>
      <c r="AH39" s="466">
        <v>18324.68</v>
      </c>
      <c r="AI39" s="466">
        <v>4606.74</v>
      </c>
      <c r="AJ39" s="469" t="s">
        <v>1395</v>
      </c>
      <c r="AK39" s="470" t="s">
        <v>523</v>
      </c>
      <c r="AL39" s="471" t="s">
        <v>12395</v>
      </c>
      <c r="AM39" s="470" t="s">
        <v>12396</v>
      </c>
      <c r="AN39" s="470" t="s">
        <v>1385</v>
      </c>
      <c r="AO39" s="470" t="s">
        <v>1706</v>
      </c>
      <c r="AP39" s="470" t="s">
        <v>1707</v>
      </c>
      <c r="AQ39" s="470" t="s">
        <v>1703</v>
      </c>
      <c r="AR39" s="472" t="s">
        <v>515</v>
      </c>
      <c r="AS39" s="473" t="s">
        <v>1385</v>
      </c>
      <c r="AT39" s="472" t="s">
        <v>517</v>
      </c>
      <c r="AU39" s="472" t="s">
        <v>420</v>
      </c>
      <c r="AV39" s="472">
        <v>2020</v>
      </c>
      <c r="AW39" s="474" t="s">
        <v>15078</v>
      </c>
      <c r="AX39" s="475" t="s">
        <v>15079</v>
      </c>
      <c r="AY39" s="515">
        <v>1</v>
      </c>
      <c r="AZ39" s="474" t="s">
        <v>15079</v>
      </c>
      <c r="BA39" s="472" t="s">
        <v>517</v>
      </c>
      <c r="BB39" s="472" t="s">
        <v>1385</v>
      </c>
      <c r="BC39" s="472" t="s">
        <v>1385</v>
      </c>
      <c r="BD39" s="472" t="s">
        <v>1385</v>
      </c>
      <c r="BE39" s="472" t="s">
        <v>1385</v>
      </c>
      <c r="BF39" s="472">
        <v>34543.800000000003</v>
      </c>
      <c r="BG39" s="472">
        <v>0</v>
      </c>
      <c r="BH39" s="472" t="s">
        <v>1385</v>
      </c>
      <c r="BI39" s="510">
        <v>0</v>
      </c>
      <c r="BJ39" s="510">
        <v>0</v>
      </c>
      <c r="BK39" s="510">
        <v>0</v>
      </c>
      <c r="BL39" s="510">
        <v>1329.46</v>
      </c>
      <c r="BM39" s="510">
        <v>0</v>
      </c>
      <c r="BN39" s="510">
        <v>5000</v>
      </c>
      <c r="BO39" s="510">
        <v>0</v>
      </c>
      <c r="BP39" s="510">
        <v>0</v>
      </c>
      <c r="BQ39" s="510">
        <v>0</v>
      </c>
      <c r="BR39" s="510">
        <v>0</v>
      </c>
      <c r="BS39" s="510">
        <v>0</v>
      </c>
      <c r="BT39" s="510">
        <v>0</v>
      </c>
      <c r="BU39" s="510">
        <v>0</v>
      </c>
      <c r="BV39" s="510">
        <v>0</v>
      </c>
      <c r="BW39" s="510">
        <v>0</v>
      </c>
      <c r="BX39" s="510">
        <v>30000</v>
      </c>
      <c r="BY39" s="1011">
        <v>0</v>
      </c>
      <c r="BZ39" s="510">
        <v>0</v>
      </c>
      <c r="CA39" s="1011">
        <v>0</v>
      </c>
      <c r="CB39" s="510">
        <v>22000</v>
      </c>
      <c r="CC39" s="1011">
        <v>0</v>
      </c>
      <c r="CD39" s="510">
        <v>0</v>
      </c>
      <c r="CE39" s="1011">
        <v>0</v>
      </c>
      <c r="CF39" s="510">
        <v>45572.4</v>
      </c>
      <c r="CG39" s="1011">
        <v>0</v>
      </c>
      <c r="CH39" s="510">
        <v>0</v>
      </c>
      <c r="CI39" s="1011">
        <v>0</v>
      </c>
    </row>
    <row r="40" spans="1:87" s="448" customFormat="1" ht="12.75" customHeight="1" x14ac:dyDescent="0.2">
      <c r="A40" s="449">
        <v>49</v>
      </c>
      <c r="B40" s="453">
        <v>9156</v>
      </c>
      <c r="C40" s="454" t="s">
        <v>1708</v>
      </c>
      <c r="D40" s="454" t="s">
        <v>517</v>
      </c>
      <c r="E40" s="454" t="s">
        <v>1709</v>
      </c>
      <c r="F40" s="454" t="s">
        <v>523</v>
      </c>
      <c r="G40" s="454" t="s">
        <v>12397</v>
      </c>
      <c r="H40" s="455">
        <v>1221036000168</v>
      </c>
      <c r="I40" s="462">
        <v>35172</v>
      </c>
      <c r="J40" s="457">
        <v>37615823</v>
      </c>
      <c r="K40" s="454" t="s">
        <v>1710</v>
      </c>
      <c r="L40" s="458">
        <v>90</v>
      </c>
      <c r="M40" s="454" t="s">
        <v>523</v>
      </c>
      <c r="N40" s="459">
        <v>8472120</v>
      </c>
      <c r="O40" s="460">
        <v>25552118</v>
      </c>
      <c r="P40" s="462">
        <v>262032</v>
      </c>
      <c r="Q40" s="462">
        <v>49</v>
      </c>
      <c r="R40" s="462">
        <v>43921</v>
      </c>
      <c r="S40" s="463">
        <v>943</v>
      </c>
      <c r="T40" s="464">
        <v>5.4</v>
      </c>
      <c r="U40" s="465">
        <v>5092.2</v>
      </c>
      <c r="V40" s="465">
        <v>20340</v>
      </c>
      <c r="W40" s="466">
        <v>0</v>
      </c>
      <c r="X40" s="467">
        <v>1</v>
      </c>
      <c r="Y40" s="466">
        <v>38148.300000000003</v>
      </c>
      <c r="Z40" s="468" t="s">
        <v>516</v>
      </c>
      <c r="AA40" s="466">
        <v>141196.29999999999</v>
      </c>
      <c r="AB40" s="466">
        <v>141196.29999999999</v>
      </c>
      <c r="AC40" s="467">
        <v>0</v>
      </c>
      <c r="AD40" s="466">
        <v>0</v>
      </c>
      <c r="AE40" s="468" t="s">
        <v>516</v>
      </c>
      <c r="AF40" s="466">
        <v>0</v>
      </c>
      <c r="AG40" s="466">
        <v>0</v>
      </c>
      <c r="AH40" s="466">
        <v>32523.18</v>
      </c>
      <c r="AI40" s="466">
        <v>7461.36</v>
      </c>
      <c r="AJ40" s="469" t="s">
        <v>1674</v>
      </c>
      <c r="AK40" s="470" t="s">
        <v>518</v>
      </c>
      <c r="AL40" s="471" t="s">
        <v>1711</v>
      </c>
      <c r="AM40" s="470" t="s">
        <v>1712</v>
      </c>
      <c r="AN40" s="470" t="s">
        <v>1385</v>
      </c>
      <c r="AO40" s="470" t="s">
        <v>1713</v>
      </c>
      <c r="AP40" s="470" t="s">
        <v>1714</v>
      </c>
      <c r="AQ40" s="470" t="s">
        <v>1708</v>
      </c>
      <c r="AR40" s="472" t="s">
        <v>515</v>
      </c>
      <c r="AS40" s="473" t="s">
        <v>1385</v>
      </c>
      <c r="AT40" s="472" t="s">
        <v>517</v>
      </c>
      <c r="AU40" s="472" t="s">
        <v>420</v>
      </c>
      <c r="AV40" s="472">
        <v>2020</v>
      </c>
      <c r="AW40" s="474" t="s">
        <v>15078</v>
      </c>
      <c r="AX40" s="475" t="s">
        <v>15079</v>
      </c>
      <c r="AY40" s="515">
        <v>1</v>
      </c>
      <c r="AZ40" s="474" t="s">
        <v>15079</v>
      </c>
      <c r="BA40" s="472" t="s">
        <v>517</v>
      </c>
      <c r="BB40" s="472" t="s">
        <v>1385</v>
      </c>
      <c r="BC40" s="472" t="s">
        <v>1385</v>
      </c>
      <c r="BD40" s="472" t="s">
        <v>1385</v>
      </c>
      <c r="BE40" s="472" t="s">
        <v>1385</v>
      </c>
      <c r="BF40" s="472">
        <v>38148.300000000003</v>
      </c>
      <c r="BG40" s="472">
        <v>0</v>
      </c>
      <c r="BH40" s="472" t="s">
        <v>1385</v>
      </c>
      <c r="BI40" s="510">
        <v>0</v>
      </c>
      <c r="BJ40" s="510">
        <v>0</v>
      </c>
      <c r="BK40" s="510">
        <v>0</v>
      </c>
      <c r="BL40" s="510">
        <v>0</v>
      </c>
      <c r="BM40" s="510">
        <v>0</v>
      </c>
      <c r="BN40" s="510">
        <v>5000</v>
      </c>
      <c r="BO40" s="510">
        <v>0</v>
      </c>
      <c r="BP40" s="510">
        <v>0</v>
      </c>
      <c r="BQ40" s="510">
        <v>0</v>
      </c>
      <c r="BR40" s="510">
        <v>0</v>
      </c>
      <c r="BS40" s="510">
        <v>0</v>
      </c>
      <c r="BT40" s="510">
        <v>0</v>
      </c>
      <c r="BU40" s="510">
        <v>2500</v>
      </c>
      <c r="BV40" s="510">
        <v>2500</v>
      </c>
      <c r="BW40" s="510">
        <v>0</v>
      </c>
      <c r="BX40" s="510">
        <v>30000</v>
      </c>
      <c r="BY40" s="1011">
        <v>0</v>
      </c>
      <c r="BZ40" s="510">
        <v>0</v>
      </c>
      <c r="CA40" s="1011">
        <v>0</v>
      </c>
      <c r="CB40" s="510">
        <v>22000</v>
      </c>
      <c r="CC40" s="1011">
        <v>0</v>
      </c>
      <c r="CD40" s="510">
        <v>0</v>
      </c>
      <c r="CE40" s="1011">
        <v>0</v>
      </c>
      <c r="CF40" s="510">
        <v>51048</v>
      </c>
      <c r="CG40" s="1011">
        <v>0</v>
      </c>
      <c r="CH40" s="510">
        <v>0</v>
      </c>
      <c r="CI40" s="1011">
        <v>0</v>
      </c>
    </row>
    <row r="41" spans="1:87" ht="12.75" customHeight="1" x14ac:dyDescent="0.2">
      <c r="A41" s="449">
        <v>74</v>
      </c>
      <c r="B41" s="453">
        <v>9270</v>
      </c>
      <c r="C41" s="454" t="s">
        <v>1715</v>
      </c>
      <c r="D41" s="454" t="s">
        <v>1390</v>
      </c>
      <c r="E41" s="454" t="s">
        <v>1716</v>
      </c>
      <c r="F41" s="454" t="s">
        <v>525</v>
      </c>
      <c r="G41" s="454" t="s">
        <v>12398</v>
      </c>
      <c r="H41" s="455">
        <v>1171377000176</v>
      </c>
      <c r="I41" s="462">
        <v>35171</v>
      </c>
      <c r="J41" s="457">
        <v>37389300</v>
      </c>
      <c r="K41" s="454" t="s">
        <v>1718</v>
      </c>
      <c r="L41" s="458">
        <v>317</v>
      </c>
      <c r="M41" s="454" t="s">
        <v>1719</v>
      </c>
      <c r="N41" s="459">
        <v>2356170</v>
      </c>
      <c r="O41" s="460">
        <v>22035927</v>
      </c>
      <c r="P41" s="462">
        <v>335048</v>
      </c>
      <c r="Q41" s="462">
        <v>74</v>
      </c>
      <c r="R41" s="462">
        <v>43950</v>
      </c>
      <c r="S41" s="463">
        <v>280</v>
      </c>
      <c r="T41" s="464">
        <v>3.6</v>
      </c>
      <c r="U41" s="465">
        <v>1008</v>
      </c>
      <c r="V41" s="465">
        <v>12240</v>
      </c>
      <c r="W41" s="466">
        <v>0</v>
      </c>
      <c r="X41" s="467">
        <v>1</v>
      </c>
      <c r="Y41" s="466">
        <v>19872</v>
      </c>
      <c r="Z41" s="468" t="s">
        <v>516</v>
      </c>
      <c r="AA41" s="466">
        <v>91368</v>
      </c>
      <c r="AB41" s="466">
        <v>91368</v>
      </c>
      <c r="AC41" s="467">
        <v>0</v>
      </c>
      <c r="AD41" s="466">
        <v>0</v>
      </c>
      <c r="AE41" s="468" t="s">
        <v>516</v>
      </c>
      <c r="AF41" s="466">
        <v>0</v>
      </c>
      <c r="AG41" s="466">
        <v>0</v>
      </c>
      <c r="AH41" s="466">
        <v>15700.59</v>
      </c>
      <c r="AI41" s="466">
        <v>2649.6</v>
      </c>
      <c r="AJ41" s="469" t="s">
        <v>1448</v>
      </c>
      <c r="AK41" s="470" t="s">
        <v>1449</v>
      </c>
      <c r="AL41" s="471" t="s">
        <v>1720</v>
      </c>
      <c r="AM41" s="470" t="s">
        <v>1721</v>
      </c>
      <c r="AN41" s="470" t="s">
        <v>1717</v>
      </c>
      <c r="AO41" s="470" t="s">
        <v>1722</v>
      </c>
      <c r="AP41" s="470" t="s">
        <v>1723</v>
      </c>
      <c r="AQ41" s="470" t="s">
        <v>1715</v>
      </c>
      <c r="AR41" s="472" t="s">
        <v>515</v>
      </c>
      <c r="AS41" s="473" t="s">
        <v>1385</v>
      </c>
      <c r="AT41" s="472" t="s">
        <v>1390</v>
      </c>
      <c r="AU41" s="472" t="s">
        <v>420</v>
      </c>
      <c r="AV41" s="472">
        <v>2020</v>
      </c>
      <c r="AW41" s="474" t="s">
        <v>15078</v>
      </c>
      <c r="AX41" s="475" t="s">
        <v>15079</v>
      </c>
      <c r="AY41" s="515">
        <v>1</v>
      </c>
      <c r="AZ41" s="474" t="s">
        <v>15079</v>
      </c>
      <c r="BA41" s="472" t="s">
        <v>1390</v>
      </c>
      <c r="BB41" s="472" t="s">
        <v>1385</v>
      </c>
      <c r="BC41" s="472" t="s">
        <v>1385</v>
      </c>
      <c r="BD41" s="472" t="s">
        <v>1385</v>
      </c>
      <c r="BE41" s="472" t="s">
        <v>1385</v>
      </c>
      <c r="BF41" s="472">
        <v>19872</v>
      </c>
      <c r="BG41" s="472">
        <v>0</v>
      </c>
      <c r="BH41" s="472" t="s">
        <v>1385</v>
      </c>
      <c r="BI41" s="510">
        <v>0</v>
      </c>
      <c r="BJ41" s="510">
        <v>0</v>
      </c>
      <c r="BK41" s="510">
        <v>0</v>
      </c>
      <c r="BL41" s="510">
        <v>0</v>
      </c>
      <c r="BM41" s="510">
        <v>0</v>
      </c>
      <c r="BN41" s="510">
        <v>3500</v>
      </c>
      <c r="BO41" s="510">
        <v>0</v>
      </c>
      <c r="BP41" s="510">
        <v>0</v>
      </c>
      <c r="BQ41" s="510">
        <v>0</v>
      </c>
      <c r="BR41" s="510">
        <v>0</v>
      </c>
      <c r="BS41" s="510">
        <v>0</v>
      </c>
      <c r="BT41" s="510">
        <v>0</v>
      </c>
      <c r="BU41" s="510">
        <v>0</v>
      </c>
      <c r="BV41" s="510">
        <v>0</v>
      </c>
      <c r="BW41" s="510">
        <v>0</v>
      </c>
      <c r="BX41" s="510">
        <v>30000</v>
      </c>
      <c r="BY41" s="1011">
        <v>0</v>
      </c>
      <c r="BZ41" s="510">
        <v>0</v>
      </c>
      <c r="CA41" s="1011">
        <v>0</v>
      </c>
      <c r="CB41" s="510">
        <v>0</v>
      </c>
      <c r="CC41" s="1011">
        <v>0</v>
      </c>
      <c r="CD41" s="510">
        <v>0</v>
      </c>
      <c r="CE41" s="1011">
        <v>0</v>
      </c>
      <c r="CF41" s="510">
        <v>41496</v>
      </c>
      <c r="CG41" s="1011">
        <v>0</v>
      </c>
      <c r="CH41" s="510">
        <v>0</v>
      </c>
      <c r="CI41" s="1011">
        <v>0</v>
      </c>
    </row>
    <row r="42" spans="1:87" ht="12.75" customHeight="1" x14ac:dyDescent="0.2">
      <c r="A42" s="449">
        <v>81</v>
      </c>
      <c r="B42" s="453">
        <v>9326</v>
      </c>
      <c r="C42" s="454" t="s">
        <v>1724</v>
      </c>
      <c r="D42" s="454" t="s">
        <v>517</v>
      </c>
      <c r="E42" s="454" t="s">
        <v>1725</v>
      </c>
      <c r="F42" s="454" t="s">
        <v>528</v>
      </c>
      <c r="G42" s="454" t="s">
        <v>1726</v>
      </c>
      <c r="H42" s="455">
        <v>66064189000194</v>
      </c>
      <c r="I42" s="462">
        <v>38659</v>
      </c>
      <c r="J42" s="457">
        <v>37374621</v>
      </c>
      <c r="K42" s="454" t="s">
        <v>1727</v>
      </c>
      <c r="L42" s="458">
        <v>385</v>
      </c>
      <c r="M42" s="454" t="s">
        <v>1728</v>
      </c>
      <c r="N42" s="459">
        <v>5184300</v>
      </c>
      <c r="O42" s="460">
        <v>39411906</v>
      </c>
      <c r="P42" s="462">
        <v>217762</v>
      </c>
      <c r="Q42" s="462">
        <v>81</v>
      </c>
      <c r="R42" s="462">
        <v>43938</v>
      </c>
      <c r="S42" s="463">
        <v>390</v>
      </c>
      <c r="T42" s="464">
        <v>5.4</v>
      </c>
      <c r="U42" s="465">
        <v>2106</v>
      </c>
      <c r="V42" s="465">
        <v>15480</v>
      </c>
      <c r="W42" s="466">
        <v>0</v>
      </c>
      <c r="X42" s="467">
        <v>1</v>
      </c>
      <c r="Y42" s="466">
        <v>26379</v>
      </c>
      <c r="Z42" s="468" t="s">
        <v>516</v>
      </c>
      <c r="AA42" s="466">
        <v>113108.2</v>
      </c>
      <c r="AB42" s="466">
        <v>113108.2</v>
      </c>
      <c r="AC42" s="467">
        <v>0</v>
      </c>
      <c r="AD42" s="466">
        <v>0</v>
      </c>
      <c r="AE42" s="468" t="s">
        <v>516</v>
      </c>
      <c r="AF42" s="466">
        <v>2000</v>
      </c>
      <c r="AG42" s="466">
        <v>2000</v>
      </c>
      <c r="AH42" s="466">
        <v>23799.24</v>
      </c>
      <c r="AI42" s="466">
        <v>10494.54</v>
      </c>
      <c r="AJ42" s="469" t="s">
        <v>1729</v>
      </c>
      <c r="AK42" s="470" t="s">
        <v>1730</v>
      </c>
      <c r="AL42" s="471" t="s">
        <v>1731</v>
      </c>
      <c r="AM42" s="470" t="s">
        <v>1732</v>
      </c>
      <c r="AN42" s="470" t="s">
        <v>1733</v>
      </c>
      <c r="AO42" s="470" t="s">
        <v>1734</v>
      </c>
      <c r="AP42" s="470" t="s">
        <v>1735</v>
      </c>
      <c r="AQ42" s="470" t="s">
        <v>1724</v>
      </c>
      <c r="AR42" s="472" t="s">
        <v>515</v>
      </c>
      <c r="AS42" s="473" t="s">
        <v>1385</v>
      </c>
      <c r="AT42" s="472" t="s">
        <v>517</v>
      </c>
      <c r="AU42" s="472" t="s">
        <v>420</v>
      </c>
      <c r="AV42" s="472">
        <v>2020</v>
      </c>
      <c r="AW42" s="474" t="s">
        <v>15078</v>
      </c>
      <c r="AX42" s="475" t="s">
        <v>15079</v>
      </c>
      <c r="AY42" s="515">
        <v>1</v>
      </c>
      <c r="AZ42" s="474" t="s">
        <v>15079</v>
      </c>
      <c r="BA42" s="472" t="s">
        <v>517</v>
      </c>
      <c r="BB42" s="472" t="s">
        <v>1385</v>
      </c>
      <c r="BC42" s="472" t="s">
        <v>1385</v>
      </c>
      <c r="BD42" s="472" t="s">
        <v>1385</v>
      </c>
      <c r="BE42" s="472" t="s">
        <v>1385</v>
      </c>
      <c r="BF42" s="472">
        <v>26379</v>
      </c>
      <c r="BG42" s="472">
        <v>0</v>
      </c>
      <c r="BH42" s="472" t="s">
        <v>1385</v>
      </c>
      <c r="BI42" s="510">
        <v>0</v>
      </c>
      <c r="BJ42" s="510">
        <v>9362.7999999999993</v>
      </c>
      <c r="BK42" s="510">
        <v>0</v>
      </c>
      <c r="BL42" s="510">
        <v>1023.4</v>
      </c>
      <c r="BM42" s="510">
        <v>0</v>
      </c>
      <c r="BN42" s="510">
        <v>3500</v>
      </c>
      <c r="BO42" s="510">
        <v>0</v>
      </c>
      <c r="BP42" s="510">
        <v>2000</v>
      </c>
      <c r="BQ42" s="510">
        <v>0</v>
      </c>
      <c r="BR42" s="510">
        <v>0</v>
      </c>
      <c r="BS42" s="510">
        <v>0</v>
      </c>
      <c r="BT42" s="510">
        <v>0</v>
      </c>
      <c r="BU42" s="510">
        <v>0</v>
      </c>
      <c r="BV42" s="510">
        <v>0</v>
      </c>
      <c r="BW42" s="510">
        <v>0</v>
      </c>
      <c r="BX42" s="510">
        <v>30000</v>
      </c>
      <c r="BY42" s="1011">
        <v>0</v>
      </c>
      <c r="BZ42" s="510">
        <v>0</v>
      </c>
      <c r="CA42" s="1011">
        <v>0</v>
      </c>
      <c r="CB42" s="510">
        <v>22000</v>
      </c>
      <c r="CC42" s="1011">
        <v>0</v>
      </c>
      <c r="CD42" s="510">
        <v>0</v>
      </c>
      <c r="CE42" s="1011">
        <v>0</v>
      </c>
      <c r="CF42" s="510">
        <v>34729.199999999997</v>
      </c>
      <c r="CG42" s="1011">
        <v>0</v>
      </c>
      <c r="CH42" s="510">
        <v>0</v>
      </c>
      <c r="CI42" s="1011">
        <v>0</v>
      </c>
    </row>
    <row r="43" spans="1:87" ht="12.75" customHeight="1" x14ac:dyDescent="0.2">
      <c r="A43" s="449">
        <v>98</v>
      </c>
      <c r="B43" s="453">
        <v>9911</v>
      </c>
      <c r="C43" s="454" t="s">
        <v>1736</v>
      </c>
      <c r="D43" s="454" t="s">
        <v>1390</v>
      </c>
      <c r="E43" s="454" t="s">
        <v>1737</v>
      </c>
      <c r="F43" s="454" t="s">
        <v>525</v>
      </c>
      <c r="G43" s="454" t="s">
        <v>12399</v>
      </c>
      <c r="H43" s="455">
        <v>163032000108</v>
      </c>
      <c r="I43" s="462">
        <v>34568</v>
      </c>
      <c r="J43" s="457">
        <v>37410822</v>
      </c>
      <c r="K43" s="454" t="s">
        <v>1739</v>
      </c>
      <c r="L43" s="458">
        <v>12</v>
      </c>
      <c r="M43" s="454" t="s">
        <v>1740</v>
      </c>
      <c r="N43" s="459">
        <v>2440000</v>
      </c>
      <c r="O43" s="460">
        <v>22323509</v>
      </c>
      <c r="P43" s="462">
        <v>336273</v>
      </c>
      <c r="Q43" s="462">
        <v>98</v>
      </c>
      <c r="R43" s="462">
        <v>43950</v>
      </c>
      <c r="S43" s="463">
        <v>276</v>
      </c>
      <c r="T43" s="464">
        <v>3.6</v>
      </c>
      <c r="U43" s="465">
        <v>993.6</v>
      </c>
      <c r="V43" s="465">
        <v>12240</v>
      </c>
      <c r="W43" s="466">
        <v>0</v>
      </c>
      <c r="X43" s="467">
        <v>1</v>
      </c>
      <c r="Y43" s="466">
        <v>19850.400000000001</v>
      </c>
      <c r="Z43" s="468" t="s">
        <v>516</v>
      </c>
      <c r="AA43" s="466">
        <v>91310.399999999994</v>
      </c>
      <c r="AB43" s="466">
        <v>91310.399999999994</v>
      </c>
      <c r="AC43" s="467">
        <v>0</v>
      </c>
      <c r="AD43" s="466">
        <v>0</v>
      </c>
      <c r="AE43" s="468" t="s">
        <v>516</v>
      </c>
      <c r="AF43" s="466">
        <v>0</v>
      </c>
      <c r="AG43" s="466">
        <v>0</v>
      </c>
      <c r="AH43" s="466">
        <v>34182.04</v>
      </c>
      <c r="AI43" s="466">
        <v>0</v>
      </c>
      <c r="AJ43" s="469" t="s">
        <v>1448</v>
      </c>
      <c r="AK43" s="470" t="s">
        <v>1449</v>
      </c>
      <c r="AL43" s="471" t="s">
        <v>1741</v>
      </c>
      <c r="AM43" s="470" t="s">
        <v>1742</v>
      </c>
      <c r="AN43" s="470" t="s">
        <v>1738</v>
      </c>
      <c r="AO43" s="470" t="s">
        <v>1743</v>
      </c>
      <c r="AP43" s="470" t="s">
        <v>1744</v>
      </c>
      <c r="AQ43" s="470" t="s">
        <v>1736</v>
      </c>
      <c r="AR43" s="472" t="s">
        <v>515</v>
      </c>
      <c r="AS43" s="473" t="s">
        <v>1385</v>
      </c>
      <c r="AT43" s="472" t="s">
        <v>1390</v>
      </c>
      <c r="AU43" s="472" t="s">
        <v>420</v>
      </c>
      <c r="AV43" s="472">
        <v>2020</v>
      </c>
      <c r="AW43" s="474" t="s">
        <v>15078</v>
      </c>
      <c r="AX43" s="475" t="s">
        <v>15079</v>
      </c>
      <c r="AY43" s="515">
        <v>1</v>
      </c>
      <c r="AZ43" s="474" t="s">
        <v>15079</v>
      </c>
      <c r="BA43" s="472" t="s">
        <v>1390</v>
      </c>
      <c r="BB43" s="472" t="s">
        <v>1385</v>
      </c>
      <c r="BC43" s="472" t="s">
        <v>1385</v>
      </c>
      <c r="BD43" s="472" t="s">
        <v>1385</v>
      </c>
      <c r="BE43" s="472" t="s">
        <v>1385</v>
      </c>
      <c r="BF43" s="472">
        <v>19850.400000000001</v>
      </c>
      <c r="BG43" s="472">
        <v>0</v>
      </c>
      <c r="BH43" s="472" t="s">
        <v>1385</v>
      </c>
      <c r="BI43" s="510">
        <v>0</v>
      </c>
      <c r="BJ43" s="510">
        <v>3222.8</v>
      </c>
      <c r="BK43" s="510">
        <v>0</v>
      </c>
      <c r="BL43" s="510">
        <v>0</v>
      </c>
      <c r="BM43" s="510">
        <v>0</v>
      </c>
      <c r="BN43" s="510">
        <v>3500</v>
      </c>
      <c r="BO43" s="510">
        <v>0</v>
      </c>
      <c r="BP43" s="510">
        <v>0</v>
      </c>
      <c r="BQ43" s="510">
        <v>0</v>
      </c>
      <c r="BR43" s="510">
        <v>0</v>
      </c>
      <c r="BS43" s="510">
        <v>0</v>
      </c>
      <c r="BT43" s="510">
        <v>0</v>
      </c>
      <c r="BU43" s="510">
        <v>0</v>
      </c>
      <c r="BV43" s="510">
        <v>0</v>
      </c>
      <c r="BW43" s="510">
        <v>0</v>
      </c>
      <c r="BX43" s="510">
        <v>30000</v>
      </c>
      <c r="BY43" s="1011">
        <v>0</v>
      </c>
      <c r="BZ43" s="510">
        <v>0</v>
      </c>
      <c r="CA43" s="1011">
        <v>0</v>
      </c>
      <c r="CB43" s="510">
        <v>0</v>
      </c>
      <c r="CC43" s="1011">
        <v>0</v>
      </c>
      <c r="CD43" s="510">
        <v>0</v>
      </c>
      <c r="CE43" s="1011">
        <v>0</v>
      </c>
      <c r="CF43" s="510">
        <v>41460</v>
      </c>
      <c r="CG43" s="1011">
        <v>0</v>
      </c>
      <c r="CH43" s="510">
        <v>0</v>
      </c>
      <c r="CI43" s="1011">
        <v>0</v>
      </c>
    </row>
    <row r="44" spans="1:87" ht="12.75" customHeight="1" x14ac:dyDescent="0.2">
      <c r="A44" s="449">
        <v>46</v>
      </c>
      <c r="B44" s="453">
        <v>9971</v>
      </c>
      <c r="C44" s="454" t="s">
        <v>1745</v>
      </c>
      <c r="D44" s="454" t="s">
        <v>517</v>
      </c>
      <c r="E44" s="454" t="s">
        <v>1746</v>
      </c>
      <c r="F44" s="454" t="s">
        <v>524</v>
      </c>
      <c r="G44" s="454" t="s">
        <v>12400</v>
      </c>
      <c r="H44" s="455">
        <v>71731418000117</v>
      </c>
      <c r="I44" s="462">
        <v>34221</v>
      </c>
      <c r="J44" s="457">
        <v>37499505</v>
      </c>
      <c r="K44" s="454" t="s">
        <v>1748</v>
      </c>
      <c r="L44" s="458">
        <v>1029</v>
      </c>
      <c r="M44" s="454" t="s">
        <v>1749</v>
      </c>
      <c r="N44" s="459">
        <v>4232000</v>
      </c>
      <c r="O44" s="460">
        <v>22731677</v>
      </c>
      <c r="P44" s="462">
        <v>204776</v>
      </c>
      <c r="Q44" s="462">
        <v>51</v>
      </c>
      <c r="R44" s="462">
        <v>43906</v>
      </c>
      <c r="S44" s="463">
        <v>1241</v>
      </c>
      <c r="T44" s="464">
        <v>5.4</v>
      </c>
      <c r="U44" s="465">
        <v>6701.4</v>
      </c>
      <c r="V44" s="465">
        <v>21960</v>
      </c>
      <c r="W44" s="466">
        <v>0</v>
      </c>
      <c r="X44" s="467">
        <v>1</v>
      </c>
      <c r="Y44" s="466">
        <v>42992.1</v>
      </c>
      <c r="Z44" s="468" t="s">
        <v>516</v>
      </c>
      <c r="AA44" s="466">
        <v>151926.1</v>
      </c>
      <c r="AB44" s="466">
        <v>151926.1</v>
      </c>
      <c r="AC44" s="467">
        <v>0</v>
      </c>
      <c r="AD44" s="466">
        <v>0</v>
      </c>
      <c r="AE44" s="468" t="s">
        <v>516</v>
      </c>
      <c r="AF44" s="466">
        <v>0</v>
      </c>
      <c r="AG44" s="466">
        <v>0</v>
      </c>
      <c r="AH44" s="466">
        <v>33734.6</v>
      </c>
      <c r="AI44" s="466">
        <v>8402.7199999999993</v>
      </c>
      <c r="AJ44" s="469" t="s">
        <v>1750</v>
      </c>
      <c r="AK44" s="470" t="s">
        <v>1751</v>
      </c>
      <c r="AL44" s="471" t="s">
        <v>1752</v>
      </c>
      <c r="AM44" s="470" t="s">
        <v>15133</v>
      </c>
      <c r="AN44" s="470" t="s">
        <v>1747</v>
      </c>
      <c r="AO44" s="470" t="s">
        <v>12401</v>
      </c>
      <c r="AP44" s="470" t="s">
        <v>1753</v>
      </c>
      <c r="AQ44" s="470" t="s">
        <v>1745</v>
      </c>
      <c r="AR44" s="472" t="s">
        <v>515</v>
      </c>
      <c r="AS44" s="473" t="s">
        <v>1385</v>
      </c>
      <c r="AT44" s="472" t="s">
        <v>517</v>
      </c>
      <c r="AU44" s="472" t="s">
        <v>420</v>
      </c>
      <c r="AV44" s="472">
        <v>2020</v>
      </c>
      <c r="AW44" s="474" t="s">
        <v>15078</v>
      </c>
      <c r="AX44" s="475" t="s">
        <v>15079</v>
      </c>
      <c r="AY44" s="515">
        <v>1</v>
      </c>
      <c r="AZ44" s="474" t="s">
        <v>15079</v>
      </c>
      <c r="BA44" s="472" t="s">
        <v>517</v>
      </c>
      <c r="BB44" s="472" t="s">
        <v>1385</v>
      </c>
      <c r="BC44" s="472" t="s">
        <v>1385</v>
      </c>
      <c r="BD44" s="472" t="s">
        <v>1385</v>
      </c>
      <c r="BE44" s="472" t="s">
        <v>1385</v>
      </c>
      <c r="BF44" s="472">
        <v>42992.1</v>
      </c>
      <c r="BG44" s="472">
        <v>0</v>
      </c>
      <c r="BH44" s="472" t="s">
        <v>1385</v>
      </c>
      <c r="BI44" s="510">
        <v>0</v>
      </c>
      <c r="BJ44" s="510">
        <v>0</v>
      </c>
      <c r="BK44" s="510">
        <v>0</v>
      </c>
      <c r="BL44" s="510">
        <v>1421.7</v>
      </c>
      <c r="BM44" s="510">
        <v>0</v>
      </c>
      <c r="BN44" s="510">
        <v>6000</v>
      </c>
      <c r="BO44" s="510">
        <v>0</v>
      </c>
      <c r="BP44" s="510">
        <v>0</v>
      </c>
      <c r="BQ44" s="510">
        <v>0</v>
      </c>
      <c r="BR44" s="510">
        <v>0</v>
      </c>
      <c r="BS44" s="510">
        <v>0</v>
      </c>
      <c r="BT44" s="510">
        <v>0</v>
      </c>
      <c r="BU44" s="510">
        <v>0</v>
      </c>
      <c r="BV44" s="510">
        <v>0</v>
      </c>
      <c r="BW44" s="510">
        <v>0</v>
      </c>
      <c r="BX44" s="510">
        <v>30000</v>
      </c>
      <c r="BY44" s="1011">
        <v>0</v>
      </c>
      <c r="BZ44" s="510">
        <v>0</v>
      </c>
      <c r="CA44" s="1011">
        <v>0</v>
      </c>
      <c r="CB44" s="510">
        <v>22000</v>
      </c>
      <c r="CC44" s="1011">
        <v>0</v>
      </c>
      <c r="CD44" s="510">
        <v>0</v>
      </c>
      <c r="CE44" s="1011">
        <v>0</v>
      </c>
      <c r="CF44" s="510">
        <v>56934</v>
      </c>
      <c r="CG44" s="1011">
        <v>0</v>
      </c>
      <c r="CH44" s="510">
        <v>0</v>
      </c>
      <c r="CI44" s="1011">
        <v>0</v>
      </c>
    </row>
    <row r="45" spans="1:87" ht="12.75" customHeight="1" x14ac:dyDescent="0.2">
      <c r="A45" s="449">
        <v>94</v>
      </c>
      <c r="B45" s="453">
        <v>9989</v>
      </c>
      <c r="C45" s="454" t="s">
        <v>1754</v>
      </c>
      <c r="D45" s="454" t="s">
        <v>1390</v>
      </c>
      <c r="E45" s="454" t="s">
        <v>1755</v>
      </c>
      <c r="F45" s="454" t="s">
        <v>524</v>
      </c>
      <c r="G45" s="454" t="s">
        <v>12402</v>
      </c>
      <c r="H45" s="455">
        <v>869258000129</v>
      </c>
      <c r="I45" s="462">
        <v>34992</v>
      </c>
      <c r="J45" s="457">
        <v>37498061</v>
      </c>
      <c r="K45" s="454" t="s">
        <v>1757</v>
      </c>
      <c r="L45" s="458">
        <v>27</v>
      </c>
      <c r="M45" s="454" t="s">
        <v>1758</v>
      </c>
      <c r="N45" s="459">
        <v>4236190</v>
      </c>
      <c r="O45" s="460">
        <v>22732456</v>
      </c>
      <c r="P45" s="462">
        <v>200355</v>
      </c>
      <c r="Q45" s="462">
        <v>102</v>
      </c>
      <c r="R45" s="462">
        <v>43906</v>
      </c>
      <c r="S45" s="463">
        <v>318</v>
      </c>
      <c r="T45" s="464">
        <v>3.6</v>
      </c>
      <c r="U45" s="465">
        <v>1144.8</v>
      </c>
      <c r="V45" s="465">
        <v>13680</v>
      </c>
      <c r="W45" s="466">
        <v>0</v>
      </c>
      <c r="X45" s="467">
        <v>1</v>
      </c>
      <c r="Y45" s="466">
        <v>22237.200000000001</v>
      </c>
      <c r="Z45" s="468" t="s">
        <v>516</v>
      </c>
      <c r="AA45" s="466">
        <v>96901.2</v>
      </c>
      <c r="AB45" s="466">
        <v>96901.2</v>
      </c>
      <c r="AC45" s="467">
        <v>0</v>
      </c>
      <c r="AD45" s="466">
        <v>0</v>
      </c>
      <c r="AE45" s="468" t="s">
        <v>516</v>
      </c>
      <c r="AF45" s="466">
        <v>0</v>
      </c>
      <c r="AG45" s="466">
        <v>0</v>
      </c>
      <c r="AH45" s="466">
        <v>13560.35</v>
      </c>
      <c r="AI45" s="466">
        <v>14664.88</v>
      </c>
      <c r="AJ45" s="469" t="s">
        <v>1759</v>
      </c>
      <c r="AK45" s="470" t="s">
        <v>1760</v>
      </c>
      <c r="AL45" s="471" t="s">
        <v>1761</v>
      </c>
      <c r="AM45" s="470" t="s">
        <v>15180</v>
      </c>
      <c r="AN45" s="470" t="s">
        <v>1756</v>
      </c>
      <c r="AO45" s="470" t="s">
        <v>12403</v>
      </c>
      <c r="AP45" s="470" t="s">
        <v>1762</v>
      </c>
      <c r="AQ45" s="470" t="s">
        <v>1754</v>
      </c>
      <c r="AR45" s="472" t="s">
        <v>515</v>
      </c>
      <c r="AS45" s="473" t="s">
        <v>1385</v>
      </c>
      <c r="AT45" s="472" t="s">
        <v>1390</v>
      </c>
      <c r="AU45" s="472" t="s">
        <v>420</v>
      </c>
      <c r="AV45" s="472">
        <v>2020</v>
      </c>
      <c r="AW45" s="474" t="s">
        <v>15078</v>
      </c>
      <c r="AX45" s="475" t="s">
        <v>15079</v>
      </c>
      <c r="AY45" s="515">
        <v>1</v>
      </c>
      <c r="AZ45" s="474" t="s">
        <v>15079</v>
      </c>
      <c r="BA45" s="472" t="s">
        <v>1390</v>
      </c>
      <c r="BB45" s="472" t="s">
        <v>1385</v>
      </c>
      <c r="BC45" s="472" t="s">
        <v>1385</v>
      </c>
      <c r="BD45" s="472" t="s">
        <v>1385</v>
      </c>
      <c r="BE45" s="472" t="s">
        <v>1385</v>
      </c>
      <c r="BF45" s="472">
        <v>22237.200000000001</v>
      </c>
      <c r="BG45" s="472">
        <v>0</v>
      </c>
      <c r="BH45" s="472" t="s">
        <v>1385</v>
      </c>
      <c r="BI45" s="510">
        <v>0</v>
      </c>
      <c r="BJ45" s="510">
        <v>0</v>
      </c>
      <c r="BK45" s="510">
        <v>0</v>
      </c>
      <c r="BL45" s="510">
        <v>0</v>
      </c>
      <c r="BM45" s="510">
        <v>0</v>
      </c>
      <c r="BN45" s="510">
        <v>0</v>
      </c>
      <c r="BO45" s="510">
        <v>0</v>
      </c>
      <c r="BP45" s="510">
        <v>0</v>
      </c>
      <c r="BQ45" s="510">
        <v>0</v>
      </c>
      <c r="BR45" s="510">
        <v>0</v>
      </c>
      <c r="BS45" s="510">
        <v>0</v>
      </c>
      <c r="BT45" s="510">
        <v>0</v>
      </c>
      <c r="BU45" s="510">
        <v>0</v>
      </c>
      <c r="BV45" s="510">
        <v>0</v>
      </c>
      <c r="BW45" s="510">
        <v>0</v>
      </c>
      <c r="BX45" s="510">
        <v>30000</v>
      </c>
      <c r="BY45" s="1011">
        <v>0</v>
      </c>
      <c r="BZ45" s="510">
        <v>0</v>
      </c>
      <c r="CA45" s="1011">
        <v>0</v>
      </c>
      <c r="CB45" s="510">
        <v>0</v>
      </c>
      <c r="CC45" s="1011">
        <v>0</v>
      </c>
      <c r="CD45" s="510">
        <v>0</v>
      </c>
      <c r="CE45" s="1011">
        <v>0</v>
      </c>
      <c r="CF45" s="510">
        <v>44664</v>
      </c>
      <c r="CG45" s="1011">
        <v>0</v>
      </c>
      <c r="CH45" s="510">
        <v>0</v>
      </c>
      <c r="CI45" s="1011">
        <v>0</v>
      </c>
    </row>
    <row r="46" spans="1:87" ht="12.75" customHeight="1" x14ac:dyDescent="0.2">
      <c r="A46" s="449">
        <v>49</v>
      </c>
      <c r="B46" s="453">
        <v>10049</v>
      </c>
      <c r="C46" s="454" t="s">
        <v>1763</v>
      </c>
      <c r="D46" s="454" t="s">
        <v>517</v>
      </c>
      <c r="E46" s="454" t="s">
        <v>1764</v>
      </c>
      <c r="F46" s="454" t="s">
        <v>526</v>
      </c>
      <c r="G46" s="454" t="s">
        <v>12404</v>
      </c>
      <c r="H46" s="455">
        <v>86705266000155</v>
      </c>
      <c r="I46" s="462">
        <v>34309</v>
      </c>
      <c r="J46" s="457">
        <v>37475231</v>
      </c>
      <c r="K46" s="454" t="s">
        <v>1765</v>
      </c>
      <c r="L46" s="458">
        <v>96</v>
      </c>
      <c r="M46" s="454" t="s">
        <v>1766</v>
      </c>
      <c r="N46" s="459">
        <v>8152110</v>
      </c>
      <c r="O46" s="460">
        <v>25678457</v>
      </c>
      <c r="P46" s="462">
        <v>135715</v>
      </c>
      <c r="Q46" s="462">
        <v>49</v>
      </c>
      <c r="R46" s="462">
        <v>43928</v>
      </c>
      <c r="S46" s="463">
        <v>905</v>
      </c>
      <c r="T46" s="464">
        <v>5.4</v>
      </c>
      <c r="U46" s="465">
        <v>4887</v>
      </c>
      <c r="V46" s="465">
        <v>20340</v>
      </c>
      <c r="W46" s="466">
        <v>0</v>
      </c>
      <c r="X46" s="467">
        <v>1</v>
      </c>
      <c r="Y46" s="466">
        <v>37840.5</v>
      </c>
      <c r="Z46" s="468" t="s">
        <v>516</v>
      </c>
      <c r="AA46" s="466">
        <v>137341.70000000001</v>
      </c>
      <c r="AB46" s="466">
        <v>137341.70000000001</v>
      </c>
      <c r="AC46" s="467">
        <v>0</v>
      </c>
      <c r="AD46" s="466">
        <v>0</v>
      </c>
      <c r="AE46" s="468" t="s">
        <v>516</v>
      </c>
      <c r="AF46" s="466">
        <v>1000</v>
      </c>
      <c r="AG46" s="466">
        <v>1000</v>
      </c>
      <c r="AH46" s="466">
        <v>35850.85</v>
      </c>
      <c r="AI46" s="466">
        <v>7.2</v>
      </c>
      <c r="AJ46" s="469" t="s">
        <v>1410</v>
      </c>
      <c r="AK46" s="470" t="s">
        <v>1411</v>
      </c>
      <c r="AL46" s="471" t="s">
        <v>1767</v>
      </c>
      <c r="AM46" s="470" t="s">
        <v>1768</v>
      </c>
      <c r="AN46" s="470" t="s">
        <v>1385</v>
      </c>
      <c r="AO46" s="470" t="s">
        <v>1769</v>
      </c>
      <c r="AP46" s="470" t="s">
        <v>1770</v>
      </c>
      <c r="AQ46" s="470" t="s">
        <v>1763</v>
      </c>
      <c r="AR46" s="472" t="s">
        <v>515</v>
      </c>
      <c r="AS46" s="473" t="s">
        <v>1385</v>
      </c>
      <c r="AT46" s="472" t="s">
        <v>517</v>
      </c>
      <c r="AU46" s="472" t="s">
        <v>420</v>
      </c>
      <c r="AV46" s="472">
        <v>2020</v>
      </c>
      <c r="AW46" s="474" t="s">
        <v>15078</v>
      </c>
      <c r="AX46" s="475" t="s">
        <v>15079</v>
      </c>
      <c r="AY46" s="515">
        <v>1</v>
      </c>
      <c r="AZ46" s="474" t="s">
        <v>15079</v>
      </c>
      <c r="BA46" s="472" t="s">
        <v>517</v>
      </c>
      <c r="BB46" s="472" t="s">
        <v>1385</v>
      </c>
      <c r="BC46" s="472" t="s">
        <v>1385</v>
      </c>
      <c r="BD46" s="472" t="s">
        <v>1385</v>
      </c>
      <c r="BE46" s="472" t="s">
        <v>1385</v>
      </c>
      <c r="BF46" s="472">
        <v>37840.5</v>
      </c>
      <c r="BG46" s="472">
        <v>0</v>
      </c>
      <c r="BH46" s="472" t="s">
        <v>1385</v>
      </c>
      <c r="BI46" s="510">
        <v>0</v>
      </c>
      <c r="BJ46" s="510">
        <v>0</v>
      </c>
      <c r="BK46" s="510">
        <v>0</v>
      </c>
      <c r="BL46" s="510">
        <v>0</v>
      </c>
      <c r="BM46" s="510">
        <v>0</v>
      </c>
      <c r="BN46" s="510">
        <v>5000</v>
      </c>
      <c r="BO46" s="510">
        <v>1000</v>
      </c>
      <c r="BP46" s="510">
        <v>1000</v>
      </c>
      <c r="BQ46" s="510">
        <v>0</v>
      </c>
      <c r="BR46" s="510">
        <v>0</v>
      </c>
      <c r="BS46" s="510">
        <v>0</v>
      </c>
      <c r="BT46" s="510">
        <v>0</v>
      </c>
      <c r="BU46" s="510">
        <v>0</v>
      </c>
      <c r="BV46" s="510">
        <v>0</v>
      </c>
      <c r="BW46" s="510">
        <v>0</v>
      </c>
      <c r="BX46" s="510">
        <v>30000</v>
      </c>
      <c r="BY46" s="1011">
        <v>0</v>
      </c>
      <c r="BZ46" s="510">
        <v>0</v>
      </c>
      <c r="CA46" s="1011">
        <v>0</v>
      </c>
      <c r="CB46" s="510">
        <v>22000</v>
      </c>
      <c r="CC46" s="1011">
        <v>0</v>
      </c>
      <c r="CD46" s="510">
        <v>0</v>
      </c>
      <c r="CE46" s="1011">
        <v>0</v>
      </c>
      <c r="CF46" s="510">
        <v>46501.2</v>
      </c>
      <c r="CG46" s="1011">
        <v>0</v>
      </c>
      <c r="CH46" s="510">
        <v>0</v>
      </c>
      <c r="CI46" s="1011">
        <v>0</v>
      </c>
    </row>
    <row r="47" spans="1:87" ht="12.75" customHeight="1" x14ac:dyDescent="0.2">
      <c r="A47" s="449">
        <v>39</v>
      </c>
      <c r="B47" s="453">
        <v>10103</v>
      </c>
      <c r="C47" s="454" t="s">
        <v>1771</v>
      </c>
      <c r="D47" s="454" t="s">
        <v>517</v>
      </c>
      <c r="E47" s="454" t="s">
        <v>1772</v>
      </c>
      <c r="F47" s="454" t="s">
        <v>518</v>
      </c>
      <c r="G47" s="454" t="s">
        <v>12405</v>
      </c>
      <c r="H47" s="455">
        <v>67134197000122</v>
      </c>
      <c r="I47" s="462">
        <v>33674</v>
      </c>
      <c r="J47" s="457">
        <v>37468669</v>
      </c>
      <c r="K47" s="454" t="s">
        <v>1774</v>
      </c>
      <c r="L47" s="458">
        <v>481</v>
      </c>
      <c r="M47" s="454" t="s">
        <v>1775</v>
      </c>
      <c r="N47" s="459">
        <v>3583090</v>
      </c>
      <c r="O47" s="460">
        <v>27416715</v>
      </c>
      <c r="P47" s="462">
        <v>49991</v>
      </c>
      <c r="Q47" s="462">
        <v>84</v>
      </c>
      <c r="R47" s="462">
        <v>43943</v>
      </c>
      <c r="S47" s="463">
        <v>740</v>
      </c>
      <c r="T47" s="464">
        <v>5.4</v>
      </c>
      <c r="U47" s="465">
        <v>3996</v>
      </c>
      <c r="V47" s="465">
        <v>18720</v>
      </c>
      <c r="W47" s="466">
        <v>0</v>
      </c>
      <c r="X47" s="467">
        <v>1</v>
      </c>
      <c r="Y47" s="466">
        <v>42498</v>
      </c>
      <c r="Z47" s="468" t="s">
        <v>516</v>
      </c>
      <c r="AA47" s="466">
        <v>155762.4</v>
      </c>
      <c r="AB47" s="466">
        <v>155762.4</v>
      </c>
      <c r="AC47" s="467">
        <v>0</v>
      </c>
      <c r="AD47" s="466">
        <v>0</v>
      </c>
      <c r="AE47" s="468" t="s">
        <v>516</v>
      </c>
      <c r="AF47" s="466">
        <v>2000</v>
      </c>
      <c r="AG47" s="466">
        <v>2000</v>
      </c>
      <c r="AH47" s="466">
        <v>9872.75</v>
      </c>
      <c r="AI47" s="466">
        <v>1983.65</v>
      </c>
      <c r="AJ47" s="469" t="s">
        <v>1560</v>
      </c>
      <c r="AK47" s="470" t="s">
        <v>1776</v>
      </c>
      <c r="AL47" s="471" t="s">
        <v>1777</v>
      </c>
      <c r="AM47" s="470" t="s">
        <v>1778</v>
      </c>
      <c r="AN47" s="470" t="s">
        <v>1773</v>
      </c>
      <c r="AO47" s="470" t="s">
        <v>14970</v>
      </c>
      <c r="AP47" s="470" t="s">
        <v>1779</v>
      </c>
      <c r="AQ47" s="470" t="s">
        <v>1771</v>
      </c>
      <c r="AR47" s="472" t="s">
        <v>515</v>
      </c>
      <c r="AS47" s="473" t="s">
        <v>1385</v>
      </c>
      <c r="AT47" s="472" t="s">
        <v>517</v>
      </c>
      <c r="AU47" s="472" t="s">
        <v>420</v>
      </c>
      <c r="AV47" s="472">
        <v>2020</v>
      </c>
      <c r="AW47" s="474" t="s">
        <v>15078</v>
      </c>
      <c r="AX47" s="475" t="s">
        <v>15079</v>
      </c>
      <c r="AY47" s="515">
        <v>1</v>
      </c>
      <c r="AZ47" s="474" t="s">
        <v>15079</v>
      </c>
      <c r="BA47" s="472" t="s">
        <v>517</v>
      </c>
      <c r="BB47" s="472" t="s">
        <v>516</v>
      </c>
      <c r="BC47" s="472">
        <v>5</v>
      </c>
      <c r="BD47" s="472">
        <v>5616</v>
      </c>
      <c r="BE47" s="472">
        <v>0</v>
      </c>
      <c r="BF47" s="472">
        <v>42498</v>
      </c>
      <c r="BG47" s="472">
        <v>0</v>
      </c>
      <c r="BH47" s="472" t="s">
        <v>1385</v>
      </c>
      <c r="BI47" s="510">
        <v>0</v>
      </c>
      <c r="BJ47" s="510">
        <v>244.1</v>
      </c>
      <c r="BK47" s="510">
        <v>0</v>
      </c>
      <c r="BL47" s="510">
        <v>3500</v>
      </c>
      <c r="BM47" s="510">
        <v>0</v>
      </c>
      <c r="BN47" s="510">
        <v>5000</v>
      </c>
      <c r="BO47" s="510">
        <v>0</v>
      </c>
      <c r="BP47" s="510">
        <v>2000</v>
      </c>
      <c r="BQ47" s="510">
        <v>0</v>
      </c>
      <c r="BR47" s="510">
        <v>0</v>
      </c>
      <c r="BS47" s="510">
        <v>0</v>
      </c>
      <c r="BT47" s="510">
        <v>0</v>
      </c>
      <c r="BU47" s="510">
        <v>2500</v>
      </c>
      <c r="BV47" s="510">
        <v>2500</v>
      </c>
      <c r="BW47" s="510">
        <v>0</v>
      </c>
      <c r="BX47" s="510">
        <v>30000</v>
      </c>
      <c r="BY47" s="1011">
        <v>0</v>
      </c>
      <c r="BZ47" s="510">
        <v>0</v>
      </c>
      <c r="CA47" s="1011">
        <v>0</v>
      </c>
      <c r="CB47" s="510">
        <v>22000</v>
      </c>
      <c r="CC47" s="1011">
        <v>0</v>
      </c>
      <c r="CD47" s="510">
        <v>0</v>
      </c>
      <c r="CE47" s="1011">
        <v>0</v>
      </c>
      <c r="CF47" s="510">
        <v>61264.4</v>
      </c>
      <c r="CG47" s="1011">
        <v>0</v>
      </c>
      <c r="CH47" s="510">
        <v>0</v>
      </c>
      <c r="CI47" s="1011">
        <v>0</v>
      </c>
    </row>
    <row r="48" spans="1:87" ht="12.75" customHeight="1" x14ac:dyDescent="0.2">
      <c r="A48" s="449">
        <v>47</v>
      </c>
      <c r="B48" s="453">
        <v>10111</v>
      </c>
      <c r="C48" s="454" t="s">
        <v>1780</v>
      </c>
      <c r="D48" s="454" t="s">
        <v>517</v>
      </c>
      <c r="E48" s="454" t="s">
        <v>1781</v>
      </c>
      <c r="F48" s="454" t="s">
        <v>529</v>
      </c>
      <c r="G48" s="454" t="s">
        <v>12406</v>
      </c>
      <c r="H48" s="455">
        <v>66860446000102</v>
      </c>
      <c r="I48" s="462">
        <v>33550</v>
      </c>
      <c r="J48" s="457">
        <v>37522809</v>
      </c>
      <c r="K48" s="454" t="s">
        <v>1782</v>
      </c>
      <c r="L48" s="458">
        <v>133</v>
      </c>
      <c r="M48" s="454" t="s">
        <v>1480</v>
      </c>
      <c r="N48" s="459">
        <v>4430130</v>
      </c>
      <c r="O48" s="460">
        <v>56115719</v>
      </c>
      <c r="P48" s="462">
        <v>563903</v>
      </c>
      <c r="Q48" s="462">
        <v>72</v>
      </c>
      <c r="R48" s="462">
        <v>43921</v>
      </c>
      <c r="S48" s="463">
        <v>1153</v>
      </c>
      <c r="T48" s="464">
        <v>5.4</v>
      </c>
      <c r="U48" s="465">
        <v>6226.2</v>
      </c>
      <c r="V48" s="465">
        <v>20340</v>
      </c>
      <c r="W48" s="466">
        <v>0</v>
      </c>
      <c r="X48" s="467">
        <v>1</v>
      </c>
      <c r="Y48" s="466">
        <v>39849.300000000003</v>
      </c>
      <c r="Z48" s="468" t="s">
        <v>516</v>
      </c>
      <c r="AA48" s="466">
        <v>144571.29999999999</v>
      </c>
      <c r="AB48" s="466">
        <v>144571.29999999999</v>
      </c>
      <c r="AC48" s="467">
        <v>0</v>
      </c>
      <c r="AD48" s="466">
        <v>0</v>
      </c>
      <c r="AE48" s="468" t="s">
        <v>516</v>
      </c>
      <c r="AF48" s="466">
        <v>0</v>
      </c>
      <c r="AG48" s="466">
        <v>0</v>
      </c>
      <c r="AH48" s="466">
        <v>29979.05</v>
      </c>
      <c r="AI48" s="466">
        <v>11691.84</v>
      </c>
      <c r="AJ48" s="469" t="s">
        <v>1481</v>
      </c>
      <c r="AK48" s="470" t="s">
        <v>1482</v>
      </c>
      <c r="AL48" s="471" t="s">
        <v>1783</v>
      </c>
      <c r="AM48" s="470" t="s">
        <v>1784</v>
      </c>
      <c r="AN48" s="470" t="s">
        <v>12406</v>
      </c>
      <c r="AO48" s="470" t="s">
        <v>12407</v>
      </c>
      <c r="AP48" s="470" t="s">
        <v>1785</v>
      </c>
      <c r="AQ48" s="470" t="s">
        <v>1780</v>
      </c>
      <c r="AR48" s="472" t="s">
        <v>515</v>
      </c>
      <c r="AS48" s="473" t="s">
        <v>1385</v>
      </c>
      <c r="AT48" s="472" t="s">
        <v>517</v>
      </c>
      <c r="AU48" s="472" t="s">
        <v>420</v>
      </c>
      <c r="AV48" s="472">
        <v>2020</v>
      </c>
      <c r="AW48" s="474" t="s">
        <v>15078</v>
      </c>
      <c r="AX48" s="475" t="s">
        <v>15079</v>
      </c>
      <c r="AY48" s="515">
        <v>1</v>
      </c>
      <c r="AZ48" s="474" t="s">
        <v>15079</v>
      </c>
      <c r="BA48" s="472" t="s">
        <v>517</v>
      </c>
      <c r="BB48" s="472" t="s">
        <v>1385</v>
      </c>
      <c r="BC48" s="472" t="s">
        <v>1385</v>
      </c>
      <c r="BD48" s="472" t="s">
        <v>1385</v>
      </c>
      <c r="BE48" s="472" t="s">
        <v>1385</v>
      </c>
      <c r="BF48" s="472">
        <v>39849.300000000003</v>
      </c>
      <c r="BG48" s="472">
        <v>0</v>
      </c>
      <c r="BH48" s="472" t="s">
        <v>1385</v>
      </c>
      <c r="BI48" s="510">
        <v>0</v>
      </c>
      <c r="BJ48" s="510">
        <v>0</v>
      </c>
      <c r="BK48" s="510">
        <v>0</v>
      </c>
      <c r="BL48" s="510">
        <v>3.1</v>
      </c>
      <c r="BM48" s="510">
        <v>0</v>
      </c>
      <c r="BN48" s="510">
        <v>5000</v>
      </c>
      <c r="BO48" s="510">
        <v>0</v>
      </c>
      <c r="BP48" s="510">
        <v>0</v>
      </c>
      <c r="BQ48" s="510">
        <v>0</v>
      </c>
      <c r="BR48" s="510">
        <v>0</v>
      </c>
      <c r="BS48" s="510">
        <v>0</v>
      </c>
      <c r="BT48" s="510">
        <v>0</v>
      </c>
      <c r="BU48" s="510">
        <v>0</v>
      </c>
      <c r="BV48" s="510">
        <v>0</v>
      </c>
      <c r="BW48" s="510">
        <v>0</v>
      </c>
      <c r="BX48" s="510">
        <v>30000</v>
      </c>
      <c r="BY48" s="1011">
        <v>0</v>
      </c>
      <c r="BZ48" s="510">
        <v>0</v>
      </c>
      <c r="CA48" s="1011">
        <v>0</v>
      </c>
      <c r="CB48" s="510">
        <v>22000</v>
      </c>
      <c r="CC48" s="1011">
        <v>0</v>
      </c>
      <c r="CD48" s="510">
        <v>0</v>
      </c>
      <c r="CE48" s="1011">
        <v>0</v>
      </c>
      <c r="CF48" s="510">
        <v>52722</v>
      </c>
      <c r="CG48" s="1011">
        <v>0</v>
      </c>
      <c r="CH48" s="510">
        <v>0</v>
      </c>
      <c r="CI48" s="1011">
        <v>0</v>
      </c>
    </row>
    <row r="49" spans="1:87" ht="12.75" customHeight="1" x14ac:dyDescent="0.2">
      <c r="A49" s="449">
        <v>32</v>
      </c>
      <c r="B49" s="453">
        <v>10120</v>
      </c>
      <c r="C49" s="454" t="s">
        <v>1786</v>
      </c>
      <c r="D49" s="454" t="s">
        <v>517</v>
      </c>
      <c r="E49" s="454" t="s">
        <v>1787</v>
      </c>
      <c r="F49" s="454" t="s">
        <v>529</v>
      </c>
      <c r="G49" s="454" t="s">
        <v>12408</v>
      </c>
      <c r="H49" s="455">
        <v>326018000188</v>
      </c>
      <c r="I49" s="462">
        <v>34666</v>
      </c>
      <c r="J49" s="457">
        <v>37523090</v>
      </c>
      <c r="K49" s="454" t="s">
        <v>1788</v>
      </c>
      <c r="L49" s="458">
        <v>775</v>
      </c>
      <c r="M49" s="454" t="s">
        <v>1789</v>
      </c>
      <c r="N49" s="459">
        <v>4426000</v>
      </c>
      <c r="O49" s="460">
        <v>56221181</v>
      </c>
      <c r="P49" s="462">
        <v>563717</v>
      </c>
      <c r="Q49" s="462">
        <v>54</v>
      </c>
      <c r="R49" s="462">
        <v>43921</v>
      </c>
      <c r="S49" s="463">
        <v>819</v>
      </c>
      <c r="T49" s="464">
        <v>5.4</v>
      </c>
      <c r="U49" s="465">
        <v>4422.6000000000004</v>
      </c>
      <c r="V49" s="465">
        <v>18720</v>
      </c>
      <c r="W49" s="466">
        <v>0</v>
      </c>
      <c r="X49" s="467">
        <v>1</v>
      </c>
      <c r="Y49" s="466">
        <v>40329.9</v>
      </c>
      <c r="Z49" s="468" t="s">
        <v>516</v>
      </c>
      <c r="AA49" s="466">
        <v>150681.9</v>
      </c>
      <c r="AB49" s="466">
        <v>150681.9</v>
      </c>
      <c r="AC49" s="467">
        <v>0</v>
      </c>
      <c r="AD49" s="466">
        <v>0</v>
      </c>
      <c r="AE49" s="468" t="s">
        <v>516</v>
      </c>
      <c r="AF49" s="466">
        <v>0</v>
      </c>
      <c r="AG49" s="466">
        <v>0</v>
      </c>
      <c r="AH49" s="466">
        <v>25875.3</v>
      </c>
      <c r="AI49" s="466">
        <v>5956.39</v>
      </c>
      <c r="AJ49" s="469" t="s">
        <v>1790</v>
      </c>
      <c r="AK49" s="470" t="s">
        <v>1791</v>
      </c>
      <c r="AL49" s="471" t="s">
        <v>1792</v>
      </c>
      <c r="AM49" s="470" t="s">
        <v>1793</v>
      </c>
      <c r="AN49" s="470" t="s">
        <v>12408</v>
      </c>
      <c r="AO49" s="470" t="s">
        <v>1794</v>
      </c>
      <c r="AP49" s="470" t="s">
        <v>1795</v>
      </c>
      <c r="AQ49" s="470" t="s">
        <v>1786</v>
      </c>
      <c r="AR49" s="472" t="s">
        <v>515</v>
      </c>
      <c r="AS49" s="473" t="s">
        <v>1385</v>
      </c>
      <c r="AT49" s="472" t="s">
        <v>517</v>
      </c>
      <c r="AU49" s="472" t="s">
        <v>420</v>
      </c>
      <c r="AV49" s="472">
        <v>2020</v>
      </c>
      <c r="AW49" s="474" t="s">
        <v>15078</v>
      </c>
      <c r="AX49" s="475" t="s">
        <v>15079</v>
      </c>
      <c r="AY49" s="515">
        <v>1</v>
      </c>
      <c r="AZ49" s="474" t="s">
        <v>15079</v>
      </c>
      <c r="BA49" s="472" t="s">
        <v>517</v>
      </c>
      <c r="BB49" s="472" t="s">
        <v>516</v>
      </c>
      <c r="BC49" s="472">
        <v>2</v>
      </c>
      <c r="BD49" s="472">
        <v>3744</v>
      </c>
      <c r="BE49" s="472">
        <v>0</v>
      </c>
      <c r="BF49" s="472">
        <v>40329.9</v>
      </c>
      <c r="BG49" s="472">
        <v>0</v>
      </c>
      <c r="BH49" s="472" t="s">
        <v>1385</v>
      </c>
      <c r="BI49" s="510">
        <v>0</v>
      </c>
      <c r="BJ49" s="510">
        <v>0</v>
      </c>
      <c r="BK49" s="510">
        <v>0</v>
      </c>
      <c r="BL49" s="510">
        <v>3500</v>
      </c>
      <c r="BM49" s="510">
        <v>0</v>
      </c>
      <c r="BN49" s="510">
        <v>5000</v>
      </c>
      <c r="BO49" s="510">
        <v>0</v>
      </c>
      <c r="BP49" s="510">
        <v>0</v>
      </c>
      <c r="BQ49" s="510">
        <v>0</v>
      </c>
      <c r="BR49" s="510">
        <v>0</v>
      </c>
      <c r="BS49" s="510">
        <v>0</v>
      </c>
      <c r="BT49" s="510">
        <v>0</v>
      </c>
      <c r="BU49" s="510">
        <v>2500</v>
      </c>
      <c r="BV49" s="510">
        <v>2500</v>
      </c>
      <c r="BW49" s="510">
        <v>0</v>
      </c>
      <c r="BX49" s="510">
        <v>30000</v>
      </c>
      <c r="BY49" s="1011">
        <v>0</v>
      </c>
      <c r="BZ49" s="510">
        <v>0</v>
      </c>
      <c r="CA49" s="1011">
        <v>0</v>
      </c>
      <c r="CB49" s="510">
        <v>22000</v>
      </c>
      <c r="CC49" s="1011">
        <v>0</v>
      </c>
      <c r="CD49" s="510">
        <v>0</v>
      </c>
      <c r="CE49" s="1011">
        <v>0</v>
      </c>
      <c r="CF49" s="510">
        <v>58352</v>
      </c>
      <c r="CG49" s="1011">
        <v>0</v>
      </c>
      <c r="CH49" s="510">
        <v>0</v>
      </c>
      <c r="CI49" s="1011">
        <v>0</v>
      </c>
    </row>
    <row r="50" spans="1:87" ht="12.75" customHeight="1" x14ac:dyDescent="0.2">
      <c r="A50" s="449">
        <v>35</v>
      </c>
      <c r="B50" s="453">
        <v>10138</v>
      </c>
      <c r="C50" s="454" t="s">
        <v>1796</v>
      </c>
      <c r="D50" s="454" t="s">
        <v>517</v>
      </c>
      <c r="E50" s="454" t="s">
        <v>1797</v>
      </c>
      <c r="F50" s="454" t="s">
        <v>529</v>
      </c>
      <c r="G50" s="454" t="s">
        <v>12409</v>
      </c>
      <c r="H50" s="455">
        <v>1131156000174</v>
      </c>
      <c r="I50" s="462">
        <v>35163</v>
      </c>
      <c r="J50" s="457">
        <v>37523864</v>
      </c>
      <c r="K50" s="454" t="s">
        <v>1798</v>
      </c>
      <c r="L50" s="458">
        <v>195</v>
      </c>
      <c r="M50" s="454" t="s">
        <v>1789</v>
      </c>
      <c r="N50" s="459">
        <v>4405190</v>
      </c>
      <c r="O50" s="460">
        <v>55655928</v>
      </c>
      <c r="P50" s="462">
        <v>563768</v>
      </c>
      <c r="Q50" s="462">
        <v>59</v>
      </c>
      <c r="R50" s="462">
        <v>43921</v>
      </c>
      <c r="S50" s="463">
        <v>897</v>
      </c>
      <c r="T50" s="464">
        <v>5.4</v>
      </c>
      <c r="U50" s="465">
        <v>4843.8</v>
      </c>
      <c r="V50" s="465">
        <v>18720</v>
      </c>
      <c r="W50" s="466">
        <v>0</v>
      </c>
      <c r="X50" s="467">
        <v>1</v>
      </c>
      <c r="Y50" s="466">
        <v>35345.699999999997</v>
      </c>
      <c r="Z50" s="468" t="s">
        <v>516</v>
      </c>
      <c r="AA50" s="466">
        <v>138188.5</v>
      </c>
      <c r="AB50" s="466">
        <v>138188.5</v>
      </c>
      <c r="AC50" s="467">
        <v>0</v>
      </c>
      <c r="AD50" s="466">
        <v>0</v>
      </c>
      <c r="AE50" s="468" t="s">
        <v>516</v>
      </c>
      <c r="AF50" s="466">
        <v>0</v>
      </c>
      <c r="AG50" s="466">
        <v>0</v>
      </c>
      <c r="AH50" s="466">
        <v>94659.59</v>
      </c>
      <c r="AI50" s="466">
        <v>13318.74</v>
      </c>
      <c r="AJ50" s="469" t="s">
        <v>1790</v>
      </c>
      <c r="AK50" s="470" t="s">
        <v>1791</v>
      </c>
      <c r="AL50" s="471" t="s">
        <v>1799</v>
      </c>
      <c r="AM50" s="470" t="s">
        <v>1800</v>
      </c>
      <c r="AN50" s="470" t="s">
        <v>12409</v>
      </c>
      <c r="AO50" s="470" t="s">
        <v>1801</v>
      </c>
      <c r="AP50" s="470" t="s">
        <v>1802</v>
      </c>
      <c r="AQ50" s="470" t="s">
        <v>1796</v>
      </c>
      <c r="AR50" s="472" t="s">
        <v>515</v>
      </c>
      <c r="AS50" s="473" t="s">
        <v>1385</v>
      </c>
      <c r="AT50" s="472" t="s">
        <v>517</v>
      </c>
      <c r="AU50" s="472" t="s">
        <v>420</v>
      </c>
      <c r="AV50" s="472">
        <v>2020</v>
      </c>
      <c r="AW50" s="474" t="s">
        <v>15078</v>
      </c>
      <c r="AX50" s="475" t="s">
        <v>15079</v>
      </c>
      <c r="AY50" s="515">
        <v>1</v>
      </c>
      <c r="AZ50" s="474" t="s">
        <v>15079</v>
      </c>
      <c r="BA50" s="472" t="s">
        <v>517</v>
      </c>
      <c r="BB50" s="472" t="s">
        <v>1385</v>
      </c>
      <c r="BC50" s="472" t="s">
        <v>1385</v>
      </c>
      <c r="BD50" s="472" t="s">
        <v>1385</v>
      </c>
      <c r="BE50" s="472" t="s">
        <v>1385</v>
      </c>
      <c r="BF50" s="472">
        <v>35345.699999999997</v>
      </c>
      <c r="BG50" s="472">
        <v>0</v>
      </c>
      <c r="BH50" s="472" t="s">
        <v>1385</v>
      </c>
      <c r="BI50" s="510">
        <v>0</v>
      </c>
      <c r="BJ50" s="510">
        <v>0</v>
      </c>
      <c r="BK50" s="510">
        <v>0</v>
      </c>
      <c r="BL50" s="510">
        <v>0</v>
      </c>
      <c r="BM50" s="510">
        <v>0</v>
      </c>
      <c r="BN50" s="510">
        <v>5000</v>
      </c>
      <c r="BO50" s="510">
        <v>0</v>
      </c>
      <c r="BP50" s="510">
        <v>0</v>
      </c>
      <c r="BQ50" s="510">
        <v>0</v>
      </c>
      <c r="BR50" s="510">
        <v>0</v>
      </c>
      <c r="BS50" s="510">
        <v>0</v>
      </c>
      <c r="BT50" s="510">
        <v>0</v>
      </c>
      <c r="BU50" s="510">
        <v>0</v>
      </c>
      <c r="BV50" s="510">
        <v>0</v>
      </c>
      <c r="BW50" s="510">
        <v>0</v>
      </c>
      <c r="BX50" s="510">
        <v>30000</v>
      </c>
      <c r="BY50" s="1011">
        <v>0</v>
      </c>
      <c r="BZ50" s="510">
        <v>0</v>
      </c>
      <c r="CA50" s="1011">
        <v>0</v>
      </c>
      <c r="CB50" s="510">
        <v>22000</v>
      </c>
      <c r="CC50" s="1011">
        <v>0</v>
      </c>
      <c r="CD50" s="510">
        <v>0</v>
      </c>
      <c r="CE50" s="1011">
        <v>0</v>
      </c>
      <c r="CF50" s="510">
        <v>50842.8</v>
      </c>
      <c r="CG50" s="1011">
        <v>0</v>
      </c>
      <c r="CH50" s="510">
        <v>0</v>
      </c>
      <c r="CI50" s="1011">
        <v>0</v>
      </c>
    </row>
    <row r="51" spans="1:87" ht="12.75" customHeight="1" x14ac:dyDescent="0.2">
      <c r="A51" s="449">
        <v>86</v>
      </c>
      <c r="B51" s="453">
        <v>10146</v>
      </c>
      <c r="C51" s="454" t="s">
        <v>1803</v>
      </c>
      <c r="D51" s="454" t="s">
        <v>517</v>
      </c>
      <c r="E51" s="454" t="s">
        <v>1803</v>
      </c>
      <c r="F51" s="454" t="s">
        <v>520</v>
      </c>
      <c r="G51" s="454" t="s">
        <v>12410</v>
      </c>
      <c r="H51" s="455">
        <v>68158112000109</v>
      </c>
      <c r="I51" s="462">
        <v>33913</v>
      </c>
      <c r="J51" s="457">
        <v>37627651</v>
      </c>
      <c r="K51" s="454" t="s">
        <v>1804</v>
      </c>
      <c r="L51" s="458">
        <v>10</v>
      </c>
      <c r="M51" s="454" t="s">
        <v>1805</v>
      </c>
      <c r="N51" s="459">
        <v>5890320</v>
      </c>
      <c r="O51" s="460">
        <v>58214205</v>
      </c>
      <c r="P51" s="462">
        <v>301720</v>
      </c>
      <c r="Q51" s="462">
        <v>151</v>
      </c>
      <c r="R51" s="462">
        <v>43979</v>
      </c>
      <c r="S51" s="463">
        <v>976</v>
      </c>
      <c r="T51" s="464">
        <v>5.4</v>
      </c>
      <c r="U51" s="465">
        <v>5270.4</v>
      </c>
      <c r="V51" s="465">
        <v>20340</v>
      </c>
      <c r="W51" s="466">
        <v>0</v>
      </c>
      <c r="X51" s="467">
        <v>1</v>
      </c>
      <c r="Y51" s="466">
        <v>38415.599999999999</v>
      </c>
      <c r="Z51" s="468" t="s">
        <v>516</v>
      </c>
      <c r="AA51" s="466">
        <v>141161.20000000001</v>
      </c>
      <c r="AB51" s="466">
        <v>141161.20000000001</v>
      </c>
      <c r="AC51" s="467">
        <v>0</v>
      </c>
      <c r="AD51" s="466">
        <v>0</v>
      </c>
      <c r="AE51" s="468" t="s">
        <v>516</v>
      </c>
      <c r="AF51" s="466">
        <v>0</v>
      </c>
      <c r="AG51" s="466">
        <v>0</v>
      </c>
      <c r="AH51" s="466">
        <v>24365.919999999998</v>
      </c>
      <c r="AI51" s="466">
        <v>23085.64</v>
      </c>
      <c r="AJ51" s="469" t="s">
        <v>1470</v>
      </c>
      <c r="AK51" s="470" t="s">
        <v>1471</v>
      </c>
      <c r="AL51" s="471" t="s">
        <v>1806</v>
      </c>
      <c r="AM51" s="470" t="s">
        <v>12411</v>
      </c>
      <c r="AN51" s="470" t="s">
        <v>1807</v>
      </c>
      <c r="AO51" s="470" t="s">
        <v>1808</v>
      </c>
      <c r="AP51" s="470" t="s">
        <v>1809</v>
      </c>
      <c r="AQ51" s="470" t="s">
        <v>1803</v>
      </c>
      <c r="AR51" s="472" t="s">
        <v>515</v>
      </c>
      <c r="AS51" s="473" t="s">
        <v>1385</v>
      </c>
      <c r="AT51" s="472" t="s">
        <v>517</v>
      </c>
      <c r="AU51" s="472" t="s">
        <v>420</v>
      </c>
      <c r="AV51" s="472">
        <v>2020</v>
      </c>
      <c r="AW51" s="474" t="s">
        <v>15078</v>
      </c>
      <c r="AX51" s="475" t="s">
        <v>15079</v>
      </c>
      <c r="AY51" s="515">
        <v>1</v>
      </c>
      <c r="AZ51" s="474" t="s">
        <v>15079</v>
      </c>
      <c r="BA51" s="472" t="s">
        <v>517</v>
      </c>
      <c r="BB51" s="472" t="s">
        <v>1385</v>
      </c>
      <c r="BC51" s="472" t="s">
        <v>1385</v>
      </c>
      <c r="BD51" s="472" t="s">
        <v>1385</v>
      </c>
      <c r="BE51" s="472" t="s">
        <v>1385</v>
      </c>
      <c r="BF51" s="472">
        <v>38415.599999999999</v>
      </c>
      <c r="BG51" s="472">
        <v>0</v>
      </c>
      <c r="BH51" s="472" t="s">
        <v>1385</v>
      </c>
      <c r="BI51" s="510">
        <v>0</v>
      </c>
      <c r="BJ51" s="510">
        <v>0</v>
      </c>
      <c r="BK51" s="510">
        <v>0</v>
      </c>
      <c r="BL51" s="510">
        <v>3500</v>
      </c>
      <c r="BM51" s="510">
        <v>0</v>
      </c>
      <c r="BN51" s="510">
        <v>5000</v>
      </c>
      <c r="BO51" s="510">
        <v>0</v>
      </c>
      <c r="BP51" s="510">
        <v>0</v>
      </c>
      <c r="BQ51" s="510">
        <v>0</v>
      </c>
      <c r="BR51" s="510">
        <v>0</v>
      </c>
      <c r="BS51" s="510">
        <v>0</v>
      </c>
      <c r="BT51" s="510">
        <v>0</v>
      </c>
      <c r="BU51" s="510">
        <v>0</v>
      </c>
      <c r="BV51" s="510">
        <v>0</v>
      </c>
      <c r="BW51" s="510">
        <v>0</v>
      </c>
      <c r="BX51" s="510">
        <v>30000</v>
      </c>
      <c r="BY51" s="1011">
        <v>0</v>
      </c>
      <c r="BZ51" s="510">
        <v>0</v>
      </c>
      <c r="CA51" s="1011">
        <v>0</v>
      </c>
      <c r="CB51" s="510">
        <v>22000</v>
      </c>
      <c r="CC51" s="1011">
        <v>0</v>
      </c>
      <c r="CD51" s="510">
        <v>0</v>
      </c>
      <c r="CE51" s="1011">
        <v>0</v>
      </c>
      <c r="CF51" s="510">
        <v>50745.599999999999</v>
      </c>
      <c r="CG51" s="1011">
        <v>0</v>
      </c>
      <c r="CH51" s="510">
        <v>0</v>
      </c>
      <c r="CI51" s="1011">
        <v>0</v>
      </c>
    </row>
    <row r="52" spans="1:87" ht="12.75" customHeight="1" x14ac:dyDescent="0.2">
      <c r="A52" s="449">
        <v>91</v>
      </c>
      <c r="B52" s="453">
        <v>10154</v>
      </c>
      <c r="C52" s="454" t="s">
        <v>1810</v>
      </c>
      <c r="D52" s="454" t="s">
        <v>517</v>
      </c>
      <c r="E52" s="454" t="s">
        <v>1810</v>
      </c>
      <c r="F52" s="454" t="s">
        <v>520</v>
      </c>
      <c r="G52" s="454" t="s">
        <v>12412</v>
      </c>
      <c r="H52" s="455">
        <v>68158880000162</v>
      </c>
      <c r="I52" s="462">
        <v>33953</v>
      </c>
      <c r="J52" s="457">
        <v>37619764</v>
      </c>
      <c r="K52" s="454" t="s">
        <v>1811</v>
      </c>
      <c r="L52" s="458">
        <v>823</v>
      </c>
      <c r="M52" s="454" t="s">
        <v>1812</v>
      </c>
      <c r="N52" s="459">
        <v>5821130</v>
      </c>
      <c r="O52" s="460">
        <v>55143131</v>
      </c>
      <c r="P52" s="462">
        <v>301844</v>
      </c>
      <c r="Q52" s="462">
        <v>156</v>
      </c>
      <c r="R52" s="462">
        <v>43969</v>
      </c>
      <c r="S52" s="463">
        <v>744</v>
      </c>
      <c r="T52" s="464">
        <v>5.4</v>
      </c>
      <c r="U52" s="465">
        <v>4017.6</v>
      </c>
      <c r="V52" s="465">
        <v>18720</v>
      </c>
      <c r="W52" s="466">
        <v>0</v>
      </c>
      <c r="X52" s="467">
        <v>1</v>
      </c>
      <c r="Y52" s="466">
        <v>42530.400000000001</v>
      </c>
      <c r="Z52" s="468" t="s">
        <v>516</v>
      </c>
      <c r="AA52" s="466">
        <v>155848.79999999999</v>
      </c>
      <c r="AB52" s="466">
        <v>155848.79999999999</v>
      </c>
      <c r="AC52" s="467">
        <v>0</v>
      </c>
      <c r="AD52" s="466">
        <v>0</v>
      </c>
      <c r="AE52" s="468" t="s">
        <v>516</v>
      </c>
      <c r="AF52" s="466">
        <v>2000</v>
      </c>
      <c r="AG52" s="466">
        <v>2000</v>
      </c>
      <c r="AH52" s="466">
        <v>23658.92</v>
      </c>
      <c r="AI52" s="466">
        <v>6465.37</v>
      </c>
      <c r="AJ52" s="469" t="s">
        <v>1813</v>
      </c>
      <c r="AK52" s="470" t="s">
        <v>1814</v>
      </c>
      <c r="AL52" s="471" t="s">
        <v>1815</v>
      </c>
      <c r="AM52" s="470" t="s">
        <v>1816</v>
      </c>
      <c r="AN52" s="470" t="s">
        <v>1817</v>
      </c>
      <c r="AO52" s="470" t="s">
        <v>1818</v>
      </c>
      <c r="AP52" s="470" t="s">
        <v>1819</v>
      </c>
      <c r="AQ52" s="470" t="s">
        <v>1810</v>
      </c>
      <c r="AR52" s="472" t="s">
        <v>515</v>
      </c>
      <c r="AS52" s="473" t="s">
        <v>1385</v>
      </c>
      <c r="AT52" s="472" t="s">
        <v>517</v>
      </c>
      <c r="AU52" s="472" t="s">
        <v>420</v>
      </c>
      <c r="AV52" s="472">
        <v>2020</v>
      </c>
      <c r="AW52" s="474" t="s">
        <v>15078</v>
      </c>
      <c r="AX52" s="475" t="s">
        <v>15079</v>
      </c>
      <c r="AY52" s="515">
        <v>1</v>
      </c>
      <c r="AZ52" s="474" t="s">
        <v>15079</v>
      </c>
      <c r="BA52" s="472" t="s">
        <v>517</v>
      </c>
      <c r="BB52" s="472" t="s">
        <v>516</v>
      </c>
      <c r="BC52" s="472">
        <v>5</v>
      </c>
      <c r="BD52" s="472">
        <v>5616</v>
      </c>
      <c r="BE52" s="472">
        <v>0</v>
      </c>
      <c r="BF52" s="472">
        <v>42530.400000000001</v>
      </c>
      <c r="BG52" s="472">
        <v>0</v>
      </c>
      <c r="BH52" s="472" t="s">
        <v>1385</v>
      </c>
      <c r="BI52" s="510">
        <v>0</v>
      </c>
      <c r="BJ52" s="510">
        <v>101.83</v>
      </c>
      <c r="BK52" s="510">
        <v>0</v>
      </c>
      <c r="BL52" s="510">
        <v>3500</v>
      </c>
      <c r="BM52" s="510">
        <v>0</v>
      </c>
      <c r="BN52" s="510">
        <v>5000</v>
      </c>
      <c r="BO52" s="510">
        <v>0</v>
      </c>
      <c r="BP52" s="510">
        <v>2000</v>
      </c>
      <c r="BQ52" s="510">
        <v>0</v>
      </c>
      <c r="BR52" s="510">
        <v>0</v>
      </c>
      <c r="BS52" s="510">
        <v>0</v>
      </c>
      <c r="BT52" s="510">
        <v>0</v>
      </c>
      <c r="BU52" s="510">
        <v>2500</v>
      </c>
      <c r="BV52" s="510">
        <v>2500</v>
      </c>
      <c r="BW52" s="510">
        <v>0</v>
      </c>
      <c r="BX52" s="510">
        <v>30000</v>
      </c>
      <c r="BY52" s="1011">
        <v>0</v>
      </c>
      <c r="BZ52" s="510">
        <v>0</v>
      </c>
      <c r="CA52" s="1011">
        <v>0</v>
      </c>
      <c r="CB52" s="510">
        <v>22000</v>
      </c>
      <c r="CC52" s="1011">
        <v>0</v>
      </c>
      <c r="CD52" s="510">
        <v>0</v>
      </c>
      <c r="CE52" s="1011">
        <v>0</v>
      </c>
      <c r="CF52" s="510">
        <v>61318.400000000001</v>
      </c>
      <c r="CG52" s="1011">
        <v>0</v>
      </c>
      <c r="CH52" s="510">
        <v>0</v>
      </c>
      <c r="CI52" s="1011">
        <v>0</v>
      </c>
    </row>
    <row r="53" spans="1:87" ht="12.75" customHeight="1" x14ac:dyDescent="0.2">
      <c r="A53" s="449">
        <v>82</v>
      </c>
      <c r="B53" s="453">
        <v>10162</v>
      </c>
      <c r="C53" s="454" t="s">
        <v>1820</v>
      </c>
      <c r="D53" s="454" t="s">
        <v>517</v>
      </c>
      <c r="E53" s="454" t="s">
        <v>1820</v>
      </c>
      <c r="F53" s="454" t="s">
        <v>520</v>
      </c>
      <c r="G53" s="454" t="s">
        <v>12413</v>
      </c>
      <c r="H53" s="455">
        <v>68158906000172</v>
      </c>
      <c r="I53" s="462">
        <v>33952</v>
      </c>
      <c r="J53" s="457">
        <v>37619900</v>
      </c>
      <c r="K53" s="454" t="s">
        <v>1821</v>
      </c>
      <c r="L53" s="458">
        <v>431</v>
      </c>
      <c r="M53" s="454" t="s">
        <v>1822</v>
      </c>
      <c r="N53" s="459">
        <v>5853310</v>
      </c>
      <c r="O53" s="460">
        <v>55120884</v>
      </c>
      <c r="P53" s="462">
        <v>301453</v>
      </c>
      <c r="Q53" s="462">
        <v>147</v>
      </c>
      <c r="R53" s="462">
        <v>43983</v>
      </c>
      <c r="S53" s="463">
        <v>835</v>
      </c>
      <c r="T53" s="464">
        <v>5.4</v>
      </c>
      <c r="U53" s="465">
        <v>4509</v>
      </c>
      <c r="V53" s="465">
        <v>18720</v>
      </c>
      <c r="W53" s="466">
        <v>0</v>
      </c>
      <c r="X53" s="467">
        <v>1</v>
      </c>
      <c r="Y53" s="466">
        <v>34843.5</v>
      </c>
      <c r="Z53" s="468" t="s">
        <v>516</v>
      </c>
      <c r="AA53" s="466">
        <v>133366.29999999999</v>
      </c>
      <c r="AB53" s="466">
        <v>133366.29999999999</v>
      </c>
      <c r="AC53" s="467">
        <v>0</v>
      </c>
      <c r="AD53" s="466">
        <v>0</v>
      </c>
      <c r="AE53" s="468" t="s">
        <v>516</v>
      </c>
      <c r="AF53" s="466">
        <v>2000</v>
      </c>
      <c r="AG53" s="466">
        <v>2000</v>
      </c>
      <c r="AH53" s="466">
        <v>28522.02</v>
      </c>
      <c r="AI53" s="466">
        <v>9318.14</v>
      </c>
      <c r="AJ53" s="469" t="s">
        <v>1470</v>
      </c>
      <c r="AK53" s="470" t="s">
        <v>1471</v>
      </c>
      <c r="AL53" s="471" t="s">
        <v>1823</v>
      </c>
      <c r="AM53" s="470" t="s">
        <v>1824</v>
      </c>
      <c r="AN53" s="470" t="s">
        <v>1825</v>
      </c>
      <c r="AO53" s="470" t="s">
        <v>1826</v>
      </c>
      <c r="AP53" s="470" t="s">
        <v>1827</v>
      </c>
      <c r="AQ53" s="470" t="s">
        <v>1820</v>
      </c>
      <c r="AR53" s="472" t="s">
        <v>515</v>
      </c>
      <c r="AS53" s="473" t="s">
        <v>1385</v>
      </c>
      <c r="AT53" s="472" t="s">
        <v>517</v>
      </c>
      <c r="AU53" s="472" t="s">
        <v>420</v>
      </c>
      <c r="AV53" s="472">
        <v>2020</v>
      </c>
      <c r="AW53" s="474" t="s">
        <v>15078</v>
      </c>
      <c r="AX53" s="475" t="s">
        <v>15079</v>
      </c>
      <c r="AY53" s="515">
        <v>1</v>
      </c>
      <c r="AZ53" s="474" t="s">
        <v>15079</v>
      </c>
      <c r="BA53" s="472" t="s">
        <v>517</v>
      </c>
      <c r="BB53" s="472" t="s">
        <v>1385</v>
      </c>
      <c r="BC53" s="472" t="s">
        <v>1385</v>
      </c>
      <c r="BD53" s="472" t="s">
        <v>1385</v>
      </c>
      <c r="BE53" s="472" t="s">
        <v>1385</v>
      </c>
      <c r="BF53" s="472">
        <v>34843.5</v>
      </c>
      <c r="BG53" s="472">
        <v>0</v>
      </c>
      <c r="BH53" s="472" t="s">
        <v>1385</v>
      </c>
      <c r="BI53" s="510">
        <v>0</v>
      </c>
      <c r="BJ53" s="510">
        <v>0</v>
      </c>
      <c r="BK53" s="510">
        <v>0</v>
      </c>
      <c r="BL53" s="510">
        <v>3500</v>
      </c>
      <c r="BM53" s="510">
        <v>0</v>
      </c>
      <c r="BN53" s="510">
        <v>5000</v>
      </c>
      <c r="BO53" s="510">
        <v>0</v>
      </c>
      <c r="BP53" s="510">
        <v>2000</v>
      </c>
      <c r="BQ53" s="510">
        <v>0</v>
      </c>
      <c r="BR53" s="510">
        <v>0</v>
      </c>
      <c r="BS53" s="510">
        <v>0</v>
      </c>
      <c r="BT53" s="510">
        <v>0</v>
      </c>
      <c r="BU53" s="510">
        <v>2500</v>
      </c>
      <c r="BV53" s="510">
        <v>2500</v>
      </c>
      <c r="BW53" s="510">
        <v>0</v>
      </c>
      <c r="BX53" s="510">
        <v>30000</v>
      </c>
      <c r="BY53" s="1011">
        <v>0</v>
      </c>
      <c r="BZ53" s="510">
        <v>0</v>
      </c>
      <c r="CA53" s="1011">
        <v>0</v>
      </c>
      <c r="CB53" s="510">
        <v>22000</v>
      </c>
      <c r="CC53" s="1011">
        <v>0</v>
      </c>
      <c r="CD53" s="510">
        <v>0</v>
      </c>
      <c r="CE53" s="1011">
        <v>0</v>
      </c>
      <c r="CF53" s="510">
        <v>46522.8</v>
      </c>
      <c r="CG53" s="1011">
        <v>0</v>
      </c>
      <c r="CH53" s="510">
        <v>0</v>
      </c>
      <c r="CI53" s="1011">
        <v>0</v>
      </c>
    </row>
    <row r="54" spans="1:87" ht="12.75" customHeight="1" x14ac:dyDescent="0.2">
      <c r="A54" s="449">
        <v>30</v>
      </c>
      <c r="B54" s="453">
        <v>10171</v>
      </c>
      <c r="C54" s="454" t="s">
        <v>1828</v>
      </c>
      <c r="D54" s="454" t="s">
        <v>517</v>
      </c>
      <c r="E54" s="454" t="s">
        <v>1829</v>
      </c>
      <c r="F54" s="454" t="s">
        <v>528</v>
      </c>
      <c r="G54" s="454" t="s">
        <v>12414</v>
      </c>
      <c r="H54" s="455">
        <v>65524548000186</v>
      </c>
      <c r="I54" s="462">
        <v>33444</v>
      </c>
      <c r="J54" s="457">
        <v>37374567</v>
      </c>
      <c r="K54" s="454" t="s">
        <v>1831</v>
      </c>
      <c r="L54" s="458">
        <v>135</v>
      </c>
      <c r="M54" s="454" t="s">
        <v>1728</v>
      </c>
      <c r="N54" s="459">
        <v>5183000</v>
      </c>
      <c r="O54" s="460">
        <v>39412335</v>
      </c>
      <c r="P54" s="462">
        <v>258779</v>
      </c>
      <c r="Q54" s="462">
        <v>30</v>
      </c>
      <c r="R54" s="462">
        <v>43938</v>
      </c>
      <c r="S54" s="463">
        <v>710</v>
      </c>
      <c r="T54" s="464">
        <v>5.4</v>
      </c>
      <c r="U54" s="465">
        <v>3834</v>
      </c>
      <c r="V54" s="465">
        <v>18720</v>
      </c>
      <c r="W54" s="466">
        <v>0</v>
      </c>
      <c r="X54" s="467">
        <v>1</v>
      </c>
      <c r="Y54" s="466">
        <v>33831</v>
      </c>
      <c r="Z54" s="468" t="s">
        <v>516</v>
      </c>
      <c r="AA54" s="466">
        <v>127439.8</v>
      </c>
      <c r="AB54" s="466">
        <v>127439.8</v>
      </c>
      <c r="AC54" s="467">
        <v>0</v>
      </c>
      <c r="AD54" s="466">
        <v>0</v>
      </c>
      <c r="AE54" s="468" t="s">
        <v>516</v>
      </c>
      <c r="AF54" s="466">
        <v>0</v>
      </c>
      <c r="AG54" s="466">
        <v>0</v>
      </c>
      <c r="AH54" s="466">
        <v>40167.61</v>
      </c>
      <c r="AI54" s="466">
        <v>17484.45</v>
      </c>
      <c r="AJ54" s="469" t="s">
        <v>1571</v>
      </c>
      <c r="AK54" s="470" t="s">
        <v>528</v>
      </c>
      <c r="AL54" s="471" t="s">
        <v>1832</v>
      </c>
      <c r="AM54" s="470" t="s">
        <v>12415</v>
      </c>
      <c r="AN54" s="470" t="s">
        <v>1830</v>
      </c>
      <c r="AO54" s="470" t="s">
        <v>1833</v>
      </c>
      <c r="AP54" s="470" t="s">
        <v>1834</v>
      </c>
      <c r="AQ54" s="470" t="s">
        <v>1828</v>
      </c>
      <c r="AR54" s="472" t="s">
        <v>515</v>
      </c>
      <c r="AS54" s="473" t="s">
        <v>1385</v>
      </c>
      <c r="AT54" s="472" t="s">
        <v>517</v>
      </c>
      <c r="AU54" s="472" t="s">
        <v>420</v>
      </c>
      <c r="AV54" s="472">
        <v>2020</v>
      </c>
      <c r="AW54" s="474" t="s">
        <v>15078</v>
      </c>
      <c r="AX54" s="475" t="s">
        <v>15079</v>
      </c>
      <c r="AY54" s="515">
        <v>1</v>
      </c>
      <c r="AZ54" s="474" t="s">
        <v>15079</v>
      </c>
      <c r="BA54" s="472" t="s">
        <v>517</v>
      </c>
      <c r="BB54" s="472" t="s">
        <v>1385</v>
      </c>
      <c r="BC54" s="472" t="s">
        <v>1385</v>
      </c>
      <c r="BD54" s="472" t="s">
        <v>1385</v>
      </c>
      <c r="BE54" s="472" t="s">
        <v>1385</v>
      </c>
      <c r="BF54" s="472">
        <v>33831</v>
      </c>
      <c r="BG54" s="472">
        <v>0</v>
      </c>
      <c r="BH54" s="472" t="s">
        <v>1385</v>
      </c>
      <c r="BI54" s="510">
        <v>0</v>
      </c>
      <c r="BJ54" s="510">
        <v>1058</v>
      </c>
      <c r="BK54" s="510">
        <v>0</v>
      </c>
      <c r="BL54" s="510">
        <v>0</v>
      </c>
      <c r="BM54" s="510">
        <v>0</v>
      </c>
      <c r="BN54" s="510">
        <v>5000</v>
      </c>
      <c r="BO54" s="510">
        <v>0</v>
      </c>
      <c r="BP54" s="510">
        <v>0</v>
      </c>
      <c r="BQ54" s="510">
        <v>0</v>
      </c>
      <c r="BR54" s="510">
        <v>0</v>
      </c>
      <c r="BS54" s="510">
        <v>0</v>
      </c>
      <c r="BT54" s="510">
        <v>0</v>
      </c>
      <c r="BU54" s="510">
        <v>2500</v>
      </c>
      <c r="BV54" s="510">
        <v>2500</v>
      </c>
      <c r="BW54" s="510">
        <v>0</v>
      </c>
      <c r="BX54" s="510">
        <v>30000</v>
      </c>
      <c r="BY54" s="1011">
        <v>0</v>
      </c>
      <c r="BZ54" s="510">
        <v>0</v>
      </c>
      <c r="CA54" s="1011">
        <v>0</v>
      </c>
      <c r="CB54" s="510">
        <v>22000</v>
      </c>
      <c r="CC54" s="1011">
        <v>0</v>
      </c>
      <c r="CD54" s="510">
        <v>0</v>
      </c>
      <c r="CE54" s="1011">
        <v>0</v>
      </c>
      <c r="CF54" s="510">
        <v>41608.800000000003</v>
      </c>
      <c r="CG54" s="1011">
        <v>0</v>
      </c>
      <c r="CH54" s="510">
        <v>0</v>
      </c>
      <c r="CI54" s="1011">
        <v>0</v>
      </c>
    </row>
    <row r="55" spans="1:87" ht="12.75" customHeight="1" x14ac:dyDescent="0.2">
      <c r="A55" s="449">
        <v>72</v>
      </c>
      <c r="B55" s="453">
        <v>10405</v>
      </c>
      <c r="C55" s="454" t="s">
        <v>1835</v>
      </c>
      <c r="D55" s="454" t="s">
        <v>517</v>
      </c>
      <c r="E55" s="454" t="s">
        <v>1836</v>
      </c>
      <c r="F55" s="454" t="s">
        <v>526</v>
      </c>
      <c r="G55" s="454" t="s">
        <v>12416</v>
      </c>
      <c r="H55" s="455">
        <v>73934747000190</v>
      </c>
      <c r="I55" s="462">
        <v>34277</v>
      </c>
      <c r="J55" s="457">
        <v>37470647</v>
      </c>
      <c r="K55" s="454" t="s">
        <v>1837</v>
      </c>
      <c r="L55" s="458">
        <v>1901</v>
      </c>
      <c r="M55" s="454" t="s">
        <v>1838</v>
      </c>
      <c r="N55" s="459">
        <v>8040060</v>
      </c>
      <c r="O55" s="460">
        <v>29638497</v>
      </c>
      <c r="P55" s="462">
        <v>171380</v>
      </c>
      <c r="Q55" s="462">
        <v>72</v>
      </c>
      <c r="R55" s="462">
        <v>43928</v>
      </c>
      <c r="S55" s="463">
        <v>470</v>
      </c>
      <c r="T55" s="464">
        <v>5.4</v>
      </c>
      <c r="U55" s="465">
        <v>2538</v>
      </c>
      <c r="V55" s="465">
        <v>15480</v>
      </c>
      <c r="W55" s="466">
        <v>0</v>
      </c>
      <c r="X55" s="467">
        <v>1</v>
      </c>
      <c r="Y55" s="466">
        <v>27027</v>
      </c>
      <c r="Z55" s="468" t="s">
        <v>516</v>
      </c>
      <c r="AA55" s="466">
        <v>115523</v>
      </c>
      <c r="AB55" s="466">
        <v>115523</v>
      </c>
      <c r="AC55" s="467">
        <v>0</v>
      </c>
      <c r="AD55" s="466">
        <v>0</v>
      </c>
      <c r="AE55" s="468" t="s">
        <v>516</v>
      </c>
      <c r="AF55" s="466">
        <v>1000</v>
      </c>
      <c r="AG55" s="466">
        <v>1000</v>
      </c>
      <c r="AH55" s="466">
        <v>4030.96</v>
      </c>
      <c r="AI55" s="466">
        <v>0.5</v>
      </c>
      <c r="AJ55" s="469" t="s">
        <v>1839</v>
      </c>
      <c r="AK55" s="470" t="s">
        <v>526</v>
      </c>
      <c r="AL55" s="471" t="s">
        <v>1840</v>
      </c>
      <c r="AM55" s="470" t="s">
        <v>1841</v>
      </c>
      <c r="AN55" s="470" t="s">
        <v>1385</v>
      </c>
      <c r="AO55" s="470" t="s">
        <v>12417</v>
      </c>
      <c r="AP55" s="470" t="s">
        <v>1842</v>
      </c>
      <c r="AQ55" s="470" t="s">
        <v>1835</v>
      </c>
      <c r="AR55" s="472" t="s">
        <v>515</v>
      </c>
      <c r="AS55" s="473" t="s">
        <v>1385</v>
      </c>
      <c r="AT55" s="472" t="s">
        <v>517</v>
      </c>
      <c r="AU55" s="472" t="s">
        <v>420</v>
      </c>
      <c r="AV55" s="472">
        <v>2020</v>
      </c>
      <c r="AW55" s="474" t="s">
        <v>15078</v>
      </c>
      <c r="AX55" s="475" t="s">
        <v>15079</v>
      </c>
      <c r="AY55" s="515">
        <v>1</v>
      </c>
      <c r="AZ55" s="474" t="s">
        <v>15079</v>
      </c>
      <c r="BA55" s="472" t="s">
        <v>517</v>
      </c>
      <c r="BB55" s="472" t="s">
        <v>1385</v>
      </c>
      <c r="BC55" s="472" t="s">
        <v>1385</v>
      </c>
      <c r="BD55" s="472" t="s">
        <v>1385</v>
      </c>
      <c r="BE55" s="472" t="s">
        <v>1385</v>
      </c>
      <c r="BF55" s="472">
        <v>27027</v>
      </c>
      <c r="BG55" s="472">
        <v>0</v>
      </c>
      <c r="BH55" s="472" t="s">
        <v>1385</v>
      </c>
      <c r="BI55" s="510">
        <v>0</v>
      </c>
      <c r="BJ55" s="510">
        <v>0</v>
      </c>
      <c r="BK55" s="510">
        <v>0</v>
      </c>
      <c r="BL55" s="510">
        <v>823.95</v>
      </c>
      <c r="BM55" s="510">
        <v>0</v>
      </c>
      <c r="BN55" s="510">
        <v>0</v>
      </c>
      <c r="BO55" s="510">
        <v>1000</v>
      </c>
      <c r="BP55" s="510">
        <v>1000</v>
      </c>
      <c r="BQ55" s="510">
        <v>0</v>
      </c>
      <c r="BR55" s="510">
        <v>0</v>
      </c>
      <c r="BS55" s="510">
        <v>0</v>
      </c>
      <c r="BT55" s="510">
        <v>0</v>
      </c>
      <c r="BU55" s="510">
        <v>2500</v>
      </c>
      <c r="BV55" s="510">
        <v>2500</v>
      </c>
      <c r="BW55" s="510">
        <v>0</v>
      </c>
      <c r="BX55" s="510">
        <v>30000</v>
      </c>
      <c r="BY55" s="1011">
        <v>0</v>
      </c>
      <c r="BZ55" s="510">
        <v>0</v>
      </c>
      <c r="CA55" s="1011">
        <v>0</v>
      </c>
      <c r="CB55" s="510">
        <v>22000</v>
      </c>
      <c r="CC55" s="1011">
        <v>0</v>
      </c>
      <c r="CD55" s="510">
        <v>0</v>
      </c>
      <c r="CE55" s="1011">
        <v>0</v>
      </c>
      <c r="CF55" s="510">
        <v>35496</v>
      </c>
      <c r="CG55" s="1011">
        <v>0</v>
      </c>
      <c r="CH55" s="510">
        <v>0</v>
      </c>
      <c r="CI55" s="1011">
        <v>0</v>
      </c>
    </row>
    <row r="56" spans="1:87" ht="12.75" customHeight="1" x14ac:dyDescent="0.2">
      <c r="A56" s="449">
        <v>55</v>
      </c>
      <c r="B56" s="453">
        <v>10413</v>
      </c>
      <c r="C56" s="454" t="s">
        <v>1843</v>
      </c>
      <c r="D56" s="454" t="s">
        <v>517</v>
      </c>
      <c r="E56" s="454" t="s">
        <v>1844</v>
      </c>
      <c r="F56" s="454" t="s">
        <v>523</v>
      </c>
      <c r="G56" s="454" t="s">
        <v>12418</v>
      </c>
      <c r="H56" s="455">
        <v>1183123000178</v>
      </c>
      <c r="I56" s="462">
        <v>35172</v>
      </c>
      <c r="J56" s="457">
        <v>37620290</v>
      </c>
      <c r="K56" s="454" t="s">
        <v>1845</v>
      </c>
      <c r="L56" s="458">
        <v>78</v>
      </c>
      <c r="M56" s="454" t="s">
        <v>523</v>
      </c>
      <c r="N56" s="459">
        <v>8460480</v>
      </c>
      <c r="O56" s="460">
        <v>25571974</v>
      </c>
      <c r="P56" s="462">
        <v>261923</v>
      </c>
      <c r="Q56" s="462">
        <v>55</v>
      </c>
      <c r="R56" s="462">
        <v>43921</v>
      </c>
      <c r="S56" s="463">
        <v>707</v>
      </c>
      <c r="T56" s="464">
        <v>5.4</v>
      </c>
      <c r="U56" s="465">
        <v>3817.8</v>
      </c>
      <c r="V56" s="465">
        <v>18720</v>
      </c>
      <c r="W56" s="466">
        <v>0</v>
      </c>
      <c r="X56" s="467">
        <v>1</v>
      </c>
      <c r="Y56" s="466">
        <v>40826.699999999997</v>
      </c>
      <c r="Z56" s="468" t="s">
        <v>516</v>
      </c>
      <c r="AA56" s="466">
        <v>150252.29999999999</v>
      </c>
      <c r="AB56" s="466">
        <v>150252.29999999999</v>
      </c>
      <c r="AC56" s="467">
        <v>0</v>
      </c>
      <c r="AD56" s="466">
        <v>0</v>
      </c>
      <c r="AE56" s="468" t="s">
        <v>516</v>
      </c>
      <c r="AF56" s="466">
        <v>1400</v>
      </c>
      <c r="AG56" s="466">
        <v>1400</v>
      </c>
      <c r="AH56" s="466">
        <v>12681.86</v>
      </c>
      <c r="AI56" s="466">
        <v>10453.9</v>
      </c>
      <c r="AJ56" s="469" t="s">
        <v>1846</v>
      </c>
      <c r="AK56" s="470" t="s">
        <v>1847</v>
      </c>
      <c r="AL56" s="471" t="s">
        <v>1848</v>
      </c>
      <c r="AM56" s="470" t="s">
        <v>1849</v>
      </c>
      <c r="AN56" s="470" t="s">
        <v>1850</v>
      </c>
      <c r="AO56" s="470" t="s">
        <v>1851</v>
      </c>
      <c r="AP56" s="470" t="s">
        <v>1852</v>
      </c>
      <c r="AQ56" s="470" t="s">
        <v>1843</v>
      </c>
      <c r="AR56" s="472" t="s">
        <v>515</v>
      </c>
      <c r="AS56" s="473" t="s">
        <v>1385</v>
      </c>
      <c r="AT56" s="472" t="s">
        <v>517</v>
      </c>
      <c r="AU56" s="472" t="s">
        <v>420</v>
      </c>
      <c r="AV56" s="472">
        <v>2020</v>
      </c>
      <c r="AW56" s="474" t="s">
        <v>15078</v>
      </c>
      <c r="AX56" s="475" t="s">
        <v>15079</v>
      </c>
      <c r="AY56" s="515">
        <v>1</v>
      </c>
      <c r="AZ56" s="474" t="s">
        <v>15079</v>
      </c>
      <c r="BA56" s="472" t="s">
        <v>517</v>
      </c>
      <c r="BB56" s="472" t="s">
        <v>516</v>
      </c>
      <c r="BC56" s="472">
        <v>4</v>
      </c>
      <c r="BD56" s="472">
        <v>4680</v>
      </c>
      <c r="BE56" s="472">
        <v>0</v>
      </c>
      <c r="BF56" s="472">
        <v>40826.699999999997</v>
      </c>
      <c r="BG56" s="472">
        <v>0</v>
      </c>
      <c r="BH56" s="472" t="s">
        <v>1385</v>
      </c>
      <c r="BI56" s="510">
        <v>0</v>
      </c>
      <c r="BJ56" s="510">
        <v>0</v>
      </c>
      <c r="BK56" s="510">
        <v>0</v>
      </c>
      <c r="BL56" s="510">
        <v>0</v>
      </c>
      <c r="BM56" s="510">
        <v>0</v>
      </c>
      <c r="BN56" s="510">
        <v>4150</v>
      </c>
      <c r="BO56" s="510">
        <v>600</v>
      </c>
      <c r="BP56" s="510">
        <v>1400</v>
      </c>
      <c r="BQ56" s="510">
        <v>0</v>
      </c>
      <c r="BR56" s="510">
        <v>0</v>
      </c>
      <c r="BS56" s="510">
        <v>0</v>
      </c>
      <c r="BT56" s="510">
        <v>0</v>
      </c>
      <c r="BU56" s="510">
        <v>2500</v>
      </c>
      <c r="BV56" s="510">
        <v>2500</v>
      </c>
      <c r="BW56" s="510">
        <v>0</v>
      </c>
      <c r="BX56" s="510">
        <v>30000</v>
      </c>
      <c r="BY56" s="1011">
        <v>0</v>
      </c>
      <c r="BZ56" s="510">
        <v>0</v>
      </c>
      <c r="CA56" s="1011">
        <v>0</v>
      </c>
      <c r="CB56" s="510">
        <v>22000</v>
      </c>
      <c r="CC56" s="1011">
        <v>0</v>
      </c>
      <c r="CD56" s="510">
        <v>0</v>
      </c>
      <c r="CE56" s="1011">
        <v>0</v>
      </c>
      <c r="CF56" s="510">
        <v>56825.599999999999</v>
      </c>
      <c r="CG56" s="1011">
        <v>0</v>
      </c>
      <c r="CH56" s="510">
        <v>0</v>
      </c>
      <c r="CI56" s="1011">
        <v>0</v>
      </c>
    </row>
    <row r="57" spans="1:87" ht="12.75" customHeight="1" x14ac:dyDescent="0.2">
      <c r="A57" s="449">
        <v>65</v>
      </c>
      <c r="B57" s="453">
        <v>10421</v>
      </c>
      <c r="C57" s="454" t="s">
        <v>1853</v>
      </c>
      <c r="D57" s="454" t="s">
        <v>517</v>
      </c>
      <c r="E57" s="454" t="s">
        <v>1853</v>
      </c>
      <c r="F57" s="454" t="s">
        <v>520</v>
      </c>
      <c r="G57" s="454" t="s">
        <v>12419</v>
      </c>
      <c r="H57" s="455">
        <v>67842112000160</v>
      </c>
      <c r="I57" s="462">
        <v>33753</v>
      </c>
      <c r="J57" s="457">
        <v>37619977</v>
      </c>
      <c r="K57" s="454" t="s">
        <v>1855</v>
      </c>
      <c r="L57" s="458">
        <v>100</v>
      </c>
      <c r="M57" s="454" t="s">
        <v>1856</v>
      </c>
      <c r="N57" s="459">
        <v>5781310</v>
      </c>
      <c r="O57" s="460">
        <v>55120952</v>
      </c>
      <c r="P57" s="462">
        <v>300619</v>
      </c>
      <c r="Q57" s="462">
        <v>130</v>
      </c>
      <c r="R57" s="462">
        <v>43983</v>
      </c>
      <c r="S57" s="463">
        <v>701</v>
      </c>
      <c r="T57" s="464">
        <v>5.4</v>
      </c>
      <c r="U57" s="465">
        <v>3785.4</v>
      </c>
      <c r="V57" s="465">
        <v>18720</v>
      </c>
      <c r="W57" s="466">
        <v>0</v>
      </c>
      <c r="X57" s="467">
        <v>1</v>
      </c>
      <c r="Y57" s="466">
        <v>33758.1</v>
      </c>
      <c r="Z57" s="468" t="s">
        <v>516</v>
      </c>
      <c r="AA57" s="466">
        <v>130833.7</v>
      </c>
      <c r="AB57" s="466">
        <v>130833.7</v>
      </c>
      <c r="AC57" s="467">
        <v>0</v>
      </c>
      <c r="AD57" s="466">
        <v>0</v>
      </c>
      <c r="AE57" s="468" t="s">
        <v>516</v>
      </c>
      <c r="AF57" s="466">
        <v>0</v>
      </c>
      <c r="AG57" s="466">
        <v>0</v>
      </c>
      <c r="AH57" s="466">
        <v>10328.6</v>
      </c>
      <c r="AI57" s="466">
        <v>1071.69</v>
      </c>
      <c r="AJ57" s="469" t="s">
        <v>1470</v>
      </c>
      <c r="AK57" s="470" t="s">
        <v>1471</v>
      </c>
      <c r="AL57" s="471" t="s">
        <v>1857</v>
      </c>
      <c r="AM57" s="470" t="s">
        <v>1858</v>
      </c>
      <c r="AN57" s="470" t="s">
        <v>1854</v>
      </c>
      <c r="AO57" s="470" t="s">
        <v>1859</v>
      </c>
      <c r="AP57" s="470" t="s">
        <v>1860</v>
      </c>
      <c r="AQ57" s="470" t="s">
        <v>1853</v>
      </c>
      <c r="AR57" s="472" t="s">
        <v>515</v>
      </c>
      <c r="AS57" s="473" t="s">
        <v>1385</v>
      </c>
      <c r="AT57" s="472" t="s">
        <v>517</v>
      </c>
      <c r="AU57" s="472" t="s">
        <v>420</v>
      </c>
      <c r="AV57" s="472">
        <v>2020</v>
      </c>
      <c r="AW57" s="474" t="s">
        <v>15078</v>
      </c>
      <c r="AX57" s="475" t="s">
        <v>15079</v>
      </c>
      <c r="AY57" s="515">
        <v>1</v>
      </c>
      <c r="AZ57" s="474" t="s">
        <v>15079</v>
      </c>
      <c r="BA57" s="472" t="s">
        <v>517</v>
      </c>
      <c r="BB57" s="472" t="s">
        <v>1385</v>
      </c>
      <c r="BC57" s="472" t="s">
        <v>1385</v>
      </c>
      <c r="BD57" s="472" t="s">
        <v>1385</v>
      </c>
      <c r="BE57" s="472" t="s">
        <v>1385</v>
      </c>
      <c r="BF57" s="472">
        <v>33758.1</v>
      </c>
      <c r="BG57" s="472">
        <v>0</v>
      </c>
      <c r="BH57" s="472" t="s">
        <v>1385</v>
      </c>
      <c r="BI57" s="510">
        <v>0</v>
      </c>
      <c r="BJ57" s="510">
        <v>146.19999999999999</v>
      </c>
      <c r="BK57" s="510">
        <v>0</v>
      </c>
      <c r="BL57" s="510">
        <v>211</v>
      </c>
      <c r="BM57" s="510">
        <v>0</v>
      </c>
      <c r="BN57" s="510">
        <v>5000</v>
      </c>
      <c r="BO57" s="510">
        <v>0</v>
      </c>
      <c r="BP57" s="510">
        <v>0</v>
      </c>
      <c r="BQ57" s="510">
        <v>0</v>
      </c>
      <c r="BR57" s="510">
        <v>0</v>
      </c>
      <c r="BS57" s="510">
        <v>0</v>
      </c>
      <c r="BT57" s="510">
        <v>0</v>
      </c>
      <c r="BU57" s="510">
        <v>0</v>
      </c>
      <c r="BV57" s="510">
        <v>0</v>
      </c>
      <c r="BW57" s="510">
        <v>0</v>
      </c>
      <c r="BX57" s="510">
        <v>30000</v>
      </c>
      <c r="BY57" s="1011">
        <v>0</v>
      </c>
      <c r="BZ57" s="510">
        <v>0</v>
      </c>
      <c r="CA57" s="1011">
        <v>0</v>
      </c>
      <c r="CB57" s="510">
        <v>22000</v>
      </c>
      <c r="CC57" s="1011">
        <v>0</v>
      </c>
      <c r="CD57" s="510">
        <v>0</v>
      </c>
      <c r="CE57" s="1011">
        <v>0</v>
      </c>
      <c r="CF57" s="510">
        <v>45075.6</v>
      </c>
      <c r="CG57" s="1011">
        <v>0</v>
      </c>
      <c r="CH57" s="510">
        <v>0</v>
      </c>
      <c r="CI57" s="1011">
        <v>0</v>
      </c>
    </row>
    <row r="58" spans="1:87" ht="12.75" customHeight="1" x14ac:dyDescent="0.2">
      <c r="A58" s="449">
        <v>159</v>
      </c>
      <c r="B58" s="453">
        <v>10839</v>
      </c>
      <c r="C58" s="454" t="s">
        <v>1861</v>
      </c>
      <c r="D58" s="454" t="s">
        <v>1390</v>
      </c>
      <c r="E58" s="454" t="s">
        <v>1861</v>
      </c>
      <c r="F58" s="454" t="s">
        <v>520</v>
      </c>
      <c r="G58" s="454" t="s">
        <v>12420</v>
      </c>
      <c r="H58" s="455">
        <v>67830315000137</v>
      </c>
      <c r="I58" s="462">
        <v>34045</v>
      </c>
      <c r="J58" s="457">
        <v>37622560</v>
      </c>
      <c r="K58" s="454" t="s">
        <v>1862</v>
      </c>
      <c r="L58" s="458" t="s">
        <v>1446</v>
      </c>
      <c r="M58" s="454" t="s">
        <v>1863</v>
      </c>
      <c r="N58" s="459">
        <v>4932060</v>
      </c>
      <c r="O58" s="460">
        <v>55146067</v>
      </c>
      <c r="P58" s="462">
        <v>307958</v>
      </c>
      <c r="Q58" s="462">
        <v>94</v>
      </c>
      <c r="R58" s="462">
        <v>43969</v>
      </c>
      <c r="S58" s="463">
        <v>411</v>
      </c>
      <c r="T58" s="464">
        <v>3.6</v>
      </c>
      <c r="U58" s="465">
        <v>1479.6</v>
      </c>
      <c r="V58" s="465">
        <v>15120</v>
      </c>
      <c r="W58" s="466">
        <v>0</v>
      </c>
      <c r="X58" s="467">
        <v>1</v>
      </c>
      <c r="Y58" s="466">
        <v>24899.4</v>
      </c>
      <c r="Z58" s="468" t="s">
        <v>516</v>
      </c>
      <c r="AA58" s="466">
        <v>103098.6</v>
      </c>
      <c r="AB58" s="466">
        <v>103098.6</v>
      </c>
      <c r="AC58" s="467">
        <v>0</v>
      </c>
      <c r="AD58" s="466">
        <v>0</v>
      </c>
      <c r="AE58" s="468" t="s">
        <v>516</v>
      </c>
      <c r="AF58" s="466">
        <v>0</v>
      </c>
      <c r="AG58" s="466">
        <v>0</v>
      </c>
      <c r="AH58" s="466">
        <v>26749.87</v>
      </c>
      <c r="AI58" s="466">
        <v>4279.01</v>
      </c>
      <c r="AJ58" s="469" t="s">
        <v>1515</v>
      </c>
      <c r="AK58" s="470" t="s">
        <v>1516</v>
      </c>
      <c r="AL58" s="471" t="s">
        <v>1864</v>
      </c>
      <c r="AM58" s="470" t="s">
        <v>1865</v>
      </c>
      <c r="AN58" s="470" t="s">
        <v>1866</v>
      </c>
      <c r="AO58" s="470" t="s">
        <v>1867</v>
      </c>
      <c r="AP58" s="470" t="s">
        <v>1863</v>
      </c>
      <c r="AQ58" s="470" t="s">
        <v>1861</v>
      </c>
      <c r="AR58" s="472" t="s">
        <v>515</v>
      </c>
      <c r="AS58" s="473" t="s">
        <v>1385</v>
      </c>
      <c r="AT58" s="472" t="s">
        <v>1390</v>
      </c>
      <c r="AU58" s="472" t="s">
        <v>420</v>
      </c>
      <c r="AV58" s="472">
        <v>2020</v>
      </c>
      <c r="AW58" s="474" t="s">
        <v>15078</v>
      </c>
      <c r="AX58" s="475" t="s">
        <v>15079</v>
      </c>
      <c r="AY58" s="515">
        <v>1</v>
      </c>
      <c r="AZ58" s="474" t="s">
        <v>15079</v>
      </c>
      <c r="BA58" s="472" t="s">
        <v>1390</v>
      </c>
      <c r="BB58" s="472" t="s">
        <v>1385</v>
      </c>
      <c r="BC58" s="472" t="s">
        <v>1385</v>
      </c>
      <c r="BD58" s="472" t="s">
        <v>1385</v>
      </c>
      <c r="BE58" s="472" t="s">
        <v>1385</v>
      </c>
      <c r="BF58" s="472">
        <v>24899.4</v>
      </c>
      <c r="BG58" s="472">
        <v>0</v>
      </c>
      <c r="BH58" s="472" t="s">
        <v>1385</v>
      </c>
      <c r="BI58" s="510">
        <v>0</v>
      </c>
      <c r="BJ58" s="510">
        <v>0</v>
      </c>
      <c r="BK58" s="510">
        <v>0</v>
      </c>
      <c r="BL58" s="510">
        <v>0</v>
      </c>
      <c r="BM58" s="510">
        <v>0</v>
      </c>
      <c r="BN58" s="510">
        <v>4000</v>
      </c>
      <c r="BO58" s="510">
        <v>0</v>
      </c>
      <c r="BP58" s="510">
        <v>0</v>
      </c>
      <c r="BQ58" s="510">
        <v>0</v>
      </c>
      <c r="BR58" s="510">
        <v>0</v>
      </c>
      <c r="BS58" s="510">
        <v>0</v>
      </c>
      <c r="BT58" s="510">
        <v>0</v>
      </c>
      <c r="BU58" s="510">
        <v>0</v>
      </c>
      <c r="BV58" s="510">
        <v>0</v>
      </c>
      <c r="BW58" s="510">
        <v>0</v>
      </c>
      <c r="BX58" s="510">
        <v>30000</v>
      </c>
      <c r="BY58" s="1011">
        <v>0</v>
      </c>
      <c r="BZ58" s="510">
        <v>0</v>
      </c>
      <c r="CA58" s="1011">
        <v>0</v>
      </c>
      <c r="CB58" s="510">
        <v>0</v>
      </c>
      <c r="CC58" s="1011">
        <v>0</v>
      </c>
      <c r="CD58" s="510">
        <v>0</v>
      </c>
      <c r="CE58" s="1011">
        <v>0</v>
      </c>
      <c r="CF58" s="510">
        <v>48199.199999999997</v>
      </c>
      <c r="CG58" s="1011">
        <v>0</v>
      </c>
      <c r="CH58" s="510">
        <v>0</v>
      </c>
      <c r="CI58" s="1011">
        <v>0</v>
      </c>
    </row>
    <row r="59" spans="1:87" ht="12.75" customHeight="1" x14ac:dyDescent="0.2">
      <c r="A59" s="449">
        <v>157</v>
      </c>
      <c r="B59" s="453">
        <v>10910</v>
      </c>
      <c r="C59" s="454" t="s">
        <v>1868</v>
      </c>
      <c r="D59" s="454" t="s">
        <v>1390</v>
      </c>
      <c r="E59" s="454" t="s">
        <v>1868</v>
      </c>
      <c r="F59" s="454" t="s">
        <v>520</v>
      </c>
      <c r="G59" s="454" t="s">
        <v>12421</v>
      </c>
      <c r="H59" s="455">
        <v>67830117000173</v>
      </c>
      <c r="I59" s="462">
        <v>34011</v>
      </c>
      <c r="J59" s="457">
        <v>37616323</v>
      </c>
      <c r="K59" s="454" t="s">
        <v>1869</v>
      </c>
      <c r="L59" s="458">
        <v>198</v>
      </c>
      <c r="M59" s="454" t="s">
        <v>1870</v>
      </c>
      <c r="N59" s="459">
        <v>5887510</v>
      </c>
      <c r="O59" s="460">
        <v>58248896</v>
      </c>
      <c r="P59" s="462">
        <v>307761</v>
      </c>
      <c r="Q59" s="462">
        <v>92</v>
      </c>
      <c r="R59" s="462">
        <v>43969</v>
      </c>
      <c r="S59" s="463">
        <v>274</v>
      </c>
      <c r="T59" s="464">
        <v>3.6</v>
      </c>
      <c r="U59" s="465">
        <v>986.4</v>
      </c>
      <c r="V59" s="465">
        <v>12240</v>
      </c>
      <c r="W59" s="466">
        <v>0</v>
      </c>
      <c r="X59" s="467">
        <v>1</v>
      </c>
      <c r="Y59" s="466">
        <v>19839.599999999999</v>
      </c>
      <c r="Z59" s="468" t="s">
        <v>516</v>
      </c>
      <c r="AA59" s="466">
        <v>91472.4</v>
      </c>
      <c r="AB59" s="466">
        <v>91472.4</v>
      </c>
      <c r="AC59" s="467">
        <v>0</v>
      </c>
      <c r="AD59" s="466">
        <v>0</v>
      </c>
      <c r="AE59" s="468" t="s">
        <v>516</v>
      </c>
      <c r="AF59" s="466">
        <v>0</v>
      </c>
      <c r="AG59" s="466">
        <v>0</v>
      </c>
      <c r="AH59" s="466">
        <v>12993.19</v>
      </c>
      <c r="AI59" s="466">
        <v>11167.34</v>
      </c>
      <c r="AJ59" s="469" t="s">
        <v>1515</v>
      </c>
      <c r="AK59" s="470" t="s">
        <v>1516</v>
      </c>
      <c r="AL59" s="471" t="s">
        <v>1871</v>
      </c>
      <c r="AM59" s="470" t="s">
        <v>12422</v>
      </c>
      <c r="AN59" s="470" t="s">
        <v>1872</v>
      </c>
      <c r="AO59" s="470" t="s">
        <v>1873</v>
      </c>
      <c r="AP59" s="470" t="s">
        <v>1874</v>
      </c>
      <c r="AQ59" s="470" t="s">
        <v>1868</v>
      </c>
      <c r="AR59" s="472" t="s">
        <v>515</v>
      </c>
      <c r="AS59" s="473" t="s">
        <v>1385</v>
      </c>
      <c r="AT59" s="472" t="s">
        <v>1390</v>
      </c>
      <c r="AU59" s="472" t="s">
        <v>420</v>
      </c>
      <c r="AV59" s="472">
        <v>2020</v>
      </c>
      <c r="AW59" s="474" t="s">
        <v>15078</v>
      </c>
      <c r="AX59" s="475" t="s">
        <v>15079</v>
      </c>
      <c r="AY59" s="515">
        <v>1</v>
      </c>
      <c r="AZ59" s="474" t="s">
        <v>15079</v>
      </c>
      <c r="BA59" s="472" t="s">
        <v>1390</v>
      </c>
      <c r="BB59" s="472" t="s">
        <v>1385</v>
      </c>
      <c r="BC59" s="472" t="s">
        <v>1385</v>
      </c>
      <c r="BD59" s="472" t="s">
        <v>1385</v>
      </c>
      <c r="BE59" s="472" t="s">
        <v>1385</v>
      </c>
      <c r="BF59" s="472">
        <v>19839.599999999999</v>
      </c>
      <c r="BG59" s="472">
        <v>0</v>
      </c>
      <c r="BH59" s="472" t="s">
        <v>1385</v>
      </c>
      <c r="BI59" s="510">
        <v>0</v>
      </c>
      <c r="BJ59" s="510">
        <v>0</v>
      </c>
      <c r="BK59" s="510">
        <v>0</v>
      </c>
      <c r="BL59" s="510">
        <v>0</v>
      </c>
      <c r="BM59" s="510">
        <v>0</v>
      </c>
      <c r="BN59" s="510">
        <v>3500</v>
      </c>
      <c r="BO59" s="510">
        <v>0</v>
      </c>
      <c r="BP59" s="510">
        <v>0</v>
      </c>
      <c r="BQ59" s="510">
        <v>0</v>
      </c>
      <c r="BR59" s="510">
        <v>0</v>
      </c>
      <c r="BS59" s="510">
        <v>0</v>
      </c>
      <c r="BT59" s="510">
        <v>0</v>
      </c>
      <c r="BU59" s="510">
        <v>0</v>
      </c>
      <c r="BV59" s="510">
        <v>0</v>
      </c>
      <c r="BW59" s="510">
        <v>0</v>
      </c>
      <c r="BX59" s="510">
        <v>30000</v>
      </c>
      <c r="BY59" s="1011">
        <v>0</v>
      </c>
      <c r="BZ59" s="510">
        <v>0</v>
      </c>
      <c r="CA59" s="1011">
        <v>0</v>
      </c>
      <c r="CB59" s="510">
        <v>0</v>
      </c>
      <c r="CC59" s="1011">
        <v>0</v>
      </c>
      <c r="CD59" s="510">
        <v>0</v>
      </c>
      <c r="CE59" s="1011">
        <v>0</v>
      </c>
      <c r="CF59" s="510">
        <v>41632.800000000003</v>
      </c>
      <c r="CG59" s="1011">
        <v>0</v>
      </c>
      <c r="CH59" s="510">
        <v>0</v>
      </c>
      <c r="CI59" s="1011">
        <v>0</v>
      </c>
    </row>
    <row r="60" spans="1:87" ht="12.75" customHeight="1" x14ac:dyDescent="0.2">
      <c r="A60" s="449">
        <v>103</v>
      </c>
      <c r="B60" s="453">
        <v>11045</v>
      </c>
      <c r="C60" s="454" t="s">
        <v>1875</v>
      </c>
      <c r="D60" s="454" t="s">
        <v>1390</v>
      </c>
      <c r="E60" s="454" t="s">
        <v>1876</v>
      </c>
      <c r="F60" s="454" t="s">
        <v>513</v>
      </c>
      <c r="G60" s="454" t="s">
        <v>12423</v>
      </c>
      <c r="H60" s="455">
        <v>73216574000175</v>
      </c>
      <c r="I60" s="462">
        <v>34144</v>
      </c>
      <c r="J60" s="457">
        <v>37531956</v>
      </c>
      <c r="K60" s="454" t="s">
        <v>1877</v>
      </c>
      <c r="L60" s="458">
        <v>477</v>
      </c>
      <c r="M60" s="454" t="s">
        <v>1878</v>
      </c>
      <c r="N60" s="459">
        <v>8311410</v>
      </c>
      <c r="O60" s="460">
        <v>20153182</v>
      </c>
      <c r="P60" s="462">
        <v>151516</v>
      </c>
      <c r="Q60" s="462">
        <v>103</v>
      </c>
      <c r="R60" s="462">
        <v>43937</v>
      </c>
      <c r="S60" s="463">
        <v>149</v>
      </c>
      <c r="T60" s="464">
        <v>3.6</v>
      </c>
      <c r="U60" s="465">
        <v>536.4</v>
      </c>
      <c r="V60" s="465">
        <v>10800</v>
      </c>
      <c r="W60" s="466">
        <v>0</v>
      </c>
      <c r="X60" s="467">
        <v>1</v>
      </c>
      <c r="Y60" s="466">
        <v>17004.599999999999</v>
      </c>
      <c r="Z60" s="468" t="s">
        <v>516</v>
      </c>
      <c r="AA60" s="466">
        <v>84663</v>
      </c>
      <c r="AB60" s="466">
        <v>84663</v>
      </c>
      <c r="AC60" s="467">
        <v>0</v>
      </c>
      <c r="AD60" s="466">
        <v>0</v>
      </c>
      <c r="AE60" s="468" t="s">
        <v>516</v>
      </c>
      <c r="AF60" s="466">
        <v>0</v>
      </c>
      <c r="AG60" s="466">
        <v>0</v>
      </c>
      <c r="AH60" s="466">
        <v>3781.47</v>
      </c>
      <c r="AI60" s="466">
        <v>2406.29</v>
      </c>
      <c r="AJ60" s="469" t="s">
        <v>1580</v>
      </c>
      <c r="AK60" s="470" t="s">
        <v>1879</v>
      </c>
      <c r="AL60" s="471" t="s">
        <v>1880</v>
      </c>
      <c r="AM60" s="470" t="s">
        <v>1881</v>
      </c>
      <c r="AN60" s="470" t="s">
        <v>1882</v>
      </c>
      <c r="AO60" s="470" t="s">
        <v>1883</v>
      </c>
      <c r="AP60" s="470" t="s">
        <v>1884</v>
      </c>
      <c r="AQ60" s="470" t="s">
        <v>1875</v>
      </c>
      <c r="AR60" s="472" t="s">
        <v>515</v>
      </c>
      <c r="AS60" s="473" t="s">
        <v>1385</v>
      </c>
      <c r="AT60" s="472" t="s">
        <v>1390</v>
      </c>
      <c r="AU60" s="472" t="s">
        <v>420</v>
      </c>
      <c r="AV60" s="472">
        <v>2020</v>
      </c>
      <c r="AW60" s="474" t="s">
        <v>15078</v>
      </c>
      <c r="AX60" s="475" t="s">
        <v>15079</v>
      </c>
      <c r="AY60" s="515">
        <v>1</v>
      </c>
      <c r="AZ60" s="474" t="s">
        <v>15079</v>
      </c>
      <c r="BA60" s="472" t="s">
        <v>1390</v>
      </c>
      <c r="BB60" s="472" t="s">
        <v>1385</v>
      </c>
      <c r="BC60" s="472" t="s">
        <v>1385</v>
      </c>
      <c r="BD60" s="472" t="s">
        <v>1385</v>
      </c>
      <c r="BE60" s="472" t="s">
        <v>1385</v>
      </c>
      <c r="BF60" s="472">
        <v>17004.599999999999</v>
      </c>
      <c r="BG60" s="472">
        <v>0</v>
      </c>
      <c r="BH60" s="472" t="s">
        <v>1385</v>
      </c>
      <c r="BI60" s="510">
        <v>0</v>
      </c>
      <c r="BJ60" s="510">
        <v>0</v>
      </c>
      <c r="BK60" s="510">
        <v>0</v>
      </c>
      <c r="BL60" s="510">
        <v>0</v>
      </c>
      <c r="BM60" s="510">
        <v>0</v>
      </c>
      <c r="BN60" s="510">
        <v>2000</v>
      </c>
      <c r="BO60" s="510">
        <v>0</v>
      </c>
      <c r="BP60" s="510">
        <v>0</v>
      </c>
      <c r="BQ60" s="510">
        <v>0</v>
      </c>
      <c r="BR60" s="510">
        <v>0</v>
      </c>
      <c r="BS60" s="510">
        <v>0</v>
      </c>
      <c r="BT60" s="510">
        <v>0</v>
      </c>
      <c r="BU60" s="510">
        <v>0</v>
      </c>
      <c r="BV60" s="510">
        <v>0</v>
      </c>
      <c r="BW60" s="510">
        <v>0</v>
      </c>
      <c r="BX60" s="510">
        <v>30000</v>
      </c>
      <c r="BY60" s="1011">
        <v>0</v>
      </c>
      <c r="BZ60" s="510">
        <v>0</v>
      </c>
      <c r="CA60" s="1011">
        <v>0</v>
      </c>
      <c r="CB60" s="510">
        <v>0</v>
      </c>
      <c r="CC60" s="1011">
        <v>0</v>
      </c>
      <c r="CD60" s="510">
        <v>0</v>
      </c>
      <c r="CE60" s="1011">
        <v>0</v>
      </c>
      <c r="CF60" s="510">
        <v>37658.400000000001</v>
      </c>
      <c r="CG60" s="1011">
        <v>0</v>
      </c>
      <c r="CH60" s="510">
        <v>0</v>
      </c>
      <c r="CI60" s="1011">
        <v>0</v>
      </c>
    </row>
    <row r="61" spans="1:87" s="448" customFormat="1" ht="12.75" customHeight="1" x14ac:dyDescent="0.2">
      <c r="A61" s="449">
        <v>93</v>
      </c>
      <c r="B61" s="453">
        <v>11380</v>
      </c>
      <c r="C61" s="454" t="s">
        <v>1885</v>
      </c>
      <c r="D61" s="454" t="s">
        <v>1390</v>
      </c>
      <c r="E61" s="454" t="s">
        <v>1886</v>
      </c>
      <c r="F61" s="454" t="s">
        <v>526</v>
      </c>
      <c r="G61" s="454" t="s">
        <v>12424</v>
      </c>
      <c r="H61" s="455">
        <v>73934655000100</v>
      </c>
      <c r="I61" s="462">
        <v>34285</v>
      </c>
      <c r="J61" s="457">
        <v>37587382</v>
      </c>
      <c r="K61" s="454" t="s">
        <v>1887</v>
      </c>
      <c r="L61" s="458">
        <v>110</v>
      </c>
      <c r="M61" s="454" t="s">
        <v>1888</v>
      </c>
      <c r="N61" s="459">
        <v>8050350</v>
      </c>
      <c r="O61" s="460">
        <v>20517300</v>
      </c>
      <c r="P61" s="462">
        <v>123679</v>
      </c>
      <c r="Q61" s="462">
        <v>93</v>
      </c>
      <c r="R61" s="462">
        <v>43928</v>
      </c>
      <c r="S61" s="463">
        <v>454</v>
      </c>
      <c r="T61" s="464">
        <v>3.6</v>
      </c>
      <c r="U61" s="465">
        <v>1634.4</v>
      </c>
      <c r="V61" s="465">
        <v>15120</v>
      </c>
      <c r="W61" s="466">
        <v>0</v>
      </c>
      <c r="X61" s="467">
        <v>1</v>
      </c>
      <c r="Y61" s="466">
        <v>25131.599999999999</v>
      </c>
      <c r="Z61" s="468" t="s">
        <v>516</v>
      </c>
      <c r="AA61" s="466">
        <v>103791.6</v>
      </c>
      <c r="AB61" s="466">
        <v>103791.6</v>
      </c>
      <c r="AC61" s="467">
        <v>0</v>
      </c>
      <c r="AD61" s="466">
        <v>0</v>
      </c>
      <c r="AE61" s="468" t="s">
        <v>516</v>
      </c>
      <c r="AF61" s="466">
        <v>0</v>
      </c>
      <c r="AG61" s="466">
        <v>0</v>
      </c>
      <c r="AH61" s="466">
        <v>10607.88</v>
      </c>
      <c r="AI61" s="466">
        <v>8717.84</v>
      </c>
      <c r="AJ61" s="469" t="s">
        <v>1889</v>
      </c>
      <c r="AK61" s="470" t="s">
        <v>1890</v>
      </c>
      <c r="AL61" s="471" t="s">
        <v>1891</v>
      </c>
      <c r="AM61" s="470" t="s">
        <v>12425</v>
      </c>
      <c r="AN61" s="470" t="s">
        <v>1385</v>
      </c>
      <c r="AO61" s="470" t="s">
        <v>1892</v>
      </c>
      <c r="AP61" s="470" t="s">
        <v>1893</v>
      </c>
      <c r="AQ61" s="470" t="s">
        <v>1885</v>
      </c>
      <c r="AR61" s="472" t="s">
        <v>515</v>
      </c>
      <c r="AS61" s="473" t="s">
        <v>1385</v>
      </c>
      <c r="AT61" s="472" t="s">
        <v>1390</v>
      </c>
      <c r="AU61" s="472" t="s">
        <v>420</v>
      </c>
      <c r="AV61" s="472">
        <v>2020</v>
      </c>
      <c r="AW61" s="474" t="s">
        <v>15078</v>
      </c>
      <c r="AX61" s="475" t="s">
        <v>15079</v>
      </c>
      <c r="AY61" s="515">
        <v>1</v>
      </c>
      <c r="AZ61" s="474" t="s">
        <v>15079</v>
      </c>
      <c r="BA61" s="472" t="s">
        <v>1390</v>
      </c>
      <c r="BB61" s="472" t="s">
        <v>1385</v>
      </c>
      <c r="BC61" s="472" t="s">
        <v>1385</v>
      </c>
      <c r="BD61" s="472" t="s">
        <v>1385</v>
      </c>
      <c r="BE61" s="472" t="s">
        <v>1385</v>
      </c>
      <c r="BF61" s="472">
        <v>25131.599999999999</v>
      </c>
      <c r="BG61" s="472">
        <v>0</v>
      </c>
      <c r="BH61" s="472" t="s">
        <v>1385</v>
      </c>
      <c r="BI61" s="510">
        <v>0</v>
      </c>
      <c r="BJ61" s="510">
        <v>0</v>
      </c>
      <c r="BK61" s="510">
        <v>0</v>
      </c>
      <c r="BL61" s="510">
        <v>0</v>
      </c>
      <c r="BM61" s="510">
        <v>0</v>
      </c>
      <c r="BN61" s="510">
        <v>4000</v>
      </c>
      <c r="BO61" s="510">
        <v>0</v>
      </c>
      <c r="BP61" s="510">
        <v>0</v>
      </c>
      <c r="BQ61" s="510">
        <v>0</v>
      </c>
      <c r="BR61" s="510">
        <v>0</v>
      </c>
      <c r="BS61" s="510">
        <v>0</v>
      </c>
      <c r="BT61" s="510">
        <v>0</v>
      </c>
      <c r="BU61" s="510">
        <v>0</v>
      </c>
      <c r="BV61" s="510">
        <v>0</v>
      </c>
      <c r="BW61" s="510">
        <v>0</v>
      </c>
      <c r="BX61" s="510">
        <v>30000</v>
      </c>
      <c r="BY61" s="1011">
        <v>0</v>
      </c>
      <c r="BZ61" s="510">
        <v>0</v>
      </c>
      <c r="CA61" s="1011">
        <v>0</v>
      </c>
      <c r="CB61" s="510">
        <v>0</v>
      </c>
      <c r="CC61" s="1011">
        <v>0</v>
      </c>
      <c r="CD61" s="510">
        <v>0</v>
      </c>
      <c r="CE61" s="1011">
        <v>0</v>
      </c>
      <c r="CF61" s="510">
        <v>48660</v>
      </c>
      <c r="CG61" s="1011">
        <v>0</v>
      </c>
      <c r="CH61" s="510">
        <v>0</v>
      </c>
      <c r="CI61" s="1011">
        <v>0</v>
      </c>
    </row>
    <row r="62" spans="1:87" ht="12.75" customHeight="1" x14ac:dyDescent="0.2">
      <c r="A62" s="449">
        <v>36</v>
      </c>
      <c r="B62" s="453">
        <v>11533</v>
      </c>
      <c r="C62" s="454" t="s">
        <v>1894</v>
      </c>
      <c r="D62" s="454" t="s">
        <v>517</v>
      </c>
      <c r="E62" s="454" t="s">
        <v>1895</v>
      </c>
      <c r="F62" s="454" t="s">
        <v>524</v>
      </c>
      <c r="G62" s="454" t="s">
        <v>12426</v>
      </c>
      <c r="H62" s="455">
        <v>73374092000143</v>
      </c>
      <c r="I62" s="462">
        <v>34199</v>
      </c>
      <c r="J62" s="457">
        <v>37500341</v>
      </c>
      <c r="K62" s="454" t="s">
        <v>1896</v>
      </c>
      <c r="L62" s="458">
        <v>19</v>
      </c>
      <c r="M62" s="454" t="s">
        <v>1879</v>
      </c>
      <c r="N62" s="459">
        <v>3254330</v>
      </c>
      <c r="O62" s="460">
        <v>21431555</v>
      </c>
      <c r="P62" s="462">
        <v>203877</v>
      </c>
      <c r="Q62" s="462">
        <v>41</v>
      </c>
      <c r="R62" s="462">
        <v>43906</v>
      </c>
      <c r="S62" s="463">
        <v>380</v>
      </c>
      <c r="T62" s="464">
        <v>5.4</v>
      </c>
      <c r="U62" s="465">
        <v>2052</v>
      </c>
      <c r="V62" s="465">
        <v>15480</v>
      </c>
      <c r="W62" s="466">
        <v>0</v>
      </c>
      <c r="X62" s="467">
        <v>1</v>
      </c>
      <c r="Y62" s="466">
        <v>26298</v>
      </c>
      <c r="Z62" s="468" t="s">
        <v>516</v>
      </c>
      <c r="AA62" s="466">
        <v>113480.8</v>
      </c>
      <c r="AB62" s="466">
        <v>113480.8</v>
      </c>
      <c r="AC62" s="467">
        <v>0</v>
      </c>
      <c r="AD62" s="466">
        <v>0</v>
      </c>
      <c r="AE62" s="468" t="s">
        <v>516</v>
      </c>
      <c r="AF62" s="466">
        <v>0</v>
      </c>
      <c r="AG62" s="466">
        <v>0</v>
      </c>
      <c r="AH62" s="466">
        <v>16348.54</v>
      </c>
      <c r="AI62" s="466">
        <v>3621.63</v>
      </c>
      <c r="AJ62" s="469" t="s">
        <v>1580</v>
      </c>
      <c r="AK62" s="470" t="s">
        <v>1581</v>
      </c>
      <c r="AL62" s="471" t="s">
        <v>1897</v>
      </c>
      <c r="AM62" s="470" t="s">
        <v>15124</v>
      </c>
      <c r="AN62" s="470" t="s">
        <v>1898</v>
      </c>
      <c r="AO62" s="470" t="s">
        <v>12427</v>
      </c>
      <c r="AP62" s="470" t="s">
        <v>1899</v>
      </c>
      <c r="AQ62" s="470" t="s">
        <v>1894</v>
      </c>
      <c r="AR62" s="472" t="s">
        <v>515</v>
      </c>
      <c r="AS62" s="473" t="s">
        <v>1385</v>
      </c>
      <c r="AT62" s="472" t="s">
        <v>517</v>
      </c>
      <c r="AU62" s="472" t="s">
        <v>420</v>
      </c>
      <c r="AV62" s="472">
        <v>2020</v>
      </c>
      <c r="AW62" s="474" t="s">
        <v>15078</v>
      </c>
      <c r="AX62" s="475" t="s">
        <v>15079</v>
      </c>
      <c r="AY62" s="515">
        <v>1</v>
      </c>
      <c r="AZ62" s="474" t="s">
        <v>15079</v>
      </c>
      <c r="BA62" s="472" t="s">
        <v>517</v>
      </c>
      <c r="BB62" s="472" t="s">
        <v>1385</v>
      </c>
      <c r="BC62" s="472" t="s">
        <v>1385</v>
      </c>
      <c r="BD62" s="472" t="s">
        <v>1385</v>
      </c>
      <c r="BE62" s="472" t="s">
        <v>1385</v>
      </c>
      <c r="BF62" s="472">
        <v>26298</v>
      </c>
      <c r="BG62" s="472">
        <v>0</v>
      </c>
      <c r="BH62" s="472" t="s">
        <v>1385</v>
      </c>
      <c r="BI62" s="510">
        <v>0</v>
      </c>
      <c r="BJ62" s="510">
        <v>0</v>
      </c>
      <c r="BK62" s="510">
        <v>0</v>
      </c>
      <c r="BL62" s="510">
        <v>725.95</v>
      </c>
      <c r="BM62" s="510">
        <v>0</v>
      </c>
      <c r="BN62" s="510">
        <v>2620</v>
      </c>
      <c r="BO62" s="510">
        <v>0</v>
      </c>
      <c r="BP62" s="510">
        <v>0</v>
      </c>
      <c r="BQ62" s="510">
        <v>0</v>
      </c>
      <c r="BR62" s="510">
        <v>0</v>
      </c>
      <c r="BS62" s="510">
        <v>0</v>
      </c>
      <c r="BT62" s="510">
        <v>0</v>
      </c>
      <c r="BU62" s="510">
        <v>0</v>
      </c>
      <c r="BV62" s="510">
        <v>0</v>
      </c>
      <c r="BW62" s="510">
        <v>0</v>
      </c>
      <c r="BX62" s="510">
        <v>30000</v>
      </c>
      <c r="BY62" s="1011">
        <v>0</v>
      </c>
      <c r="BZ62" s="510">
        <v>0</v>
      </c>
      <c r="CA62" s="1011">
        <v>0</v>
      </c>
      <c r="CB62" s="510">
        <v>22000</v>
      </c>
      <c r="CC62" s="1011">
        <v>0</v>
      </c>
      <c r="CD62" s="510">
        <v>0</v>
      </c>
      <c r="CE62" s="1011">
        <v>0</v>
      </c>
      <c r="CF62" s="510">
        <v>35182.800000000003</v>
      </c>
      <c r="CG62" s="1011">
        <v>0</v>
      </c>
      <c r="CH62" s="510">
        <v>0</v>
      </c>
      <c r="CI62" s="1011">
        <v>0</v>
      </c>
    </row>
    <row r="63" spans="1:87" ht="12.75" customHeight="1" x14ac:dyDescent="0.2">
      <c r="A63" s="449">
        <v>123</v>
      </c>
      <c r="B63" s="453">
        <v>11541</v>
      </c>
      <c r="C63" s="454" t="s">
        <v>1900</v>
      </c>
      <c r="D63" s="454" t="s">
        <v>1390</v>
      </c>
      <c r="E63" s="454" t="s">
        <v>1901</v>
      </c>
      <c r="F63" s="454" t="s">
        <v>526</v>
      </c>
      <c r="G63" s="454" t="s">
        <v>12428</v>
      </c>
      <c r="H63" s="455">
        <v>1200148000132</v>
      </c>
      <c r="I63" s="462">
        <v>35173</v>
      </c>
      <c r="J63" s="457">
        <v>37476289</v>
      </c>
      <c r="K63" s="454" t="s">
        <v>1902</v>
      </c>
      <c r="L63" s="458">
        <v>12</v>
      </c>
      <c r="M63" s="454" t="s">
        <v>1903</v>
      </c>
      <c r="N63" s="459">
        <v>3812110</v>
      </c>
      <c r="O63" s="460">
        <v>25460815</v>
      </c>
      <c r="P63" s="462">
        <v>120726</v>
      </c>
      <c r="Q63" s="462">
        <v>123</v>
      </c>
      <c r="R63" s="462">
        <v>43928</v>
      </c>
      <c r="S63" s="463">
        <v>265</v>
      </c>
      <c r="T63" s="464">
        <v>3.6</v>
      </c>
      <c r="U63" s="465">
        <v>954</v>
      </c>
      <c r="V63" s="465">
        <v>12240</v>
      </c>
      <c r="W63" s="466">
        <v>0</v>
      </c>
      <c r="X63" s="467">
        <v>1</v>
      </c>
      <c r="Y63" s="466">
        <v>19791</v>
      </c>
      <c r="Z63" s="468" t="s">
        <v>516</v>
      </c>
      <c r="AA63" s="466">
        <v>91128.6</v>
      </c>
      <c r="AB63" s="466">
        <v>91128.6</v>
      </c>
      <c r="AC63" s="467">
        <v>0</v>
      </c>
      <c r="AD63" s="466">
        <v>0</v>
      </c>
      <c r="AE63" s="468" t="s">
        <v>516</v>
      </c>
      <c r="AF63" s="466">
        <v>0</v>
      </c>
      <c r="AG63" s="466">
        <v>0</v>
      </c>
      <c r="AH63" s="466">
        <v>14127.14</v>
      </c>
      <c r="AI63" s="466">
        <v>0</v>
      </c>
      <c r="AJ63" s="469" t="s">
        <v>1839</v>
      </c>
      <c r="AK63" s="470" t="s">
        <v>526</v>
      </c>
      <c r="AL63" s="471" t="s">
        <v>1904</v>
      </c>
      <c r="AM63" s="470" t="s">
        <v>12429</v>
      </c>
      <c r="AN63" s="470" t="s">
        <v>1385</v>
      </c>
      <c r="AO63" s="470" t="s">
        <v>1905</v>
      </c>
      <c r="AP63" s="470" t="s">
        <v>1906</v>
      </c>
      <c r="AQ63" s="470" t="s">
        <v>1900</v>
      </c>
      <c r="AR63" s="472" t="s">
        <v>515</v>
      </c>
      <c r="AS63" s="473" t="s">
        <v>1385</v>
      </c>
      <c r="AT63" s="472" t="s">
        <v>1390</v>
      </c>
      <c r="AU63" s="472" t="s">
        <v>420</v>
      </c>
      <c r="AV63" s="472">
        <v>2020</v>
      </c>
      <c r="AW63" s="474" t="s">
        <v>15078</v>
      </c>
      <c r="AX63" s="475" t="s">
        <v>15079</v>
      </c>
      <c r="AY63" s="515">
        <v>1</v>
      </c>
      <c r="AZ63" s="474" t="s">
        <v>15079</v>
      </c>
      <c r="BA63" s="472" t="s">
        <v>1390</v>
      </c>
      <c r="BB63" s="472" t="s">
        <v>1385</v>
      </c>
      <c r="BC63" s="472" t="s">
        <v>1385</v>
      </c>
      <c r="BD63" s="472" t="s">
        <v>1385</v>
      </c>
      <c r="BE63" s="472" t="s">
        <v>1385</v>
      </c>
      <c r="BF63" s="472">
        <v>19791</v>
      </c>
      <c r="BG63" s="472">
        <v>0</v>
      </c>
      <c r="BH63" s="472" t="s">
        <v>1385</v>
      </c>
      <c r="BI63" s="510">
        <v>0</v>
      </c>
      <c r="BJ63" s="510">
        <v>7</v>
      </c>
      <c r="BK63" s="510">
        <v>0</v>
      </c>
      <c r="BL63" s="510">
        <v>0</v>
      </c>
      <c r="BM63" s="510">
        <v>0</v>
      </c>
      <c r="BN63" s="510">
        <v>3500</v>
      </c>
      <c r="BO63" s="510">
        <v>0</v>
      </c>
      <c r="BP63" s="510">
        <v>0</v>
      </c>
      <c r="BQ63" s="510">
        <v>0</v>
      </c>
      <c r="BR63" s="510">
        <v>0</v>
      </c>
      <c r="BS63" s="510">
        <v>0</v>
      </c>
      <c r="BT63" s="510">
        <v>0</v>
      </c>
      <c r="BU63" s="510">
        <v>0</v>
      </c>
      <c r="BV63" s="510">
        <v>0</v>
      </c>
      <c r="BW63" s="510">
        <v>0</v>
      </c>
      <c r="BX63" s="510">
        <v>30000</v>
      </c>
      <c r="BY63" s="1011">
        <v>0</v>
      </c>
      <c r="BZ63" s="510">
        <v>0</v>
      </c>
      <c r="CA63" s="1011">
        <v>0</v>
      </c>
      <c r="CB63" s="510">
        <v>0</v>
      </c>
      <c r="CC63" s="1011">
        <v>0</v>
      </c>
      <c r="CD63" s="510">
        <v>0</v>
      </c>
      <c r="CE63" s="1011">
        <v>0</v>
      </c>
      <c r="CF63" s="510">
        <v>41337.599999999999</v>
      </c>
      <c r="CG63" s="1011">
        <v>0</v>
      </c>
      <c r="CH63" s="510">
        <v>0</v>
      </c>
      <c r="CI63" s="1011">
        <v>0</v>
      </c>
    </row>
    <row r="64" spans="1:87" ht="12.75" customHeight="1" x14ac:dyDescent="0.2">
      <c r="A64" s="449">
        <v>156</v>
      </c>
      <c r="B64" s="453">
        <v>11550</v>
      </c>
      <c r="C64" s="454" t="s">
        <v>1907</v>
      </c>
      <c r="D64" s="454" t="s">
        <v>1390</v>
      </c>
      <c r="E64" s="454" t="s">
        <v>1907</v>
      </c>
      <c r="F64" s="454" t="s">
        <v>520</v>
      </c>
      <c r="G64" s="454" t="s">
        <v>12430</v>
      </c>
      <c r="H64" s="455">
        <v>69096378000137</v>
      </c>
      <c r="I64" s="462">
        <v>34276</v>
      </c>
      <c r="J64" s="457">
        <v>37628240</v>
      </c>
      <c r="K64" s="454" t="s">
        <v>1909</v>
      </c>
      <c r="L64" s="458">
        <v>360</v>
      </c>
      <c r="M64" s="454" t="s">
        <v>1469</v>
      </c>
      <c r="N64" s="459">
        <v>5868040</v>
      </c>
      <c r="O64" s="460">
        <v>58215644</v>
      </c>
      <c r="P64" s="462">
        <v>306781</v>
      </c>
      <c r="Q64" s="462">
        <v>91</v>
      </c>
      <c r="R64" s="462">
        <v>43983</v>
      </c>
      <c r="S64" s="463">
        <v>340</v>
      </c>
      <c r="T64" s="464">
        <v>3.6</v>
      </c>
      <c r="U64" s="465">
        <v>1224</v>
      </c>
      <c r="V64" s="465">
        <v>13680</v>
      </c>
      <c r="W64" s="466">
        <v>0</v>
      </c>
      <c r="X64" s="467">
        <v>1</v>
      </c>
      <c r="Y64" s="466">
        <v>22356</v>
      </c>
      <c r="Z64" s="468" t="s">
        <v>516</v>
      </c>
      <c r="AA64" s="466">
        <v>97322.4</v>
      </c>
      <c r="AB64" s="466">
        <v>97322.4</v>
      </c>
      <c r="AC64" s="467">
        <v>0</v>
      </c>
      <c r="AD64" s="466">
        <v>0</v>
      </c>
      <c r="AE64" s="468" t="s">
        <v>516</v>
      </c>
      <c r="AF64" s="466">
        <v>0</v>
      </c>
      <c r="AG64" s="466">
        <v>0</v>
      </c>
      <c r="AH64" s="466">
        <v>9992.33</v>
      </c>
      <c r="AI64" s="466">
        <v>5961.6</v>
      </c>
      <c r="AJ64" s="469" t="s">
        <v>1470</v>
      </c>
      <c r="AK64" s="470" t="s">
        <v>1471</v>
      </c>
      <c r="AL64" s="471" t="s">
        <v>1910</v>
      </c>
      <c r="AM64" s="470" t="s">
        <v>12431</v>
      </c>
      <c r="AN64" s="470" t="s">
        <v>1908</v>
      </c>
      <c r="AO64" s="470" t="s">
        <v>1911</v>
      </c>
      <c r="AP64" s="470" t="s">
        <v>1912</v>
      </c>
      <c r="AQ64" s="470" t="s">
        <v>1907</v>
      </c>
      <c r="AR64" s="472" t="s">
        <v>515</v>
      </c>
      <c r="AS64" s="473" t="s">
        <v>1385</v>
      </c>
      <c r="AT64" s="472" t="s">
        <v>1390</v>
      </c>
      <c r="AU64" s="472" t="s">
        <v>420</v>
      </c>
      <c r="AV64" s="472">
        <v>2020</v>
      </c>
      <c r="AW64" s="474" t="s">
        <v>15078</v>
      </c>
      <c r="AX64" s="475" t="s">
        <v>15079</v>
      </c>
      <c r="AY64" s="515">
        <v>1</v>
      </c>
      <c r="AZ64" s="474" t="s">
        <v>15079</v>
      </c>
      <c r="BA64" s="472" t="s">
        <v>1390</v>
      </c>
      <c r="BB64" s="472" t="s">
        <v>1385</v>
      </c>
      <c r="BC64" s="472" t="s">
        <v>1385</v>
      </c>
      <c r="BD64" s="472" t="s">
        <v>1385</v>
      </c>
      <c r="BE64" s="472" t="s">
        <v>1385</v>
      </c>
      <c r="BF64" s="472">
        <v>22356</v>
      </c>
      <c r="BG64" s="472">
        <v>0</v>
      </c>
      <c r="BH64" s="472" t="s">
        <v>1385</v>
      </c>
      <c r="BI64" s="510">
        <v>0</v>
      </c>
      <c r="BJ64" s="510">
        <v>51.26</v>
      </c>
      <c r="BK64" s="510">
        <v>0</v>
      </c>
      <c r="BL64" s="510">
        <v>0</v>
      </c>
      <c r="BM64" s="510">
        <v>0</v>
      </c>
      <c r="BN64" s="510">
        <v>3500</v>
      </c>
      <c r="BO64" s="510">
        <v>0</v>
      </c>
      <c r="BP64" s="510">
        <v>0</v>
      </c>
      <c r="BQ64" s="510">
        <v>0</v>
      </c>
      <c r="BR64" s="510">
        <v>0</v>
      </c>
      <c r="BS64" s="510">
        <v>0</v>
      </c>
      <c r="BT64" s="510">
        <v>0</v>
      </c>
      <c r="BU64" s="510">
        <v>0</v>
      </c>
      <c r="BV64" s="510">
        <v>0</v>
      </c>
      <c r="BW64" s="510">
        <v>0</v>
      </c>
      <c r="BX64" s="510">
        <v>30000</v>
      </c>
      <c r="BY64" s="1011">
        <v>0</v>
      </c>
      <c r="BZ64" s="510">
        <v>0</v>
      </c>
      <c r="CA64" s="1011">
        <v>0</v>
      </c>
      <c r="CB64" s="510">
        <v>0</v>
      </c>
      <c r="CC64" s="1011">
        <v>0</v>
      </c>
      <c r="CD64" s="510">
        <v>0</v>
      </c>
      <c r="CE64" s="1011">
        <v>0</v>
      </c>
      <c r="CF64" s="510">
        <v>44966.400000000001</v>
      </c>
      <c r="CG64" s="1011">
        <v>0</v>
      </c>
      <c r="CH64" s="510">
        <v>0</v>
      </c>
      <c r="CI64" s="1011">
        <v>0</v>
      </c>
    </row>
    <row r="65" spans="1:87" s="448" customFormat="1" ht="12.75" customHeight="1" x14ac:dyDescent="0.2">
      <c r="A65" s="449">
        <v>80</v>
      </c>
      <c r="B65" s="453">
        <v>11568</v>
      </c>
      <c r="C65" s="454" t="s">
        <v>1913</v>
      </c>
      <c r="D65" s="454" t="s">
        <v>1390</v>
      </c>
      <c r="E65" s="454" t="s">
        <v>1914</v>
      </c>
      <c r="F65" s="454" t="s">
        <v>521</v>
      </c>
      <c r="G65" s="454" t="s">
        <v>12432</v>
      </c>
      <c r="H65" s="455">
        <v>1146508000165</v>
      </c>
      <c r="I65" s="462">
        <v>35164</v>
      </c>
      <c r="J65" s="457">
        <v>37550055</v>
      </c>
      <c r="K65" s="454" t="s">
        <v>1915</v>
      </c>
      <c r="L65" s="458">
        <v>79</v>
      </c>
      <c r="M65" s="454" t="s">
        <v>1916</v>
      </c>
      <c r="N65" s="459">
        <v>4890410</v>
      </c>
      <c r="O65" s="460">
        <v>59219964</v>
      </c>
      <c r="P65" s="462">
        <v>96485</v>
      </c>
      <c r="Q65" s="462">
        <v>41</v>
      </c>
      <c r="R65" s="462">
        <v>43934</v>
      </c>
      <c r="S65" s="463">
        <v>594</v>
      </c>
      <c r="T65" s="464">
        <v>3.6</v>
      </c>
      <c r="U65" s="465">
        <v>2138.4</v>
      </c>
      <c r="V65" s="465">
        <v>16560</v>
      </c>
      <c r="W65" s="466">
        <v>0</v>
      </c>
      <c r="X65" s="467">
        <v>1</v>
      </c>
      <c r="Y65" s="466">
        <v>28047.599999999999</v>
      </c>
      <c r="Z65" s="468" t="s">
        <v>516</v>
      </c>
      <c r="AA65" s="466">
        <v>113403.6</v>
      </c>
      <c r="AB65" s="466">
        <v>113403.6</v>
      </c>
      <c r="AC65" s="467">
        <v>0</v>
      </c>
      <c r="AD65" s="466">
        <v>0</v>
      </c>
      <c r="AE65" s="468" t="s">
        <v>516</v>
      </c>
      <c r="AF65" s="466">
        <v>0</v>
      </c>
      <c r="AG65" s="466">
        <v>0</v>
      </c>
      <c r="AH65" s="466">
        <v>15094.74</v>
      </c>
      <c r="AI65" s="466">
        <v>7479.36</v>
      </c>
      <c r="AJ65" s="469" t="s">
        <v>1624</v>
      </c>
      <c r="AK65" s="470" t="s">
        <v>1625</v>
      </c>
      <c r="AL65" s="471" t="s">
        <v>1917</v>
      </c>
      <c r="AM65" s="470" t="s">
        <v>12433</v>
      </c>
      <c r="AN65" s="470" t="s">
        <v>1385</v>
      </c>
      <c r="AO65" s="470" t="s">
        <v>14928</v>
      </c>
      <c r="AP65" s="470" t="s">
        <v>1918</v>
      </c>
      <c r="AQ65" s="470" t="s">
        <v>1913</v>
      </c>
      <c r="AR65" s="472" t="s">
        <v>515</v>
      </c>
      <c r="AS65" s="473" t="s">
        <v>1385</v>
      </c>
      <c r="AT65" s="472" t="s">
        <v>1390</v>
      </c>
      <c r="AU65" s="472" t="s">
        <v>420</v>
      </c>
      <c r="AV65" s="472">
        <v>2020</v>
      </c>
      <c r="AW65" s="474" t="s">
        <v>15078</v>
      </c>
      <c r="AX65" s="475" t="s">
        <v>15079</v>
      </c>
      <c r="AY65" s="515">
        <v>1</v>
      </c>
      <c r="AZ65" s="474" t="s">
        <v>15079</v>
      </c>
      <c r="BA65" s="472" t="s">
        <v>1390</v>
      </c>
      <c r="BB65" s="472" t="s">
        <v>1385</v>
      </c>
      <c r="BC65" s="472" t="s">
        <v>1385</v>
      </c>
      <c r="BD65" s="472" t="s">
        <v>1385</v>
      </c>
      <c r="BE65" s="472" t="s">
        <v>1385</v>
      </c>
      <c r="BF65" s="472">
        <v>28047.599999999999</v>
      </c>
      <c r="BG65" s="472">
        <v>0</v>
      </c>
      <c r="BH65" s="472" t="s">
        <v>1385</v>
      </c>
      <c r="BI65" s="510">
        <v>0</v>
      </c>
      <c r="BJ65" s="510">
        <v>0</v>
      </c>
      <c r="BK65" s="510">
        <v>0</v>
      </c>
      <c r="BL65" s="510">
        <v>0</v>
      </c>
      <c r="BM65" s="510">
        <v>0</v>
      </c>
      <c r="BN65" s="510">
        <v>5000</v>
      </c>
      <c r="BO65" s="510">
        <v>0</v>
      </c>
      <c r="BP65" s="510">
        <v>0</v>
      </c>
      <c r="BQ65" s="510">
        <v>0</v>
      </c>
      <c r="BR65" s="510">
        <v>0</v>
      </c>
      <c r="BS65" s="510">
        <v>0</v>
      </c>
      <c r="BT65" s="510">
        <v>0</v>
      </c>
      <c r="BU65" s="510">
        <v>0</v>
      </c>
      <c r="BV65" s="510">
        <v>0</v>
      </c>
      <c r="BW65" s="510">
        <v>0</v>
      </c>
      <c r="BX65" s="510">
        <v>30000</v>
      </c>
      <c r="BY65" s="1011">
        <v>0</v>
      </c>
      <c r="BZ65" s="510">
        <v>0</v>
      </c>
      <c r="CA65" s="1011">
        <v>0</v>
      </c>
      <c r="CB65" s="510">
        <v>0</v>
      </c>
      <c r="CC65" s="1011">
        <v>0</v>
      </c>
      <c r="CD65" s="510">
        <v>0</v>
      </c>
      <c r="CE65" s="1011">
        <v>0</v>
      </c>
      <c r="CF65" s="510">
        <v>55356</v>
      </c>
      <c r="CG65" s="1011">
        <v>0</v>
      </c>
      <c r="CH65" s="510">
        <v>0</v>
      </c>
      <c r="CI65" s="1011">
        <v>0</v>
      </c>
    </row>
    <row r="66" spans="1:87" ht="12.75" customHeight="1" x14ac:dyDescent="0.2">
      <c r="A66" s="449">
        <v>40</v>
      </c>
      <c r="B66" s="453">
        <v>11851</v>
      </c>
      <c r="C66" s="454" t="s">
        <v>1919</v>
      </c>
      <c r="D66" s="454" t="s">
        <v>517</v>
      </c>
      <c r="E66" s="454" t="s">
        <v>1920</v>
      </c>
      <c r="F66" s="454" t="s">
        <v>527</v>
      </c>
      <c r="G66" s="454" t="s">
        <v>12434</v>
      </c>
      <c r="H66" s="455">
        <v>73789216000151</v>
      </c>
      <c r="I66" s="462">
        <v>34277</v>
      </c>
      <c r="J66" s="457">
        <v>37554581</v>
      </c>
      <c r="K66" s="454" t="s">
        <v>1921</v>
      </c>
      <c r="L66" s="458">
        <v>20</v>
      </c>
      <c r="M66" s="454" t="s">
        <v>1922</v>
      </c>
      <c r="N66" s="459">
        <v>3021020</v>
      </c>
      <c r="O66" s="460">
        <v>26932197</v>
      </c>
      <c r="P66" s="462">
        <v>216626</v>
      </c>
      <c r="Q66" s="462">
        <v>87</v>
      </c>
      <c r="R66" s="462">
        <v>43928</v>
      </c>
      <c r="S66" s="463">
        <v>825</v>
      </c>
      <c r="T66" s="464">
        <v>5.4</v>
      </c>
      <c r="U66" s="465">
        <v>4455</v>
      </c>
      <c r="V66" s="465">
        <v>18720</v>
      </c>
      <c r="W66" s="466">
        <v>0</v>
      </c>
      <c r="X66" s="467">
        <v>1</v>
      </c>
      <c r="Y66" s="466">
        <v>34762.5</v>
      </c>
      <c r="Z66" s="468" t="s">
        <v>516</v>
      </c>
      <c r="AA66" s="466">
        <v>137400.1</v>
      </c>
      <c r="AB66" s="466">
        <v>137400.1</v>
      </c>
      <c r="AC66" s="467">
        <v>0</v>
      </c>
      <c r="AD66" s="466">
        <v>0</v>
      </c>
      <c r="AE66" s="468" t="s">
        <v>516</v>
      </c>
      <c r="AF66" s="466">
        <v>2000</v>
      </c>
      <c r="AG66" s="466">
        <v>2000</v>
      </c>
      <c r="AH66" s="466">
        <v>23536.22</v>
      </c>
      <c r="AI66" s="466">
        <v>8000</v>
      </c>
      <c r="AJ66" s="469" t="s">
        <v>1923</v>
      </c>
      <c r="AK66" s="470" t="s">
        <v>1922</v>
      </c>
      <c r="AL66" s="471" t="s">
        <v>1924</v>
      </c>
      <c r="AM66" s="470" t="s">
        <v>1925</v>
      </c>
      <c r="AN66" s="470" t="s">
        <v>12434</v>
      </c>
      <c r="AO66" s="470" t="s">
        <v>12435</v>
      </c>
      <c r="AP66" s="470" t="s">
        <v>1926</v>
      </c>
      <c r="AQ66" s="470" t="s">
        <v>1919</v>
      </c>
      <c r="AR66" s="472" t="s">
        <v>515</v>
      </c>
      <c r="AS66" s="473" t="s">
        <v>1385</v>
      </c>
      <c r="AT66" s="472" t="s">
        <v>517</v>
      </c>
      <c r="AU66" s="472" t="s">
        <v>420</v>
      </c>
      <c r="AV66" s="472">
        <v>2020</v>
      </c>
      <c r="AW66" s="474" t="s">
        <v>15078</v>
      </c>
      <c r="AX66" s="475" t="s">
        <v>15079</v>
      </c>
      <c r="AY66" s="515">
        <v>1</v>
      </c>
      <c r="AZ66" s="474" t="s">
        <v>15079</v>
      </c>
      <c r="BA66" s="472" t="s">
        <v>517</v>
      </c>
      <c r="BB66" s="472" t="s">
        <v>1385</v>
      </c>
      <c r="BC66" s="472" t="s">
        <v>1385</v>
      </c>
      <c r="BD66" s="472" t="s">
        <v>1385</v>
      </c>
      <c r="BE66" s="472" t="s">
        <v>1385</v>
      </c>
      <c r="BF66" s="472">
        <v>34762.5</v>
      </c>
      <c r="BG66" s="472">
        <v>0</v>
      </c>
      <c r="BH66" s="472" t="s">
        <v>1385</v>
      </c>
      <c r="BI66" s="510">
        <v>0</v>
      </c>
      <c r="BJ66" s="510">
        <v>67.5</v>
      </c>
      <c r="BK66" s="510">
        <v>0</v>
      </c>
      <c r="BL66" s="510">
        <v>0</v>
      </c>
      <c r="BM66" s="510">
        <v>0</v>
      </c>
      <c r="BN66" s="510">
        <v>5000</v>
      </c>
      <c r="BO66" s="510">
        <v>0</v>
      </c>
      <c r="BP66" s="510">
        <v>2000</v>
      </c>
      <c r="BQ66" s="510">
        <v>0</v>
      </c>
      <c r="BR66" s="510">
        <v>0</v>
      </c>
      <c r="BS66" s="510">
        <v>0</v>
      </c>
      <c r="BT66" s="510">
        <v>0</v>
      </c>
      <c r="BU66" s="510">
        <v>2500</v>
      </c>
      <c r="BV66" s="510">
        <v>2500</v>
      </c>
      <c r="BW66" s="510">
        <v>0</v>
      </c>
      <c r="BX66" s="510">
        <v>30000</v>
      </c>
      <c r="BY66" s="1011">
        <v>0</v>
      </c>
      <c r="BZ66" s="510">
        <v>0</v>
      </c>
      <c r="CA66" s="1011">
        <v>0</v>
      </c>
      <c r="CB66" s="510">
        <v>22000</v>
      </c>
      <c r="CC66" s="1011">
        <v>0</v>
      </c>
      <c r="CD66" s="510">
        <v>0</v>
      </c>
      <c r="CE66" s="1011">
        <v>0</v>
      </c>
      <c r="CF66" s="510">
        <v>50637.599999999999</v>
      </c>
      <c r="CG66" s="1011">
        <v>0</v>
      </c>
      <c r="CH66" s="510">
        <v>0</v>
      </c>
      <c r="CI66" s="1011">
        <v>0</v>
      </c>
    </row>
    <row r="67" spans="1:87" ht="12.75" customHeight="1" x14ac:dyDescent="0.2">
      <c r="A67" s="449">
        <v>83</v>
      </c>
      <c r="B67" s="453">
        <v>11886</v>
      </c>
      <c r="C67" s="454" t="s">
        <v>1927</v>
      </c>
      <c r="D67" s="454" t="s">
        <v>1390</v>
      </c>
      <c r="E67" s="454" t="s">
        <v>1928</v>
      </c>
      <c r="F67" s="454" t="s">
        <v>523</v>
      </c>
      <c r="G67" s="454" t="s">
        <v>12436</v>
      </c>
      <c r="H67" s="455">
        <v>1183126000101</v>
      </c>
      <c r="I67" s="462">
        <v>35179</v>
      </c>
      <c r="J67" s="457">
        <v>37620320</v>
      </c>
      <c r="K67" s="454" t="s">
        <v>1930</v>
      </c>
      <c r="L67" s="458">
        <v>258</v>
      </c>
      <c r="M67" s="454" t="s">
        <v>523</v>
      </c>
      <c r="N67" s="459">
        <v>8490000</v>
      </c>
      <c r="O67" s="460">
        <v>22822136</v>
      </c>
      <c r="P67" s="462">
        <v>261346</v>
      </c>
      <c r="Q67" s="462">
        <v>83</v>
      </c>
      <c r="R67" s="462">
        <v>43921</v>
      </c>
      <c r="S67" s="463">
        <v>279</v>
      </c>
      <c r="T67" s="464">
        <v>3.6</v>
      </c>
      <c r="U67" s="465">
        <v>1004.4</v>
      </c>
      <c r="V67" s="465">
        <v>12240</v>
      </c>
      <c r="W67" s="466">
        <v>0</v>
      </c>
      <c r="X67" s="467">
        <v>1</v>
      </c>
      <c r="Y67" s="466">
        <v>19866.599999999999</v>
      </c>
      <c r="Z67" s="468" t="s">
        <v>516</v>
      </c>
      <c r="AA67" s="466">
        <v>91326.6</v>
      </c>
      <c r="AB67" s="466">
        <v>91326.6</v>
      </c>
      <c r="AC67" s="467">
        <v>0</v>
      </c>
      <c r="AD67" s="466">
        <v>0</v>
      </c>
      <c r="AE67" s="468" t="s">
        <v>516</v>
      </c>
      <c r="AF67" s="466">
        <v>0</v>
      </c>
      <c r="AG67" s="466">
        <v>0</v>
      </c>
      <c r="AH67" s="466">
        <v>6643.23</v>
      </c>
      <c r="AI67" s="466">
        <v>3897.76</v>
      </c>
      <c r="AJ67" s="469" t="s">
        <v>1674</v>
      </c>
      <c r="AK67" s="470" t="s">
        <v>518</v>
      </c>
      <c r="AL67" s="471" t="s">
        <v>1931</v>
      </c>
      <c r="AM67" s="470" t="s">
        <v>1932</v>
      </c>
      <c r="AN67" s="470" t="s">
        <v>1929</v>
      </c>
      <c r="AO67" s="470" t="s">
        <v>1933</v>
      </c>
      <c r="AP67" s="470" t="s">
        <v>1934</v>
      </c>
      <c r="AQ67" s="470" t="s">
        <v>1927</v>
      </c>
      <c r="AR67" s="472" t="s">
        <v>515</v>
      </c>
      <c r="AS67" s="473" t="s">
        <v>1385</v>
      </c>
      <c r="AT67" s="472" t="s">
        <v>1390</v>
      </c>
      <c r="AU67" s="472" t="s">
        <v>420</v>
      </c>
      <c r="AV67" s="472">
        <v>2020</v>
      </c>
      <c r="AW67" s="474" t="s">
        <v>15078</v>
      </c>
      <c r="AX67" s="475" t="s">
        <v>15079</v>
      </c>
      <c r="AY67" s="515">
        <v>1</v>
      </c>
      <c r="AZ67" s="474" t="s">
        <v>15079</v>
      </c>
      <c r="BA67" s="472" t="s">
        <v>1390</v>
      </c>
      <c r="BB67" s="472" t="s">
        <v>1385</v>
      </c>
      <c r="BC67" s="472" t="s">
        <v>1385</v>
      </c>
      <c r="BD67" s="472" t="s">
        <v>1385</v>
      </c>
      <c r="BE67" s="472" t="s">
        <v>1385</v>
      </c>
      <c r="BF67" s="472">
        <v>19866.599999999999</v>
      </c>
      <c r="BG67" s="472">
        <v>0</v>
      </c>
      <c r="BH67" s="472" t="s">
        <v>1385</v>
      </c>
      <c r="BI67" s="510">
        <v>0</v>
      </c>
      <c r="BJ67" s="510">
        <v>0</v>
      </c>
      <c r="BK67" s="510">
        <v>0</v>
      </c>
      <c r="BL67" s="510">
        <v>0</v>
      </c>
      <c r="BM67" s="510">
        <v>0</v>
      </c>
      <c r="BN67" s="510">
        <v>3500</v>
      </c>
      <c r="BO67" s="510">
        <v>0</v>
      </c>
      <c r="BP67" s="510">
        <v>0</v>
      </c>
      <c r="BQ67" s="510">
        <v>0</v>
      </c>
      <c r="BR67" s="510">
        <v>0</v>
      </c>
      <c r="BS67" s="510">
        <v>0</v>
      </c>
      <c r="BT67" s="510">
        <v>0</v>
      </c>
      <c r="BU67" s="510">
        <v>0</v>
      </c>
      <c r="BV67" s="510">
        <v>0</v>
      </c>
      <c r="BW67" s="510">
        <v>0</v>
      </c>
      <c r="BX67" s="510">
        <v>30000</v>
      </c>
      <c r="BY67" s="1011">
        <v>0</v>
      </c>
      <c r="BZ67" s="510">
        <v>0</v>
      </c>
      <c r="CA67" s="1011">
        <v>0</v>
      </c>
      <c r="CB67" s="510">
        <v>0</v>
      </c>
      <c r="CC67" s="1011">
        <v>0</v>
      </c>
      <c r="CD67" s="510">
        <v>0</v>
      </c>
      <c r="CE67" s="1011">
        <v>0</v>
      </c>
      <c r="CF67" s="510">
        <v>41460</v>
      </c>
      <c r="CG67" s="1011">
        <v>0</v>
      </c>
      <c r="CH67" s="510">
        <v>0</v>
      </c>
      <c r="CI67" s="1011">
        <v>0</v>
      </c>
    </row>
    <row r="68" spans="1:87" ht="12.75" customHeight="1" x14ac:dyDescent="0.2">
      <c r="A68" s="449">
        <v>39</v>
      </c>
      <c r="B68" s="453">
        <v>11924</v>
      </c>
      <c r="C68" s="454" t="s">
        <v>1935</v>
      </c>
      <c r="D68" s="454" t="s">
        <v>517</v>
      </c>
      <c r="E68" s="454" t="s">
        <v>1936</v>
      </c>
      <c r="F68" s="454" t="s">
        <v>519</v>
      </c>
      <c r="G68" s="454" t="s">
        <v>12437</v>
      </c>
      <c r="H68" s="455">
        <v>71929244000100</v>
      </c>
      <c r="I68" s="462">
        <v>34191</v>
      </c>
      <c r="J68" s="457">
        <v>37355694</v>
      </c>
      <c r="K68" s="454" t="s">
        <v>1938</v>
      </c>
      <c r="L68" s="458">
        <v>575</v>
      </c>
      <c r="M68" s="454" t="s">
        <v>1939</v>
      </c>
      <c r="N68" s="459">
        <v>5574450</v>
      </c>
      <c r="O68" s="460">
        <v>37828909</v>
      </c>
      <c r="P68" s="462">
        <v>122230</v>
      </c>
      <c r="Q68" s="462">
        <v>23</v>
      </c>
      <c r="R68" s="462">
        <v>43881</v>
      </c>
      <c r="S68" s="463">
        <v>860</v>
      </c>
      <c r="T68" s="464">
        <v>5.4</v>
      </c>
      <c r="U68" s="465">
        <v>4644</v>
      </c>
      <c r="V68" s="465">
        <v>18720</v>
      </c>
      <c r="W68" s="466">
        <v>0</v>
      </c>
      <c r="X68" s="467">
        <v>1</v>
      </c>
      <c r="Y68" s="466">
        <v>0</v>
      </c>
      <c r="Z68" s="468" t="s">
        <v>514</v>
      </c>
      <c r="AA68" s="466">
        <v>0</v>
      </c>
      <c r="AB68" s="466">
        <v>0</v>
      </c>
      <c r="AC68" s="467">
        <v>0</v>
      </c>
      <c r="AD68" s="466">
        <v>0</v>
      </c>
      <c r="AE68" s="468" t="s">
        <v>516</v>
      </c>
      <c r="AF68" s="466">
        <v>0</v>
      </c>
      <c r="AG68" s="466">
        <v>0</v>
      </c>
      <c r="AH68" s="466">
        <v>33.64</v>
      </c>
      <c r="AI68" s="466">
        <v>2035.42</v>
      </c>
      <c r="AJ68" s="469" t="s">
        <v>1940</v>
      </c>
      <c r="AK68" s="470" t="s">
        <v>1941</v>
      </c>
      <c r="AL68" s="471" t="s">
        <v>1942</v>
      </c>
      <c r="AM68" s="470" t="s">
        <v>1943</v>
      </c>
      <c r="AN68" s="470" t="s">
        <v>1937</v>
      </c>
      <c r="AO68" s="470" t="s">
        <v>1944</v>
      </c>
      <c r="AP68" s="470" t="s">
        <v>1945</v>
      </c>
      <c r="AQ68" s="470" t="s">
        <v>1935</v>
      </c>
      <c r="AR68" s="472" t="s">
        <v>515</v>
      </c>
      <c r="AS68" s="473" t="s">
        <v>1385</v>
      </c>
      <c r="AT68" s="472" t="s">
        <v>517</v>
      </c>
      <c r="AU68" s="472" t="s">
        <v>420</v>
      </c>
      <c r="AV68" s="472">
        <v>2020</v>
      </c>
      <c r="AW68" s="474" t="s">
        <v>15078</v>
      </c>
      <c r="AX68" s="475" t="s">
        <v>15079</v>
      </c>
      <c r="AY68" s="515">
        <v>1</v>
      </c>
      <c r="AZ68" s="474" t="s">
        <v>15079</v>
      </c>
      <c r="BA68" s="472" t="s">
        <v>1385</v>
      </c>
      <c r="BB68" s="472" t="s">
        <v>1385</v>
      </c>
      <c r="BC68" s="472" t="s">
        <v>1385</v>
      </c>
      <c r="BD68" s="472" t="s">
        <v>1385</v>
      </c>
      <c r="BE68" s="472" t="s">
        <v>1385</v>
      </c>
      <c r="BF68" s="472">
        <v>35046</v>
      </c>
      <c r="BG68" s="472">
        <v>0</v>
      </c>
      <c r="BH68" s="472" t="s">
        <v>516</v>
      </c>
      <c r="BI68" s="510">
        <v>0</v>
      </c>
      <c r="BJ68" s="510">
        <v>0</v>
      </c>
      <c r="BK68" s="510">
        <v>0</v>
      </c>
      <c r="BL68" s="510">
        <v>0</v>
      </c>
      <c r="BM68" s="510">
        <v>0</v>
      </c>
      <c r="BN68" s="510">
        <v>0</v>
      </c>
      <c r="BO68" s="510">
        <v>0</v>
      </c>
      <c r="BP68" s="510">
        <v>0</v>
      </c>
      <c r="BQ68" s="510">
        <v>0</v>
      </c>
      <c r="BR68" s="510">
        <v>0</v>
      </c>
      <c r="BS68" s="510">
        <v>0</v>
      </c>
      <c r="BT68" s="510">
        <v>0</v>
      </c>
      <c r="BU68" s="510">
        <v>0</v>
      </c>
      <c r="BV68" s="510">
        <v>0</v>
      </c>
      <c r="BW68" s="510">
        <v>0</v>
      </c>
      <c r="BX68" s="510">
        <v>0</v>
      </c>
      <c r="BY68" s="1011">
        <v>0</v>
      </c>
      <c r="BZ68" s="510">
        <v>0</v>
      </c>
      <c r="CA68" s="1011">
        <v>0</v>
      </c>
      <c r="CB68" s="510">
        <v>0</v>
      </c>
      <c r="CC68" s="1011">
        <v>0</v>
      </c>
      <c r="CD68" s="510">
        <v>0</v>
      </c>
      <c r="CE68" s="1011">
        <v>0</v>
      </c>
      <c r="CF68" s="510">
        <v>0</v>
      </c>
      <c r="CG68" s="1011">
        <v>0</v>
      </c>
      <c r="CH68" s="510">
        <v>0</v>
      </c>
      <c r="CI68" s="1011">
        <v>0</v>
      </c>
    </row>
    <row r="69" spans="1:87" ht="12.75" customHeight="1" x14ac:dyDescent="0.2">
      <c r="A69" s="449">
        <v>42</v>
      </c>
      <c r="B69" s="453">
        <v>12157</v>
      </c>
      <c r="C69" s="454" t="s">
        <v>1946</v>
      </c>
      <c r="D69" s="454" t="s">
        <v>517</v>
      </c>
      <c r="E69" s="454" t="s">
        <v>1947</v>
      </c>
      <c r="F69" s="454" t="s">
        <v>523</v>
      </c>
      <c r="G69" s="454" t="s">
        <v>12438</v>
      </c>
      <c r="H69" s="455">
        <v>777947000103</v>
      </c>
      <c r="I69" s="462">
        <v>34486</v>
      </c>
      <c r="J69" s="457">
        <v>37615700</v>
      </c>
      <c r="K69" s="454" t="s">
        <v>1949</v>
      </c>
      <c r="L69" s="458">
        <v>7</v>
      </c>
      <c r="M69" s="454" t="s">
        <v>1950</v>
      </c>
      <c r="N69" s="459">
        <v>8473020</v>
      </c>
      <c r="O69" s="460">
        <v>25181119</v>
      </c>
      <c r="P69" s="462">
        <v>264400</v>
      </c>
      <c r="Q69" s="462">
        <v>42</v>
      </c>
      <c r="R69" s="462">
        <v>43921</v>
      </c>
      <c r="S69" s="463">
        <v>1117</v>
      </c>
      <c r="T69" s="464">
        <v>5.4</v>
      </c>
      <c r="U69" s="465">
        <v>6031.8</v>
      </c>
      <c r="V69" s="465">
        <v>20340</v>
      </c>
      <c r="W69" s="466">
        <v>0</v>
      </c>
      <c r="X69" s="467">
        <v>1</v>
      </c>
      <c r="Y69" s="466">
        <v>39557.699999999997</v>
      </c>
      <c r="Z69" s="468" t="s">
        <v>516</v>
      </c>
      <c r="AA69" s="466">
        <v>143653.29999999999</v>
      </c>
      <c r="AB69" s="466">
        <v>143653.29999999999</v>
      </c>
      <c r="AC69" s="467">
        <v>0</v>
      </c>
      <c r="AD69" s="466">
        <v>0</v>
      </c>
      <c r="AE69" s="468" t="s">
        <v>516</v>
      </c>
      <c r="AF69" s="466">
        <v>0</v>
      </c>
      <c r="AG69" s="466">
        <v>0</v>
      </c>
      <c r="AH69" s="466">
        <v>21106.22</v>
      </c>
      <c r="AI69" s="466">
        <v>7804.15</v>
      </c>
      <c r="AJ69" s="469" t="s">
        <v>1674</v>
      </c>
      <c r="AK69" s="470" t="s">
        <v>518</v>
      </c>
      <c r="AL69" s="471" t="s">
        <v>1951</v>
      </c>
      <c r="AM69" s="470" t="s">
        <v>1952</v>
      </c>
      <c r="AN69" s="470" t="s">
        <v>1948</v>
      </c>
      <c r="AO69" s="470" t="s">
        <v>1953</v>
      </c>
      <c r="AP69" s="470" t="s">
        <v>1954</v>
      </c>
      <c r="AQ69" s="470" t="s">
        <v>1946</v>
      </c>
      <c r="AR69" s="472" t="s">
        <v>515</v>
      </c>
      <c r="AS69" s="473" t="s">
        <v>1385</v>
      </c>
      <c r="AT69" s="472" t="s">
        <v>517</v>
      </c>
      <c r="AU69" s="472" t="s">
        <v>420</v>
      </c>
      <c r="AV69" s="472">
        <v>2020</v>
      </c>
      <c r="AW69" s="474" t="s">
        <v>15078</v>
      </c>
      <c r="AX69" s="475" t="s">
        <v>15079</v>
      </c>
      <c r="AY69" s="515">
        <v>1</v>
      </c>
      <c r="AZ69" s="474" t="s">
        <v>15079</v>
      </c>
      <c r="BA69" s="472" t="s">
        <v>517</v>
      </c>
      <c r="BB69" s="472" t="s">
        <v>1385</v>
      </c>
      <c r="BC69" s="472" t="s">
        <v>1385</v>
      </c>
      <c r="BD69" s="472" t="s">
        <v>1385</v>
      </c>
      <c r="BE69" s="472" t="s">
        <v>1385</v>
      </c>
      <c r="BF69" s="472">
        <v>39557.699999999997</v>
      </c>
      <c r="BG69" s="472">
        <v>0</v>
      </c>
      <c r="BH69" s="472" t="s">
        <v>1385</v>
      </c>
      <c r="BI69" s="510">
        <v>0</v>
      </c>
      <c r="BJ69" s="510">
        <v>0</v>
      </c>
      <c r="BK69" s="510">
        <v>0</v>
      </c>
      <c r="BL69" s="510">
        <v>0</v>
      </c>
      <c r="BM69" s="510">
        <v>0</v>
      </c>
      <c r="BN69" s="510">
        <v>5000</v>
      </c>
      <c r="BO69" s="510">
        <v>0</v>
      </c>
      <c r="BP69" s="510">
        <v>0</v>
      </c>
      <c r="BQ69" s="510">
        <v>0</v>
      </c>
      <c r="BR69" s="510">
        <v>0</v>
      </c>
      <c r="BS69" s="510">
        <v>0</v>
      </c>
      <c r="BT69" s="510">
        <v>0</v>
      </c>
      <c r="BU69" s="510">
        <v>2500</v>
      </c>
      <c r="BV69" s="510">
        <v>2500</v>
      </c>
      <c r="BW69" s="510">
        <v>0</v>
      </c>
      <c r="BX69" s="510">
        <v>30000</v>
      </c>
      <c r="BY69" s="1011">
        <v>0</v>
      </c>
      <c r="BZ69" s="510">
        <v>0</v>
      </c>
      <c r="CA69" s="1011">
        <v>0</v>
      </c>
      <c r="CB69" s="510">
        <v>22000</v>
      </c>
      <c r="CC69" s="1011">
        <v>0</v>
      </c>
      <c r="CD69" s="510">
        <v>0</v>
      </c>
      <c r="CE69" s="1011">
        <v>0</v>
      </c>
      <c r="CF69" s="510">
        <v>52095.6</v>
      </c>
      <c r="CG69" s="1011">
        <v>0</v>
      </c>
      <c r="CH69" s="510">
        <v>0</v>
      </c>
      <c r="CI69" s="1011">
        <v>0</v>
      </c>
    </row>
    <row r="70" spans="1:87" ht="12.75" customHeight="1" x14ac:dyDescent="0.2">
      <c r="A70" s="449">
        <v>102</v>
      </c>
      <c r="B70" s="453">
        <v>12246</v>
      </c>
      <c r="C70" s="454" t="s">
        <v>1955</v>
      </c>
      <c r="D70" s="454" t="s">
        <v>1390</v>
      </c>
      <c r="E70" s="454" t="s">
        <v>1956</v>
      </c>
      <c r="F70" s="454" t="s">
        <v>526</v>
      </c>
      <c r="G70" s="454" t="s">
        <v>12439</v>
      </c>
      <c r="H70" s="455">
        <v>73791014000144</v>
      </c>
      <c r="I70" s="462">
        <v>34278</v>
      </c>
      <c r="J70" s="457">
        <v>37476637</v>
      </c>
      <c r="K70" s="454" t="s">
        <v>1957</v>
      </c>
      <c r="L70" s="458">
        <v>365</v>
      </c>
      <c r="M70" s="454" t="s">
        <v>1958</v>
      </c>
      <c r="N70" s="459">
        <v>8031240</v>
      </c>
      <c r="O70" s="460">
        <v>20352297</v>
      </c>
      <c r="P70" s="462">
        <v>134042</v>
      </c>
      <c r="Q70" s="462">
        <v>102</v>
      </c>
      <c r="R70" s="462">
        <v>43928</v>
      </c>
      <c r="S70" s="463">
        <v>511</v>
      </c>
      <c r="T70" s="464">
        <v>3.6</v>
      </c>
      <c r="U70" s="465">
        <v>1839.6</v>
      </c>
      <c r="V70" s="465">
        <v>16560</v>
      </c>
      <c r="W70" s="466">
        <v>0</v>
      </c>
      <c r="X70" s="467">
        <v>1</v>
      </c>
      <c r="Y70" s="466">
        <v>27599.4</v>
      </c>
      <c r="Z70" s="468" t="s">
        <v>516</v>
      </c>
      <c r="AA70" s="466">
        <v>109557</v>
      </c>
      <c r="AB70" s="466">
        <v>109557</v>
      </c>
      <c r="AC70" s="467">
        <v>0</v>
      </c>
      <c r="AD70" s="466">
        <v>0</v>
      </c>
      <c r="AE70" s="468" t="s">
        <v>516</v>
      </c>
      <c r="AF70" s="466">
        <v>0</v>
      </c>
      <c r="AG70" s="466">
        <v>0</v>
      </c>
      <c r="AH70" s="466">
        <v>14511.33</v>
      </c>
      <c r="AI70" s="466">
        <v>3837.75</v>
      </c>
      <c r="AJ70" s="469" t="s">
        <v>1839</v>
      </c>
      <c r="AK70" s="470" t="s">
        <v>526</v>
      </c>
      <c r="AL70" s="471" t="s">
        <v>1959</v>
      </c>
      <c r="AM70" s="470" t="s">
        <v>12440</v>
      </c>
      <c r="AN70" s="470" t="s">
        <v>1385</v>
      </c>
      <c r="AO70" s="470" t="s">
        <v>1960</v>
      </c>
      <c r="AP70" s="470" t="s">
        <v>1961</v>
      </c>
      <c r="AQ70" s="470" t="s">
        <v>1955</v>
      </c>
      <c r="AR70" s="472" t="s">
        <v>515</v>
      </c>
      <c r="AS70" s="473" t="s">
        <v>1385</v>
      </c>
      <c r="AT70" s="472" t="s">
        <v>1390</v>
      </c>
      <c r="AU70" s="472" t="s">
        <v>420</v>
      </c>
      <c r="AV70" s="472">
        <v>2020</v>
      </c>
      <c r="AW70" s="474" t="s">
        <v>15078</v>
      </c>
      <c r="AX70" s="475" t="s">
        <v>15079</v>
      </c>
      <c r="AY70" s="515">
        <v>1</v>
      </c>
      <c r="AZ70" s="474" t="s">
        <v>15079</v>
      </c>
      <c r="BA70" s="472" t="s">
        <v>1390</v>
      </c>
      <c r="BB70" s="472" t="s">
        <v>1385</v>
      </c>
      <c r="BC70" s="472" t="s">
        <v>1385</v>
      </c>
      <c r="BD70" s="472" t="s">
        <v>1385</v>
      </c>
      <c r="BE70" s="472" t="s">
        <v>1385</v>
      </c>
      <c r="BF70" s="509">
        <v>27599.4</v>
      </c>
      <c r="BG70" s="509">
        <v>0</v>
      </c>
      <c r="BH70" s="472" t="s">
        <v>1385</v>
      </c>
      <c r="BI70" s="510">
        <v>0</v>
      </c>
      <c r="BJ70" s="510">
        <v>0</v>
      </c>
      <c r="BK70" s="510">
        <v>0</v>
      </c>
      <c r="BL70" s="510">
        <v>0</v>
      </c>
      <c r="BM70" s="510">
        <v>0</v>
      </c>
      <c r="BN70" s="510">
        <v>2000</v>
      </c>
      <c r="BO70" s="510">
        <v>0</v>
      </c>
      <c r="BP70" s="510">
        <v>0</v>
      </c>
      <c r="BQ70" s="510">
        <v>0</v>
      </c>
      <c r="BR70" s="510">
        <v>0</v>
      </c>
      <c r="BS70" s="510">
        <v>0</v>
      </c>
      <c r="BT70" s="510">
        <v>0</v>
      </c>
      <c r="BU70" s="510">
        <v>0</v>
      </c>
      <c r="BV70" s="510">
        <v>0</v>
      </c>
      <c r="BW70" s="510">
        <v>0</v>
      </c>
      <c r="BX70" s="510">
        <v>30000</v>
      </c>
      <c r="BY70" s="1011">
        <v>0</v>
      </c>
      <c r="BZ70" s="510">
        <v>0</v>
      </c>
      <c r="CA70" s="1011">
        <v>0</v>
      </c>
      <c r="CB70" s="510">
        <v>0</v>
      </c>
      <c r="CC70" s="1011">
        <v>0</v>
      </c>
      <c r="CD70" s="510">
        <v>0</v>
      </c>
      <c r="CE70" s="1011">
        <v>0</v>
      </c>
      <c r="CF70" s="510">
        <v>51957.599999999999</v>
      </c>
      <c r="CG70" s="1011">
        <v>0</v>
      </c>
      <c r="CH70" s="510">
        <v>0</v>
      </c>
      <c r="CI70" s="1011">
        <v>0</v>
      </c>
    </row>
    <row r="71" spans="1:87" ht="12.75" customHeight="1" x14ac:dyDescent="0.2">
      <c r="A71" s="449">
        <v>60</v>
      </c>
      <c r="B71" s="453">
        <v>12688</v>
      </c>
      <c r="C71" s="454" t="s">
        <v>1962</v>
      </c>
      <c r="D71" s="454" t="s">
        <v>517</v>
      </c>
      <c r="E71" s="454" t="s">
        <v>1963</v>
      </c>
      <c r="F71" s="454" t="s">
        <v>521</v>
      </c>
      <c r="G71" s="454" t="s">
        <v>12441</v>
      </c>
      <c r="H71" s="455">
        <v>1172230000109</v>
      </c>
      <c r="I71" s="462">
        <v>35180</v>
      </c>
      <c r="J71" s="457">
        <v>37550411</v>
      </c>
      <c r="K71" s="454" t="s">
        <v>1964</v>
      </c>
      <c r="L71" s="458">
        <v>209</v>
      </c>
      <c r="M71" s="454" t="s">
        <v>1965</v>
      </c>
      <c r="N71" s="459">
        <v>4890290</v>
      </c>
      <c r="O71" s="460">
        <v>59208892</v>
      </c>
      <c r="P71" s="462">
        <v>100946</v>
      </c>
      <c r="Q71" s="462">
        <v>74</v>
      </c>
      <c r="R71" s="462">
        <v>43934</v>
      </c>
      <c r="S71" s="463">
        <v>1039</v>
      </c>
      <c r="T71" s="464">
        <v>5.4</v>
      </c>
      <c r="U71" s="465">
        <v>5610.6</v>
      </c>
      <c r="V71" s="465">
        <v>20340</v>
      </c>
      <c r="W71" s="466">
        <v>0</v>
      </c>
      <c r="X71" s="467">
        <v>1</v>
      </c>
      <c r="Y71" s="466">
        <v>38925.9</v>
      </c>
      <c r="Z71" s="468" t="s">
        <v>516</v>
      </c>
      <c r="AA71" s="466">
        <v>142578.70000000001</v>
      </c>
      <c r="AB71" s="466">
        <v>142578.70000000001</v>
      </c>
      <c r="AC71" s="467">
        <v>0</v>
      </c>
      <c r="AD71" s="466">
        <v>0</v>
      </c>
      <c r="AE71" s="468" t="s">
        <v>516</v>
      </c>
      <c r="AF71" s="466">
        <v>0</v>
      </c>
      <c r="AG71" s="466">
        <v>0</v>
      </c>
      <c r="AH71" s="466">
        <v>44324.56</v>
      </c>
      <c r="AI71" s="466">
        <v>5785.79</v>
      </c>
      <c r="AJ71" s="469" t="s">
        <v>1624</v>
      </c>
      <c r="AK71" s="470" t="s">
        <v>1625</v>
      </c>
      <c r="AL71" s="471" t="s">
        <v>1966</v>
      </c>
      <c r="AM71" s="470" t="s">
        <v>12442</v>
      </c>
      <c r="AN71" s="470" t="s">
        <v>1385</v>
      </c>
      <c r="AO71" s="470" t="s">
        <v>12443</v>
      </c>
      <c r="AP71" s="470" t="s">
        <v>1967</v>
      </c>
      <c r="AQ71" s="470" t="s">
        <v>1962</v>
      </c>
      <c r="AR71" s="472" t="s">
        <v>515</v>
      </c>
      <c r="AS71" s="473" t="s">
        <v>1385</v>
      </c>
      <c r="AT71" s="472" t="s">
        <v>517</v>
      </c>
      <c r="AU71" s="472" t="s">
        <v>420</v>
      </c>
      <c r="AV71" s="472">
        <v>2020</v>
      </c>
      <c r="AW71" s="474" t="s">
        <v>15078</v>
      </c>
      <c r="AX71" s="475" t="s">
        <v>15079</v>
      </c>
      <c r="AY71" s="515">
        <v>1</v>
      </c>
      <c r="AZ71" s="474" t="s">
        <v>15079</v>
      </c>
      <c r="BA71" s="472" t="s">
        <v>517</v>
      </c>
      <c r="BB71" s="472" t="s">
        <v>1385</v>
      </c>
      <c r="BC71" s="472" t="s">
        <v>1385</v>
      </c>
      <c r="BD71" s="472" t="s">
        <v>1385</v>
      </c>
      <c r="BE71" s="472" t="s">
        <v>1385</v>
      </c>
      <c r="BF71" s="472">
        <v>38925.9</v>
      </c>
      <c r="BG71" s="472">
        <v>0</v>
      </c>
      <c r="BH71" s="472" t="s">
        <v>1385</v>
      </c>
      <c r="BI71" s="510">
        <v>0</v>
      </c>
      <c r="BJ71" s="510">
        <v>4081.53</v>
      </c>
      <c r="BK71" s="510">
        <v>0</v>
      </c>
      <c r="BL71" s="510">
        <v>10</v>
      </c>
      <c r="BM71" s="510">
        <v>0</v>
      </c>
      <c r="BN71" s="510">
        <v>5000</v>
      </c>
      <c r="BO71" s="510">
        <v>0</v>
      </c>
      <c r="BP71" s="510">
        <v>0</v>
      </c>
      <c r="BQ71" s="510">
        <v>0</v>
      </c>
      <c r="BR71" s="510">
        <v>0</v>
      </c>
      <c r="BS71" s="510">
        <v>0</v>
      </c>
      <c r="BT71" s="510">
        <v>0</v>
      </c>
      <c r="BU71" s="510">
        <v>2500</v>
      </c>
      <c r="BV71" s="510">
        <v>2500</v>
      </c>
      <c r="BW71" s="510">
        <v>0</v>
      </c>
      <c r="BX71" s="510">
        <v>30000</v>
      </c>
      <c r="BY71" s="1011">
        <v>0</v>
      </c>
      <c r="BZ71" s="510">
        <v>0</v>
      </c>
      <c r="CA71" s="1011">
        <v>0</v>
      </c>
      <c r="CB71" s="510">
        <v>22000</v>
      </c>
      <c r="CC71" s="1011">
        <v>0</v>
      </c>
      <c r="CD71" s="510">
        <v>0</v>
      </c>
      <c r="CE71" s="1011">
        <v>0</v>
      </c>
      <c r="CF71" s="510">
        <v>51652.800000000003</v>
      </c>
      <c r="CG71" s="1011">
        <v>0</v>
      </c>
      <c r="CH71" s="510">
        <v>0</v>
      </c>
      <c r="CI71" s="1011">
        <v>0</v>
      </c>
    </row>
    <row r="72" spans="1:87" ht="12.75" customHeight="1" x14ac:dyDescent="0.2">
      <c r="A72" s="449">
        <v>40</v>
      </c>
      <c r="B72" s="453">
        <v>12874</v>
      </c>
      <c r="C72" s="454" t="s">
        <v>1968</v>
      </c>
      <c r="D72" s="454" t="s">
        <v>517</v>
      </c>
      <c r="E72" s="454" t="s">
        <v>1969</v>
      </c>
      <c r="F72" s="454" t="s">
        <v>513</v>
      </c>
      <c r="G72" s="454" t="s">
        <v>12444</v>
      </c>
      <c r="H72" s="455">
        <v>722148000130</v>
      </c>
      <c r="I72" s="462">
        <v>34878</v>
      </c>
      <c r="J72" s="457">
        <v>37531743</v>
      </c>
      <c r="K72" s="454" t="s">
        <v>1970</v>
      </c>
      <c r="L72" s="458">
        <v>52</v>
      </c>
      <c r="M72" s="454" t="s">
        <v>1971</v>
      </c>
      <c r="N72" s="459">
        <v>3923085</v>
      </c>
      <c r="O72" s="460">
        <v>27211129</v>
      </c>
      <c r="P72" s="462">
        <v>149643</v>
      </c>
      <c r="Q72" s="462">
        <v>40</v>
      </c>
      <c r="R72" s="462">
        <v>43937</v>
      </c>
      <c r="S72" s="463">
        <v>651</v>
      </c>
      <c r="T72" s="464">
        <v>5.4</v>
      </c>
      <c r="U72" s="465">
        <v>3515.4</v>
      </c>
      <c r="V72" s="465">
        <v>17100</v>
      </c>
      <c r="W72" s="466">
        <v>0</v>
      </c>
      <c r="X72" s="467">
        <v>1</v>
      </c>
      <c r="Y72" s="466">
        <v>30923.1</v>
      </c>
      <c r="Z72" s="468" t="s">
        <v>516</v>
      </c>
      <c r="AA72" s="466">
        <v>138711.9</v>
      </c>
      <c r="AB72" s="466">
        <v>138711.9</v>
      </c>
      <c r="AC72" s="467">
        <v>0</v>
      </c>
      <c r="AD72" s="466">
        <v>0</v>
      </c>
      <c r="AE72" s="468" t="s">
        <v>516</v>
      </c>
      <c r="AF72" s="466">
        <v>0</v>
      </c>
      <c r="AG72" s="466">
        <v>0</v>
      </c>
      <c r="AH72" s="466">
        <v>3379.81</v>
      </c>
      <c r="AI72" s="466">
        <v>2091.81</v>
      </c>
      <c r="AJ72" s="469" t="s">
        <v>1972</v>
      </c>
      <c r="AK72" s="470" t="s">
        <v>1973</v>
      </c>
      <c r="AL72" s="471" t="s">
        <v>1974</v>
      </c>
      <c r="AM72" s="470" t="s">
        <v>1975</v>
      </c>
      <c r="AN72" s="470" t="s">
        <v>1976</v>
      </c>
      <c r="AO72" s="470" t="s">
        <v>1977</v>
      </c>
      <c r="AP72" s="470" t="s">
        <v>1978</v>
      </c>
      <c r="AQ72" s="470" t="s">
        <v>1968</v>
      </c>
      <c r="AR72" s="472" t="s">
        <v>515</v>
      </c>
      <c r="AS72" s="473" t="s">
        <v>1385</v>
      </c>
      <c r="AT72" s="472" t="s">
        <v>517</v>
      </c>
      <c r="AU72" s="472" t="s">
        <v>420</v>
      </c>
      <c r="AV72" s="472">
        <v>2020</v>
      </c>
      <c r="AW72" s="474" t="s">
        <v>15078</v>
      </c>
      <c r="AX72" s="475" t="s">
        <v>15079</v>
      </c>
      <c r="AY72" s="515">
        <v>1</v>
      </c>
      <c r="AZ72" s="474" t="s">
        <v>15079</v>
      </c>
      <c r="BA72" s="472" t="s">
        <v>517</v>
      </c>
      <c r="BB72" s="472" t="s">
        <v>1385</v>
      </c>
      <c r="BC72" s="472" t="s">
        <v>1385</v>
      </c>
      <c r="BD72" s="472" t="s">
        <v>1385</v>
      </c>
      <c r="BE72" s="472" t="s">
        <v>1385</v>
      </c>
      <c r="BF72" s="472">
        <v>30923.1</v>
      </c>
      <c r="BG72" s="472">
        <v>0</v>
      </c>
      <c r="BH72" s="472" t="s">
        <v>1385</v>
      </c>
      <c r="BI72" s="510">
        <v>0</v>
      </c>
      <c r="BJ72" s="510">
        <v>0</v>
      </c>
      <c r="BK72" s="510">
        <v>0</v>
      </c>
      <c r="BL72" s="510">
        <v>1563.6</v>
      </c>
      <c r="BM72" s="510">
        <v>0</v>
      </c>
      <c r="BN72" s="510">
        <v>3500</v>
      </c>
      <c r="BO72" s="510">
        <v>0</v>
      </c>
      <c r="BP72" s="510">
        <v>0</v>
      </c>
      <c r="BQ72" s="510">
        <v>0</v>
      </c>
      <c r="BR72" s="510">
        <v>0</v>
      </c>
      <c r="BS72" s="510">
        <v>0</v>
      </c>
      <c r="BT72" s="510">
        <v>0</v>
      </c>
      <c r="BU72" s="510">
        <v>0</v>
      </c>
      <c r="BV72" s="510">
        <v>0</v>
      </c>
      <c r="BW72" s="510">
        <v>0</v>
      </c>
      <c r="BX72" s="510">
        <v>30000</v>
      </c>
      <c r="BY72" s="1011">
        <v>0</v>
      </c>
      <c r="BZ72" s="510">
        <v>0</v>
      </c>
      <c r="CA72" s="1011">
        <v>0</v>
      </c>
      <c r="CB72" s="510">
        <v>22000</v>
      </c>
      <c r="CC72" s="1011">
        <v>0</v>
      </c>
      <c r="CD72" s="510">
        <v>0</v>
      </c>
      <c r="CE72" s="1011">
        <v>0</v>
      </c>
      <c r="CF72" s="510">
        <v>55788.800000000003</v>
      </c>
      <c r="CG72" s="1011">
        <v>0</v>
      </c>
      <c r="CH72" s="510">
        <v>0</v>
      </c>
      <c r="CI72" s="1011">
        <v>0</v>
      </c>
    </row>
    <row r="73" spans="1:87" ht="12.75" customHeight="1" x14ac:dyDescent="0.2">
      <c r="A73" s="449">
        <v>79</v>
      </c>
      <c r="B73" s="453">
        <v>12939</v>
      </c>
      <c r="C73" s="454" t="s">
        <v>1979</v>
      </c>
      <c r="D73" s="454" t="s">
        <v>517</v>
      </c>
      <c r="E73" s="454" t="s">
        <v>1979</v>
      </c>
      <c r="F73" s="454" t="s">
        <v>520</v>
      </c>
      <c r="G73" s="454" t="s">
        <v>12445</v>
      </c>
      <c r="H73" s="455">
        <v>67833228000133</v>
      </c>
      <c r="I73" s="462">
        <v>34190</v>
      </c>
      <c r="J73" s="457">
        <v>37628968</v>
      </c>
      <c r="K73" s="454" t="s">
        <v>1981</v>
      </c>
      <c r="L73" s="458">
        <v>200</v>
      </c>
      <c r="M73" s="454" t="s">
        <v>1469</v>
      </c>
      <c r="N73" s="459">
        <v>5868120</v>
      </c>
      <c r="O73" s="460">
        <v>58212627</v>
      </c>
      <c r="P73" s="462">
        <v>301291</v>
      </c>
      <c r="Q73" s="462">
        <v>144</v>
      </c>
      <c r="R73" s="462">
        <v>43969</v>
      </c>
      <c r="S73" s="463">
        <v>549</v>
      </c>
      <c r="T73" s="464">
        <v>5.4</v>
      </c>
      <c r="U73" s="465">
        <v>2964.6</v>
      </c>
      <c r="V73" s="465">
        <v>17100</v>
      </c>
      <c r="W73" s="466">
        <v>0</v>
      </c>
      <c r="X73" s="467">
        <v>1</v>
      </c>
      <c r="Y73" s="466">
        <v>30096.9</v>
      </c>
      <c r="Z73" s="468" t="s">
        <v>516</v>
      </c>
      <c r="AA73" s="466">
        <v>122674.9</v>
      </c>
      <c r="AB73" s="466">
        <v>122674.9</v>
      </c>
      <c r="AC73" s="467">
        <v>0</v>
      </c>
      <c r="AD73" s="466">
        <v>0</v>
      </c>
      <c r="AE73" s="468" t="s">
        <v>516</v>
      </c>
      <c r="AF73" s="466">
        <v>1400</v>
      </c>
      <c r="AG73" s="466">
        <v>1400</v>
      </c>
      <c r="AH73" s="466">
        <v>626.19000000000005</v>
      </c>
      <c r="AI73" s="466">
        <v>0</v>
      </c>
      <c r="AJ73" s="469" t="s">
        <v>1515</v>
      </c>
      <c r="AK73" s="470" t="s">
        <v>1516</v>
      </c>
      <c r="AL73" s="471" t="s">
        <v>1982</v>
      </c>
      <c r="AM73" s="470" t="s">
        <v>1983</v>
      </c>
      <c r="AN73" s="470" t="s">
        <v>1980</v>
      </c>
      <c r="AO73" s="470" t="s">
        <v>1984</v>
      </c>
      <c r="AP73" s="470" t="s">
        <v>1985</v>
      </c>
      <c r="AQ73" s="470" t="s">
        <v>1979</v>
      </c>
      <c r="AR73" s="472" t="s">
        <v>515</v>
      </c>
      <c r="AS73" s="473" t="s">
        <v>1385</v>
      </c>
      <c r="AT73" s="472" t="s">
        <v>517</v>
      </c>
      <c r="AU73" s="472" t="s">
        <v>420</v>
      </c>
      <c r="AV73" s="472">
        <v>2020</v>
      </c>
      <c r="AW73" s="474" t="s">
        <v>15078</v>
      </c>
      <c r="AX73" s="475" t="s">
        <v>15079</v>
      </c>
      <c r="AY73" s="515">
        <v>1</v>
      </c>
      <c r="AZ73" s="474" t="s">
        <v>15079</v>
      </c>
      <c r="BA73" s="472" t="s">
        <v>517</v>
      </c>
      <c r="BB73" s="472" t="s">
        <v>1385</v>
      </c>
      <c r="BC73" s="472" t="s">
        <v>1385</v>
      </c>
      <c r="BD73" s="472" t="s">
        <v>1385</v>
      </c>
      <c r="BE73" s="472" t="s">
        <v>1385</v>
      </c>
      <c r="BF73" s="472">
        <v>30096.9</v>
      </c>
      <c r="BG73" s="472">
        <v>0</v>
      </c>
      <c r="BH73" s="472" t="s">
        <v>1385</v>
      </c>
      <c r="BI73" s="510">
        <v>0</v>
      </c>
      <c r="BJ73" s="510">
        <v>0</v>
      </c>
      <c r="BK73" s="510">
        <v>0</v>
      </c>
      <c r="BL73" s="510">
        <v>3500</v>
      </c>
      <c r="BM73" s="510">
        <v>0</v>
      </c>
      <c r="BN73" s="510">
        <v>3500</v>
      </c>
      <c r="BO73" s="510">
        <v>600</v>
      </c>
      <c r="BP73" s="510">
        <v>1400</v>
      </c>
      <c r="BQ73" s="510">
        <v>0</v>
      </c>
      <c r="BR73" s="510">
        <v>0</v>
      </c>
      <c r="BS73" s="510">
        <v>0</v>
      </c>
      <c r="BT73" s="510">
        <v>0</v>
      </c>
      <c r="BU73" s="510">
        <v>2490.11</v>
      </c>
      <c r="BV73" s="510">
        <v>2425.89</v>
      </c>
      <c r="BW73" s="510">
        <v>0</v>
      </c>
      <c r="BX73" s="510">
        <v>30000</v>
      </c>
      <c r="BY73" s="1011">
        <v>0</v>
      </c>
      <c r="BZ73" s="510">
        <v>0</v>
      </c>
      <c r="CA73" s="1011">
        <v>0</v>
      </c>
      <c r="CB73" s="510">
        <v>22000</v>
      </c>
      <c r="CC73" s="1011">
        <v>0</v>
      </c>
      <c r="CD73" s="510">
        <v>0</v>
      </c>
      <c r="CE73" s="1011">
        <v>0</v>
      </c>
      <c r="CF73" s="510">
        <v>39978</v>
      </c>
      <c r="CG73" s="1011">
        <v>0</v>
      </c>
      <c r="CH73" s="510">
        <v>0</v>
      </c>
      <c r="CI73" s="1011">
        <v>0</v>
      </c>
    </row>
    <row r="74" spans="1:87" ht="12.75" customHeight="1" x14ac:dyDescent="0.2">
      <c r="A74" s="449">
        <v>67</v>
      </c>
      <c r="B74" s="453">
        <v>13111</v>
      </c>
      <c r="C74" s="454" t="s">
        <v>1986</v>
      </c>
      <c r="D74" s="454" t="s">
        <v>1390</v>
      </c>
      <c r="E74" s="454" t="s">
        <v>1987</v>
      </c>
      <c r="F74" s="454" t="s">
        <v>522</v>
      </c>
      <c r="G74" s="454" t="s">
        <v>12446</v>
      </c>
      <c r="H74" s="455">
        <v>96292685000166</v>
      </c>
      <c r="I74" s="462">
        <v>34187</v>
      </c>
      <c r="J74" s="457">
        <v>37587030</v>
      </c>
      <c r="K74" s="454" t="s">
        <v>1988</v>
      </c>
      <c r="L74" s="458">
        <v>74</v>
      </c>
      <c r="M74" s="454" t="s">
        <v>1989</v>
      </c>
      <c r="N74" s="459">
        <v>2375020</v>
      </c>
      <c r="O74" s="460">
        <v>38512035</v>
      </c>
      <c r="P74" s="462">
        <v>73337</v>
      </c>
      <c r="Q74" s="462">
        <v>12</v>
      </c>
      <c r="R74" s="462">
        <v>43922</v>
      </c>
      <c r="S74" s="463">
        <v>580</v>
      </c>
      <c r="T74" s="464">
        <v>3.6</v>
      </c>
      <c r="U74" s="465">
        <v>2088</v>
      </c>
      <c r="V74" s="465">
        <v>16560</v>
      </c>
      <c r="W74" s="466">
        <v>0</v>
      </c>
      <c r="X74" s="467">
        <v>1</v>
      </c>
      <c r="Y74" s="466">
        <v>0</v>
      </c>
      <c r="Z74" s="468" t="s">
        <v>514</v>
      </c>
      <c r="AA74" s="466">
        <v>0</v>
      </c>
      <c r="AB74" s="466">
        <v>0</v>
      </c>
      <c r="AC74" s="467">
        <v>0</v>
      </c>
      <c r="AD74" s="466">
        <v>0</v>
      </c>
      <c r="AE74" s="468" t="s">
        <v>516</v>
      </c>
      <c r="AF74" s="466">
        <v>0</v>
      </c>
      <c r="AG74" s="466">
        <v>0</v>
      </c>
      <c r="AH74" s="466">
        <v>699.33</v>
      </c>
      <c r="AI74" s="466">
        <v>0.84</v>
      </c>
      <c r="AJ74" s="469" t="s">
        <v>1438</v>
      </c>
      <c r="AK74" s="470" t="s">
        <v>1990</v>
      </c>
      <c r="AL74" s="471" t="s">
        <v>1991</v>
      </c>
      <c r="AM74" s="470" t="s">
        <v>12447</v>
      </c>
      <c r="AN74" s="470" t="s">
        <v>1385</v>
      </c>
      <c r="AO74" s="470" t="s">
        <v>12448</v>
      </c>
      <c r="AP74" s="470" t="s">
        <v>1992</v>
      </c>
      <c r="AQ74" s="470" t="s">
        <v>1986</v>
      </c>
      <c r="AR74" s="472" t="s">
        <v>515</v>
      </c>
      <c r="AS74" s="473" t="s">
        <v>1385</v>
      </c>
      <c r="AT74" s="472" t="s">
        <v>1390</v>
      </c>
      <c r="AU74" s="472" t="s">
        <v>420</v>
      </c>
      <c r="AV74" s="472">
        <v>2020</v>
      </c>
      <c r="AW74" s="474" t="s">
        <v>15078</v>
      </c>
      <c r="AX74" s="475" t="s">
        <v>15079</v>
      </c>
      <c r="AY74" s="515">
        <v>1</v>
      </c>
      <c r="AZ74" s="474" t="s">
        <v>15079</v>
      </c>
      <c r="BA74" s="472" t="s">
        <v>1385</v>
      </c>
      <c r="BB74" s="472" t="s">
        <v>1385</v>
      </c>
      <c r="BC74" s="472" t="s">
        <v>1385</v>
      </c>
      <c r="BD74" s="472" t="s">
        <v>1385</v>
      </c>
      <c r="BE74" s="472" t="s">
        <v>1385</v>
      </c>
      <c r="BF74" s="472">
        <v>27972</v>
      </c>
      <c r="BG74" s="472">
        <v>0</v>
      </c>
      <c r="BH74" s="472" t="s">
        <v>516</v>
      </c>
      <c r="BI74" s="510">
        <v>0</v>
      </c>
      <c r="BJ74" s="510">
        <v>0</v>
      </c>
      <c r="BK74" s="510">
        <v>0</v>
      </c>
      <c r="BL74" s="510">
        <v>0</v>
      </c>
      <c r="BM74" s="510">
        <v>0</v>
      </c>
      <c r="BN74" s="510">
        <v>0</v>
      </c>
      <c r="BO74" s="510">
        <v>0</v>
      </c>
      <c r="BP74" s="510">
        <v>0</v>
      </c>
      <c r="BQ74" s="510">
        <v>0</v>
      </c>
      <c r="BR74" s="510">
        <v>0</v>
      </c>
      <c r="BS74" s="510">
        <v>0</v>
      </c>
      <c r="BT74" s="510">
        <v>0</v>
      </c>
      <c r="BU74" s="510">
        <v>0</v>
      </c>
      <c r="BV74" s="510">
        <v>0</v>
      </c>
      <c r="BW74" s="510">
        <v>0</v>
      </c>
      <c r="BX74" s="510">
        <v>0</v>
      </c>
      <c r="BY74" s="1011">
        <v>0</v>
      </c>
      <c r="BZ74" s="510">
        <v>0</v>
      </c>
      <c r="CA74" s="1011">
        <v>0</v>
      </c>
      <c r="CB74" s="510">
        <v>0</v>
      </c>
      <c r="CC74" s="1011">
        <v>0</v>
      </c>
      <c r="CD74" s="510">
        <v>0</v>
      </c>
      <c r="CE74" s="1011">
        <v>0</v>
      </c>
      <c r="CF74" s="510">
        <v>0</v>
      </c>
      <c r="CG74" s="1011">
        <v>0</v>
      </c>
      <c r="CH74" s="510">
        <v>0</v>
      </c>
      <c r="CI74" s="1011">
        <v>0</v>
      </c>
    </row>
    <row r="75" spans="1:87" ht="12.75" customHeight="1" x14ac:dyDescent="0.2">
      <c r="A75" s="449">
        <v>119</v>
      </c>
      <c r="B75" s="453">
        <v>13218</v>
      </c>
      <c r="C75" s="454" t="s">
        <v>1993</v>
      </c>
      <c r="D75" s="454" t="s">
        <v>1390</v>
      </c>
      <c r="E75" s="454" t="s">
        <v>1994</v>
      </c>
      <c r="F75" s="454" t="s">
        <v>526</v>
      </c>
      <c r="G75" s="454" t="s">
        <v>12449</v>
      </c>
      <c r="H75" s="455">
        <v>73862740000100</v>
      </c>
      <c r="I75" s="462">
        <v>34277</v>
      </c>
      <c r="J75" s="457">
        <v>37476505</v>
      </c>
      <c r="K75" s="454" t="s">
        <v>1995</v>
      </c>
      <c r="L75" s="458">
        <v>235</v>
      </c>
      <c r="M75" s="454" t="s">
        <v>1888</v>
      </c>
      <c r="N75" s="459">
        <v>8150190</v>
      </c>
      <c r="O75" s="460">
        <v>20351871</v>
      </c>
      <c r="P75" s="462">
        <v>169245</v>
      </c>
      <c r="Q75" s="462">
        <v>119</v>
      </c>
      <c r="R75" s="462">
        <v>43928</v>
      </c>
      <c r="S75" s="463">
        <v>594</v>
      </c>
      <c r="T75" s="464">
        <v>3.6</v>
      </c>
      <c r="U75" s="465">
        <v>2138.4</v>
      </c>
      <c r="V75" s="465">
        <v>16560</v>
      </c>
      <c r="W75" s="466">
        <v>0</v>
      </c>
      <c r="X75" s="467">
        <v>1</v>
      </c>
      <c r="Y75" s="466">
        <v>28047.599999999999</v>
      </c>
      <c r="Z75" s="468" t="s">
        <v>516</v>
      </c>
      <c r="AA75" s="466">
        <v>110444.4</v>
      </c>
      <c r="AB75" s="466">
        <v>110444.4</v>
      </c>
      <c r="AC75" s="467">
        <v>0</v>
      </c>
      <c r="AD75" s="466">
        <v>0</v>
      </c>
      <c r="AE75" s="468" t="s">
        <v>516</v>
      </c>
      <c r="AF75" s="466">
        <v>0</v>
      </c>
      <c r="AG75" s="466">
        <v>0</v>
      </c>
      <c r="AH75" s="466">
        <v>13826.33</v>
      </c>
      <c r="AI75" s="466">
        <v>4568.46</v>
      </c>
      <c r="AJ75" s="469" t="s">
        <v>1410</v>
      </c>
      <c r="AK75" s="470" t="s">
        <v>1411</v>
      </c>
      <c r="AL75" s="471" t="s">
        <v>1996</v>
      </c>
      <c r="AM75" s="470" t="s">
        <v>1997</v>
      </c>
      <c r="AN75" s="470" t="s">
        <v>1385</v>
      </c>
      <c r="AO75" s="470" t="s">
        <v>12450</v>
      </c>
      <c r="AP75" s="470" t="s">
        <v>1998</v>
      </c>
      <c r="AQ75" s="470" t="s">
        <v>1993</v>
      </c>
      <c r="AR75" s="472" t="s">
        <v>515</v>
      </c>
      <c r="AS75" s="473" t="s">
        <v>1385</v>
      </c>
      <c r="AT75" s="472" t="s">
        <v>1390</v>
      </c>
      <c r="AU75" s="472" t="s">
        <v>420</v>
      </c>
      <c r="AV75" s="472">
        <v>2020</v>
      </c>
      <c r="AW75" s="474" t="s">
        <v>15078</v>
      </c>
      <c r="AX75" s="475" t="s">
        <v>15079</v>
      </c>
      <c r="AY75" s="515">
        <v>1</v>
      </c>
      <c r="AZ75" s="474" t="s">
        <v>15079</v>
      </c>
      <c r="BA75" s="472" t="s">
        <v>1390</v>
      </c>
      <c r="BB75" s="472" t="s">
        <v>1385</v>
      </c>
      <c r="BC75" s="472" t="s">
        <v>1385</v>
      </c>
      <c r="BD75" s="472" t="s">
        <v>1385</v>
      </c>
      <c r="BE75" s="472" t="s">
        <v>1385</v>
      </c>
      <c r="BF75" s="472">
        <v>28047.599999999999</v>
      </c>
      <c r="BG75" s="472">
        <v>0</v>
      </c>
      <c r="BH75" s="472" t="s">
        <v>1385</v>
      </c>
      <c r="BI75" s="510">
        <v>0</v>
      </c>
      <c r="BJ75" s="510">
        <v>0</v>
      </c>
      <c r="BK75" s="510">
        <v>0</v>
      </c>
      <c r="BL75" s="510">
        <v>0</v>
      </c>
      <c r="BM75" s="510">
        <v>0</v>
      </c>
      <c r="BN75" s="510">
        <v>5000</v>
      </c>
      <c r="BO75" s="510">
        <v>0</v>
      </c>
      <c r="BP75" s="510">
        <v>0</v>
      </c>
      <c r="BQ75" s="510">
        <v>0</v>
      </c>
      <c r="BR75" s="510">
        <v>0</v>
      </c>
      <c r="BS75" s="510">
        <v>0</v>
      </c>
      <c r="BT75" s="510">
        <v>0</v>
      </c>
      <c r="BU75" s="510">
        <v>0</v>
      </c>
      <c r="BV75" s="510">
        <v>0</v>
      </c>
      <c r="BW75" s="510">
        <v>0</v>
      </c>
      <c r="BX75" s="510">
        <v>30000</v>
      </c>
      <c r="BY75" s="1011">
        <v>0</v>
      </c>
      <c r="BZ75" s="510">
        <v>0</v>
      </c>
      <c r="CA75" s="1011">
        <v>0</v>
      </c>
      <c r="CB75" s="510">
        <v>0</v>
      </c>
      <c r="CC75" s="1011">
        <v>0</v>
      </c>
      <c r="CD75" s="510">
        <v>0</v>
      </c>
      <c r="CE75" s="1011">
        <v>0</v>
      </c>
      <c r="CF75" s="510">
        <v>52396.800000000003</v>
      </c>
      <c r="CG75" s="1011">
        <v>0</v>
      </c>
      <c r="CH75" s="510">
        <v>0</v>
      </c>
      <c r="CI75" s="1011">
        <v>0</v>
      </c>
    </row>
    <row r="76" spans="1:87" ht="12.75" customHeight="1" x14ac:dyDescent="0.2">
      <c r="A76" s="449">
        <v>125</v>
      </c>
      <c r="B76" s="453">
        <v>13226</v>
      </c>
      <c r="C76" s="454" t="s">
        <v>1999</v>
      </c>
      <c r="D76" s="454" t="s">
        <v>2000</v>
      </c>
      <c r="E76" s="454" t="s">
        <v>2001</v>
      </c>
      <c r="F76" s="454" t="s">
        <v>526</v>
      </c>
      <c r="G76" s="454" t="s">
        <v>12451</v>
      </c>
      <c r="H76" s="455">
        <v>348630000151</v>
      </c>
      <c r="I76" s="462">
        <v>34596</v>
      </c>
      <c r="J76" s="457">
        <v>37586122</v>
      </c>
      <c r="K76" s="454" t="s">
        <v>2002</v>
      </c>
      <c r="L76" s="458">
        <v>141</v>
      </c>
      <c r="M76" s="454" t="s">
        <v>2003</v>
      </c>
      <c r="N76" s="459">
        <v>8062590</v>
      </c>
      <c r="O76" s="460">
        <v>20454230</v>
      </c>
      <c r="P76" s="462">
        <v>124900</v>
      </c>
      <c r="Q76" s="462">
        <v>125</v>
      </c>
      <c r="R76" s="462">
        <v>43928</v>
      </c>
      <c r="S76" s="463">
        <v>379</v>
      </c>
      <c r="T76" s="464">
        <v>3.6</v>
      </c>
      <c r="U76" s="465">
        <v>1364.4</v>
      </c>
      <c r="V76" s="465">
        <v>13680</v>
      </c>
      <c r="W76" s="466">
        <v>0</v>
      </c>
      <c r="X76" s="467">
        <v>1</v>
      </c>
      <c r="Y76" s="466">
        <v>22566.6</v>
      </c>
      <c r="Z76" s="468" t="s">
        <v>516</v>
      </c>
      <c r="AA76" s="466">
        <v>97194.6</v>
      </c>
      <c r="AB76" s="466">
        <v>97194.6</v>
      </c>
      <c r="AC76" s="467">
        <v>0</v>
      </c>
      <c r="AD76" s="466">
        <v>0</v>
      </c>
      <c r="AE76" s="468" t="s">
        <v>516</v>
      </c>
      <c r="AF76" s="466">
        <v>0</v>
      </c>
      <c r="AG76" s="466">
        <v>0</v>
      </c>
      <c r="AH76" s="466">
        <v>16091.74</v>
      </c>
      <c r="AI76" s="466">
        <v>7505.84</v>
      </c>
      <c r="AJ76" s="469" t="s">
        <v>2004</v>
      </c>
      <c r="AK76" s="470" t="s">
        <v>2005</v>
      </c>
      <c r="AL76" s="471" t="s">
        <v>2006</v>
      </c>
      <c r="AM76" s="470" t="s">
        <v>2007</v>
      </c>
      <c r="AN76" s="470" t="s">
        <v>1385</v>
      </c>
      <c r="AO76" s="470" t="s">
        <v>2008</v>
      </c>
      <c r="AP76" s="470" t="s">
        <v>2009</v>
      </c>
      <c r="AQ76" s="470" t="s">
        <v>1999</v>
      </c>
      <c r="AR76" s="472" t="s">
        <v>515</v>
      </c>
      <c r="AS76" s="473" t="s">
        <v>1385</v>
      </c>
      <c r="AT76" s="472" t="s">
        <v>2000</v>
      </c>
      <c r="AU76" s="472" t="s">
        <v>420</v>
      </c>
      <c r="AV76" s="472">
        <v>2020</v>
      </c>
      <c r="AW76" s="474" t="s">
        <v>15078</v>
      </c>
      <c r="AX76" s="475" t="s">
        <v>15079</v>
      </c>
      <c r="AY76" s="515">
        <v>1</v>
      </c>
      <c r="AZ76" s="474" t="s">
        <v>15079</v>
      </c>
      <c r="BA76" s="472" t="s">
        <v>2000</v>
      </c>
      <c r="BB76" s="472" t="s">
        <v>1385</v>
      </c>
      <c r="BC76" s="472" t="s">
        <v>1385</v>
      </c>
      <c r="BD76" s="472" t="s">
        <v>1385</v>
      </c>
      <c r="BE76" s="472" t="s">
        <v>1385</v>
      </c>
      <c r="BF76" s="472">
        <v>22566.6</v>
      </c>
      <c r="BG76" s="472">
        <v>0</v>
      </c>
      <c r="BH76" s="472" t="s">
        <v>1385</v>
      </c>
      <c r="BI76" s="510">
        <v>0</v>
      </c>
      <c r="BJ76" s="510">
        <v>0.2</v>
      </c>
      <c r="BK76" s="510">
        <v>0</v>
      </c>
      <c r="BL76" s="510">
        <v>0</v>
      </c>
      <c r="BM76" s="510">
        <v>0</v>
      </c>
      <c r="BN76" s="510">
        <v>3500</v>
      </c>
      <c r="BO76" s="510">
        <v>0</v>
      </c>
      <c r="BP76" s="510">
        <v>0</v>
      </c>
      <c r="BQ76" s="510">
        <v>0</v>
      </c>
      <c r="BR76" s="510">
        <v>0</v>
      </c>
      <c r="BS76" s="510">
        <v>0</v>
      </c>
      <c r="BT76" s="510">
        <v>0</v>
      </c>
      <c r="BU76" s="510">
        <v>0</v>
      </c>
      <c r="BV76" s="510">
        <v>0</v>
      </c>
      <c r="BW76" s="510">
        <v>0</v>
      </c>
      <c r="BX76" s="510">
        <v>30000</v>
      </c>
      <c r="BY76" s="1011">
        <v>0</v>
      </c>
      <c r="BZ76" s="510">
        <v>0</v>
      </c>
      <c r="CA76" s="1011">
        <v>0</v>
      </c>
      <c r="CB76" s="510">
        <v>0</v>
      </c>
      <c r="CC76" s="1011">
        <v>0</v>
      </c>
      <c r="CD76" s="510">
        <v>0</v>
      </c>
      <c r="CE76" s="1011">
        <v>0</v>
      </c>
      <c r="CF76" s="510">
        <v>44628</v>
      </c>
      <c r="CG76" s="1011">
        <v>0</v>
      </c>
      <c r="CH76" s="510">
        <v>0</v>
      </c>
      <c r="CI76" s="1011">
        <v>0</v>
      </c>
    </row>
    <row r="77" spans="1:87" s="448" customFormat="1" ht="12.75" customHeight="1" x14ac:dyDescent="0.2">
      <c r="A77" s="449">
        <v>79</v>
      </c>
      <c r="B77" s="453">
        <v>13315</v>
      </c>
      <c r="C77" s="454" t="s">
        <v>2010</v>
      </c>
      <c r="D77" s="454" t="s">
        <v>1390</v>
      </c>
      <c r="E77" s="454" t="s">
        <v>2011</v>
      </c>
      <c r="F77" s="454" t="s">
        <v>522</v>
      </c>
      <c r="G77" s="454" t="s">
        <v>12452</v>
      </c>
      <c r="H77" s="455">
        <v>71588305000104</v>
      </c>
      <c r="I77" s="462">
        <v>34307</v>
      </c>
      <c r="J77" s="457">
        <v>37587145</v>
      </c>
      <c r="K77" s="454" t="s">
        <v>2012</v>
      </c>
      <c r="L77" s="458">
        <v>303</v>
      </c>
      <c r="M77" s="454" t="s">
        <v>2013</v>
      </c>
      <c r="N77" s="459">
        <v>2652160</v>
      </c>
      <c r="O77" s="460">
        <v>22582221</v>
      </c>
      <c r="P77" s="462">
        <v>75054</v>
      </c>
      <c r="Q77" s="462">
        <v>24</v>
      </c>
      <c r="R77" s="462">
        <v>43922</v>
      </c>
      <c r="S77" s="463">
        <v>603</v>
      </c>
      <c r="T77" s="464">
        <v>3.6</v>
      </c>
      <c r="U77" s="465">
        <v>2170.8000000000002</v>
      </c>
      <c r="V77" s="465">
        <v>18000</v>
      </c>
      <c r="W77" s="466">
        <v>0</v>
      </c>
      <c r="X77" s="467">
        <v>1</v>
      </c>
      <c r="Y77" s="466">
        <v>30256.2</v>
      </c>
      <c r="Z77" s="468" t="s">
        <v>516</v>
      </c>
      <c r="AA77" s="466">
        <v>112681.8</v>
      </c>
      <c r="AB77" s="466">
        <v>112681.8</v>
      </c>
      <c r="AC77" s="467">
        <v>0</v>
      </c>
      <c r="AD77" s="466">
        <v>0</v>
      </c>
      <c r="AE77" s="468" t="s">
        <v>516</v>
      </c>
      <c r="AF77" s="466">
        <v>0</v>
      </c>
      <c r="AG77" s="466">
        <v>0</v>
      </c>
      <c r="AH77" s="466">
        <v>8111.57</v>
      </c>
      <c r="AI77" s="466">
        <v>8320</v>
      </c>
      <c r="AJ77" s="469" t="s">
        <v>1460</v>
      </c>
      <c r="AK77" s="470" t="s">
        <v>12453</v>
      </c>
      <c r="AL77" s="471" t="s">
        <v>2014</v>
      </c>
      <c r="AM77" s="470" t="s">
        <v>12454</v>
      </c>
      <c r="AN77" s="470" t="s">
        <v>1385</v>
      </c>
      <c r="AO77" s="470" t="s">
        <v>2015</v>
      </c>
      <c r="AP77" s="470" t="s">
        <v>2016</v>
      </c>
      <c r="AQ77" s="470" t="s">
        <v>2010</v>
      </c>
      <c r="AR77" s="472" t="s">
        <v>515</v>
      </c>
      <c r="AS77" s="473" t="s">
        <v>1385</v>
      </c>
      <c r="AT77" s="472" t="s">
        <v>1390</v>
      </c>
      <c r="AU77" s="472" t="s">
        <v>420</v>
      </c>
      <c r="AV77" s="472">
        <v>2020</v>
      </c>
      <c r="AW77" s="474" t="s">
        <v>15078</v>
      </c>
      <c r="AX77" s="475" t="s">
        <v>15079</v>
      </c>
      <c r="AY77" s="515">
        <v>1</v>
      </c>
      <c r="AZ77" s="474" t="s">
        <v>15079</v>
      </c>
      <c r="BA77" s="472" t="s">
        <v>1390</v>
      </c>
      <c r="BB77" s="472" t="s">
        <v>1385</v>
      </c>
      <c r="BC77" s="472" t="s">
        <v>1385</v>
      </c>
      <c r="BD77" s="472" t="s">
        <v>1385</v>
      </c>
      <c r="BE77" s="472" t="s">
        <v>1385</v>
      </c>
      <c r="BF77" s="472">
        <v>30256.2</v>
      </c>
      <c r="BG77" s="472">
        <v>0</v>
      </c>
      <c r="BH77" s="472" t="s">
        <v>1385</v>
      </c>
      <c r="BI77" s="510">
        <v>0</v>
      </c>
      <c r="BJ77" s="510">
        <v>0</v>
      </c>
      <c r="BK77" s="510">
        <v>0</v>
      </c>
      <c r="BL77" s="510">
        <v>0</v>
      </c>
      <c r="BM77" s="510">
        <v>0</v>
      </c>
      <c r="BN77" s="510">
        <v>5000</v>
      </c>
      <c r="BO77" s="510">
        <v>0</v>
      </c>
      <c r="BP77" s="510">
        <v>0</v>
      </c>
      <c r="BQ77" s="510">
        <v>0</v>
      </c>
      <c r="BR77" s="510">
        <v>0</v>
      </c>
      <c r="BS77" s="510">
        <v>0</v>
      </c>
      <c r="BT77" s="510">
        <v>0</v>
      </c>
      <c r="BU77" s="510">
        <v>0</v>
      </c>
      <c r="BV77" s="510">
        <v>0</v>
      </c>
      <c r="BW77" s="510">
        <v>0</v>
      </c>
      <c r="BX77" s="510">
        <v>30000</v>
      </c>
      <c r="BY77" s="1011">
        <v>0</v>
      </c>
      <c r="BZ77" s="510">
        <v>0</v>
      </c>
      <c r="CA77" s="1011">
        <v>0</v>
      </c>
      <c r="CB77" s="510">
        <v>0</v>
      </c>
      <c r="CC77" s="1011">
        <v>0</v>
      </c>
      <c r="CD77" s="510">
        <v>0</v>
      </c>
      <c r="CE77" s="1011">
        <v>0</v>
      </c>
      <c r="CF77" s="510">
        <v>52425.599999999999</v>
      </c>
      <c r="CG77" s="1011">
        <v>0</v>
      </c>
      <c r="CH77" s="510">
        <v>0</v>
      </c>
      <c r="CI77" s="1011">
        <v>0</v>
      </c>
    </row>
    <row r="78" spans="1:87" ht="12.75" customHeight="1" x14ac:dyDescent="0.2">
      <c r="A78" s="449">
        <v>84</v>
      </c>
      <c r="B78" s="453">
        <v>13358</v>
      </c>
      <c r="C78" s="454" t="s">
        <v>2017</v>
      </c>
      <c r="D78" s="454" t="s">
        <v>1390</v>
      </c>
      <c r="E78" s="454" t="s">
        <v>2018</v>
      </c>
      <c r="F78" s="454" t="s">
        <v>525</v>
      </c>
      <c r="G78" s="454" t="s">
        <v>12455</v>
      </c>
      <c r="H78" s="455">
        <v>1356705000109</v>
      </c>
      <c r="I78" s="462">
        <v>35214</v>
      </c>
      <c r="J78" s="457">
        <v>37387219</v>
      </c>
      <c r="K78" s="454" t="s">
        <v>2020</v>
      </c>
      <c r="L78" s="458">
        <v>240</v>
      </c>
      <c r="M78" s="454" t="s">
        <v>2021</v>
      </c>
      <c r="N78" s="459">
        <v>2322210</v>
      </c>
      <c r="O78" s="460">
        <v>29535889</v>
      </c>
      <c r="P78" s="462">
        <v>335340</v>
      </c>
      <c r="Q78" s="462">
        <v>84</v>
      </c>
      <c r="R78" s="462">
        <v>43950</v>
      </c>
      <c r="S78" s="463">
        <v>617</v>
      </c>
      <c r="T78" s="464">
        <v>3.6</v>
      </c>
      <c r="U78" s="465">
        <v>2221.1999999999998</v>
      </c>
      <c r="V78" s="465">
        <v>18000</v>
      </c>
      <c r="W78" s="466">
        <v>0</v>
      </c>
      <c r="X78" s="467">
        <v>1</v>
      </c>
      <c r="Y78" s="466">
        <v>30331.8</v>
      </c>
      <c r="Z78" s="468" t="s">
        <v>516</v>
      </c>
      <c r="AA78" s="466">
        <v>115846.2</v>
      </c>
      <c r="AB78" s="466">
        <v>115846.2</v>
      </c>
      <c r="AC78" s="467">
        <v>0</v>
      </c>
      <c r="AD78" s="466">
        <v>0</v>
      </c>
      <c r="AE78" s="468" t="s">
        <v>516</v>
      </c>
      <c r="AF78" s="466">
        <v>0</v>
      </c>
      <c r="AG78" s="466">
        <v>0</v>
      </c>
      <c r="AH78" s="466">
        <v>19892.64</v>
      </c>
      <c r="AI78" s="466">
        <v>8952.5400000000009</v>
      </c>
      <c r="AJ78" s="469" t="s">
        <v>1448</v>
      </c>
      <c r="AK78" s="470" t="s">
        <v>1449</v>
      </c>
      <c r="AL78" s="471" t="s">
        <v>2022</v>
      </c>
      <c r="AM78" s="470" t="s">
        <v>2023</v>
      </c>
      <c r="AN78" s="470" t="s">
        <v>2019</v>
      </c>
      <c r="AO78" s="470" t="s">
        <v>2024</v>
      </c>
      <c r="AP78" s="470" t="s">
        <v>2025</v>
      </c>
      <c r="AQ78" s="470" t="s">
        <v>2017</v>
      </c>
      <c r="AR78" s="472" t="s">
        <v>515</v>
      </c>
      <c r="AS78" s="473" t="s">
        <v>1385</v>
      </c>
      <c r="AT78" s="472" t="s">
        <v>1390</v>
      </c>
      <c r="AU78" s="472" t="s">
        <v>420</v>
      </c>
      <c r="AV78" s="472">
        <v>2020</v>
      </c>
      <c r="AW78" s="474" t="s">
        <v>15078</v>
      </c>
      <c r="AX78" s="475" t="s">
        <v>15079</v>
      </c>
      <c r="AY78" s="515">
        <v>1</v>
      </c>
      <c r="AZ78" s="474" t="s">
        <v>15079</v>
      </c>
      <c r="BA78" s="472" t="s">
        <v>1390</v>
      </c>
      <c r="BB78" s="472" t="s">
        <v>1385</v>
      </c>
      <c r="BC78" s="472" t="s">
        <v>1385</v>
      </c>
      <c r="BD78" s="472" t="s">
        <v>1385</v>
      </c>
      <c r="BE78" s="472" t="s">
        <v>1385</v>
      </c>
      <c r="BF78" s="472">
        <v>30331.8</v>
      </c>
      <c r="BG78" s="472">
        <v>0</v>
      </c>
      <c r="BH78" s="472" t="s">
        <v>1385</v>
      </c>
      <c r="BI78" s="510">
        <v>0</v>
      </c>
      <c r="BJ78" s="510">
        <v>0</v>
      </c>
      <c r="BK78" s="510">
        <v>0</v>
      </c>
      <c r="BL78" s="510">
        <v>0</v>
      </c>
      <c r="BM78" s="510">
        <v>0</v>
      </c>
      <c r="BN78" s="510">
        <v>5000</v>
      </c>
      <c r="BO78" s="510">
        <v>0</v>
      </c>
      <c r="BP78" s="510">
        <v>0</v>
      </c>
      <c r="BQ78" s="510">
        <v>0</v>
      </c>
      <c r="BR78" s="510">
        <v>0</v>
      </c>
      <c r="BS78" s="510">
        <v>0</v>
      </c>
      <c r="BT78" s="510">
        <v>0</v>
      </c>
      <c r="BU78" s="510">
        <v>0</v>
      </c>
      <c r="BV78" s="510">
        <v>0</v>
      </c>
      <c r="BW78" s="510">
        <v>0</v>
      </c>
      <c r="BX78" s="510">
        <v>30000</v>
      </c>
      <c r="BY78" s="1011">
        <v>0</v>
      </c>
      <c r="BZ78" s="510">
        <v>0</v>
      </c>
      <c r="CA78" s="1011">
        <v>0</v>
      </c>
      <c r="CB78" s="510">
        <v>0</v>
      </c>
      <c r="CC78" s="1011">
        <v>0</v>
      </c>
      <c r="CD78" s="510">
        <v>0</v>
      </c>
      <c r="CE78" s="1011">
        <v>0</v>
      </c>
      <c r="CF78" s="510">
        <v>55514.400000000001</v>
      </c>
      <c r="CG78" s="1011">
        <v>0</v>
      </c>
      <c r="CH78" s="510">
        <v>0</v>
      </c>
      <c r="CI78" s="1011">
        <v>0</v>
      </c>
    </row>
    <row r="79" spans="1:87" ht="12.75" customHeight="1" x14ac:dyDescent="0.2">
      <c r="A79" s="449">
        <v>107</v>
      </c>
      <c r="B79" s="453">
        <v>13447</v>
      </c>
      <c r="C79" s="454" t="s">
        <v>2026</v>
      </c>
      <c r="D79" s="454" t="s">
        <v>1390</v>
      </c>
      <c r="E79" s="454" t="s">
        <v>2027</v>
      </c>
      <c r="F79" s="454" t="s">
        <v>513</v>
      </c>
      <c r="G79" s="454" t="s">
        <v>12456</v>
      </c>
      <c r="H79" s="455">
        <v>73739096000188</v>
      </c>
      <c r="I79" s="462">
        <v>34235</v>
      </c>
      <c r="J79" s="457">
        <v>37531271</v>
      </c>
      <c r="K79" s="454" t="s">
        <v>2028</v>
      </c>
      <c r="L79" s="458">
        <v>156</v>
      </c>
      <c r="M79" s="454" t="s">
        <v>2029</v>
      </c>
      <c r="N79" s="459">
        <v>8330430</v>
      </c>
      <c r="O79" s="460">
        <v>20198300</v>
      </c>
      <c r="P79" s="462">
        <v>151702</v>
      </c>
      <c r="Q79" s="462">
        <v>107</v>
      </c>
      <c r="R79" s="462">
        <v>43937</v>
      </c>
      <c r="S79" s="463">
        <v>344</v>
      </c>
      <c r="T79" s="464">
        <v>3.6</v>
      </c>
      <c r="U79" s="465">
        <v>1238.4000000000001</v>
      </c>
      <c r="V79" s="465">
        <v>13680</v>
      </c>
      <c r="W79" s="466">
        <v>0</v>
      </c>
      <c r="X79" s="467">
        <v>1</v>
      </c>
      <c r="Y79" s="466">
        <v>22377.599999999999</v>
      </c>
      <c r="Z79" s="468" t="s">
        <v>516</v>
      </c>
      <c r="AA79" s="466">
        <v>97164</v>
      </c>
      <c r="AB79" s="466">
        <v>97164</v>
      </c>
      <c r="AC79" s="467">
        <v>0</v>
      </c>
      <c r="AD79" s="466">
        <v>0</v>
      </c>
      <c r="AE79" s="468" t="s">
        <v>516</v>
      </c>
      <c r="AF79" s="466">
        <v>0</v>
      </c>
      <c r="AG79" s="466">
        <v>0</v>
      </c>
      <c r="AH79" s="466">
        <v>9127.9699999999993</v>
      </c>
      <c r="AI79" s="466">
        <v>8954.41</v>
      </c>
      <c r="AJ79" s="469" t="s">
        <v>2030</v>
      </c>
      <c r="AK79" s="470" t="s">
        <v>513</v>
      </c>
      <c r="AL79" s="471" t="s">
        <v>2031</v>
      </c>
      <c r="AM79" s="470" t="s">
        <v>2032</v>
      </c>
      <c r="AN79" s="470" t="s">
        <v>2033</v>
      </c>
      <c r="AO79" s="470" t="s">
        <v>2034</v>
      </c>
      <c r="AP79" s="470" t="s">
        <v>2035</v>
      </c>
      <c r="AQ79" s="470" t="s">
        <v>2026</v>
      </c>
      <c r="AR79" s="472" t="s">
        <v>515</v>
      </c>
      <c r="AS79" s="473" t="s">
        <v>1385</v>
      </c>
      <c r="AT79" s="472" t="s">
        <v>1390</v>
      </c>
      <c r="AU79" s="472" t="s">
        <v>420</v>
      </c>
      <c r="AV79" s="472">
        <v>2020</v>
      </c>
      <c r="AW79" s="474" t="s">
        <v>15078</v>
      </c>
      <c r="AX79" s="475" t="s">
        <v>15079</v>
      </c>
      <c r="AY79" s="515">
        <v>1</v>
      </c>
      <c r="AZ79" s="474" t="s">
        <v>15079</v>
      </c>
      <c r="BA79" s="472" t="s">
        <v>1390</v>
      </c>
      <c r="BB79" s="472" t="s">
        <v>1385</v>
      </c>
      <c r="BC79" s="472" t="s">
        <v>1385</v>
      </c>
      <c r="BD79" s="472" t="s">
        <v>1385</v>
      </c>
      <c r="BE79" s="472" t="s">
        <v>1385</v>
      </c>
      <c r="BF79" s="509">
        <v>22377.599999999999</v>
      </c>
      <c r="BG79" s="472">
        <v>0</v>
      </c>
      <c r="BH79" s="472" t="s">
        <v>1385</v>
      </c>
      <c r="BI79" s="510">
        <v>0</v>
      </c>
      <c r="BJ79" s="510">
        <v>0</v>
      </c>
      <c r="BK79" s="510">
        <v>0</v>
      </c>
      <c r="BL79" s="510">
        <v>0</v>
      </c>
      <c r="BM79" s="510">
        <v>0</v>
      </c>
      <c r="BN79" s="510">
        <v>3500</v>
      </c>
      <c r="BO79" s="510">
        <v>0</v>
      </c>
      <c r="BP79" s="510">
        <v>0</v>
      </c>
      <c r="BQ79" s="510">
        <v>0</v>
      </c>
      <c r="BR79" s="510">
        <v>0</v>
      </c>
      <c r="BS79" s="510">
        <v>0</v>
      </c>
      <c r="BT79" s="510">
        <v>0</v>
      </c>
      <c r="BU79" s="510">
        <v>0</v>
      </c>
      <c r="BV79" s="510">
        <v>0</v>
      </c>
      <c r="BW79" s="510">
        <v>0</v>
      </c>
      <c r="BX79" s="510">
        <v>30000</v>
      </c>
      <c r="BY79" s="1011">
        <v>0</v>
      </c>
      <c r="BZ79" s="510">
        <v>0</v>
      </c>
      <c r="CA79" s="1011">
        <v>0</v>
      </c>
      <c r="CB79" s="510">
        <v>0</v>
      </c>
      <c r="CC79" s="1011">
        <v>0</v>
      </c>
      <c r="CD79" s="510">
        <v>0</v>
      </c>
      <c r="CE79" s="1011">
        <v>0</v>
      </c>
      <c r="CF79" s="510">
        <v>44786.400000000001</v>
      </c>
      <c r="CG79" s="1011">
        <v>0</v>
      </c>
      <c r="CH79" s="510">
        <v>0</v>
      </c>
      <c r="CI79" s="1011">
        <v>0</v>
      </c>
    </row>
    <row r="80" spans="1:87" ht="12.75" customHeight="1" x14ac:dyDescent="0.2">
      <c r="A80" s="449">
        <v>95</v>
      </c>
      <c r="B80" s="453">
        <v>13471</v>
      </c>
      <c r="C80" s="454" t="s">
        <v>2036</v>
      </c>
      <c r="D80" s="454" t="s">
        <v>1390</v>
      </c>
      <c r="E80" s="454" t="s">
        <v>2037</v>
      </c>
      <c r="F80" s="454" t="s">
        <v>525</v>
      </c>
      <c r="G80" s="454" t="s">
        <v>12457</v>
      </c>
      <c r="H80" s="455">
        <v>163096000109</v>
      </c>
      <c r="I80" s="462">
        <v>34563</v>
      </c>
      <c r="J80" s="457">
        <v>37410997</v>
      </c>
      <c r="K80" s="454" t="s">
        <v>2038</v>
      </c>
      <c r="L80" s="458">
        <v>2767</v>
      </c>
      <c r="M80" s="454" t="s">
        <v>2039</v>
      </c>
      <c r="N80" s="459">
        <v>2475002</v>
      </c>
      <c r="O80" s="460">
        <v>22032214</v>
      </c>
      <c r="P80" s="462">
        <v>336230</v>
      </c>
      <c r="Q80" s="462">
        <v>95</v>
      </c>
      <c r="R80" s="462">
        <v>43950</v>
      </c>
      <c r="S80" s="463">
        <v>382</v>
      </c>
      <c r="T80" s="464">
        <v>3.6</v>
      </c>
      <c r="U80" s="465">
        <v>1375.2</v>
      </c>
      <c r="V80" s="465">
        <v>13680</v>
      </c>
      <c r="W80" s="466">
        <v>0</v>
      </c>
      <c r="X80" s="467">
        <v>1</v>
      </c>
      <c r="Y80" s="466">
        <v>22582.799999999999</v>
      </c>
      <c r="Z80" s="468" t="s">
        <v>516</v>
      </c>
      <c r="AA80" s="466">
        <v>97736.4</v>
      </c>
      <c r="AB80" s="466">
        <v>97736.4</v>
      </c>
      <c r="AC80" s="467">
        <v>0</v>
      </c>
      <c r="AD80" s="466">
        <v>0</v>
      </c>
      <c r="AE80" s="468" t="s">
        <v>516</v>
      </c>
      <c r="AF80" s="466">
        <v>0</v>
      </c>
      <c r="AG80" s="466">
        <v>0</v>
      </c>
      <c r="AH80" s="466">
        <v>15636.82</v>
      </c>
      <c r="AI80" s="466">
        <v>969</v>
      </c>
      <c r="AJ80" s="469" t="s">
        <v>1448</v>
      </c>
      <c r="AK80" s="470" t="s">
        <v>1449</v>
      </c>
      <c r="AL80" s="471" t="s">
        <v>2040</v>
      </c>
      <c r="AM80" s="470" t="s">
        <v>2041</v>
      </c>
      <c r="AN80" s="470" t="s">
        <v>2042</v>
      </c>
      <c r="AO80" s="470" t="s">
        <v>2043</v>
      </c>
      <c r="AP80" s="470" t="s">
        <v>2044</v>
      </c>
      <c r="AQ80" s="470" t="s">
        <v>2036</v>
      </c>
      <c r="AR80" s="472" t="s">
        <v>515</v>
      </c>
      <c r="AS80" s="473" t="s">
        <v>1385</v>
      </c>
      <c r="AT80" s="472" t="s">
        <v>1390</v>
      </c>
      <c r="AU80" s="472" t="s">
        <v>420</v>
      </c>
      <c r="AV80" s="472">
        <v>2020</v>
      </c>
      <c r="AW80" s="474" t="s">
        <v>15078</v>
      </c>
      <c r="AX80" s="475" t="s">
        <v>15079</v>
      </c>
      <c r="AY80" s="515">
        <v>1</v>
      </c>
      <c r="AZ80" s="474" t="s">
        <v>15079</v>
      </c>
      <c r="BA80" s="472" t="s">
        <v>1390</v>
      </c>
      <c r="BB80" s="472" t="s">
        <v>1385</v>
      </c>
      <c r="BC80" s="472" t="s">
        <v>1385</v>
      </c>
      <c r="BD80" s="472" t="s">
        <v>1385</v>
      </c>
      <c r="BE80" s="472" t="s">
        <v>1385</v>
      </c>
      <c r="BF80" s="472">
        <v>22582.799999999999</v>
      </c>
      <c r="BG80" s="472">
        <v>0</v>
      </c>
      <c r="BH80" s="472" t="s">
        <v>1385</v>
      </c>
      <c r="BI80" s="510">
        <v>0</v>
      </c>
      <c r="BJ80" s="510">
        <v>0</v>
      </c>
      <c r="BK80" s="510">
        <v>0</v>
      </c>
      <c r="BL80" s="510">
        <v>0</v>
      </c>
      <c r="BM80" s="510">
        <v>0</v>
      </c>
      <c r="BN80" s="510">
        <v>3500</v>
      </c>
      <c r="BO80" s="510">
        <v>0</v>
      </c>
      <c r="BP80" s="510">
        <v>0</v>
      </c>
      <c r="BQ80" s="510">
        <v>0</v>
      </c>
      <c r="BR80" s="510">
        <v>0</v>
      </c>
      <c r="BS80" s="510">
        <v>0</v>
      </c>
      <c r="BT80" s="510">
        <v>0</v>
      </c>
      <c r="BU80" s="510">
        <v>0</v>
      </c>
      <c r="BV80" s="510">
        <v>0</v>
      </c>
      <c r="BW80" s="510">
        <v>0</v>
      </c>
      <c r="BX80" s="510">
        <v>30000</v>
      </c>
      <c r="BY80" s="1011">
        <v>0</v>
      </c>
      <c r="BZ80" s="510">
        <v>0</v>
      </c>
      <c r="CA80" s="1011">
        <v>0</v>
      </c>
      <c r="CB80" s="510">
        <v>0</v>
      </c>
      <c r="CC80" s="1011">
        <v>0</v>
      </c>
      <c r="CD80" s="510">
        <v>0</v>
      </c>
      <c r="CE80" s="1011">
        <v>0</v>
      </c>
      <c r="CF80" s="510">
        <v>45153.599999999999</v>
      </c>
      <c r="CG80" s="1011">
        <v>0</v>
      </c>
      <c r="CH80" s="510">
        <v>0</v>
      </c>
      <c r="CI80" s="1011">
        <v>0</v>
      </c>
    </row>
    <row r="81" spans="1:87" ht="12.75" customHeight="1" x14ac:dyDescent="0.2">
      <c r="A81" s="449">
        <v>77</v>
      </c>
      <c r="B81" s="453">
        <v>13498</v>
      </c>
      <c r="C81" s="454" t="s">
        <v>2045</v>
      </c>
      <c r="D81" s="454" t="s">
        <v>1390</v>
      </c>
      <c r="E81" s="454" t="s">
        <v>2046</v>
      </c>
      <c r="F81" s="454" t="s">
        <v>523</v>
      </c>
      <c r="G81" s="454" t="s">
        <v>12458</v>
      </c>
      <c r="H81" s="455">
        <v>73350076000110</v>
      </c>
      <c r="I81" s="462">
        <v>34179</v>
      </c>
      <c r="J81" s="457">
        <v>37615475</v>
      </c>
      <c r="K81" s="454" t="s">
        <v>2048</v>
      </c>
      <c r="L81" s="458">
        <v>120</v>
      </c>
      <c r="M81" s="454" t="s">
        <v>2049</v>
      </c>
      <c r="N81" s="459">
        <v>8475410</v>
      </c>
      <c r="O81" s="460">
        <v>22820199</v>
      </c>
      <c r="P81" s="462">
        <v>261400</v>
      </c>
      <c r="Q81" s="462">
        <v>77</v>
      </c>
      <c r="R81" s="462">
        <v>43921</v>
      </c>
      <c r="S81" s="463">
        <v>325</v>
      </c>
      <c r="T81" s="464">
        <v>3.6</v>
      </c>
      <c r="U81" s="465">
        <v>1170</v>
      </c>
      <c r="V81" s="465">
        <v>13680</v>
      </c>
      <c r="W81" s="466">
        <v>0</v>
      </c>
      <c r="X81" s="467">
        <v>1</v>
      </c>
      <c r="Y81" s="466">
        <v>22275</v>
      </c>
      <c r="Z81" s="468" t="s">
        <v>516</v>
      </c>
      <c r="AA81" s="466">
        <v>93907.8</v>
      </c>
      <c r="AB81" s="466">
        <v>93907.8</v>
      </c>
      <c r="AC81" s="467">
        <v>0</v>
      </c>
      <c r="AD81" s="466">
        <v>0</v>
      </c>
      <c r="AE81" s="468" t="s">
        <v>516</v>
      </c>
      <c r="AF81" s="466">
        <v>0</v>
      </c>
      <c r="AG81" s="466">
        <v>0</v>
      </c>
      <c r="AH81" s="466">
        <v>1727.23</v>
      </c>
      <c r="AI81" s="466">
        <v>9086.27</v>
      </c>
      <c r="AJ81" s="469" t="s">
        <v>2050</v>
      </c>
      <c r="AK81" s="470" t="s">
        <v>2051</v>
      </c>
      <c r="AL81" s="471" t="s">
        <v>2052</v>
      </c>
      <c r="AM81" s="470" t="s">
        <v>2053</v>
      </c>
      <c r="AN81" s="470" t="s">
        <v>2047</v>
      </c>
      <c r="AO81" s="470" t="s">
        <v>12459</v>
      </c>
      <c r="AP81" s="470" t="s">
        <v>2054</v>
      </c>
      <c r="AQ81" s="470" t="s">
        <v>2045</v>
      </c>
      <c r="AR81" s="472" t="s">
        <v>515</v>
      </c>
      <c r="AS81" s="473" t="s">
        <v>1385</v>
      </c>
      <c r="AT81" s="472" t="s">
        <v>1390</v>
      </c>
      <c r="AU81" s="472" t="s">
        <v>420</v>
      </c>
      <c r="AV81" s="472">
        <v>2020</v>
      </c>
      <c r="AW81" s="474" t="s">
        <v>15078</v>
      </c>
      <c r="AX81" s="475" t="s">
        <v>15079</v>
      </c>
      <c r="AY81" s="515">
        <v>1</v>
      </c>
      <c r="AZ81" s="474" t="s">
        <v>15079</v>
      </c>
      <c r="BA81" s="472" t="s">
        <v>1390</v>
      </c>
      <c r="BB81" s="472" t="s">
        <v>1385</v>
      </c>
      <c r="BC81" s="472" t="s">
        <v>1385</v>
      </c>
      <c r="BD81" s="472" t="s">
        <v>1385</v>
      </c>
      <c r="BE81" s="472" t="s">
        <v>1385</v>
      </c>
      <c r="BF81" s="472">
        <v>22275</v>
      </c>
      <c r="BG81" s="472">
        <v>0</v>
      </c>
      <c r="BH81" s="472" t="s">
        <v>1385</v>
      </c>
      <c r="BI81" s="510">
        <v>0</v>
      </c>
      <c r="BJ81" s="510">
        <v>0</v>
      </c>
      <c r="BK81" s="510">
        <v>0</v>
      </c>
      <c r="BL81" s="510">
        <v>0</v>
      </c>
      <c r="BM81" s="510">
        <v>0</v>
      </c>
      <c r="BN81" s="510">
        <v>3500</v>
      </c>
      <c r="BO81" s="510">
        <v>0</v>
      </c>
      <c r="BP81" s="510">
        <v>0</v>
      </c>
      <c r="BQ81" s="510">
        <v>0</v>
      </c>
      <c r="BR81" s="510">
        <v>0</v>
      </c>
      <c r="BS81" s="510">
        <v>0</v>
      </c>
      <c r="BT81" s="510">
        <v>0</v>
      </c>
      <c r="BU81" s="510">
        <v>0</v>
      </c>
      <c r="BV81" s="510">
        <v>0</v>
      </c>
      <c r="BW81" s="510">
        <v>0</v>
      </c>
      <c r="BX81" s="510">
        <v>30000</v>
      </c>
      <c r="BY81" s="1011">
        <v>0</v>
      </c>
      <c r="BZ81" s="510">
        <v>0</v>
      </c>
      <c r="CA81" s="1011">
        <v>0</v>
      </c>
      <c r="CB81" s="510">
        <v>0</v>
      </c>
      <c r="CC81" s="1011">
        <v>0</v>
      </c>
      <c r="CD81" s="510">
        <v>0</v>
      </c>
      <c r="CE81" s="1011">
        <v>0</v>
      </c>
      <c r="CF81" s="510">
        <v>41632.800000000003</v>
      </c>
      <c r="CG81" s="1011">
        <v>0</v>
      </c>
      <c r="CH81" s="510">
        <v>0</v>
      </c>
      <c r="CI81" s="1011">
        <v>0</v>
      </c>
    </row>
    <row r="82" spans="1:87" ht="12.75" customHeight="1" x14ac:dyDescent="0.2">
      <c r="A82" s="449">
        <v>69</v>
      </c>
      <c r="B82" s="453">
        <v>13501</v>
      </c>
      <c r="C82" s="454" t="s">
        <v>2055</v>
      </c>
      <c r="D82" s="454" t="s">
        <v>1390</v>
      </c>
      <c r="E82" s="454" t="s">
        <v>2056</v>
      </c>
      <c r="F82" s="454" t="s">
        <v>523</v>
      </c>
      <c r="G82" s="454" t="s">
        <v>12460</v>
      </c>
      <c r="H82" s="455">
        <v>743529000103</v>
      </c>
      <c r="I82" s="462">
        <v>34603</v>
      </c>
      <c r="J82" s="457">
        <v>37615335</v>
      </c>
      <c r="K82" s="454" t="s">
        <v>2057</v>
      </c>
      <c r="L82" s="458">
        <v>16</v>
      </c>
      <c r="M82" s="454" t="s">
        <v>1950</v>
      </c>
      <c r="N82" s="459">
        <v>8475330</v>
      </c>
      <c r="O82" s="460">
        <v>29648128</v>
      </c>
      <c r="P82" s="462">
        <v>261508</v>
      </c>
      <c r="Q82" s="462">
        <v>69</v>
      </c>
      <c r="R82" s="462">
        <v>43921</v>
      </c>
      <c r="S82" s="463">
        <v>330</v>
      </c>
      <c r="T82" s="464">
        <v>3.6</v>
      </c>
      <c r="U82" s="465">
        <v>1188</v>
      </c>
      <c r="V82" s="465">
        <v>13680</v>
      </c>
      <c r="W82" s="466">
        <v>0</v>
      </c>
      <c r="X82" s="467">
        <v>1</v>
      </c>
      <c r="Y82" s="466">
        <v>22302</v>
      </c>
      <c r="Z82" s="468" t="s">
        <v>516</v>
      </c>
      <c r="AA82" s="466">
        <v>96966</v>
      </c>
      <c r="AB82" s="466">
        <v>96966</v>
      </c>
      <c r="AC82" s="467">
        <v>0</v>
      </c>
      <c r="AD82" s="466">
        <v>0</v>
      </c>
      <c r="AE82" s="468" t="s">
        <v>516</v>
      </c>
      <c r="AF82" s="466">
        <v>0</v>
      </c>
      <c r="AG82" s="466">
        <v>0</v>
      </c>
      <c r="AH82" s="466">
        <v>6834.01</v>
      </c>
      <c r="AI82" s="466">
        <v>6366.64</v>
      </c>
      <c r="AJ82" s="469" t="s">
        <v>2050</v>
      </c>
      <c r="AK82" s="470" t="s">
        <v>2051</v>
      </c>
      <c r="AL82" s="471" t="s">
        <v>2058</v>
      </c>
      <c r="AM82" s="470" t="s">
        <v>12461</v>
      </c>
      <c r="AN82" s="470" t="s">
        <v>1385</v>
      </c>
      <c r="AO82" s="470" t="s">
        <v>2059</v>
      </c>
      <c r="AP82" s="470" t="s">
        <v>2060</v>
      </c>
      <c r="AQ82" s="470" t="s">
        <v>2055</v>
      </c>
      <c r="AR82" s="472" t="s">
        <v>515</v>
      </c>
      <c r="AS82" s="473" t="s">
        <v>1385</v>
      </c>
      <c r="AT82" s="472" t="s">
        <v>1390</v>
      </c>
      <c r="AU82" s="472" t="s">
        <v>420</v>
      </c>
      <c r="AV82" s="472">
        <v>2020</v>
      </c>
      <c r="AW82" s="474" t="s">
        <v>15078</v>
      </c>
      <c r="AX82" s="475" t="s">
        <v>15079</v>
      </c>
      <c r="AY82" s="515">
        <v>1</v>
      </c>
      <c r="AZ82" s="474" t="s">
        <v>15079</v>
      </c>
      <c r="BA82" s="472" t="s">
        <v>1390</v>
      </c>
      <c r="BB82" s="472" t="s">
        <v>1385</v>
      </c>
      <c r="BC82" s="472" t="s">
        <v>1385</v>
      </c>
      <c r="BD82" s="472" t="s">
        <v>1385</v>
      </c>
      <c r="BE82" s="472" t="s">
        <v>1385</v>
      </c>
      <c r="BF82" s="472">
        <v>22302</v>
      </c>
      <c r="BG82" s="472">
        <v>0</v>
      </c>
      <c r="BH82" s="472" t="s">
        <v>1385</v>
      </c>
      <c r="BI82" s="510">
        <v>0</v>
      </c>
      <c r="BJ82" s="510">
        <v>0</v>
      </c>
      <c r="BK82" s="510">
        <v>0</v>
      </c>
      <c r="BL82" s="510">
        <v>0</v>
      </c>
      <c r="BM82" s="510">
        <v>0</v>
      </c>
      <c r="BN82" s="510">
        <v>3500</v>
      </c>
      <c r="BO82" s="510">
        <v>0</v>
      </c>
      <c r="BP82" s="510">
        <v>0</v>
      </c>
      <c r="BQ82" s="510">
        <v>0</v>
      </c>
      <c r="BR82" s="510">
        <v>0</v>
      </c>
      <c r="BS82" s="510">
        <v>0</v>
      </c>
      <c r="BT82" s="510">
        <v>0</v>
      </c>
      <c r="BU82" s="510">
        <v>0</v>
      </c>
      <c r="BV82" s="510">
        <v>0</v>
      </c>
      <c r="BW82" s="510">
        <v>0</v>
      </c>
      <c r="BX82" s="510">
        <v>30000</v>
      </c>
      <c r="BY82" s="1011">
        <v>0</v>
      </c>
      <c r="BZ82" s="510">
        <v>0</v>
      </c>
      <c r="CA82" s="1011">
        <v>0</v>
      </c>
      <c r="CB82" s="510">
        <v>0</v>
      </c>
      <c r="CC82" s="1011">
        <v>0</v>
      </c>
      <c r="CD82" s="510">
        <v>0</v>
      </c>
      <c r="CE82" s="1011">
        <v>0</v>
      </c>
      <c r="CF82" s="510">
        <v>44664</v>
      </c>
      <c r="CG82" s="1011">
        <v>0</v>
      </c>
      <c r="CH82" s="510">
        <v>0</v>
      </c>
      <c r="CI82" s="1011">
        <v>0</v>
      </c>
    </row>
    <row r="83" spans="1:87" ht="12.75" customHeight="1" x14ac:dyDescent="0.2">
      <c r="A83" s="449">
        <v>54</v>
      </c>
      <c r="B83" s="453">
        <v>13510</v>
      </c>
      <c r="C83" s="454" t="s">
        <v>2061</v>
      </c>
      <c r="D83" s="454" t="s">
        <v>517</v>
      </c>
      <c r="E83" s="454" t="s">
        <v>2062</v>
      </c>
      <c r="F83" s="454" t="s">
        <v>523</v>
      </c>
      <c r="G83" s="454" t="s">
        <v>12462</v>
      </c>
      <c r="H83" s="455">
        <v>1183127000156</v>
      </c>
      <c r="I83" s="462">
        <v>35177</v>
      </c>
      <c r="J83" s="457">
        <v>37615882</v>
      </c>
      <c r="K83" s="454" t="s">
        <v>2064</v>
      </c>
      <c r="L83" s="458">
        <v>40</v>
      </c>
      <c r="M83" s="454" t="s">
        <v>2065</v>
      </c>
      <c r="N83" s="459">
        <v>8475420</v>
      </c>
      <c r="O83" s="460">
        <v>29648537</v>
      </c>
      <c r="P83" s="462">
        <v>261940</v>
      </c>
      <c r="Q83" s="462">
        <v>54</v>
      </c>
      <c r="R83" s="462">
        <v>43921</v>
      </c>
      <c r="S83" s="463">
        <v>886</v>
      </c>
      <c r="T83" s="464">
        <v>5.4</v>
      </c>
      <c r="U83" s="465">
        <v>4784.3999999999996</v>
      </c>
      <c r="V83" s="465">
        <v>18720</v>
      </c>
      <c r="W83" s="466">
        <v>0</v>
      </c>
      <c r="X83" s="467">
        <v>1</v>
      </c>
      <c r="Y83" s="466">
        <v>40872.6</v>
      </c>
      <c r="Z83" s="468" t="s">
        <v>516</v>
      </c>
      <c r="AA83" s="466">
        <v>155465.4</v>
      </c>
      <c r="AB83" s="466">
        <v>155465.4</v>
      </c>
      <c r="AC83" s="467">
        <v>0</v>
      </c>
      <c r="AD83" s="466">
        <v>0</v>
      </c>
      <c r="AE83" s="468" t="s">
        <v>516</v>
      </c>
      <c r="AF83" s="466">
        <v>0</v>
      </c>
      <c r="AG83" s="466">
        <v>0</v>
      </c>
      <c r="AH83" s="466">
        <v>29237.45</v>
      </c>
      <c r="AI83" s="466">
        <v>5492.38</v>
      </c>
      <c r="AJ83" s="469" t="s">
        <v>1674</v>
      </c>
      <c r="AK83" s="470" t="s">
        <v>518</v>
      </c>
      <c r="AL83" s="471" t="s">
        <v>2066</v>
      </c>
      <c r="AM83" s="470" t="s">
        <v>2067</v>
      </c>
      <c r="AN83" s="470" t="s">
        <v>2063</v>
      </c>
      <c r="AO83" s="470" t="s">
        <v>2068</v>
      </c>
      <c r="AP83" s="470" t="s">
        <v>2069</v>
      </c>
      <c r="AQ83" s="470" t="s">
        <v>2061</v>
      </c>
      <c r="AR83" s="472" t="s">
        <v>515</v>
      </c>
      <c r="AS83" s="473" t="s">
        <v>1385</v>
      </c>
      <c r="AT83" s="472" t="s">
        <v>517</v>
      </c>
      <c r="AU83" s="472" t="s">
        <v>420</v>
      </c>
      <c r="AV83" s="472">
        <v>2020</v>
      </c>
      <c r="AW83" s="474" t="s">
        <v>15078</v>
      </c>
      <c r="AX83" s="475" t="s">
        <v>15079</v>
      </c>
      <c r="AY83" s="515">
        <v>1</v>
      </c>
      <c r="AZ83" s="474" t="s">
        <v>15079</v>
      </c>
      <c r="BA83" s="472" t="s">
        <v>517</v>
      </c>
      <c r="BB83" s="472" t="s">
        <v>516</v>
      </c>
      <c r="BC83" s="472">
        <v>3</v>
      </c>
      <c r="BD83" s="472">
        <v>3744</v>
      </c>
      <c r="BE83" s="472">
        <v>0</v>
      </c>
      <c r="BF83" s="472">
        <v>40872.6</v>
      </c>
      <c r="BG83" s="472">
        <v>0</v>
      </c>
      <c r="BH83" s="472" t="s">
        <v>1385</v>
      </c>
      <c r="BI83" s="510">
        <v>0</v>
      </c>
      <c r="BJ83" s="510">
        <v>0</v>
      </c>
      <c r="BK83" s="510">
        <v>0</v>
      </c>
      <c r="BL83" s="510">
        <v>0</v>
      </c>
      <c r="BM83" s="510">
        <v>0</v>
      </c>
      <c r="BN83" s="510">
        <v>5000</v>
      </c>
      <c r="BO83" s="510">
        <v>0</v>
      </c>
      <c r="BP83" s="510">
        <v>0</v>
      </c>
      <c r="BQ83" s="510">
        <v>0</v>
      </c>
      <c r="BR83" s="510">
        <v>0</v>
      </c>
      <c r="BS83" s="510">
        <v>0</v>
      </c>
      <c r="BT83" s="510">
        <v>0</v>
      </c>
      <c r="BU83" s="510">
        <v>2500</v>
      </c>
      <c r="BV83" s="510">
        <v>2500</v>
      </c>
      <c r="BW83" s="510">
        <v>0</v>
      </c>
      <c r="BX83" s="510">
        <v>30000</v>
      </c>
      <c r="BY83" s="1011">
        <v>0</v>
      </c>
      <c r="BZ83" s="510">
        <v>0</v>
      </c>
      <c r="CA83" s="1011">
        <v>0</v>
      </c>
      <c r="CB83" s="510">
        <v>22000</v>
      </c>
      <c r="CC83" s="1011">
        <v>0</v>
      </c>
      <c r="CD83" s="510">
        <v>0</v>
      </c>
      <c r="CE83" s="1011">
        <v>0</v>
      </c>
      <c r="CF83" s="510">
        <v>62592.800000000003</v>
      </c>
      <c r="CG83" s="1011">
        <v>0</v>
      </c>
      <c r="CH83" s="510">
        <v>0</v>
      </c>
      <c r="CI83" s="1011">
        <v>0</v>
      </c>
    </row>
    <row r="84" spans="1:87" ht="12.75" customHeight="1" x14ac:dyDescent="0.2">
      <c r="A84" s="449">
        <v>32</v>
      </c>
      <c r="B84" s="453">
        <v>13528</v>
      </c>
      <c r="C84" s="454" t="s">
        <v>2070</v>
      </c>
      <c r="D84" s="454" t="s">
        <v>517</v>
      </c>
      <c r="E84" s="454" t="s">
        <v>2071</v>
      </c>
      <c r="F84" s="454" t="s">
        <v>523</v>
      </c>
      <c r="G84" s="454" t="s">
        <v>12463</v>
      </c>
      <c r="H84" s="455">
        <v>1238073000189</v>
      </c>
      <c r="I84" s="462">
        <v>35171</v>
      </c>
      <c r="J84" s="457">
        <v>37621238</v>
      </c>
      <c r="K84" s="454" t="s">
        <v>2073</v>
      </c>
      <c r="L84" s="458">
        <v>231</v>
      </c>
      <c r="M84" s="454" t="s">
        <v>1950</v>
      </c>
      <c r="N84" s="459">
        <v>8475320</v>
      </c>
      <c r="O84" s="460">
        <v>25160364</v>
      </c>
      <c r="P84" s="462">
        <v>263810</v>
      </c>
      <c r="Q84" s="462">
        <v>32</v>
      </c>
      <c r="R84" s="462">
        <v>43930</v>
      </c>
      <c r="S84" s="463">
        <v>1243</v>
      </c>
      <c r="T84" s="464">
        <v>5.4</v>
      </c>
      <c r="U84" s="465">
        <v>6712.2</v>
      </c>
      <c r="V84" s="465">
        <v>21960</v>
      </c>
      <c r="W84" s="466">
        <v>0</v>
      </c>
      <c r="X84" s="467">
        <v>1</v>
      </c>
      <c r="Y84" s="466">
        <v>43008.3</v>
      </c>
      <c r="Z84" s="468" t="s">
        <v>516</v>
      </c>
      <c r="AA84" s="466">
        <v>152514.70000000001</v>
      </c>
      <c r="AB84" s="466">
        <v>152514.70000000001</v>
      </c>
      <c r="AC84" s="467">
        <v>0</v>
      </c>
      <c r="AD84" s="466">
        <v>0</v>
      </c>
      <c r="AE84" s="468" t="s">
        <v>516</v>
      </c>
      <c r="AF84" s="466">
        <v>0</v>
      </c>
      <c r="AG84" s="466">
        <v>0</v>
      </c>
      <c r="AH84" s="466">
        <v>35874.949999999997</v>
      </c>
      <c r="AI84" s="466">
        <v>16825.849999999999</v>
      </c>
      <c r="AJ84" s="469" t="s">
        <v>1674</v>
      </c>
      <c r="AK84" s="470" t="s">
        <v>518</v>
      </c>
      <c r="AL84" s="471" t="s">
        <v>2074</v>
      </c>
      <c r="AM84" s="470" t="s">
        <v>12464</v>
      </c>
      <c r="AN84" s="470" t="s">
        <v>2072</v>
      </c>
      <c r="AO84" s="470" t="s">
        <v>2075</v>
      </c>
      <c r="AP84" s="470" t="s">
        <v>2076</v>
      </c>
      <c r="AQ84" s="470" t="s">
        <v>2070</v>
      </c>
      <c r="AR84" s="472" t="s">
        <v>515</v>
      </c>
      <c r="AS84" s="473" t="s">
        <v>1385</v>
      </c>
      <c r="AT84" s="472" t="s">
        <v>517</v>
      </c>
      <c r="AU84" s="472" t="s">
        <v>420</v>
      </c>
      <c r="AV84" s="472">
        <v>2020</v>
      </c>
      <c r="AW84" s="474" t="s">
        <v>15078</v>
      </c>
      <c r="AX84" s="475" t="s">
        <v>15079</v>
      </c>
      <c r="AY84" s="515">
        <v>1</v>
      </c>
      <c r="AZ84" s="474" t="s">
        <v>15079</v>
      </c>
      <c r="BA84" s="472" t="s">
        <v>517</v>
      </c>
      <c r="BB84" s="472" t="s">
        <v>1385</v>
      </c>
      <c r="BC84" s="472" t="s">
        <v>1385</v>
      </c>
      <c r="BD84" s="472" t="s">
        <v>1385</v>
      </c>
      <c r="BE84" s="472" t="s">
        <v>1385</v>
      </c>
      <c r="BF84" s="472">
        <v>43008.3</v>
      </c>
      <c r="BG84" s="472">
        <v>0</v>
      </c>
      <c r="BH84" s="472" t="s">
        <v>1385</v>
      </c>
      <c r="BI84" s="510">
        <v>0</v>
      </c>
      <c r="BJ84" s="510">
        <v>0</v>
      </c>
      <c r="BK84" s="510">
        <v>0</v>
      </c>
      <c r="BL84" s="510">
        <v>0</v>
      </c>
      <c r="BM84" s="510">
        <v>0</v>
      </c>
      <c r="BN84" s="510">
        <v>6000</v>
      </c>
      <c r="BO84" s="510">
        <v>0</v>
      </c>
      <c r="BP84" s="510">
        <v>0</v>
      </c>
      <c r="BQ84" s="510">
        <v>0</v>
      </c>
      <c r="BR84" s="510">
        <v>0</v>
      </c>
      <c r="BS84" s="510">
        <v>0</v>
      </c>
      <c r="BT84" s="510">
        <v>0</v>
      </c>
      <c r="BU84" s="510">
        <v>2500</v>
      </c>
      <c r="BV84" s="510">
        <v>2500</v>
      </c>
      <c r="BW84" s="510">
        <v>0</v>
      </c>
      <c r="BX84" s="510">
        <v>30000</v>
      </c>
      <c r="BY84" s="1011">
        <v>0</v>
      </c>
      <c r="BZ84" s="510">
        <v>0</v>
      </c>
      <c r="CA84" s="1011">
        <v>0</v>
      </c>
      <c r="CB84" s="510">
        <v>22000</v>
      </c>
      <c r="CC84" s="1011">
        <v>0</v>
      </c>
      <c r="CD84" s="510">
        <v>0</v>
      </c>
      <c r="CE84" s="1011">
        <v>0</v>
      </c>
      <c r="CF84" s="510">
        <v>57506.400000000001</v>
      </c>
      <c r="CG84" s="1011">
        <v>0</v>
      </c>
      <c r="CH84" s="510">
        <v>0</v>
      </c>
      <c r="CI84" s="1011">
        <v>0</v>
      </c>
    </row>
    <row r="85" spans="1:87" ht="12.75" customHeight="1" x14ac:dyDescent="0.2">
      <c r="A85" s="449">
        <v>100</v>
      </c>
      <c r="B85" s="453">
        <v>13692</v>
      </c>
      <c r="C85" s="454" t="s">
        <v>2077</v>
      </c>
      <c r="D85" s="454" t="s">
        <v>1390</v>
      </c>
      <c r="E85" s="454" t="s">
        <v>2078</v>
      </c>
      <c r="F85" s="454" t="s">
        <v>526</v>
      </c>
      <c r="G85" s="454" t="s">
        <v>12465</v>
      </c>
      <c r="H85" s="455">
        <v>97479950000182</v>
      </c>
      <c r="I85" s="462">
        <v>34325</v>
      </c>
      <c r="J85" s="457">
        <v>37470736</v>
      </c>
      <c r="K85" s="454" t="s">
        <v>2079</v>
      </c>
      <c r="L85" s="458">
        <v>365</v>
      </c>
      <c r="M85" s="454" t="s">
        <v>2080</v>
      </c>
      <c r="N85" s="459">
        <v>8152100</v>
      </c>
      <c r="O85" s="460">
        <v>25676570</v>
      </c>
      <c r="P85" s="462">
        <v>139052</v>
      </c>
      <c r="Q85" s="462">
        <v>100</v>
      </c>
      <c r="R85" s="462">
        <v>43928</v>
      </c>
      <c r="S85" s="463">
        <v>536</v>
      </c>
      <c r="T85" s="464">
        <v>3.6</v>
      </c>
      <c r="U85" s="465">
        <v>1929.6</v>
      </c>
      <c r="V85" s="465">
        <v>16560</v>
      </c>
      <c r="W85" s="466">
        <v>0</v>
      </c>
      <c r="X85" s="467">
        <v>1</v>
      </c>
      <c r="Y85" s="466">
        <v>27734.400000000001</v>
      </c>
      <c r="Z85" s="468" t="s">
        <v>516</v>
      </c>
      <c r="AA85" s="466">
        <v>109864.8</v>
      </c>
      <c r="AB85" s="466">
        <v>109864.8</v>
      </c>
      <c r="AC85" s="467">
        <v>0</v>
      </c>
      <c r="AD85" s="466">
        <v>0</v>
      </c>
      <c r="AE85" s="468" t="s">
        <v>516</v>
      </c>
      <c r="AF85" s="466">
        <v>0</v>
      </c>
      <c r="AG85" s="466">
        <v>0</v>
      </c>
      <c r="AH85" s="466">
        <v>16950.599999999999</v>
      </c>
      <c r="AI85" s="466">
        <v>9667.2800000000007</v>
      </c>
      <c r="AJ85" s="469" t="s">
        <v>1839</v>
      </c>
      <c r="AK85" s="470" t="s">
        <v>526</v>
      </c>
      <c r="AL85" s="471" t="s">
        <v>2081</v>
      </c>
      <c r="AM85" s="470" t="s">
        <v>2082</v>
      </c>
      <c r="AN85" s="470" t="s">
        <v>1385</v>
      </c>
      <c r="AO85" s="470" t="s">
        <v>2083</v>
      </c>
      <c r="AP85" s="470" t="s">
        <v>2084</v>
      </c>
      <c r="AQ85" s="470" t="s">
        <v>2077</v>
      </c>
      <c r="AR85" s="472" t="s">
        <v>515</v>
      </c>
      <c r="AS85" s="473" t="s">
        <v>1385</v>
      </c>
      <c r="AT85" s="472" t="s">
        <v>1390</v>
      </c>
      <c r="AU85" s="472" t="s">
        <v>420</v>
      </c>
      <c r="AV85" s="472">
        <v>2020</v>
      </c>
      <c r="AW85" s="474" t="s">
        <v>15078</v>
      </c>
      <c r="AX85" s="475" t="s">
        <v>15079</v>
      </c>
      <c r="AY85" s="515">
        <v>1</v>
      </c>
      <c r="AZ85" s="474" t="s">
        <v>15079</v>
      </c>
      <c r="BA85" s="472" t="s">
        <v>1390</v>
      </c>
      <c r="BB85" s="472" t="s">
        <v>1385</v>
      </c>
      <c r="BC85" s="472" t="s">
        <v>1385</v>
      </c>
      <c r="BD85" s="472" t="s">
        <v>1385</v>
      </c>
      <c r="BE85" s="472" t="s">
        <v>1385</v>
      </c>
      <c r="BF85" s="472">
        <v>27734.400000000001</v>
      </c>
      <c r="BG85" s="472">
        <v>0</v>
      </c>
      <c r="BH85" s="472" t="s">
        <v>1385</v>
      </c>
      <c r="BI85" s="510">
        <v>0</v>
      </c>
      <c r="BJ85" s="510">
        <v>0</v>
      </c>
      <c r="BK85" s="510">
        <v>0</v>
      </c>
      <c r="BL85" s="510">
        <v>0</v>
      </c>
      <c r="BM85" s="510">
        <v>0</v>
      </c>
      <c r="BN85" s="510">
        <v>4000</v>
      </c>
      <c r="BO85" s="510">
        <v>0</v>
      </c>
      <c r="BP85" s="510">
        <v>0</v>
      </c>
      <c r="BQ85" s="510">
        <v>0</v>
      </c>
      <c r="BR85" s="510">
        <v>0</v>
      </c>
      <c r="BS85" s="510">
        <v>0</v>
      </c>
      <c r="BT85" s="510">
        <v>0</v>
      </c>
      <c r="BU85" s="510">
        <v>0</v>
      </c>
      <c r="BV85" s="510">
        <v>0</v>
      </c>
      <c r="BW85" s="510">
        <v>0</v>
      </c>
      <c r="BX85" s="510">
        <v>30000</v>
      </c>
      <c r="BY85" s="1011">
        <v>0</v>
      </c>
      <c r="BZ85" s="510">
        <v>0</v>
      </c>
      <c r="CA85" s="1011">
        <v>0</v>
      </c>
      <c r="CB85" s="510">
        <v>0</v>
      </c>
      <c r="CC85" s="1011">
        <v>0</v>
      </c>
      <c r="CD85" s="510">
        <v>0</v>
      </c>
      <c r="CE85" s="1011">
        <v>0</v>
      </c>
      <c r="CF85" s="510">
        <v>52130.400000000001</v>
      </c>
      <c r="CG85" s="1011">
        <v>0</v>
      </c>
      <c r="CH85" s="510">
        <v>0</v>
      </c>
      <c r="CI85" s="1011">
        <v>0</v>
      </c>
    </row>
    <row r="86" spans="1:87" ht="12.75" customHeight="1" x14ac:dyDescent="0.2">
      <c r="A86" s="449">
        <v>65</v>
      </c>
      <c r="B86" s="453">
        <v>13803</v>
      </c>
      <c r="C86" s="454" t="s">
        <v>2085</v>
      </c>
      <c r="D86" s="454" t="s">
        <v>517</v>
      </c>
      <c r="E86" s="454" t="s">
        <v>2086</v>
      </c>
      <c r="F86" s="454" t="s">
        <v>513</v>
      </c>
      <c r="G86" s="454" t="s">
        <v>12466</v>
      </c>
      <c r="H86" s="455">
        <v>74146226000131</v>
      </c>
      <c r="I86" s="462">
        <v>34353</v>
      </c>
      <c r="J86" s="457">
        <v>37532340</v>
      </c>
      <c r="K86" s="454" t="s">
        <v>2087</v>
      </c>
      <c r="L86" s="458">
        <v>73</v>
      </c>
      <c r="M86" s="454" t="s">
        <v>2088</v>
      </c>
      <c r="N86" s="459">
        <v>8311560</v>
      </c>
      <c r="O86" s="460">
        <v>27517258</v>
      </c>
      <c r="P86" s="462">
        <v>150730</v>
      </c>
      <c r="Q86" s="462">
        <v>65</v>
      </c>
      <c r="R86" s="462">
        <v>43937</v>
      </c>
      <c r="S86" s="463">
        <v>1259</v>
      </c>
      <c r="T86" s="464">
        <v>5.4</v>
      </c>
      <c r="U86" s="465">
        <v>6798.6</v>
      </c>
      <c r="V86" s="465">
        <v>21960</v>
      </c>
      <c r="W86" s="466">
        <v>0</v>
      </c>
      <c r="X86" s="467">
        <v>1</v>
      </c>
      <c r="Y86" s="466">
        <v>43137.9</v>
      </c>
      <c r="Z86" s="468" t="s">
        <v>516</v>
      </c>
      <c r="AA86" s="466">
        <v>152719.9</v>
      </c>
      <c r="AB86" s="466">
        <v>152719.9</v>
      </c>
      <c r="AC86" s="467">
        <v>0</v>
      </c>
      <c r="AD86" s="466">
        <v>0</v>
      </c>
      <c r="AE86" s="468" t="s">
        <v>516</v>
      </c>
      <c r="AF86" s="466">
        <v>2000</v>
      </c>
      <c r="AG86" s="466">
        <v>2000</v>
      </c>
      <c r="AH86" s="466">
        <v>22775.8</v>
      </c>
      <c r="AI86" s="466">
        <v>6441.84</v>
      </c>
      <c r="AJ86" s="469" t="s">
        <v>1560</v>
      </c>
      <c r="AK86" s="470" t="s">
        <v>1561</v>
      </c>
      <c r="AL86" s="471" t="s">
        <v>2089</v>
      </c>
      <c r="AM86" s="470" t="s">
        <v>2090</v>
      </c>
      <c r="AN86" s="470" t="s">
        <v>1385</v>
      </c>
      <c r="AO86" s="470" t="s">
        <v>2091</v>
      </c>
      <c r="AP86" s="470" t="s">
        <v>2092</v>
      </c>
      <c r="AQ86" s="470" t="s">
        <v>2085</v>
      </c>
      <c r="AR86" s="472" t="s">
        <v>515</v>
      </c>
      <c r="AS86" s="473" t="s">
        <v>1385</v>
      </c>
      <c r="AT86" s="472" t="s">
        <v>517</v>
      </c>
      <c r="AU86" s="472" t="s">
        <v>420</v>
      </c>
      <c r="AV86" s="472">
        <v>2020</v>
      </c>
      <c r="AW86" s="474" t="s">
        <v>15078</v>
      </c>
      <c r="AX86" s="475" t="s">
        <v>15079</v>
      </c>
      <c r="AY86" s="515">
        <v>1</v>
      </c>
      <c r="AZ86" s="474" t="s">
        <v>15079</v>
      </c>
      <c r="BA86" s="472" t="s">
        <v>517</v>
      </c>
      <c r="BB86" s="472" t="s">
        <v>1385</v>
      </c>
      <c r="BC86" s="472" t="s">
        <v>1385</v>
      </c>
      <c r="BD86" s="472" t="s">
        <v>1385</v>
      </c>
      <c r="BE86" s="472" t="s">
        <v>1385</v>
      </c>
      <c r="BF86" s="472">
        <v>43137.9</v>
      </c>
      <c r="BG86" s="472">
        <v>0</v>
      </c>
      <c r="BH86" s="472" t="s">
        <v>1385</v>
      </c>
      <c r="BI86" s="510">
        <v>0</v>
      </c>
      <c r="BJ86" s="510">
        <v>0</v>
      </c>
      <c r="BK86" s="510">
        <v>0</v>
      </c>
      <c r="BL86" s="510">
        <v>0</v>
      </c>
      <c r="BM86" s="510">
        <v>0</v>
      </c>
      <c r="BN86" s="510">
        <v>6000</v>
      </c>
      <c r="BO86" s="510">
        <v>0</v>
      </c>
      <c r="BP86" s="510">
        <v>2000</v>
      </c>
      <c r="BQ86" s="510">
        <v>0</v>
      </c>
      <c r="BR86" s="510">
        <v>0</v>
      </c>
      <c r="BS86" s="510">
        <v>0</v>
      </c>
      <c r="BT86" s="510">
        <v>0</v>
      </c>
      <c r="BU86" s="510">
        <v>0</v>
      </c>
      <c r="BV86" s="510">
        <v>0</v>
      </c>
      <c r="BW86" s="510">
        <v>0</v>
      </c>
      <c r="BX86" s="510">
        <v>30000</v>
      </c>
      <c r="BY86" s="1011">
        <v>0</v>
      </c>
      <c r="BZ86" s="510">
        <v>0</v>
      </c>
      <c r="CA86" s="1011">
        <v>0</v>
      </c>
      <c r="CB86" s="510">
        <v>22000</v>
      </c>
      <c r="CC86" s="1011">
        <v>0</v>
      </c>
      <c r="CD86" s="510">
        <v>0</v>
      </c>
      <c r="CE86" s="1011">
        <v>0</v>
      </c>
      <c r="CF86" s="510">
        <v>57582</v>
      </c>
      <c r="CG86" s="1011">
        <v>0</v>
      </c>
      <c r="CH86" s="510">
        <v>0</v>
      </c>
      <c r="CI86" s="1011">
        <v>0</v>
      </c>
    </row>
    <row r="87" spans="1:87" ht="12.75" customHeight="1" x14ac:dyDescent="0.2">
      <c r="A87" s="449">
        <v>59</v>
      </c>
      <c r="B87" s="453">
        <v>14117</v>
      </c>
      <c r="C87" s="454" t="s">
        <v>2093</v>
      </c>
      <c r="D87" s="454" t="s">
        <v>1390</v>
      </c>
      <c r="E87" s="454" t="s">
        <v>2094</v>
      </c>
      <c r="F87" s="454" t="s">
        <v>529</v>
      </c>
      <c r="G87" s="454" t="s">
        <v>12467</v>
      </c>
      <c r="H87" s="455">
        <v>123607000169</v>
      </c>
      <c r="I87" s="462">
        <v>34536</v>
      </c>
      <c r="J87" s="457">
        <v>37522515</v>
      </c>
      <c r="K87" s="454" t="s">
        <v>2095</v>
      </c>
      <c r="L87" s="458">
        <v>271</v>
      </c>
      <c r="M87" s="454" t="s">
        <v>1789</v>
      </c>
      <c r="N87" s="459">
        <v>4417100</v>
      </c>
      <c r="O87" s="460">
        <v>56215931</v>
      </c>
      <c r="P87" s="462">
        <v>567720</v>
      </c>
      <c r="Q87" s="462">
        <v>22</v>
      </c>
      <c r="R87" s="462">
        <v>43921</v>
      </c>
      <c r="S87" s="463">
        <v>754</v>
      </c>
      <c r="T87" s="464">
        <v>3.6</v>
      </c>
      <c r="U87" s="465">
        <v>2714.4</v>
      </c>
      <c r="V87" s="465">
        <v>21240</v>
      </c>
      <c r="W87" s="466">
        <v>0</v>
      </c>
      <c r="X87" s="467">
        <v>1</v>
      </c>
      <c r="Y87" s="466">
        <v>35931.599999999999</v>
      </c>
      <c r="Z87" s="468" t="s">
        <v>516</v>
      </c>
      <c r="AA87" s="466">
        <v>121971.6</v>
      </c>
      <c r="AB87" s="466">
        <v>121971.6</v>
      </c>
      <c r="AC87" s="467">
        <v>0</v>
      </c>
      <c r="AD87" s="466">
        <v>0</v>
      </c>
      <c r="AE87" s="468" t="s">
        <v>516</v>
      </c>
      <c r="AF87" s="466">
        <v>0</v>
      </c>
      <c r="AG87" s="466">
        <v>0</v>
      </c>
      <c r="AH87" s="466">
        <v>20792.900000000001</v>
      </c>
      <c r="AI87" s="466">
        <v>24729.06</v>
      </c>
      <c r="AJ87" s="469" t="s">
        <v>1790</v>
      </c>
      <c r="AK87" s="470" t="s">
        <v>1791</v>
      </c>
      <c r="AL87" s="471" t="s">
        <v>2096</v>
      </c>
      <c r="AM87" s="470" t="s">
        <v>2097</v>
      </c>
      <c r="AN87" s="470" t="s">
        <v>12467</v>
      </c>
      <c r="AO87" s="470" t="s">
        <v>2098</v>
      </c>
      <c r="AP87" s="470" t="s">
        <v>2099</v>
      </c>
      <c r="AQ87" s="470" t="s">
        <v>2093</v>
      </c>
      <c r="AR87" s="472" t="s">
        <v>515</v>
      </c>
      <c r="AS87" s="473" t="s">
        <v>1385</v>
      </c>
      <c r="AT87" s="472" t="s">
        <v>1390</v>
      </c>
      <c r="AU87" s="472" t="s">
        <v>420</v>
      </c>
      <c r="AV87" s="472">
        <v>2020</v>
      </c>
      <c r="AW87" s="474" t="s">
        <v>15078</v>
      </c>
      <c r="AX87" s="475" t="s">
        <v>15079</v>
      </c>
      <c r="AY87" s="515">
        <v>1</v>
      </c>
      <c r="AZ87" s="474" t="s">
        <v>15079</v>
      </c>
      <c r="BA87" s="472" t="s">
        <v>1390</v>
      </c>
      <c r="BB87" s="472" t="s">
        <v>1385</v>
      </c>
      <c r="BC87" s="472" t="s">
        <v>1385</v>
      </c>
      <c r="BD87" s="472" t="s">
        <v>1385</v>
      </c>
      <c r="BE87" s="472" t="s">
        <v>1385</v>
      </c>
      <c r="BF87" s="472">
        <v>35931.599999999999</v>
      </c>
      <c r="BG87" s="472">
        <v>0</v>
      </c>
      <c r="BH87" s="472" t="s">
        <v>1385</v>
      </c>
      <c r="BI87" s="510">
        <v>0</v>
      </c>
      <c r="BJ87" s="510">
        <v>0</v>
      </c>
      <c r="BK87" s="510">
        <v>0</v>
      </c>
      <c r="BL87" s="510">
        <v>0</v>
      </c>
      <c r="BM87" s="510">
        <v>0</v>
      </c>
      <c r="BN87" s="510">
        <v>5000</v>
      </c>
      <c r="BO87" s="510">
        <v>0</v>
      </c>
      <c r="BP87" s="510">
        <v>0</v>
      </c>
      <c r="BQ87" s="510">
        <v>0</v>
      </c>
      <c r="BR87" s="510">
        <v>0</v>
      </c>
      <c r="BS87" s="510">
        <v>0</v>
      </c>
      <c r="BT87" s="510">
        <v>0</v>
      </c>
      <c r="BU87" s="510">
        <v>0</v>
      </c>
      <c r="BV87" s="510">
        <v>0</v>
      </c>
      <c r="BW87" s="510">
        <v>0</v>
      </c>
      <c r="BX87" s="510">
        <v>30000</v>
      </c>
      <c r="BY87" s="1011">
        <v>0</v>
      </c>
      <c r="BZ87" s="510">
        <v>0</v>
      </c>
      <c r="CA87" s="1011">
        <v>0</v>
      </c>
      <c r="CB87" s="510">
        <v>0</v>
      </c>
      <c r="CC87" s="1011">
        <v>0</v>
      </c>
      <c r="CD87" s="510">
        <v>0</v>
      </c>
      <c r="CE87" s="1011">
        <v>0</v>
      </c>
      <c r="CF87" s="510">
        <v>56040</v>
      </c>
      <c r="CG87" s="1011">
        <v>0</v>
      </c>
      <c r="CH87" s="510">
        <v>0</v>
      </c>
      <c r="CI87" s="1011">
        <v>0</v>
      </c>
    </row>
    <row r="88" spans="1:87" ht="12.75" customHeight="1" x14ac:dyDescent="0.2">
      <c r="A88" s="449">
        <v>76</v>
      </c>
      <c r="B88" s="453">
        <v>14125</v>
      </c>
      <c r="C88" s="454" t="s">
        <v>2100</v>
      </c>
      <c r="D88" s="454" t="s">
        <v>1390</v>
      </c>
      <c r="E88" s="454" t="s">
        <v>2101</v>
      </c>
      <c r="F88" s="454" t="s">
        <v>529</v>
      </c>
      <c r="G88" s="454" t="s">
        <v>12468</v>
      </c>
      <c r="H88" s="455">
        <v>96535216000120</v>
      </c>
      <c r="I88" s="462">
        <v>34505</v>
      </c>
      <c r="J88" s="457">
        <v>37525263</v>
      </c>
      <c r="K88" s="454" t="s">
        <v>2102</v>
      </c>
      <c r="L88" s="458">
        <v>93</v>
      </c>
      <c r="M88" s="454" t="s">
        <v>1480</v>
      </c>
      <c r="N88" s="459">
        <v>4475310</v>
      </c>
      <c r="O88" s="460">
        <v>56730461</v>
      </c>
      <c r="P88" s="462">
        <v>563555</v>
      </c>
      <c r="Q88" s="462">
        <v>41</v>
      </c>
      <c r="R88" s="462">
        <v>43921</v>
      </c>
      <c r="S88" s="463">
        <v>634</v>
      </c>
      <c r="T88" s="464">
        <v>3.6</v>
      </c>
      <c r="U88" s="465">
        <v>2282.4</v>
      </c>
      <c r="V88" s="465">
        <v>18000</v>
      </c>
      <c r="W88" s="466">
        <v>0</v>
      </c>
      <c r="X88" s="467">
        <v>1</v>
      </c>
      <c r="Y88" s="466">
        <v>30423.599999999999</v>
      </c>
      <c r="Z88" s="468" t="s">
        <v>516</v>
      </c>
      <c r="AA88" s="466">
        <v>115808.4</v>
      </c>
      <c r="AB88" s="466">
        <v>115808.4</v>
      </c>
      <c r="AC88" s="467">
        <v>0</v>
      </c>
      <c r="AD88" s="466">
        <v>0</v>
      </c>
      <c r="AE88" s="468" t="s">
        <v>516</v>
      </c>
      <c r="AF88" s="466">
        <v>0</v>
      </c>
      <c r="AG88" s="466">
        <v>0</v>
      </c>
      <c r="AH88" s="466">
        <v>42402.15</v>
      </c>
      <c r="AI88" s="466">
        <v>4056.94</v>
      </c>
      <c r="AJ88" s="469" t="s">
        <v>2103</v>
      </c>
      <c r="AK88" s="470" t="s">
        <v>2104</v>
      </c>
      <c r="AL88" s="471" t="s">
        <v>2105</v>
      </c>
      <c r="AM88" s="470" t="s">
        <v>2106</v>
      </c>
      <c r="AN88" s="470" t="s">
        <v>12468</v>
      </c>
      <c r="AO88" s="470" t="s">
        <v>12469</v>
      </c>
      <c r="AP88" s="470" t="s">
        <v>2107</v>
      </c>
      <c r="AQ88" s="470" t="s">
        <v>2100</v>
      </c>
      <c r="AR88" s="472" t="s">
        <v>515</v>
      </c>
      <c r="AS88" s="473" t="s">
        <v>1385</v>
      </c>
      <c r="AT88" s="472" t="s">
        <v>1390</v>
      </c>
      <c r="AU88" s="472" t="s">
        <v>420</v>
      </c>
      <c r="AV88" s="472">
        <v>2020</v>
      </c>
      <c r="AW88" s="474" t="s">
        <v>15078</v>
      </c>
      <c r="AX88" s="475" t="s">
        <v>15079</v>
      </c>
      <c r="AY88" s="515">
        <v>1</v>
      </c>
      <c r="AZ88" s="474" t="s">
        <v>15079</v>
      </c>
      <c r="BA88" s="472" t="s">
        <v>1390</v>
      </c>
      <c r="BB88" s="472" t="s">
        <v>1385</v>
      </c>
      <c r="BC88" s="472" t="s">
        <v>1385</v>
      </c>
      <c r="BD88" s="472" t="s">
        <v>1385</v>
      </c>
      <c r="BE88" s="472" t="s">
        <v>1385</v>
      </c>
      <c r="BF88" s="472">
        <v>30423.599999999999</v>
      </c>
      <c r="BG88" s="472">
        <v>0</v>
      </c>
      <c r="BH88" s="472" t="s">
        <v>1385</v>
      </c>
      <c r="BI88" s="510">
        <v>0</v>
      </c>
      <c r="BJ88" s="510">
        <v>0</v>
      </c>
      <c r="BK88" s="510">
        <v>0</v>
      </c>
      <c r="BL88" s="510">
        <v>0</v>
      </c>
      <c r="BM88" s="510">
        <v>0</v>
      </c>
      <c r="BN88" s="510">
        <v>5000</v>
      </c>
      <c r="BO88" s="510">
        <v>0</v>
      </c>
      <c r="BP88" s="510">
        <v>0</v>
      </c>
      <c r="BQ88" s="510">
        <v>0</v>
      </c>
      <c r="BR88" s="510">
        <v>0</v>
      </c>
      <c r="BS88" s="510">
        <v>0</v>
      </c>
      <c r="BT88" s="510">
        <v>0</v>
      </c>
      <c r="BU88" s="510">
        <v>0</v>
      </c>
      <c r="BV88" s="510">
        <v>0</v>
      </c>
      <c r="BW88" s="510">
        <v>0</v>
      </c>
      <c r="BX88" s="510">
        <v>30000</v>
      </c>
      <c r="BY88" s="1011">
        <v>0</v>
      </c>
      <c r="BZ88" s="510">
        <v>0</v>
      </c>
      <c r="CA88" s="1011">
        <v>0</v>
      </c>
      <c r="CB88" s="510">
        <v>0</v>
      </c>
      <c r="CC88" s="1011">
        <v>0</v>
      </c>
      <c r="CD88" s="510">
        <v>0</v>
      </c>
      <c r="CE88" s="1011">
        <v>0</v>
      </c>
      <c r="CF88" s="510">
        <v>55384.800000000003</v>
      </c>
      <c r="CG88" s="1011">
        <v>0</v>
      </c>
      <c r="CH88" s="510">
        <v>0</v>
      </c>
      <c r="CI88" s="1011">
        <v>0</v>
      </c>
    </row>
    <row r="89" spans="1:87" ht="12.75" customHeight="1" x14ac:dyDescent="0.2">
      <c r="A89" s="449">
        <v>158</v>
      </c>
      <c r="B89" s="453">
        <v>14176</v>
      </c>
      <c r="C89" s="454" t="s">
        <v>2108</v>
      </c>
      <c r="D89" s="454" t="s">
        <v>1390</v>
      </c>
      <c r="E89" s="454" t="s">
        <v>2108</v>
      </c>
      <c r="F89" s="454" t="s">
        <v>520</v>
      </c>
      <c r="G89" s="454" t="s">
        <v>12470</v>
      </c>
      <c r="H89" s="455">
        <v>499857000106</v>
      </c>
      <c r="I89" s="462">
        <v>34774</v>
      </c>
      <c r="J89" s="457">
        <v>37619616</v>
      </c>
      <c r="K89" s="454" t="s">
        <v>2110</v>
      </c>
      <c r="L89" s="458">
        <v>200</v>
      </c>
      <c r="M89" s="454" t="s">
        <v>2111</v>
      </c>
      <c r="N89" s="459">
        <v>4917030</v>
      </c>
      <c r="O89" s="460">
        <v>55150145</v>
      </c>
      <c r="P89" s="462">
        <v>307834</v>
      </c>
      <c r="Q89" s="462">
        <v>93</v>
      </c>
      <c r="R89" s="462">
        <v>43969</v>
      </c>
      <c r="S89" s="463">
        <v>401</v>
      </c>
      <c r="T89" s="464">
        <v>3.6</v>
      </c>
      <c r="U89" s="465">
        <v>1443.6</v>
      </c>
      <c r="V89" s="465">
        <v>15120</v>
      </c>
      <c r="W89" s="466">
        <v>0</v>
      </c>
      <c r="X89" s="467">
        <v>1</v>
      </c>
      <c r="Y89" s="466">
        <v>24845.4</v>
      </c>
      <c r="Z89" s="468" t="s">
        <v>516</v>
      </c>
      <c r="AA89" s="466">
        <v>103102.2</v>
      </c>
      <c r="AB89" s="466">
        <v>103102.2</v>
      </c>
      <c r="AC89" s="467">
        <v>0</v>
      </c>
      <c r="AD89" s="466">
        <v>0</v>
      </c>
      <c r="AE89" s="468" t="s">
        <v>516</v>
      </c>
      <c r="AF89" s="466">
        <v>0</v>
      </c>
      <c r="AG89" s="466">
        <v>0</v>
      </c>
      <c r="AH89" s="466">
        <v>19889.37</v>
      </c>
      <c r="AI89" s="466">
        <v>4916.96</v>
      </c>
      <c r="AJ89" s="469" t="s">
        <v>1515</v>
      </c>
      <c r="AK89" s="470" t="s">
        <v>1516</v>
      </c>
      <c r="AL89" s="471" t="s">
        <v>2112</v>
      </c>
      <c r="AM89" s="470" t="s">
        <v>2113</v>
      </c>
      <c r="AN89" s="470" t="s">
        <v>2109</v>
      </c>
      <c r="AO89" s="470" t="s">
        <v>2114</v>
      </c>
      <c r="AP89" s="470" t="s">
        <v>2115</v>
      </c>
      <c r="AQ89" s="470" t="s">
        <v>2108</v>
      </c>
      <c r="AR89" s="472" t="s">
        <v>515</v>
      </c>
      <c r="AS89" s="473" t="s">
        <v>1385</v>
      </c>
      <c r="AT89" s="472" t="s">
        <v>1390</v>
      </c>
      <c r="AU89" s="472" t="s">
        <v>420</v>
      </c>
      <c r="AV89" s="472">
        <v>2020</v>
      </c>
      <c r="AW89" s="474" t="s">
        <v>15078</v>
      </c>
      <c r="AX89" s="475" t="s">
        <v>15079</v>
      </c>
      <c r="AY89" s="515">
        <v>1</v>
      </c>
      <c r="AZ89" s="474" t="s">
        <v>15079</v>
      </c>
      <c r="BA89" s="472" t="s">
        <v>1390</v>
      </c>
      <c r="BB89" s="472" t="s">
        <v>1385</v>
      </c>
      <c r="BC89" s="472" t="s">
        <v>1385</v>
      </c>
      <c r="BD89" s="472" t="s">
        <v>1385</v>
      </c>
      <c r="BE89" s="472" t="s">
        <v>1385</v>
      </c>
      <c r="BF89" s="472">
        <v>24845.4</v>
      </c>
      <c r="BG89" s="472">
        <v>0</v>
      </c>
      <c r="BH89" s="472" t="s">
        <v>1385</v>
      </c>
      <c r="BI89" s="510">
        <v>0</v>
      </c>
      <c r="BJ89" s="510">
        <v>0</v>
      </c>
      <c r="BK89" s="510">
        <v>0</v>
      </c>
      <c r="BL89" s="510">
        <v>0</v>
      </c>
      <c r="BM89" s="510">
        <v>0</v>
      </c>
      <c r="BN89" s="510">
        <v>4000</v>
      </c>
      <c r="BO89" s="510">
        <v>0</v>
      </c>
      <c r="BP89" s="510">
        <v>0</v>
      </c>
      <c r="BQ89" s="510">
        <v>0</v>
      </c>
      <c r="BR89" s="510">
        <v>0</v>
      </c>
      <c r="BS89" s="510">
        <v>0</v>
      </c>
      <c r="BT89" s="510">
        <v>0</v>
      </c>
      <c r="BU89" s="510">
        <v>0</v>
      </c>
      <c r="BV89" s="510">
        <v>0</v>
      </c>
      <c r="BW89" s="510">
        <v>0</v>
      </c>
      <c r="BX89" s="510">
        <v>30000</v>
      </c>
      <c r="BY89" s="1011">
        <v>0</v>
      </c>
      <c r="BZ89" s="510">
        <v>0</v>
      </c>
      <c r="CA89" s="1011">
        <v>0</v>
      </c>
      <c r="CB89" s="510">
        <v>0</v>
      </c>
      <c r="CC89" s="1011">
        <v>0</v>
      </c>
      <c r="CD89" s="510">
        <v>0</v>
      </c>
      <c r="CE89" s="1011">
        <v>0</v>
      </c>
      <c r="CF89" s="510">
        <v>48256.800000000003</v>
      </c>
      <c r="CG89" s="1011">
        <v>0</v>
      </c>
      <c r="CH89" s="510">
        <v>0</v>
      </c>
      <c r="CI89" s="1011">
        <v>0</v>
      </c>
    </row>
    <row r="90" spans="1:87" ht="12.75" customHeight="1" x14ac:dyDescent="0.2">
      <c r="A90" s="449">
        <v>42</v>
      </c>
      <c r="B90" s="453">
        <v>14249</v>
      </c>
      <c r="C90" s="454" t="s">
        <v>2116</v>
      </c>
      <c r="D90" s="454" t="s">
        <v>517</v>
      </c>
      <c r="E90" s="454" t="s">
        <v>2117</v>
      </c>
      <c r="F90" s="454" t="s">
        <v>528</v>
      </c>
      <c r="G90" s="454" t="s">
        <v>12471</v>
      </c>
      <c r="H90" s="455">
        <v>304000159</v>
      </c>
      <c r="I90" s="462">
        <v>34561</v>
      </c>
      <c r="J90" s="457">
        <v>37374346</v>
      </c>
      <c r="K90" s="454" t="s">
        <v>2119</v>
      </c>
      <c r="L90" s="458">
        <v>120</v>
      </c>
      <c r="M90" s="454" t="s">
        <v>2120</v>
      </c>
      <c r="N90" s="459">
        <v>5185400</v>
      </c>
      <c r="O90" s="460">
        <v>39415020</v>
      </c>
      <c r="P90" s="462">
        <v>279008</v>
      </c>
      <c r="Q90" s="462">
        <v>42</v>
      </c>
      <c r="R90" s="462">
        <v>43938</v>
      </c>
      <c r="S90" s="463">
        <v>922</v>
      </c>
      <c r="T90" s="464">
        <v>5.4</v>
      </c>
      <c r="U90" s="465">
        <v>4978.8</v>
      </c>
      <c r="V90" s="465">
        <v>20340</v>
      </c>
      <c r="W90" s="466">
        <v>0</v>
      </c>
      <c r="X90" s="467">
        <v>1</v>
      </c>
      <c r="Y90" s="466">
        <v>45605.7</v>
      </c>
      <c r="Z90" s="468" t="s">
        <v>516</v>
      </c>
      <c r="AA90" s="466">
        <v>161144.1</v>
      </c>
      <c r="AB90" s="466">
        <v>161144.1</v>
      </c>
      <c r="AC90" s="467">
        <v>0</v>
      </c>
      <c r="AD90" s="466">
        <v>0</v>
      </c>
      <c r="AE90" s="468" t="s">
        <v>516</v>
      </c>
      <c r="AF90" s="466">
        <v>1400</v>
      </c>
      <c r="AG90" s="466">
        <v>1400</v>
      </c>
      <c r="AH90" s="466">
        <v>26482.67</v>
      </c>
      <c r="AI90" s="466">
        <v>18370.25</v>
      </c>
      <c r="AJ90" s="469" t="s">
        <v>1571</v>
      </c>
      <c r="AK90" s="470" t="s">
        <v>528</v>
      </c>
      <c r="AL90" s="471" t="s">
        <v>2121</v>
      </c>
      <c r="AM90" s="470" t="s">
        <v>2122</v>
      </c>
      <c r="AN90" s="470" t="s">
        <v>2118</v>
      </c>
      <c r="AO90" s="470" t="s">
        <v>12472</v>
      </c>
      <c r="AP90" s="470" t="s">
        <v>2123</v>
      </c>
      <c r="AQ90" s="470" t="s">
        <v>2116</v>
      </c>
      <c r="AR90" s="472" t="s">
        <v>515</v>
      </c>
      <c r="AS90" s="473" t="s">
        <v>1385</v>
      </c>
      <c r="AT90" s="472" t="s">
        <v>517</v>
      </c>
      <c r="AU90" s="472" t="s">
        <v>420</v>
      </c>
      <c r="AV90" s="472">
        <v>2020</v>
      </c>
      <c r="AW90" s="474" t="s">
        <v>15078</v>
      </c>
      <c r="AX90" s="475" t="s">
        <v>15079</v>
      </c>
      <c r="AY90" s="515">
        <v>1</v>
      </c>
      <c r="AZ90" s="474" t="s">
        <v>15079</v>
      </c>
      <c r="BA90" s="472" t="s">
        <v>517</v>
      </c>
      <c r="BB90" s="472" t="s">
        <v>516</v>
      </c>
      <c r="BC90" s="472">
        <v>4</v>
      </c>
      <c r="BD90" s="472">
        <v>5085</v>
      </c>
      <c r="BE90" s="472">
        <v>0</v>
      </c>
      <c r="BF90" s="472">
        <v>45605.7</v>
      </c>
      <c r="BG90" s="472">
        <v>0</v>
      </c>
      <c r="BH90" s="472" t="s">
        <v>1385</v>
      </c>
      <c r="BI90" s="510">
        <v>0</v>
      </c>
      <c r="BJ90" s="510">
        <v>0</v>
      </c>
      <c r="BK90" s="510">
        <v>0</v>
      </c>
      <c r="BL90" s="510">
        <v>0</v>
      </c>
      <c r="BM90" s="510">
        <v>0</v>
      </c>
      <c r="BN90" s="510">
        <v>5000</v>
      </c>
      <c r="BO90" s="510">
        <v>600</v>
      </c>
      <c r="BP90" s="510">
        <v>1400</v>
      </c>
      <c r="BQ90" s="510">
        <v>0</v>
      </c>
      <c r="BR90" s="510">
        <v>0</v>
      </c>
      <c r="BS90" s="510">
        <v>0</v>
      </c>
      <c r="BT90" s="510">
        <v>0</v>
      </c>
      <c r="BU90" s="510">
        <v>0</v>
      </c>
      <c r="BV90" s="510">
        <v>0</v>
      </c>
      <c r="BW90" s="510">
        <v>0</v>
      </c>
      <c r="BX90" s="510">
        <v>30000</v>
      </c>
      <c r="BY90" s="1011">
        <v>0</v>
      </c>
      <c r="BZ90" s="510">
        <v>0</v>
      </c>
      <c r="CA90" s="1011">
        <v>0</v>
      </c>
      <c r="CB90" s="510">
        <v>22000</v>
      </c>
      <c r="CC90" s="1011">
        <v>0</v>
      </c>
      <c r="CD90" s="510">
        <v>0</v>
      </c>
      <c r="CE90" s="1011">
        <v>0</v>
      </c>
      <c r="CF90" s="510">
        <v>62938.400000000001</v>
      </c>
      <c r="CG90" s="1011">
        <v>0</v>
      </c>
      <c r="CH90" s="510">
        <v>0</v>
      </c>
      <c r="CI90" s="1011">
        <v>0</v>
      </c>
    </row>
    <row r="91" spans="1:87" ht="12.75" customHeight="1" x14ac:dyDescent="0.2">
      <c r="A91" s="449">
        <v>85</v>
      </c>
      <c r="B91" s="453">
        <v>14567</v>
      </c>
      <c r="C91" s="454" t="s">
        <v>2124</v>
      </c>
      <c r="D91" s="454" t="s">
        <v>1390</v>
      </c>
      <c r="E91" s="454" t="s">
        <v>2125</v>
      </c>
      <c r="F91" s="454" t="s">
        <v>522</v>
      </c>
      <c r="G91" s="454" t="s">
        <v>12473</v>
      </c>
      <c r="H91" s="455">
        <v>49000144</v>
      </c>
      <c r="I91" s="462">
        <v>34500</v>
      </c>
      <c r="J91" s="457">
        <v>37550187</v>
      </c>
      <c r="K91" s="454" t="s">
        <v>2126</v>
      </c>
      <c r="L91" s="458">
        <v>300</v>
      </c>
      <c r="M91" s="454" t="s">
        <v>2127</v>
      </c>
      <c r="N91" s="459">
        <v>2834090</v>
      </c>
      <c r="O91" s="460">
        <v>39216630</v>
      </c>
      <c r="P91" s="462">
        <v>75178</v>
      </c>
      <c r="Q91" s="462">
        <v>30</v>
      </c>
      <c r="R91" s="462">
        <v>43911</v>
      </c>
      <c r="S91" s="463">
        <v>413</v>
      </c>
      <c r="T91" s="464">
        <v>3.6</v>
      </c>
      <c r="U91" s="465">
        <v>1486.8</v>
      </c>
      <c r="V91" s="465">
        <v>15120</v>
      </c>
      <c r="W91" s="466">
        <v>0</v>
      </c>
      <c r="X91" s="467">
        <v>1</v>
      </c>
      <c r="Y91" s="466">
        <v>24910.2</v>
      </c>
      <c r="Z91" s="468" t="s">
        <v>516</v>
      </c>
      <c r="AA91" s="466">
        <v>103159.8</v>
      </c>
      <c r="AB91" s="466">
        <v>103159.8</v>
      </c>
      <c r="AC91" s="467">
        <v>0</v>
      </c>
      <c r="AD91" s="466">
        <v>0</v>
      </c>
      <c r="AE91" s="468" t="s">
        <v>516</v>
      </c>
      <c r="AF91" s="466">
        <v>0</v>
      </c>
      <c r="AG91" s="466">
        <v>0</v>
      </c>
      <c r="AH91" s="466">
        <v>2846.24</v>
      </c>
      <c r="AI91" s="466">
        <v>7941.29</v>
      </c>
      <c r="AJ91" s="469" t="s">
        <v>1438</v>
      </c>
      <c r="AK91" s="470" t="s">
        <v>12345</v>
      </c>
      <c r="AL91" s="471" t="s">
        <v>2128</v>
      </c>
      <c r="AM91" s="470" t="s">
        <v>2129</v>
      </c>
      <c r="AN91" s="470" t="s">
        <v>1385</v>
      </c>
      <c r="AO91" s="470" t="s">
        <v>2130</v>
      </c>
      <c r="AP91" s="470" t="s">
        <v>2131</v>
      </c>
      <c r="AQ91" s="470" t="s">
        <v>2124</v>
      </c>
      <c r="AR91" s="472" t="s">
        <v>515</v>
      </c>
      <c r="AS91" s="473" t="s">
        <v>1385</v>
      </c>
      <c r="AT91" s="472" t="s">
        <v>1390</v>
      </c>
      <c r="AU91" s="472" t="s">
        <v>420</v>
      </c>
      <c r="AV91" s="472">
        <v>2020</v>
      </c>
      <c r="AW91" s="474" t="s">
        <v>15078</v>
      </c>
      <c r="AX91" s="475" t="s">
        <v>15079</v>
      </c>
      <c r="AY91" s="515">
        <v>1</v>
      </c>
      <c r="AZ91" s="474" t="s">
        <v>15079</v>
      </c>
      <c r="BA91" s="472" t="s">
        <v>1390</v>
      </c>
      <c r="BB91" s="472" t="s">
        <v>1385</v>
      </c>
      <c r="BC91" s="472" t="s">
        <v>1385</v>
      </c>
      <c r="BD91" s="472" t="s">
        <v>1385</v>
      </c>
      <c r="BE91" s="472" t="s">
        <v>1385</v>
      </c>
      <c r="BF91" s="472">
        <v>24910.2</v>
      </c>
      <c r="BG91" s="472">
        <v>0</v>
      </c>
      <c r="BH91" s="472" t="s">
        <v>1385</v>
      </c>
      <c r="BI91" s="510">
        <v>0</v>
      </c>
      <c r="BJ91" s="510">
        <v>0</v>
      </c>
      <c r="BK91" s="510">
        <v>0</v>
      </c>
      <c r="BL91" s="510">
        <v>0</v>
      </c>
      <c r="BM91" s="510">
        <v>0</v>
      </c>
      <c r="BN91" s="510">
        <v>4000</v>
      </c>
      <c r="BO91" s="510">
        <v>0</v>
      </c>
      <c r="BP91" s="510">
        <v>0</v>
      </c>
      <c r="BQ91" s="510">
        <v>0</v>
      </c>
      <c r="BR91" s="510">
        <v>0</v>
      </c>
      <c r="BS91" s="510">
        <v>0</v>
      </c>
      <c r="BT91" s="510">
        <v>0</v>
      </c>
      <c r="BU91" s="510">
        <v>0</v>
      </c>
      <c r="BV91" s="510">
        <v>0</v>
      </c>
      <c r="BW91" s="510">
        <v>0</v>
      </c>
      <c r="BX91" s="510">
        <v>30000</v>
      </c>
      <c r="BY91" s="1011">
        <v>0</v>
      </c>
      <c r="BZ91" s="510">
        <v>0</v>
      </c>
      <c r="CA91" s="1011">
        <v>0</v>
      </c>
      <c r="CB91" s="510">
        <v>0</v>
      </c>
      <c r="CC91" s="1011">
        <v>0</v>
      </c>
      <c r="CD91" s="510">
        <v>0</v>
      </c>
      <c r="CE91" s="1011">
        <v>0</v>
      </c>
      <c r="CF91" s="510">
        <v>48249.599999999999</v>
      </c>
      <c r="CG91" s="1011">
        <v>0</v>
      </c>
      <c r="CH91" s="510">
        <v>0</v>
      </c>
      <c r="CI91" s="1011">
        <v>0</v>
      </c>
    </row>
    <row r="92" spans="1:87" ht="12.75" customHeight="1" x14ac:dyDescent="0.2">
      <c r="A92" s="449">
        <v>74</v>
      </c>
      <c r="B92" s="453">
        <v>14575</v>
      </c>
      <c r="C92" s="454" t="s">
        <v>2132</v>
      </c>
      <c r="D92" s="454" t="s">
        <v>1390</v>
      </c>
      <c r="E92" s="454" t="s">
        <v>2133</v>
      </c>
      <c r="F92" s="454" t="s">
        <v>524</v>
      </c>
      <c r="G92" s="454" t="s">
        <v>12474</v>
      </c>
      <c r="H92" s="455">
        <v>1145345000104</v>
      </c>
      <c r="I92" s="462">
        <v>35172</v>
      </c>
      <c r="J92" s="457">
        <v>37499548</v>
      </c>
      <c r="K92" s="454" t="s">
        <v>2134</v>
      </c>
      <c r="L92" s="458">
        <v>35</v>
      </c>
      <c r="M92" s="454" t="s">
        <v>2135</v>
      </c>
      <c r="N92" s="459">
        <v>4236100</v>
      </c>
      <c r="O92" s="460">
        <v>22154246</v>
      </c>
      <c r="P92" s="462">
        <v>207988</v>
      </c>
      <c r="Q92" s="462">
        <v>80</v>
      </c>
      <c r="R92" s="462">
        <v>43906</v>
      </c>
      <c r="S92" s="463">
        <v>558</v>
      </c>
      <c r="T92" s="464">
        <v>3.6</v>
      </c>
      <c r="U92" s="465">
        <v>2008.8</v>
      </c>
      <c r="V92" s="465">
        <v>16560</v>
      </c>
      <c r="W92" s="466">
        <v>0</v>
      </c>
      <c r="X92" s="467">
        <v>1</v>
      </c>
      <c r="Y92" s="466">
        <v>27853.200000000001</v>
      </c>
      <c r="Z92" s="468" t="s">
        <v>516</v>
      </c>
      <c r="AA92" s="466">
        <v>109962</v>
      </c>
      <c r="AB92" s="466">
        <v>109962</v>
      </c>
      <c r="AC92" s="467">
        <v>0</v>
      </c>
      <c r="AD92" s="466">
        <v>0</v>
      </c>
      <c r="AE92" s="468" t="s">
        <v>516</v>
      </c>
      <c r="AF92" s="466">
        <v>0</v>
      </c>
      <c r="AG92" s="466">
        <v>0</v>
      </c>
      <c r="AH92" s="466">
        <v>32366.59</v>
      </c>
      <c r="AI92" s="466">
        <v>8191.25</v>
      </c>
      <c r="AJ92" s="469" t="s">
        <v>2136</v>
      </c>
      <c r="AK92" s="470" t="s">
        <v>2137</v>
      </c>
      <c r="AL92" s="471" t="s">
        <v>2138</v>
      </c>
      <c r="AM92" s="470" t="s">
        <v>15160</v>
      </c>
      <c r="AN92" s="470" t="s">
        <v>12475</v>
      </c>
      <c r="AO92" s="470" t="s">
        <v>12476</v>
      </c>
      <c r="AP92" s="470" t="s">
        <v>2139</v>
      </c>
      <c r="AQ92" s="470" t="s">
        <v>2132</v>
      </c>
      <c r="AR92" s="472" t="s">
        <v>515</v>
      </c>
      <c r="AS92" s="473" t="s">
        <v>1385</v>
      </c>
      <c r="AT92" s="472" t="s">
        <v>1390</v>
      </c>
      <c r="AU92" s="472" t="s">
        <v>420</v>
      </c>
      <c r="AV92" s="472">
        <v>2020</v>
      </c>
      <c r="AW92" s="474" t="s">
        <v>15078</v>
      </c>
      <c r="AX92" s="475" t="s">
        <v>15079</v>
      </c>
      <c r="AY92" s="515">
        <v>1</v>
      </c>
      <c r="AZ92" s="474" t="s">
        <v>15079</v>
      </c>
      <c r="BA92" s="472" t="s">
        <v>1390</v>
      </c>
      <c r="BB92" s="472" t="s">
        <v>1385</v>
      </c>
      <c r="BC92" s="472" t="s">
        <v>1385</v>
      </c>
      <c r="BD92" s="472" t="s">
        <v>1385</v>
      </c>
      <c r="BE92" s="472" t="s">
        <v>1385</v>
      </c>
      <c r="BF92" s="472">
        <v>27853.200000000001</v>
      </c>
      <c r="BG92" s="472">
        <v>0</v>
      </c>
      <c r="BH92" s="472" t="s">
        <v>1385</v>
      </c>
      <c r="BI92" s="510">
        <v>0</v>
      </c>
      <c r="BJ92" s="510">
        <v>0</v>
      </c>
      <c r="BK92" s="510">
        <v>0</v>
      </c>
      <c r="BL92" s="510">
        <v>0</v>
      </c>
      <c r="BM92" s="510">
        <v>0</v>
      </c>
      <c r="BN92" s="510">
        <v>5000</v>
      </c>
      <c r="BO92" s="510">
        <v>0</v>
      </c>
      <c r="BP92" s="510">
        <v>0</v>
      </c>
      <c r="BQ92" s="510">
        <v>0</v>
      </c>
      <c r="BR92" s="510">
        <v>0</v>
      </c>
      <c r="BS92" s="510">
        <v>0</v>
      </c>
      <c r="BT92" s="510">
        <v>0</v>
      </c>
      <c r="BU92" s="510">
        <v>0</v>
      </c>
      <c r="BV92" s="510">
        <v>0</v>
      </c>
      <c r="BW92" s="510">
        <v>0</v>
      </c>
      <c r="BX92" s="510">
        <v>30000</v>
      </c>
      <c r="BY92" s="1011">
        <v>0</v>
      </c>
      <c r="BZ92" s="510">
        <v>0</v>
      </c>
      <c r="CA92" s="1011">
        <v>0</v>
      </c>
      <c r="CB92" s="510">
        <v>0</v>
      </c>
      <c r="CC92" s="1011">
        <v>0</v>
      </c>
      <c r="CD92" s="510">
        <v>0</v>
      </c>
      <c r="CE92" s="1011">
        <v>0</v>
      </c>
      <c r="CF92" s="510">
        <v>52108.800000000003</v>
      </c>
      <c r="CG92" s="1011">
        <v>0</v>
      </c>
      <c r="CH92" s="510">
        <v>0</v>
      </c>
      <c r="CI92" s="1011">
        <v>0</v>
      </c>
    </row>
    <row r="93" spans="1:87" ht="12.75" customHeight="1" x14ac:dyDescent="0.2">
      <c r="A93" s="449">
        <v>55</v>
      </c>
      <c r="B93" s="453">
        <v>14583</v>
      </c>
      <c r="C93" s="454" t="s">
        <v>2140</v>
      </c>
      <c r="D93" s="454" t="s">
        <v>517</v>
      </c>
      <c r="E93" s="454" t="s">
        <v>2141</v>
      </c>
      <c r="F93" s="454" t="s">
        <v>526</v>
      </c>
      <c r="G93" s="454" t="s">
        <v>12477</v>
      </c>
      <c r="H93" s="455">
        <v>1212664000187</v>
      </c>
      <c r="I93" s="462">
        <v>35195</v>
      </c>
      <c r="J93" s="457">
        <v>37475460</v>
      </c>
      <c r="K93" s="454" t="s">
        <v>2142</v>
      </c>
      <c r="L93" s="458" t="s">
        <v>2143</v>
      </c>
      <c r="M93" s="454" t="s">
        <v>1838</v>
      </c>
      <c r="N93" s="459">
        <v>8190460</v>
      </c>
      <c r="O93" s="460">
        <v>25811998</v>
      </c>
      <c r="P93" s="462">
        <v>162763</v>
      </c>
      <c r="Q93" s="462">
        <v>55</v>
      </c>
      <c r="R93" s="462">
        <v>43928</v>
      </c>
      <c r="S93" s="463">
        <v>618</v>
      </c>
      <c r="T93" s="464">
        <v>5.4</v>
      </c>
      <c r="U93" s="465">
        <v>3337.2</v>
      </c>
      <c r="V93" s="465">
        <v>17100</v>
      </c>
      <c r="W93" s="466">
        <v>0</v>
      </c>
      <c r="X93" s="467">
        <v>1</v>
      </c>
      <c r="Y93" s="466">
        <v>38350.800000000003</v>
      </c>
      <c r="Z93" s="468" t="s">
        <v>516</v>
      </c>
      <c r="AA93" s="466">
        <v>145891.20000000001</v>
      </c>
      <c r="AB93" s="466">
        <v>145891.20000000001</v>
      </c>
      <c r="AC93" s="467">
        <v>0</v>
      </c>
      <c r="AD93" s="466">
        <v>0</v>
      </c>
      <c r="AE93" s="468" t="s">
        <v>516</v>
      </c>
      <c r="AF93" s="466">
        <v>0</v>
      </c>
      <c r="AG93" s="466">
        <v>0</v>
      </c>
      <c r="AH93" s="466">
        <v>31198.77</v>
      </c>
      <c r="AI93" s="466">
        <v>11664.6</v>
      </c>
      <c r="AJ93" s="469" t="s">
        <v>1410</v>
      </c>
      <c r="AK93" s="470" t="s">
        <v>1411</v>
      </c>
      <c r="AL93" s="471" t="s">
        <v>2144</v>
      </c>
      <c r="AM93" s="470" t="s">
        <v>2145</v>
      </c>
      <c r="AN93" s="470" t="s">
        <v>1385</v>
      </c>
      <c r="AO93" s="470" t="s">
        <v>2146</v>
      </c>
      <c r="AP93" s="470" t="s">
        <v>2147</v>
      </c>
      <c r="AQ93" s="470" t="s">
        <v>2140</v>
      </c>
      <c r="AR93" s="472" t="s">
        <v>515</v>
      </c>
      <c r="AS93" s="473" t="s">
        <v>1385</v>
      </c>
      <c r="AT93" s="472" t="s">
        <v>517</v>
      </c>
      <c r="AU93" s="472" t="s">
        <v>420</v>
      </c>
      <c r="AV93" s="472">
        <v>2020</v>
      </c>
      <c r="AW93" s="474" t="s">
        <v>15078</v>
      </c>
      <c r="AX93" s="475" t="s">
        <v>15079</v>
      </c>
      <c r="AY93" s="515">
        <v>1</v>
      </c>
      <c r="AZ93" s="474" t="s">
        <v>15079</v>
      </c>
      <c r="BA93" s="472" t="s">
        <v>517</v>
      </c>
      <c r="BB93" s="472" t="s">
        <v>516</v>
      </c>
      <c r="BC93" s="472">
        <v>6</v>
      </c>
      <c r="BD93" s="472">
        <v>5130</v>
      </c>
      <c r="BE93" s="472">
        <v>0</v>
      </c>
      <c r="BF93" s="472">
        <v>38350.800000000003</v>
      </c>
      <c r="BG93" s="472">
        <v>0</v>
      </c>
      <c r="BH93" s="472" t="s">
        <v>1385</v>
      </c>
      <c r="BI93" s="510">
        <v>0</v>
      </c>
      <c r="BJ93" s="510">
        <v>0.1</v>
      </c>
      <c r="BK93" s="510">
        <v>0</v>
      </c>
      <c r="BL93" s="510">
        <v>3500</v>
      </c>
      <c r="BM93" s="510">
        <v>0</v>
      </c>
      <c r="BN93" s="510">
        <v>2300</v>
      </c>
      <c r="BO93" s="510">
        <v>0</v>
      </c>
      <c r="BP93" s="510">
        <v>0</v>
      </c>
      <c r="BQ93" s="510">
        <v>0</v>
      </c>
      <c r="BR93" s="510">
        <v>0</v>
      </c>
      <c r="BS93" s="510">
        <v>0</v>
      </c>
      <c r="BT93" s="510">
        <v>0</v>
      </c>
      <c r="BU93" s="510">
        <v>0</v>
      </c>
      <c r="BV93" s="510">
        <v>0</v>
      </c>
      <c r="BW93" s="510">
        <v>0</v>
      </c>
      <c r="BX93" s="510">
        <v>30000</v>
      </c>
      <c r="BY93" s="1011">
        <v>0</v>
      </c>
      <c r="BZ93" s="510">
        <v>0</v>
      </c>
      <c r="CA93" s="1011">
        <v>0</v>
      </c>
      <c r="CB93" s="510">
        <v>22000</v>
      </c>
      <c r="CC93" s="1011">
        <v>0</v>
      </c>
      <c r="CD93" s="510">
        <v>0</v>
      </c>
      <c r="CE93" s="1011">
        <v>0</v>
      </c>
      <c r="CF93" s="510">
        <v>55540.4</v>
      </c>
      <c r="CG93" s="1011">
        <v>0</v>
      </c>
      <c r="CH93" s="510">
        <v>0</v>
      </c>
      <c r="CI93" s="1011">
        <v>0</v>
      </c>
    </row>
    <row r="94" spans="1:87" s="448" customFormat="1" ht="12.75" customHeight="1" x14ac:dyDescent="0.2">
      <c r="A94" s="449">
        <v>56</v>
      </c>
      <c r="B94" s="453">
        <v>14591</v>
      </c>
      <c r="C94" s="454" t="s">
        <v>2148</v>
      </c>
      <c r="D94" s="454" t="s">
        <v>1390</v>
      </c>
      <c r="E94" s="454" t="s">
        <v>2149</v>
      </c>
      <c r="F94" s="454" t="s">
        <v>519</v>
      </c>
      <c r="G94" s="454" t="s">
        <v>12478</v>
      </c>
      <c r="H94" s="455">
        <v>181000000135</v>
      </c>
      <c r="I94" s="462">
        <v>34576</v>
      </c>
      <c r="J94" s="457">
        <v>37355287</v>
      </c>
      <c r="K94" s="454" t="s">
        <v>2150</v>
      </c>
      <c r="L94" s="458" t="s">
        <v>1446</v>
      </c>
      <c r="M94" s="454" t="s">
        <v>1939</v>
      </c>
      <c r="N94" s="459">
        <v>5574450</v>
      </c>
      <c r="O94" s="460">
        <v>37814833</v>
      </c>
      <c r="P94" s="462">
        <v>123652</v>
      </c>
      <c r="Q94" s="462">
        <v>39</v>
      </c>
      <c r="R94" s="462">
        <v>43881</v>
      </c>
      <c r="S94" s="463">
        <v>296</v>
      </c>
      <c r="T94" s="464">
        <v>3.6</v>
      </c>
      <c r="U94" s="465">
        <v>1065.5999999999999</v>
      </c>
      <c r="V94" s="465">
        <v>12240</v>
      </c>
      <c r="W94" s="466">
        <v>0</v>
      </c>
      <c r="X94" s="467">
        <v>1</v>
      </c>
      <c r="Y94" s="466">
        <v>0</v>
      </c>
      <c r="Z94" s="468" t="s">
        <v>514</v>
      </c>
      <c r="AA94" s="466">
        <v>0</v>
      </c>
      <c r="AB94" s="466">
        <v>0</v>
      </c>
      <c r="AC94" s="467">
        <v>0</v>
      </c>
      <c r="AD94" s="466">
        <v>0</v>
      </c>
      <c r="AE94" s="468" t="s">
        <v>516</v>
      </c>
      <c r="AF94" s="466">
        <v>0</v>
      </c>
      <c r="AG94" s="466">
        <v>0</v>
      </c>
      <c r="AH94" s="466">
        <v>85.85</v>
      </c>
      <c r="AI94" s="466">
        <v>4593.84</v>
      </c>
      <c r="AJ94" s="469" t="s">
        <v>1940</v>
      </c>
      <c r="AK94" s="470" t="s">
        <v>1941</v>
      </c>
      <c r="AL94" s="471" t="s">
        <v>2151</v>
      </c>
      <c r="AM94" s="470" t="s">
        <v>2152</v>
      </c>
      <c r="AN94" s="470" t="s">
        <v>2153</v>
      </c>
      <c r="AO94" s="470" t="s">
        <v>2154</v>
      </c>
      <c r="AP94" s="470" t="s">
        <v>2155</v>
      </c>
      <c r="AQ94" s="470" t="s">
        <v>2148</v>
      </c>
      <c r="AR94" s="472" t="s">
        <v>515</v>
      </c>
      <c r="AS94" s="473" t="s">
        <v>1385</v>
      </c>
      <c r="AT94" s="472" t="s">
        <v>1390</v>
      </c>
      <c r="AU94" s="472" t="s">
        <v>420</v>
      </c>
      <c r="AV94" s="472">
        <v>2020</v>
      </c>
      <c r="AW94" s="474" t="s">
        <v>15078</v>
      </c>
      <c r="AX94" s="475" t="s">
        <v>15079</v>
      </c>
      <c r="AY94" s="515">
        <v>1</v>
      </c>
      <c r="AZ94" s="474" t="s">
        <v>15079</v>
      </c>
      <c r="BA94" s="472" t="s">
        <v>1385</v>
      </c>
      <c r="BB94" s="472" t="s">
        <v>1385</v>
      </c>
      <c r="BC94" s="472" t="s">
        <v>1385</v>
      </c>
      <c r="BD94" s="472" t="s">
        <v>1385</v>
      </c>
      <c r="BE94" s="472" t="s">
        <v>1385</v>
      </c>
      <c r="BF94" s="472">
        <v>19958.400000000001</v>
      </c>
      <c r="BG94" s="472">
        <v>0</v>
      </c>
      <c r="BH94" s="472" t="s">
        <v>516</v>
      </c>
      <c r="BI94" s="510">
        <v>0</v>
      </c>
      <c r="BJ94" s="510">
        <v>0</v>
      </c>
      <c r="BK94" s="510">
        <v>0</v>
      </c>
      <c r="BL94" s="510">
        <v>0</v>
      </c>
      <c r="BM94" s="510">
        <v>0</v>
      </c>
      <c r="BN94" s="510">
        <v>0</v>
      </c>
      <c r="BO94" s="510">
        <v>0</v>
      </c>
      <c r="BP94" s="510">
        <v>0</v>
      </c>
      <c r="BQ94" s="510">
        <v>0</v>
      </c>
      <c r="BR94" s="510">
        <v>0</v>
      </c>
      <c r="BS94" s="510">
        <v>0</v>
      </c>
      <c r="BT94" s="510">
        <v>0</v>
      </c>
      <c r="BU94" s="510">
        <v>0</v>
      </c>
      <c r="BV94" s="510">
        <v>0</v>
      </c>
      <c r="BW94" s="510">
        <v>0</v>
      </c>
      <c r="BX94" s="510">
        <v>0</v>
      </c>
      <c r="BY94" s="1011">
        <v>0</v>
      </c>
      <c r="BZ94" s="510">
        <v>0</v>
      </c>
      <c r="CA94" s="1011">
        <v>0</v>
      </c>
      <c r="CB94" s="510">
        <v>0</v>
      </c>
      <c r="CC94" s="1011">
        <v>0</v>
      </c>
      <c r="CD94" s="510">
        <v>0</v>
      </c>
      <c r="CE94" s="1011">
        <v>0</v>
      </c>
      <c r="CF94" s="510">
        <v>0</v>
      </c>
      <c r="CG94" s="1011">
        <v>0</v>
      </c>
      <c r="CH94" s="510">
        <v>0</v>
      </c>
      <c r="CI94" s="1011">
        <v>0</v>
      </c>
    </row>
    <row r="95" spans="1:87" ht="12.75" customHeight="1" x14ac:dyDescent="0.2">
      <c r="A95" s="449">
        <v>70</v>
      </c>
      <c r="B95" s="453">
        <v>14672</v>
      </c>
      <c r="C95" s="454" t="s">
        <v>2156</v>
      </c>
      <c r="D95" s="454" t="s">
        <v>1390</v>
      </c>
      <c r="E95" s="454" t="s">
        <v>2157</v>
      </c>
      <c r="F95" s="454" t="s">
        <v>523</v>
      </c>
      <c r="G95" s="454" t="s">
        <v>12479</v>
      </c>
      <c r="H95" s="455">
        <v>1148803000150</v>
      </c>
      <c r="I95" s="462">
        <v>34943</v>
      </c>
      <c r="J95" s="457">
        <v>37615459</v>
      </c>
      <c r="K95" s="454" t="s">
        <v>2159</v>
      </c>
      <c r="L95" s="458">
        <v>425</v>
      </c>
      <c r="M95" s="454" t="s">
        <v>1950</v>
      </c>
      <c r="N95" s="459">
        <v>8485020</v>
      </c>
      <c r="O95" s="460">
        <v>22821490</v>
      </c>
      <c r="P95" s="462">
        <v>261486</v>
      </c>
      <c r="Q95" s="462">
        <v>70</v>
      </c>
      <c r="R95" s="462">
        <v>43921</v>
      </c>
      <c r="S95" s="463">
        <v>296</v>
      </c>
      <c r="T95" s="464">
        <v>3.6</v>
      </c>
      <c r="U95" s="465">
        <v>1065.5999999999999</v>
      </c>
      <c r="V95" s="465">
        <v>12240</v>
      </c>
      <c r="W95" s="466">
        <v>0</v>
      </c>
      <c r="X95" s="467">
        <v>1</v>
      </c>
      <c r="Y95" s="466">
        <v>0</v>
      </c>
      <c r="Z95" s="468" t="s">
        <v>514</v>
      </c>
      <c r="AA95" s="466">
        <v>0</v>
      </c>
      <c r="AB95" s="466">
        <v>0</v>
      </c>
      <c r="AC95" s="467">
        <v>0</v>
      </c>
      <c r="AD95" s="466">
        <v>0</v>
      </c>
      <c r="AE95" s="468" t="s">
        <v>516</v>
      </c>
      <c r="AF95" s="466">
        <v>0</v>
      </c>
      <c r="AG95" s="466">
        <v>0</v>
      </c>
      <c r="AH95" s="466">
        <v>0</v>
      </c>
      <c r="AI95" s="466">
        <v>0</v>
      </c>
      <c r="AJ95" s="469" t="s">
        <v>1385</v>
      </c>
      <c r="AK95" s="470" t="s">
        <v>12480</v>
      </c>
      <c r="AL95" s="471" t="s">
        <v>1385</v>
      </c>
      <c r="AM95" s="470" t="s">
        <v>2160</v>
      </c>
      <c r="AN95" s="470" t="s">
        <v>2158</v>
      </c>
      <c r="AO95" s="470" t="s">
        <v>12481</v>
      </c>
      <c r="AP95" s="470" t="s">
        <v>2161</v>
      </c>
      <c r="AQ95" s="470" t="s">
        <v>2156</v>
      </c>
      <c r="AR95" s="472" t="s">
        <v>515</v>
      </c>
      <c r="AS95" s="473" t="s">
        <v>1385</v>
      </c>
      <c r="AT95" s="472" t="s">
        <v>1390</v>
      </c>
      <c r="AU95" s="472" t="s">
        <v>420</v>
      </c>
      <c r="AV95" s="472">
        <v>2020</v>
      </c>
      <c r="AW95" s="474" t="s">
        <v>15078</v>
      </c>
      <c r="AX95" s="475" t="s">
        <v>15079</v>
      </c>
      <c r="AY95" s="515">
        <v>1</v>
      </c>
      <c r="AZ95" s="474" t="s">
        <v>15079</v>
      </c>
      <c r="BA95" s="472" t="s">
        <v>1385</v>
      </c>
      <c r="BB95" s="472" t="s">
        <v>1385</v>
      </c>
      <c r="BC95" s="472" t="s">
        <v>1385</v>
      </c>
      <c r="BD95" s="472" t="s">
        <v>1385</v>
      </c>
      <c r="BE95" s="472" t="s">
        <v>1385</v>
      </c>
      <c r="BF95" s="472">
        <v>19958.400000000001</v>
      </c>
      <c r="BG95" s="472">
        <v>0</v>
      </c>
      <c r="BH95" s="472" t="s">
        <v>516</v>
      </c>
      <c r="BI95" s="510">
        <v>0</v>
      </c>
      <c r="BJ95" s="510">
        <v>0</v>
      </c>
      <c r="BK95" s="510">
        <v>0</v>
      </c>
      <c r="BL95" s="510">
        <v>0</v>
      </c>
      <c r="BM95" s="510">
        <v>0</v>
      </c>
      <c r="BN95" s="510">
        <v>0</v>
      </c>
      <c r="BO95" s="510">
        <v>0</v>
      </c>
      <c r="BP95" s="510">
        <v>0</v>
      </c>
      <c r="BQ95" s="510">
        <v>0</v>
      </c>
      <c r="BR95" s="510">
        <v>0</v>
      </c>
      <c r="BS95" s="510">
        <v>0</v>
      </c>
      <c r="BT95" s="510">
        <v>0</v>
      </c>
      <c r="BU95" s="510">
        <v>0</v>
      </c>
      <c r="BV95" s="510">
        <v>0</v>
      </c>
      <c r="BW95" s="510">
        <v>0</v>
      </c>
      <c r="BX95" s="510">
        <v>0</v>
      </c>
      <c r="BY95" s="1011">
        <v>0</v>
      </c>
      <c r="BZ95" s="510">
        <v>0</v>
      </c>
      <c r="CA95" s="1011">
        <v>0</v>
      </c>
      <c r="CB95" s="510">
        <v>0</v>
      </c>
      <c r="CC95" s="1011">
        <v>0</v>
      </c>
      <c r="CD95" s="510">
        <v>0</v>
      </c>
      <c r="CE95" s="1011">
        <v>0</v>
      </c>
      <c r="CF95" s="510">
        <v>0</v>
      </c>
      <c r="CG95" s="1011">
        <v>0</v>
      </c>
      <c r="CH95" s="510">
        <v>0</v>
      </c>
      <c r="CI95" s="1011">
        <v>0</v>
      </c>
    </row>
    <row r="96" spans="1:87" ht="12.75" customHeight="1" x14ac:dyDescent="0.2">
      <c r="A96" s="449">
        <v>72</v>
      </c>
      <c r="B96" s="453">
        <v>14681</v>
      </c>
      <c r="C96" s="454" t="s">
        <v>2162</v>
      </c>
      <c r="D96" s="454" t="s">
        <v>1390</v>
      </c>
      <c r="E96" s="454" t="s">
        <v>2163</v>
      </c>
      <c r="F96" s="454" t="s">
        <v>523</v>
      </c>
      <c r="G96" s="454" t="s">
        <v>12482</v>
      </c>
      <c r="H96" s="455">
        <v>2604709000121</v>
      </c>
      <c r="I96" s="462">
        <v>35935</v>
      </c>
      <c r="J96" s="457">
        <v>37615440</v>
      </c>
      <c r="K96" s="454" t="s">
        <v>2165</v>
      </c>
      <c r="L96" s="458">
        <v>520</v>
      </c>
      <c r="M96" s="454" t="s">
        <v>1950</v>
      </c>
      <c r="N96" s="459">
        <v>8485280</v>
      </c>
      <c r="O96" s="460">
        <v>29648646</v>
      </c>
      <c r="P96" s="462">
        <v>261451</v>
      </c>
      <c r="Q96" s="462">
        <v>72</v>
      </c>
      <c r="R96" s="462">
        <v>43921</v>
      </c>
      <c r="S96" s="463">
        <v>302</v>
      </c>
      <c r="T96" s="464">
        <v>3.6</v>
      </c>
      <c r="U96" s="465">
        <v>1087.2</v>
      </c>
      <c r="V96" s="465">
        <v>13680</v>
      </c>
      <c r="W96" s="466">
        <v>0</v>
      </c>
      <c r="X96" s="467">
        <v>1</v>
      </c>
      <c r="Y96" s="466">
        <v>22150.799999999999</v>
      </c>
      <c r="Z96" s="468" t="s">
        <v>516</v>
      </c>
      <c r="AA96" s="466">
        <v>93690</v>
      </c>
      <c r="AB96" s="466">
        <v>93690</v>
      </c>
      <c r="AC96" s="467">
        <v>0</v>
      </c>
      <c r="AD96" s="466">
        <v>0</v>
      </c>
      <c r="AE96" s="468" t="s">
        <v>516</v>
      </c>
      <c r="AF96" s="466">
        <v>0</v>
      </c>
      <c r="AG96" s="466">
        <v>0</v>
      </c>
      <c r="AH96" s="466">
        <v>12016.63</v>
      </c>
      <c r="AI96" s="466">
        <v>6768.93</v>
      </c>
      <c r="AJ96" s="469" t="s">
        <v>1395</v>
      </c>
      <c r="AK96" s="470" t="s">
        <v>523</v>
      </c>
      <c r="AL96" s="471" t="s">
        <v>2166</v>
      </c>
      <c r="AM96" s="470" t="s">
        <v>2167</v>
      </c>
      <c r="AN96" s="470" t="s">
        <v>2164</v>
      </c>
      <c r="AO96" s="470" t="s">
        <v>2168</v>
      </c>
      <c r="AP96" s="470" t="s">
        <v>2169</v>
      </c>
      <c r="AQ96" s="470" t="s">
        <v>2162</v>
      </c>
      <c r="AR96" s="472" t="s">
        <v>515</v>
      </c>
      <c r="AS96" s="473" t="s">
        <v>1385</v>
      </c>
      <c r="AT96" s="472" t="s">
        <v>1390</v>
      </c>
      <c r="AU96" s="472" t="s">
        <v>420</v>
      </c>
      <c r="AV96" s="472">
        <v>2020</v>
      </c>
      <c r="AW96" s="474" t="s">
        <v>15078</v>
      </c>
      <c r="AX96" s="475" t="s">
        <v>15079</v>
      </c>
      <c r="AY96" s="515">
        <v>1</v>
      </c>
      <c r="AZ96" s="474" t="s">
        <v>15079</v>
      </c>
      <c r="BA96" s="472" t="s">
        <v>1390</v>
      </c>
      <c r="BB96" s="472" t="s">
        <v>1385</v>
      </c>
      <c r="BC96" s="472" t="s">
        <v>1385</v>
      </c>
      <c r="BD96" s="472" t="s">
        <v>1385</v>
      </c>
      <c r="BE96" s="472" t="s">
        <v>1385</v>
      </c>
      <c r="BF96" s="472">
        <v>22150.799999999999</v>
      </c>
      <c r="BG96" s="472">
        <v>0</v>
      </c>
      <c r="BH96" s="472" t="s">
        <v>1385</v>
      </c>
      <c r="BI96" s="510">
        <v>0</v>
      </c>
      <c r="BJ96" s="510">
        <v>0</v>
      </c>
      <c r="BK96" s="510">
        <v>0</v>
      </c>
      <c r="BL96" s="510">
        <v>0</v>
      </c>
      <c r="BM96" s="510">
        <v>0</v>
      </c>
      <c r="BN96" s="510">
        <v>3500</v>
      </c>
      <c r="BO96" s="510">
        <v>0</v>
      </c>
      <c r="BP96" s="510">
        <v>0</v>
      </c>
      <c r="BQ96" s="510">
        <v>0</v>
      </c>
      <c r="BR96" s="510">
        <v>0</v>
      </c>
      <c r="BS96" s="510">
        <v>0</v>
      </c>
      <c r="BT96" s="510">
        <v>0</v>
      </c>
      <c r="BU96" s="510">
        <v>0</v>
      </c>
      <c r="BV96" s="510">
        <v>0</v>
      </c>
      <c r="BW96" s="510">
        <v>0</v>
      </c>
      <c r="BX96" s="510">
        <v>30000</v>
      </c>
      <c r="BY96" s="1011">
        <v>0</v>
      </c>
      <c r="BZ96" s="510">
        <v>0</v>
      </c>
      <c r="CA96" s="1011">
        <v>0</v>
      </c>
      <c r="CB96" s="510">
        <v>0</v>
      </c>
      <c r="CC96" s="1011">
        <v>0</v>
      </c>
      <c r="CD96" s="510">
        <v>0</v>
      </c>
      <c r="CE96" s="1011">
        <v>0</v>
      </c>
      <c r="CF96" s="510">
        <v>41539.199999999997</v>
      </c>
      <c r="CG96" s="1011">
        <v>0</v>
      </c>
      <c r="CH96" s="510">
        <v>0</v>
      </c>
      <c r="CI96" s="1011">
        <v>0</v>
      </c>
    </row>
    <row r="97" spans="1:87" ht="12.75" customHeight="1" x14ac:dyDescent="0.2">
      <c r="A97" s="449">
        <v>33</v>
      </c>
      <c r="B97" s="453">
        <v>14699</v>
      </c>
      <c r="C97" s="454" t="s">
        <v>2170</v>
      </c>
      <c r="D97" s="454" t="s">
        <v>517</v>
      </c>
      <c r="E97" s="454" t="s">
        <v>2171</v>
      </c>
      <c r="F97" s="454" t="s">
        <v>523</v>
      </c>
      <c r="G97" s="454" t="s">
        <v>12483</v>
      </c>
      <c r="H97" s="455">
        <v>1221039000100</v>
      </c>
      <c r="I97" s="462">
        <v>35172</v>
      </c>
      <c r="J97" s="457">
        <v>37628887</v>
      </c>
      <c r="K97" s="454" t="s">
        <v>2172</v>
      </c>
      <c r="L97" s="458">
        <v>1259</v>
      </c>
      <c r="M97" s="454" t="s">
        <v>1950</v>
      </c>
      <c r="N97" s="459">
        <v>8485310</v>
      </c>
      <c r="O97" s="460">
        <v>22821569</v>
      </c>
      <c r="P97" s="462">
        <v>263985</v>
      </c>
      <c r="Q97" s="462">
        <v>33</v>
      </c>
      <c r="R97" s="462">
        <v>43921</v>
      </c>
      <c r="S97" s="463">
        <v>695</v>
      </c>
      <c r="T97" s="464">
        <v>5.4</v>
      </c>
      <c r="U97" s="465">
        <v>3753</v>
      </c>
      <c r="V97" s="465">
        <v>17100</v>
      </c>
      <c r="W97" s="466">
        <v>0</v>
      </c>
      <c r="X97" s="467">
        <v>1</v>
      </c>
      <c r="Y97" s="466">
        <v>38974.5</v>
      </c>
      <c r="Z97" s="468" t="s">
        <v>516</v>
      </c>
      <c r="AA97" s="466">
        <v>147000.9</v>
      </c>
      <c r="AB97" s="466">
        <v>147000.9</v>
      </c>
      <c r="AC97" s="467">
        <v>0</v>
      </c>
      <c r="AD97" s="466">
        <v>0</v>
      </c>
      <c r="AE97" s="468" t="s">
        <v>516</v>
      </c>
      <c r="AF97" s="466">
        <v>0</v>
      </c>
      <c r="AG97" s="466">
        <v>0</v>
      </c>
      <c r="AH97" s="466">
        <v>50103.92</v>
      </c>
      <c r="AI97" s="466">
        <v>141.78</v>
      </c>
      <c r="AJ97" s="469" t="s">
        <v>1674</v>
      </c>
      <c r="AK97" s="470" t="s">
        <v>518</v>
      </c>
      <c r="AL97" s="471" t="s">
        <v>2173</v>
      </c>
      <c r="AM97" s="470" t="s">
        <v>2174</v>
      </c>
      <c r="AN97" s="470" t="s">
        <v>1385</v>
      </c>
      <c r="AO97" s="470" t="s">
        <v>2175</v>
      </c>
      <c r="AP97" s="470" t="s">
        <v>2176</v>
      </c>
      <c r="AQ97" s="470" t="s">
        <v>2170</v>
      </c>
      <c r="AR97" s="472" t="s">
        <v>515</v>
      </c>
      <c r="AS97" s="473" t="s">
        <v>1385</v>
      </c>
      <c r="AT97" s="472" t="s">
        <v>517</v>
      </c>
      <c r="AU97" s="472" t="s">
        <v>420</v>
      </c>
      <c r="AV97" s="472">
        <v>2020</v>
      </c>
      <c r="AW97" s="474" t="s">
        <v>15078</v>
      </c>
      <c r="AX97" s="475" t="s">
        <v>15079</v>
      </c>
      <c r="AY97" s="515">
        <v>1</v>
      </c>
      <c r="AZ97" s="474" t="s">
        <v>15079</v>
      </c>
      <c r="BA97" s="472" t="s">
        <v>517</v>
      </c>
      <c r="BB97" s="472" t="s">
        <v>516</v>
      </c>
      <c r="BC97" s="472">
        <v>5</v>
      </c>
      <c r="BD97" s="472">
        <v>5130</v>
      </c>
      <c r="BE97" s="472">
        <v>0</v>
      </c>
      <c r="BF97" s="472">
        <v>38974.5</v>
      </c>
      <c r="BG97" s="472">
        <v>0</v>
      </c>
      <c r="BH97" s="472" t="s">
        <v>1385</v>
      </c>
      <c r="BI97" s="510">
        <v>0</v>
      </c>
      <c r="BJ97" s="510">
        <v>0</v>
      </c>
      <c r="BK97" s="510">
        <v>0</v>
      </c>
      <c r="BL97" s="510">
        <v>3500</v>
      </c>
      <c r="BM97" s="510">
        <v>0</v>
      </c>
      <c r="BN97" s="510">
        <v>3500</v>
      </c>
      <c r="BO97" s="510">
        <v>0</v>
      </c>
      <c r="BP97" s="510">
        <v>0</v>
      </c>
      <c r="BQ97" s="510">
        <v>0</v>
      </c>
      <c r="BR97" s="510">
        <v>0</v>
      </c>
      <c r="BS97" s="510">
        <v>0</v>
      </c>
      <c r="BT97" s="510">
        <v>0</v>
      </c>
      <c r="BU97" s="510">
        <v>2500</v>
      </c>
      <c r="BV97" s="510">
        <v>2500</v>
      </c>
      <c r="BW97" s="510">
        <v>0</v>
      </c>
      <c r="BX97" s="510">
        <v>30000</v>
      </c>
      <c r="BY97" s="1011">
        <v>0</v>
      </c>
      <c r="BZ97" s="510">
        <v>0</v>
      </c>
      <c r="CA97" s="1011">
        <v>0</v>
      </c>
      <c r="CB97" s="510">
        <v>22000</v>
      </c>
      <c r="CC97" s="1011">
        <v>0</v>
      </c>
      <c r="CD97" s="510">
        <v>0</v>
      </c>
      <c r="CE97" s="1011">
        <v>0</v>
      </c>
      <c r="CF97" s="510">
        <v>56026.400000000001</v>
      </c>
      <c r="CG97" s="1011">
        <v>0</v>
      </c>
      <c r="CH97" s="510">
        <v>0</v>
      </c>
      <c r="CI97" s="1011">
        <v>0</v>
      </c>
    </row>
    <row r="98" spans="1:87" s="448" customFormat="1" ht="12.75" customHeight="1" x14ac:dyDescent="0.2">
      <c r="A98" s="449">
        <v>111</v>
      </c>
      <c r="B98" s="453">
        <v>14893</v>
      </c>
      <c r="C98" s="454" t="s">
        <v>2177</v>
      </c>
      <c r="D98" s="454" t="s">
        <v>1390</v>
      </c>
      <c r="E98" s="454" t="s">
        <v>2178</v>
      </c>
      <c r="F98" s="454" t="s">
        <v>528</v>
      </c>
      <c r="G98" s="454" t="s">
        <v>12484</v>
      </c>
      <c r="H98" s="455">
        <v>904686000145</v>
      </c>
      <c r="I98" s="462">
        <v>35013</v>
      </c>
      <c r="J98" s="457">
        <v>37376098</v>
      </c>
      <c r="K98" s="454" t="s">
        <v>2179</v>
      </c>
      <c r="L98" s="458">
        <v>147</v>
      </c>
      <c r="M98" s="454" t="s">
        <v>2180</v>
      </c>
      <c r="N98" s="459">
        <v>5186150</v>
      </c>
      <c r="O98" s="460">
        <v>39415366</v>
      </c>
      <c r="P98" s="462">
        <v>280596</v>
      </c>
      <c r="Q98" s="462">
        <v>111</v>
      </c>
      <c r="R98" s="462">
        <v>43938</v>
      </c>
      <c r="S98" s="463">
        <v>218</v>
      </c>
      <c r="T98" s="464">
        <v>3.6</v>
      </c>
      <c r="U98" s="465">
        <v>784.8</v>
      </c>
      <c r="V98" s="465">
        <v>12240</v>
      </c>
      <c r="W98" s="466">
        <v>0</v>
      </c>
      <c r="X98" s="467">
        <v>1</v>
      </c>
      <c r="Y98" s="466">
        <v>19537.2</v>
      </c>
      <c r="Z98" s="468" t="s">
        <v>516</v>
      </c>
      <c r="AA98" s="466">
        <v>90766.8</v>
      </c>
      <c r="AB98" s="466">
        <v>90766.8</v>
      </c>
      <c r="AC98" s="467">
        <v>0</v>
      </c>
      <c r="AD98" s="466">
        <v>0</v>
      </c>
      <c r="AE98" s="468" t="s">
        <v>516</v>
      </c>
      <c r="AF98" s="466">
        <v>0</v>
      </c>
      <c r="AG98" s="466">
        <v>0</v>
      </c>
      <c r="AH98" s="466">
        <v>14615.71</v>
      </c>
      <c r="AI98" s="466">
        <v>4702.04</v>
      </c>
      <c r="AJ98" s="469" t="s">
        <v>1571</v>
      </c>
      <c r="AK98" s="470" t="s">
        <v>528</v>
      </c>
      <c r="AL98" s="471" t="s">
        <v>2181</v>
      </c>
      <c r="AM98" s="470" t="s">
        <v>2182</v>
      </c>
      <c r="AN98" s="470" t="s">
        <v>2183</v>
      </c>
      <c r="AO98" s="470" t="s">
        <v>2184</v>
      </c>
      <c r="AP98" s="470" t="s">
        <v>2185</v>
      </c>
      <c r="AQ98" s="470" t="s">
        <v>2177</v>
      </c>
      <c r="AR98" s="472" t="s">
        <v>515</v>
      </c>
      <c r="AS98" s="473" t="s">
        <v>1385</v>
      </c>
      <c r="AT98" s="472" t="s">
        <v>1390</v>
      </c>
      <c r="AU98" s="472" t="s">
        <v>420</v>
      </c>
      <c r="AV98" s="472">
        <v>2020</v>
      </c>
      <c r="AW98" s="474" t="s">
        <v>15078</v>
      </c>
      <c r="AX98" s="475" t="s">
        <v>15079</v>
      </c>
      <c r="AY98" s="515">
        <v>1</v>
      </c>
      <c r="AZ98" s="474" t="s">
        <v>15079</v>
      </c>
      <c r="BA98" s="472" t="s">
        <v>1390</v>
      </c>
      <c r="BB98" s="472" t="s">
        <v>1385</v>
      </c>
      <c r="BC98" s="472" t="s">
        <v>1385</v>
      </c>
      <c r="BD98" s="472" t="s">
        <v>1385</v>
      </c>
      <c r="BE98" s="472" t="s">
        <v>1385</v>
      </c>
      <c r="BF98" s="472">
        <v>19537.2</v>
      </c>
      <c r="BG98" s="472">
        <v>0</v>
      </c>
      <c r="BH98" s="472" t="s">
        <v>1385</v>
      </c>
      <c r="BI98" s="510">
        <v>0</v>
      </c>
      <c r="BJ98" s="510">
        <v>0</v>
      </c>
      <c r="BK98" s="510">
        <v>0</v>
      </c>
      <c r="BL98" s="510">
        <v>0</v>
      </c>
      <c r="BM98" s="510">
        <v>0</v>
      </c>
      <c r="BN98" s="510">
        <v>3000</v>
      </c>
      <c r="BO98" s="510">
        <v>0</v>
      </c>
      <c r="BP98" s="510">
        <v>0</v>
      </c>
      <c r="BQ98" s="510">
        <v>0</v>
      </c>
      <c r="BR98" s="510">
        <v>0</v>
      </c>
      <c r="BS98" s="510">
        <v>0</v>
      </c>
      <c r="BT98" s="510">
        <v>0</v>
      </c>
      <c r="BU98" s="510">
        <v>0</v>
      </c>
      <c r="BV98" s="510">
        <v>0</v>
      </c>
      <c r="BW98" s="510">
        <v>0</v>
      </c>
      <c r="BX98" s="510">
        <v>30000</v>
      </c>
      <c r="BY98" s="1011">
        <v>0</v>
      </c>
      <c r="BZ98" s="510">
        <v>0</v>
      </c>
      <c r="CA98" s="1011">
        <v>0</v>
      </c>
      <c r="CB98" s="510">
        <v>0</v>
      </c>
      <c r="CC98" s="1011">
        <v>0</v>
      </c>
      <c r="CD98" s="510">
        <v>0</v>
      </c>
      <c r="CE98" s="1011">
        <v>0</v>
      </c>
      <c r="CF98" s="510">
        <v>41229.599999999999</v>
      </c>
      <c r="CG98" s="1011">
        <v>0</v>
      </c>
      <c r="CH98" s="510">
        <v>0</v>
      </c>
      <c r="CI98" s="1011">
        <v>0</v>
      </c>
    </row>
    <row r="99" spans="1:87" ht="12.75" customHeight="1" x14ac:dyDescent="0.2">
      <c r="A99" s="449">
        <v>36</v>
      </c>
      <c r="B99" s="453">
        <v>15024</v>
      </c>
      <c r="C99" s="454" t="s">
        <v>2186</v>
      </c>
      <c r="D99" s="454" t="s">
        <v>517</v>
      </c>
      <c r="E99" s="454" t="s">
        <v>2187</v>
      </c>
      <c r="F99" s="454" t="s">
        <v>523</v>
      </c>
      <c r="G99" s="454" t="s">
        <v>12485</v>
      </c>
      <c r="H99" s="455">
        <v>1162835000100</v>
      </c>
      <c r="I99" s="462">
        <v>35172</v>
      </c>
      <c r="J99" s="457">
        <v>37628003</v>
      </c>
      <c r="K99" s="454" t="s">
        <v>2159</v>
      </c>
      <c r="L99" s="458">
        <v>1360</v>
      </c>
      <c r="M99" s="454" t="s">
        <v>1950</v>
      </c>
      <c r="N99" s="459">
        <v>8485020</v>
      </c>
      <c r="O99" s="460">
        <v>22821513</v>
      </c>
      <c r="P99" s="462">
        <v>264019</v>
      </c>
      <c r="Q99" s="462">
        <v>36</v>
      </c>
      <c r="R99" s="462">
        <v>43921</v>
      </c>
      <c r="S99" s="463">
        <v>856</v>
      </c>
      <c r="T99" s="464">
        <v>5.4</v>
      </c>
      <c r="U99" s="465">
        <v>4622.3999999999996</v>
      </c>
      <c r="V99" s="465">
        <v>18720</v>
      </c>
      <c r="W99" s="466">
        <v>0</v>
      </c>
      <c r="X99" s="467">
        <v>1</v>
      </c>
      <c r="Y99" s="466">
        <v>35013.599999999999</v>
      </c>
      <c r="Z99" s="468" t="s">
        <v>516</v>
      </c>
      <c r="AA99" s="466">
        <v>132964</v>
      </c>
      <c r="AB99" s="466">
        <v>132964</v>
      </c>
      <c r="AC99" s="467">
        <v>0</v>
      </c>
      <c r="AD99" s="466">
        <v>0</v>
      </c>
      <c r="AE99" s="468" t="s">
        <v>516</v>
      </c>
      <c r="AF99" s="466">
        <v>2000</v>
      </c>
      <c r="AG99" s="466">
        <v>2000</v>
      </c>
      <c r="AH99" s="466">
        <v>19798.830000000002</v>
      </c>
      <c r="AI99" s="466">
        <v>9607.64</v>
      </c>
      <c r="AJ99" s="469" t="s">
        <v>1674</v>
      </c>
      <c r="AK99" s="470" t="s">
        <v>518</v>
      </c>
      <c r="AL99" s="471" t="s">
        <v>2188</v>
      </c>
      <c r="AM99" s="470" t="s">
        <v>2189</v>
      </c>
      <c r="AN99" s="470" t="s">
        <v>1385</v>
      </c>
      <c r="AO99" s="470" t="s">
        <v>2190</v>
      </c>
      <c r="AP99" s="470" t="s">
        <v>2191</v>
      </c>
      <c r="AQ99" s="470" t="s">
        <v>2186</v>
      </c>
      <c r="AR99" s="472" t="s">
        <v>515</v>
      </c>
      <c r="AS99" s="473" t="s">
        <v>1385</v>
      </c>
      <c r="AT99" s="472" t="s">
        <v>517</v>
      </c>
      <c r="AU99" s="472" t="s">
        <v>420</v>
      </c>
      <c r="AV99" s="472">
        <v>2020</v>
      </c>
      <c r="AW99" s="474" t="s">
        <v>15078</v>
      </c>
      <c r="AX99" s="475" t="s">
        <v>15079</v>
      </c>
      <c r="AY99" s="515">
        <v>1</v>
      </c>
      <c r="AZ99" s="474" t="s">
        <v>15079</v>
      </c>
      <c r="BA99" s="472" t="s">
        <v>517</v>
      </c>
      <c r="BB99" s="472" t="s">
        <v>1385</v>
      </c>
      <c r="BC99" s="472" t="s">
        <v>1385</v>
      </c>
      <c r="BD99" s="472" t="s">
        <v>1385</v>
      </c>
      <c r="BE99" s="472" t="s">
        <v>1385</v>
      </c>
      <c r="BF99" s="472">
        <v>35013.599999999999</v>
      </c>
      <c r="BG99" s="472">
        <v>0</v>
      </c>
      <c r="BH99" s="472" t="s">
        <v>1385</v>
      </c>
      <c r="BI99" s="510">
        <v>0</v>
      </c>
      <c r="BJ99" s="510">
        <v>0</v>
      </c>
      <c r="BK99" s="510">
        <v>0</v>
      </c>
      <c r="BL99" s="510">
        <v>0</v>
      </c>
      <c r="BM99" s="510">
        <v>0</v>
      </c>
      <c r="BN99" s="510">
        <v>5000</v>
      </c>
      <c r="BO99" s="510">
        <v>0</v>
      </c>
      <c r="BP99" s="510">
        <v>2000</v>
      </c>
      <c r="BQ99" s="510">
        <v>0</v>
      </c>
      <c r="BR99" s="510">
        <v>0</v>
      </c>
      <c r="BS99" s="510">
        <v>0</v>
      </c>
      <c r="BT99" s="510">
        <v>0</v>
      </c>
      <c r="BU99" s="510">
        <v>2500</v>
      </c>
      <c r="BV99" s="510">
        <v>2500</v>
      </c>
      <c r="BW99" s="510">
        <v>0</v>
      </c>
      <c r="BX99" s="510">
        <v>30000</v>
      </c>
      <c r="BY99" s="1011">
        <v>0</v>
      </c>
      <c r="BZ99" s="510">
        <v>0</v>
      </c>
      <c r="CA99" s="1011">
        <v>0</v>
      </c>
      <c r="CB99" s="510">
        <v>22000</v>
      </c>
      <c r="CC99" s="1011">
        <v>0</v>
      </c>
      <c r="CD99" s="510">
        <v>0</v>
      </c>
      <c r="CE99" s="1011">
        <v>0</v>
      </c>
      <c r="CF99" s="510">
        <v>45950.400000000001</v>
      </c>
      <c r="CG99" s="1011">
        <v>0</v>
      </c>
      <c r="CH99" s="510">
        <v>0</v>
      </c>
      <c r="CI99" s="1011">
        <v>0</v>
      </c>
    </row>
    <row r="100" spans="1:87" ht="12.75" customHeight="1" x14ac:dyDescent="0.2">
      <c r="A100" s="449">
        <v>62</v>
      </c>
      <c r="B100" s="453">
        <v>15121</v>
      </c>
      <c r="C100" s="454" t="s">
        <v>2192</v>
      </c>
      <c r="D100" s="454" t="s">
        <v>517</v>
      </c>
      <c r="E100" s="454" t="s">
        <v>2193</v>
      </c>
      <c r="F100" s="454" t="s">
        <v>527</v>
      </c>
      <c r="G100" s="454" t="s">
        <v>12486</v>
      </c>
      <c r="H100" s="455">
        <v>912744000182</v>
      </c>
      <c r="I100" s="462">
        <v>34922</v>
      </c>
      <c r="J100" s="457">
        <v>37605496</v>
      </c>
      <c r="K100" s="454" t="s">
        <v>2194</v>
      </c>
      <c r="L100" s="458">
        <v>89</v>
      </c>
      <c r="M100" s="454" t="s">
        <v>2195</v>
      </c>
      <c r="N100" s="459">
        <v>3690060</v>
      </c>
      <c r="O100" s="460">
        <v>22805151</v>
      </c>
      <c r="P100" s="462">
        <v>185968</v>
      </c>
      <c r="Q100" s="462">
        <v>110</v>
      </c>
      <c r="R100" s="462">
        <v>43917</v>
      </c>
      <c r="S100" s="463">
        <v>875</v>
      </c>
      <c r="T100" s="464">
        <v>5.4</v>
      </c>
      <c r="U100" s="465">
        <v>4725</v>
      </c>
      <c r="V100" s="465">
        <v>18720</v>
      </c>
      <c r="W100" s="466">
        <v>0</v>
      </c>
      <c r="X100" s="467">
        <v>1</v>
      </c>
      <c r="Y100" s="466">
        <v>35167.5</v>
      </c>
      <c r="Z100" s="468" t="s">
        <v>516</v>
      </c>
      <c r="AA100" s="466">
        <v>134100.70000000001</v>
      </c>
      <c r="AB100" s="466">
        <v>134100.70000000001</v>
      </c>
      <c r="AC100" s="467">
        <v>0</v>
      </c>
      <c r="AD100" s="466">
        <v>0</v>
      </c>
      <c r="AE100" s="468" t="s">
        <v>516</v>
      </c>
      <c r="AF100" s="466">
        <v>2000</v>
      </c>
      <c r="AG100" s="466">
        <v>2000</v>
      </c>
      <c r="AH100" s="466">
        <v>14472.05</v>
      </c>
      <c r="AI100" s="466">
        <v>6694.17</v>
      </c>
      <c r="AJ100" s="469" t="s">
        <v>2196</v>
      </c>
      <c r="AK100" s="470" t="s">
        <v>2197</v>
      </c>
      <c r="AL100" s="471" t="s">
        <v>2198</v>
      </c>
      <c r="AM100" s="470" t="s">
        <v>2199</v>
      </c>
      <c r="AN100" s="470" t="s">
        <v>12486</v>
      </c>
      <c r="AO100" s="470" t="s">
        <v>12487</v>
      </c>
      <c r="AP100" s="470" t="s">
        <v>2200</v>
      </c>
      <c r="AQ100" s="470" t="s">
        <v>2192</v>
      </c>
      <c r="AR100" s="472" t="s">
        <v>515</v>
      </c>
      <c r="AS100" s="473" t="s">
        <v>1385</v>
      </c>
      <c r="AT100" s="472" t="s">
        <v>517</v>
      </c>
      <c r="AU100" s="472" t="s">
        <v>420</v>
      </c>
      <c r="AV100" s="472">
        <v>2020</v>
      </c>
      <c r="AW100" s="474" t="s">
        <v>15078</v>
      </c>
      <c r="AX100" s="475" t="s">
        <v>15079</v>
      </c>
      <c r="AY100" s="515">
        <v>1</v>
      </c>
      <c r="AZ100" s="474" t="s">
        <v>15079</v>
      </c>
      <c r="BA100" s="472" t="s">
        <v>517</v>
      </c>
      <c r="BB100" s="472" t="s">
        <v>1385</v>
      </c>
      <c r="BC100" s="472" t="s">
        <v>1385</v>
      </c>
      <c r="BD100" s="472" t="s">
        <v>1385</v>
      </c>
      <c r="BE100" s="472" t="s">
        <v>1385</v>
      </c>
      <c r="BF100" s="472">
        <v>35167.5</v>
      </c>
      <c r="BG100" s="472">
        <v>0</v>
      </c>
      <c r="BH100" s="472" t="s">
        <v>1385</v>
      </c>
      <c r="BI100" s="510">
        <v>0</v>
      </c>
      <c r="BJ100" s="510">
        <v>0</v>
      </c>
      <c r="BK100" s="510">
        <v>0</v>
      </c>
      <c r="BL100" s="510">
        <v>3500</v>
      </c>
      <c r="BM100" s="510">
        <v>0</v>
      </c>
      <c r="BN100" s="510">
        <v>5000</v>
      </c>
      <c r="BO100" s="510">
        <v>0</v>
      </c>
      <c r="BP100" s="510">
        <v>2000</v>
      </c>
      <c r="BQ100" s="510">
        <v>0</v>
      </c>
      <c r="BR100" s="510">
        <v>0</v>
      </c>
      <c r="BS100" s="510">
        <v>0</v>
      </c>
      <c r="BT100" s="510">
        <v>0</v>
      </c>
      <c r="BU100" s="510">
        <v>2500</v>
      </c>
      <c r="BV100" s="510">
        <v>2500</v>
      </c>
      <c r="BW100" s="510">
        <v>0</v>
      </c>
      <c r="BX100" s="510">
        <v>30000</v>
      </c>
      <c r="BY100" s="1011">
        <v>0</v>
      </c>
      <c r="BZ100" s="510">
        <v>0</v>
      </c>
      <c r="CA100" s="1011">
        <v>0</v>
      </c>
      <c r="CB100" s="510">
        <v>22000</v>
      </c>
      <c r="CC100" s="1011">
        <v>0</v>
      </c>
      <c r="CD100" s="510">
        <v>0</v>
      </c>
      <c r="CE100" s="1011">
        <v>0</v>
      </c>
      <c r="CF100" s="510">
        <v>46933.2</v>
      </c>
      <c r="CG100" s="1011">
        <v>0</v>
      </c>
      <c r="CH100" s="510">
        <v>0</v>
      </c>
      <c r="CI100" s="1011">
        <v>0</v>
      </c>
    </row>
    <row r="101" spans="1:87" ht="12.75" customHeight="1" x14ac:dyDescent="0.2">
      <c r="A101" s="449">
        <v>45</v>
      </c>
      <c r="B101" s="453">
        <v>15130</v>
      </c>
      <c r="C101" s="454" t="s">
        <v>2201</v>
      </c>
      <c r="D101" s="454" t="s">
        <v>517</v>
      </c>
      <c r="E101" s="454" t="s">
        <v>2202</v>
      </c>
      <c r="F101" s="454" t="s">
        <v>518</v>
      </c>
      <c r="G101" s="454" t="s">
        <v>12488</v>
      </c>
      <c r="H101" s="455">
        <v>1148804000103</v>
      </c>
      <c r="I101" s="462">
        <v>35158</v>
      </c>
      <c r="J101" s="457">
        <v>37468740</v>
      </c>
      <c r="K101" s="454" t="s">
        <v>2204</v>
      </c>
      <c r="L101" s="458">
        <v>150</v>
      </c>
      <c r="M101" s="454" t="s">
        <v>518</v>
      </c>
      <c r="N101" s="459">
        <v>8246000</v>
      </c>
      <c r="O101" s="460">
        <v>22055110</v>
      </c>
      <c r="P101" s="462">
        <v>50060</v>
      </c>
      <c r="Q101" s="462">
        <v>90</v>
      </c>
      <c r="R101" s="462">
        <v>43934</v>
      </c>
      <c r="S101" s="463">
        <v>717</v>
      </c>
      <c r="T101" s="464">
        <v>5.4</v>
      </c>
      <c r="U101" s="465">
        <v>3871.8</v>
      </c>
      <c r="V101" s="465">
        <v>18720</v>
      </c>
      <c r="W101" s="466">
        <v>0</v>
      </c>
      <c r="X101" s="467">
        <v>1</v>
      </c>
      <c r="Y101" s="466">
        <v>33887.699999999997</v>
      </c>
      <c r="Z101" s="468" t="s">
        <v>516</v>
      </c>
      <c r="AA101" s="466">
        <v>132352.5</v>
      </c>
      <c r="AB101" s="466">
        <v>132352.5</v>
      </c>
      <c r="AC101" s="467">
        <v>0</v>
      </c>
      <c r="AD101" s="466">
        <v>0</v>
      </c>
      <c r="AE101" s="468" t="s">
        <v>516</v>
      </c>
      <c r="AF101" s="466">
        <v>600</v>
      </c>
      <c r="AG101" s="466">
        <v>600</v>
      </c>
      <c r="AH101" s="466">
        <v>22338</v>
      </c>
      <c r="AI101" s="466">
        <v>27658.39</v>
      </c>
      <c r="AJ101" s="469" t="s">
        <v>1674</v>
      </c>
      <c r="AK101" s="470" t="s">
        <v>518</v>
      </c>
      <c r="AL101" s="471" t="s">
        <v>2205</v>
      </c>
      <c r="AM101" s="470" t="s">
        <v>2206</v>
      </c>
      <c r="AN101" s="470" t="s">
        <v>2203</v>
      </c>
      <c r="AO101" s="470" t="s">
        <v>14971</v>
      </c>
      <c r="AP101" s="470" t="s">
        <v>2207</v>
      </c>
      <c r="AQ101" s="470" t="s">
        <v>2201</v>
      </c>
      <c r="AR101" s="472" t="s">
        <v>515</v>
      </c>
      <c r="AS101" s="473" t="s">
        <v>1385</v>
      </c>
      <c r="AT101" s="472" t="s">
        <v>517</v>
      </c>
      <c r="AU101" s="472" t="s">
        <v>420</v>
      </c>
      <c r="AV101" s="472">
        <v>2020</v>
      </c>
      <c r="AW101" s="474" t="s">
        <v>15078</v>
      </c>
      <c r="AX101" s="475" t="s">
        <v>15079</v>
      </c>
      <c r="AY101" s="515">
        <v>1</v>
      </c>
      <c r="AZ101" s="474" t="s">
        <v>15079</v>
      </c>
      <c r="BA101" s="472" t="s">
        <v>517</v>
      </c>
      <c r="BB101" s="472" t="s">
        <v>1385</v>
      </c>
      <c r="BC101" s="472" t="s">
        <v>1385</v>
      </c>
      <c r="BD101" s="472" t="s">
        <v>1385</v>
      </c>
      <c r="BE101" s="472" t="s">
        <v>1385</v>
      </c>
      <c r="BF101" s="472">
        <v>33887.699999999997</v>
      </c>
      <c r="BG101" s="472">
        <v>0</v>
      </c>
      <c r="BH101" s="472" t="s">
        <v>1385</v>
      </c>
      <c r="BI101" s="510">
        <v>0</v>
      </c>
      <c r="BJ101" s="510">
        <v>1930</v>
      </c>
      <c r="BK101" s="510">
        <v>0</v>
      </c>
      <c r="BL101" s="510">
        <v>3500</v>
      </c>
      <c r="BM101" s="510">
        <v>0</v>
      </c>
      <c r="BN101" s="510">
        <v>5000</v>
      </c>
      <c r="BO101" s="510">
        <v>1400</v>
      </c>
      <c r="BP101" s="510">
        <v>600</v>
      </c>
      <c r="BQ101" s="510">
        <v>0</v>
      </c>
      <c r="BR101" s="510">
        <v>0</v>
      </c>
      <c r="BS101" s="510">
        <v>0</v>
      </c>
      <c r="BT101" s="510">
        <v>0</v>
      </c>
      <c r="BU101" s="510">
        <v>2500</v>
      </c>
      <c r="BV101" s="510">
        <v>2500</v>
      </c>
      <c r="BW101" s="510">
        <v>0</v>
      </c>
      <c r="BX101" s="510">
        <v>30000</v>
      </c>
      <c r="BY101" s="1011">
        <v>0</v>
      </c>
      <c r="BZ101" s="510">
        <v>0</v>
      </c>
      <c r="CA101" s="1011">
        <v>0</v>
      </c>
      <c r="CB101" s="510">
        <v>22000</v>
      </c>
      <c r="CC101" s="1011">
        <v>0</v>
      </c>
      <c r="CD101" s="510">
        <v>0</v>
      </c>
      <c r="CE101" s="1011">
        <v>0</v>
      </c>
      <c r="CF101" s="510">
        <v>45064.800000000003</v>
      </c>
      <c r="CG101" s="1011">
        <v>0</v>
      </c>
      <c r="CH101" s="510">
        <v>0</v>
      </c>
      <c r="CI101" s="1011">
        <v>0</v>
      </c>
    </row>
    <row r="102" spans="1:87" ht="12.75" customHeight="1" x14ac:dyDescent="0.2">
      <c r="A102" s="449">
        <v>59</v>
      </c>
      <c r="B102" s="453">
        <v>15296</v>
      </c>
      <c r="C102" s="454" t="s">
        <v>2208</v>
      </c>
      <c r="D102" s="454" t="s">
        <v>517</v>
      </c>
      <c r="E102" s="454" t="s">
        <v>2209</v>
      </c>
      <c r="F102" s="454" t="s">
        <v>527</v>
      </c>
      <c r="G102" s="454" t="s">
        <v>12489</v>
      </c>
      <c r="H102" s="455">
        <v>1237925000113</v>
      </c>
      <c r="I102" s="462">
        <v>35199</v>
      </c>
      <c r="J102" s="457">
        <v>37554875</v>
      </c>
      <c r="K102" s="454" t="s">
        <v>2210</v>
      </c>
      <c r="L102" s="458">
        <v>575</v>
      </c>
      <c r="M102" s="454" t="s">
        <v>2211</v>
      </c>
      <c r="N102" s="459">
        <v>3818000</v>
      </c>
      <c r="O102" s="460">
        <v>25476686</v>
      </c>
      <c r="P102" s="462">
        <v>196439</v>
      </c>
      <c r="Q102" s="462">
        <v>107</v>
      </c>
      <c r="R102" s="462">
        <v>43917</v>
      </c>
      <c r="S102" s="463">
        <v>568</v>
      </c>
      <c r="T102" s="464">
        <v>5.4</v>
      </c>
      <c r="U102" s="465">
        <v>3067.2</v>
      </c>
      <c r="V102" s="465">
        <v>17100</v>
      </c>
      <c r="W102" s="466">
        <v>0</v>
      </c>
      <c r="X102" s="467">
        <v>1</v>
      </c>
      <c r="Y102" s="466">
        <v>30250.799999999999</v>
      </c>
      <c r="Z102" s="468" t="s">
        <v>516</v>
      </c>
      <c r="AA102" s="466">
        <v>139468.4</v>
      </c>
      <c r="AB102" s="466">
        <v>139468.4</v>
      </c>
      <c r="AC102" s="467">
        <v>0</v>
      </c>
      <c r="AD102" s="466">
        <v>0</v>
      </c>
      <c r="AE102" s="468" t="s">
        <v>516</v>
      </c>
      <c r="AF102" s="466">
        <v>2000</v>
      </c>
      <c r="AG102" s="466">
        <v>2000</v>
      </c>
      <c r="AH102" s="466">
        <v>18008.72</v>
      </c>
      <c r="AI102" s="466">
        <v>430.95</v>
      </c>
      <c r="AJ102" s="469" t="s">
        <v>1889</v>
      </c>
      <c r="AK102" s="470" t="s">
        <v>1890</v>
      </c>
      <c r="AL102" s="471" t="s">
        <v>2212</v>
      </c>
      <c r="AM102" s="470" t="s">
        <v>2213</v>
      </c>
      <c r="AN102" s="470" t="s">
        <v>12489</v>
      </c>
      <c r="AO102" s="470" t="s">
        <v>12490</v>
      </c>
      <c r="AP102" s="470" t="s">
        <v>2214</v>
      </c>
      <c r="AQ102" s="470" t="s">
        <v>2208</v>
      </c>
      <c r="AR102" s="472" t="s">
        <v>515</v>
      </c>
      <c r="AS102" s="473" t="s">
        <v>1385</v>
      </c>
      <c r="AT102" s="472" t="s">
        <v>517</v>
      </c>
      <c r="AU102" s="472" t="s">
        <v>420</v>
      </c>
      <c r="AV102" s="472">
        <v>2020</v>
      </c>
      <c r="AW102" s="474" t="s">
        <v>15078</v>
      </c>
      <c r="AX102" s="475" t="s">
        <v>15079</v>
      </c>
      <c r="AY102" s="515">
        <v>1</v>
      </c>
      <c r="AZ102" s="474" t="s">
        <v>15079</v>
      </c>
      <c r="BA102" s="472" t="s">
        <v>517</v>
      </c>
      <c r="BB102" s="472" t="s">
        <v>1385</v>
      </c>
      <c r="BC102" s="472" t="s">
        <v>1385</v>
      </c>
      <c r="BD102" s="472" t="s">
        <v>1385</v>
      </c>
      <c r="BE102" s="472" t="s">
        <v>1385</v>
      </c>
      <c r="BF102" s="472">
        <v>30250.799999999999</v>
      </c>
      <c r="BG102" s="472">
        <v>0</v>
      </c>
      <c r="BH102" s="472" t="s">
        <v>1385</v>
      </c>
      <c r="BI102" s="510">
        <v>0</v>
      </c>
      <c r="BJ102" s="510">
        <v>0</v>
      </c>
      <c r="BK102" s="510">
        <v>0</v>
      </c>
      <c r="BL102" s="510">
        <v>3500</v>
      </c>
      <c r="BM102" s="510">
        <v>0</v>
      </c>
      <c r="BN102" s="510">
        <v>2200</v>
      </c>
      <c r="BO102" s="510">
        <v>0</v>
      </c>
      <c r="BP102" s="510">
        <v>2000</v>
      </c>
      <c r="BQ102" s="510">
        <v>0</v>
      </c>
      <c r="BR102" s="510">
        <v>0</v>
      </c>
      <c r="BS102" s="510">
        <v>0</v>
      </c>
      <c r="BT102" s="510">
        <v>0</v>
      </c>
      <c r="BU102" s="510">
        <v>2500</v>
      </c>
      <c r="BV102" s="510">
        <v>2500</v>
      </c>
      <c r="BW102" s="510">
        <v>0</v>
      </c>
      <c r="BX102" s="510">
        <v>30000</v>
      </c>
      <c r="BY102" s="1011">
        <v>0</v>
      </c>
      <c r="BZ102" s="510">
        <v>0</v>
      </c>
      <c r="CA102" s="1011">
        <v>0</v>
      </c>
      <c r="CB102" s="510">
        <v>22000</v>
      </c>
      <c r="CC102" s="1011">
        <v>0</v>
      </c>
      <c r="CD102" s="510">
        <v>0</v>
      </c>
      <c r="CE102" s="1011">
        <v>0</v>
      </c>
      <c r="CF102" s="510">
        <v>57217.599999999999</v>
      </c>
      <c r="CG102" s="1011">
        <v>0</v>
      </c>
      <c r="CH102" s="510">
        <v>0</v>
      </c>
      <c r="CI102" s="1011">
        <v>0</v>
      </c>
    </row>
    <row r="103" spans="1:87" ht="12.75" customHeight="1" x14ac:dyDescent="0.2">
      <c r="A103" s="449">
        <v>50</v>
      </c>
      <c r="B103" s="453">
        <v>15423</v>
      </c>
      <c r="C103" s="454" t="s">
        <v>2215</v>
      </c>
      <c r="D103" s="454" t="s">
        <v>517</v>
      </c>
      <c r="E103" s="454" t="s">
        <v>2216</v>
      </c>
      <c r="F103" s="454" t="s">
        <v>529</v>
      </c>
      <c r="G103" s="454" t="s">
        <v>12491</v>
      </c>
      <c r="H103" s="455">
        <v>1107992000113</v>
      </c>
      <c r="I103" s="462">
        <v>35146</v>
      </c>
      <c r="J103" s="457">
        <v>37523155</v>
      </c>
      <c r="K103" s="454" t="s">
        <v>2217</v>
      </c>
      <c r="L103" s="458" t="s">
        <v>1446</v>
      </c>
      <c r="M103" s="454" t="s">
        <v>1789</v>
      </c>
      <c r="N103" s="459">
        <v>4439070</v>
      </c>
      <c r="O103" s="460">
        <v>56128553</v>
      </c>
      <c r="P103" s="462">
        <v>563946</v>
      </c>
      <c r="Q103" s="462">
        <v>75</v>
      </c>
      <c r="R103" s="462">
        <v>43921</v>
      </c>
      <c r="S103" s="463">
        <v>646</v>
      </c>
      <c r="T103" s="464">
        <v>5.4</v>
      </c>
      <c r="U103" s="465">
        <v>3488.4</v>
      </c>
      <c r="V103" s="465">
        <v>17100</v>
      </c>
      <c r="W103" s="466">
        <v>0</v>
      </c>
      <c r="X103" s="467">
        <v>1</v>
      </c>
      <c r="Y103" s="466">
        <v>30882.6</v>
      </c>
      <c r="Z103" s="468" t="s">
        <v>516</v>
      </c>
      <c r="AA103" s="466">
        <v>123746.2</v>
      </c>
      <c r="AB103" s="466">
        <v>123746.2</v>
      </c>
      <c r="AC103" s="467">
        <v>0</v>
      </c>
      <c r="AD103" s="466">
        <v>0</v>
      </c>
      <c r="AE103" s="468" t="s">
        <v>516</v>
      </c>
      <c r="AF103" s="466">
        <v>2000</v>
      </c>
      <c r="AG103" s="466">
        <v>2000</v>
      </c>
      <c r="AH103" s="466">
        <v>15573.12</v>
      </c>
      <c r="AI103" s="466">
        <v>4117.68</v>
      </c>
      <c r="AJ103" s="469" t="s">
        <v>1481</v>
      </c>
      <c r="AK103" s="470" t="s">
        <v>1482</v>
      </c>
      <c r="AL103" s="471" t="s">
        <v>2218</v>
      </c>
      <c r="AM103" s="470" t="s">
        <v>2219</v>
      </c>
      <c r="AN103" s="470" t="s">
        <v>12491</v>
      </c>
      <c r="AO103" s="470" t="s">
        <v>2220</v>
      </c>
      <c r="AP103" s="470" t="s">
        <v>2221</v>
      </c>
      <c r="AQ103" s="470" t="s">
        <v>2215</v>
      </c>
      <c r="AR103" s="472" t="s">
        <v>515</v>
      </c>
      <c r="AS103" s="473" t="s">
        <v>1385</v>
      </c>
      <c r="AT103" s="472" t="s">
        <v>517</v>
      </c>
      <c r="AU103" s="472" t="s">
        <v>420</v>
      </c>
      <c r="AV103" s="472">
        <v>2020</v>
      </c>
      <c r="AW103" s="474" t="s">
        <v>15078</v>
      </c>
      <c r="AX103" s="475" t="s">
        <v>15079</v>
      </c>
      <c r="AY103" s="515">
        <v>1</v>
      </c>
      <c r="AZ103" s="474" t="s">
        <v>15079</v>
      </c>
      <c r="BA103" s="472" t="s">
        <v>517</v>
      </c>
      <c r="BB103" s="472" t="s">
        <v>1385</v>
      </c>
      <c r="BC103" s="472" t="s">
        <v>1385</v>
      </c>
      <c r="BD103" s="472" t="s">
        <v>1385</v>
      </c>
      <c r="BE103" s="472" t="s">
        <v>1385</v>
      </c>
      <c r="BF103" s="472">
        <v>30882.6</v>
      </c>
      <c r="BG103" s="472">
        <v>0</v>
      </c>
      <c r="BH103" s="472" t="s">
        <v>1385</v>
      </c>
      <c r="BI103" s="510">
        <v>0</v>
      </c>
      <c r="BJ103" s="510">
        <v>0</v>
      </c>
      <c r="BK103" s="510">
        <v>0</v>
      </c>
      <c r="BL103" s="510">
        <v>35.130000000000003</v>
      </c>
      <c r="BM103" s="510">
        <v>0</v>
      </c>
      <c r="BN103" s="510">
        <v>3500</v>
      </c>
      <c r="BO103" s="510">
        <v>0</v>
      </c>
      <c r="BP103" s="510">
        <v>2000</v>
      </c>
      <c r="BQ103" s="510">
        <v>0</v>
      </c>
      <c r="BR103" s="510">
        <v>0</v>
      </c>
      <c r="BS103" s="510">
        <v>0</v>
      </c>
      <c r="BT103" s="510">
        <v>0</v>
      </c>
      <c r="BU103" s="510">
        <v>0</v>
      </c>
      <c r="BV103" s="510">
        <v>0</v>
      </c>
      <c r="BW103" s="510">
        <v>0</v>
      </c>
      <c r="BX103" s="510">
        <v>30000</v>
      </c>
      <c r="BY103" s="1011">
        <v>0</v>
      </c>
      <c r="BZ103" s="510">
        <v>0</v>
      </c>
      <c r="CA103" s="1011">
        <v>0</v>
      </c>
      <c r="CB103" s="510">
        <v>22000</v>
      </c>
      <c r="CC103" s="1011">
        <v>0</v>
      </c>
      <c r="CD103" s="510">
        <v>0</v>
      </c>
      <c r="CE103" s="1011">
        <v>0</v>
      </c>
      <c r="CF103" s="510">
        <v>40863.599999999999</v>
      </c>
      <c r="CG103" s="1011">
        <v>0</v>
      </c>
      <c r="CH103" s="510">
        <v>0</v>
      </c>
      <c r="CI103" s="1011">
        <v>0</v>
      </c>
    </row>
    <row r="104" spans="1:87" ht="12.75" customHeight="1" x14ac:dyDescent="0.2">
      <c r="A104" s="449">
        <v>41</v>
      </c>
      <c r="B104" s="453">
        <v>15431</v>
      </c>
      <c r="C104" s="454" t="s">
        <v>2222</v>
      </c>
      <c r="D104" s="454" t="s">
        <v>517</v>
      </c>
      <c r="E104" s="454" t="s">
        <v>2223</v>
      </c>
      <c r="F104" s="454" t="s">
        <v>528</v>
      </c>
      <c r="G104" s="454" t="s">
        <v>12492</v>
      </c>
      <c r="H104" s="455">
        <v>789136000122</v>
      </c>
      <c r="I104" s="462">
        <v>36379</v>
      </c>
      <c r="J104" s="457">
        <v>37586173</v>
      </c>
      <c r="K104" s="454" t="s">
        <v>2224</v>
      </c>
      <c r="L104" s="458">
        <v>100</v>
      </c>
      <c r="M104" s="454" t="s">
        <v>2225</v>
      </c>
      <c r="N104" s="459">
        <v>2820040</v>
      </c>
      <c r="O104" s="460">
        <v>39723986</v>
      </c>
      <c r="P104" s="462">
        <v>279946</v>
      </c>
      <c r="Q104" s="462">
        <v>41</v>
      </c>
      <c r="R104" s="462">
        <v>43938</v>
      </c>
      <c r="S104" s="463">
        <v>574</v>
      </c>
      <c r="T104" s="464">
        <v>5.4</v>
      </c>
      <c r="U104" s="465">
        <v>3099.6</v>
      </c>
      <c r="V104" s="465">
        <v>17100</v>
      </c>
      <c r="W104" s="466">
        <v>0</v>
      </c>
      <c r="X104" s="467">
        <v>1</v>
      </c>
      <c r="Y104" s="466">
        <v>30299.4</v>
      </c>
      <c r="Z104" s="468" t="s">
        <v>516</v>
      </c>
      <c r="AA104" s="466">
        <v>122579.8</v>
      </c>
      <c r="AB104" s="466">
        <v>122579.8</v>
      </c>
      <c r="AC104" s="467">
        <v>0</v>
      </c>
      <c r="AD104" s="466">
        <v>0</v>
      </c>
      <c r="AE104" s="468" t="s">
        <v>516</v>
      </c>
      <c r="AF104" s="466">
        <v>0</v>
      </c>
      <c r="AG104" s="466">
        <v>0</v>
      </c>
      <c r="AH104" s="466">
        <v>36498.76</v>
      </c>
      <c r="AI104" s="466">
        <v>12837.72</v>
      </c>
      <c r="AJ104" s="469" t="s">
        <v>1571</v>
      </c>
      <c r="AK104" s="470" t="s">
        <v>528</v>
      </c>
      <c r="AL104" s="471" t="s">
        <v>2226</v>
      </c>
      <c r="AM104" s="470" t="s">
        <v>2227</v>
      </c>
      <c r="AN104" s="470" t="s">
        <v>2228</v>
      </c>
      <c r="AO104" s="470" t="s">
        <v>12493</v>
      </c>
      <c r="AP104" s="470" t="s">
        <v>2229</v>
      </c>
      <c r="AQ104" s="470" t="s">
        <v>2222</v>
      </c>
      <c r="AR104" s="472" t="s">
        <v>515</v>
      </c>
      <c r="AS104" s="473" t="s">
        <v>1385</v>
      </c>
      <c r="AT104" s="472" t="s">
        <v>517</v>
      </c>
      <c r="AU104" s="472" t="s">
        <v>420</v>
      </c>
      <c r="AV104" s="472">
        <v>2020</v>
      </c>
      <c r="AW104" s="474" t="s">
        <v>15078</v>
      </c>
      <c r="AX104" s="475" t="s">
        <v>15079</v>
      </c>
      <c r="AY104" s="515">
        <v>1</v>
      </c>
      <c r="AZ104" s="474" t="s">
        <v>15079</v>
      </c>
      <c r="BA104" s="472" t="s">
        <v>517</v>
      </c>
      <c r="BB104" s="472" t="s">
        <v>1385</v>
      </c>
      <c r="BC104" s="472" t="s">
        <v>1385</v>
      </c>
      <c r="BD104" s="472" t="s">
        <v>1385</v>
      </c>
      <c r="BE104" s="472" t="s">
        <v>1385</v>
      </c>
      <c r="BF104" s="472">
        <v>30299.4</v>
      </c>
      <c r="BG104" s="472">
        <v>0</v>
      </c>
      <c r="BH104" s="472" t="s">
        <v>1385</v>
      </c>
      <c r="BI104" s="510">
        <v>0</v>
      </c>
      <c r="BJ104" s="510">
        <v>0</v>
      </c>
      <c r="BK104" s="510">
        <v>0</v>
      </c>
      <c r="BL104" s="510">
        <v>2590</v>
      </c>
      <c r="BM104" s="510">
        <v>0</v>
      </c>
      <c r="BN104" s="510">
        <v>3500</v>
      </c>
      <c r="BO104" s="510">
        <v>0</v>
      </c>
      <c r="BP104" s="510">
        <v>0</v>
      </c>
      <c r="BQ104" s="510">
        <v>0</v>
      </c>
      <c r="BR104" s="510">
        <v>0</v>
      </c>
      <c r="BS104" s="510">
        <v>0</v>
      </c>
      <c r="BT104" s="510">
        <v>0</v>
      </c>
      <c r="BU104" s="510">
        <v>2500</v>
      </c>
      <c r="BV104" s="510">
        <v>2500</v>
      </c>
      <c r="BW104" s="510">
        <v>0</v>
      </c>
      <c r="BX104" s="510">
        <v>30000</v>
      </c>
      <c r="BY104" s="1011">
        <v>0</v>
      </c>
      <c r="BZ104" s="510">
        <v>0</v>
      </c>
      <c r="CA104" s="1011">
        <v>0</v>
      </c>
      <c r="CB104" s="510">
        <v>22000</v>
      </c>
      <c r="CC104" s="1011">
        <v>0</v>
      </c>
      <c r="CD104" s="510">
        <v>0</v>
      </c>
      <c r="CE104" s="1011">
        <v>0</v>
      </c>
      <c r="CF104" s="510">
        <v>40280.400000000001</v>
      </c>
      <c r="CG104" s="1011">
        <v>0</v>
      </c>
      <c r="CH104" s="510">
        <v>0</v>
      </c>
      <c r="CI104" s="1011">
        <v>0</v>
      </c>
    </row>
    <row r="105" spans="1:87" ht="12.75" customHeight="1" x14ac:dyDescent="0.2">
      <c r="A105" s="449">
        <v>52</v>
      </c>
      <c r="B105" s="453">
        <v>15440</v>
      </c>
      <c r="C105" s="454" t="s">
        <v>2230</v>
      </c>
      <c r="D105" s="454" t="s">
        <v>517</v>
      </c>
      <c r="E105" s="454" t="s">
        <v>2231</v>
      </c>
      <c r="F105" s="454" t="s">
        <v>526</v>
      </c>
      <c r="G105" s="454" t="s">
        <v>12494</v>
      </c>
      <c r="H105" s="455">
        <v>1200159000112</v>
      </c>
      <c r="I105" s="462">
        <v>35191</v>
      </c>
      <c r="J105" s="457">
        <v>37476467</v>
      </c>
      <c r="K105" s="454" t="s">
        <v>2232</v>
      </c>
      <c r="L105" s="458" t="s">
        <v>1446</v>
      </c>
      <c r="M105" s="454" t="s">
        <v>1838</v>
      </c>
      <c r="N105" s="459">
        <v>8151300</v>
      </c>
      <c r="O105" s="460">
        <v>20354242</v>
      </c>
      <c r="P105" s="462">
        <v>127070</v>
      </c>
      <c r="Q105" s="462">
        <v>52</v>
      </c>
      <c r="R105" s="462">
        <v>43928</v>
      </c>
      <c r="S105" s="463">
        <v>843</v>
      </c>
      <c r="T105" s="464">
        <v>5.4</v>
      </c>
      <c r="U105" s="465">
        <v>4552.2</v>
      </c>
      <c r="V105" s="465">
        <v>18720</v>
      </c>
      <c r="W105" s="466">
        <v>0</v>
      </c>
      <c r="X105" s="467">
        <v>1</v>
      </c>
      <c r="Y105" s="466">
        <v>34908.300000000003</v>
      </c>
      <c r="Z105" s="468" t="s">
        <v>516</v>
      </c>
      <c r="AA105" s="466">
        <v>133647.1</v>
      </c>
      <c r="AB105" s="466">
        <v>133647.1</v>
      </c>
      <c r="AC105" s="467">
        <v>0</v>
      </c>
      <c r="AD105" s="466">
        <v>0</v>
      </c>
      <c r="AE105" s="468" t="s">
        <v>516</v>
      </c>
      <c r="AF105" s="466">
        <v>0</v>
      </c>
      <c r="AG105" s="466">
        <v>0</v>
      </c>
      <c r="AH105" s="466">
        <v>18140.3</v>
      </c>
      <c r="AI105" s="466">
        <v>14058.05</v>
      </c>
      <c r="AJ105" s="469" t="s">
        <v>2233</v>
      </c>
      <c r="AK105" s="470" t="s">
        <v>527</v>
      </c>
      <c r="AL105" s="471" t="s">
        <v>2234</v>
      </c>
      <c r="AM105" s="470" t="s">
        <v>2235</v>
      </c>
      <c r="AN105" s="470" t="s">
        <v>1385</v>
      </c>
      <c r="AO105" s="470" t="s">
        <v>2236</v>
      </c>
      <c r="AP105" s="470" t="s">
        <v>2237</v>
      </c>
      <c r="AQ105" s="470" t="s">
        <v>2230</v>
      </c>
      <c r="AR105" s="472" t="s">
        <v>515</v>
      </c>
      <c r="AS105" s="473" t="s">
        <v>1385</v>
      </c>
      <c r="AT105" s="472" t="s">
        <v>517</v>
      </c>
      <c r="AU105" s="472" t="s">
        <v>420</v>
      </c>
      <c r="AV105" s="472">
        <v>2020</v>
      </c>
      <c r="AW105" s="474" t="s">
        <v>15078</v>
      </c>
      <c r="AX105" s="475" t="s">
        <v>15079</v>
      </c>
      <c r="AY105" s="515">
        <v>1</v>
      </c>
      <c r="AZ105" s="474" t="s">
        <v>15079</v>
      </c>
      <c r="BA105" s="472" t="s">
        <v>517</v>
      </c>
      <c r="BB105" s="472" t="s">
        <v>1385</v>
      </c>
      <c r="BC105" s="472" t="s">
        <v>1385</v>
      </c>
      <c r="BD105" s="472" t="s">
        <v>1385</v>
      </c>
      <c r="BE105" s="472" t="s">
        <v>1385</v>
      </c>
      <c r="BF105" s="472">
        <v>34908.300000000003</v>
      </c>
      <c r="BG105" s="472">
        <v>0</v>
      </c>
      <c r="BH105" s="472" t="s">
        <v>1385</v>
      </c>
      <c r="BI105" s="510">
        <v>0</v>
      </c>
      <c r="BJ105" s="510">
        <v>0</v>
      </c>
      <c r="BK105" s="510">
        <v>0</v>
      </c>
      <c r="BL105" s="510">
        <v>3325</v>
      </c>
      <c r="BM105" s="510">
        <v>0</v>
      </c>
      <c r="BN105" s="510">
        <v>5000</v>
      </c>
      <c r="BO105" s="510">
        <v>0</v>
      </c>
      <c r="BP105" s="510">
        <v>0</v>
      </c>
      <c r="BQ105" s="510">
        <v>0</v>
      </c>
      <c r="BR105" s="510">
        <v>0</v>
      </c>
      <c r="BS105" s="510">
        <v>0</v>
      </c>
      <c r="BT105" s="510">
        <v>0</v>
      </c>
      <c r="BU105" s="510">
        <v>0</v>
      </c>
      <c r="BV105" s="510">
        <v>0</v>
      </c>
      <c r="BW105" s="510">
        <v>0</v>
      </c>
      <c r="BX105" s="510">
        <v>30000</v>
      </c>
      <c r="BY105" s="1011">
        <v>0</v>
      </c>
      <c r="BZ105" s="510">
        <v>0</v>
      </c>
      <c r="CA105" s="1011">
        <v>0</v>
      </c>
      <c r="CB105" s="510">
        <v>22000</v>
      </c>
      <c r="CC105" s="1011">
        <v>0</v>
      </c>
      <c r="CD105" s="510">
        <v>0</v>
      </c>
      <c r="CE105" s="1011">
        <v>0</v>
      </c>
      <c r="CF105" s="510">
        <v>46738.8</v>
      </c>
      <c r="CG105" s="1011">
        <v>0</v>
      </c>
      <c r="CH105" s="510">
        <v>0</v>
      </c>
      <c r="CI105" s="1011">
        <v>0</v>
      </c>
    </row>
    <row r="106" spans="1:87" ht="12.75" customHeight="1" x14ac:dyDescent="0.2">
      <c r="A106" s="449">
        <v>46</v>
      </c>
      <c r="B106" s="453">
        <v>16497</v>
      </c>
      <c r="C106" s="454" t="s">
        <v>2238</v>
      </c>
      <c r="D106" s="454" t="s">
        <v>517</v>
      </c>
      <c r="E106" s="454" t="s">
        <v>2239</v>
      </c>
      <c r="F106" s="454" t="s">
        <v>528</v>
      </c>
      <c r="G106" s="454" t="s">
        <v>12495</v>
      </c>
      <c r="H106" s="455">
        <v>1172017000199</v>
      </c>
      <c r="I106" s="462">
        <v>38262</v>
      </c>
      <c r="J106" s="457">
        <v>37374524</v>
      </c>
      <c r="K106" s="454" t="s">
        <v>2240</v>
      </c>
      <c r="L106" s="458" t="s">
        <v>1446</v>
      </c>
      <c r="M106" s="454" t="s">
        <v>2241</v>
      </c>
      <c r="N106" s="459">
        <v>5211060</v>
      </c>
      <c r="O106" s="460">
        <v>39171388</v>
      </c>
      <c r="P106" s="462">
        <v>281770</v>
      </c>
      <c r="Q106" s="462">
        <v>46</v>
      </c>
      <c r="R106" s="462">
        <v>43938</v>
      </c>
      <c r="S106" s="463">
        <v>759</v>
      </c>
      <c r="T106" s="464">
        <v>5.4</v>
      </c>
      <c r="U106" s="465">
        <v>4098.6000000000004</v>
      </c>
      <c r="V106" s="465">
        <v>18720</v>
      </c>
      <c r="W106" s="466">
        <v>0</v>
      </c>
      <c r="X106" s="467">
        <v>1</v>
      </c>
      <c r="Y106" s="466">
        <v>34227.9</v>
      </c>
      <c r="Z106" s="468" t="s">
        <v>516</v>
      </c>
      <c r="AA106" s="466">
        <v>127847.5</v>
      </c>
      <c r="AB106" s="466">
        <v>127847.5</v>
      </c>
      <c r="AC106" s="467">
        <v>0</v>
      </c>
      <c r="AD106" s="466">
        <v>0</v>
      </c>
      <c r="AE106" s="468" t="s">
        <v>516</v>
      </c>
      <c r="AF106" s="466">
        <v>0</v>
      </c>
      <c r="AG106" s="466">
        <v>0</v>
      </c>
      <c r="AH106" s="466">
        <v>18597.5</v>
      </c>
      <c r="AI106" s="466">
        <v>4859.8</v>
      </c>
      <c r="AJ106" s="469" t="s">
        <v>2242</v>
      </c>
      <c r="AK106" s="470" t="s">
        <v>2241</v>
      </c>
      <c r="AL106" s="471" t="s">
        <v>2243</v>
      </c>
      <c r="AM106" s="470" t="s">
        <v>12496</v>
      </c>
      <c r="AN106" s="470" t="s">
        <v>2244</v>
      </c>
      <c r="AO106" s="470" t="s">
        <v>12497</v>
      </c>
      <c r="AP106" s="470" t="s">
        <v>2245</v>
      </c>
      <c r="AQ106" s="470" t="s">
        <v>2238</v>
      </c>
      <c r="AR106" s="472" t="s">
        <v>515</v>
      </c>
      <c r="AS106" s="473" t="s">
        <v>1385</v>
      </c>
      <c r="AT106" s="472" t="s">
        <v>517</v>
      </c>
      <c r="AU106" s="472" t="s">
        <v>420</v>
      </c>
      <c r="AV106" s="472">
        <v>2020</v>
      </c>
      <c r="AW106" s="474" t="s">
        <v>15078</v>
      </c>
      <c r="AX106" s="475" t="s">
        <v>15079</v>
      </c>
      <c r="AY106" s="515">
        <v>1</v>
      </c>
      <c r="AZ106" s="474" t="s">
        <v>15079</v>
      </c>
      <c r="BA106" s="472" t="s">
        <v>517</v>
      </c>
      <c r="BB106" s="472" t="s">
        <v>1385</v>
      </c>
      <c r="BC106" s="472" t="s">
        <v>1385</v>
      </c>
      <c r="BD106" s="472" t="s">
        <v>1385</v>
      </c>
      <c r="BE106" s="472" t="s">
        <v>1385</v>
      </c>
      <c r="BF106" s="472">
        <v>34227.9</v>
      </c>
      <c r="BG106" s="472">
        <v>0</v>
      </c>
      <c r="BH106" s="472" t="s">
        <v>1385</v>
      </c>
      <c r="BI106" s="510">
        <v>0</v>
      </c>
      <c r="BJ106" s="510">
        <v>0</v>
      </c>
      <c r="BK106" s="510">
        <v>0</v>
      </c>
      <c r="BL106" s="510">
        <v>0</v>
      </c>
      <c r="BM106" s="510">
        <v>0</v>
      </c>
      <c r="BN106" s="510">
        <v>5000</v>
      </c>
      <c r="BO106" s="510">
        <v>0</v>
      </c>
      <c r="BP106" s="510">
        <v>0</v>
      </c>
      <c r="BQ106" s="510">
        <v>0</v>
      </c>
      <c r="BR106" s="510">
        <v>0</v>
      </c>
      <c r="BS106" s="510">
        <v>0</v>
      </c>
      <c r="BT106" s="510">
        <v>0</v>
      </c>
      <c r="BU106" s="510">
        <v>0</v>
      </c>
      <c r="BV106" s="510">
        <v>0</v>
      </c>
      <c r="BW106" s="510">
        <v>0</v>
      </c>
      <c r="BX106" s="510">
        <v>30000</v>
      </c>
      <c r="BY106" s="1011">
        <v>0</v>
      </c>
      <c r="BZ106" s="510">
        <v>0</v>
      </c>
      <c r="CA106" s="1011">
        <v>0</v>
      </c>
      <c r="CB106" s="510">
        <v>22000</v>
      </c>
      <c r="CC106" s="1011">
        <v>0</v>
      </c>
      <c r="CD106" s="510">
        <v>0</v>
      </c>
      <c r="CE106" s="1011">
        <v>0</v>
      </c>
      <c r="CF106" s="510">
        <v>41619.599999999999</v>
      </c>
      <c r="CG106" s="1011">
        <v>0</v>
      </c>
      <c r="CH106" s="510">
        <v>0</v>
      </c>
      <c r="CI106" s="1011">
        <v>0</v>
      </c>
    </row>
    <row r="107" spans="1:87" ht="12.75" customHeight="1" x14ac:dyDescent="0.2">
      <c r="A107" s="449">
        <v>40</v>
      </c>
      <c r="B107" s="453">
        <v>16501</v>
      </c>
      <c r="C107" s="454" t="s">
        <v>2246</v>
      </c>
      <c r="D107" s="454" t="s">
        <v>517</v>
      </c>
      <c r="E107" s="454" t="s">
        <v>2247</v>
      </c>
      <c r="F107" s="454" t="s">
        <v>521</v>
      </c>
      <c r="G107" s="454" t="s">
        <v>12498</v>
      </c>
      <c r="H107" s="455">
        <v>1344893000155</v>
      </c>
      <c r="I107" s="462">
        <v>35276</v>
      </c>
      <c r="J107" s="457">
        <v>37549766</v>
      </c>
      <c r="K107" s="454" t="s">
        <v>2248</v>
      </c>
      <c r="L107" s="458" t="s">
        <v>1446</v>
      </c>
      <c r="M107" s="454" t="s">
        <v>2249</v>
      </c>
      <c r="N107" s="459">
        <v>4860320</v>
      </c>
      <c r="O107" s="460">
        <v>59713576</v>
      </c>
      <c r="P107" s="462">
        <v>96507</v>
      </c>
      <c r="Q107" s="462">
        <v>70</v>
      </c>
      <c r="R107" s="462">
        <v>43934</v>
      </c>
      <c r="S107" s="463">
        <v>793</v>
      </c>
      <c r="T107" s="464">
        <v>5.4</v>
      </c>
      <c r="U107" s="465">
        <v>4282.2</v>
      </c>
      <c r="V107" s="465">
        <v>18720</v>
      </c>
      <c r="W107" s="466">
        <v>0</v>
      </c>
      <c r="X107" s="467">
        <v>1</v>
      </c>
      <c r="Y107" s="466">
        <v>34503.300000000003</v>
      </c>
      <c r="Z107" s="468" t="s">
        <v>516</v>
      </c>
      <c r="AA107" s="466">
        <v>132172.9</v>
      </c>
      <c r="AB107" s="466">
        <v>132172.9</v>
      </c>
      <c r="AC107" s="467">
        <v>0</v>
      </c>
      <c r="AD107" s="466">
        <v>0</v>
      </c>
      <c r="AE107" s="468" t="s">
        <v>516</v>
      </c>
      <c r="AF107" s="466">
        <v>2000</v>
      </c>
      <c r="AG107" s="466">
        <v>2000</v>
      </c>
      <c r="AH107" s="466">
        <v>21389.38</v>
      </c>
      <c r="AI107" s="466">
        <v>9065.07</v>
      </c>
      <c r="AJ107" s="469" t="s">
        <v>1624</v>
      </c>
      <c r="AK107" s="470" t="s">
        <v>1625</v>
      </c>
      <c r="AL107" s="471" t="s">
        <v>2250</v>
      </c>
      <c r="AM107" s="470" t="s">
        <v>12499</v>
      </c>
      <c r="AN107" s="470" t="s">
        <v>1385</v>
      </c>
      <c r="AO107" s="470" t="s">
        <v>12500</v>
      </c>
      <c r="AP107" s="470" t="s">
        <v>2251</v>
      </c>
      <c r="AQ107" s="470" t="s">
        <v>2246</v>
      </c>
      <c r="AR107" s="472" t="s">
        <v>515</v>
      </c>
      <c r="AS107" s="473" t="s">
        <v>1385</v>
      </c>
      <c r="AT107" s="472" t="s">
        <v>517</v>
      </c>
      <c r="AU107" s="472" t="s">
        <v>420</v>
      </c>
      <c r="AV107" s="472">
        <v>2020</v>
      </c>
      <c r="AW107" s="474" t="s">
        <v>15078</v>
      </c>
      <c r="AX107" s="475" t="s">
        <v>15079</v>
      </c>
      <c r="AY107" s="515">
        <v>1</v>
      </c>
      <c r="AZ107" s="474" t="s">
        <v>15079</v>
      </c>
      <c r="BA107" s="472" t="s">
        <v>517</v>
      </c>
      <c r="BB107" s="472" t="s">
        <v>1385</v>
      </c>
      <c r="BC107" s="472" t="s">
        <v>1385</v>
      </c>
      <c r="BD107" s="472" t="s">
        <v>1385</v>
      </c>
      <c r="BE107" s="472" t="s">
        <v>1385</v>
      </c>
      <c r="BF107" s="472">
        <v>34503.300000000003</v>
      </c>
      <c r="BG107" s="472">
        <v>0</v>
      </c>
      <c r="BH107" s="472" t="s">
        <v>1385</v>
      </c>
      <c r="BI107" s="510">
        <v>0</v>
      </c>
      <c r="BJ107" s="510">
        <v>0</v>
      </c>
      <c r="BK107" s="510">
        <v>0</v>
      </c>
      <c r="BL107" s="510">
        <v>3500</v>
      </c>
      <c r="BM107" s="510">
        <v>0</v>
      </c>
      <c r="BN107" s="510">
        <v>5000</v>
      </c>
      <c r="BO107" s="510">
        <v>0</v>
      </c>
      <c r="BP107" s="510">
        <v>2000</v>
      </c>
      <c r="BQ107" s="510">
        <v>0</v>
      </c>
      <c r="BR107" s="510">
        <v>0</v>
      </c>
      <c r="BS107" s="510">
        <v>0</v>
      </c>
      <c r="BT107" s="510">
        <v>0</v>
      </c>
      <c r="BU107" s="510">
        <v>2500</v>
      </c>
      <c r="BV107" s="510">
        <v>2500</v>
      </c>
      <c r="BW107" s="510">
        <v>0</v>
      </c>
      <c r="BX107" s="510">
        <v>30000</v>
      </c>
      <c r="BY107" s="1011">
        <v>0</v>
      </c>
      <c r="BZ107" s="510">
        <v>0</v>
      </c>
      <c r="CA107" s="1011">
        <v>0</v>
      </c>
      <c r="CB107" s="510">
        <v>22000</v>
      </c>
      <c r="CC107" s="1011">
        <v>0</v>
      </c>
      <c r="CD107" s="510">
        <v>0</v>
      </c>
      <c r="CE107" s="1011">
        <v>0</v>
      </c>
      <c r="CF107" s="510">
        <v>45669.599999999999</v>
      </c>
      <c r="CG107" s="1011">
        <v>0</v>
      </c>
      <c r="CH107" s="510">
        <v>0</v>
      </c>
      <c r="CI107" s="1011">
        <v>0</v>
      </c>
    </row>
    <row r="108" spans="1:87" ht="12.75" customHeight="1" x14ac:dyDescent="0.2">
      <c r="A108" s="449">
        <v>85</v>
      </c>
      <c r="B108" s="453">
        <v>16519</v>
      </c>
      <c r="C108" s="454" t="s">
        <v>2252</v>
      </c>
      <c r="D108" s="454" t="s">
        <v>2253</v>
      </c>
      <c r="E108" s="454" t="s">
        <v>2254</v>
      </c>
      <c r="F108" s="454" t="s">
        <v>513</v>
      </c>
      <c r="G108" s="454" t="s">
        <v>12501</v>
      </c>
      <c r="H108" s="455">
        <v>1378281000183</v>
      </c>
      <c r="I108" s="462">
        <v>35240</v>
      </c>
      <c r="J108" s="457">
        <v>25076566</v>
      </c>
      <c r="K108" s="454" t="s">
        <v>2255</v>
      </c>
      <c r="L108" s="458">
        <v>371</v>
      </c>
      <c r="M108" s="454" t="s">
        <v>2256</v>
      </c>
      <c r="N108" s="459">
        <v>3968080</v>
      </c>
      <c r="O108" s="460">
        <v>21433999</v>
      </c>
      <c r="P108" s="462">
        <v>151044</v>
      </c>
      <c r="Q108" s="462">
        <v>85</v>
      </c>
      <c r="R108" s="462">
        <v>43937</v>
      </c>
      <c r="S108" s="463">
        <v>899</v>
      </c>
      <c r="T108" s="464">
        <v>5.4</v>
      </c>
      <c r="U108" s="465">
        <v>4854.6000000000004</v>
      </c>
      <c r="V108" s="465">
        <v>18720</v>
      </c>
      <c r="W108" s="466">
        <v>0</v>
      </c>
      <c r="X108" s="467">
        <v>1</v>
      </c>
      <c r="Y108" s="466">
        <v>35361.9</v>
      </c>
      <c r="Z108" s="468" t="s">
        <v>516</v>
      </c>
      <c r="AA108" s="466">
        <v>150951.5</v>
      </c>
      <c r="AB108" s="466">
        <v>150951.5</v>
      </c>
      <c r="AC108" s="467">
        <v>0</v>
      </c>
      <c r="AD108" s="466">
        <v>0</v>
      </c>
      <c r="AE108" s="468" t="s">
        <v>516</v>
      </c>
      <c r="AF108" s="466">
        <v>0</v>
      </c>
      <c r="AG108" s="466">
        <v>0</v>
      </c>
      <c r="AH108" s="466">
        <v>31875.11</v>
      </c>
      <c r="AI108" s="466">
        <v>14693.07</v>
      </c>
      <c r="AJ108" s="469" t="s">
        <v>1972</v>
      </c>
      <c r="AK108" s="470" t="s">
        <v>1973</v>
      </c>
      <c r="AL108" s="471" t="s">
        <v>2257</v>
      </c>
      <c r="AM108" s="470" t="s">
        <v>12502</v>
      </c>
      <c r="AN108" s="470" t="s">
        <v>1385</v>
      </c>
      <c r="AO108" s="470" t="s">
        <v>2258</v>
      </c>
      <c r="AP108" s="470" t="s">
        <v>2259</v>
      </c>
      <c r="AQ108" s="470" t="s">
        <v>2252</v>
      </c>
      <c r="AR108" s="472" t="s">
        <v>515</v>
      </c>
      <c r="AS108" s="473" t="s">
        <v>1385</v>
      </c>
      <c r="AT108" s="472" t="s">
        <v>2253</v>
      </c>
      <c r="AU108" s="472" t="s">
        <v>420</v>
      </c>
      <c r="AV108" s="472">
        <v>2020</v>
      </c>
      <c r="AW108" s="474" t="s">
        <v>15078</v>
      </c>
      <c r="AX108" s="475" t="s">
        <v>15079</v>
      </c>
      <c r="AY108" s="515">
        <v>1</v>
      </c>
      <c r="AZ108" s="474" t="s">
        <v>15079</v>
      </c>
      <c r="BA108" s="472" t="s">
        <v>2253</v>
      </c>
      <c r="BB108" s="472" t="s">
        <v>1385</v>
      </c>
      <c r="BC108" s="472" t="s">
        <v>1385</v>
      </c>
      <c r="BD108" s="472" t="s">
        <v>1385</v>
      </c>
      <c r="BE108" s="472" t="s">
        <v>1385</v>
      </c>
      <c r="BF108" s="472">
        <v>35361.9</v>
      </c>
      <c r="BG108" s="472">
        <v>0</v>
      </c>
      <c r="BH108" s="472" t="s">
        <v>1385</v>
      </c>
      <c r="BI108" s="510">
        <v>0</v>
      </c>
      <c r="BJ108" s="510">
        <v>0</v>
      </c>
      <c r="BK108" s="510">
        <v>0</v>
      </c>
      <c r="BL108" s="510">
        <v>0</v>
      </c>
      <c r="BM108" s="510">
        <v>0</v>
      </c>
      <c r="BN108" s="510">
        <v>5000</v>
      </c>
      <c r="BO108" s="510">
        <v>0</v>
      </c>
      <c r="BP108" s="510">
        <v>0</v>
      </c>
      <c r="BQ108" s="510">
        <v>0</v>
      </c>
      <c r="BR108" s="510">
        <v>0</v>
      </c>
      <c r="BS108" s="510">
        <v>0</v>
      </c>
      <c r="BT108" s="510">
        <v>0</v>
      </c>
      <c r="BU108" s="510">
        <v>0</v>
      </c>
      <c r="BV108" s="510">
        <v>0</v>
      </c>
      <c r="BW108" s="510">
        <v>0</v>
      </c>
      <c r="BX108" s="510">
        <v>30000</v>
      </c>
      <c r="BY108" s="1011">
        <v>0</v>
      </c>
      <c r="BZ108" s="510">
        <v>0</v>
      </c>
      <c r="CA108" s="1011">
        <v>0</v>
      </c>
      <c r="CB108" s="510">
        <v>22000</v>
      </c>
      <c r="CC108" s="1011">
        <v>0</v>
      </c>
      <c r="CD108" s="510">
        <v>0</v>
      </c>
      <c r="CE108" s="1011">
        <v>0</v>
      </c>
      <c r="CF108" s="510">
        <v>63589.599999999999</v>
      </c>
      <c r="CG108" s="1011">
        <v>0</v>
      </c>
      <c r="CH108" s="510">
        <v>0</v>
      </c>
      <c r="CI108" s="1011">
        <v>0</v>
      </c>
    </row>
    <row r="109" spans="1:87" ht="12.75" customHeight="1" x14ac:dyDescent="0.2">
      <c r="A109" s="449">
        <v>38</v>
      </c>
      <c r="B109" s="453">
        <v>16527</v>
      </c>
      <c r="C109" s="454" t="s">
        <v>2260</v>
      </c>
      <c r="D109" s="454" t="s">
        <v>517</v>
      </c>
      <c r="E109" s="454" t="s">
        <v>2261</v>
      </c>
      <c r="F109" s="454" t="s">
        <v>523</v>
      </c>
      <c r="G109" s="454" t="s">
        <v>12503</v>
      </c>
      <c r="H109" s="455">
        <v>1880573000110</v>
      </c>
      <c r="I109" s="462">
        <v>35587</v>
      </c>
      <c r="J109" s="457">
        <v>37615637</v>
      </c>
      <c r="K109" s="454" t="s">
        <v>2262</v>
      </c>
      <c r="L109" s="458">
        <v>275</v>
      </c>
      <c r="M109" s="454" t="s">
        <v>523</v>
      </c>
      <c r="N109" s="459">
        <v>8485440</v>
      </c>
      <c r="O109" s="460">
        <v>22821292</v>
      </c>
      <c r="P109" s="462">
        <v>264213</v>
      </c>
      <c r="Q109" s="462">
        <v>38</v>
      </c>
      <c r="R109" s="462">
        <v>43921</v>
      </c>
      <c r="S109" s="463">
        <v>967</v>
      </c>
      <c r="T109" s="464">
        <v>5.4</v>
      </c>
      <c r="U109" s="465">
        <v>5221.8</v>
      </c>
      <c r="V109" s="465">
        <v>20340</v>
      </c>
      <c r="W109" s="466">
        <v>0</v>
      </c>
      <c r="X109" s="467">
        <v>1</v>
      </c>
      <c r="Y109" s="466">
        <v>38342.699999999997</v>
      </c>
      <c r="Z109" s="468" t="s">
        <v>516</v>
      </c>
      <c r="AA109" s="466">
        <v>141575.1</v>
      </c>
      <c r="AB109" s="466">
        <v>141575.1</v>
      </c>
      <c r="AC109" s="467">
        <v>0</v>
      </c>
      <c r="AD109" s="466">
        <v>0</v>
      </c>
      <c r="AE109" s="468" t="s">
        <v>516</v>
      </c>
      <c r="AF109" s="466">
        <v>1200</v>
      </c>
      <c r="AG109" s="466">
        <v>1200</v>
      </c>
      <c r="AH109" s="466">
        <v>15704.06</v>
      </c>
      <c r="AI109" s="466">
        <v>5525.84</v>
      </c>
      <c r="AJ109" s="469" t="s">
        <v>1674</v>
      </c>
      <c r="AK109" s="470" t="s">
        <v>518</v>
      </c>
      <c r="AL109" s="471" t="s">
        <v>2263</v>
      </c>
      <c r="AM109" s="470" t="s">
        <v>2264</v>
      </c>
      <c r="AN109" s="470" t="s">
        <v>1385</v>
      </c>
      <c r="AO109" s="470" t="s">
        <v>12504</v>
      </c>
      <c r="AP109" s="470" t="s">
        <v>2265</v>
      </c>
      <c r="AQ109" s="470" t="s">
        <v>2260</v>
      </c>
      <c r="AR109" s="472" t="s">
        <v>515</v>
      </c>
      <c r="AS109" s="473" t="s">
        <v>1385</v>
      </c>
      <c r="AT109" s="472" t="s">
        <v>517</v>
      </c>
      <c r="AU109" s="472" t="s">
        <v>420</v>
      </c>
      <c r="AV109" s="472">
        <v>2020</v>
      </c>
      <c r="AW109" s="474" t="s">
        <v>15078</v>
      </c>
      <c r="AX109" s="475" t="s">
        <v>15079</v>
      </c>
      <c r="AY109" s="515">
        <v>1</v>
      </c>
      <c r="AZ109" s="474" t="s">
        <v>15079</v>
      </c>
      <c r="BA109" s="472" t="s">
        <v>517</v>
      </c>
      <c r="BB109" s="472" t="s">
        <v>1385</v>
      </c>
      <c r="BC109" s="472" t="s">
        <v>1385</v>
      </c>
      <c r="BD109" s="472" t="s">
        <v>1385</v>
      </c>
      <c r="BE109" s="472" t="s">
        <v>1385</v>
      </c>
      <c r="BF109" s="472">
        <v>38342.699999999997</v>
      </c>
      <c r="BG109" s="472">
        <v>0</v>
      </c>
      <c r="BH109" s="472" t="s">
        <v>1385</v>
      </c>
      <c r="BI109" s="510">
        <v>0</v>
      </c>
      <c r="BJ109" s="510">
        <v>0</v>
      </c>
      <c r="BK109" s="510">
        <v>0</v>
      </c>
      <c r="BL109" s="510">
        <v>0</v>
      </c>
      <c r="BM109" s="510">
        <v>0</v>
      </c>
      <c r="BN109" s="510">
        <v>5000</v>
      </c>
      <c r="BO109" s="510">
        <v>800</v>
      </c>
      <c r="BP109" s="510">
        <v>1200</v>
      </c>
      <c r="BQ109" s="510">
        <v>0</v>
      </c>
      <c r="BR109" s="510">
        <v>0</v>
      </c>
      <c r="BS109" s="510">
        <v>0</v>
      </c>
      <c r="BT109" s="510">
        <v>0</v>
      </c>
      <c r="BU109" s="510">
        <v>2500</v>
      </c>
      <c r="BV109" s="510">
        <v>2500</v>
      </c>
      <c r="BW109" s="510">
        <v>0</v>
      </c>
      <c r="BX109" s="510">
        <v>30000</v>
      </c>
      <c r="BY109" s="1011">
        <v>0</v>
      </c>
      <c r="BZ109" s="510">
        <v>0</v>
      </c>
      <c r="CA109" s="1011">
        <v>0</v>
      </c>
      <c r="CB109" s="510">
        <v>22000</v>
      </c>
      <c r="CC109" s="1011">
        <v>0</v>
      </c>
      <c r="CD109" s="510">
        <v>0</v>
      </c>
      <c r="CE109" s="1011">
        <v>0</v>
      </c>
      <c r="CF109" s="510">
        <v>50432.4</v>
      </c>
      <c r="CG109" s="1011">
        <v>0</v>
      </c>
      <c r="CH109" s="510">
        <v>0</v>
      </c>
      <c r="CI109" s="1011">
        <v>0</v>
      </c>
    </row>
    <row r="110" spans="1:87" ht="12.75" customHeight="1" x14ac:dyDescent="0.2">
      <c r="A110" s="449">
        <v>55</v>
      </c>
      <c r="B110" s="453">
        <v>16713</v>
      </c>
      <c r="C110" s="454" t="s">
        <v>2266</v>
      </c>
      <c r="D110" s="454" t="s">
        <v>517</v>
      </c>
      <c r="E110" s="454" t="s">
        <v>2266</v>
      </c>
      <c r="F110" s="454" t="s">
        <v>520</v>
      </c>
      <c r="G110" s="454" t="s">
        <v>12505</v>
      </c>
      <c r="H110" s="455">
        <v>1283550000128</v>
      </c>
      <c r="I110" s="462">
        <v>35243</v>
      </c>
      <c r="J110" s="457">
        <v>37621165</v>
      </c>
      <c r="K110" s="454" t="s">
        <v>2267</v>
      </c>
      <c r="L110" s="458">
        <v>550</v>
      </c>
      <c r="M110" s="454" t="s">
        <v>2268</v>
      </c>
      <c r="N110" s="459">
        <v>5821140</v>
      </c>
      <c r="O110" s="460">
        <v>58911391</v>
      </c>
      <c r="P110" s="462">
        <v>299874</v>
      </c>
      <c r="Q110" s="462">
        <v>120</v>
      </c>
      <c r="R110" s="462">
        <v>43979</v>
      </c>
      <c r="S110" s="463">
        <v>821</v>
      </c>
      <c r="T110" s="464">
        <v>5.4</v>
      </c>
      <c r="U110" s="465">
        <v>4433.3999999999996</v>
      </c>
      <c r="V110" s="465">
        <v>18720</v>
      </c>
      <c r="W110" s="466">
        <v>0</v>
      </c>
      <c r="X110" s="467">
        <v>1</v>
      </c>
      <c r="Y110" s="466">
        <v>34730.1</v>
      </c>
      <c r="Z110" s="468" t="s">
        <v>516</v>
      </c>
      <c r="AA110" s="466">
        <v>134274.1</v>
      </c>
      <c r="AB110" s="466">
        <v>134274.1</v>
      </c>
      <c r="AC110" s="467">
        <v>0</v>
      </c>
      <c r="AD110" s="466">
        <v>0</v>
      </c>
      <c r="AE110" s="468" t="s">
        <v>516</v>
      </c>
      <c r="AF110" s="466">
        <v>1400</v>
      </c>
      <c r="AG110" s="466">
        <v>1400</v>
      </c>
      <c r="AH110" s="466">
        <v>549.6</v>
      </c>
      <c r="AI110" s="466">
        <v>6946.02</v>
      </c>
      <c r="AJ110" s="469" t="s">
        <v>1813</v>
      </c>
      <c r="AK110" s="470" t="s">
        <v>1814</v>
      </c>
      <c r="AL110" s="471" t="s">
        <v>2269</v>
      </c>
      <c r="AM110" s="470" t="s">
        <v>2270</v>
      </c>
      <c r="AN110" s="470" t="s">
        <v>2271</v>
      </c>
      <c r="AO110" s="470" t="s">
        <v>2272</v>
      </c>
      <c r="AP110" s="470" t="s">
        <v>2273</v>
      </c>
      <c r="AQ110" s="470" t="s">
        <v>2266</v>
      </c>
      <c r="AR110" s="472" t="s">
        <v>515</v>
      </c>
      <c r="AS110" s="473" t="s">
        <v>1385</v>
      </c>
      <c r="AT110" s="472" t="s">
        <v>517</v>
      </c>
      <c r="AU110" s="472" t="s">
        <v>420</v>
      </c>
      <c r="AV110" s="472">
        <v>2020</v>
      </c>
      <c r="AW110" s="474" t="s">
        <v>15078</v>
      </c>
      <c r="AX110" s="475" t="s">
        <v>15079</v>
      </c>
      <c r="AY110" s="515">
        <v>1</v>
      </c>
      <c r="AZ110" s="474" t="s">
        <v>15079</v>
      </c>
      <c r="BA110" s="472" t="s">
        <v>517</v>
      </c>
      <c r="BB110" s="472" t="s">
        <v>1385</v>
      </c>
      <c r="BC110" s="472" t="s">
        <v>1385</v>
      </c>
      <c r="BD110" s="472" t="s">
        <v>1385</v>
      </c>
      <c r="BE110" s="472" t="s">
        <v>1385</v>
      </c>
      <c r="BF110" s="472">
        <v>34730.1</v>
      </c>
      <c r="BG110" s="472">
        <v>0</v>
      </c>
      <c r="BH110" s="472" t="s">
        <v>1385</v>
      </c>
      <c r="BI110" s="510">
        <v>0</v>
      </c>
      <c r="BJ110" s="510">
        <v>0</v>
      </c>
      <c r="BK110" s="510">
        <v>0</v>
      </c>
      <c r="BL110" s="510">
        <v>106.3</v>
      </c>
      <c r="BM110" s="510">
        <v>0</v>
      </c>
      <c r="BN110" s="510">
        <v>5000</v>
      </c>
      <c r="BO110" s="510">
        <v>600</v>
      </c>
      <c r="BP110" s="510">
        <v>1400</v>
      </c>
      <c r="BQ110" s="510">
        <v>0</v>
      </c>
      <c r="BR110" s="510">
        <v>0</v>
      </c>
      <c r="BS110" s="510">
        <v>0</v>
      </c>
      <c r="BT110" s="510">
        <v>0</v>
      </c>
      <c r="BU110" s="510">
        <v>0</v>
      </c>
      <c r="BV110" s="510">
        <v>0</v>
      </c>
      <c r="BW110" s="510">
        <v>0</v>
      </c>
      <c r="BX110" s="510">
        <v>30000</v>
      </c>
      <c r="BY110" s="1011">
        <v>0</v>
      </c>
      <c r="BZ110" s="510">
        <v>0</v>
      </c>
      <c r="CA110" s="1011">
        <v>0</v>
      </c>
      <c r="CB110" s="510">
        <v>22000</v>
      </c>
      <c r="CC110" s="1011">
        <v>0</v>
      </c>
      <c r="CD110" s="510">
        <v>0</v>
      </c>
      <c r="CE110" s="1011">
        <v>0</v>
      </c>
      <c r="CF110" s="510">
        <v>46944</v>
      </c>
      <c r="CG110" s="1011">
        <v>0</v>
      </c>
      <c r="CH110" s="510">
        <v>0</v>
      </c>
      <c r="CI110" s="1011">
        <v>0</v>
      </c>
    </row>
    <row r="111" spans="1:87" ht="12.75" customHeight="1" x14ac:dyDescent="0.2">
      <c r="A111" s="449">
        <v>71</v>
      </c>
      <c r="B111" s="453">
        <v>16721</v>
      </c>
      <c r="C111" s="454" t="s">
        <v>2274</v>
      </c>
      <c r="D111" s="454" t="s">
        <v>1390</v>
      </c>
      <c r="E111" s="454" t="s">
        <v>2275</v>
      </c>
      <c r="F111" s="454" t="s">
        <v>525</v>
      </c>
      <c r="G111" s="454" t="s">
        <v>12506</v>
      </c>
      <c r="H111" s="455">
        <v>1428004000138</v>
      </c>
      <c r="I111" s="462">
        <v>35319</v>
      </c>
      <c r="J111" s="457">
        <v>37587480</v>
      </c>
      <c r="K111" s="454" t="s">
        <v>2277</v>
      </c>
      <c r="L111" s="458">
        <v>1000</v>
      </c>
      <c r="M111" s="454" t="s">
        <v>2278</v>
      </c>
      <c r="N111" s="459">
        <v>2281209</v>
      </c>
      <c r="O111" s="460">
        <v>22411533</v>
      </c>
      <c r="P111" s="462">
        <v>334955</v>
      </c>
      <c r="Q111" s="462">
        <v>71</v>
      </c>
      <c r="R111" s="462">
        <v>43950</v>
      </c>
      <c r="S111" s="463">
        <v>617</v>
      </c>
      <c r="T111" s="464">
        <v>3.6</v>
      </c>
      <c r="U111" s="465">
        <v>2221.1999999999998</v>
      </c>
      <c r="V111" s="465">
        <v>18000</v>
      </c>
      <c r="W111" s="466">
        <v>0</v>
      </c>
      <c r="X111" s="467">
        <v>1</v>
      </c>
      <c r="Y111" s="466">
        <v>30331.8</v>
      </c>
      <c r="Z111" s="468" t="s">
        <v>516</v>
      </c>
      <c r="AA111" s="466">
        <v>115824.6</v>
      </c>
      <c r="AB111" s="466">
        <v>115824.6</v>
      </c>
      <c r="AC111" s="467">
        <v>0</v>
      </c>
      <c r="AD111" s="466">
        <v>0</v>
      </c>
      <c r="AE111" s="468" t="s">
        <v>516</v>
      </c>
      <c r="AF111" s="466">
        <v>0</v>
      </c>
      <c r="AG111" s="466">
        <v>0</v>
      </c>
      <c r="AH111" s="466">
        <v>25555.72</v>
      </c>
      <c r="AI111" s="466">
        <v>10773.91</v>
      </c>
      <c r="AJ111" s="469" t="s">
        <v>1448</v>
      </c>
      <c r="AK111" s="470" t="s">
        <v>1449</v>
      </c>
      <c r="AL111" s="471" t="s">
        <v>2279</v>
      </c>
      <c r="AM111" s="470" t="s">
        <v>12507</v>
      </c>
      <c r="AN111" s="470" t="s">
        <v>2276</v>
      </c>
      <c r="AO111" s="470" t="s">
        <v>12508</v>
      </c>
      <c r="AP111" s="470" t="s">
        <v>2280</v>
      </c>
      <c r="AQ111" s="470" t="s">
        <v>2274</v>
      </c>
      <c r="AR111" s="472" t="s">
        <v>515</v>
      </c>
      <c r="AS111" s="473" t="s">
        <v>1385</v>
      </c>
      <c r="AT111" s="472" t="s">
        <v>1390</v>
      </c>
      <c r="AU111" s="472" t="s">
        <v>420</v>
      </c>
      <c r="AV111" s="472">
        <v>2020</v>
      </c>
      <c r="AW111" s="474" t="s">
        <v>15078</v>
      </c>
      <c r="AX111" s="475" t="s">
        <v>15079</v>
      </c>
      <c r="AY111" s="515">
        <v>1</v>
      </c>
      <c r="AZ111" s="474" t="s">
        <v>15079</v>
      </c>
      <c r="BA111" s="472" t="s">
        <v>1390</v>
      </c>
      <c r="BB111" s="472" t="s">
        <v>1385</v>
      </c>
      <c r="BC111" s="472" t="s">
        <v>1385</v>
      </c>
      <c r="BD111" s="472" t="s">
        <v>1385</v>
      </c>
      <c r="BE111" s="472" t="s">
        <v>1385</v>
      </c>
      <c r="BF111" s="472">
        <v>30331.8</v>
      </c>
      <c r="BG111" s="472">
        <v>0</v>
      </c>
      <c r="BH111" s="472" t="s">
        <v>1385</v>
      </c>
      <c r="BI111" s="510">
        <v>0</v>
      </c>
      <c r="BJ111" s="510">
        <v>0</v>
      </c>
      <c r="BK111" s="510">
        <v>0</v>
      </c>
      <c r="BL111" s="510">
        <v>0</v>
      </c>
      <c r="BM111" s="510">
        <v>0</v>
      </c>
      <c r="BN111" s="510">
        <v>5000</v>
      </c>
      <c r="BO111" s="510">
        <v>0</v>
      </c>
      <c r="BP111" s="510">
        <v>0</v>
      </c>
      <c r="BQ111" s="510">
        <v>0</v>
      </c>
      <c r="BR111" s="510">
        <v>0</v>
      </c>
      <c r="BS111" s="510">
        <v>0</v>
      </c>
      <c r="BT111" s="510">
        <v>0</v>
      </c>
      <c r="BU111" s="510">
        <v>0</v>
      </c>
      <c r="BV111" s="510">
        <v>0</v>
      </c>
      <c r="BW111" s="510">
        <v>0</v>
      </c>
      <c r="BX111" s="510">
        <v>30000</v>
      </c>
      <c r="BY111" s="1011">
        <v>0</v>
      </c>
      <c r="BZ111" s="510">
        <v>0</v>
      </c>
      <c r="CA111" s="1011">
        <v>0</v>
      </c>
      <c r="CB111" s="510">
        <v>0</v>
      </c>
      <c r="CC111" s="1011">
        <v>0</v>
      </c>
      <c r="CD111" s="510">
        <v>0</v>
      </c>
      <c r="CE111" s="1011">
        <v>0</v>
      </c>
      <c r="CF111" s="510">
        <v>55492.800000000003</v>
      </c>
      <c r="CG111" s="1011">
        <v>0</v>
      </c>
      <c r="CH111" s="510">
        <v>0</v>
      </c>
      <c r="CI111" s="1011">
        <v>0</v>
      </c>
    </row>
    <row r="112" spans="1:87" ht="12.75" customHeight="1" x14ac:dyDescent="0.2">
      <c r="A112" s="449">
        <v>80</v>
      </c>
      <c r="B112" s="453">
        <v>16993</v>
      </c>
      <c r="C112" s="454" t="s">
        <v>2281</v>
      </c>
      <c r="D112" s="454" t="s">
        <v>517</v>
      </c>
      <c r="E112" s="454" t="s">
        <v>2282</v>
      </c>
      <c r="F112" s="454" t="s">
        <v>526</v>
      </c>
      <c r="G112" s="454" t="s">
        <v>12509</v>
      </c>
      <c r="H112" s="455">
        <v>1693425000196</v>
      </c>
      <c r="I112" s="462">
        <v>35404</v>
      </c>
      <c r="J112" s="457">
        <v>37475410</v>
      </c>
      <c r="K112" s="454" t="s">
        <v>2283</v>
      </c>
      <c r="L112" s="458">
        <v>1233</v>
      </c>
      <c r="M112" s="454" t="s">
        <v>2284</v>
      </c>
      <c r="N112" s="459">
        <v>8111540</v>
      </c>
      <c r="O112" s="460">
        <v>29633686</v>
      </c>
      <c r="P112" s="462">
        <v>151281</v>
      </c>
      <c r="Q112" s="462">
        <v>80</v>
      </c>
      <c r="R112" s="462">
        <v>43928</v>
      </c>
      <c r="S112" s="463">
        <v>1015</v>
      </c>
      <c r="T112" s="464">
        <v>5.4</v>
      </c>
      <c r="U112" s="465">
        <v>5481</v>
      </c>
      <c r="V112" s="465">
        <v>20340</v>
      </c>
      <c r="W112" s="466">
        <v>0</v>
      </c>
      <c r="X112" s="467">
        <v>1</v>
      </c>
      <c r="Y112" s="466">
        <v>38731.5</v>
      </c>
      <c r="Z112" s="468" t="s">
        <v>516</v>
      </c>
      <c r="AA112" s="466">
        <v>142157.5</v>
      </c>
      <c r="AB112" s="466">
        <v>142157.5</v>
      </c>
      <c r="AC112" s="467">
        <v>0</v>
      </c>
      <c r="AD112" s="466">
        <v>0</v>
      </c>
      <c r="AE112" s="468" t="s">
        <v>516</v>
      </c>
      <c r="AF112" s="466">
        <v>0</v>
      </c>
      <c r="AG112" s="466">
        <v>0</v>
      </c>
      <c r="AH112" s="466">
        <v>25248.67</v>
      </c>
      <c r="AI112" s="466">
        <v>11732.96</v>
      </c>
      <c r="AJ112" s="469" t="s">
        <v>1410</v>
      </c>
      <c r="AK112" s="470" t="s">
        <v>1411</v>
      </c>
      <c r="AL112" s="471" t="s">
        <v>2285</v>
      </c>
      <c r="AM112" s="470" t="s">
        <v>2286</v>
      </c>
      <c r="AN112" s="470" t="s">
        <v>1385</v>
      </c>
      <c r="AO112" s="470" t="s">
        <v>12510</v>
      </c>
      <c r="AP112" s="470" t="s">
        <v>2287</v>
      </c>
      <c r="AQ112" s="470" t="s">
        <v>2281</v>
      </c>
      <c r="AR112" s="472" t="s">
        <v>515</v>
      </c>
      <c r="AS112" s="473" t="s">
        <v>1385</v>
      </c>
      <c r="AT112" s="472" t="s">
        <v>517</v>
      </c>
      <c r="AU112" s="472" t="s">
        <v>420</v>
      </c>
      <c r="AV112" s="472">
        <v>2020</v>
      </c>
      <c r="AW112" s="474" t="s">
        <v>15078</v>
      </c>
      <c r="AX112" s="475" t="s">
        <v>15079</v>
      </c>
      <c r="AY112" s="515">
        <v>1</v>
      </c>
      <c r="AZ112" s="474" t="s">
        <v>15079</v>
      </c>
      <c r="BA112" s="472" t="s">
        <v>517</v>
      </c>
      <c r="BB112" s="472" t="s">
        <v>1385</v>
      </c>
      <c r="BC112" s="472" t="s">
        <v>1385</v>
      </c>
      <c r="BD112" s="472" t="s">
        <v>1385</v>
      </c>
      <c r="BE112" s="472" t="s">
        <v>1385</v>
      </c>
      <c r="BF112" s="472">
        <v>38731.5</v>
      </c>
      <c r="BG112" s="472">
        <v>0</v>
      </c>
      <c r="BH112" s="472" t="s">
        <v>1385</v>
      </c>
      <c r="BI112" s="510">
        <v>0</v>
      </c>
      <c r="BJ112" s="510">
        <v>0</v>
      </c>
      <c r="BK112" s="510">
        <v>0</v>
      </c>
      <c r="BL112" s="510">
        <v>3500</v>
      </c>
      <c r="BM112" s="510">
        <v>0</v>
      </c>
      <c r="BN112" s="510">
        <v>5000</v>
      </c>
      <c r="BO112" s="510">
        <v>0</v>
      </c>
      <c r="BP112" s="510">
        <v>0</v>
      </c>
      <c r="BQ112" s="510">
        <v>0</v>
      </c>
      <c r="BR112" s="510">
        <v>0</v>
      </c>
      <c r="BS112" s="510">
        <v>0</v>
      </c>
      <c r="BT112" s="510">
        <v>0</v>
      </c>
      <c r="BU112" s="510">
        <v>2500</v>
      </c>
      <c r="BV112" s="510">
        <v>2500</v>
      </c>
      <c r="BW112" s="510">
        <v>0</v>
      </c>
      <c r="BX112" s="510">
        <v>30000</v>
      </c>
      <c r="BY112" s="1011">
        <v>0</v>
      </c>
      <c r="BZ112" s="510">
        <v>0</v>
      </c>
      <c r="CA112" s="1011">
        <v>0</v>
      </c>
      <c r="CB112" s="510">
        <v>22000</v>
      </c>
      <c r="CC112" s="1011">
        <v>0</v>
      </c>
      <c r="CD112" s="510">
        <v>0</v>
      </c>
      <c r="CE112" s="1011">
        <v>0</v>
      </c>
      <c r="CF112" s="510">
        <v>51426</v>
      </c>
      <c r="CG112" s="1011">
        <v>0</v>
      </c>
      <c r="CH112" s="510">
        <v>0</v>
      </c>
      <c r="CI112" s="1011">
        <v>0</v>
      </c>
    </row>
    <row r="113" spans="1:87" ht="12.75" customHeight="1" x14ac:dyDescent="0.2">
      <c r="A113" s="449">
        <v>88</v>
      </c>
      <c r="B113" s="453">
        <v>17272</v>
      </c>
      <c r="C113" s="454" t="s">
        <v>2288</v>
      </c>
      <c r="D113" s="454" t="s">
        <v>2253</v>
      </c>
      <c r="E113" s="454" t="s">
        <v>2289</v>
      </c>
      <c r="F113" s="454" t="s">
        <v>528</v>
      </c>
      <c r="G113" s="454" t="s">
        <v>12511</v>
      </c>
      <c r="H113" s="455">
        <v>1915010000110</v>
      </c>
      <c r="I113" s="462">
        <v>35573</v>
      </c>
      <c r="J113" s="457">
        <v>37373242</v>
      </c>
      <c r="K113" s="454" t="s">
        <v>2290</v>
      </c>
      <c r="L113" s="458">
        <v>553</v>
      </c>
      <c r="M113" s="454" t="s">
        <v>2291</v>
      </c>
      <c r="N113" s="459">
        <v>2945000</v>
      </c>
      <c r="O113" s="460">
        <v>39749320</v>
      </c>
      <c r="P113" s="462">
        <v>265961</v>
      </c>
      <c r="Q113" s="462">
        <v>88</v>
      </c>
      <c r="R113" s="462">
        <v>43938</v>
      </c>
      <c r="S113" s="463">
        <v>937</v>
      </c>
      <c r="T113" s="464">
        <v>5.4</v>
      </c>
      <c r="U113" s="465">
        <v>5059.8</v>
      </c>
      <c r="V113" s="465">
        <v>20340</v>
      </c>
      <c r="W113" s="466">
        <v>0</v>
      </c>
      <c r="X113" s="467">
        <v>1</v>
      </c>
      <c r="Y113" s="466">
        <v>38099.699999999997</v>
      </c>
      <c r="Z113" s="468" t="s">
        <v>516</v>
      </c>
      <c r="AA113" s="466">
        <v>137173.29999999999</v>
      </c>
      <c r="AB113" s="466">
        <v>137173.29999999999</v>
      </c>
      <c r="AC113" s="467">
        <v>0</v>
      </c>
      <c r="AD113" s="466">
        <v>0</v>
      </c>
      <c r="AE113" s="468" t="s">
        <v>516</v>
      </c>
      <c r="AF113" s="466">
        <v>2000</v>
      </c>
      <c r="AG113" s="466">
        <v>2000</v>
      </c>
      <c r="AH113" s="466">
        <v>25467.55</v>
      </c>
      <c r="AI113" s="466">
        <v>8414.5499999999993</v>
      </c>
      <c r="AJ113" s="469" t="s">
        <v>1571</v>
      </c>
      <c r="AK113" s="470" t="s">
        <v>528</v>
      </c>
      <c r="AL113" s="471" t="s">
        <v>2292</v>
      </c>
      <c r="AM113" s="470" t="s">
        <v>2293</v>
      </c>
      <c r="AN113" s="470" t="s">
        <v>1385</v>
      </c>
      <c r="AO113" s="470" t="s">
        <v>2294</v>
      </c>
      <c r="AP113" s="470" t="s">
        <v>2295</v>
      </c>
      <c r="AQ113" s="470" t="s">
        <v>2288</v>
      </c>
      <c r="AR113" s="472" t="s">
        <v>515</v>
      </c>
      <c r="AS113" s="473" t="s">
        <v>1385</v>
      </c>
      <c r="AT113" s="472" t="s">
        <v>2253</v>
      </c>
      <c r="AU113" s="472" t="s">
        <v>420</v>
      </c>
      <c r="AV113" s="472">
        <v>2020</v>
      </c>
      <c r="AW113" s="474" t="s">
        <v>15078</v>
      </c>
      <c r="AX113" s="475" t="s">
        <v>15079</v>
      </c>
      <c r="AY113" s="515">
        <v>1</v>
      </c>
      <c r="AZ113" s="474" t="s">
        <v>15079</v>
      </c>
      <c r="BA113" s="472" t="s">
        <v>2253</v>
      </c>
      <c r="BB113" s="472" t="s">
        <v>1385</v>
      </c>
      <c r="BC113" s="472" t="s">
        <v>1385</v>
      </c>
      <c r="BD113" s="472" t="s">
        <v>1385</v>
      </c>
      <c r="BE113" s="472" t="s">
        <v>1385</v>
      </c>
      <c r="BF113" s="472">
        <v>38099.699999999997</v>
      </c>
      <c r="BG113" s="472">
        <v>0</v>
      </c>
      <c r="BH113" s="472" t="s">
        <v>1385</v>
      </c>
      <c r="BI113" s="510">
        <v>0</v>
      </c>
      <c r="BJ113" s="510">
        <v>1845.7</v>
      </c>
      <c r="BK113" s="510">
        <v>0</v>
      </c>
      <c r="BL113" s="510">
        <v>752.13</v>
      </c>
      <c r="BM113" s="510">
        <v>0</v>
      </c>
      <c r="BN113" s="510">
        <v>2870</v>
      </c>
      <c r="BO113" s="510">
        <v>0</v>
      </c>
      <c r="BP113" s="510">
        <v>2000</v>
      </c>
      <c r="BQ113" s="510">
        <v>0</v>
      </c>
      <c r="BR113" s="510">
        <v>0</v>
      </c>
      <c r="BS113" s="510">
        <v>0</v>
      </c>
      <c r="BT113" s="510">
        <v>0</v>
      </c>
      <c r="BU113" s="510">
        <v>0</v>
      </c>
      <c r="BV113" s="510">
        <v>0</v>
      </c>
      <c r="BW113" s="510">
        <v>0</v>
      </c>
      <c r="BX113" s="510">
        <v>30000</v>
      </c>
      <c r="BY113" s="1011">
        <v>0</v>
      </c>
      <c r="BZ113" s="510">
        <v>0</v>
      </c>
      <c r="CA113" s="1011">
        <v>0</v>
      </c>
      <c r="CB113" s="510">
        <v>22000</v>
      </c>
      <c r="CC113" s="1011">
        <v>0</v>
      </c>
      <c r="CD113" s="510">
        <v>0</v>
      </c>
      <c r="CE113" s="1011">
        <v>0</v>
      </c>
      <c r="CF113" s="510">
        <v>47073.599999999999</v>
      </c>
      <c r="CG113" s="1011">
        <v>0</v>
      </c>
      <c r="CH113" s="510">
        <v>0</v>
      </c>
      <c r="CI113" s="1011">
        <v>0</v>
      </c>
    </row>
    <row r="114" spans="1:87" ht="12.75" customHeight="1" x14ac:dyDescent="0.2">
      <c r="A114" s="449">
        <v>135</v>
      </c>
      <c r="B114" s="453">
        <v>17281</v>
      </c>
      <c r="C114" s="454" t="s">
        <v>2296</v>
      </c>
      <c r="D114" s="454" t="s">
        <v>1390</v>
      </c>
      <c r="E114" s="454" t="s">
        <v>2296</v>
      </c>
      <c r="F114" s="454" t="s">
        <v>520</v>
      </c>
      <c r="G114" s="454" t="s">
        <v>12512</v>
      </c>
      <c r="H114" s="455">
        <v>1809975000128</v>
      </c>
      <c r="I114" s="462">
        <v>35549</v>
      </c>
      <c r="J114" s="457">
        <v>37616145</v>
      </c>
      <c r="K114" s="454" t="s">
        <v>2298</v>
      </c>
      <c r="L114" s="458">
        <v>365</v>
      </c>
      <c r="M114" s="454" t="s">
        <v>2299</v>
      </c>
      <c r="N114" s="459">
        <v>5886410</v>
      </c>
      <c r="O114" s="460">
        <v>58247131</v>
      </c>
      <c r="P114" s="462">
        <v>305297</v>
      </c>
      <c r="Q114" s="462">
        <v>70</v>
      </c>
      <c r="R114" s="462">
        <v>43969</v>
      </c>
      <c r="S114" s="463">
        <v>376</v>
      </c>
      <c r="T114" s="464">
        <v>3.6</v>
      </c>
      <c r="U114" s="465">
        <v>1353.6</v>
      </c>
      <c r="V114" s="465">
        <v>13680</v>
      </c>
      <c r="W114" s="466">
        <v>0</v>
      </c>
      <c r="X114" s="467">
        <v>1</v>
      </c>
      <c r="Y114" s="466">
        <v>22550.400000000001</v>
      </c>
      <c r="Z114" s="468" t="s">
        <v>516</v>
      </c>
      <c r="AA114" s="466">
        <v>100706.4</v>
      </c>
      <c r="AB114" s="466">
        <v>100706.4</v>
      </c>
      <c r="AC114" s="467">
        <v>0</v>
      </c>
      <c r="AD114" s="466">
        <v>0</v>
      </c>
      <c r="AE114" s="468" t="s">
        <v>516</v>
      </c>
      <c r="AF114" s="466">
        <v>2000</v>
      </c>
      <c r="AG114" s="466">
        <v>2000</v>
      </c>
      <c r="AH114" s="466">
        <v>17644.71</v>
      </c>
      <c r="AI114" s="466">
        <v>7521.26</v>
      </c>
      <c r="AJ114" s="469" t="s">
        <v>1515</v>
      </c>
      <c r="AK114" s="470" t="s">
        <v>1516</v>
      </c>
      <c r="AL114" s="471" t="s">
        <v>2300</v>
      </c>
      <c r="AM114" s="470" t="s">
        <v>12513</v>
      </c>
      <c r="AN114" s="470" t="s">
        <v>2297</v>
      </c>
      <c r="AO114" s="470" t="s">
        <v>2301</v>
      </c>
      <c r="AP114" s="470" t="s">
        <v>2302</v>
      </c>
      <c r="AQ114" s="470" t="s">
        <v>2296</v>
      </c>
      <c r="AR114" s="472" t="s">
        <v>515</v>
      </c>
      <c r="AS114" s="473" t="s">
        <v>1385</v>
      </c>
      <c r="AT114" s="472" t="s">
        <v>1390</v>
      </c>
      <c r="AU114" s="472" t="s">
        <v>420</v>
      </c>
      <c r="AV114" s="472">
        <v>2020</v>
      </c>
      <c r="AW114" s="474" t="s">
        <v>15078</v>
      </c>
      <c r="AX114" s="475" t="s">
        <v>15079</v>
      </c>
      <c r="AY114" s="515">
        <v>1</v>
      </c>
      <c r="AZ114" s="474" t="s">
        <v>15079</v>
      </c>
      <c r="BA114" s="472" t="s">
        <v>1390</v>
      </c>
      <c r="BB114" s="472" t="s">
        <v>1385</v>
      </c>
      <c r="BC114" s="472" t="s">
        <v>1385</v>
      </c>
      <c r="BD114" s="472" t="s">
        <v>1385</v>
      </c>
      <c r="BE114" s="472" t="s">
        <v>1385</v>
      </c>
      <c r="BF114" s="472">
        <v>22550.400000000001</v>
      </c>
      <c r="BG114" s="472">
        <v>0</v>
      </c>
      <c r="BH114" s="472" t="s">
        <v>1385</v>
      </c>
      <c r="BI114" s="510">
        <v>0</v>
      </c>
      <c r="BJ114" s="510">
        <v>322.60000000000002</v>
      </c>
      <c r="BK114" s="510">
        <v>0</v>
      </c>
      <c r="BL114" s="510">
        <v>0</v>
      </c>
      <c r="BM114" s="510">
        <v>0</v>
      </c>
      <c r="BN114" s="510">
        <v>3500</v>
      </c>
      <c r="BO114" s="510">
        <v>0</v>
      </c>
      <c r="BP114" s="510">
        <v>2000</v>
      </c>
      <c r="BQ114" s="510">
        <v>0</v>
      </c>
      <c r="BR114" s="510">
        <v>0</v>
      </c>
      <c r="BS114" s="510">
        <v>0</v>
      </c>
      <c r="BT114" s="510">
        <v>0</v>
      </c>
      <c r="BU114" s="510">
        <v>0</v>
      </c>
      <c r="BV114" s="510">
        <v>0</v>
      </c>
      <c r="BW114" s="510">
        <v>0</v>
      </c>
      <c r="BX114" s="510">
        <v>30000</v>
      </c>
      <c r="BY114" s="1011">
        <v>0</v>
      </c>
      <c r="BZ114" s="510">
        <v>0</v>
      </c>
      <c r="CA114" s="1011">
        <v>0</v>
      </c>
      <c r="CB114" s="510">
        <v>0</v>
      </c>
      <c r="CC114" s="1011">
        <v>0</v>
      </c>
      <c r="CD114" s="510">
        <v>0</v>
      </c>
      <c r="CE114" s="1011">
        <v>0</v>
      </c>
      <c r="CF114" s="510">
        <v>48156</v>
      </c>
      <c r="CG114" s="1011">
        <v>0</v>
      </c>
      <c r="CH114" s="510">
        <v>0</v>
      </c>
      <c r="CI114" s="1011">
        <v>0</v>
      </c>
    </row>
    <row r="115" spans="1:87" ht="12.75" customHeight="1" x14ac:dyDescent="0.2">
      <c r="A115" s="449">
        <v>93</v>
      </c>
      <c r="B115" s="453">
        <v>17329</v>
      </c>
      <c r="C115" s="454" t="s">
        <v>2303</v>
      </c>
      <c r="D115" s="454" t="s">
        <v>1390</v>
      </c>
      <c r="E115" s="454" t="s">
        <v>2304</v>
      </c>
      <c r="F115" s="454" t="s">
        <v>518</v>
      </c>
      <c r="G115" s="454" t="s">
        <v>12514</v>
      </c>
      <c r="H115" s="455">
        <v>2146222000142</v>
      </c>
      <c r="I115" s="462">
        <v>35640</v>
      </c>
      <c r="J115" s="457">
        <v>37470370</v>
      </c>
      <c r="K115" s="454" t="s">
        <v>2306</v>
      </c>
      <c r="L115" s="458">
        <v>636</v>
      </c>
      <c r="M115" s="454" t="s">
        <v>2307</v>
      </c>
      <c r="N115" s="459">
        <v>3570100</v>
      </c>
      <c r="O115" s="460">
        <v>27439527</v>
      </c>
      <c r="P115" s="462">
        <v>49649</v>
      </c>
      <c r="Q115" s="462">
        <v>62</v>
      </c>
      <c r="R115" s="462">
        <v>43938</v>
      </c>
      <c r="S115" s="463">
        <v>394</v>
      </c>
      <c r="T115" s="464">
        <v>3.6</v>
      </c>
      <c r="U115" s="465">
        <v>1418.4</v>
      </c>
      <c r="V115" s="465">
        <v>13680</v>
      </c>
      <c r="W115" s="466">
        <v>0</v>
      </c>
      <c r="X115" s="467">
        <v>1</v>
      </c>
      <c r="Y115" s="466">
        <v>22647.599999999999</v>
      </c>
      <c r="Z115" s="468" t="s">
        <v>516</v>
      </c>
      <c r="AA115" s="466">
        <v>97556.4</v>
      </c>
      <c r="AB115" s="466">
        <v>97556.4</v>
      </c>
      <c r="AC115" s="467">
        <v>0</v>
      </c>
      <c r="AD115" s="466">
        <v>0</v>
      </c>
      <c r="AE115" s="468" t="s">
        <v>516</v>
      </c>
      <c r="AF115" s="466">
        <v>0</v>
      </c>
      <c r="AG115" s="466">
        <v>0</v>
      </c>
      <c r="AH115" s="466">
        <v>14751.52</v>
      </c>
      <c r="AI115" s="466">
        <v>4456.6400000000003</v>
      </c>
      <c r="AJ115" s="469" t="s">
        <v>1560</v>
      </c>
      <c r="AK115" s="470" t="s">
        <v>1776</v>
      </c>
      <c r="AL115" s="471" t="s">
        <v>2308</v>
      </c>
      <c r="AM115" s="470" t="s">
        <v>2309</v>
      </c>
      <c r="AN115" s="470" t="s">
        <v>2305</v>
      </c>
      <c r="AO115" s="470" t="s">
        <v>14972</v>
      </c>
      <c r="AP115" s="470" t="s">
        <v>2310</v>
      </c>
      <c r="AQ115" s="470" t="s">
        <v>2303</v>
      </c>
      <c r="AR115" s="472" t="s">
        <v>515</v>
      </c>
      <c r="AS115" s="473" t="s">
        <v>1385</v>
      </c>
      <c r="AT115" s="472" t="s">
        <v>1390</v>
      </c>
      <c r="AU115" s="472" t="s">
        <v>420</v>
      </c>
      <c r="AV115" s="472">
        <v>2020</v>
      </c>
      <c r="AW115" s="474" t="s">
        <v>15078</v>
      </c>
      <c r="AX115" s="475" t="s">
        <v>15079</v>
      </c>
      <c r="AY115" s="515">
        <v>1</v>
      </c>
      <c r="AZ115" s="474" t="s">
        <v>15079</v>
      </c>
      <c r="BA115" s="472" t="s">
        <v>1390</v>
      </c>
      <c r="BB115" s="472" t="s">
        <v>1385</v>
      </c>
      <c r="BC115" s="472" t="s">
        <v>1385</v>
      </c>
      <c r="BD115" s="472" t="s">
        <v>1385</v>
      </c>
      <c r="BE115" s="472" t="s">
        <v>1385</v>
      </c>
      <c r="BF115" s="472">
        <v>22647.599999999999</v>
      </c>
      <c r="BG115" s="472">
        <v>0</v>
      </c>
      <c r="BH115" s="472" t="s">
        <v>1385</v>
      </c>
      <c r="BI115" s="510">
        <v>0</v>
      </c>
      <c r="BJ115" s="510">
        <v>0</v>
      </c>
      <c r="BK115" s="510">
        <v>0</v>
      </c>
      <c r="BL115" s="510">
        <v>0</v>
      </c>
      <c r="BM115" s="510">
        <v>0</v>
      </c>
      <c r="BN115" s="510">
        <v>3500</v>
      </c>
      <c r="BO115" s="510">
        <v>0</v>
      </c>
      <c r="BP115" s="510">
        <v>0</v>
      </c>
      <c r="BQ115" s="510">
        <v>0</v>
      </c>
      <c r="BR115" s="510">
        <v>0</v>
      </c>
      <c r="BS115" s="510">
        <v>0</v>
      </c>
      <c r="BT115" s="510">
        <v>0</v>
      </c>
      <c r="BU115" s="510">
        <v>0</v>
      </c>
      <c r="BV115" s="510">
        <v>0</v>
      </c>
      <c r="BW115" s="510">
        <v>0</v>
      </c>
      <c r="BX115" s="510">
        <v>30000</v>
      </c>
      <c r="BY115" s="1011">
        <v>0</v>
      </c>
      <c r="BZ115" s="510">
        <v>0</v>
      </c>
      <c r="CA115" s="1011">
        <v>0</v>
      </c>
      <c r="CB115" s="510">
        <v>0</v>
      </c>
      <c r="CC115" s="1011">
        <v>0</v>
      </c>
      <c r="CD115" s="510">
        <v>0</v>
      </c>
      <c r="CE115" s="1011">
        <v>0</v>
      </c>
      <c r="CF115" s="510">
        <v>44908.800000000003</v>
      </c>
      <c r="CG115" s="1011">
        <v>0</v>
      </c>
      <c r="CH115" s="510">
        <v>0</v>
      </c>
      <c r="CI115" s="1011">
        <v>0</v>
      </c>
    </row>
    <row r="116" spans="1:87" ht="12.75" customHeight="1" x14ac:dyDescent="0.2">
      <c r="A116" s="449">
        <v>83</v>
      </c>
      <c r="B116" s="453">
        <v>17337</v>
      </c>
      <c r="C116" s="454" t="s">
        <v>2311</v>
      </c>
      <c r="D116" s="454" t="s">
        <v>1390</v>
      </c>
      <c r="E116" s="454" t="s">
        <v>2312</v>
      </c>
      <c r="F116" s="454" t="s">
        <v>527</v>
      </c>
      <c r="G116" s="454" t="s">
        <v>12515</v>
      </c>
      <c r="H116" s="455">
        <v>2146005000152</v>
      </c>
      <c r="I116" s="462">
        <v>35683</v>
      </c>
      <c r="J116" s="457">
        <v>37588478</v>
      </c>
      <c r="K116" s="454" t="s">
        <v>2313</v>
      </c>
      <c r="L116" s="458">
        <v>990</v>
      </c>
      <c r="M116" s="454" t="s">
        <v>2314</v>
      </c>
      <c r="N116" s="459">
        <v>3318000</v>
      </c>
      <c r="O116" s="460">
        <v>22964326</v>
      </c>
      <c r="P116" s="462">
        <v>203966</v>
      </c>
      <c r="Q116" s="462">
        <v>44</v>
      </c>
      <c r="R116" s="462">
        <v>43917</v>
      </c>
      <c r="S116" s="463">
        <v>101</v>
      </c>
      <c r="T116" s="464">
        <v>3.6</v>
      </c>
      <c r="U116" s="465">
        <v>363.6</v>
      </c>
      <c r="V116" s="465">
        <v>10800</v>
      </c>
      <c r="W116" s="466">
        <v>0</v>
      </c>
      <c r="X116" s="467">
        <v>1</v>
      </c>
      <c r="Y116" s="466">
        <v>19985.400000000001</v>
      </c>
      <c r="Z116" s="468" t="s">
        <v>516</v>
      </c>
      <c r="AA116" s="466">
        <v>96582.2</v>
      </c>
      <c r="AB116" s="466">
        <v>96582.2</v>
      </c>
      <c r="AC116" s="467">
        <v>0</v>
      </c>
      <c r="AD116" s="466">
        <v>0</v>
      </c>
      <c r="AE116" s="468" t="s">
        <v>516</v>
      </c>
      <c r="AF116" s="466">
        <v>0</v>
      </c>
      <c r="AG116" s="466">
        <v>0</v>
      </c>
      <c r="AH116" s="466">
        <v>35203.519999999997</v>
      </c>
      <c r="AI116" s="466">
        <v>1503</v>
      </c>
      <c r="AJ116" s="469" t="s">
        <v>2315</v>
      </c>
      <c r="AK116" s="470" t="s">
        <v>2316</v>
      </c>
      <c r="AL116" s="471" t="s">
        <v>2317</v>
      </c>
      <c r="AM116" s="470" t="s">
        <v>2318</v>
      </c>
      <c r="AN116" s="470" t="s">
        <v>12516</v>
      </c>
      <c r="AO116" s="470" t="s">
        <v>12517</v>
      </c>
      <c r="AP116" s="470" t="s">
        <v>2319</v>
      </c>
      <c r="AQ116" s="470" t="s">
        <v>2311</v>
      </c>
      <c r="AR116" s="472" t="s">
        <v>515</v>
      </c>
      <c r="AS116" s="473" t="s">
        <v>1385</v>
      </c>
      <c r="AT116" s="472" t="s">
        <v>1390</v>
      </c>
      <c r="AU116" s="472" t="s">
        <v>420</v>
      </c>
      <c r="AV116" s="472">
        <v>2020</v>
      </c>
      <c r="AW116" s="474" t="s">
        <v>15078</v>
      </c>
      <c r="AX116" s="475" t="s">
        <v>15079</v>
      </c>
      <c r="AY116" s="515">
        <v>1</v>
      </c>
      <c r="AZ116" s="474" t="s">
        <v>15079</v>
      </c>
      <c r="BA116" s="472" t="s">
        <v>1390</v>
      </c>
      <c r="BB116" s="472" t="s">
        <v>516</v>
      </c>
      <c r="BC116" s="472">
        <v>3</v>
      </c>
      <c r="BD116" s="472">
        <v>2160</v>
      </c>
      <c r="BE116" s="472">
        <v>0</v>
      </c>
      <c r="BF116" s="472">
        <v>19985.400000000001</v>
      </c>
      <c r="BG116" s="472">
        <v>0</v>
      </c>
      <c r="BH116" s="472" t="s">
        <v>1385</v>
      </c>
      <c r="BI116" s="510">
        <v>0</v>
      </c>
      <c r="BJ116" s="510">
        <v>0</v>
      </c>
      <c r="BK116" s="510">
        <v>0</v>
      </c>
      <c r="BL116" s="510">
        <v>0</v>
      </c>
      <c r="BM116" s="510">
        <v>0</v>
      </c>
      <c r="BN116" s="510">
        <v>2000</v>
      </c>
      <c r="BO116" s="510">
        <v>0</v>
      </c>
      <c r="BP116" s="510">
        <v>0</v>
      </c>
      <c r="BQ116" s="510">
        <v>0</v>
      </c>
      <c r="BR116" s="510">
        <v>0</v>
      </c>
      <c r="BS116" s="510">
        <v>0</v>
      </c>
      <c r="BT116" s="510">
        <v>0</v>
      </c>
      <c r="BU116" s="510">
        <v>0</v>
      </c>
      <c r="BV116" s="510">
        <v>0</v>
      </c>
      <c r="BW116" s="510">
        <v>0</v>
      </c>
      <c r="BX116" s="510">
        <v>30000</v>
      </c>
      <c r="BY116" s="1011">
        <v>0</v>
      </c>
      <c r="BZ116" s="510">
        <v>0</v>
      </c>
      <c r="CA116" s="1011">
        <v>0</v>
      </c>
      <c r="CB116" s="510">
        <v>0</v>
      </c>
      <c r="CC116" s="1011">
        <v>0</v>
      </c>
      <c r="CD116" s="510">
        <v>0</v>
      </c>
      <c r="CE116" s="1011">
        <v>0</v>
      </c>
      <c r="CF116" s="510">
        <v>46596.800000000003</v>
      </c>
      <c r="CG116" s="1011">
        <v>0</v>
      </c>
      <c r="CH116" s="510">
        <v>0</v>
      </c>
      <c r="CI116" s="1011">
        <v>0</v>
      </c>
    </row>
    <row r="117" spans="1:87" ht="12.75" customHeight="1" x14ac:dyDescent="0.2">
      <c r="A117" s="449">
        <v>64</v>
      </c>
      <c r="B117" s="453">
        <v>17442</v>
      </c>
      <c r="C117" s="454" t="s">
        <v>2320</v>
      </c>
      <c r="D117" s="454" t="s">
        <v>2253</v>
      </c>
      <c r="E117" s="454" t="s">
        <v>2321</v>
      </c>
      <c r="F117" s="454" t="s">
        <v>525</v>
      </c>
      <c r="G117" s="454" t="s">
        <v>12518</v>
      </c>
      <c r="H117" s="455">
        <v>2502535000196</v>
      </c>
      <c r="I117" s="462">
        <v>35923</v>
      </c>
      <c r="J117" s="457">
        <v>37387162</v>
      </c>
      <c r="K117" s="454" t="s">
        <v>2322</v>
      </c>
      <c r="L117" s="458">
        <v>733</v>
      </c>
      <c r="M117" s="454" t="s">
        <v>2323</v>
      </c>
      <c r="N117" s="459">
        <v>2011000</v>
      </c>
      <c r="O117" s="460">
        <v>22214615</v>
      </c>
      <c r="P117" s="462">
        <v>333118</v>
      </c>
      <c r="Q117" s="462">
        <v>64</v>
      </c>
      <c r="R117" s="462">
        <v>43950</v>
      </c>
      <c r="S117" s="463">
        <v>506</v>
      </c>
      <c r="T117" s="464">
        <v>5.4</v>
      </c>
      <c r="U117" s="465">
        <v>2732.4</v>
      </c>
      <c r="V117" s="465">
        <v>17100</v>
      </c>
      <c r="W117" s="466">
        <v>0</v>
      </c>
      <c r="X117" s="467">
        <v>1</v>
      </c>
      <c r="Y117" s="466">
        <v>34878.6</v>
      </c>
      <c r="Z117" s="468" t="s">
        <v>516</v>
      </c>
      <c r="AA117" s="466">
        <v>143121.4</v>
      </c>
      <c r="AB117" s="466">
        <v>143121.4</v>
      </c>
      <c r="AC117" s="467">
        <v>0</v>
      </c>
      <c r="AD117" s="466">
        <v>0</v>
      </c>
      <c r="AE117" s="468" t="s">
        <v>516</v>
      </c>
      <c r="AF117" s="466">
        <v>1600</v>
      </c>
      <c r="AG117" s="466">
        <v>1600</v>
      </c>
      <c r="AH117" s="466">
        <v>21801.25</v>
      </c>
      <c r="AI117" s="466">
        <v>8660.36</v>
      </c>
      <c r="AJ117" s="469" t="s">
        <v>1448</v>
      </c>
      <c r="AK117" s="470" t="s">
        <v>1449</v>
      </c>
      <c r="AL117" s="471" t="s">
        <v>2324</v>
      </c>
      <c r="AM117" s="470" t="s">
        <v>2325</v>
      </c>
      <c r="AN117" s="470" t="s">
        <v>2326</v>
      </c>
      <c r="AO117" s="470" t="s">
        <v>2327</v>
      </c>
      <c r="AP117" s="470" t="s">
        <v>2328</v>
      </c>
      <c r="AQ117" s="470" t="s">
        <v>2320</v>
      </c>
      <c r="AR117" s="472" t="s">
        <v>515</v>
      </c>
      <c r="AS117" s="473" t="s">
        <v>1385</v>
      </c>
      <c r="AT117" s="472" t="s">
        <v>2253</v>
      </c>
      <c r="AU117" s="472" t="s">
        <v>420</v>
      </c>
      <c r="AV117" s="472">
        <v>2020</v>
      </c>
      <c r="AW117" s="474" t="s">
        <v>15078</v>
      </c>
      <c r="AX117" s="475" t="s">
        <v>15079</v>
      </c>
      <c r="AY117" s="515">
        <v>1</v>
      </c>
      <c r="AZ117" s="474" t="s">
        <v>15079</v>
      </c>
      <c r="BA117" s="472" t="s">
        <v>2253</v>
      </c>
      <c r="BB117" s="472" t="s">
        <v>516</v>
      </c>
      <c r="BC117" s="472">
        <v>3</v>
      </c>
      <c r="BD117" s="472">
        <v>3420</v>
      </c>
      <c r="BE117" s="472">
        <v>0</v>
      </c>
      <c r="BF117" s="472">
        <v>34878.6</v>
      </c>
      <c r="BG117" s="472">
        <v>0</v>
      </c>
      <c r="BH117" s="472" t="s">
        <v>1385</v>
      </c>
      <c r="BI117" s="510">
        <v>0</v>
      </c>
      <c r="BJ117" s="510">
        <v>0</v>
      </c>
      <c r="BK117" s="510">
        <v>0</v>
      </c>
      <c r="BL117" s="510">
        <v>62.58</v>
      </c>
      <c r="BM117" s="510">
        <v>0</v>
      </c>
      <c r="BN117" s="510">
        <v>1160</v>
      </c>
      <c r="BO117" s="510">
        <v>400</v>
      </c>
      <c r="BP117" s="510">
        <v>1600</v>
      </c>
      <c r="BQ117" s="510">
        <v>0</v>
      </c>
      <c r="BR117" s="510">
        <v>0</v>
      </c>
      <c r="BS117" s="510">
        <v>0</v>
      </c>
      <c r="BT117" s="510">
        <v>0</v>
      </c>
      <c r="BU117" s="510">
        <v>2500</v>
      </c>
      <c r="BV117" s="510">
        <v>2500</v>
      </c>
      <c r="BW117" s="510">
        <v>0</v>
      </c>
      <c r="BX117" s="510">
        <v>30000</v>
      </c>
      <c r="BY117" s="1011">
        <v>0</v>
      </c>
      <c r="BZ117" s="510">
        <v>0</v>
      </c>
      <c r="CA117" s="1011">
        <v>0</v>
      </c>
      <c r="CB117" s="510">
        <v>22000</v>
      </c>
      <c r="CC117" s="1011">
        <v>0</v>
      </c>
      <c r="CD117" s="510">
        <v>0</v>
      </c>
      <c r="CE117" s="1011">
        <v>0</v>
      </c>
      <c r="CF117" s="510">
        <v>55842.8</v>
      </c>
      <c r="CG117" s="1011">
        <v>0</v>
      </c>
      <c r="CH117" s="510">
        <v>0</v>
      </c>
      <c r="CI117" s="1011">
        <v>0</v>
      </c>
    </row>
    <row r="118" spans="1:87" ht="12.75" customHeight="1" x14ac:dyDescent="0.2">
      <c r="A118" s="449">
        <v>116</v>
      </c>
      <c r="B118" s="453">
        <v>17451</v>
      </c>
      <c r="C118" s="454" t="s">
        <v>2329</v>
      </c>
      <c r="D118" s="454" t="s">
        <v>1390</v>
      </c>
      <c r="E118" s="454" t="s">
        <v>2330</v>
      </c>
      <c r="F118" s="454" t="s">
        <v>527</v>
      </c>
      <c r="G118" s="454" t="s">
        <v>12519</v>
      </c>
      <c r="H118" s="455">
        <v>2000171000146</v>
      </c>
      <c r="I118" s="462">
        <v>35522</v>
      </c>
      <c r="J118" s="457">
        <v>37588508</v>
      </c>
      <c r="K118" s="454" t="s">
        <v>2331</v>
      </c>
      <c r="L118" s="458">
        <v>373</v>
      </c>
      <c r="M118" s="454" t="s">
        <v>1890</v>
      </c>
      <c r="N118" s="459">
        <v>3813000</v>
      </c>
      <c r="O118" s="460">
        <v>25466868</v>
      </c>
      <c r="P118" s="462">
        <v>221778</v>
      </c>
      <c r="Q118" s="462">
        <v>79</v>
      </c>
      <c r="R118" s="462">
        <v>43917</v>
      </c>
      <c r="S118" s="463">
        <v>371</v>
      </c>
      <c r="T118" s="464">
        <v>3.6</v>
      </c>
      <c r="U118" s="465">
        <v>1335.6</v>
      </c>
      <c r="V118" s="465">
        <v>13680</v>
      </c>
      <c r="W118" s="466">
        <v>0</v>
      </c>
      <c r="X118" s="467">
        <v>1</v>
      </c>
      <c r="Y118" s="466">
        <v>22523.4</v>
      </c>
      <c r="Z118" s="468" t="s">
        <v>516</v>
      </c>
      <c r="AA118" s="466">
        <v>97367.4</v>
      </c>
      <c r="AB118" s="466">
        <v>97367.4</v>
      </c>
      <c r="AC118" s="467">
        <v>0</v>
      </c>
      <c r="AD118" s="466">
        <v>0</v>
      </c>
      <c r="AE118" s="468" t="s">
        <v>516</v>
      </c>
      <c r="AF118" s="466">
        <v>0</v>
      </c>
      <c r="AG118" s="466">
        <v>0</v>
      </c>
      <c r="AH118" s="466">
        <v>5043.93</v>
      </c>
      <c r="AI118" s="466">
        <v>4264.6899999999996</v>
      </c>
      <c r="AJ118" s="469" t="s">
        <v>2004</v>
      </c>
      <c r="AK118" s="470" t="s">
        <v>2005</v>
      </c>
      <c r="AL118" s="471" t="s">
        <v>12520</v>
      </c>
      <c r="AM118" s="470" t="s">
        <v>2333</v>
      </c>
      <c r="AN118" s="470" t="s">
        <v>12519</v>
      </c>
      <c r="AO118" s="470" t="s">
        <v>12521</v>
      </c>
      <c r="AP118" s="470" t="s">
        <v>2334</v>
      </c>
      <c r="AQ118" s="470" t="s">
        <v>2329</v>
      </c>
      <c r="AR118" s="472" t="s">
        <v>515</v>
      </c>
      <c r="AS118" s="473" t="s">
        <v>1385</v>
      </c>
      <c r="AT118" s="472" t="s">
        <v>1390</v>
      </c>
      <c r="AU118" s="472" t="s">
        <v>420</v>
      </c>
      <c r="AV118" s="472">
        <v>2020</v>
      </c>
      <c r="AW118" s="474" t="s">
        <v>15078</v>
      </c>
      <c r="AX118" s="475" t="s">
        <v>15079</v>
      </c>
      <c r="AY118" s="515">
        <v>1</v>
      </c>
      <c r="AZ118" s="474" t="s">
        <v>15079</v>
      </c>
      <c r="BA118" s="472" t="s">
        <v>1390</v>
      </c>
      <c r="BB118" s="472" t="s">
        <v>1385</v>
      </c>
      <c r="BC118" s="472" t="s">
        <v>1385</v>
      </c>
      <c r="BD118" s="472" t="s">
        <v>1385</v>
      </c>
      <c r="BE118" s="472" t="s">
        <v>1385</v>
      </c>
      <c r="BF118" s="472">
        <v>22523.4</v>
      </c>
      <c r="BG118" s="472">
        <v>0</v>
      </c>
      <c r="BH118" s="472" t="s">
        <v>1385</v>
      </c>
      <c r="BI118" s="510">
        <v>0</v>
      </c>
      <c r="BJ118" s="510">
        <v>0</v>
      </c>
      <c r="BK118" s="510">
        <v>0</v>
      </c>
      <c r="BL118" s="510">
        <v>0</v>
      </c>
      <c r="BM118" s="510">
        <v>0</v>
      </c>
      <c r="BN118" s="510">
        <v>3500</v>
      </c>
      <c r="BO118" s="510">
        <v>0</v>
      </c>
      <c r="BP118" s="510">
        <v>0</v>
      </c>
      <c r="BQ118" s="510">
        <v>0</v>
      </c>
      <c r="BR118" s="510">
        <v>0</v>
      </c>
      <c r="BS118" s="510">
        <v>0</v>
      </c>
      <c r="BT118" s="510">
        <v>0</v>
      </c>
      <c r="BU118" s="510">
        <v>0</v>
      </c>
      <c r="BV118" s="510">
        <v>0</v>
      </c>
      <c r="BW118" s="510">
        <v>0</v>
      </c>
      <c r="BX118" s="510">
        <v>30000</v>
      </c>
      <c r="BY118" s="1011">
        <v>0</v>
      </c>
      <c r="BZ118" s="510">
        <v>0</v>
      </c>
      <c r="CA118" s="1011">
        <v>0</v>
      </c>
      <c r="CB118" s="510">
        <v>0</v>
      </c>
      <c r="CC118" s="1011">
        <v>0</v>
      </c>
      <c r="CD118" s="510">
        <v>0</v>
      </c>
      <c r="CE118" s="1011">
        <v>0</v>
      </c>
      <c r="CF118" s="510">
        <v>44844</v>
      </c>
      <c r="CG118" s="1011">
        <v>0</v>
      </c>
      <c r="CH118" s="510">
        <v>0</v>
      </c>
      <c r="CI118" s="1011">
        <v>0</v>
      </c>
    </row>
    <row r="119" spans="1:87" ht="12.75" customHeight="1" x14ac:dyDescent="0.2">
      <c r="A119" s="449">
        <v>88</v>
      </c>
      <c r="B119" s="453">
        <v>17515</v>
      </c>
      <c r="C119" s="454" t="s">
        <v>2335</v>
      </c>
      <c r="D119" s="454" t="s">
        <v>1390</v>
      </c>
      <c r="E119" s="454" t="s">
        <v>2336</v>
      </c>
      <c r="F119" s="454" t="s">
        <v>524</v>
      </c>
      <c r="G119" s="454" t="s">
        <v>12522</v>
      </c>
      <c r="H119" s="455">
        <v>2215921000105</v>
      </c>
      <c r="I119" s="462">
        <v>35663</v>
      </c>
      <c r="J119" s="457">
        <v>37499203</v>
      </c>
      <c r="K119" s="454" t="s">
        <v>2338</v>
      </c>
      <c r="L119" s="458">
        <v>550</v>
      </c>
      <c r="M119" s="454" t="s">
        <v>2339</v>
      </c>
      <c r="N119" s="459">
        <v>3152150</v>
      </c>
      <c r="O119" s="460">
        <v>23413511</v>
      </c>
      <c r="P119" s="462">
        <v>204016</v>
      </c>
      <c r="Q119" s="462">
        <v>95</v>
      </c>
      <c r="R119" s="462">
        <v>43906</v>
      </c>
      <c r="S119" s="463">
        <v>296</v>
      </c>
      <c r="T119" s="464">
        <v>3.6</v>
      </c>
      <c r="U119" s="465">
        <v>1065.5999999999999</v>
      </c>
      <c r="V119" s="465">
        <v>12240</v>
      </c>
      <c r="W119" s="466">
        <v>0</v>
      </c>
      <c r="X119" s="467">
        <v>1</v>
      </c>
      <c r="Y119" s="466">
        <v>19958.400000000001</v>
      </c>
      <c r="Z119" s="468" t="s">
        <v>516</v>
      </c>
      <c r="AA119" s="466">
        <v>94636.800000000003</v>
      </c>
      <c r="AB119" s="466">
        <v>94636.800000000003</v>
      </c>
      <c r="AC119" s="467">
        <v>0</v>
      </c>
      <c r="AD119" s="466">
        <v>0</v>
      </c>
      <c r="AE119" s="468" t="s">
        <v>516</v>
      </c>
      <c r="AF119" s="466">
        <v>0</v>
      </c>
      <c r="AG119" s="466">
        <v>0</v>
      </c>
      <c r="AH119" s="466">
        <v>12964.27</v>
      </c>
      <c r="AI119" s="466">
        <v>2922.24</v>
      </c>
      <c r="AJ119" s="469" t="s">
        <v>2136</v>
      </c>
      <c r="AK119" s="470" t="s">
        <v>2340</v>
      </c>
      <c r="AL119" s="471" t="s">
        <v>2341</v>
      </c>
      <c r="AM119" s="470" t="s">
        <v>15174</v>
      </c>
      <c r="AN119" s="470" t="s">
        <v>2337</v>
      </c>
      <c r="AO119" s="470" t="s">
        <v>12523</v>
      </c>
      <c r="AP119" s="470" t="s">
        <v>2342</v>
      </c>
      <c r="AQ119" s="470" t="s">
        <v>2335</v>
      </c>
      <c r="AR119" s="472" t="s">
        <v>515</v>
      </c>
      <c r="AS119" s="473" t="s">
        <v>1385</v>
      </c>
      <c r="AT119" s="472" t="s">
        <v>1390</v>
      </c>
      <c r="AU119" s="472" t="s">
        <v>420</v>
      </c>
      <c r="AV119" s="472">
        <v>2020</v>
      </c>
      <c r="AW119" s="474" t="s">
        <v>15078</v>
      </c>
      <c r="AX119" s="475" t="s">
        <v>15079</v>
      </c>
      <c r="AY119" s="515">
        <v>1</v>
      </c>
      <c r="AZ119" s="474" t="s">
        <v>15079</v>
      </c>
      <c r="BA119" s="472" t="s">
        <v>1390</v>
      </c>
      <c r="BB119" s="472" t="s">
        <v>1385</v>
      </c>
      <c r="BC119" s="472" t="s">
        <v>1385</v>
      </c>
      <c r="BD119" s="472" t="s">
        <v>1385</v>
      </c>
      <c r="BE119" s="472" t="s">
        <v>1385</v>
      </c>
      <c r="BF119" s="472">
        <v>19958.400000000001</v>
      </c>
      <c r="BG119" s="472">
        <v>0</v>
      </c>
      <c r="BH119" s="472" t="s">
        <v>1385</v>
      </c>
      <c r="BI119" s="510">
        <v>0</v>
      </c>
      <c r="BJ119" s="510">
        <v>0</v>
      </c>
      <c r="BK119" s="510">
        <v>0</v>
      </c>
      <c r="BL119" s="510">
        <v>0</v>
      </c>
      <c r="BM119" s="510">
        <v>0</v>
      </c>
      <c r="BN119" s="510">
        <v>3500</v>
      </c>
      <c r="BO119" s="510">
        <v>0</v>
      </c>
      <c r="BP119" s="510">
        <v>0</v>
      </c>
      <c r="BQ119" s="510">
        <v>0</v>
      </c>
      <c r="BR119" s="510">
        <v>0</v>
      </c>
      <c r="BS119" s="510">
        <v>0</v>
      </c>
      <c r="BT119" s="510">
        <v>0</v>
      </c>
      <c r="BU119" s="510">
        <v>0</v>
      </c>
      <c r="BV119" s="510">
        <v>0</v>
      </c>
      <c r="BW119" s="510">
        <v>0</v>
      </c>
      <c r="BX119" s="510">
        <v>30000</v>
      </c>
      <c r="BY119" s="1011">
        <v>0</v>
      </c>
      <c r="BZ119" s="510">
        <v>0</v>
      </c>
      <c r="CA119" s="1011">
        <v>0</v>
      </c>
      <c r="CB119" s="510">
        <v>0</v>
      </c>
      <c r="CC119" s="1011">
        <v>0</v>
      </c>
      <c r="CD119" s="510">
        <v>0</v>
      </c>
      <c r="CE119" s="1011">
        <v>0</v>
      </c>
      <c r="CF119" s="510">
        <v>44678.400000000001</v>
      </c>
      <c r="CG119" s="1011">
        <v>0</v>
      </c>
      <c r="CH119" s="510">
        <v>0</v>
      </c>
      <c r="CI119" s="1011">
        <v>0</v>
      </c>
    </row>
    <row r="120" spans="1:87" ht="12.75" customHeight="1" x14ac:dyDescent="0.2">
      <c r="A120" s="449">
        <v>35</v>
      </c>
      <c r="B120" s="453">
        <v>17523</v>
      </c>
      <c r="C120" s="454" t="s">
        <v>2343</v>
      </c>
      <c r="D120" s="454" t="s">
        <v>517</v>
      </c>
      <c r="E120" s="454" t="s">
        <v>2344</v>
      </c>
      <c r="F120" s="454" t="s">
        <v>518</v>
      </c>
      <c r="G120" s="454" t="s">
        <v>12524</v>
      </c>
      <c r="H120" s="455">
        <v>1969892000104</v>
      </c>
      <c r="I120" s="462">
        <v>35606</v>
      </c>
      <c r="J120" s="457">
        <v>37468731</v>
      </c>
      <c r="K120" s="454" t="s">
        <v>2346</v>
      </c>
      <c r="L120" s="458">
        <v>215</v>
      </c>
      <c r="M120" s="454" t="s">
        <v>2049</v>
      </c>
      <c r="N120" s="459">
        <v>8485475</v>
      </c>
      <c r="O120" s="460">
        <v>22821039</v>
      </c>
      <c r="P120" s="462">
        <v>49959</v>
      </c>
      <c r="Q120" s="462">
        <v>80</v>
      </c>
      <c r="R120" s="462">
        <v>43955</v>
      </c>
      <c r="S120" s="463">
        <v>846</v>
      </c>
      <c r="T120" s="464">
        <v>5.4</v>
      </c>
      <c r="U120" s="465">
        <v>4568.3999999999996</v>
      </c>
      <c r="V120" s="465">
        <v>18720</v>
      </c>
      <c r="W120" s="466">
        <v>0</v>
      </c>
      <c r="X120" s="467">
        <v>1</v>
      </c>
      <c r="Y120" s="466">
        <v>34932.6</v>
      </c>
      <c r="Z120" s="468" t="s">
        <v>516</v>
      </c>
      <c r="AA120" s="466">
        <v>133649.79999999999</v>
      </c>
      <c r="AB120" s="466">
        <v>133649.79999999999</v>
      </c>
      <c r="AC120" s="467">
        <v>0</v>
      </c>
      <c r="AD120" s="466">
        <v>0</v>
      </c>
      <c r="AE120" s="468" t="s">
        <v>516</v>
      </c>
      <c r="AF120" s="466">
        <v>2000</v>
      </c>
      <c r="AG120" s="466">
        <v>2000</v>
      </c>
      <c r="AH120" s="466">
        <v>19934.419999999998</v>
      </c>
      <c r="AI120" s="466">
        <v>15095.66</v>
      </c>
      <c r="AJ120" s="469" t="s">
        <v>1674</v>
      </c>
      <c r="AK120" s="470" t="s">
        <v>518</v>
      </c>
      <c r="AL120" s="471" t="s">
        <v>2347</v>
      </c>
      <c r="AM120" s="470" t="s">
        <v>12525</v>
      </c>
      <c r="AN120" s="470" t="s">
        <v>2345</v>
      </c>
      <c r="AO120" s="470" t="s">
        <v>14973</v>
      </c>
      <c r="AP120" s="470" t="s">
        <v>2348</v>
      </c>
      <c r="AQ120" s="470" t="s">
        <v>2343</v>
      </c>
      <c r="AR120" s="472" t="s">
        <v>515</v>
      </c>
      <c r="AS120" s="473" t="s">
        <v>1385</v>
      </c>
      <c r="AT120" s="472" t="s">
        <v>517</v>
      </c>
      <c r="AU120" s="472" t="s">
        <v>420</v>
      </c>
      <c r="AV120" s="472">
        <v>2020</v>
      </c>
      <c r="AW120" s="474" t="s">
        <v>15078</v>
      </c>
      <c r="AX120" s="475" t="s">
        <v>15079</v>
      </c>
      <c r="AY120" s="515">
        <v>1</v>
      </c>
      <c r="AZ120" s="474" t="s">
        <v>15079</v>
      </c>
      <c r="BA120" s="472" t="s">
        <v>517</v>
      </c>
      <c r="BB120" s="472" t="s">
        <v>1385</v>
      </c>
      <c r="BC120" s="472" t="s">
        <v>1385</v>
      </c>
      <c r="BD120" s="472" t="s">
        <v>1385</v>
      </c>
      <c r="BE120" s="472" t="s">
        <v>1385</v>
      </c>
      <c r="BF120" s="472">
        <v>34932.6</v>
      </c>
      <c r="BG120" s="472">
        <v>0</v>
      </c>
      <c r="BH120" s="472" t="s">
        <v>1385</v>
      </c>
      <c r="BI120" s="510">
        <v>0</v>
      </c>
      <c r="BJ120" s="510">
        <v>4049.59</v>
      </c>
      <c r="BK120" s="510">
        <v>0</v>
      </c>
      <c r="BL120" s="510">
        <v>2227.0500000000002</v>
      </c>
      <c r="BM120" s="510">
        <v>0</v>
      </c>
      <c r="BN120" s="510">
        <v>5000</v>
      </c>
      <c r="BO120" s="510">
        <v>0</v>
      </c>
      <c r="BP120" s="510">
        <v>2000</v>
      </c>
      <c r="BQ120" s="510">
        <v>0</v>
      </c>
      <c r="BR120" s="510">
        <v>0</v>
      </c>
      <c r="BS120" s="510">
        <v>0</v>
      </c>
      <c r="BT120" s="510">
        <v>0</v>
      </c>
      <c r="BU120" s="510">
        <v>2500</v>
      </c>
      <c r="BV120" s="510">
        <v>2500</v>
      </c>
      <c r="BW120" s="510">
        <v>0</v>
      </c>
      <c r="BX120" s="510">
        <v>30000</v>
      </c>
      <c r="BY120" s="1011">
        <v>0</v>
      </c>
      <c r="BZ120" s="510">
        <v>0</v>
      </c>
      <c r="CA120" s="1011">
        <v>0</v>
      </c>
      <c r="CB120" s="510">
        <v>22000</v>
      </c>
      <c r="CC120" s="1011">
        <v>0</v>
      </c>
      <c r="CD120" s="510">
        <v>0</v>
      </c>
      <c r="CE120" s="1011">
        <v>0</v>
      </c>
      <c r="CF120" s="510">
        <v>46717.2</v>
      </c>
      <c r="CG120" s="1011">
        <v>0</v>
      </c>
      <c r="CH120" s="510">
        <v>0</v>
      </c>
      <c r="CI120" s="1011">
        <v>0</v>
      </c>
    </row>
    <row r="121" spans="1:87" ht="12.75" customHeight="1" x14ac:dyDescent="0.2">
      <c r="A121" s="449">
        <v>122</v>
      </c>
      <c r="B121" s="453">
        <v>17531</v>
      </c>
      <c r="C121" s="454" t="s">
        <v>2349</v>
      </c>
      <c r="D121" s="454" t="s">
        <v>1390</v>
      </c>
      <c r="E121" s="454" t="s">
        <v>2350</v>
      </c>
      <c r="F121" s="454" t="s">
        <v>526</v>
      </c>
      <c r="G121" s="454" t="s">
        <v>12526</v>
      </c>
      <c r="H121" s="455">
        <v>1945619000131</v>
      </c>
      <c r="I121" s="462">
        <v>35599</v>
      </c>
      <c r="J121" s="457">
        <v>37476149</v>
      </c>
      <c r="K121" s="454" t="s">
        <v>2351</v>
      </c>
      <c r="L121" s="458">
        <v>120</v>
      </c>
      <c r="M121" s="454" t="s">
        <v>2352</v>
      </c>
      <c r="N121" s="459">
        <v>8081370</v>
      </c>
      <c r="O121" s="460">
        <v>25814230</v>
      </c>
      <c r="P121" s="462">
        <v>131272</v>
      </c>
      <c r="Q121" s="462">
        <v>122</v>
      </c>
      <c r="R121" s="462">
        <v>43928</v>
      </c>
      <c r="S121" s="463">
        <v>518</v>
      </c>
      <c r="T121" s="464">
        <v>3.6</v>
      </c>
      <c r="U121" s="465">
        <v>1864.8</v>
      </c>
      <c r="V121" s="465">
        <v>16560</v>
      </c>
      <c r="W121" s="466">
        <v>0</v>
      </c>
      <c r="X121" s="467">
        <v>1</v>
      </c>
      <c r="Y121" s="466">
        <v>0</v>
      </c>
      <c r="Z121" s="468" t="s">
        <v>514</v>
      </c>
      <c r="AA121" s="466">
        <v>0</v>
      </c>
      <c r="AB121" s="466">
        <v>0</v>
      </c>
      <c r="AC121" s="467">
        <v>0</v>
      </c>
      <c r="AD121" s="466">
        <v>0</v>
      </c>
      <c r="AE121" s="468" t="s">
        <v>516</v>
      </c>
      <c r="AF121" s="466">
        <v>0</v>
      </c>
      <c r="AG121" s="466">
        <v>0</v>
      </c>
      <c r="AH121" s="466">
        <v>0</v>
      </c>
      <c r="AI121" s="466">
        <v>0</v>
      </c>
      <c r="AJ121" s="469" t="s">
        <v>1839</v>
      </c>
      <c r="AK121" s="470" t="s">
        <v>526</v>
      </c>
      <c r="AL121" s="471" t="s">
        <v>2353</v>
      </c>
      <c r="AM121" s="470" t="s">
        <v>12527</v>
      </c>
      <c r="AN121" s="470" t="s">
        <v>1385</v>
      </c>
      <c r="AO121" s="470" t="s">
        <v>2354</v>
      </c>
      <c r="AP121" s="470" t="s">
        <v>2355</v>
      </c>
      <c r="AQ121" s="470" t="s">
        <v>2349</v>
      </c>
      <c r="AR121" s="472" t="s">
        <v>515</v>
      </c>
      <c r="AS121" s="473" t="s">
        <v>1385</v>
      </c>
      <c r="AT121" s="472" t="s">
        <v>1390</v>
      </c>
      <c r="AU121" s="472" t="s">
        <v>420</v>
      </c>
      <c r="AV121" s="472">
        <v>2020</v>
      </c>
      <c r="AW121" s="474" t="s">
        <v>15078</v>
      </c>
      <c r="AX121" s="475" t="s">
        <v>15079</v>
      </c>
      <c r="AY121" s="515">
        <v>1</v>
      </c>
      <c r="AZ121" s="474" t="s">
        <v>15079</v>
      </c>
      <c r="BA121" s="472" t="s">
        <v>1385</v>
      </c>
      <c r="BB121" s="472" t="s">
        <v>1385</v>
      </c>
      <c r="BC121" s="472" t="s">
        <v>1385</v>
      </c>
      <c r="BD121" s="472" t="s">
        <v>1385</v>
      </c>
      <c r="BE121" s="472" t="s">
        <v>1385</v>
      </c>
      <c r="BF121" s="472">
        <v>27637.200000000001</v>
      </c>
      <c r="BG121" s="472">
        <v>0</v>
      </c>
      <c r="BH121" s="472" t="s">
        <v>516</v>
      </c>
      <c r="BI121" s="510">
        <v>0</v>
      </c>
      <c r="BJ121" s="510">
        <v>0</v>
      </c>
      <c r="BK121" s="510">
        <v>0</v>
      </c>
      <c r="BL121" s="510">
        <v>0</v>
      </c>
      <c r="BM121" s="510">
        <v>0</v>
      </c>
      <c r="BN121" s="510">
        <v>0</v>
      </c>
      <c r="BO121" s="510">
        <v>0</v>
      </c>
      <c r="BP121" s="510">
        <v>0</v>
      </c>
      <c r="BQ121" s="510">
        <v>0</v>
      </c>
      <c r="BR121" s="510">
        <v>0</v>
      </c>
      <c r="BS121" s="510">
        <v>0</v>
      </c>
      <c r="BT121" s="510">
        <v>0</v>
      </c>
      <c r="BU121" s="510">
        <v>0</v>
      </c>
      <c r="BV121" s="510">
        <v>0</v>
      </c>
      <c r="BW121" s="510">
        <v>0</v>
      </c>
      <c r="BX121" s="510">
        <v>0</v>
      </c>
      <c r="BY121" s="1011">
        <v>0</v>
      </c>
      <c r="BZ121" s="510">
        <v>0</v>
      </c>
      <c r="CA121" s="1011">
        <v>0</v>
      </c>
      <c r="CB121" s="510">
        <v>0</v>
      </c>
      <c r="CC121" s="1011">
        <v>0</v>
      </c>
      <c r="CD121" s="510">
        <v>0</v>
      </c>
      <c r="CE121" s="1011">
        <v>0</v>
      </c>
      <c r="CF121" s="510">
        <v>0</v>
      </c>
      <c r="CG121" s="1011">
        <v>0</v>
      </c>
      <c r="CH121" s="510">
        <v>0</v>
      </c>
      <c r="CI121" s="1011">
        <v>0</v>
      </c>
    </row>
    <row r="122" spans="1:87" ht="12.75" customHeight="1" x14ac:dyDescent="0.2">
      <c r="A122" s="449">
        <v>118</v>
      </c>
      <c r="B122" s="453">
        <v>17655</v>
      </c>
      <c r="C122" s="454" t="s">
        <v>2356</v>
      </c>
      <c r="D122" s="454" t="s">
        <v>1390</v>
      </c>
      <c r="E122" s="454" t="s">
        <v>2357</v>
      </c>
      <c r="F122" s="454" t="s">
        <v>526</v>
      </c>
      <c r="G122" s="454" t="s">
        <v>12528</v>
      </c>
      <c r="H122" s="455">
        <v>3302498000135</v>
      </c>
      <c r="I122" s="462">
        <v>36040</v>
      </c>
      <c r="J122" s="457">
        <v>37475495</v>
      </c>
      <c r="K122" s="454" t="s">
        <v>2358</v>
      </c>
      <c r="L122" s="458">
        <v>210</v>
      </c>
      <c r="M122" s="454" t="s">
        <v>2359</v>
      </c>
      <c r="N122" s="459">
        <v>8131360</v>
      </c>
      <c r="O122" s="460">
        <v>29633452</v>
      </c>
      <c r="P122" s="462">
        <v>130608</v>
      </c>
      <c r="Q122" s="462">
        <v>118</v>
      </c>
      <c r="R122" s="462">
        <v>43928</v>
      </c>
      <c r="S122" s="463">
        <v>478</v>
      </c>
      <c r="T122" s="464">
        <v>3.6</v>
      </c>
      <c r="U122" s="465">
        <v>1720.8</v>
      </c>
      <c r="V122" s="465">
        <v>15120</v>
      </c>
      <c r="W122" s="466">
        <v>0</v>
      </c>
      <c r="X122" s="467">
        <v>1</v>
      </c>
      <c r="Y122" s="466">
        <v>25261.200000000001</v>
      </c>
      <c r="Z122" s="468" t="s">
        <v>516</v>
      </c>
      <c r="AA122" s="466">
        <v>103856.4</v>
      </c>
      <c r="AB122" s="466">
        <v>103856.4</v>
      </c>
      <c r="AC122" s="467">
        <v>0</v>
      </c>
      <c r="AD122" s="466">
        <v>0</v>
      </c>
      <c r="AE122" s="468" t="s">
        <v>516</v>
      </c>
      <c r="AF122" s="466">
        <v>0</v>
      </c>
      <c r="AG122" s="466">
        <v>0</v>
      </c>
      <c r="AH122" s="466">
        <v>5771.99</v>
      </c>
      <c r="AI122" s="466">
        <v>145.55000000000001</v>
      </c>
      <c r="AJ122" s="469" t="s">
        <v>1410</v>
      </c>
      <c r="AK122" s="470" t="s">
        <v>1411</v>
      </c>
      <c r="AL122" s="471" t="s">
        <v>2360</v>
      </c>
      <c r="AM122" s="470" t="s">
        <v>2361</v>
      </c>
      <c r="AN122" s="470" t="s">
        <v>1385</v>
      </c>
      <c r="AO122" s="470" t="s">
        <v>12529</v>
      </c>
      <c r="AP122" s="470" t="s">
        <v>2362</v>
      </c>
      <c r="AQ122" s="470" t="s">
        <v>2356</v>
      </c>
      <c r="AR122" s="472" t="s">
        <v>515</v>
      </c>
      <c r="AS122" s="473" t="s">
        <v>1385</v>
      </c>
      <c r="AT122" s="472" t="s">
        <v>1390</v>
      </c>
      <c r="AU122" s="472" t="s">
        <v>420</v>
      </c>
      <c r="AV122" s="472">
        <v>2020</v>
      </c>
      <c r="AW122" s="474" t="s">
        <v>15078</v>
      </c>
      <c r="AX122" s="475" t="s">
        <v>15079</v>
      </c>
      <c r="AY122" s="515">
        <v>1</v>
      </c>
      <c r="AZ122" s="474" t="s">
        <v>15079</v>
      </c>
      <c r="BA122" s="472" t="s">
        <v>1390</v>
      </c>
      <c r="BB122" s="472" t="s">
        <v>1385</v>
      </c>
      <c r="BC122" s="472" t="s">
        <v>1385</v>
      </c>
      <c r="BD122" s="472" t="s">
        <v>1385</v>
      </c>
      <c r="BE122" s="472" t="s">
        <v>1385</v>
      </c>
      <c r="BF122" s="472">
        <v>25261.200000000001</v>
      </c>
      <c r="BG122" s="472">
        <v>0</v>
      </c>
      <c r="BH122" s="472" t="s">
        <v>1385</v>
      </c>
      <c r="BI122" s="510">
        <v>0</v>
      </c>
      <c r="BJ122" s="510">
        <v>0</v>
      </c>
      <c r="BK122" s="510">
        <v>0</v>
      </c>
      <c r="BL122" s="510">
        <v>0</v>
      </c>
      <c r="BM122" s="510">
        <v>0</v>
      </c>
      <c r="BN122" s="510">
        <v>4000</v>
      </c>
      <c r="BO122" s="510">
        <v>0</v>
      </c>
      <c r="BP122" s="510">
        <v>0</v>
      </c>
      <c r="BQ122" s="510">
        <v>0</v>
      </c>
      <c r="BR122" s="510">
        <v>0</v>
      </c>
      <c r="BS122" s="510">
        <v>0</v>
      </c>
      <c r="BT122" s="510">
        <v>0</v>
      </c>
      <c r="BU122" s="510">
        <v>0</v>
      </c>
      <c r="BV122" s="510">
        <v>0</v>
      </c>
      <c r="BW122" s="510">
        <v>0</v>
      </c>
      <c r="BX122" s="510">
        <v>30000</v>
      </c>
      <c r="BY122" s="1011">
        <v>0</v>
      </c>
      <c r="BZ122" s="510">
        <v>0</v>
      </c>
      <c r="CA122" s="1011">
        <v>0</v>
      </c>
      <c r="CB122" s="510">
        <v>0</v>
      </c>
      <c r="CC122" s="1011">
        <v>0</v>
      </c>
      <c r="CD122" s="510">
        <v>0</v>
      </c>
      <c r="CE122" s="1011">
        <v>0</v>
      </c>
      <c r="CF122" s="510">
        <v>48595.199999999997</v>
      </c>
      <c r="CG122" s="1011">
        <v>0</v>
      </c>
      <c r="CH122" s="510">
        <v>0</v>
      </c>
      <c r="CI122" s="1011">
        <v>0</v>
      </c>
    </row>
    <row r="123" spans="1:87" s="448" customFormat="1" ht="12.75" customHeight="1" x14ac:dyDescent="0.2">
      <c r="A123" s="449">
        <v>76</v>
      </c>
      <c r="B123" s="453">
        <v>17710</v>
      </c>
      <c r="C123" s="454" t="s">
        <v>2363</v>
      </c>
      <c r="D123" s="454" t="s">
        <v>1390</v>
      </c>
      <c r="E123" s="454" t="s">
        <v>2364</v>
      </c>
      <c r="F123" s="454" t="s">
        <v>523</v>
      </c>
      <c r="G123" s="454" t="s">
        <v>12530</v>
      </c>
      <c r="H123" s="455">
        <v>2091102000195</v>
      </c>
      <c r="I123" s="462">
        <v>35664</v>
      </c>
      <c r="J123" s="457">
        <v>35775050</v>
      </c>
      <c r="K123" s="454" t="s">
        <v>1683</v>
      </c>
      <c r="L123" s="458">
        <v>851</v>
      </c>
      <c r="M123" s="454" t="s">
        <v>2366</v>
      </c>
      <c r="N123" s="459">
        <v>8440180</v>
      </c>
      <c r="O123" s="460">
        <v>25571909</v>
      </c>
      <c r="P123" s="462">
        <v>261419</v>
      </c>
      <c r="Q123" s="462">
        <v>76</v>
      </c>
      <c r="R123" s="462">
        <v>43921</v>
      </c>
      <c r="S123" s="463">
        <v>591</v>
      </c>
      <c r="T123" s="464">
        <v>3.6</v>
      </c>
      <c r="U123" s="465">
        <v>2127.6</v>
      </c>
      <c r="V123" s="465">
        <v>16560</v>
      </c>
      <c r="W123" s="466">
        <v>0</v>
      </c>
      <c r="X123" s="467">
        <v>1</v>
      </c>
      <c r="Y123" s="466">
        <v>28031.4</v>
      </c>
      <c r="Z123" s="468" t="s">
        <v>516</v>
      </c>
      <c r="AA123" s="466">
        <v>110392.2</v>
      </c>
      <c r="AB123" s="466">
        <v>110392.2</v>
      </c>
      <c r="AC123" s="467">
        <v>0</v>
      </c>
      <c r="AD123" s="466">
        <v>0</v>
      </c>
      <c r="AE123" s="468" t="s">
        <v>516</v>
      </c>
      <c r="AF123" s="466">
        <v>0</v>
      </c>
      <c r="AG123" s="466">
        <v>0</v>
      </c>
      <c r="AH123" s="466">
        <v>9864.77</v>
      </c>
      <c r="AI123" s="466">
        <v>4065.16</v>
      </c>
      <c r="AJ123" s="469" t="s">
        <v>1395</v>
      </c>
      <c r="AK123" s="470" t="s">
        <v>523</v>
      </c>
      <c r="AL123" s="471" t="s">
        <v>2367</v>
      </c>
      <c r="AM123" s="470" t="s">
        <v>2368</v>
      </c>
      <c r="AN123" s="470" t="s">
        <v>2365</v>
      </c>
      <c r="AO123" s="470" t="s">
        <v>2369</v>
      </c>
      <c r="AP123" s="470" t="s">
        <v>2370</v>
      </c>
      <c r="AQ123" s="470" t="s">
        <v>2363</v>
      </c>
      <c r="AR123" s="472" t="s">
        <v>515</v>
      </c>
      <c r="AS123" s="473" t="s">
        <v>1385</v>
      </c>
      <c r="AT123" s="472" t="s">
        <v>1390</v>
      </c>
      <c r="AU123" s="472" t="s">
        <v>420</v>
      </c>
      <c r="AV123" s="472">
        <v>2020</v>
      </c>
      <c r="AW123" s="474" t="s">
        <v>15078</v>
      </c>
      <c r="AX123" s="475" t="s">
        <v>15079</v>
      </c>
      <c r="AY123" s="515">
        <v>1</v>
      </c>
      <c r="AZ123" s="474" t="s">
        <v>15079</v>
      </c>
      <c r="BA123" s="472" t="s">
        <v>1390</v>
      </c>
      <c r="BB123" s="472" t="s">
        <v>1385</v>
      </c>
      <c r="BC123" s="472" t="s">
        <v>1385</v>
      </c>
      <c r="BD123" s="472" t="s">
        <v>1385</v>
      </c>
      <c r="BE123" s="472" t="s">
        <v>1385</v>
      </c>
      <c r="BF123" s="472">
        <v>28031.4</v>
      </c>
      <c r="BG123" s="472">
        <v>0</v>
      </c>
      <c r="BH123" s="472" t="s">
        <v>1385</v>
      </c>
      <c r="BI123" s="510">
        <v>0</v>
      </c>
      <c r="BJ123" s="510">
        <v>0</v>
      </c>
      <c r="BK123" s="510">
        <v>0</v>
      </c>
      <c r="BL123" s="510">
        <v>0</v>
      </c>
      <c r="BM123" s="510">
        <v>0</v>
      </c>
      <c r="BN123" s="510">
        <v>5000</v>
      </c>
      <c r="BO123" s="510">
        <v>0</v>
      </c>
      <c r="BP123" s="510">
        <v>0</v>
      </c>
      <c r="BQ123" s="510">
        <v>0</v>
      </c>
      <c r="BR123" s="510">
        <v>0</v>
      </c>
      <c r="BS123" s="510">
        <v>0</v>
      </c>
      <c r="BT123" s="510">
        <v>0</v>
      </c>
      <c r="BU123" s="510">
        <v>0</v>
      </c>
      <c r="BV123" s="510">
        <v>0</v>
      </c>
      <c r="BW123" s="510">
        <v>0</v>
      </c>
      <c r="BX123" s="510">
        <v>30000</v>
      </c>
      <c r="BY123" s="1011">
        <v>0</v>
      </c>
      <c r="BZ123" s="510">
        <v>0</v>
      </c>
      <c r="CA123" s="1011">
        <v>0</v>
      </c>
      <c r="CB123" s="510">
        <v>0</v>
      </c>
      <c r="CC123" s="1011">
        <v>0</v>
      </c>
      <c r="CD123" s="510">
        <v>0</v>
      </c>
      <c r="CE123" s="1011">
        <v>0</v>
      </c>
      <c r="CF123" s="510">
        <v>52360.800000000003</v>
      </c>
      <c r="CG123" s="1011">
        <v>0</v>
      </c>
      <c r="CH123" s="510">
        <v>0</v>
      </c>
      <c r="CI123" s="1011">
        <v>0</v>
      </c>
    </row>
    <row r="124" spans="1:87" ht="12.75" customHeight="1" x14ac:dyDescent="0.2">
      <c r="A124" s="449">
        <v>88</v>
      </c>
      <c r="B124" s="453">
        <v>17728</v>
      </c>
      <c r="C124" s="454" t="s">
        <v>2371</v>
      </c>
      <c r="D124" s="454" t="s">
        <v>1390</v>
      </c>
      <c r="E124" s="454" t="s">
        <v>2372</v>
      </c>
      <c r="F124" s="454" t="s">
        <v>525</v>
      </c>
      <c r="G124" s="454" t="s">
        <v>12531</v>
      </c>
      <c r="H124" s="455">
        <v>1968846000182</v>
      </c>
      <c r="I124" s="462">
        <v>35601</v>
      </c>
      <c r="J124" s="457">
        <v>37410563</v>
      </c>
      <c r="K124" s="454" t="s">
        <v>2374</v>
      </c>
      <c r="L124" s="458">
        <v>120</v>
      </c>
      <c r="M124" s="454" t="s">
        <v>2375</v>
      </c>
      <c r="N124" s="459">
        <v>2142000</v>
      </c>
      <c r="O124" s="460">
        <v>29511298</v>
      </c>
      <c r="P124" s="462">
        <v>335986</v>
      </c>
      <c r="Q124" s="462">
        <v>88</v>
      </c>
      <c r="R124" s="462">
        <v>43950</v>
      </c>
      <c r="S124" s="463">
        <v>181</v>
      </c>
      <c r="T124" s="464">
        <v>3.6</v>
      </c>
      <c r="U124" s="465">
        <v>651.6</v>
      </c>
      <c r="V124" s="465">
        <v>10800</v>
      </c>
      <c r="W124" s="466">
        <v>0</v>
      </c>
      <c r="X124" s="467">
        <v>1</v>
      </c>
      <c r="Y124" s="466">
        <v>22037.4</v>
      </c>
      <c r="Z124" s="468" t="s">
        <v>516</v>
      </c>
      <c r="AA124" s="466">
        <v>101485.4</v>
      </c>
      <c r="AB124" s="466">
        <v>101485.4</v>
      </c>
      <c r="AC124" s="467">
        <v>0</v>
      </c>
      <c r="AD124" s="466">
        <v>0</v>
      </c>
      <c r="AE124" s="468" t="s">
        <v>516</v>
      </c>
      <c r="AF124" s="466">
        <v>0</v>
      </c>
      <c r="AG124" s="466">
        <v>0</v>
      </c>
      <c r="AH124" s="466">
        <v>39515.47</v>
      </c>
      <c r="AI124" s="466">
        <v>10479.81</v>
      </c>
      <c r="AJ124" s="469" t="s">
        <v>1448</v>
      </c>
      <c r="AK124" s="470" t="s">
        <v>1449</v>
      </c>
      <c r="AL124" s="471" t="s">
        <v>2376</v>
      </c>
      <c r="AM124" s="470" t="s">
        <v>2377</v>
      </c>
      <c r="AN124" s="470" t="s">
        <v>2373</v>
      </c>
      <c r="AO124" s="470" t="s">
        <v>2378</v>
      </c>
      <c r="AP124" s="470" t="s">
        <v>2379</v>
      </c>
      <c r="AQ124" s="470" t="s">
        <v>2371</v>
      </c>
      <c r="AR124" s="472" t="s">
        <v>515</v>
      </c>
      <c r="AS124" s="473" t="s">
        <v>1385</v>
      </c>
      <c r="AT124" s="472" t="s">
        <v>1390</v>
      </c>
      <c r="AU124" s="472" t="s">
        <v>420</v>
      </c>
      <c r="AV124" s="472">
        <v>2020</v>
      </c>
      <c r="AW124" s="474" t="s">
        <v>15078</v>
      </c>
      <c r="AX124" s="475" t="s">
        <v>15079</v>
      </c>
      <c r="AY124" s="515">
        <v>1</v>
      </c>
      <c r="AZ124" s="474" t="s">
        <v>15079</v>
      </c>
      <c r="BA124" s="472" t="s">
        <v>1390</v>
      </c>
      <c r="BB124" s="472" t="s">
        <v>516</v>
      </c>
      <c r="BC124" s="472">
        <v>6</v>
      </c>
      <c r="BD124" s="472">
        <v>3240</v>
      </c>
      <c r="BE124" s="472">
        <v>0</v>
      </c>
      <c r="BF124" s="472">
        <v>22037.4</v>
      </c>
      <c r="BG124" s="472">
        <v>0</v>
      </c>
      <c r="BH124" s="472" t="s">
        <v>1385</v>
      </c>
      <c r="BI124" s="510">
        <v>0</v>
      </c>
      <c r="BJ124" s="510">
        <v>0</v>
      </c>
      <c r="BK124" s="510">
        <v>0</v>
      </c>
      <c r="BL124" s="510">
        <v>0</v>
      </c>
      <c r="BM124" s="510">
        <v>0</v>
      </c>
      <c r="BN124" s="510">
        <v>0</v>
      </c>
      <c r="BO124" s="510">
        <v>0</v>
      </c>
      <c r="BP124" s="510">
        <v>0</v>
      </c>
      <c r="BQ124" s="510">
        <v>0</v>
      </c>
      <c r="BR124" s="510">
        <v>0</v>
      </c>
      <c r="BS124" s="510">
        <v>0</v>
      </c>
      <c r="BT124" s="510">
        <v>0</v>
      </c>
      <c r="BU124" s="510">
        <v>0</v>
      </c>
      <c r="BV124" s="510">
        <v>0</v>
      </c>
      <c r="BW124" s="510">
        <v>0</v>
      </c>
      <c r="BX124" s="510">
        <v>30000</v>
      </c>
      <c r="BY124" s="1011">
        <v>0</v>
      </c>
      <c r="BZ124" s="510">
        <v>0</v>
      </c>
      <c r="CA124" s="1011">
        <v>0</v>
      </c>
      <c r="CB124" s="510">
        <v>0</v>
      </c>
      <c r="CC124" s="1011">
        <v>0</v>
      </c>
      <c r="CD124" s="510">
        <v>0</v>
      </c>
      <c r="CE124" s="1011">
        <v>0</v>
      </c>
      <c r="CF124" s="510">
        <v>49448</v>
      </c>
      <c r="CG124" s="1011">
        <v>0</v>
      </c>
      <c r="CH124" s="510">
        <v>0</v>
      </c>
      <c r="CI124" s="1011">
        <v>0</v>
      </c>
    </row>
    <row r="125" spans="1:87" ht="12.75" customHeight="1" x14ac:dyDescent="0.2">
      <c r="A125" s="449">
        <v>66</v>
      </c>
      <c r="B125" s="453">
        <v>17736</v>
      </c>
      <c r="C125" s="454" t="s">
        <v>2380</v>
      </c>
      <c r="D125" s="454" t="s">
        <v>1390</v>
      </c>
      <c r="E125" s="454" t="s">
        <v>2381</v>
      </c>
      <c r="F125" s="454" t="s">
        <v>524</v>
      </c>
      <c r="G125" s="454" t="s">
        <v>12532</v>
      </c>
      <c r="H125" s="455">
        <v>2064769000107</v>
      </c>
      <c r="I125" s="462">
        <v>35607</v>
      </c>
      <c r="J125" s="457">
        <v>37500090</v>
      </c>
      <c r="K125" s="454" t="s">
        <v>2382</v>
      </c>
      <c r="L125" s="458">
        <v>34</v>
      </c>
      <c r="M125" s="454" t="s">
        <v>2383</v>
      </c>
      <c r="N125" s="459">
        <v>1138040</v>
      </c>
      <c r="O125" s="460">
        <v>33921898</v>
      </c>
      <c r="P125" s="462">
        <v>199306</v>
      </c>
      <c r="Q125" s="462">
        <v>72</v>
      </c>
      <c r="R125" s="462">
        <v>43906</v>
      </c>
      <c r="S125" s="463">
        <v>219</v>
      </c>
      <c r="T125" s="464">
        <v>3.6</v>
      </c>
      <c r="U125" s="465">
        <v>788.4</v>
      </c>
      <c r="V125" s="465">
        <v>12240</v>
      </c>
      <c r="W125" s="466">
        <v>0</v>
      </c>
      <c r="X125" s="467">
        <v>1</v>
      </c>
      <c r="Y125" s="466">
        <v>19542.599999999999</v>
      </c>
      <c r="Z125" s="468" t="s">
        <v>516</v>
      </c>
      <c r="AA125" s="466">
        <v>90714.6</v>
      </c>
      <c r="AB125" s="466">
        <v>90714.6</v>
      </c>
      <c r="AC125" s="467">
        <v>0</v>
      </c>
      <c r="AD125" s="466">
        <v>0</v>
      </c>
      <c r="AE125" s="468" t="s">
        <v>516</v>
      </c>
      <c r="AF125" s="466">
        <v>0</v>
      </c>
      <c r="AG125" s="466">
        <v>0</v>
      </c>
      <c r="AH125" s="466">
        <v>19293.62</v>
      </c>
      <c r="AI125" s="466">
        <v>4280.04</v>
      </c>
      <c r="AJ125" s="469" t="s">
        <v>2384</v>
      </c>
      <c r="AK125" s="470" t="s">
        <v>2385</v>
      </c>
      <c r="AL125" s="471" t="s">
        <v>2386</v>
      </c>
      <c r="AM125" s="470" t="s">
        <v>15152</v>
      </c>
      <c r="AN125" s="470" t="s">
        <v>2387</v>
      </c>
      <c r="AO125" s="470" t="s">
        <v>12533</v>
      </c>
      <c r="AP125" s="470" t="s">
        <v>2388</v>
      </c>
      <c r="AQ125" s="470" t="s">
        <v>2380</v>
      </c>
      <c r="AR125" s="472" t="s">
        <v>515</v>
      </c>
      <c r="AS125" s="473" t="s">
        <v>1385</v>
      </c>
      <c r="AT125" s="472" t="s">
        <v>1390</v>
      </c>
      <c r="AU125" s="472" t="s">
        <v>420</v>
      </c>
      <c r="AV125" s="472">
        <v>2020</v>
      </c>
      <c r="AW125" s="474" t="s">
        <v>15078</v>
      </c>
      <c r="AX125" s="475" t="s">
        <v>15079</v>
      </c>
      <c r="AY125" s="515">
        <v>1</v>
      </c>
      <c r="AZ125" s="474" t="s">
        <v>15079</v>
      </c>
      <c r="BA125" s="472" t="s">
        <v>1390</v>
      </c>
      <c r="BB125" s="472" t="s">
        <v>1385</v>
      </c>
      <c r="BC125" s="472" t="s">
        <v>1385</v>
      </c>
      <c r="BD125" s="472" t="s">
        <v>1385</v>
      </c>
      <c r="BE125" s="472" t="s">
        <v>1385</v>
      </c>
      <c r="BF125" s="472">
        <v>19542.599999999999</v>
      </c>
      <c r="BG125" s="472">
        <v>0</v>
      </c>
      <c r="BH125" s="472" t="s">
        <v>1385</v>
      </c>
      <c r="BI125" s="510">
        <v>0</v>
      </c>
      <c r="BJ125" s="510">
        <v>0</v>
      </c>
      <c r="BK125" s="510">
        <v>0</v>
      </c>
      <c r="BL125" s="510">
        <v>0</v>
      </c>
      <c r="BM125" s="510">
        <v>0</v>
      </c>
      <c r="BN125" s="510">
        <v>810</v>
      </c>
      <c r="BO125" s="510">
        <v>0</v>
      </c>
      <c r="BP125" s="510">
        <v>0</v>
      </c>
      <c r="BQ125" s="510">
        <v>0</v>
      </c>
      <c r="BR125" s="510">
        <v>0</v>
      </c>
      <c r="BS125" s="510">
        <v>0</v>
      </c>
      <c r="BT125" s="510">
        <v>0</v>
      </c>
      <c r="BU125" s="510">
        <v>0</v>
      </c>
      <c r="BV125" s="510">
        <v>0</v>
      </c>
      <c r="BW125" s="510">
        <v>0</v>
      </c>
      <c r="BX125" s="510">
        <v>30000</v>
      </c>
      <c r="BY125" s="1011">
        <v>0</v>
      </c>
      <c r="BZ125" s="510">
        <v>0</v>
      </c>
      <c r="CA125" s="1011">
        <v>0</v>
      </c>
      <c r="CB125" s="510">
        <v>0</v>
      </c>
      <c r="CC125" s="1011">
        <v>0</v>
      </c>
      <c r="CD125" s="510">
        <v>0</v>
      </c>
      <c r="CE125" s="1011">
        <v>0</v>
      </c>
      <c r="CF125" s="510">
        <v>41172</v>
      </c>
      <c r="CG125" s="1011">
        <v>0</v>
      </c>
      <c r="CH125" s="510">
        <v>0</v>
      </c>
      <c r="CI125" s="1011">
        <v>0</v>
      </c>
    </row>
    <row r="126" spans="1:87" ht="12.75" customHeight="1" x14ac:dyDescent="0.2">
      <c r="A126" s="449">
        <v>51</v>
      </c>
      <c r="B126" s="453">
        <v>17973</v>
      </c>
      <c r="C126" s="454" t="s">
        <v>2389</v>
      </c>
      <c r="D126" s="454" t="s">
        <v>517</v>
      </c>
      <c r="E126" s="454" t="s">
        <v>2390</v>
      </c>
      <c r="F126" s="454" t="s">
        <v>523</v>
      </c>
      <c r="G126" s="454" t="s">
        <v>12534</v>
      </c>
      <c r="H126" s="455">
        <v>1865014000130</v>
      </c>
      <c r="I126" s="462">
        <v>35564</v>
      </c>
      <c r="J126" s="457">
        <v>37615408</v>
      </c>
      <c r="K126" s="454" t="s">
        <v>2392</v>
      </c>
      <c r="L126" s="458">
        <v>100</v>
      </c>
      <c r="M126" s="454" t="s">
        <v>2393</v>
      </c>
      <c r="N126" s="459">
        <v>8473605</v>
      </c>
      <c r="O126" s="460">
        <v>22824000</v>
      </c>
      <c r="P126" s="462">
        <v>262016</v>
      </c>
      <c r="Q126" s="462">
        <v>51</v>
      </c>
      <c r="R126" s="462">
        <v>43930</v>
      </c>
      <c r="S126" s="463">
        <v>1399</v>
      </c>
      <c r="T126" s="464">
        <v>5.4</v>
      </c>
      <c r="U126" s="465">
        <v>7554.6</v>
      </c>
      <c r="V126" s="465">
        <v>21960</v>
      </c>
      <c r="W126" s="466">
        <v>0</v>
      </c>
      <c r="X126" s="467">
        <v>1</v>
      </c>
      <c r="Y126" s="466">
        <v>44271.9</v>
      </c>
      <c r="Z126" s="468" t="s">
        <v>516</v>
      </c>
      <c r="AA126" s="466">
        <v>154469.5</v>
      </c>
      <c r="AB126" s="466">
        <v>154469.5</v>
      </c>
      <c r="AC126" s="467">
        <v>0</v>
      </c>
      <c r="AD126" s="466">
        <v>0</v>
      </c>
      <c r="AE126" s="468" t="s">
        <v>516</v>
      </c>
      <c r="AF126" s="466">
        <v>2000</v>
      </c>
      <c r="AG126" s="466">
        <v>2000</v>
      </c>
      <c r="AH126" s="466">
        <v>23812.66</v>
      </c>
      <c r="AI126" s="466">
        <v>8470.89</v>
      </c>
      <c r="AJ126" s="469" t="s">
        <v>1674</v>
      </c>
      <c r="AK126" s="470" t="s">
        <v>518</v>
      </c>
      <c r="AL126" s="471" t="s">
        <v>2394</v>
      </c>
      <c r="AM126" s="470" t="s">
        <v>2395</v>
      </c>
      <c r="AN126" s="470" t="s">
        <v>2391</v>
      </c>
      <c r="AO126" s="470" t="s">
        <v>2396</v>
      </c>
      <c r="AP126" s="470" t="s">
        <v>2397</v>
      </c>
      <c r="AQ126" s="470" t="s">
        <v>2389</v>
      </c>
      <c r="AR126" s="472" t="s">
        <v>515</v>
      </c>
      <c r="AS126" s="473" t="s">
        <v>1385</v>
      </c>
      <c r="AT126" s="472" t="s">
        <v>517</v>
      </c>
      <c r="AU126" s="472" t="s">
        <v>420</v>
      </c>
      <c r="AV126" s="472">
        <v>2020</v>
      </c>
      <c r="AW126" s="474" t="s">
        <v>15078</v>
      </c>
      <c r="AX126" s="475" t="s">
        <v>15079</v>
      </c>
      <c r="AY126" s="515">
        <v>1</v>
      </c>
      <c r="AZ126" s="474" t="s">
        <v>15079</v>
      </c>
      <c r="BA126" s="472" t="s">
        <v>517</v>
      </c>
      <c r="BB126" s="472" t="s">
        <v>1385</v>
      </c>
      <c r="BC126" s="472" t="s">
        <v>1385</v>
      </c>
      <c r="BD126" s="472" t="s">
        <v>1385</v>
      </c>
      <c r="BE126" s="472" t="s">
        <v>1385</v>
      </c>
      <c r="BF126" s="472">
        <v>44271.9</v>
      </c>
      <c r="BG126" s="472">
        <v>0</v>
      </c>
      <c r="BH126" s="472" t="s">
        <v>1385</v>
      </c>
      <c r="BI126" s="510">
        <v>0</v>
      </c>
      <c r="BJ126" s="510">
        <v>0</v>
      </c>
      <c r="BK126" s="510">
        <v>0</v>
      </c>
      <c r="BL126" s="510">
        <v>0</v>
      </c>
      <c r="BM126" s="510">
        <v>0</v>
      </c>
      <c r="BN126" s="510">
        <v>6000</v>
      </c>
      <c r="BO126" s="510">
        <v>0</v>
      </c>
      <c r="BP126" s="510">
        <v>2000</v>
      </c>
      <c r="BQ126" s="510">
        <v>0</v>
      </c>
      <c r="BR126" s="510">
        <v>0</v>
      </c>
      <c r="BS126" s="510">
        <v>0</v>
      </c>
      <c r="BT126" s="510">
        <v>0</v>
      </c>
      <c r="BU126" s="510">
        <v>0</v>
      </c>
      <c r="BV126" s="510">
        <v>0</v>
      </c>
      <c r="BW126" s="510">
        <v>0</v>
      </c>
      <c r="BX126" s="510">
        <v>30000</v>
      </c>
      <c r="BY126" s="1011">
        <v>0</v>
      </c>
      <c r="BZ126" s="510">
        <v>0</v>
      </c>
      <c r="CA126" s="1011">
        <v>0</v>
      </c>
      <c r="CB126" s="510">
        <v>22000</v>
      </c>
      <c r="CC126" s="1011">
        <v>0</v>
      </c>
      <c r="CD126" s="510">
        <v>0</v>
      </c>
      <c r="CE126" s="1011">
        <v>0</v>
      </c>
      <c r="CF126" s="510">
        <v>58197.599999999999</v>
      </c>
      <c r="CG126" s="1011">
        <v>0</v>
      </c>
      <c r="CH126" s="510">
        <v>0</v>
      </c>
      <c r="CI126" s="1011">
        <v>0</v>
      </c>
    </row>
    <row r="127" spans="1:87" ht="12.75" customHeight="1" x14ac:dyDescent="0.2">
      <c r="A127" s="449">
        <v>52</v>
      </c>
      <c r="B127" s="453">
        <v>17981</v>
      </c>
      <c r="C127" s="454" t="s">
        <v>2398</v>
      </c>
      <c r="D127" s="454" t="s">
        <v>517</v>
      </c>
      <c r="E127" s="454" t="s">
        <v>2399</v>
      </c>
      <c r="F127" s="454" t="s">
        <v>524</v>
      </c>
      <c r="G127" s="454" t="s">
        <v>12535</v>
      </c>
      <c r="H127" s="455">
        <v>2093488000174</v>
      </c>
      <c r="I127" s="462">
        <v>35664</v>
      </c>
      <c r="J127" s="457">
        <v>37500031</v>
      </c>
      <c r="K127" s="454" t="s">
        <v>2400</v>
      </c>
      <c r="L127" s="458">
        <v>62</v>
      </c>
      <c r="M127" s="454" t="s">
        <v>2401</v>
      </c>
      <c r="N127" s="459">
        <v>4230045</v>
      </c>
      <c r="O127" s="460">
        <v>22725205</v>
      </c>
      <c r="P127" s="462">
        <v>210393</v>
      </c>
      <c r="Q127" s="462">
        <v>57</v>
      </c>
      <c r="R127" s="462">
        <v>43906</v>
      </c>
      <c r="S127" s="463">
        <v>520</v>
      </c>
      <c r="T127" s="464">
        <v>5.4</v>
      </c>
      <c r="U127" s="465">
        <v>2808</v>
      </c>
      <c r="V127" s="465">
        <v>17100</v>
      </c>
      <c r="W127" s="466">
        <v>0</v>
      </c>
      <c r="X127" s="467">
        <v>1</v>
      </c>
      <c r="Y127" s="466">
        <v>29862</v>
      </c>
      <c r="Z127" s="468" t="s">
        <v>516</v>
      </c>
      <c r="AA127" s="466">
        <v>117973.6</v>
      </c>
      <c r="AB127" s="466">
        <v>117973.6</v>
      </c>
      <c r="AC127" s="467">
        <v>0</v>
      </c>
      <c r="AD127" s="466">
        <v>0</v>
      </c>
      <c r="AE127" s="468" t="s">
        <v>516</v>
      </c>
      <c r="AF127" s="466">
        <v>0</v>
      </c>
      <c r="AG127" s="466">
        <v>0</v>
      </c>
      <c r="AH127" s="466">
        <v>448.71</v>
      </c>
      <c r="AI127" s="466">
        <v>0</v>
      </c>
      <c r="AJ127" s="469" t="s">
        <v>2402</v>
      </c>
      <c r="AK127" s="470" t="s">
        <v>2403</v>
      </c>
      <c r="AL127" s="471" t="s">
        <v>2404</v>
      </c>
      <c r="AM127" s="470" t="s">
        <v>15140</v>
      </c>
      <c r="AN127" s="470" t="s">
        <v>2405</v>
      </c>
      <c r="AO127" s="470" t="s">
        <v>12536</v>
      </c>
      <c r="AP127" s="470" t="s">
        <v>2406</v>
      </c>
      <c r="AQ127" s="470" t="s">
        <v>2398</v>
      </c>
      <c r="AR127" s="472" t="s">
        <v>515</v>
      </c>
      <c r="AS127" s="473" t="s">
        <v>1385</v>
      </c>
      <c r="AT127" s="472" t="s">
        <v>517</v>
      </c>
      <c r="AU127" s="472" t="s">
        <v>420</v>
      </c>
      <c r="AV127" s="472">
        <v>2020</v>
      </c>
      <c r="AW127" s="474" t="s">
        <v>15078</v>
      </c>
      <c r="AX127" s="475" t="s">
        <v>15079</v>
      </c>
      <c r="AY127" s="515">
        <v>1</v>
      </c>
      <c r="AZ127" s="474" t="s">
        <v>15079</v>
      </c>
      <c r="BA127" s="472" t="s">
        <v>517</v>
      </c>
      <c r="BB127" s="472" t="s">
        <v>1385</v>
      </c>
      <c r="BC127" s="472" t="s">
        <v>1385</v>
      </c>
      <c r="BD127" s="472" t="s">
        <v>1385</v>
      </c>
      <c r="BE127" s="472" t="s">
        <v>1385</v>
      </c>
      <c r="BF127" s="472">
        <v>29862</v>
      </c>
      <c r="BG127" s="472">
        <v>0</v>
      </c>
      <c r="BH127" s="472" t="s">
        <v>1385</v>
      </c>
      <c r="BI127" s="510">
        <v>0</v>
      </c>
      <c r="BJ127" s="510">
        <v>0</v>
      </c>
      <c r="BK127" s="510">
        <v>0</v>
      </c>
      <c r="BL127" s="510">
        <v>1843.68</v>
      </c>
      <c r="BM127" s="510">
        <v>0</v>
      </c>
      <c r="BN127" s="510">
        <v>3500</v>
      </c>
      <c r="BO127" s="510">
        <v>0</v>
      </c>
      <c r="BP127" s="510">
        <v>0</v>
      </c>
      <c r="BQ127" s="510">
        <v>0</v>
      </c>
      <c r="BR127" s="510">
        <v>0</v>
      </c>
      <c r="BS127" s="510">
        <v>0</v>
      </c>
      <c r="BT127" s="510">
        <v>0</v>
      </c>
      <c r="BU127" s="510">
        <v>2500</v>
      </c>
      <c r="BV127" s="510">
        <v>2500</v>
      </c>
      <c r="BW127" s="510">
        <v>0</v>
      </c>
      <c r="BX127" s="510">
        <v>30000</v>
      </c>
      <c r="BY127" s="1011">
        <v>0</v>
      </c>
      <c r="BZ127" s="510">
        <v>0</v>
      </c>
      <c r="CA127" s="1011">
        <v>0</v>
      </c>
      <c r="CB127" s="510">
        <v>22000</v>
      </c>
      <c r="CC127" s="1011">
        <v>0</v>
      </c>
      <c r="CD127" s="510">
        <v>0</v>
      </c>
      <c r="CE127" s="1011">
        <v>0</v>
      </c>
      <c r="CF127" s="510">
        <v>36111.599999999999</v>
      </c>
      <c r="CG127" s="1011">
        <v>0</v>
      </c>
      <c r="CH127" s="510">
        <v>0</v>
      </c>
      <c r="CI127" s="1011">
        <v>0</v>
      </c>
    </row>
    <row r="128" spans="1:87" ht="12.75" customHeight="1" x14ac:dyDescent="0.2">
      <c r="A128" s="449">
        <v>79</v>
      </c>
      <c r="B128" s="453">
        <v>18201</v>
      </c>
      <c r="C128" s="454" t="s">
        <v>2407</v>
      </c>
      <c r="D128" s="454" t="s">
        <v>1390</v>
      </c>
      <c r="E128" s="454" t="s">
        <v>2408</v>
      </c>
      <c r="F128" s="454" t="s">
        <v>523</v>
      </c>
      <c r="G128" s="454" t="s">
        <v>12537</v>
      </c>
      <c r="H128" s="455">
        <v>2229478000113</v>
      </c>
      <c r="I128" s="462">
        <v>35726</v>
      </c>
      <c r="J128" s="457">
        <v>37615483</v>
      </c>
      <c r="K128" s="454" t="s">
        <v>2409</v>
      </c>
      <c r="L128" s="458">
        <v>55</v>
      </c>
      <c r="M128" s="454" t="s">
        <v>1950</v>
      </c>
      <c r="N128" s="459">
        <v>8475080</v>
      </c>
      <c r="O128" s="460">
        <v>22824326</v>
      </c>
      <c r="P128" s="462">
        <v>261389</v>
      </c>
      <c r="Q128" s="462">
        <v>79</v>
      </c>
      <c r="R128" s="462">
        <v>43921</v>
      </c>
      <c r="S128" s="463">
        <v>558</v>
      </c>
      <c r="T128" s="464">
        <v>3.6</v>
      </c>
      <c r="U128" s="465">
        <v>2008.8</v>
      </c>
      <c r="V128" s="465">
        <v>16560</v>
      </c>
      <c r="W128" s="466">
        <v>0</v>
      </c>
      <c r="X128" s="467">
        <v>1</v>
      </c>
      <c r="Y128" s="466">
        <v>27853.200000000001</v>
      </c>
      <c r="Z128" s="468" t="s">
        <v>516</v>
      </c>
      <c r="AA128" s="466">
        <v>109998</v>
      </c>
      <c r="AB128" s="466">
        <v>109998</v>
      </c>
      <c r="AC128" s="467">
        <v>0</v>
      </c>
      <c r="AD128" s="466">
        <v>0</v>
      </c>
      <c r="AE128" s="468" t="s">
        <v>516</v>
      </c>
      <c r="AF128" s="466">
        <v>0</v>
      </c>
      <c r="AG128" s="466">
        <v>0</v>
      </c>
      <c r="AH128" s="466">
        <v>26428.83</v>
      </c>
      <c r="AI128" s="466">
        <v>14518.92</v>
      </c>
      <c r="AJ128" s="469" t="s">
        <v>1395</v>
      </c>
      <c r="AK128" s="470" t="s">
        <v>523</v>
      </c>
      <c r="AL128" s="471" t="s">
        <v>2410</v>
      </c>
      <c r="AM128" s="470" t="s">
        <v>2411</v>
      </c>
      <c r="AN128" s="470" t="s">
        <v>2412</v>
      </c>
      <c r="AO128" s="470" t="s">
        <v>2413</v>
      </c>
      <c r="AP128" s="470" t="s">
        <v>2414</v>
      </c>
      <c r="AQ128" s="470" t="s">
        <v>2407</v>
      </c>
      <c r="AR128" s="472" t="s">
        <v>515</v>
      </c>
      <c r="AS128" s="473" t="s">
        <v>1385</v>
      </c>
      <c r="AT128" s="472" t="s">
        <v>1390</v>
      </c>
      <c r="AU128" s="472" t="s">
        <v>420</v>
      </c>
      <c r="AV128" s="472">
        <v>2020</v>
      </c>
      <c r="AW128" s="474" t="s">
        <v>15078</v>
      </c>
      <c r="AX128" s="475" t="s">
        <v>15079</v>
      </c>
      <c r="AY128" s="515">
        <v>1</v>
      </c>
      <c r="AZ128" s="474" t="s">
        <v>15079</v>
      </c>
      <c r="BA128" s="472" t="s">
        <v>1390</v>
      </c>
      <c r="BB128" s="472" t="s">
        <v>1385</v>
      </c>
      <c r="BC128" s="472" t="s">
        <v>1385</v>
      </c>
      <c r="BD128" s="472" t="s">
        <v>1385</v>
      </c>
      <c r="BE128" s="472" t="s">
        <v>1385</v>
      </c>
      <c r="BF128" s="472">
        <v>27853.200000000001</v>
      </c>
      <c r="BG128" s="472">
        <v>0</v>
      </c>
      <c r="BH128" s="472" t="s">
        <v>1385</v>
      </c>
      <c r="BI128" s="510">
        <v>0</v>
      </c>
      <c r="BJ128" s="510">
        <v>0</v>
      </c>
      <c r="BK128" s="510">
        <v>0</v>
      </c>
      <c r="BL128" s="510">
        <v>0</v>
      </c>
      <c r="BM128" s="510">
        <v>0</v>
      </c>
      <c r="BN128" s="510">
        <v>5000</v>
      </c>
      <c r="BO128" s="510">
        <v>0</v>
      </c>
      <c r="BP128" s="510">
        <v>0</v>
      </c>
      <c r="BQ128" s="510">
        <v>0</v>
      </c>
      <c r="BR128" s="510">
        <v>0</v>
      </c>
      <c r="BS128" s="510">
        <v>0</v>
      </c>
      <c r="BT128" s="510">
        <v>0</v>
      </c>
      <c r="BU128" s="510">
        <v>0</v>
      </c>
      <c r="BV128" s="510">
        <v>0</v>
      </c>
      <c r="BW128" s="510">
        <v>0</v>
      </c>
      <c r="BX128" s="510">
        <v>30000</v>
      </c>
      <c r="BY128" s="1011">
        <v>0</v>
      </c>
      <c r="BZ128" s="510">
        <v>0</v>
      </c>
      <c r="CA128" s="1011">
        <v>0</v>
      </c>
      <c r="CB128" s="510">
        <v>0</v>
      </c>
      <c r="CC128" s="1011">
        <v>0</v>
      </c>
      <c r="CD128" s="510">
        <v>0</v>
      </c>
      <c r="CE128" s="1011">
        <v>0</v>
      </c>
      <c r="CF128" s="510">
        <v>52144.800000000003</v>
      </c>
      <c r="CG128" s="1011">
        <v>0</v>
      </c>
      <c r="CH128" s="510">
        <v>0</v>
      </c>
      <c r="CI128" s="1011">
        <v>0</v>
      </c>
    </row>
    <row r="129" spans="1:87" ht="12.75" customHeight="1" x14ac:dyDescent="0.2">
      <c r="A129" s="449">
        <v>87</v>
      </c>
      <c r="B129" s="453">
        <v>18210</v>
      </c>
      <c r="C129" s="454" t="s">
        <v>2415</v>
      </c>
      <c r="D129" s="454" t="s">
        <v>2253</v>
      </c>
      <c r="E129" s="454" t="s">
        <v>2416</v>
      </c>
      <c r="F129" s="454" t="s">
        <v>526</v>
      </c>
      <c r="G129" s="454" t="s">
        <v>12538</v>
      </c>
      <c r="H129" s="455">
        <v>2020695000107</v>
      </c>
      <c r="I129" s="462">
        <v>35597</v>
      </c>
      <c r="J129" s="457">
        <v>37476408</v>
      </c>
      <c r="K129" s="454" t="s">
        <v>2417</v>
      </c>
      <c r="L129" s="458">
        <v>105</v>
      </c>
      <c r="M129" s="454" t="s">
        <v>1888</v>
      </c>
      <c r="N129" s="459">
        <v>8010100</v>
      </c>
      <c r="O129" s="460">
        <v>20379060</v>
      </c>
      <c r="P129" s="462">
        <v>136894</v>
      </c>
      <c r="Q129" s="462">
        <v>87</v>
      </c>
      <c r="R129" s="462">
        <v>43928</v>
      </c>
      <c r="S129" s="463">
        <v>935</v>
      </c>
      <c r="T129" s="464">
        <v>5.4</v>
      </c>
      <c r="U129" s="465">
        <v>5049</v>
      </c>
      <c r="V129" s="465">
        <v>20340</v>
      </c>
      <c r="W129" s="466">
        <v>0</v>
      </c>
      <c r="X129" s="467">
        <v>1</v>
      </c>
      <c r="Y129" s="466">
        <v>38083.5</v>
      </c>
      <c r="Z129" s="468" t="s">
        <v>516</v>
      </c>
      <c r="AA129" s="466">
        <v>140721.1</v>
      </c>
      <c r="AB129" s="466">
        <v>140721.1</v>
      </c>
      <c r="AC129" s="467">
        <v>0</v>
      </c>
      <c r="AD129" s="466">
        <v>0</v>
      </c>
      <c r="AE129" s="468" t="s">
        <v>516</v>
      </c>
      <c r="AF129" s="466">
        <v>2000</v>
      </c>
      <c r="AG129" s="466">
        <v>2000</v>
      </c>
      <c r="AH129" s="466">
        <v>66044.740000000005</v>
      </c>
      <c r="AI129" s="466">
        <v>16129.55</v>
      </c>
      <c r="AJ129" s="469" t="s">
        <v>1839</v>
      </c>
      <c r="AK129" s="470" t="s">
        <v>526</v>
      </c>
      <c r="AL129" s="471" t="s">
        <v>2418</v>
      </c>
      <c r="AM129" s="470" t="s">
        <v>2419</v>
      </c>
      <c r="AN129" s="470" t="s">
        <v>1385</v>
      </c>
      <c r="AO129" s="470" t="s">
        <v>2420</v>
      </c>
      <c r="AP129" s="470" t="s">
        <v>2421</v>
      </c>
      <c r="AQ129" s="470" t="s">
        <v>2415</v>
      </c>
      <c r="AR129" s="472" t="s">
        <v>515</v>
      </c>
      <c r="AS129" s="473" t="s">
        <v>1385</v>
      </c>
      <c r="AT129" s="472" t="s">
        <v>2253</v>
      </c>
      <c r="AU129" s="472" t="s">
        <v>420</v>
      </c>
      <c r="AV129" s="472">
        <v>2020</v>
      </c>
      <c r="AW129" s="474" t="s">
        <v>15078</v>
      </c>
      <c r="AX129" s="475" t="s">
        <v>15079</v>
      </c>
      <c r="AY129" s="515">
        <v>1</v>
      </c>
      <c r="AZ129" s="474" t="s">
        <v>15079</v>
      </c>
      <c r="BA129" s="472" t="s">
        <v>2253</v>
      </c>
      <c r="BB129" s="472" t="s">
        <v>1385</v>
      </c>
      <c r="BC129" s="472" t="s">
        <v>1385</v>
      </c>
      <c r="BD129" s="472" t="s">
        <v>1385</v>
      </c>
      <c r="BE129" s="472" t="s">
        <v>1385</v>
      </c>
      <c r="BF129" s="472">
        <v>38083.5</v>
      </c>
      <c r="BG129" s="472">
        <v>0</v>
      </c>
      <c r="BH129" s="472" t="s">
        <v>1385</v>
      </c>
      <c r="BI129" s="510">
        <v>0</v>
      </c>
      <c r="BJ129" s="510">
        <v>8474.4699999999993</v>
      </c>
      <c r="BK129" s="510">
        <v>0</v>
      </c>
      <c r="BL129" s="510">
        <v>1289.4000000000001</v>
      </c>
      <c r="BM129" s="510">
        <v>0</v>
      </c>
      <c r="BN129" s="510">
        <v>5000</v>
      </c>
      <c r="BO129" s="510">
        <v>0</v>
      </c>
      <c r="BP129" s="510">
        <v>2000</v>
      </c>
      <c r="BQ129" s="510">
        <v>0</v>
      </c>
      <c r="BR129" s="510">
        <v>0</v>
      </c>
      <c r="BS129" s="510">
        <v>0</v>
      </c>
      <c r="BT129" s="510">
        <v>0</v>
      </c>
      <c r="BU129" s="510">
        <v>2500</v>
      </c>
      <c r="BV129" s="510">
        <v>2500</v>
      </c>
      <c r="BW129" s="510">
        <v>0</v>
      </c>
      <c r="BX129" s="510">
        <v>30000</v>
      </c>
      <c r="BY129" s="1011">
        <v>0</v>
      </c>
      <c r="BZ129" s="510">
        <v>0</v>
      </c>
      <c r="CA129" s="1011">
        <v>0</v>
      </c>
      <c r="CB129" s="510">
        <v>22000</v>
      </c>
      <c r="CC129" s="1011">
        <v>0</v>
      </c>
      <c r="CD129" s="510">
        <v>0</v>
      </c>
      <c r="CE129" s="1011">
        <v>0</v>
      </c>
      <c r="CF129" s="510">
        <v>50637.599999999999</v>
      </c>
      <c r="CG129" s="1011">
        <v>0</v>
      </c>
      <c r="CH129" s="510">
        <v>0</v>
      </c>
      <c r="CI129" s="1011">
        <v>0</v>
      </c>
    </row>
    <row r="130" spans="1:87" ht="12.75" customHeight="1" x14ac:dyDescent="0.2">
      <c r="A130" s="449">
        <v>119</v>
      </c>
      <c r="B130" s="453">
        <v>18228</v>
      </c>
      <c r="C130" s="454" t="s">
        <v>2422</v>
      </c>
      <c r="D130" s="454" t="s">
        <v>1390</v>
      </c>
      <c r="E130" s="454" t="s">
        <v>2423</v>
      </c>
      <c r="F130" s="454" t="s">
        <v>513</v>
      </c>
      <c r="G130" s="454" t="s">
        <v>12539</v>
      </c>
      <c r="H130" s="455">
        <v>2107508000119</v>
      </c>
      <c r="I130" s="462">
        <v>35664</v>
      </c>
      <c r="J130" s="457">
        <v>37531913</v>
      </c>
      <c r="K130" s="454" t="s">
        <v>2424</v>
      </c>
      <c r="L130" s="458">
        <v>45</v>
      </c>
      <c r="M130" s="454" t="s">
        <v>2425</v>
      </c>
      <c r="N130" s="459">
        <v>8330240</v>
      </c>
      <c r="O130" s="460">
        <v>20126870</v>
      </c>
      <c r="P130" s="462">
        <v>154167</v>
      </c>
      <c r="Q130" s="462">
        <v>119</v>
      </c>
      <c r="R130" s="462">
        <v>43937</v>
      </c>
      <c r="S130" s="463">
        <v>436</v>
      </c>
      <c r="T130" s="464">
        <v>3.6</v>
      </c>
      <c r="U130" s="465">
        <v>1569.6</v>
      </c>
      <c r="V130" s="465">
        <v>15120</v>
      </c>
      <c r="W130" s="466">
        <v>0</v>
      </c>
      <c r="X130" s="467">
        <v>1</v>
      </c>
      <c r="Y130" s="466">
        <v>25034.400000000001</v>
      </c>
      <c r="Z130" s="468" t="s">
        <v>516</v>
      </c>
      <c r="AA130" s="466">
        <v>100130.4</v>
      </c>
      <c r="AB130" s="466">
        <v>100130.4</v>
      </c>
      <c r="AC130" s="467">
        <v>0</v>
      </c>
      <c r="AD130" s="466">
        <v>0</v>
      </c>
      <c r="AE130" s="468" t="s">
        <v>516</v>
      </c>
      <c r="AF130" s="466">
        <v>0</v>
      </c>
      <c r="AG130" s="466">
        <v>0</v>
      </c>
      <c r="AH130" s="466">
        <v>9921.2900000000009</v>
      </c>
      <c r="AI130" s="466">
        <v>3821.28</v>
      </c>
      <c r="AJ130" s="469" t="s">
        <v>2030</v>
      </c>
      <c r="AK130" s="470" t="s">
        <v>513</v>
      </c>
      <c r="AL130" s="471" t="s">
        <v>2426</v>
      </c>
      <c r="AM130" s="470" t="s">
        <v>2427</v>
      </c>
      <c r="AN130" s="470" t="s">
        <v>2428</v>
      </c>
      <c r="AO130" s="470" t="s">
        <v>2429</v>
      </c>
      <c r="AP130" s="470" t="s">
        <v>2430</v>
      </c>
      <c r="AQ130" s="470" t="s">
        <v>2422</v>
      </c>
      <c r="AR130" s="472" t="s">
        <v>515</v>
      </c>
      <c r="AS130" s="473" t="s">
        <v>1385</v>
      </c>
      <c r="AT130" s="472" t="s">
        <v>1390</v>
      </c>
      <c r="AU130" s="472" t="s">
        <v>420</v>
      </c>
      <c r="AV130" s="472">
        <v>2020</v>
      </c>
      <c r="AW130" s="474" t="s">
        <v>15078</v>
      </c>
      <c r="AX130" s="475" t="s">
        <v>15079</v>
      </c>
      <c r="AY130" s="515">
        <v>1</v>
      </c>
      <c r="AZ130" s="474" t="s">
        <v>15079</v>
      </c>
      <c r="BA130" s="472" t="s">
        <v>1390</v>
      </c>
      <c r="BB130" s="472" t="s">
        <v>1385</v>
      </c>
      <c r="BC130" s="472" t="s">
        <v>1385</v>
      </c>
      <c r="BD130" s="472" t="s">
        <v>1385</v>
      </c>
      <c r="BE130" s="472" t="s">
        <v>1385</v>
      </c>
      <c r="BF130" s="472">
        <v>25034.400000000001</v>
      </c>
      <c r="BG130" s="472">
        <v>0</v>
      </c>
      <c r="BH130" s="472" t="s">
        <v>1385</v>
      </c>
      <c r="BI130" s="510">
        <v>0</v>
      </c>
      <c r="BJ130" s="510">
        <v>0</v>
      </c>
      <c r="BK130" s="510">
        <v>0</v>
      </c>
      <c r="BL130" s="510">
        <v>0</v>
      </c>
      <c r="BM130" s="510">
        <v>0</v>
      </c>
      <c r="BN130" s="510">
        <v>0</v>
      </c>
      <c r="BO130" s="510">
        <v>0</v>
      </c>
      <c r="BP130" s="510">
        <v>0</v>
      </c>
      <c r="BQ130" s="510">
        <v>0</v>
      </c>
      <c r="BR130" s="510">
        <v>0</v>
      </c>
      <c r="BS130" s="510">
        <v>0</v>
      </c>
      <c r="BT130" s="510">
        <v>0</v>
      </c>
      <c r="BU130" s="510">
        <v>0</v>
      </c>
      <c r="BV130" s="510">
        <v>0</v>
      </c>
      <c r="BW130" s="510">
        <v>0</v>
      </c>
      <c r="BX130" s="510">
        <v>30000</v>
      </c>
      <c r="BY130" s="1011">
        <v>0</v>
      </c>
      <c r="BZ130" s="510">
        <v>0</v>
      </c>
      <c r="CA130" s="1011">
        <v>0</v>
      </c>
      <c r="CB130" s="510">
        <v>0</v>
      </c>
      <c r="CC130" s="1011">
        <v>0</v>
      </c>
      <c r="CD130" s="510">
        <v>0</v>
      </c>
      <c r="CE130" s="1011">
        <v>0</v>
      </c>
      <c r="CF130" s="510">
        <v>45096</v>
      </c>
      <c r="CG130" s="1011">
        <v>0</v>
      </c>
      <c r="CH130" s="510">
        <v>0</v>
      </c>
      <c r="CI130" s="1011">
        <v>0</v>
      </c>
    </row>
    <row r="131" spans="1:87" ht="12.75" customHeight="1" x14ac:dyDescent="0.2">
      <c r="A131" s="449">
        <v>67</v>
      </c>
      <c r="B131" s="453">
        <v>18236</v>
      </c>
      <c r="C131" s="454" t="s">
        <v>2431</v>
      </c>
      <c r="D131" s="454" t="s">
        <v>1390</v>
      </c>
      <c r="E131" s="454" t="s">
        <v>2432</v>
      </c>
      <c r="F131" s="454" t="s">
        <v>519</v>
      </c>
      <c r="G131" s="454" t="s">
        <v>12540</v>
      </c>
      <c r="H131" s="455">
        <v>1898695000133</v>
      </c>
      <c r="I131" s="462">
        <v>35510</v>
      </c>
      <c r="J131" s="457">
        <v>37356224</v>
      </c>
      <c r="K131" s="454" t="s">
        <v>2434</v>
      </c>
      <c r="L131" s="458" t="s">
        <v>1446</v>
      </c>
      <c r="M131" s="454" t="s">
        <v>2435</v>
      </c>
      <c r="N131" s="459">
        <v>5358110</v>
      </c>
      <c r="O131" s="460">
        <v>37316049</v>
      </c>
      <c r="P131" s="462">
        <v>115048</v>
      </c>
      <c r="Q131" s="462">
        <v>53</v>
      </c>
      <c r="R131" s="462">
        <v>43881</v>
      </c>
      <c r="S131" s="463">
        <v>366</v>
      </c>
      <c r="T131" s="464">
        <v>3.6</v>
      </c>
      <c r="U131" s="465">
        <v>1317.6</v>
      </c>
      <c r="V131" s="465">
        <v>13680</v>
      </c>
      <c r="W131" s="466">
        <v>0</v>
      </c>
      <c r="X131" s="467">
        <v>1</v>
      </c>
      <c r="Y131" s="466">
        <v>0</v>
      </c>
      <c r="Z131" s="468" t="s">
        <v>514</v>
      </c>
      <c r="AA131" s="466">
        <v>0</v>
      </c>
      <c r="AB131" s="466">
        <v>0</v>
      </c>
      <c r="AC131" s="467">
        <v>0</v>
      </c>
      <c r="AD131" s="466">
        <v>0</v>
      </c>
      <c r="AE131" s="468" t="s">
        <v>516</v>
      </c>
      <c r="AF131" s="466">
        <v>0</v>
      </c>
      <c r="AG131" s="466">
        <v>0</v>
      </c>
      <c r="AH131" s="466">
        <v>4461.4799999999996</v>
      </c>
      <c r="AI131" s="466">
        <v>3445.78</v>
      </c>
      <c r="AJ131" s="469" t="s">
        <v>1940</v>
      </c>
      <c r="AK131" s="470" t="s">
        <v>1941</v>
      </c>
      <c r="AL131" s="471" t="s">
        <v>2436</v>
      </c>
      <c r="AM131" s="470" t="s">
        <v>12541</v>
      </c>
      <c r="AN131" s="470" t="s">
        <v>2433</v>
      </c>
      <c r="AO131" s="470" t="s">
        <v>12542</v>
      </c>
      <c r="AP131" s="470" t="s">
        <v>2437</v>
      </c>
      <c r="AQ131" s="470" t="s">
        <v>2431</v>
      </c>
      <c r="AR131" s="472" t="s">
        <v>515</v>
      </c>
      <c r="AS131" s="473" t="s">
        <v>1385</v>
      </c>
      <c r="AT131" s="472" t="s">
        <v>1390</v>
      </c>
      <c r="AU131" s="472" t="s">
        <v>420</v>
      </c>
      <c r="AV131" s="472">
        <v>2020</v>
      </c>
      <c r="AW131" s="474" t="s">
        <v>15078</v>
      </c>
      <c r="AX131" s="475" t="s">
        <v>15079</v>
      </c>
      <c r="AY131" s="515">
        <v>1</v>
      </c>
      <c r="AZ131" s="474" t="s">
        <v>15079</v>
      </c>
      <c r="BA131" s="472" t="s">
        <v>1385</v>
      </c>
      <c r="BB131" s="472" t="s">
        <v>1385</v>
      </c>
      <c r="BC131" s="472" t="s">
        <v>1385</v>
      </c>
      <c r="BD131" s="472" t="s">
        <v>1385</v>
      </c>
      <c r="BE131" s="472" t="s">
        <v>1385</v>
      </c>
      <c r="BF131" s="472">
        <v>22496.400000000001</v>
      </c>
      <c r="BG131" s="472">
        <v>0</v>
      </c>
      <c r="BH131" s="472" t="s">
        <v>516</v>
      </c>
      <c r="BI131" s="510">
        <v>0</v>
      </c>
      <c r="BJ131" s="510">
        <v>0</v>
      </c>
      <c r="BK131" s="510">
        <v>0</v>
      </c>
      <c r="BL131" s="510">
        <v>0</v>
      </c>
      <c r="BM131" s="510">
        <v>0</v>
      </c>
      <c r="BN131" s="510">
        <v>0</v>
      </c>
      <c r="BO131" s="510">
        <v>0</v>
      </c>
      <c r="BP131" s="510">
        <v>0</v>
      </c>
      <c r="BQ131" s="510">
        <v>0</v>
      </c>
      <c r="BR131" s="510">
        <v>0</v>
      </c>
      <c r="BS131" s="510">
        <v>0</v>
      </c>
      <c r="BT131" s="510">
        <v>0</v>
      </c>
      <c r="BU131" s="510">
        <v>0</v>
      </c>
      <c r="BV131" s="510">
        <v>0</v>
      </c>
      <c r="BW131" s="510">
        <v>0</v>
      </c>
      <c r="BX131" s="510">
        <v>0</v>
      </c>
      <c r="BY131" s="1011">
        <v>0</v>
      </c>
      <c r="BZ131" s="510">
        <v>0</v>
      </c>
      <c r="CA131" s="1011">
        <v>0</v>
      </c>
      <c r="CB131" s="510">
        <v>0</v>
      </c>
      <c r="CC131" s="1011">
        <v>0</v>
      </c>
      <c r="CD131" s="510">
        <v>0</v>
      </c>
      <c r="CE131" s="1011">
        <v>0</v>
      </c>
      <c r="CF131" s="510">
        <v>0</v>
      </c>
      <c r="CG131" s="1011">
        <v>0</v>
      </c>
      <c r="CH131" s="510">
        <v>0</v>
      </c>
      <c r="CI131" s="1011">
        <v>0</v>
      </c>
    </row>
    <row r="132" spans="1:87" ht="12.75" customHeight="1" x14ac:dyDescent="0.2">
      <c r="A132" s="449">
        <v>57</v>
      </c>
      <c r="B132" s="453">
        <v>18244</v>
      </c>
      <c r="C132" s="454" t="s">
        <v>2438</v>
      </c>
      <c r="D132" s="454" t="s">
        <v>1390</v>
      </c>
      <c r="E132" s="454" t="s">
        <v>2439</v>
      </c>
      <c r="F132" s="454" t="s">
        <v>519</v>
      </c>
      <c r="G132" s="454" t="s">
        <v>12543</v>
      </c>
      <c r="H132" s="455">
        <v>2699867000102</v>
      </c>
      <c r="I132" s="462">
        <v>35965</v>
      </c>
      <c r="J132" s="457">
        <v>37358618</v>
      </c>
      <c r="K132" s="454" t="s">
        <v>2441</v>
      </c>
      <c r="L132" s="458">
        <v>495</v>
      </c>
      <c r="M132" s="454" t="s">
        <v>2442</v>
      </c>
      <c r="N132" s="459">
        <v>5563090</v>
      </c>
      <c r="O132" s="460">
        <v>38724835</v>
      </c>
      <c r="P132" s="462">
        <v>114807</v>
      </c>
      <c r="Q132" s="462">
        <v>40</v>
      </c>
      <c r="R132" s="462">
        <v>43881</v>
      </c>
      <c r="S132" s="463">
        <v>314</v>
      </c>
      <c r="T132" s="464">
        <v>3.6</v>
      </c>
      <c r="U132" s="465">
        <v>1130.4000000000001</v>
      </c>
      <c r="V132" s="465">
        <v>13680</v>
      </c>
      <c r="W132" s="466">
        <v>0</v>
      </c>
      <c r="X132" s="467">
        <v>1</v>
      </c>
      <c r="Y132" s="466">
        <v>0</v>
      </c>
      <c r="Z132" s="468" t="s">
        <v>514</v>
      </c>
      <c r="AA132" s="466">
        <v>0</v>
      </c>
      <c r="AB132" s="466">
        <v>0</v>
      </c>
      <c r="AC132" s="467">
        <v>0</v>
      </c>
      <c r="AD132" s="466">
        <v>0</v>
      </c>
      <c r="AE132" s="468" t="s">
        <v>516</v>
      </c>
      <c r="AF132" s="466">
        <v>0</v>
      </c>
      <c r="AG132" s="466">
        <v>0</v>
      </c>
      <c r="AH132" s="466">
        <v>13539.54</v>
      </c>
      <c r="AI132" s="466">
        <v>4327.7299999999996</v>
      </c>
      <c r="AJ132" s="469" t="s">
        <v>2443</v>
      </c>
      <c r="AK132" s="470" t="s">
        <v>2444</v>
      </c>
      <c r="AL132" s="471" t="s">
        <v>2445</v>
      </c>
      <c r="AM132" s="470" t="s">
        <v>2446</v>
      </c>
      <c r="AN132" s="470" t="s">
        <v>2440</v>
      </c>
      <c r="AO132" s="470" t="s">
        <v>2447</v>
      </c>
      <c r="AP132" s="470" t="s">
        <v>2448</v>
      </c>
      <c r="AQ132" s="470" t="s">
        <v>2438</v>
      </c>
      <c r="AR132" s="472" t="s">
        <v>515</v>
      </c>
      <c r="AS132" s="473" t="s">
        <v>1385</v>
      </c>
      <c r="AT132" s="472" t="s">
        <v>1390</v>
      </c>
      <c r="AU132" s="472" t="s">
        <v>420</v>
      </c>
      <c r="AV132" s="472">
        <v>2020</v>
      </c>
      <c r="AW132" s="474" t="s">
        <v>15078</v>
      </c>
      <c r="AX132" s="475" t="s">
        <v>15079</v>
      </c>
      <c r="AY132" s="515">
        <v>1</v>
      </c>
      <c r="AZ132" s="474" t="s">
        <v>15079</v>
      </c>
      <c r="BA132" s="472" t="s">
        <v>1385</v>
      </c>
      <c r="BB132" s="472" t="s">
        <v>1385</v>
      </c>
      <c r="BC132" s="472" t="s">
        <v>1385</v>
      </c>
      <c r="BD132" s="472" t="s">
        <v>1385</v>
      </c>
      <c r="BE132" s="472" t="s">
        <v>1385</v>
      </c>
      <c r="BF132" s="472">
        <v>22215.599999999999</v>
      </c>
      <c r="BG132" s="472">
        <v>0</v>
      </c>
      <c r="BH132" s="472" t="s">
        <v>516</v>
      </c>
      <c r="BI132" s="510">
        <v>0</v>
      </c>
      <c r="BJ132" s="510">
        <v>0</v>
      </c>
      <c r="BK132" s="510">
        <v>0</v>
      </c>
      <c r="BL132" s="510">
        <v>0</v>
      </c>
      <c r="BM132" s="510">
        <v>0</v>
      </c>
      <c r="BN132" s="510">
        <v>0</v>
      </c>
      <c r="BO132" s="510">
        <v>0</v>
      </c>
      <c r="BP132" s="510">
        <v>0</v>
      </c>
      <c r="BQ132" s="510">
        <v>0</v>
      </c>
      <c r="BR132" s="510">
        <v>0</v>
      </c>
      <c r="BS132" s="510">
        <v>0</v>
      </c>
      <c r="BT132" s="510">
        <v>0</v>
      </c>
      <c r="BU132" s="510">
        <v>0</v>
      </c>
      <c r="BV132" s="510">
        <v>0</v>
      </c>
      <c r="BW132" s="510">
        <v>0</v>
      </c>
      <c r="BX132" s="510">
        <v>0</v>
      </c>
      <c r="BY132" s="1011">
        <v>0</v>
      </c>
      <c r="BZ132" s="510">
        <v>0</v>
      </c>
      <c r="CA132" s="1011">
        <v>0</v>
      </c>
      <c r="CB132" s="510">
        <v>0</v>
      </c>
      <c r="CC132" s="1011">
        <v>0</v>
      </c>
      <c r="CD132" s="510">
        <v>0</v>
      </c>
      <c r="CE132" s="1011">
        <v>0</v>
      </c>
      <c r="CF132" s="510">
        <v>0</v>
      </c>
      <c r="CG132" s="1011">
        <v>0</v>
      </c>
      <c r="CH132" s="510">
        <v>0</v>
      </c>
      <c r="CI132" s="1011">
        <v>0</v>
      </c>
    </row>
    <row r="133" spans="1:87" ht="12.75" customHeight="1" x14ac:dyDescent="0.2">
      <c r="A133" s="449">
        <v>90</v>
      </c>
      <c r="B133" s="453">
        <v>18261</v>
      </c>
      <c r="C133" s="454" t="s">
        <v>2449</v>
      </c>
      <c r="D133" s="454" t="s">
        <v>1390</v>
      </c>
      <c r="E133" s="454" t="s">
        <v>2450</v>
      </c>
      <c r="F133" s="454" t="s">
        <v>528</v>
      </c>
      <c r="G133" s="454" t="s">
        <v>12544</v>
      </c>
      <c r="H133" s="455">
        <v>2539901000181</v>
      </c>
      <c r="I133" s="462">
        <v>35949</v>
      </c>
      <c r="J133" s="457">
        <v>37375741</v>
      </c>
      <c r="K133" s="454" t="s">
        <v>2451</v>
      </c>
      <c r="L133" s="458">
        <v>253</v>
      </c>
      <c r="M133" s="454" t="s">
        <v>2452</v>
      </c>
      <c r="N133" s="459">
        <v>5223070</v>
      </c>
      <c r="O133" s="460">
        <v>39153482</v>
      </c>
      <c r="P133" s="462">
        <v>309578</v>
      </c>
      <c r="Q133" s="462">
        <v>90</v>
      </c>
      <c r="R133" s="462">
        <v>43938</v>
      </c>
      <c r="S133" s="463">
        <v>291</v>
      </c>
      <c r="T133" s="464">
        <v>3.6</v>
      </c>
      <c r="U133" s="465">
        <v>1047.5999999999999</v>
      </c>
      <c r="V133" s="465">
        <v>12240</v>
      </c>
      <c r="W133" s="466">
        <v>0</v>
      </c>
      <c r="X133" s="467">
        <v>1</v>
      </c>
      <c r="Y133" s="466">
        <v>19931.400000000001</v>
      </c>
      <c r="Z133" s="468" t="s">
        <v>516</v>
      </c>
      <c r="AA133" s="466">
        <v>94473</v>
      </c>
      <c r="AB133" s="466">
        <v>94473</v>
      </c>
      <c r="AC133" s="467">
        <v>0</v>
      </c>
      <c r="AD133" s="466">
        <v>0</v>
      </c>
      <c r="AE133" s="468" t="s">
        <v>516</v>
      </c>
      <c r="AF133" s="466">
        <v>0</v>
      </c>
      <c r="AG133" s="466">
        <v>0</v>
      </c>
      <c r="AH133" s="466">
        <v>5219.99</v>
      </c>
      <c r="AI133" s="466">
        <v>2657.52</v>
      </c>
      <c r="AJ133" s="469" t="s">
        <v>2242</v>
      </c>
      <c r="AK133" s="470" t="s">
        <v>2241</v>
      </c>
      <c r="AL133" s="471" t="s">
        <v>2453</v>
      </c>
      <c r="AM133" s="470" t="s">
        <v>12545</v>
      </c>
      <c r="AN133" s="470" t="s">
        <v>2454</v>
      </c>
      <c r="AO133" s="470" t="s">
        <v>12546</v>
      </c>
      <c r="AP133" s="470" t="s">
        <v>2455</v>
      </c>
      <c r="AQ133" s="470" t="s">
        <v>2449</v>
      </c>
      <c r="AR133" s="472" t="s">
        <v>515</v>
      </c>
      <c r="AS133" s="473" t="s">
        <v>1385</v>
      </c>
      <c r="AT133" s="472" t="s">
        <v>1390</v>
      </c>
      <c r="AU133" s="472" t="s">
        <v>420</v>
      </c>
      <c r="AV133" s="472">
        <v>2020</v>
      </c>
      <c r="AW133" s="474" t="s">
        <v>15078</v>
      </c>
      <c r="AX133" s="475" t="s">
        <v>15079</v>
      </c>
      <c r="AY133" s="515">
        <v>1</v>
      </c>
      <c r="AZ133" s="474" t="s">
        <v>15079</v>
      </c>
      <c r="BA133" s="472" t="s">
        <v>1390</v>
      </c>
      <c r="BB133" s="472" t="s">
        <v>1385</v>
      </c>
      <c r="BC133" s="472" t="s">
        <v>1385</v>
      </c>
      <c r="BD133" s="472" t="s">
        <v>1385</v>
      </c>
      <c r="BE133" s="472" t="s">
        <v>1385</v>
      </c>
      <c r="BF133" s="472">
        <v>19931.400000000001</v>
      </c>
      <c r="BG133" s="472">
        <v>0</v>
      </c>
      <c r="BH133" s="472" t="s">
        <v>1385</v>
      </c>
      <c r="BI133" s="510">
        <v>0</v>
      </c>
      <c r="BJ133" s="510">
        <v>9831.4</v>
      </c>
      <c r="BK133" s="510">
        <v>0</v>
      </c>
      <c r="BL133" s="510">
        <v>0</v>
      </c>
      <c r="BM133" s="510">
        <v>0</v>
      </c>
      <c r="BN133" s="510">
        <v>3500</v>
      </c>
      <c r="BO133" s="510">
        <v>0</v>
      </c>
      <c r="BP133" s="510">
        <v>0</v>
      </c>
      <c r="BQ133" s="510">
        <v>0</v>
      </c>
      <c r="BR133" s="510">
        <v>0</v>
      </c>
      <c r="BS133" s="510">
        <v>0</v>
      </c>
      <c r="BT133" s="510">
        <v>0</v>
      </c>
      <c r="BU133" s="510">
        <v>0</v>
      </c>
      <c r="BV133" s="510">
        <v>0</v>
      </c>
      <c r="BW133" s="510">
        <v>0</v>
      </c>
      <c r="BX133" s="510">
        <v>30000</v>
      </c>
      <c r="BY133" s="1011">
        <v>0</v>
      </c>
      <c r="BZ133" s="510">
        <v>0</v>
      </c>
      <c r="CA133" s="1011">
        <v>0</v>
      </c>
      <c r="CB133" s="510">
        <v>0</v>
      </c>
      <c r="CC133" s="1011">
        <v>0</v>
      </c>
      <c r="CD133" s="510">
        <v>0</v>
      </c>
      <c r="CE133" s="1011">
        <v>0</v>
      </c>
      <c r="CF133" s="510">
        <v>44541.599999999999</v>
      </c>
      <c r="CG133" s="1011">
        <v>0</v>
      </c>
      <c r="CH133" s="510">
        <v>0</v>
      </c>
      <c r="CI133" s="1011">
        <v>0</v>
      </c>
    </row>
    <row r="134" spans="1:87" ht="12.75" customHeight="1" x14ac:dyDescent="0.2">
      <c r="A134" s="449">
        <v>79</v>
      </c>
      <c r="B134" s="453">
        <v>18279</v>
      </c>
      <c r="C134" s="454" t="s">
        <v>2456</v>
      </c>
      <c r="D134" s="454" t="s">
        <v>1390</v>
      </c>
      <c r="E134" s="454" t="s">
        <v>2457</v>
      </c>
      <c r="F134" s="454" t="s">
        <v>527</v>
      </c>
      <c r="G134" s="454" t="s">
        <v>12547</v>
      </c>
      <c r="H134" s="455">
        <v>2785353000170</v>
      </c>
      <c r="I134" s="462">
        <v>35962</v>
      </c>
      <c r="J134" s="457">
        <v>37555090</v>
      </c>
      <c r="K134" s="454" t="s">
        <v>2458</v>
      </c>
      <c r="L134" s="458">
        <v>151</v>
      </c>
      <c r="M134" s="454" t="s">
        <v>2459</v>
      </c>
      <c r="N134" s="459">
        <v>3561010</v>
      </c>
      <c r="O134" s="460">
        <v>27428070</v>
      </c>
      <c r="P134" s="462">
        <v>179020</v>
      </c>
      <c r="Q134" s="462">
        <v>40</v>
      </c>
      <c r="R134" s="462">
        <v>43917</v>
      </c>
      <c r="S134" s="463">
        <v>336</v>
      </c>
      <c r="T134" s="464">
        <v>3.6</v>
      </c>
      <c r="U134" s="465">
        <v>1209.5999999999999</v>
      </c>
      <c r="V134" s="465">
        <v>13680</v>
      </c>
      <c r="W134" s="466">
        <v>0</v>
      </c>
      <c r="X134" s="467">
        <v>1</v>
      </c>
      <c r="Y134" s="466">
        <v>22334.400000000001</v>
      </c>
      <c r="Z134" s="468" t="s">
        <v>516</v>
      </c>
      <c r="AA134" s="466">
        <v>97092</v>
      </c>
      <c r="AB134" s="466">
        <v>97092</v>
      </c>
      <c r="AC134" s="467">
        <v>0</v>
      </c>
      <c r="AD134" s="466">
        <v>0</v>
      </c>
      <c r="AE134" s="468" t="s">
        <v>516</v>
      </c>
      <c r="AF134" s="466">
        <v>0</v>
      </c>
      <c r="AG134" s="466">
        <v>0</v>
      </c>
      <c r="AH134" s="466">
        <v>9486.6</v>
      </c>
      <c r="AI134" s="466">
        <v>285.16000000000003</v>
      </c>
      <c r="AJ134" s="469" t="s">
        <v>2196</v>
      </c>
      <c r="AK134" s="470" t="s">
        <v>2197</v>
      </c>
      <c r="AL134" s="471" t="s">
        <v>2460</v>
      </c>
      <c r="AM134" s="470" t="s">
        <v>2461</v>
      </c>
      <c r="AN134" s="470" t="s">
        <v>12547</v>
      </c>
      <c r="AO134" s="470" t="s">
        <v>2462</v>
      </c>
      <c r="AP134" s="470" t="s">
        <v>2463</v>
      </c>
      <c r="AQ134" s="470" t="s">
        <v>2456</v>
      </c>
      <c r="AR134" s="472" t="s">
        <v>515</v>
      </c>
      <c r="AS134" s="473" t="s">
        <v>1385</v>
      </c>
      <c r="AT134" s="472" t="s">
        <v>1390</v>
      </c>
      <c r="AU134" s="472" t="s">
        <v>420</v>
      </c>
      <c r="AV134" s="472">
        <v>2020</v>
      </c>
      <c r="AW134" s="474" t="s">
        <v>15078</v>
      </c>
      <c r="AX134" s="475" t="s">
        <v>15079</v>
      </c>
      <c r="AY134" s="515">
        <v>1</v>
      </c>
      <c r="AZ134" s="474" t="s">
        <v>15079</v>
      </c>
      <c r="BA134" s="472" t="s">
        <v>1390</v>
      </c>
      <c r="BB134" s="472" t="s">
        <v>1385</v>
      </c>
      <c r="BC134" s="472" t="s">
        <v>1385</v>
      </c>
      <c r="BD134" s="472" t="s">
        <v>1385</v>
      </c>
      <c r="BE134" s="472" t="s">
        <v>1385</v>
      </c>
      <c r="BF134" s="472">
        <v>22334.400000000001</v>
      </c>
      <c r="BG134" s="472">
        <v>0</v>
      </c>
      <c r="BH134" s="472" t="s">
        <v>1385</v>
      </c>
      <c r="BI134" s="510">
        <v>0</v>
      </c>
      <c r="BJ134" s="510">
        <v>143.19999999999999</v>
      </c>
      <c r="BK134" s="510">
        <v>0</v>
      </c>
      <c r="BL134" s="510">
        <v>0</v>
      </c>
      <c r="BM134" s="510">
        <v>0</v>
      </c>
      <c r="BN134" s="510">
        <v>3500</v>
      </c>
      <c r="BO134" s="510">
        <v>0</v>
      </c>
      <c r="BP134" s="510">
        <v>0</v>
      </c>
      <c r="BQ134" s="510">
        <v>0</v>
      </c>
      <c r="BR134" s="510">
        <v>0</v>
      </c>
      <c r="BS134" s="510">
        <v>0</v>
      </c>
      <c r="BT134" s="510">
        <v>0</v>
      </c>
      <c r="BU134" s="510">
        <v>0</v>
      </c>
      <c r="BV134" s="510">
        <v>0</v>
      </c>
      <c r="BW134" s="510">
        <v>0</v>
      </c>
      <c r="BX134" s="510">
        <v>30000</v>
      </c>
      <c r="BY134" s="1011">
        <v>0</v>
      </c>
      <c r="BZ134" s="510">
        <v>0</v>
      </c>
      <c r="CA134" s="1011">
        <v>0</v>
      </c>
      <c r="CB134" s="510">
        <v>0</v>
      </c>
      <c r="CC134" s="1011">
        <v>0</v>
      </c>
      <c r="CD134" s="510">
        <v>0</v>
      </c>
      <c r="CE134" s="1011">
        <v>0</v>
      </c>
      <c r="CF134" s="510">
        <v>44757.599999999999</v>
      </c>
      <c r="CG134" s="1011">
        <v>0</v>
      </c>
      <c r="CH134" s="510">
        <v>0</v>
      </c>
      <c r="CI134" s="1011">
        <v>0</v>
      </c>
    </row>
    <row r="135" spans="1:87" s="448" customFormat="1" ht="12.75" customHeight="1" x14ac:dyDescent="0.2">
      <c r="A135" s="449">
        <v>93</v>
      </c>
      <c r="B135" s="453">
        <v>18287</v>
      </c>
      <c r="C135" s="454" t="s">
        <v>2464</v>
      </c>
      <c r="D135" s="454" t="s">
        <v>1390</v>
      </c>
      <c r="E135" s="454" t="s">
        <v>2465</v>
      </c>
      <c r="F135" s="454" t="s">
        <v>528</v>
      </c>
      <c r="G135" s="454" t="s">
        <v>2469</v>
      </c>
      <c r="H135" s="455">
        <v>1895214000136</v>
      </c>
      <c r="I135" s="462">
        <v>35563</v>
      </c>
      <c r="J135" s="457">
        <v>37586165</v>
      </c>
      <c r="K135" s="454" t="s">
        <v>2466</v>
      </c>
      <c r="L135" s="458">
        <v>668</v>
      </c>
      <c r="M135" s="454" t="s">
        <v>528</v>
      </c>
      <c r="N135" s="459">
        <v>2955080</v>
      </c>
      <c r="O135" s="460">
        <v>39749528</v>
      </c>
      <c r="P135" s="462">
        <v>258361</v>
      </c>
      <c r="Q135" s="462">
        <v>93</v>
      </c>
      <c r="R135" s="462">
        <v>43938</v>
      </c>
      <c r="S135" s="463">
        <v>305</v>
      </c>
      <c r="T135" s="464">
        <v>3.6</v>
      </c>
      <c r="U135" s="465">
        <v>1098</v>
      </c>
      <c r="V135" s="465">
        <v>13680</v>
      </c>
      <c r="W135" s="466">
        <v>0</v>
      </c>
      <c r="X135" s="467">
        <v>1</v>
      </c>
      <c r="Y135" s="466">
        <v>22167</v>
      </c>
      <c r="Z135" s="468" t="s">
        <v>516</v>
      </c>
      <c r="AA135" s="466">
        <v>93756.6</v>
      </c>
      <c r="AB135" s="466">
        <v>93756.6</v>
      </c>
      <c r="AC135" s="467">
        <v>0</v>
      </c>
      <c r="AD135" s="466">
        <v>0</v>
      </c>
      <c r="AE135" s="468" t="s">
        <v>516</v>
      </c>
      <c r="AF135" s="466">
        <v>0</v>
      </c>
      <c r="AG135" s="466">
        <v>0</v>
      </c>
      <c r="AH135" s="466">
        <v>15117.23</v>
      </c>
      <c r="AI135" s="466">
        <v>3306.4</v>
      </c>
      <c r="AJ135" s="469" t="s">
        <v>1571</v>
      </c>
      <c r="AK135" s="470" t="s">
        <v>528</v>
      </c>
      <c r="AL135" s="471" t="s">
        <v>2467</v>
      </c>
      <c r="AM135" s="470" t="s">
        <v>2468</v>
      </c>
      <c r="AN135" s="470" t="s">
        <v>12548</v>
      </c>
      <c r="AO135" s="470" t="s">
        <v>12549</v>
      </c>
      <c r="AP135" s="470" t="s">
        <v>2470</v>
      </c>
      <c r="AQ135" s="470" t="s">
        <v>2464</v>
      </c>
      <c r="AR135" s="472" t="s">
        <v>515</v>
      </c>
      <c r="AS135" s="473" t="s">
        <v>1385</v>
      </c>
      <c r="AT135" s="472" t="s">
        <v>1390</v>
      </c>
      <c r="AU135" s="472" t="s">
        <v>420</v>
      </c>
      <c r="AV135" s="472">
        <v>2020</v>
      </c>
      <c r="AW135" s="474" t="s">
        <v>15078</v>
      </c>
      <c r="AX135" s="475" t="s">
        <v>15079</v>
      </c>
      <c r="AY135" s="515">
        <v>1</v>
      </c>
      <c r="AZ135" s="474" t="s">
        <v>15079</v>
      </c>
      <c r="BA135" s="472" t="s">
        <v>1390</v>
      </c>
      <c r="BB135" s="472" t="s">
        <v>1385</v>
      </c>
      <c r="BC135" s="472" t="s">
        <v>1385</v>
      </c>
      <c r="BD135" s="472" t="s">
        <v>1385</v>
      </c>
      <c r="BE135" s="472" t="s">
        <v>1385</v>
      </c>
      <c r="BF135" s="472">
        <v>22167</v>
      </c>
      <c r="BG135" s="472">
        <v>0</v>
      </c>
      <c r="BH135" s="472" t="s">
        <v>1385</v>
      </c>
      <c r="BI135" s="510">
        <v>0</v>
      </c>
      <c r="BJ135" s="510">
        <v>0</v>
      </c>
      <c r="BK135" s="510">
        <v>0</v>
      </c>
      <c r="BL135" s="510">
        <v>0</v>
      </c>
      <c r="BM135" s="510">
        <v>0</v>
      </c>
      <c r="BN135" s="510">
        <v>3500</v>
      </c>
      <c r="BO135" s="510">
        <v>0</v>
      </c>
      <c r="BP135" s="510">
        <v>0</v>
      </c>
      <c r="BQ135" s="510">
        <v>0</v>
      </c>
      <c r="BR135" s="510">
        <v>0</v>
      </c>
      <c r="BS135" s="510">
        <v>0</v>
      </c>
      <c r="BT135" s="510">
        <v>0</v>
      </c>
      <c r="BU135" s="510">
        <v>0</v>
      </c>
      <c r="BV135" s="510">
        <v>0</v>
      </c>
      <c r="BW135" s="510">
        <v>0</v>
      </c>
      <c r="BX135" s="510">
        <v>30000</v>
      </c>
      <c r="BY135" s="1011">
        <v>0</v>
      </c>
      <c r="BZ135" s="510">
        <v>0</v>
      </c>
      <c r="CA135" s="1011">
        <v>0</v>
      </c>
      <c r="CB135" s="510">
        <v>0</v>
      </c>
      <c r="CC135" s="1011">
        <v>0</v>
      </c>
      <c r="CD135" s="510">
        <v>0</v>
      </c>
      <c r="CE135" s="1011">
        <v>0</v>
      </c>
      <c r="CF135" s="510">
        <v>41589.599999999999</v>
      </c>
      <c r="CG135" s="1011">
        <v>0</v>
      </c>
      <c r="CH135" s="510">
        <v>0</v>
      </c>
      <c r="CI135" s="1011">
        <v>0</v>
      </c>
    </row>
    <row r="136" spans="1:87" ht="12.75" customHeight="1" x14ac:dyDescent="0.2">
      <c r="A136" s="449">
        <v>59</v>
      </c>
      <c r="B136" s="453">
        <v>18295</v>
      </c>
      <c r="C136" s="454" t="s">
        <v>2471</v>
      </c>
      <c r="D136" s="454" t="s">
        <v>1390</v>
      </c>
      <c r="E136" s="454" t="s">
        <v>2472</v>
      </c>
      <c r="F136" s="454" t="s">
        <v>522</v>
      </c>
      <c r="G136" s="454" t="s">
        <v>12550</v>
      </c>
      <c r="H136" s="455">
        <v>2611808000130</v>
      </c>
      <c r="I136" s="462">
        <v>35950</v>
      </c>
      <c r="J136" s="457">
        <v>37588990</v>
      </c>
      <c r="K136" s="454" t="s">
        <v>2473</v>
      </c>
      <c r="L136" s="458">
        <v>185</v>
      </c>
      <c r="M136" s="454" t="s">
        <v>2474</v>
      </c>
      <c r="N136" s="459">
        <v>2849130</v>
      </c>
      <c r="O136" s="460">
        <v>39212648</v>
      </c>
      <c r="P136" s="462">
        <v>73299</v>
      </c>
      <c r="Q136" s="462">
        <v>4</v>
      </c>
      <c r="R136" s="462">
        <v>43911</v>
      </c>
      <c r="S136" s="463">
        <v>555</v>
      </c>
      <c r="T136" s="464">
        <v>3.6</v>
      </c>
      <c r="U136" s="465">
        <v>1998</v>
      </c>
      <c r="V136" s="465">
        <v>16560</v>
      </c>
      <c r="W136" s="466">
        <v>0</v>
      </c>
      <c r="X136" s="467">
        <v>1</v>
      </c>
      <c r="Y136" s="466">
        <v>27837</v>
      </c>
      <c r="Z136" s="468" t="s">
        <v>516</v>
      </c>
      <c r="AA136" s="466">
        <v>109895.4</v>
      </c>
      <c r="AB136" s="466">
        <v>109895.4</v>
      </c>
      <c r="AC136" s="467">
        <v>0</v>
      </c>
      <c r="AD136" s="466">
        <v>0</v>
      </c>
      <c r="AE136" s="468" t="s">
        <v>516</v>
      </c>
      <c r="AF136" s="466">
        <v>0</v>
      </c>
      <c r="AG136" s="466">
        <v>0</v>
      </c>
      <c r="AH136" s="466">
        <v>11376.65</v>
      </c>
      <c r="AI136" s="466">
        <v>12982.74</v>
      </c>
      <c r="AJ136" s="469" t="s">
        <v>1438</v>
      </c>
      <c r="AK136" s="470" t="s">
        <v>12345</v>
      </c>
      <c r="AL136" s="471" t="s">
        <v>2475</v>
      </c>
      <c r="AM136" s="470" t="s">
        <v>2476</v>
      </c>
      <c r="AN136" s="470" t="s">
        <v>1385</v>
      </c>
      <c r="AO136" s="470" t="s">
        <v>2477</v>
      </c>
      <c r="AP136" s="470" t="s">
        <v>2478</v>
      </c>
      <c r="AQ136" s="470" t="s">
        <v>2471</v>
      </c>
      <c r="AR136" s="472" t="s">
        <v>515</v>
      </c>
      <c r="AS136" s="473" t="s">
        <v>1385</v>
      </c>
      <c r="AT136" s="472" t="s">
        <v>1390</v>
      </c>
      <c r="AU136" s="472" t="s">
        <v>420</v>
      </c>
      <c r="AV136" s="472">
        <v>2020</v>
      </c>
      <c r="AW136" s="474" t="s">
        <v>15078</v>
      </c>
      <c r="AX136" s="475" t="s">
        <v>15079</v>
      </c>
      <c r="AY136" s="515">
        <v>1</v>
      </c>
      <c r="AZ136" s="474" t="s">
        <v>15079</v>
      </c>
      <c r="BA136" s="472" t="s">
        <v>1390</v>
      </c>
      <c r="BB136" s="472" t="s">
        <v>1385</v>
      </c>
      <c r="BC136" s="472" t="s">
        <v>1385</v>
      </c>
      <c r="BD136" s="472" t="s">
        <v>1385</v>
      </c>
      <c r="BE136" s="472" t="s">
        <v>1385</v>
      </c>
      <c r="BF136" s="472">
        <v>27837</v>
      </c>
      <c r="BG136" s="472">
        <v>0</v>
      </c>
      <c r="BH136" s="472" t="s">
        <v>1385</v>
      </c>
      <c r="BI136" s="510">
        <v>0</v>
      </c>
      <c r="BJ136" s="510">
        <v>0</v>
      </c>
      <c r="BK136" s="510">
        <v>0</v>
      </c>
      <c r="BL136" s="510">
        <v>0</v>
      </c>
      <c r="BM136" s="510">
        <v>0</v>
      </c>
      <c r="BN136" s="510">
        <v>4200</v>
      </c>
      <c r="BO136" s="510">
        <v>0</v>
      </c>
      <c r="BP136" s="510">
        <v>0</v>
      </c>
      <c r="BQ136" s="510">
        <v>0</v>
      </c>
      <c r="BR136" s="510">
        <v>0</v>
      </c>
      <c r="BS136" s="510">
        <v>0</v>
      </c>
      <c r="BT136" s="510">
        <v>0</v>
      </c>
      <c r="BU136" s="510">
        <v>0</v>
      </c>
      <c r="BV136" s="510">
        <v>0</v>
      </c>
      <c r="BW136" s="510">
        <v>0</v>
      </c>
      <c r="BX136" s="510">
        <v>30000</v>
      </c>
      <c r="BY136" s="1011">
        <v>0</v>
      </c>
      <c r="BZ136" s="510">
        <v>0</v>
      </c>
      <c r="CA136" s="1011">
        <v>0</v>
      </c>
      <c r="CB136" s="510">
        <v>0</v>
      </c>
      <c r="CC136" s="1011">
        <v>0</v>
      </c>
      <c r="CD136" s="510">
        <v>0</v>
      </c>
      <c r="CE136" s="1011">
        <v>0</v>
      </c>
      <c r="CF136" s="510">
        <v>52058.400000000001</v>
      </c>
      <c r="CG136" s="1011">
        <v>0</v>
      </c>
      <c r="CH136" s="510">
        <v>0</v>
      </c>
      <c r="CI136" s="1011">
        <v>0</v>
      </c>
    </row>
    <row r="137" spans="1:87" ht="12.75" customHeight="1" x14ac:dyDescent="0.2">
      <c r="A137" s="449">
        <v>100</v>
      </c>
      <c r="B137" s="453">
        <v>18309</v>
      </c>
      <c r="C137" s="454" t="s">
        <v>2479</v>
      </c>
      <c r="D137" s="454" t="s">
        <v>1390</v>
      </c>
      <c r="E137" s="454" t="s">
        <v>2480</v>
      </c>
      <c r="F137" s="454" t="s">
        <v>525</v>
      </c>
      <c r="G137" s="454" t="s">
        <v>12551</v>
      </c>
      <c r="H137" s="455">
        <v>2281923000194</v>
      </c>
      <c r="I137" s="462">
        <v>35776</v>
      </c>
      <c r="J137" s="457">
        <v>37410938</v>
      </c>
      <c r="K137" s="454" t="s">
        <v>2482</v>
      </c>
      <c r="L137" s="458">
        <v>2277</v>
      </c>
      <c r="M137" s="454" t="s">
        <v>1534</v>
      </c>
      <c r="N137" s="459">
        <v>2251002</v>
      </c>
      <c r="O137" s="460">
        <v>22407177</v>
      </c>
      <c r="P137" s="462">
        <v>336311</v>
      </c>
      <c r="Q137" s="462">
        <v>100</v>
      </c>
      <c r="R137" s="462">
        <v>43950</v>
      </c>
      <c r="S137" s="463">
        <v>198</v>
      </c>
      <c r="T137" s="464">
        <v>3.6</v>
      </c>
      <c r="U137" s="465">
        <v>712.8</v>
      </c>
      <c r="V137" s="465">
        <v>10800</v>
      </c>
      <c r="W137" s="466">
        <v>0</v>
      </c>
      <c r="X137" s="467">
        <v>1</v>
      </c>
      <c r="Y137" s="466">
        <v>17269.2</v>
      </c>
      <c r="Z137" s="468" t="s">
        <v>516</v>
      </c>
      <c r="AA137" s="466">
        <v>85302</v>
      </c>
      <c r="AB137" s="466">
        <v>85302</v>
      </c>
      <c r="AC137" s="467">
        <v>0</v>
      </c>
      <c r="AD137" s="466">
        <v>0</v>
      </c>
      <c r="AE137" s="468" t="s">
        <v>516</v>
      </c>
      <c r="AF137" s="466">
        <v>0</v>
      </c>
      <c r="AG137" s="466">
        <v>0</v>
      </c>
      <c r="AH137" s="466">
        <v>9761.5300000000007</v>
      </c>
      <c r="AI137" s="466">
        <v>5550.72</v>
      </c>
      <c r="AJ137" s="469" t="s">
        <v>1448</v>
      </c>
      <c r="AK137" s="470" t="s">
        <v>1449</v>
      </c>
      <c r="AL137" s="471" t="s">
        <v>2483</v>
      </c>
      <c r="AM137" s="470" t="s">
        <v>2484</v>
      </c>
      <c r="AN137" s="470" t="s">
        <v>2481</v>
      </c>
      <c r="AO137" s="470" t="s">
        <v>2485</v>
      </c>
      <c r="AP137" s="470" t="s">
        <v>2486</v>
      </c>
      <c r="AQ137" s="470" t="s">
        <v>2479</v>
      </c>
      <c r="AR137" s="472" t="s">
        <v>515</v>
      </c>
      <c r="AS137" s="473" t="s">
        <v>1385</v>
      </c>
      <c r="AT137" s="472" t="s">
        <v>1390</v>
      </c>
      <c r="AU137" s="472" t="s">
        <v>420</v>
      </c>
      <c r="AV137" s="472">
        <v>2020</v>
      </c>
      <c r="AW137" s="474" t="s">
        <v>15078</v>
      </c>
      <c r="AX137" s="475" t="s">
        <v>15079</v>
      </c>
      <c r="AY137" s="515">
        <v>1</v>
      </c>
      <c r="AZ137" s="474" t="s">
        <v>15079</v>
      </c>
      <c r="BA137" s="472" t="s">
        <v>1390</v>
      </c>
      <c r="BB137" s="472" t="s">
        <v>1385</v>
      </c>
      <c r="BC137" s="472" t="s">
        <v>1385</v>
      </c>
      <c r="BD137" s="472" t="s">
        <v>1385</v>
      </c>
      <c r="BE137" s="472" t="s">
        <v>1385</v>
      </c>
      <c r="BF137" s="472">
        <v>17269.2</v>
      </c>
      <c r="BG137" s="472">
        <v>0</v>
      </c>
      <c r="BH137" s="472" t="s">
        <v>1385</v>
      </c>
      <c r="BI137" s="510">
        <v>0</v>
      </c>
      <c r="BJ137" s="510">
        <v>0</v>
      </c>
      <c r="BK137" s="510">
        <v>0</v>
      </c>
      <c r="BL137" s="510">
        <v>0</v>
      </c>
      <c r="BM137" s="510">
        <v>0</v>
      </c>
      <c r="BN137" s="510">
        <v>3000</v>
      </c>
      <c r="BO137" s="510">
        <v>0</v>
      </c>
      <c r="BP137" s="510">
        <v>0</v>
      </c>
      <c r="BQ137" s="510">
        <v>0</v>
      </c>
      <c r="BR137" s="510">
        <v>0</v>
      </c>
      <c r="BS137" s="510">
        <v>0</v>
      </c>
      <c r="BT137" s="510">
        <v>0</v>
      </c>
      <c r="BU137" s="510">
        <v>0</v>
      </c>
      <c r="BV137" s="510">
        <v>0</v>
      </c>
      <c r="BW137" s="510">
        <v>0</v>
      </c>
      <c r="BX137" s="510">
        <v>30000</v>
      </c>
      <c r="BY137" s="1011">
        <v>0</v>
      </c>
      <c r="BZ137" s="510">
        <v>0</v>
      </c>
      <c r="CA137" s="1011">
        <v>0</v>
      </c>
      <c r="CB137" s="510">
        <v>0</v>
      </c>
      <c r="CC137" s="1011">
        <v>0</v>
      </c>
      <c r="CD137" s="510">
        <v>0</v>
      </c>
      <c r="CE137" s="1011">
        <v>0</v>
      </c>
      <c r="CF137" s="510">
        <v>38032.800000000003</v>
      </c>
      <c r="CG137" s="1011">
        <v>0</v>
      </c>
      <c r="CH137" s="510">
        <v>0</v>
      </c>
      <c r="CI137" s="1011">
        <v>0</v>
      </c>
    </row>
    <row r="138" spans="1:87" ht="12.75" customHeight="1" x14ac:dyDescent="0.2">
      <c r="A138" s="449">
        <v>90</v>
      </c>
      <c r="B138" s="453">
        <v>18350</v>
      </c>
      <c r="C138" s="454" t="s">
        <v>2487</v>
      </c>
      <c r="D138" s="454" t="s">
        <v>1390</v>
      </c>
      <c r="E138" s="454" t="s">
        <v>2488</v>
      </c>
      <c r="F138" s="454" t="s">
        <v>513</v>
      </c>
      <c r="G138" s="454" t="s">
        <v>12552</v>
      </c>
      <c r="H138" s="455">
        <v>1928494000131</v>
      </c>
      <c r="I138" s="462">
        <v>35599</v>
      </c>
      <c r="J138" s="457">
        <v>37532189</v>
      </c>
      <c r="K138" s="454" t="s">
        <v>2489</v>
      </c>
      <c r="L138" s="458">
        <v>132</v>
      </c>
      <c r="M138" s="454" t="s">
        <v>2490</v>
      </c>
      <c r="N138" s="459">
        <v>3978060</v>
      </c>
      <c r="O138" s="460">
        <v>27043135</v>
      </c>
      <c r="P138" s="462">
        <v>151125</v>
      </c>
      <c r="Q138" s="462">
        <v>90</v>
      </c>
      <c r="R138" s="462">
        <v>43937</v>
      </c>
      <c r="S138" s="463">
        <v>279</v>
      </c>
      <c r="T138" s="464">
        <v>3.6</v>
      </c>
      <c r="U138" s="465">
        <v>1004.4</v>
      </c>
      <c r="V138" s="465">
        <v>12240</v>
      </c>
      <c r="W138" s="466">
        <v>0</v>
      </c>
      <c r="X138" s="467">
        <v>1</v>
      </c>
      <c r="Y138" s="466">
        <v>19866.599999999999</v>
      </c>
      <c r="Z138" s="468" t="s">
        <v>516</v>
      </c>
      <c r="AA138" s="466">
        <v>91319.4</v>
      </c>
      <c r="AB138" s="466">
        <v>91319.4</v>
      </c>
      <c r="AC138" s="467">
        <v>0</v>
      </c>
      <c r="AD138" s="466">
        <v>0</v>
      </c>
      <c r="AE138" s="468" t="s">
        <v>516</v>
      </c>
      <c r="AF138" s="466">
        <v>0</v>
      </c>
      <c r="AG138" s="466">
        <v>0</v>
      </c>
      <c r="AH138" s="466">
        <v>31068.99</v>
      </c>
      <c r="AI138" s="466">
        <v>0</v>
      </c>
      <c r="AJ138" s="469" t="s">
        <v>2491</v>
      </c>
      <c r="AK138" s="470" t="s">
        <v>2492</v>
      </c>
      <c r="AL138" s="471" t="s">
        <v>2493</v>
      </c>
      <c r="AM138" s="470" t="s">
        <v>2494</v>
      </c>
      <c r="AN138" s="470" t="s">
        <v>1385</v>
      </c>
      <c r="AO138" s="470" t="s">
        <v>2495</v>
      </c>
      <c r="AP138" s="470" t="s">
        <v>2496</v>
      </c>
      <c r="AQ138" s="470" t="s">
        <v>2487</v>
      </c>
      <c r="AR138" s="472" t="s">
        <v>515</v>
      </c>
      <c r="AS138" s="473" t="s">
        <v>1385</v>
      </c>
      <c r="AT138" s="472" t="s">
        <v>1390</v>
      </c>
      <c r="AU138" s="472" t="s">
        <v>420</v>
      </c>
      <c r="AV138" s="472">
        <v>2020</v>
      </c>
      <c r="AW138" s="474" t="s">
        <v>15078</v>
      </c>
      <c r="AX138" s="475" t="s">
        <v>15079</v>
      </c>
      <c r="AY138" s="515">
        <v>1</v>
      </c>
      <c r="AZ138" s="474" t="s">
        <v>15079</v>
      </c>
      <c r="BA138" s="472" t="s">
        <v>1390</v>
      </c>
      <c r="BB138" s="472" t="s">
        <v>1385</v>
      </c>
      <c r="BC138" s="472" t="s">
        <v>1385</v>
      </c>
      <c r="BD138" s="472" t="s">
        <v>1385</v>
      </c>
      <c r="BE138" s="472" t="s">
        <v>1385</v>
      </c>
      <c r="BF138" s="472">
        <v>19866.599999999999</v>
      </c>
      <c r="BG138" s="472">
        <v>0</v>
      </c>
      <c r="BH138" s="472" t="s">
        <v>1385</v>
      </c>
      <c r="BI138" s="510">
        <v>0</v>
      </c>
      <c r="BJ138" s="510">
        <v>0</v>
      </c>
      <c r="BK138" s="510">
        <v>0</v>
      </c>
      <c r="BL138" s="510">
        <v>0</v>
      </c>
      <c r="BM138" s="510">
        <v>0</v>
      </c>
      <c r="BN138" s="510">
        <v>3500</v>
      </c>
      <c r="BO138" s="510">
        <v>0</v>
      </c>
      <c r="BP138" s="510">
        <v>0</v>
      </c>
      <c r="BQ138" s="510">
        <v>0</v>
      </c>
      <c r="BR138" s="510">
        <v>0</v>
      </c>
      <c r="BS138" s="510">
        <v>0</v>
      </c>
      <c r="BT138" s="510">
        <v>0</v>
      </c>
      <c r="BU138" s="510">
        <v>0</v>
      </c>
      <c r="BV138" s="510">
        <v>0</v>
      </c>
      <c r="BW138" s="510">
        <v>0</v>
      </c>
      <c r="BX138" s="510">
        <v>30000</v>
      </c>
      <c r="BY138" s="1011">
        <v>0</v>
      </c>
      <c r="BZ138" s="510">
        <v>0</v>
      </c>
      <c r="CA138" s="1011">
        <v>0</v>
      </c>
      <c r="CB138" s="510">
        <v>0</v>
      </c>
      <c r="CC138" s="1011">
        <v>0</v>
      </c>
      <c r="CD138" s="510">
        <v>0</v>
      </c>
      <c r="CE138" s="1011">
        <v>0</v>
      </c>
      <c r="CF138" s="510">
        <v>41452.800000000003</v>
      </c>
      <c r="CG138" s="1011">
        <v>0</v>
      </c>
      <c r="CH138" s="510">
        <v>0</v>
      </c>
      <c r="CI138" s="1011">
        <v>0</v>
      </c>
    </row>
    <row r="139" spans="1:87" ht="12.75" customHeight="1" x14ac:dyDescent="0.2">
      <c r="A139" s="449">
        <v>71</v>
      </c>
      <c r="B139" s="453">
        <v>18384</v>
      </c>
      <c r="C139" s="454" t="s">
        <v>2497</v>
      </c>
      <c r="D139" s="454" t="s">
        <v>1390</v>
      </c>
      <c r="E139" s="454" t="s">
        <v>2498</v>
      </c>
      <c r="F139" s="454" t="s">
        <v>519</v>
      </c>
      <c r="G139" s="454" t="s">
        <v>12553</v>
      </c>
      <c r="H139" s="455">
        <v>2581805000100</v>
      </c>
      <c r="I139" s="462">
        <v>35940</v>
      </c>
      <c r="J139" s="457">
        <v>37356712</v>
      </c>
      <c r="K139" s="454" t="s">
        <v>2500</v>
      </c>
      <c r="L139" s="458">
        <v>381</v>
      </c>
      <c r="M139" s="454" t="s">
        <v>2501</v>
      </c>
      <c r="N139" s="459">
        <v>5549130</v>
      </c>
      <c r="O139" s="460">
        <v>37824966</v>
      </c>
      <c r="P139" s="462">
        <v>131280</v>
      </c>
      <c r="Q139" s="462">
        <v>57</v>
      </c>
      <c r="R139" s="462">
        <v>43881</v>
      </c>
      <c r="S139" s="463">
        <v>192</v>
      </c>
      <c r="T139" s="464">
        <v>3.6</v>
      </c>
      <c r="U139" s="465">
        <v>691.2</v>
      </c>
      <c r="V139" s="465">
        <v>10800</v>
      </c>
      <c r="W139" s="466">
        <v>0</v>
      </c>
      <c r="X139" s="467">
        <v>1</v>
      </c>
      <c r="Y139" s="466">
        <v>0</v>
      </c>
      <c r="Z139" s="468" t="s">
        <v>514</v>
      </c>
      <c r="AA139" s="466">
        <v>0</v>
      </c>
      <c r="AB139" s="466">
        <v>0</v>
      </c>
      <c r="AC139" s="467">
        <v>0</v>
      </c>
      <c r="AD139" s="466">
        <v>0</v>
      </c>
      <c r="AE139" s="468" t="s">
        <v>516</v>
      </c>
      <c r="AF139" s="466">
        <v>0</v>
      </c>
      <c r="AG139" s="466">
        <v>0</v>
      </c>
      <c r="AH139" s="466">
        <v>15598.85</v>
      </c>
      <c r="AI139" s="466">
        <v>2298.2399999999998</v>
      </c>
      <c r="AJ139" s="469" t="s">
        <v>1940</v>
      </c>
      <c r="AK139" s="470" t="s">
        <v>1941</v>
      </c>
      <c r="AL139" s="471" t="s">
        <v>2502</v>
      </c>
      <c r="AM139" s="470" t="s">
        <v>2503</v>
      </c>
      <c r="AN139" s="470" t="s">
        <v>2499</v>
      </c>
      <c r="AO139" s="470" t="s">
        <v>2504</v>
      </c>
      <c r="AP139" s="470" t="s">
        <v>2505</v>
      </c>
      <c r="AQ139" s="470" t="s">
        <v>2497</v>
      </c>
      <c r="AR139" s="472" t="s">
        <v>515</v>
      </c>
      <c r="AS139" s="473" t="s">
        <v>1385</v>
      </c>
      <c r="AT139" s="472" t="s">
        <v>1390</v>
      </c>
      <c r="AU139" s="472" t="s">
        <v>420</v>
      </c>
      <c r="AV139" s="472">
        <v>2020</v>
      </c>
      <c r="AW139" s="474" t="s">
        <v>15078</v>
      </c>
      <c r="AX139" s="475" t="s">
        <v>15079</v>
      </c>
      <c r="AY139" s="515">
        <v>1</v>
      </c>
      <c r="AZ139" s="474" t="s">
        <v>15079</v>
      </c>
      <c r="BA139" s="472" t="s">
        <v>1385</v>
      </c>
      <c r="BB139" s="472" t="s">
        <v>1385</v>
      </c>
      <c r="BC139" s="472" t="s">
        <v>1385</v>
      </c>
      <c r="BD139" s="472" t="s">
        <v>1385</v>
      </c>
      <c r="BE139" s="472" t="s">
        <v>1385</v>
      </c>
      <c r="BF139" s="472">
        <v>17236.8</v>
      </c>
      <c r="BG139" s="472">
        <v>0</v>
      </c>
      <c r="BH139" s="472" t="s">
        <v>516</v>
      </c>
      <c r="BI139" s="510">
        <v>0</v>
      </c>
      <c r="BJ139" s="510">
        <v>0</v>
      </c>
      <c r="BK139" s="510">
        <v>0</v>
      </c>
      <c r="BL139" s="510">
        <v>0</v>
      </c>
      <c r="BM139" s="510">
        <v>0</v>
      </c>
      <c r="BN139" s="510">
        <v>0</v>
      </c>
      <c r="BO139" s="510">
        <v>0</v>
      </c>
      <c r="BP139" s="510">
        <v>0</v>
      </c>
      <c r="BQ139" s="510">
        <v>0</v>
      </c>
      <c r="BR139" s="510">
        <v>0</v>
      </c>
      <c r="BS139" s="510">
        <v>0</v>
      </c>
      <c r="BT139" s="510">
        <v>0</v>
      </c>
      <c r="BU139" s="510">
        <v>0</v>
      </c>
      <c r="BV139" s="510">
        <v>0</v>
      </c>
      <c r="BW139" s="510">
        <v>0</v>
      </c>
      <c r="BX139" s="510">
        <v>0</v>
      </c>
      <c r="BY139" s="1011">
        <v>0</v>
      </c>
      <c r="BZ139" s="510">
        <v>0</v>
      </c>
      <c r="CA139" s="1011">
        <v>0</v>
      </c>
      <c r="CB139" s="510">
        <v>0</v>
      </c>
      <c r="CC139" s="1011">
        <v>0</v>
      </c>
      <c r="CD139" s="510">
        <v>0</v>
      </c>
      <c r="CE139" s="1011">
        <v>0</v>
      </c>
      <c r="CF139" s="510">
        <v>0</v>
      </c>
      <c r="CG139" s="1011">
        <v>0</v>
      </c>
      <c r="CH139" s="510">
        <v>0</v>
      </c>
      <c r="CI139" s="1011">
        <v>0</v>
      </c>
    </row>
    <row r="140" spans="1:87" ht="12.75" customHeight="1" x14ac:dyDescent="0.2">
      <c r="A140" s="449">
        <v>85</v>
      </c>
      <c r="B140" s="453">
        <v>18503</v>
      </c>
      <c r="C140" s="454" t="s">
        <v>2506</v>
      </c>
      <c r="D140" s="454" t="s">
        <v>1390</v>
      </c>
      <c r="E140" s="454" t="s">
        <v>2507</v>
      </c>
      <c r="F140" s="454" t="s">
        <v>524</v>
      </c>
      <c r="G140" s="454" t="s">
        <v>12554</v>
      </c>
      <c r="H140" s="455">
        <v>3235373000130</v>
      </c>
      <c r="I140" s="462">
        <v>36049</v>
      </c>
      <c r="J140" s="457">
        <v>37498673</v>
      </c>
      <c r="K140" s="454" t="s">
        <v>2509</v>
      </c>
      <c r="L140" s="458">
        <v>456</v>
      </c>
      <c r="M140" s="454" t="s">
        <v>2510</v>
      </c>
      <c r="N140" s="459">
        <v>4184000</v>
      </c>
      <c r="O140" s="460">
        <v>23350900</v>
      </c>
      <c r="P140" s="462">
        <v>210350</v>
      </c>
      <c r="Q140" s="462">
        <v>92</v>
      </c>
      <c r="R140" s="462">
        <v>43906</v>
      </c>
      <c r="S140" s="463">
        <v>435</v>
      </c>
      <c r="T140" s="464">
        <v>3.6</v>
      </c>
      <c r="U140" s="465">
        <v>1566</v>
      </c>
      <c r="V140" s="465">
        <v>15120</v>
      </c>
      <c r="W140" s="466">
        <v>0</v>
      </c>
      <c r="X140" s="467">
        <v>1</v>
      </c>
      <c r="Y140" s="466">
        <v>25029</v>
      </c>
      <c r="Z140" s="468" t="s">
        <v>516</v>
      </c>
      <c r="AA140" s="466">
        <v>103566.6</v>
      </c>
      <c r="AB140" s="466">
        <v>103566.6</v>
      </c>
      <c r="AC140" s="467">
        <v>0</v>
      </c>
      <c r="AD140" s="466">
        <v>0</v>
      </c>
      <c r="AE140" s="468" t="s">
        <v>514</v>
      </c>
      <c r="AF140" s="466">
        <v>2000</v>
      </c>
      <c r="AG140" s="466">
        <v>2000</v>
      </c>
      <c r="AH140" s="466">
        <v>46766.82</v>
      </c>
      <c r="AI140" s="466">
        <v>2597.1999999999998</v>
      </c>
      <c r="AJ140" s="469" t="s">
        <v>2511</v>
      </c>
      <c r="AK140" s="470" t="s">
        <v>2512</v>
      </c>
      <c r="AL140" s="471" t="s">
        <v>2513</v>
      </c>
      <c r="AM140" s="470" t="s">
        <v>15171</v>
      </c>
      <c r="AN140" s="470" t="s">
        <v>2508</v>
      </c>
      <c r="AO140" s="470" t="s">
        <v>2514</v>
      </c>
      <c r="AP140" s="470" t="s">
        <v>2515</v>
      </c>
      <c r="AQ140" s="470" t="s">
        <v>2506</v>
      </c>
      <c r="AR140" s="472" t="s">
        <v>515</v>
      </c>
      <c r="AS140" s="473" t="s">
        <v>1385</v>
      </c>
      <c r="AT140" s="472" t="s">
        <v>1390</v>
      </c>
      <c r="AU140" s="472" t="s">
        <v>420</v>
      </c>
      <c r="AV140" s="472">
        <v>2020</v>
      </c>
      <c r="AW140" s="474" t="s">
        <v>15078</v>
      </c>
      <c r="AX140" s="475" t="s">
        <v>15079</v>
      </c>
      <c r="AY140" s="515">
        <v>1</v>
      </c>
      <c r="AZ140" s="474" t="s">
        <v>15079</v>
      </c>
      <c r="BA140" s="472" t="s">
        <v>1390</v>
      </c>
      <c r="BB140" s="472" t="s">
        <v>1385</v>
      </c>
      <c r="BC140" s="472" t="s">
        <v>1385</v>
      </c>
      <c r="BD140" s="472" t="s">
        <v>1385</v>
      </c>
      <c r="BE140" s="472" t="s">
        <v>1385</v>
      </c>
      <c r="BF140" s="472">
        <v>25029</v>
      </c>
      <c r="BG140" s="472">
        <v>0</v>
      </c>
      <c r="BH140" s="472" t="s">
        <v>1385</v>
      </c>
      <c r="BI140" s="510">
        <v>0</v>
      </c>
      <c r="BJ140" s="510">
        <v>0</v>
      </c>
      <c r="BK140" s="510">
        <v>0</v>
      </c>
      <c r="BL140" s="510">
        <v>0</v>
      </c>
      <c r="BM140" s="510">
        <v>0</v>
      </c>
      <c r="BN140" s="510">
        <v>4000</v>
      </c>
      <c r="BO140" s="510">
        <v>0</v>
      </c>
      <c r="BP140" s="510">
        <v>0</v>
      </c>
      <c r="BQ140" s="510">
        <v>0</v>
      </c>
      <c r="BR140" s="510">
        <v>0</v>
      </c>
      <c r="BS140" s="510">
        <v>0</v>
      </c>
      <c r="BT140" s="510">
        <v>0</v>
      </c>
      <c r="BU140" s="510">
        <v>0</v>
      </c>
      <c r="BV140" s="510">
        <v>0</v>
      </c>
      <c r="BW140" s="510">
        <v>0</v>
      </c>
      <c r="BX140" s="510">
        <v>30000</v>
      </c>
      <c r="BY140" s="1011">
        <v>0</v>
      </c>
      <c r="BZ140" s="510">
        <v>0</v>
      </c>
      <c r="CA140" s="1011">
        <v>0</v>
      </c>
      <c r="CB140" s="510">
        <v>0</v>
      </c>
      <c r="CC140" s="1011">
        <v>0</v>
      </c>
      <c r="CD140" s="510">
        <v>0</v>
      </c>
      <c r="CE140" s="1011">
        <v>0</v>
      </c>
      <c r="CF140" s="510">
        <v>48537.599999999999</v>
      </c>
      <c r="CG140" s="1011">
        <v>0</v>
      </c>
      <c r="CH140" s="510">
        <v>0</v>
      </c>
      <c r="CI140" s="1011">
        <v>0</v>
      </c>
    </row>
    <row r="141" spans="1:87" ht="12.75" customHeight="1" x14ac:dyDescent="0.2">
      <c r="A141" s="449">
        <v>43</v>
      </c>
      <c r="B141" s="453">
        <v>18511</v>
      </c>
      <c r="C141" s="454" t="s">
        <v>2516</v>
      </c>
      <c r="D141" s="454" t="s">
        <v>517</v>
      </c>
      <c r="E141" s="454" t="s">
        <v>2517</v>
      </c>
      <c r="F141" s="454" t="s">
        <v>513</v>
      </c>
      <c r="G141" s="454" t="s">
        <v>12555</v>
      </c>
      <c r="H141" s="455">
        <v>2497391000127</v>
      </c>
      <c r="I141" s="462">
        <v>35914</v>
      </c>
      <c r="J141" s="457">
        <v>37531620</v>
      </c>
      <c r="K141" s="454" t="s">
        <v>2518</v>
      </c>
      <c r="L141" s="458">
        <v>932</v>
      </c>
      <c r="M141" s="454" t="s">
        <v>2519</v>
      </c>
      <c r="N141" s="459">
        <v>8343320</v>
      </c>
      <c r="O141" s="460">
        <v>27312406</v>
      </c>
      <c r="P141" s="462">
        <v>149678</v>
      </c>
      <c r="Q141" s="462">
        <v>43</v>
      </c>
      <c r="R141" s="462">
        <v>43937</v>
      </c>
      <c r="S141" s="463">
        <v>856</v>
      </c>
      <c r="T141" s="464">
        <v>5.4</v>
      </c>
      <c r="U141" s="465">
        <v>4622.3999999999996</v>
      </c>
      <c r="V141" s="465">
        <v>18720</v>
      </c>
      <c r="W141" s="466">
        <v>0</v>
      </c>
      <c r="X141" s="467">
        <v>1</v>
      </c>
      <c r="Y141" s="466">
        <v>35013.599999999999</v>
      </c>
      <c r="Z141" s="468" t="s">
        <v>516</v>
      </c>
      <c r="AA141" s="466">
        <v>133255.6</v>
      </c>
      <c r="AB141" s="466">
        <v>133255.6</v>
      </c>
      <c r="AC141" s="467">
        <v>0</v>
      </c>
      <c r="AD141" s="466">
        <v>0</v>
      </c>
      <c r="AE141" s="468" t="s">
        <v>516</v>
      </c>
      <c r="AF141" s="466">
        <v>0</v>
      </c>
      <c r="AG141" s="466">
        <v>0</v>
      </c>
      <c r="AH141" s="466">
        <v>31579.85</v>
      </c>
      <c r="AI141" s="466">
        <v>8880.99</v>
      </c>
      <c r="AJ141" s="469" t="s">
        <v>2520</v>
      </c>
      <c r="AK141" s="470" t="s">
        <v>2521</v>
      </c>
      <c r="AL141" s="471" t="s">
        <v>2522</v>
      </c>
      <c r="AM141" s="470" t="s">
        <v>2523</v>
      </c>
      <c r="AN141" s="470" t="s">
        <v>1385</v>
      </c>
      <c r="AO141" s="470" t="s">
        <v>2524</v>
      </c>
      <c r="AP141" s="470" t="s">
        <v>2525</v>
      </c>
      <c r="AQ141" s="470" t="s">
        <v>2516</v>
      </c>
      <c r="AR141" s="472" t="s">
        <v>515</v>
      </c>
      <c r="AS141" s="473" t="s">
        <v>1385</v>
      </c>
      <c r="AT141" s="472" t="s">
        <v>517</v>
      </c>
      <c r="AU141" s="472" t="s">
        <v>420</v>
      </c>
      <c r="AV141" s="472">
        <v>2020</v>
      </c>
      <c r="AW141" s="474" t="s">
        <v>15078</v>
      </c>
      <c r="AX141" s="475" t="s">
        <v>15079</v>
      </c>
      <c r="AY141" s="515">
        <v>1</v>
      </c>
      <c r="AZ141" s="474" t="s">
        <v>15079</v>
      </c>
      <c r="BA141" s="472" t="s">
        <v>517</v>
      </c>
      <c r="BB141" s="472" t="s">
        <v>1385</v>
      </c>
      <c r="BC141" s="472" t="s">
        <v>1385</v>
      </c>
      <c r="BD141" s="472" t="s">
        <v>1385</v>
      </c>
      <c r="BE141" s="472" t="s">
        <v>1385</v>
      </c>
      <c r="BF141" s="472">
        <v>35013.599999999999</v>
      </c>
      <c r="BG141" s="472">
        <v>0</v>
      </c>
      <c r="BH141" s="472" t="s">
        <v>1385</v>
      </c>
      <c r="BI141" s="510">
        <v>0</v>
      </c>
      <c r="BJ141" s="510">
        <v>0</v>
      </c>
      <c r="BK141" s="510">
        <v>0</v>
      </c>
      <c r="BL141" s="510">
        <v>0</v>
      </c>
      <c r="BM141" s="510">
        <v>0</v>
      </c>
      <c r="BN141" s="510">
        <v>5000</v>
      </c>
      <c r="BO141" s="510">
        <v>0</v>
      </c>
      <c r="BP141" s="510">
        <v>0</v>
      </c>
      <c r="BQ141" s="510">
        <v>0</v>
      </c>
      <c r="BR141" s="510">
        <v>0</v>
      </c>
      <c r="BS141" s="510">
        <v>0</v>
      </c>
      <c r="BT141" s="510">
        <v>0</v>
      </c>
      <c r="BU141" s="510">
        <v>2500</v>
      </c>
      <c r="BV141" s="510">
        <v>2500</v>
      </c>
      <c r="BW141" s="510">
        <v>0</v>
      </c>
      <c r="BX141" s="510">
        <v>30000</v>
      </c>
      <c r="BY141" s="1011">
        <v>0</v>
      </c>
      <c r="BZ141" s="510">
        <v>0</v>
      </c>
      <c r="CA141" s="1011">
        <v>0</v>
      </c>
      <c r="CB141" s="510">
        <v>22000</v>
      </c>
      <c r="CC141" s="1011">
        <v>0</v>
      </c>
      <c r="CD141" s="510">
        <v>0</v>
      </c>
      <c r="CE141" s="1011">
        <v>0</v>
      </c>
      <c r="CF141" s="510">
        <v>46242</v>
      </c>
      <c r="CG141" s="1011">
        <v>0</v>
      </c>
      <c r="CH141" s="510">
        <v>0</v>
      </c>
      <c r="CI141" s="1011">
        <v>0</v>
      </c>
    </row>
    <row r="142" spans="1:87" ht="12.75" customHeight="1" x14ac:dyDescent="0.2">
      <c r="A142" s="449">
        <v>95</v>
      </c>
      <c r="B142" s="453">
        <v>18520</v>
      </c>
      <c r="C142" s="454" t="s">
        <v>2526</v>
      </c>
      <c r="D142" s="454" t="s">
        <v>1390</v>
      </c>
      <c r="E142" s="454" t="s">
        <v>2527</v>
      </c>
      <c r="F142" s="454" t="s">
        <v>527</v>
      </c>
      <c r="G142" s="454" t="s">
        <v>12556</v>
      </c>
      <c r="H142" s="455">
        <v>2681449000198</v>
      </c>
      <c r="I142" s="462">
        <v>36010</v>
      </c>
      <c r="J142" s="457">
        <v>38089726</v>
      </c>
      <c r="K142" s="454" t="s">
        <v>2528</v>
      </c>
      <c r="L142" s="458">
        <v>167</v>
      </c>
      <c r="M142" s="454" t="s">
        <v>2529</v>
      </c>
      <c r="N142" s="459">
        <v>3043050</v>
      </c>
      <c r="O142" s="460">
        <v>32084208</v>
      </c>
      <c r="P142" s="462">
        <v>204024</v>
      </c>
      <c r="Q142" s="462">
        <v>55</v>
      </c>
      <c r="R142" s="462">
        <v>43929</v>
      </c>
      <c r="S142" s="463">
        <v>425</v>
      </c>
      <c r="T142" s="464">
        <v>3.6</v>
      </c>
      <c r="U142" s="465">
        <v>1530</v>
      </c>
      <c r="V142" s="465">
        <v>15120</v>
      </c>
      <c r="W142" s="466">
        <v>0</v>
      </c>
      <c r="X142" s="467">
        <v>1</v>
      </c>
      <c r="Y142" s="466">
        <v>24975</v>
      </c>
      <c r="Z142" s="468" t="s">
        <v>516</v>
      </c>
      <c r="AA142" s="466">
        <v>103181.4</v>
      </c>
      <c r="AB142" s="466">
        <v>103181.4</v>
      </c>
      <c r="AC142" s="467">
        <v>0</v>
      </c>
      <c r="AD142" s="466">
        <v>0</v>
      </c>
      <c r="AE142" s="468" t="s">
        <v>516</v>
      </c>
      <c r="AF142" s="466">
        <v>0</v>
      </c>
      <c r="AG142" s="466">
        <v>0</v>
      </c>
      <c r="AH142" s="466">
        <v>14092.31</v>
      </c>
      <c r="AI142" s="466">
        <v>9990</v>
      </c>
      <c r="AJ142" s="469" t="s">
        <v>2530</v>
      </c>
      <c r="AK142" s="470" t="s">
        <v>2531</v>
      </c>
      <c r="AL142" s="471" t="s">
        <v>2532</v>
      </c>
      <c r="AM142" s="470" t="s">
        <v>2533</v>
      </c>
      <c r="AN142" s="470" t="s">
        <v>12556</v>
      </c>
      <c r="AO142" s="470" t="s">
        <v>12557</v>
      </c>
      <c r="AP142" s="470" t="s">
        <v>2534</v>
      </c>
      <c r="AQ142" s="470" t="s">
        <v>2526</v>
      </c>
      <c r="AR142" s="472" t="s">
        <v>515</v>
      </c>
      <c r="AS142" s="473" t="s">
        <v>1385</v>
      </c>
      <c r="AT142" s="472" t="s">
        <v>1390</v>
      </c>
      <c r="AU142" s="472" t="s">
        <v>420</v>
      </c>
      <c r="AV142" s="472">
        <v>2020</v>
      </c>
      <c r="AW142" s="474" t="s">
        <v>15078</v>
      </c>
      <c r="AX142" s="475" t="s">
        <v>15079</v>
      </c>
      <c r="AY142" s="515">
        <v>1</v>
      </c>
      <c r="AZ142" s="474" t="s">
        <v>15079</v>
      </c>
      <c r="BA142" s="472" t="s">
        <v>1390</v>
      </c>
      <c r="BB142" s="472" t="s">
        <v>1385</v>
      </c>
      <c r="BC142" s="472" t="s">
        <v>1385</v>
      </c>
      <c r="BD142" s="509" t="s">
        <v>1385</v>
      </c>
      <c r="BE142" s="472" t="s">
        <v>1385</v>
      </c>
      <c r="BF142" s="509">
        <v>24975</v>
      </c>
      <c r="BG142" s="509">
        <v>0</v>
      </c>
      <c r="BH142" s="472" t="s">
        <v>1385</v>
      </c>
      <c r="BI142" s="510">
        <v>0</v>
      </c>
      <c r="BJ142" s="510">
        <v>2828.06</v>
      </c>
      <c r="BK142" s="510">
        <v>0</v>
      </c>
      <c r="BL142" s="510">
        <v>0</v>
      </c>
      <c r="BM142" s="510">
        <v>0</v>
      </c>
      <c r="BN142" s="510">
        <v>4000</v>
      </c>
      <c r="BO142" s="510">
        <v>0</v>
      </c>
      <c r="BP142" s="510">
        <v>0</v>
      </c>
      <c r="BQ142" s="510">
        <v>0</v>
      </c>
      <c r="BR142" s="510">
        <v>0</v>
      </c>
      <c r="BS142" s="510">
        <v>0</v>
      </c>
      <c r="BT142" s="510">
        <v>0</v>
      </c>
      <c r="BU142" s="510">
        <v>0</v>
      </c>
      <c r="BV142" s="510">
        <v>0</v>
      </c>
      <c r="BW142" s="510">
        <v>0</v>
      </c>
      <c r="BX142" s="510">
        <v>30000</v>
      </c>
      <c r="BY142" s="1011">
        <v>0</v>
      </c>
      <c r="BZ142" s="510">
        <v>0</v>
      </c>
      <c r="CA142" s="1011">
        <v>0</v>
      </c>
      <c r="CB142" s="510">
        <v>0</v>
      </c>
      <c r="CC142" s="1011">
        <v>0</v>
      </c>
      <c r="CD142" s="510">
        <v>0</v>
      </c>
      <c r="CE142" s="1011">
        <v>0</v>
      </c>
      <c r="CF142" s="510">
        <v>48206.400000000001</v>
      </c>
      <c r="CG142" s="1011">
        <v>0</v>
      </c>
      <c r="CH142" s="510">
        <v>0</v>
      </c>
      <c r="CI142" s="1011">
        <v>0</v>
      </c>
    </row>
    <row r="143" spans="1:87" ht="12.75" customHeight="1" x14ac:dyDescent="0.2">
      <c r="A143" s="449">
        <v>74</v>
      </c>
      <c r="B143" s="453">
        <v>18538</v>
      </c>
      <c r="C143" s="454" t="s">
        <v>2535</v>
      </c>
      <c r="D143" s="454" t="s">
        <v>1390</v>
      </c>
      <c r="E143" s="454" t="s">
        <v>2536</v>
      </c>
      <c r="F143" s="454" t="s">
        <v>523</v>
      </c>
      <c r="G143" s="454" t="s">
        <v>12558</v>
      </c>
      <c r="H143" s="455">
        <v>2915438000125</v>
      </c>
      <c r="I143" s="462">
        <v>36018</v>
      </c>
      <c r="J143" s="457">
        <v>35766816</v>
      </c>
      <c r="K143" s="454" t="s">
        <v>2537</v>
      </c>
      <c r="L143" s="458">
        <v>114</v>
      </c>
      <c r="M143" s="454" t="s">
        <v>2538</v>
      </c>
      <c r="N143" s="459">
        <v>8410090</v>
      </c>
      <c r="O143" s="460">
        <v>25554165</v>
      </c>
      <c r="P143" s="462">
        <v>261435</v>
      </c>
      <c r="Q143" s="462">
        <v>74</v>
      </c>
      <c r="R143" s="462">
        <v>43921</v>
      </c>
      <c r="S143" s="463">
        <v>488</v>
      </c>
      <c r="T143" s="464">
        <v>3.6</v>
      </c>
      <c r="U143" s="465">
        <v>1756.8</v>
      </c>
      <c r="V143" s="465">
        <v>15120</v>
      </c>
      <c r="W143" s="466">
        <v>0</v>
      </c>
      <c r="X143" s="467">
        <v>1</v>
      </c>
      <c r="Y143" s="466">
        <v>25315.200000000001</v>
      </c>
      <c r="Z143" s="468" t="s">
        <v>516</v>
      </c>
      <c r="AA143" s="466">
        <v>104018.4</v>
      </c>
      <c r="AB143" s="466">
        <v>104018.4</v>
      </c>
      <c r="AC143" s="467">
        <v>0</v>
      </c>
      <c r="AD143" s="466">
        <v>0</v>
      </c>
      <c r="AE143" s="468" t="s">
        <v>516</v>
      </c>
      <c r="AF143" s="466">
        <v>0</v>
      </c>
      <c r="AG143" s="466">
        <v>0</v>
      </c>
      <c r="AH143" s="466">
        <v>30123.17</v>
      </c>
      <c r="AI143" s="466">
        <v>17360.990000000002</v>
      </c>
      <c r="AJ143" s="469" t="s">
        <v>1395</v>
      </c>
      <c r="AK143" s="470" t="s">
        <v>523</v>
      </c>
      <c r="AL143" s="471" t="s">
        <v>2539</v>
      </c>
      <c r="AM143" s="470" t="s">
        <v>12559</v>
      </c>
      <c r="AN143" s="470" t="s">
        <v>1385</v>
      </c>
      <c r="AO143" s="470" t="s">
        <v>2540</v>
      </c>
      <c r="AP143" s="470" t="s">
        <v>2541</v>
      </c>
      <c r="AQ143" s="470" t="s">
        <v>2535</v>
      </c>
      <c r="AR143" s="472" t="s">
        <v>515</v>
      </c>
      <c r="AS143" s="473" t="s">
        <v>1385</v>
      </c>
      <c r="AT143" s="472" t="s">
        <v>1390</v>
      </c>
      <c r="AU143" s="472" t="s">
        <v>420</v>
      </c>
      <c r="AV143" s="472">
        <v>2020</v>
      </c>
      <c r="AW143" s="474" t="s">
        <v>15078</v>
      </c>
      <c r="AX143" s="475" t="s">
        <v>15079</v>
      </c>
      <c r="AY143" s="515">
        <v>1</v>
      </c>
      <c r="AZ143" s="474" t="s">
        <v>15079</v>
      </c>
      <c r="BA143" s="472" t="s">
        <v>1390</v>
      </c>
      <c r="BB143" s="472" t="s">
        <v>1385</v>
      </c>
      <c r="BC143" s="472" t="s">
        <v>1385</v>
      </c>
      <c r="BD143" s="472" t="s">
        <v>1385</v>
      </c>
      <c r="BE143" s="472" t="s">
        <v>1385</v>
      </c>
      <c r="BF143" s="472">
        <v>25315.200000000001</v>
      </c>
      <c r="BG143" s="472">
        <v>0</v>
      </c>
      <c r="BH143" s="472" t="s">
        <v>1385</v>
      </c>
      <c r="BI143" s="510">
        <v>0</v>
      </c>
      <c r="BJ143" s="510">
        <v>0</v>
      </c>
      <c r="BK143" s="510">
        <v>0</v>
      </c>
      <c r="BL143" s="510">
        <v>0</v>
      </c>
      <c r="BM143" s="510">
        <v>0</v>
      </c>
      <c r="BN143" s="510">
        <v>4000</v>
      </c>
      <c r="BO143" s="510">
        <v>0</v>
      </c>
      <c r="BP143" s="510">
        <v>0</v>
      </c>
      <c r="BQ143" s="510">
        <v>0</v>
      </c>
      <c r="BR143" s="510">
        <v>0</v>
      </c>
      <c r="BS143" s="510">
        <v>0</v>
      </c>
      <c r="BT143" s="510">
        <v>0</v>
      </c>
      <c r="BU143" s="510">
        <v>0</v>
      </c>
      <c r="BV143" s="510">
        <v>0</v>
      </c>
      <c r="BW143" s="510">
        <v>0</v>
      </c>
      <c r="BX143" s="510">
        <v>30000</v>
      </c>
      <c r="BY143" s="1011">
        <v>0</v>
      </c>
      <c r="BZ143" s="510">
        <v>0</v>
      </c>
      <c r="CA143" s="1011">
        <v>0</v>
      </c>
      <c r="CB143" s="510">
        <v>0</v>
      </c>
      <c r="CC143" s="1011">
        <v>0</v>
      </c>
      <c r="CD143" s="510">
        <v>0</v>
      </c>
      <c r="CE143" s="1011">
        <v>0</v>
      </c>
      <c r="CF143" s="510">
        <v>48703.199999999997</v>
      </c>
      <c r="CG143" s="1011">
        <v>0</v>
      </c>
      <c r="CH143" s="510">
        <v>0</v>
      </c>
      <c r="CI143" s="1011">
        <v>0</v>
      </c>
    </row>
    <row r="144" spans="1:87" ht="12.75" customHeight="1" x14ac:dyDescent="0.2">
      <c r="A144" s="449">
        <v>38</v>
      </c>
      <c r="B144" s="453">
        <v>18546</v>
      </c>
      <c r="C144" s="454" t="s">
        <v>2542</v>
      </c>
      <c r="D144" s="454" t="s">
        <v>517</v>
      </c>
      <c r="E144" s="454" t="s">
        <v>2543</v>
      </c>
      <c r="F144" s="454" t="s">
        <v>521</v>
      </c>
      <c r="G144" s="454" t="s">
        <v>12560</v>
      </c>
      <c r="H144" s="455">
        <v>2497979000180</v>
      </c>
      <c r="I144" s="462">
        <v>35920</v>
      </c>
      <c r="J144" s="457">
        <v>37549820</v>
      </c>
      <c r="K144" s="454" t="s">
        <v>2544</v>
      </c>
      <c r="L144" s="458">
        <v>310</v>
      </c>
      <c r="M144" s="454" t="s">
        <v>2545</v>
      </c>
      <c r="N144" s="459">
        <v>4851340</v>
      </c>
      <c r="O144" s="460">
        <v>59336224</v>
      </c>
      <c r="P144" s="462">
        <v>101136</v>
      </c>
      <c r="Q144" s="462">
        <v>55</v>
      </c>
      <c r="R144" s="462">
        <v>43934</v>
      </c>
      <c r="S144" s="463">
        <v>2263</v>
      </c>
      <c r="T144" s="464">
        <v>5.4</v>
      </c>
      <c r="U144" s="465">
        <v>12220.2</v>
      </c>
      <c r="V144" s="465">
        <v>25200</v>
      </c>
      <c r="W144" s="466">
        <v>0</v>
      </c>
      <c r="X144" s="467">
        <v>1</v>
      </c>
      <c r="Y144" s="466">
        <v>56130.3</v>
      </c>
      <c r="Z144" s="468" t="s">
        <v>516</v>
      </c>
      <c r="AA144" s="466">
        <v>181869.1</v>
      </c>
      <c r="AB144" s="466">
        <v>181869.1</v>
      </c>
      <c r="AC144" s="467">
        <v>0</v>
      </c>
      <c r="AD144" s="466">
        <v>0</v>
      </c>
      <c r="AE144" s="468" t="s">
        <v>516</v>
      </c>
      <c r="AF144" s="466">
        <v>2000</v>
      </c>
      <c r="AG144" s="466">
        <v>2000</v>
      </c>
      <c r="AH144" s="466">
        <v>76179.679999999993</v>
      </c>
      <c r="AI144" s="466">
        <v>0</v>
      </c>
      <c r="AJ144" s="469" t="s">
        <v>2546</v>
      </c>
      <c r="AK144" s="470" t="s">
        <v>1625</v>
      </c>
      <c r="AL144" s="471" t="s">
        <v>2547</v>
      </c>
      <c r="AM144" s="470" t="s">
        <v>2548</v>
      </c>
      <c r="AN144" s="470" t="s">
        <v>1385</v>
      </c>
      <c r="AO144" s="470" t="s">
        <v>2549</v>
      </c>
      <c r="AP144" s="470" t="s">
        <v>2550</v>
      </c>
      <c r="AQ144" s="470" t="s">
        <v>2542</v>
      </c>
      <c r="AR144" s="472" t="s">
        <v>515</v>
      </c>
      <c r="AS144" s="473" t="s">
        <v>1385</v>
      </c>
      <c r="AT144" s="472" t="s">
        <v>517</v>
      </c>
      <c r="AU144" s="472" t="s">
        <v>420</v>
      </c>
      <c r="AV144" s="472">
        <v>2020</v>
      </c>
      <c r="AW144" s="474" t="s">
        <v>15078</v>
      </c>
      <c r="AX144" s="475" t="s">
        <v>15079</v>
      </c>
      <c r="AY144" s="515">
        <v>1</v>
      </c>
      <c r="AZ144" s="474" t="s">
        <v>15079</v>
      </c>
      <c r="BA144" s="472" t="s">
        <v>517</v>
      </c>
      <c r="BB144" s="472" t="s">
        <v>1385</v>
      </c>
      <c r="BC144" s="472" t="s">
        <v>1385</v>
      </c>
      <c r="BD144" s="472" t="s">
        <v>1385</v>
      </c>
      <c r="BE144" s="472" t="s">
        <v>1385</v>
      </c>
      <c r="BF144" s="472">
        <v>56130.3</v>
      </c>
      <c r="BG144" s="472">
        <v>0</v>
      </c>
      <c r="BH144" s="472" t="s">
        <v>1385</v>
      </c>
      <c r="BI144" s="510">
        <v>0</v>
      </c>
      <c r="BJ144" s="510">
        <v>0</v>
      </c>
      <c r="BK144" s="510">
        <v>0</v>
      </c>
      <c r="BL144" s="510">
        <v>3500</v>
      </c>
      <c r="BM144" s="510">
        <v>0</v>
      </c>
      <c r="BN144" s="510">
        <v>7000</v>
      </c>
      <c r="BO144" s="510">
        <v>0</v>
      </c>
      <c r="BP144" s="510">
        <v>2000</v>
      </c>
      <c r="BQ144" s="510">
        <v>0</v>
      </c>
      <c r="BR144" s="510">
        <v>0</v>
      </c>
      <c r="BS144" s="510">
        <v>0</v>
      </c>
      <c r="BT144" s="510">
        <v>0</v>
      </c>
      <c r="BU144" s="510">
        <v>0</v>
      </c>
      <c r="BV144" s="510">
        <v>0</v>
      </c>
      <c r="BW144" s="510">
        <v>0</v>
      </c>
      <c r="BX144" s="510">
        <v>30000</v>
      </c>
      <c r="BY144" s="1011">
        <v>0</v>
      </c>
      <c r="BZ144" s="510">
        <v>0</v>
      </c>
      <c r="CA144" s="1011">
        <v>0</v>
      </c>
      <c r="CB144" s="510">
        <v>22000</v>
      </c>
      <c r="CC144" s="1011">
        <v>0</v>
      </c>
      <c r="CD144" s="510">
        <v>0</v>
      </c>
      <c r="CE144" s="1011">
        <v>0</v>
      </c>
      <c r="CF144" s="510">
        <v>73738.8</v>
      </c>
      <c r="CG144" s="1011">
        <v>0</v>
      </c>
      <c r="CH144" s="510">
        <v>0</v>
      </c>
      <c r="CI144" s="1011">
        <v>0</v>
      </c>
    </row>
    <row r="145" spans="1:87" ht="12.75" customHeight="1" x14ac:dyDescent="0.2">
      <c r="A145" s="449">
        <v>62</v>
      </c>
      <c r="B145" s="453">
        <v>18554</v>
      </c>
      <c r="C145" s="454" t="s">
        <v>2551</v>
      </c>
      <c r="D145" s="454" t="s">
        <v>1390</v>
      </c>
      <c r="E145" s="454" t="s">
        <v>2552</v>
      </c>
      <c r="F145" s="454" t="s">
        <v>522</v>
      </c>
      <c r="G145" s="454" t="s">
        <v>12561</v>
      </c>
      <c r="H145" s="455">
        <v>2547200000194</v>
      </c>
      <c r="I145" s="462">
        <v>35919</v>
      </c>
      <c r="J145" s="457">
        <v>37586963</v>
      </c>
      <c r="K145" s="454" t="s">
        <v>2553</v>
      </c>
      <c r="L145" s="458">
        <v>100</v>
      </c>
      <c r="M145" s="454" t="s">
        <v>2554</v>
      </c>
      <c r="N145" s="459">
        <v>2558070</v>
      </c>
      <c r="O145" s="460">
        <v>39551199</v>
      </c>
      <c r="P145" s="462">
        <v>73248</v>
      </c>
      <c r="Q145" s="462">
        <v>7</v>
      </c>
      <c r="R145" s="462">
        <v>43911</v>
      </c>
      <c r="S145" s="463">
        <v>313</v>
      </c>
      <c r="T145" s="464">
        <v>3.6</v>
      </c>
      <c r="U145" s="465">
        <v>1126.8</v>
      </c>
      <c r="V145" s="465">
        <v>13680</v>
      </c>
      <c r="W145" s="466">
        <v>0</v>
      </c>
      <c r="X145" s="467">
        <v>1</v>
      </c>
      <c r="Y145" s="466">
        <v>22210.2</v>
      </c>
      <c r="Z145" s="468" t="s">
        <v>516</v>
      </c>
      <c r="AA145" s="466">
        <v>96881.4</v>
      </c>
      <c r="AB145" s="466">
        <v>96881.4</v>
      </c>
      <c r="AC145" s="467">
        <v>0</v>
      </c>
      <c r="AD145" s="466">
        <v>0</v>
      </c>
      <c r="AE145" s="468" t="s">
        <v>516</v>
      </c>
      <c r="AF145" s="466">
        <v>0</v>
      </c>
      <c r="AG145" s="466">
        <v>0</v>
      </c>
      <c r="AH145" s="466">
        <v>601.71</v>
      </c>
      <c r="AI145" s="466">
        <v>1644.91</v>
      </c>
      <c r="AJ145" s="469" t="s">
        <v>2555</v>
      </c>
      <c r="AK145" s="470" t="s">
        <v>2556</v>
      </c>
      <c r="AL145" s="471" t="s">
        <v>2557</v>
      </c>
      <c r="AM145" s="470" t="s">
        <v>12562</v>
      </c>
      <c r="AN145" s="470" t="s">
        <v>1385</v>
      </c>
      <c r="AO145" s="470" t="s">
        <v>12563</v>
      </c>
      <c r="AP145" s="470" t="s">
        <v>2558</v>
      </c>
      <c r="AQ145" s="470" t="s">
        <v>2551</v>
      </c>
      <c r="AR145" s="472" t="s">
        <v>515</v>
      </c>
      <c r="AS145" s="473" t="s">
        <v>1385</v>
      </c>
      <c r="AT145" s="472" t="s">
        <v>1390</v>
      </c>
      <c r="AU145" s="472" t="s">
        <v>420</v>
      </c>
      <c r="AV145" s="472">
        <v>2020</v>
      </c>
      <c r="AW145" s="474" t="s">
        <v>15078</v>
      </c>
      <c r="AX145" s="475" t="s">
        <v>15079</v>
      </c>
      <c r="AY145" s="515">
        <v>1</v>
      </c>
      <c r="AZ145" s="474" t="s">
        <v>15079</v>
      </c>
      <c r="BA145" s="472" t="s">
        <v>1390</v>
      </c>
      <c r="BB145" s="472" t="s">
        <v>1385</v>
      </c>
      <c r="BC145" s="472" t="s">
        <v>1385</v>
      </c>
      <c r="BD145" s="472" t="s">
        <v>1385</v>
      </c>
      <c r="BE145" s="472" t="s">
        <v>1385</v>
      </c>
      <c r="BF145" s="472">
        <v>22210.2</v>
      </c>
      <c r="BG145" s="472">
        <v>0</v>
      </c>
      <c r="BH145" s="472" t="s">
        <v>1385</v>
      </c>
      <c r="BI145" s="510">
        <v>0</v>
      </c>
      <c r="BJ145" s="510">
        <v>103.9</v>
      </c>
      <c r="BK145" s="510">
        <v>0</v>
      </c>
      <c r="BL145" s="510">
        <v>0</v>
      </c>
      <c r="BM145" s="510">
        <v>0</v>
      </c>
      <c r="BN145" s="510">
        <v>3500</v>
      </c>
      <c r="BO145" s="510">
        <v>0</v>
      </c>
      <c r="BP145" s="510">
        <v>0</v>
      </c>
      <c r="BQ145" s="510">
        <v>0</v>
      </c>
      <c r="BR145" s="510">
        <v>0</v>
      </c>
      <c r="BS145" s="510">
        <v>0</v>
      </c>
      <c r="BT145" s="510">
        <v>0</v>
      </c>
      <c r="BU145" s="510">
        <v>0</v>
      </c>
      <c r="BV145" s="510">
        <v>0</v>
      </c>
      <c r="BW145" s="510">
        <v>0</v>
      </c>
      <c r="BX145" s="510">
        <v>30000</v>
      </c>
      <c r="BY145" s="1011">
        <v>0</v>
      </c>
      <c r="BZ145" s="510">
        <v>0</v>
      </c>
      <c r="CA145" s="1011">
        <v>0</v>
      </c>
      <c r="CB145" s="510">
        <v>0</v>
      </c>
      <c r="CC145" s="1011">
        <v>0</v>
      </c>
      <c r="CD145" s="510">
        <v>0</v>
      </c>
      <c r="CE145" s="1011">
        <v>0</v>
      </c>
      <c r="CF145" s="510">
        <v>44671.199999999997</v>
      </c>
      <c r="CG145" s="1011">
        <v>0</v>
      </c>
      <c r="CH145" s="510">
        <v>0</v>
      </c>
      <c r="CI145" s="1011">
        <v>0</v>
      </c>
    </row>
    <row r="146" spans="1:87" ht="12.75" customHeight="1" x14ac:dyDescent="0.2">
      <c r="A146" s="449">
        <v>101</v>
      </c>
      <c r="B146" s="453">
        <v>18830</v>
      </c>
      <c r="C146" s="454" t="s">
        <v>2559</v>
      </c>
      <c r="D146" s="454" t="s">
        <v>517</v>
      </c>
      <c r="E146" s="454" t="s">
        <v>2559</v>
      </c>
      <c r="F146" s="454" t="s">
        <v>520</v>
      </c>
      <c r="G146" s="454" t="s">
        <v>12564</v>
      </c>
      <c r="H146" s="455">
        <v>2498503000164</v>
      </c>
      <c r="I146" s="462">
        <v>35919</v>
      </c>
      <c r="J146" s="457">
        <v>37619772</v>
      </c>
      <c r="K146" s="454" t="s">
        <v>2561</v>
      </c>
      <c r="L146" s="458">
        <v>296</v>
      </c>
      <c r="M146" s="454" t="s">
        <v>2562</v>
      </c>
      <c r="N146" s="459">
        <v>5664000</v>
      </c>
      <c r="O146" s="460">
        <v>35014190</v>
      </c>
      <c r="P146" s="462">
        <v>303839</v>
      </c>
      <c r="Q146" s="462">
        <v>166</v>
      </c>
      <c r="R146" s="462">
        <v>43979</v>
      </c>
      <c r="S146" s="463">
        <v>985</v>
      </c>
      <c r="T146" s="464">
        <v>5.4</v>
      </c>
      <c r="U146" s="465">
        <v>5319</v>
      </c>
      <c r="V146" s="465">
        <v>20340</v>
      </c>
      <c r="W146" s="466">
        <v>0</v>
      </c>
      <c r="X146" s="467">
        <v>1</v>
      </c>
      <c r="Y146" s="466">
        <v>38488.5</v>
      </c>
      <c r="Z146" s="468" t="s">
        <v>516</v>
      </c>
      <c r="AA146" s="466">
        <v>141374.5</v>
      </c>
      <c r="AB146" s="466">
        <v>141374.5</v>
      </c>
      <c r="AC146" s="467">
        <v>0</v>
      </c>
      <c r="AD146" s="466">
        <v>0</v>
      </c>
      <c r="AE146" s="468" t="s">
        <v>516</v>
      </c>
      <c r="AF146" s="466">
        <v>0</v>
      </c>
      <c r="AG146" s="466">
        <v>0</v>
      </c>
      <c r="AH146" s="466">
        <v>30630.68</v>
      </c>
      <c r="AI146" s="466">
        <v>9732.56</v>
      </c>
      <c r="AJ146" s="469" t="s">
        <v>592</v>
      </c>
      <c r="AK146" s="470" t="s">
        <v>2563</v>
      </c>
      <c r="AL146" s="471" t="s">
        <v>2564</v>
      </c>
      <c r="AM146" s="470" t="s">
        <v>2565</v>
      </c>
      <c r="AN146" s="470" t="s">
        <v>2560</v>
      </c>
      <c r="AO146" s="470" t="s">
        <v>2566</v>
      </c>
      <c r="AP146" s="470" t="s">
        <v>2567</v>
      </c>
      <c r="AQ146" s="470" t="s">
        <v>2559</v>
      </c>
      <c r="AR146" s="472" t="s">
        <v>515</v>
      </c>
      <c r="AS146" s="473" t="s">
        <v>1385</v>
      </c>
      <c r="AT146" s="472" t="s">
        <v>517</v>
      </c>
      <c r="AU146" s="472" t="s">
        <v>420</v>
      </c>
      <c r="AV146" s="472">
        <v>2020</v>
      </c>
      <c r="AW146" s="474" t="s">
        <v>15078</v>
      </c>
      <c r="AX146" s="475" t="s">
        <v>15079</v>
      </c>
      <c r="AY146" s="515">
        <v>1</v>
      </c>
      <c r="AZ146" s="474" t="s">
        <v>15079</v>
      </c>
      <c r="BA146" s="472" t="s">
        <v>517</v>
      </c>
      <c r="BB146" s="472" t="s">
        <v>1385</v>
      </c>
      <c r="BC146" s="472" t="s">
        <v>1385</v>
      </c>
      <c r="BD146" s="472" t="s">
        <v>1385</v>
      </c>
      <c r="BE146" s="472" t="s">
        <v>1385</v>
      </c>
      <c r="BF146" s="472">
        <v>38488.5</v>
      </c>
      <c r="BG146" s="472">
        <v>0</v>
      </c>
      <c r="BH146" s="472" t="s">
        <v>1385</v>
      </c>
      <c r="BI146" s="510">
        <v>0</v>
      </c>
      <c r="BJ146" s="510">
        <v>371.41</v>
      </c>
      <c r="BK146" s="510">
        <v>0</v>
      </c>
      <c r="BL146" s="510">
        <v>3500</v>
      </c>
      <c r="BM146" s="510">
        <v>0</v>
      </c>
      <c r="BN146" s="510">
        <v>5000</v>
      </c>
      <c r="BO146" s="510">
        <v>0</v>
      </c>
      <c r="BP146" s="510">
        <v>0</v>
      </c>
      <c r="BQ146" s="510">
        <v>0</v>
      </c>
      <c r="BR146" s="510">
        <v>0</v>
      </c>
      <c r="BS146" s="510">
        <v>0</v>
      </c>
      <c r="BT146" s="510">
        <v>0</v>
      </c>
      <c r="BU146" s="510">
        <v>0</v>
      </c>
      <c r="BV146" s="510">
        <v>0</v>
      </c>
      <c r="BW146" s="510">
        <v>0</v>
      </c>
      <c r="BX146" s="510">
        <v>30000</v>
      </c>
      <c r="BY146" s="1011">
        <v>0</v>
      </c>
      <c r="BZ146" s="510">
        <v>0</v>
      </c>
      <c r="CA146" s="1011">
        <v>0</v>
      </c>
      <c r="CB146" s="510">
        <v>22000</v>
      </c>
      <c r="CC146" s="1011">
        <v>0</v>
      </c>
      <c r="CD146" s="510">
        <v>0</v>
      </c>
      <c r="CE146" s="1011">
        <v>0</v>
      </c>
      <c r="CF146" s="510">
        <v>50886</v>
      </c>
      <c r="CG146" s="1011">
        <v>0</v>
      </c>
      <c r="CH146" s="510">
        <v>0</v>
      </c>
      <c r="CI146" s="1011">
        <v>0</v>
      </c>
    </row>
    <row r="147" spans="1:87" ht="12.75" customHeight="1" x14ac:dyDescent="0.2">
      <c r="A147" s="449">
        <v>67</v>
      </c>
      <c r="B147" s="453">
        <v>19011</v>
      </c>
      <c r="C147" s="454" t="s">
        <v>2568</v>
      </c>
      <c r="D147" s="454" t="s">
        <v>517</v>
      </c>
      <c r="E147" s="454" t="s">
        <v>2569</v>
      </c>
      <c r="F147" s="454" t="s">
        <v>526</v>
      </c>
      <c r="G147" s="454" t="s">
        <v>12565</v>
      </c>
      <c r="H147" s="455">
        <v>2839994000160</v>
      </c>
      <c r="I147" s="462">
        <v>36034</v>
      </c>
      <c r="J147" s="457">
        <v>37475240</v>
      </c>
      <c r="K147" s="454" t="s">
        <v>2570</v>
      </c>
      <c r="L147" s="458">
        <v>1005</v>
      </c>
      <c r="M147" s="454" t="s">
        <v>2571</v>
      </c>
      <c r="N147" s="459">
        <v>8061440</v>
      </c>
      <c r="O147" s="460">
        <v>25470738</v>
      </c>
      <c r="P147" s="462">
        <v>138080</v>
      </c>
      <c r="Q147" s="462">
        <v>67</v>
      </c>
      <c r="R147" s="462">
        <v>43928</v>
      </c>
      <c r="S147" s="463">
        <v>695</v>
      </c>
      <c r="T147" s="464">
        <v>5.4</v>
      </c>
      <c r="U147" s="465">
        <v>3753</v>
      </c>
      <c r="V147" s="465">
        <v>17100</v>
      </c>
      <c r="W147" s="466">
        <v>0</v>
      </c>
      <c r="X147" s="467">
        <v>1</v>
      </c>
      <c r="Y147" s="466">
        <v>0</v>
      </c>
      <c r="Z147" s="468" t="s">
        <v>514</v>
      </c>
      <c r="AA147" s="466">
        <v>0</v>
      </c>
      <c r="AB147" s="466">
        <v>0</v>
      </c>
      <c r="AC147" s="467">
        <v>0</v>
      </c>
      <c r="AD147" s="466">
        <v>0</v>
      </c>
      <c r="AE147" s="468" t="s">
        <v>516</v>
      </c>
      <c r="AF147" s="466">
        <v>0</v>
      </c>
      <c r="AG147" s="466">
        <v>0</v>
      </c>
      <c r="AH147" s="466">
        <v>0</v>
      </c>
      <c r="AI147" s="466">
        <v>0</v>
      </c>
      <c r="AJ147" s="469" t="s">
        <v>2004</v>
      </c>
      <c r="AK147" s="470" t="s">
        <v>2005</v>
      </c>
      <c r="AL147" s="471" t="s">
        <v>2572</v>
      </c>
      <c r="AM147" s="470" t="s">
        <v>2573</v>
      </c>
      <c r="AN147" s="470" t="s">
        <v>1385</v>
      </c>
      <c r="AO147" s="470" t="s">
        <v>12566</v>
      </c>
      <c r="AP147" s="470" t="s">
        <v>2574</v>
      </c>
      <c r="AQ147" s="470" t="s">
        <v>2568</v>
      </c>
      <c r="AR147" s="472" t="s">
        <v>515</v>
      </c>
      <c r="AS147" s="473" t="s">
        <v>1385</v>
      </c>
      <c r="AT147" s="472" t="s">
        <v>517</v>
      </c>
      <c r="AU147" s="472" t="s">
        <v>420</v>
      </c>
      <c r="AV147" s="472">
        <v>2020</v>
      </c>
      <c r="AW147" s="474" t="s">
        <v>15078</v>
      </c>
      <c r="AX147" s="475" t="s">
        <v>15079</v>
      </c>
      <c r="AY147" s="515">
        <v>1</v>
      </c>
      <c r="AZ147" s="474" t="s">
        <v>15079</v>
      </c>
      <c r="BA147" s="472" t="s">
        <v>1385</v>
      </c>
      <c r="BB147" s="472" t="s">
        <v>1385</v>
      </c>
      <c r="BC147" s="472" t="s">
        <v>1385</v>
      </c>
      <c r="BD147" s="472" t="s">
        <v>1385</v>
      </c>
      <c r="BE147" s="472" t="s">
        <v>1385</v>
      </c>
      <c r="BF147" s="472">
        <v>31279.5</v>
      </c>
      <c r="BG147" s="472">
        <v>0</v>
      </c>
      <c r="BH147" s="472" t="s">
        <v>516</v>
      </c>
      <c r="BI147" s="510">
        <v>0</v>
      </c>
      <c r="BJ147" s="510">
        <v>0</v>
      </c>
      <c r="BK147" s="510">
        <v>0</v>
      </c>
      <c r="BL147" s="510">
        <v>0</v>
      </c>
      <c r="BM147" s="510">
        <v>0</v>
      </c>
      <c r="BN147" s="510">
        <v>0</v>
      </c>
      <c r="BO147" s="510">
        <v>0</v>
      </c>
      <c r="BP147" s="510">
        <v>0</v>
      </c>
      <c r="BQ147" s="510">
        <v>0</v>
      </c>
      <c r="BR147" s="510">
        <v>0</v>
      </c>
      <c r="BS147" s="510">
        <v>0</v>
      </c>
      <c r="BT147" s="510">
        <v>0</v>
      </c>
      <c r="BU147" s="510">
        <v>0</v>
      </c>
      <c r="BV147" s="510">
        <v>0</v>
      </c>
      <c r="BW147" s="510">
        <v>0</v>
      </c>
      <c r="BX147" s="510">
        <v>0</v>
      </c>
      <c r="BY147" s="1011">
        <v>0</v>
      </c>
      <c r="BZ147" s="510">
        <v>0</v>
      </c>
      <c r="CA147" s="1011">
        <v>0</v>
      </c>
      <c r="CB147" s="510">
        <v>0</v>
      </c>
      <c r="CC147" s="1011">
        <v>0</v>
      </c>
      <c r="CD147" s="510">
        <v>0</v>
      </c>
      <c r="CE147" s="1011">
        <v>0</v>
      </c>
      <c r="CF147" s="510">
        <v>0</v>
      </c>
      <c r="CG147" s="1011">
        <v>0</v>
      </c>
      <c r="CH147" s="510">
        <v>0</v>
      </c>
      <c r="CI147" s="1011">
        <v>0</v>
      </c>
    </row>
    <row r="148" spans="1:87" ht="12.75" customHeight="1" x14ac:dyDescent="0.2">
      <c r="A148" s="449">
        <v>51</v>
      </c>
      <c r="B148" s="453">
        <v>19020</v>
      </c>
      <c r="C148" s="454" t="s">
        <v>2575</v>
      </c>
      <c r="D148" s="454" t="s">
        <v>517</v>
      </c>
      <c r="E148" s="454" t="s">
        <v>2576</v>
      </c>
      <c r="F148" s="454" t="s">
        <v>528</v>
      </c>
      <c r="G148" s="454" t="s">
        <v>12567</v>
      </c>
      <c r="H148" s="455">
        <v>2890229000174</v>
      </c>
      <c r="I148" s="462">
        <v>36088</v>
      </c>
      <c r="J148" s="457">
        <v>37374699</v>
      </c>
      <c r="K148" s="454" t="s">
        <v>2577</v>
      </c>
      <c r="L148" s="458" t="s">
        <v>1446</v>
      </c>
      <c r="M148" s="454" t="s">
        <v>2241</v>
      </c>
      <c r="N148" s="459">
        <v>5209000</v>
      </c>
      <c r="O148" s="460">
        <v>39172538</v>
      </c>
      <c r="P148" s="462">
        <v>261613</v>
      </c>
      <c r="Q148" s="462">
        <v>51</v>
      </c>
      <c r="R148" s="462">
        <v>43938</v>
      </c>
      <c r="S148" s="463">
        <v>1051</v>
      </c>
      <c r="T148" s="464">
        <v>5.4</v>
      </c>
      <c r="U148" s="465">
        <v>5675.4</v>
      </c>
      <c r="V148" s="465">
        <v>20340</v>
      </c>
      <c r="W148" s="466">
        <v>0</v>
      </c>
      <c r="X148" s="467">
        <v>1</v>
      </c>
      <c r="Y148" s="466">
        <v>39023.1</v>
      </c>
      <c r="Z148" s="468" t="s">
        <v>516</v>
      </c>
      <c r="AA148" s="466">
        <v>142071.1</v>
      </c>
      <c r="AB148" s="466">
        <v>142071.1</v>
      </c>
      <c r="AC148" s="467">
        <v>0</v>
      </c>
      <c r="AD148" s="466">
        <v>0</v>
      </c>
      <c r="AE148" s="468" t="s">
        <v>516</v>
      </c>
      <c r="AF148" s="466">
        <v>2000</v>
      </c>
      <c r="AG148" s="466">
        <v>2000</v>
      </c>
      <c r="AH148" s="466">
        <v>26291.64</v>
      </c>
      <c r="AI148" s="466">
        <v>3.75</v>
      </c>
      <c r="AJ148" s="469" t="s">
        <v>2242</v>
      </c>
      <c r="AK148" s="470" t="s">
        <v>2241</v>
      </c>
      <c r="AL148" s="471" t="s">
        <v>2578</v>
      </c>
      <c r="AM148" s="470" t="s">
        <v>12568</v>
      </c>
      <c r="AN148" s="470" t="s">
        <v>2579</v>
      </c>
      <c r="AO148" s="470" t="s">
        <v>12569</v>
      </c>
      <c r="AP148" s="470" t="s">
        <v>2580</v>
      </c>
      <c r="AQ148" s="470" t="s">
        <v>2575</v>
      </c>
      <c r="AR148" s="472" t="s">
        <v>515</v>
      </c>
      <c r="AS148" s="473" t="s">
        <v>1385</v>
      </c>
      <c r="AT148" s="472" t="s">
        <v>517</v>
      </c>
      <c r="AU148" s="472" t="s">
        <v>420</v>
      </c>
      <c r="AV148" s="472">
        <v>2020</v>
      </c>
      <c r="AW148" s="474" t="s">
        <v>15078</v>
      </c>
      <c r="AX148" s="475" t="s">
        <v>15079</v>
      </c>
      <c r="AY148" s="515">
        <v>1</v>
      </c>
      <c r="AZ148" s="474" t="s">
        <v>15079</v>
      </c>
      <c r="BA148" s="472" t="s">
        <v>517</v>
      </c>
      <c r="BB148" s="472" t="s">
        <v>1385</v>
      </c>
      <c r="BC148" s="472" t="s">
        <v>1385</v>
      </c>
      <c r="BD148" s="472" t="s">
        <v>1385</v>
      </c>
      <c r="BE148" s="472" t="s">
        <v>1385</v>
      </c>
      <c r="BF148" s="472">
        <v>39023.1</v>
      </c>
      <c r="BG148" s="472">
        <v>0</v>
      </c>
      <c r="BH148" s="472" t="s">
        <v>1385</v>
      </c>
      <c r="BI148" s="510">
        <v>0</v>
      </c>
      <c r="BJ148" s="510">
        <v>0</v>
      </c>
      <c r="BK148" s="510">
        <v>0</v>
      </c>
      <c r="BL148" s="510">
        <v>0</v>
      </c>
      <c r="BM148" s="510">
        <v>0</v>
      </c>
      <c r="BN148" s="510">
        <v>5000</v>
      </c>
      <c r="BO148" s="510">
        <v>0</v>
      </c>
      <c r="BP148" s="510">
        <v>2000</v>
      </c>
      <c r="BQ148" s="510">
        <v>0</v>
      </c>
      <c r="BR148" s="510">
        <v>0</v>
      </c>
      <c r="BS148" s="510">
        <v>0</v>
      </c>
      <c r="BT148" s="510">
        <v>0</v>
      </c>
      <c r="BU148" s="510">
        <v>0</v>
      </c>
      <c r="BV148" s="510">
        <v>0</v>
      </c>
      <c r="BW148" s="510">
        <v>0</v>
      </c>
      <c r="BX148" s="510">
        <v>30000</v>
      </c>
      <c r="BY148" s="1011">
        <v>0</v>
      </c>
      <c r="BZ148" s="510">
        <v>0</v>
      </c>
      <c r="CA148" s="1011">
        <v>0</v>
      </c>
      <c r="CB148" s="510">
        <v>22000</v>
      </c>
      <c r="CC148" s="1011">
        <v>0</v>
      </c>
      <c r="CD148" s="510">
        <v>0</v>
      </c>
      <c r="CE148" s="1011">
        <v>0</v>
      </c>
      <c r="CF148" s="510">
        <v>51048</v>
      </c>
      <c r="CG148" s="1011">
        <v>0</v>
      </c>
      <c r="CH148" s="510">
        <v>0</v>
      </c>
      <c r="CI148" s="1011">
        <v>0</v>
      </c>
    </row>
    <row r="149" spans="1:87" ht="12.75" customHeight="1" x14ac:dyDescent="0.2">
      <c r="A149" s="449">
        <v>133</v>
      </c>
      <c r="B149" s="453">
        <v>19038</v>
      </c>
      <c r="C149" s="454" t="s">
        <v>2581</v>
      </c>
      <c r="D149" s="454" t="s">
        <v>1390</v>
      </c>
      <c r="E149" s="454" t="s">
        <v>2581</v>
      </c>
      <c r="F149" s="454" t="s">
        <v>520</v>
      </c>
      <c r="G149" s="454" t="s">
        <v>12570</v>
      </c>
      <c r="H149" s="455">
        <v>2533659000139</v>
      </c>
      <c r="I149" s="462">
        <v>35936</v>
      </c>
      <c r="J149" s="457">
        <v>37616129</v>
      </c>
      <c r="K149" s="454" t="s">
        <v>2583</v>
      </c>
      <c r="L149" s="458">
        <v>1</v>
      </c>
      <c r="M149" s="454" t="s">
        <v>2584</v>
      </c>
      <c r="N149" s="459">
        <v>4961160</v>
      </c>
      <c r="O149" s="460">
        <v>55172833</v>
      </c>
      <c r="P149" s="462">
        <v>305092</v>
      </c>
      <c r="Q149" s="462">
        <v>68</v>
      </c>
      <c r="R149" s="462">
        <v>43969</v>
      </c>
      <c r="S149" s="463">
        <v>277</v>
      </c>
      <c r="T149" s="464">
        <v>3.6</v>
      </c>
      <c r="U149" s="465">
        <v>997.2</v>
      </c>
      <c r="V149" s="465">
        <v>12240</v>
      </c>
      <c r="W149" s="466">
        <v>0</v>
      </c>
      <c r="X149" s="467">
        <v>1</v>
      </c>
      <c r="Y149" s="466">
        <v>19855.8</v>
      </c>
      <c r="Z149" s="468" t="s">
        <v>516</v>
      </c>
      <c r="AA149" s="466">
        <v>91294.2</v>
      </c>
      <c r="AB149" s="466">
        <v>91294.2</v>
      </c>
      <c r="AC149" s="467">
        <v>0</v>
      </c>
      <c r="AD149" s="466">
        <v>0</v>
      </c>
      <c r="AE149" s="468" t="s">
        <v>516</v>
      </c>
      <c r="AF149" s="466">
        <v>0</v>
      </c>
      <c r="AG149" s="466">
        <v>0</v>
      </c>
      <c r="AH149" s="466">
        <v>10305.76</v>
      </c>
      <c r="AI149" s="466">
        <v>3747.69</v>
      </c>
      <c r="AJ149" s="469" t="s">
        <v>2585</v>
      </c>
      <c r="AK149" s="470" t="s">
        <v>2586</v>
      </c>
      <c r="AL149" s="471" t="s">
        <v>2587</v>
      </c>
      <c r="AM149" s="470" t="s">
        <v>2588</v>
      </c>
      <c r="AN149" s="470" t="s">
        <v>2582</v>
      </c>
      <c r="AO149" s="470" t="s">
        <v>2589</v>
      </c>
      <c r="AP149" s="470" t="s">
        <v>2590</v>
      </c>
      <c r="AQ149" s="470" t="s">
        <v>2581</v>
      </c>
      <c r="AR149" s="472" t="s">
        <v>515</v>
      </c>
      <c r="AS149" s="473" t="s">
        <v>1385</v>
      </c>
      <c r="AT149" s="472" t="s">
        <v>1390</v>
      </c>
      <c r="AU149" s="472" t="s">
        <v>420</v>
      </c>
      <c r="AV149" s="472">
        <v>2020</v>
      </c>
      <c r="AW149" s="474" t="s">
        <v>15078</v>
      </c>
      <c r="AX149" s="475" t="s">
        <v>15079</v>
      </c>
      <c r="AY149" s="515">
        <v>1</v>
      </c>
      <c r="AZ149" s="474" t="s">
        <v>15079</v>
      </c>
      <c r="BA149" s="472" t="s">
        <v>1390</v>
      </c>
      <c r="BB149" s="472" t="s">
        <v>1385</v>
      </c>
      <c r="BC149" s="472" t="s">
        <v>1385</v>
      </c>
      <c r="BD149" s="472" t="s">
        <v>1385</v>
      </c>
      <c r="BE149" s="472" t="s">
        <v>1385</v>
      </c>
      <c r="BF149" s="472">
        <v>19855.8</v>
      </c>
      <c r="BG149" s="472">
        <v>0</v>
      </c>
      <c r="BH149" s="472" t="s">
        <v>1385</v>
      </c>
      <c r="BI149" s="510">
        <v>0</v>
      </c>
      <c r="BJ149" s="510">
        <v>0</v>
      </c>
      <c r="BK149" s="510">
        <v>0</v>
      </c>
      <c r="BL149" s="510">
        <v>0</v>
      </c>
      <c r="BM149" s="510">
        <v>0</v>
      </c>
      <c r="BN149" s="510">
        <v>3500</v>
      </c>
      <c r="BO149" s="510">
        <v>0</v>
      </c>
      <c r="BP149" s="510">
        <v>0</v>
      </c>
      <c r="BQ149" s="510">
        <v>0</v>
      </c>
      <c r="BR149" s="510">
        <v>0</v>
      </c>
      <c r="BS149" s="510">
        <v>0</v>
      </c>
      <c r="BT149" s="510">
        <v>0</v>
      </c>
      <c r="BU149" s="510">
        <v>0</v>
      </c>
      <c r="BV149" s="510">
        <v>0</v>
      </c>
      <c r="BW149" s="510">
        <v>0</v>
      </c>
      <c r="BX149" s="510">
        <v>30000</v>
      </c>
      <c r="BY149" s="1011">
        <v>0</v>
      </c>
      <c r="BZ149" s="510">
        <v>0</v>
      </c>
      <c r="CA149" s="1011">
        <v>0</v>
      </c>
      <c r="CB149" s="510">
        <v>0</v>
      </c>
      <c r="CC149" s="1011">
        <v>0</v>
      </c>
      <c r="CD149" s="510">
        <v>0</v>
      </c>
      <c r="CE149" s="1011">
        <v>0</v>
      </c>
      <c r="CF149" s="510">
        <v>41438.400000000001</v>
      </c>
      <c r="CG149" s="1011">
        <v>0</v>
      </c>
      <c r="CH149" s="510">
        <v>0</v>
      </c>
      <c r="CI149" s="1011">
        <v>0</v>
      </c>
    </row>
    <row r="150" spans="1:87" ht="12.75" customHeight="1" x14ac:dyDescent="0.2">
      <c r="A150" s="449">
        <v>32</v>
      </c>
      <c r="B150" s="453">
        <v>19046</v>
      </c>
      <c r="C150" s="454" t="s">
        <v>2591</v>
      </c>
      <c r="D150" s="454" t="s">
        <v>517</v>
      </c>
      <c r="E150" s="454" t="s">
        <v>2592</v>
      </c>
      <c r="F150" s="454" t="s">
        <v>525</v>
      </c>
      <c r="G150" s="454" t="s">
        <v>12571</v>
      </c>
      <c r="H150" s="455">
        <v>3152086000166</v>
      </c>
      <c r="I150" s="462">
        <v>36047</v>
      </c>
      <c r="J150" s="457">
        <v>37387065</v>
      </c>
      <c r="K150" s="454" t="s">
        <v>2593</v>
      </c>
      <c r="L150" s="458">
        <v>100</v>
      </c>
      <c r="M150" s="454" t="s">
        <v>2594</v>
      </c>
      <c r="N150" s="459">
        <v>2181190</v>
      </c>
      <c r="O150" s="460">
        <v>29673221</v>
      </c>
      <c r="P150" s="462">
        <v>327991</v>
      </c>
      <c r="Q150" s="462">
        <v>32</v>
      </c>
      <c r="R150" s="462">
        <v>43950</v>
      </c>
      <c r="S150" s="463">
        <v>588</v>
      </c>
      <c r="T150" s="464">
        <v>5.4</v>
      </c>
      <c r="U150" s="465">
        <v>3175.2</v>
      </c>
      <c r="V150" s="465">
        <v>17100</v>
      </c>
      <c r="W150" s="466">
        <v>0</v>
      </c>
      <c r="X150" s="467">
        <v>1</v>
      </c>
      <c r="Y150" s="466">
        <v>38107.800000000003</v>
      </c>
      <c r="Z150" s="468" t="s">
        <v>516</v>
      </c>
      <c r="AA150" s="466">
        <v>145831.79999999999</v>
      </c>
      <c r="AB150" s="466">
        <v>145831.79999999999</v>
      </c>
      <c r="AC150" s="467">
        <v>0</v>
      </c>
      <c r="AD150" s="466">
        <v>0</v>
      </c>
      <c r="AE150" s="468" t="s">
        <v>516</v>
      </c>
      <c r="AF150" s="466">
        <v>2000</v>
      </c>
      <c r="AG150" s="466">
        <v>2000</v>
      </c>
      <c r="AH150" s="466">
        <v>35361.46</v>
      </c>
      <c r="AI150" s="466">
        <v>601.04</v>
      </c>
      <c r="AJ150" s="469" t="s">
        <v>2595</v>
      </c>
      <c r="AK150" s="470" t="s">
        <v>1449</v>
      </c>
      <c r="AL150" s="471" t="s">
        <v>2596</v>
      </c>
      <c r="AM150" s="470" t="s">
        <v>2597</v>
      </c>
      <c r="AN150" s="470" t="s">
        <v>2598</v>
      </c>
      <c r="AO150" s="470" t="s">
        <v>2599</v>
      </c>
      <c r="AP150" s="470" t="s">
        <v>2600</v>
      </c>
      <c r="AQ150" s="470" t="s">
        <v>2591</v>
      </c>
      <c r="AR150" s="472" t="s">
        <v>515</v>
      </c>
      <c r="AS150" s="473" t="s">
        <v>1385</v>
      </c>
      <c r="AT150" s="472" t="s">
        <v>517</v>
      </c>
      <c r="AU150" s="472" t="s">
        <v>420</v>
      </c>
      <c r="AV150" s="472">
        <v>2020</v>
      </c>
      <c r="AW150" s="474" t="s">
        <v>15078</v>
      </c>
      <c r="AX150" s="475" t="s">
        <v>15079</v>
      </c>
      <c r="AY150" s="515">
        <v>1</v>
      </c>
      <c r="AZ150" s="474" t="s">
        <v>15079</v>
      </c>
      <c r="BA150" s="472" t="s">
        <v>517</v>
      </c>
      <c r="BB150" s="472" t="s">
        <v>516</v>
      </c>
      <c r="BC150" s="472">
        <v>5</v>
      </c>
      <c r="BD150" s="472">
        <v>5130</v>
      </c>
      <c r="BE150" s="472">
        <v>0</v>
      </c>
      <c r="BF150" s="472">
        <v>38107.800000000003</v>
      </c>
      <c r="BG150" s="472">
        <v>0</v>
      </c>
      <c r="BH150" s="472" t="s">
        <v>1385</v>
      </c>
      <c r="BI150" s="510">
        <v>0</v>
      </c>
      <c r="BJ150" s="510">
        <v>0</v>
      </c>
      <c r="BK150" s="510">
        <v>0</v>
      </c>
      <c r="BL150" s="510">
        <v>3500</v>
      </c>
      <c r="BM150" s="510">
        <v>0</v>
      </c>
      <c r="BN150" s="510">
        <v>3500</v>
      </c>
      <c r="BO150" s="510">
        <v>0</v>
      </c>
      <c r="BP150" s="510">
        <v>2000</v>
      </c>
      <c r="BQ150" s="510">
        <v>0</v>
      </c>
      <c r="BR150" s="510">
        <v>0</v>
      </c>
      <c r="BS150" s="510">
        <v>0</v>
      </c>
      <c r="BT150" s="510">
        <v>0</v>
      </c>
      <c r="BU150" s="510">
        <v>2500</v>
      </c>
      <c r="BV150" s="510">
        <v>2500</v>
      </c>
      <c r="BW150" s="510">
        <v>0</v>
      </c>
      <c r="BX150" s="510">
        <v>30000</v>
      </c>
      <c r="BY150" s="1011">
        <v>0</v>
      </c>
      <c r="BZ150" s="510">
        <v>0</v>
      </c>
      <c r="CA150" s="1011">
        <v>0</v>
      </c>
      <c r="CB150" s="510">
        <v>22000</v>
      </c>
      <c r="CC150" s="1011">
        <v>0</v>
      </c>
      <c r="CD150" s="510">
        <v>0</v>
      </c>
      <c r="CE150" s="1011">
        <v>0</v>
      </c>
      <c r="CF150" s="510">
        <v>55724</v>
      </c>
      <c r="CG150" s="1011">
        <v>0</v>
      </c>
      <c r="CH150" s="510">
        <v>0</v>
      </c>
      <c r="CI150" s="1011">
        <v>0</v>
      </c>
    </row>
    <row r="151" spans="1:87" ht="12.75" customHeight="1" x14ac:dyDescent="0.2">
      <c r="A151" s="449">
        <v>86</v>
      </c>
      <c r="B151" s="453">
        <v>19054</v>
      </c>
      <c r="C151" s="454" t="s">
        <v>2601</v>
      </c>
      <c r="D151" s="454" t="s">
        <v>1390</v>
      </c>
      <c r="E151" s="454" t="s">
        <v>2602</v>
      </c>
      <c r="F151" s="454" t="s">
        <v>513</v>
      </c>
      <c r="G151" s="454" t="s">
        <v>12572</v>
      </c>
      <c r="H151" s="455">
        <v>3703470000100</v>
      </c>
      <c r="I151" s="462">
        <v>33956</v>
      </c>
      <c r="J151" s="457">
        <v>37532685</v>
      </c>
      <c r="K151" s="454" t="s">
        <v>2603</v>
      </c>
      <c r="L151" s="458">
        <v>29</v>
      </c>
      <c r="M151" s="454" t="s">
        <v>2604</v>
      </c>
      <c r="N151" s="459">
        <v>8372100</v>
      </c>
      <c r="O151" s="460">
        <v>27313663</v>
      </c>
      <c r="P151" s="462">
        <v>151079</v>
      </c>
      <c r="Q151" s="462">
        <v>86</v>
      </c>
      <c r="R151" s="462">
        <v>43937</v>
      </c>
      <c r="S151" s="463">
        <v>343</v>
      </c>
      <c r="T151" s="464">
        <v>3.6</v>
      </c>
      <c r="U151" s="465">
        <v>1234.8</v>
      </c>
      <c r="V151" s="465">
        <v>13680</v>
      </c>
      <c r="W151" s="466">
        <v>0</v>
      </c>
      <c r="X151" s="467">
        <v>1</v>
      </c>
      <c r="Y151" s="466">
        <v>22372.2</v>
      </c>
      <c r="Z151" s="468" t="s">
        <v>516</v>
      </c>
      <c r="AA151" s="466">
        <v>97194.6</v>
      </c>
      <c r="AB151" s="466">
        <v>97194.6</v>
      </c>
      <c r="AC151" s="467">
        <v>0</v>
      </c>
      <c r="AD151" s="466">
        <v>0</v>
      </c>
      <c r="AE151" s="468" t="s">
        <v>516</v>
      </c>
      <c r="AF151" s="466">
        <v>0</v>
      </c>
      <c r="AG151" s="466">
        <v>0</v>
      </c>
      <c r="AH151" s="466">
        <v>20686.009999999998</v>
      </c>
      <c r="AI151" s="466">
        <v>5049.88</v>
      </c>
      <c r="AJ151" s="469" t="s">
        <v>2030</v>
      </c>
      <c r="AK151" s="470" t="s">
        <v>513</v>
      </c>
      <c r="AL151" s="471" t="s">
        <v>2605</v>
      </c>
      <c r="AM151" s="470" t="s">
        <v>12573</v>
      </c>
      <c r="AN151" s="470" t="s">
        <v>2606</v>
      </c>
      <c r="AO151" s="470" t="s">
        <v>2607</v>
      </c>
      <c r="AP151" s="470" t="s">
        <v>2608</v>
      </c>
      <c r="AQ151" s="470" t="s">
        <v>2601</v>
      </c>
      <c r="AR151" s="472" t="s">
        <v>515</v>
      </c>
      <c r="AS151" s="473" t="s">
        <v>1385</v>
      </c>
      <c r="AT151" s="472" t="s">
        <v>1390</v>
      </c>
      <c r="AU151" s="472" t="s">
        <v>420</v>
      </c>
      <c r="AV151" s="472">
        <v>2020</v>
      </c>
      <c r="AW151" s="474" t="s">
        <v>15078</v>
      </c>
      <c r="AX151" s="475" t="s">
        <v>15079</v>
      </c>
      <c r="AY151" s="515">
        <v>1</v>
      </c>
      <c r="AZ151" s="474" t="s">
        <v>15079</v>
      </c>
      <c r="BA151" s="472" t="s">
        <v>1390</v>
      </c>
      <c r="BB151" s="472" t="s">
        <v>1385</v>
      </c>
      <c r="BC151" s="472" t="s">
        <v>1385</v>
      </c>
      <c r="BD151" s="472" t="s">
        <v>1385</v>
      </c>
      <c r="BE151" s="472" t="s">
        <v>1385</v>
      </c>
      <c r="BF151" s="472">
        <v>22372.2</v>
      </c>
      <c r="BG151" s="472">
        <v>0</v>
      </c>
      <c r="BH151" s="472" t="s">
        <v>1385</v>
      </c>
      <c r="BI151" s="510">
        <v>0</v>
      </c>
      <c r="BJ151" s="510">
        <v>0</v>
      </c>
      <c r="BK151" s="510">
        <v>0</v>
      </c>
      <c r="BL151" s="510">
        <v>0</v>
      </c>
      <c r="BM151" s="510">
        <v>0</v>
      </c>
      <c r="BN151" s="510">
        <v>3500</v>
      </c>
      <c r="BO151" s="510">
        <v>0</v>
      </c>
      <c r="BP151" s="510">
        <v>0</v>
      </c>
      <c r="BQ151" s="510">
        <v>0</v>
      </c>
      <c r="BR151" s="510">
        <v>0</v>
      </c>
      <c r="BS151" s="510">
        <v>0</v>
      </c>
      <c r="BT151" s="510">
        <v>0</v>
      </c>
      <c r="BU151" s="510">
        <v>0</v>
      </c>
      <c r="BV151" s="510">
        <v>0</v>
      </c>
      <c r="BW151" s="510">
        <v>0</v>
      </c>
      <c r="BX151" s="510">
        <v>30000</v>
      </c>
      <c r="BY151" s="1011">
        <v>0</v>
      </c>
      <c r="BZ151" s="510">
        <v>0</v>
      </c>
      <c r="CA151" s="1011">
        <v>0</v>
      </c>
      <c r="CB151" s="510">
        <v>0</v>
      </c>
      <c r="CC151" s="1011">
        <v>0</v>
      </c>
      <c r="CD151" s="510">
        <v>0</v>
      </c>
      <c r="CE151" s="1011">
        <v>0</v>
      </c>
      <c r="CF151" s="510">
        <v>44822.400000000001</v>
      </c>
      <c r="CG151" s="1011">
        <v>0</v>
      </c>
      <c r="CH151" s="510">
        <v>0</v>
      </c>
      <c r="CI151" s="1011">
        <v>0</v>
      </c>
    </row>
    <row r="152" spans="1:87" s="448" customFormat="1" ht="12.75" customHeight="1" x14ac:dyDescent="0.2">
      <c r="A152" s="449">
        <v>92</v>
      </c>
      <c r="B152" s="453">
        <v>19062</v>
      </c>
      <c r="C152" s="454" t="s">
        <v>2609</v>
      </c>
      <c r="D152" s="454" t="s">
        <v>1390</v>
      </c>
      <c r="E152" s="454" t="s">
        <v>2610</v>
      </c>
      <c r="F152" s="454" t="s">
        <v>518</v>
      </c>
      <c r="G152" s="454" t="s">
        <v>12574</v>
      </c>
      <c r="H152" s="455">
        <v>3253973000120</v>
      </c>
      <c r="I152" s="462">
        <v>36091</v>
      </c>
      <c r="J152" s="457">
        <v>37470353</v>
      </c>
      <c r="K152" s="454" t="s">
        <v>2612</v>
      </c>
      <c r="L152" s="458">
        <v>200</v>
      </c>
      <c r="M152" s="454" t="s">
        <v>2613</v>
      </c>
      <c r="N152" s="459">
        <v>3383120</v>
      </c>
      <c r="O152" s="460">
        <v>20058205</v>
      </c>
      <c r="P152" s="462">
        <v>49630</v>
      </c>
      <c r="Q152" s="462">
        <v>61</v>
      </c>
      <c r="R152" s="462">
        <v>43934</v>
      </c>
      <c r="S152" s="463">
        <v>330</v>
      </c>
      <c r="T152" s="464">
        <v>3.6</v>
      </c>
      <c r="U152" s="465">
        <v>1188</v>
      </c>
      <c r="V152" s="465">
        <v>13680</v>
      </c>
      <c r="W152" s="466">
        <v>0</v>
      </c>
      <c r="X152" s="467">
        <v>1</v>
      </c>
      <c r="Y152" s="466">
        <v>22302</v>
      </c>
      <c r="Z152" s="468" t="s">
        <v>516</v>
      </c>
      <c r="AA152" s="466">
        <v>97239.6</v>
      </c>
      <c r="AB152" s="466">
        <v>97239.6</v>
      </c>
      <c r="AC152" s="467">
        <v>0</v>
      </c>
      <c r="AD152" s="466">
        <v>0</v>
      </c>
      <c r="AE152" s="468" t="s">
        <v>516</v>
      </c>
      <c r="AF152" s="466">
        <v>0</v>
      </c>
      <c r="AG152" s="466">
        <v>0</v>
      </c>
      <c r="AH152" s="466">
        <v>31378.560000000001</v>
      </c>
      <c r="AI152" s="466">
        <v>9394.41</v>
      </c>
      <c r="AJ152" s="469" t="s">
        <v>2614</v>
      </c>
      <c r="AK152" s="470" t="s">
        <v>2615</v>
      </c>
      <c r="AL152" s="471" t="s">
        <v>2616</v>
      </c>
      <c r="AM152" s="470" t="s">
        <v>2617</v>
      </c>
      <c r="AN152" s="470" t="s">
        <v>2611</v>
      </c>
      <c r="AO152" s="470" t="s">
        <v>14974</v>
      </c>
      <c r="AP152" s="470" t="s">
        <v>2618</v>
      </c>
      <c r="AQ152" s="470" t="s">
        <v>2609</v>
      </c>
      <c r="AR152" s="472" t="s">
        <v>515</v>
      </c>
      <c r="AS152" s="473" t="s">
        <v>1385</v>
      </c>
      <c r="AT152" s="472" t="s">
        <v>1390</v>
      </c>
      <c r="AU152" s="472" t="s">
        <v>420</v>
      </c>
      <c r="AV152" s="472">
        <v>2020</v>
      </c>
      <c r="AW152" s="474" t="s">
        <v>15078</v>
      </c>
      <c r="AX152" s="475" t="s">
        <v>15079</v>
      </c>
      <c r="AY152" s="515">
        <v>1</v>
      </c>
      <c r="AZ152" s="474" t="s">
        <v>15079</v>
      </c>
      <c r="BA152" s="472" t="s">
        <v>1390</v>
      </c>
      <c r="BB152" s="472" t="s">
        <v>1385</v>
      </c>
      <c r="BC152" s="472" t="s">
        <v>1385</v>
      </c>
      <c r="BD152" s="472" t="s">
        <v>1385</v>
      </c>
      <c r="BE152" s="472" t="s">
        <v>1385</v>
      </c>
      <c r="BF152" s="472">
        <v>22302</v>
      </c>
      <c r="BG152" s="472">
        <v>0</v>
      </c>
      <c r="BH152" s="472" t="s">
        <v>1385</v>
      </c>
      <c r="BI152" s="510">
        <v>0</v>
      </c>
      <c r="BJ152" s="510">
        <v>0</v>
      </c>
      <c r="BK152" s="510">
        <v>0</v>
      </c>
      <c r="BL152" s="510">
        <v>0</v>
      </c>
      <c r="BM152" s="510">
        <v>0</v>
      </c>
      <c r="BN152" s="510">
        <v>3500</v>
      </c>
      <c r="BO152" s="510">
        <v>0</v>
      </c>
      <c r="BP152" s="510">
        <v>0</v>
      </c>
      <c r="BQ152" s="510">
        <v>0</v>
      </c>
      <c r="BR152" s="510">
        <v>0</v>
      </c>
      <c r="BS152" s="510">
        <v>0</v>
      </c>
      <c r="BT152" s="510">
        <v>0</v>
      </c>
      <c r="BU152" s="510">
        <v>0</v>
      </c>
      <c r="BV152" s="510">
        <v>0</v>
      </c>
      <c r="BW152" s="510">
        <v>0</v>
      </c>
      <c r="BX152" s="510">
        <v>30000</v>
      </c>
      <c r="BY152" s="1011">
        <v>0</v>
      </c>
      <c r="BZ152" s="510">
        <v>0</v>
      </c>
      <c r="CA152" s="1011">
        <v>0</v>
      </c>
      <c r="CB152" s="510">
        <v>0</v>
      </c>
      <c r="CC152" s="1011">
        <v>0</v>
      </c>
      <c r="CD152" s="510">
        <v>0</v>
      </c>
      <c r="CE152" s="1011">
        <v>0</v>
      </c>
      <c r="CF152" s="510">
        <v>44937.599999999999</v>
      </c>
      <c r="CG152" s="1011">
        <v>0</v>
      </c>
      <c r="CH152" s="510">
        <v>0</v>
      </c>
      <c r="CI152" s="1011">
        <v>0</v>
      </c>
    </row>
    <row r="153" spans="1:87" ht="12.75" customHeight="1" x14ac:dyDescent="0.2">
      <c r="A153" s="449">
        <v>118</v>
      </c>
      <c r="B153" s="453">
        <v>19071</v>
      </c>
      <c r="C153" s="454" t="s">
        <v>2619</v>
      </c>
      <c r="D153" s="454" t="s">
        <v>1390</v>
      </c>
      <c r="E153" s="454" t="s">
        <v>2620</v>
      </c>
      <c r="F153" s="454" t="s">
        <v>513</v>
      </c>
      <c r="G153" s="454" t="s">
        <v>12575</v>
      </c>
      <c r="H153" s="455">
        <v>2853876000106</v>
      </c>
      <c r="I153" s="462">
        <v>36070</v>
      </c>
      <c r="J153" s="457">
        <v>37531590</v>
      </c>
      <c r="K153" s="454" t="s">
        <v>2621</v>
      </c>
      <c r="L153" s="458">
        <v>51</v>
      </c>
      <c r="M153" s="454" t="s">
        <v>1971</v>
      </c>
      <c r="N153" s="459">
        <v>3923070</v>
      </c>
      <c r="O153" s="460">
        <v>27022288</v>
      </c>
      <c r="P153" s="462">
        <v>154159</v>
      </c>
      <c r="Q153" s="462">
        <v>118</v>
      </c>
      <c r="R153" s="462">
        <v>43937</v>
      </c>
      <c r="S153" s="463">
        <v>375</v>
      </c>
      <c r="T153" s="464">
        <v>3.6</v>
      </c>
      <c r="U153" s="465">
        <v>1350</v>
      </c>
      <c r="V153" s="465">
        <v>13680</v>
      </c>
      <c r="W153" s="466">
        <v>0</v>
      </c>
      <c r="X153" s="467">
        <v>1</v>
      </c>
      <c r="Y153" s="466">
        <v>22545</v>
      </c>
      <c r="Z153" s="468" t="s">
        <v>516</v>
      </c>
      <c r="AA153" s="466">
        <v>97684.2</v>
      </c>
      <c r="AB153" s="466">
        <v>97684.2</v>
      </c>
      <c r="AC153" s="467">
        <v>0</v>
      </c>
      <c r="AD153" s="466">
        <v>0</v>
      </c>
      <c r="AE153" s="468" t="s">
        <v>516</v>
      </c>
      <c r="AF153" s="466">
        <v>0</v>
      </c>
      <c r="AG153" s="466">
        <v>0</v>
      </c>
      <c r="AH153" s="466">
        <v>3236.68</v>
      </c>
      <c r="AI153" s="466">
        <v>3183.37</v>
      </c>
      <c r="AJ153" s="469" t="s">
        <v>1972</v>
      </c>
      <c r="AK153" s="470" t="s">
        <v>1973</v>
      </c>
      <c r="AL153" s="471" t="s">
        <v>2622</v>
      </c>
      <c r="AM153" s="470" t="s">
        <v>12576</v>
      </c>
      <c r="AN153" s="470" t="s">
        <v>1385</v>
      </c>
      <c r="AO153" s="470" t="s">
        <v>2623</v>
      </c>
      <c r="AP153" s="470" t="s">
        <v>2624</v>
      </c>
      <c r="AQ153" s="470" t="s">
        <v>2619</v>
      </c>
      <c r="AR153" s="472" t="s">
        <v>515</v>
      </c>
      <c r="AS153" s="473" t="s">
        <v>1385</v>
      </c>
      <c r="AT153" s="472" t="s">
        <v>1390</v>
      </c>
      <c r="AU153" s="472" t="s">
        <v>420</v>
      </c>
      <c r="AV153" s="472">
        <v>2020</v>
      </c>
      <c r="AW153" s="474" t="s">
        <v>15078</v>
      </c>
      <c r="AX153" s="475" t="s">
        <v>15079</v>
      </c>
      <c r="AY153" s="515">
        <v>1</v>
      </c>
      <c r="AZ153" s="474" t="s">
        <v>15079</v>
      </c>
      <c r="BA153" s="472" t="s">
        <v>1390</v>
      </c>
      <c r="BB153" s="472" t="s">
        <v>1385</v>
      </c>
      <c r="BC153" s="472" t="s">
        <v>1385</v>
      </c>
      <c r="BD153" s="472" t="s">
        <v>1385</v>
      </c>
      <c r="BE153" s="472" t="s">
        <v>1385</v>
      </c>
      <c r="BF153" s="472">
        <v>22545</v>
      </c>
      <c r="BG153" s="472">
        <v>0</v>
      </c>
      <c r="BH153" s="472" t="s">
        <v>1385</v>
      </c>
      <c r="BI153" s="510">
        <v>0</v>
      </c>
      <c r="BJ153" s="510">
        <v>0</v>
      </c>
      <c r="BK153" s="510">
        <v>0</v>
      </c>
      <c r="BL153" s="510">
        <v>0</v>
      </c>
      <c r="BM153" s="510">
        <v>0</v>
      </c>
      <c r="BN153" s="510">
        <v>3500</v>
      </c>
      <c r="BO153" s="510">
        <v>0</v>
      </c>
      <c r="BP153" s="510">
        <v>0</v>
      </c>
      <c r="BQ153" s="510">
        <v>0</v>
      </c>
      <c r="BR153" s="510">
        <v>0</v>
      </c>
      <c r="BS153" s="510">
        <v>0</v>
      </c>
      <c r="BT153" s="510">
        <v>0</v>
      </c>
      <c r="BU153" s="510">
        <v>0</v>
      </c>
      <c r="BV153" s="510">
        <v>0</v>
      </c>
      <c r="BW153" s="510">
        <v>0</v>
      </c>
      <c r="BX153" s="510">
        <v>30000</v>
      </c>
      <c r="BY153" s="1011">
        <v>0</v>
      </c>
      <c r="BZ153" s="510">
        <v>0</v>
      </c>
      <c r="CA153" s="1011">
        <v>0</v>
      </c>
      <c r="CB153" s="510">
        <v>0</v>
      </c>
      <c r="CC153" s="1011">
        <v>0</v>
      </c>
      <c r="CD153" s="510">
        <v>0</v>
      </c>
      <c r="CE153" s="1011">
        <v>0</v>
      </c>
      <c r="CF153" s="510">
        <v>45139.199999999997</v>
      </c>
      <c r="CG153" s="1011">
        <v>0</v>
      </c>
      <c r="CH153" s="510">
        <v>0</v>
      </c>
      <c r="CI153" s="1011">
        <v>0</v>
      </c>
    </row>
    <row r="154" spans="1:87" ht="12.75" customHeight="1" x14ac:dyDescent="0.2">
      <c r="A154" s="449">
        <v>73</v>
      </c>
      <c r="B154" s="453">
        <v>19089</v>
      </c>
      <c r="C154" s="454" t="s">
        <v>2625</v>
      </c>
      <c r="D154" s="454" t="s">
        <v>1390</v>
      </c>
      <c r="E154" s="454" t="s">
        <v>2626</v>
      </c>
      <c r="F154" s="454" t="s">
        <v>518</v>
      </c>
      <c r="G154" s="454" t="s">
        <v>12577</v>
      </c>
      <c r="H154" s="455">
        <v>3233500000161</v>
      </c>
      <c r="I154" s="462">
        <v>36021</v>
      </c>
      <c r="J154" s="457">
        <v>37470205</v>
      </c>
      <c r="K154" s="454" t="s">
        <v>2628</v>
      </c>
      <c r="L154" s="458">
        <v>395</v>
      </c>
      <c r="M154" s="454" t="s">
        <v>2615</v>
      </c>
      <c r="N154" s="459">
        <v>3366040</v>
      </c>
      <c r="O154" s="460">
        <v>27837455</v>
      </c>
      <c r="P154" s="462">
        <v>47018</v>
      </c>
      <c r="Q154" s="462">
        <v>42</v>
      </c>
      <c r="R154" s="462">
        <v>43934</v>
      </c>
      <c r="S154" s="463">
        <v>244</v>
      </c>
      <c r="T154" s="464">
        <v>3.6</v>
      </c>
      <c r="U154" s="465">
        <v>878.4</v>
      </c>
      <c r="V154" s="465">
        <v>12240</v>
      </c>
      <c r="W154" s="466">
        <v>0</v>
      </c>
      <c r="X154" s="467">
        <v>1</v>
      </c>
      <c r="Y154" s="466">
        <v>19677.599999999999</v>
      </c>
      <c r="Z154" s="468" t="s">
        <v>516</v>
      </c>
      <c r="AA154" s="466">
        <v>90907.199999999997</v>
      </c>
      <c r="AB154" s="466">
        <v>90907.199999999997</v>
      </c>
      <c r="AC154" s="467">
        <v>0</v>
      </c>
      <c r="AD154" s="466">
        <v>0</v>
      </c>
      <c r="AE154" s="468" t="s">
        <v>516</v>
      </c>
      <c r="AF154" s="466">
        <v>0</v>
      </c>
      <c r="AG154" s="466">
        <v>0</v>
      </c>
      <c r="AH154" s="466">
        <v>10671.89</v>
      </c>
      <c r="AI154" s="466">
        <v>3764</v>
      </c>
      <c r="AJ154" s="469" t="s">
        <v>2614</v>
      </c>
      <c r="AK154" s="470" t="s">
        <v>2629</v>
      </c>
      <c r="AL154" s="471" t="s">
        <v>2630</v>
      </c>
      <c r="AM154" s="470" t="s">
        <v>2631</v>
      </c>
      <c r="AN154" s="470" t="s">
        <v>2627</v>
      </c>
      <c r="AO154" s="470" t="s">
        <v>14975</v>
      </c>
      <c r="AP154" s="470" t="s">
        <v>2632</v>
      </c>
      <c r="AQ154" s="470" t="s">
        <v>2625</v>
      </c>
      <c r="AR154" s="472" t="s">
        <v>515</v>
      </c>
      <c r="AS154" s="473" t="s">
        <v>1385</v>
      </c>
      <c r="AT154" s="472" t="s">
        <v>1390</v>
      </c>
      <c r="AU154" s="472" t="s">
        <v>420</v>
      </c>
      <c r="AV154" s="472">
        <v>2020</v>
      </c>
      <c r="AW154" s="474" t="s">
        <v>15078</v>
      </c>
      <c r="AX154" s="475" t="s">
        <v>15079</v>
      </c>
      <c r="AY154" s="515">
        <v>1</v>
      </c>
      <c r="AZ154" s="474" t="s">
        <v>15079</v>
      </c>
      <c r="BA154" s="472" t="s">
        <v>1390</v>
      </c>
      <c r="BB154" s="472" t="s">
        <v>1385</v>
      </c>
      <c r="BC154" s="472" t="s">
        <v>1385</v>
      </c>
      <c r="BD154" s="472" t="s">
        <v>1385</v>
      </c>
      <c r="BE154" s="472" t="s">
        <v>1385</v>
      </c>
      <c r="BF154" s="472">
        <v>19677.599999999999</v>
      </c>
      <c r="BG154" s="472">
        <v>0</v>
      </c>
      <c r="BH154" s="472" t="s">
        <v>1385</v>
      </c>
      <c r="BI154" s="510">
        <v>0</v>
      </c>
      <c r="BJ154" s="510">
        <v>0</v>
      </c>
      <c r="BK154" s="510">
        <v>0</v>
      </c>
      <c r="BL154" s="510">
        <v>0</v>
      </c>
      <c r="BM154" s="510">
        <v>0</v>
      </c>
      <c r="BN154" s="510">
        <v>3000</v>
      </c>
      <c r="BO154" s="510">
        <v>0</v>
      </c>
      <c r="BP154" s="510">
        <v>0</v>
      </c>
      <c r="BQ154" s="510">
        <v>0</v>
      </c>
      <c r="BR154" s="510">
        <v>0</v>
      </c>
      <c r="BS154" s="510">
        <v>0</v>
      </c>
      <c r="BT154" s="510">
        <v>0</v>
      </c>
      <c r="BU154" s="510">
        <v>0</v>
      </c>
      <c r="BV154" s="510">
        <v>0</v>
      </c>
      <c r="BW154" s="510">
        <v>0</v>
      </c>
      <c r="BX154" s="510">
        <v>30000</v>
      </c>
      <c r="BY154" s="1011">
        <v>0</v>
      </c>
      <c r="BZ154" s="510">
        <v>0</v>
      </c>
      <c r="CA154" s="1011">
        <v>0</v>
      </c>
      <c r="CB154" s="510">
        <v>0</v>
      </c>
      <c r="CC154" s="1011">
        <v>0</v>
      </c>
      <c r="CD154" s="510">
        <v>0</v>
      </c>
      <c r="CE154" s="1011">
        <v>0</v>
      </c>
      <c r="CF154" s="510">
        <v>41229.599999999999</v>
      </c>
      <c r="CG154" s="1011">
        <v>0</v>
      </c>
      <c r="CH154" s="510">
        <v>0</v>
      </c>
      <c r="CI154" s="1011">
        <v>0</v>
      </c>
    </row>
    <row r="155" spans="1:87" ht="12.75" customHeight="1" x14ac:dyDescent="0.2">
      <c r="A155" s="449">
        <v>58</v>
      </c>
      <c r="B155" s="453">
        <v>19097</v>
      </c>
      <c r="C155" s="454" t="s">
        <v>2633</v>
      </c>
      <c r="D155" s="454" t="s">
        <v>1390</v>
      </c>
      <c r="E155" s="454" t="s">
        <v>2634</v>
      </c>
      <c r="F155" s="454" t="s">
        <v>529</v>
      </c>
      <c r="G155" s="454" t="s">
        <v>12578</v>
      </c>
      <c r="H155" s="455">
        <v>2689814000100</v>
      </c>
      <c r="I155" s="462">
        <v>35956</v>
      </c>
      <c r="J155" s="457">
        <v>37522477</v>
      </c>
      <c r="K155" s="454" t="s">
        <v>2635</v>
      </c>
      <c r="L155" s="458">
        <v>90</v>
      </c>
      <c r="M155" s="454" t="s">
        <v>1480</v>
      </c>
      <c r="N155" s="459">
        <v>4467110</v>
      </c>
      <c r="O155" s="460">
        <v>56126673</v>
      </c>
      <c r="P155" s="462">
        <v>563270</v>
      </c>
      <c r="Q155" s="462">
        <v>21</v>
      </c>
      <c r="R155" s="462">
        <v>43921</v>
      </c>
      <c r="S155" s="463">
        <v>409</v>
      </c>
      <c r="T155" s="464">
        <v>3.6</v>
      </c>
      <c r="U155" s="465">
        <v>1472.4</v>
      </c>
      <c r="V155" s="465">
        <v>15120</v>
      </c>
      <c r="W155" s="466">
        <v>0</v>
      </c>
      <c r="X155" s="467">
        <v>1</v>
      </c>
      <c r="Y155" s="466">
        <v>24888.6</v>
      </c>
      <c r="Z155" s="468" t="s">
        <v>516</v>
      </c>
      <c r="AA155" s="466">
        <v>103023</v>
      </c>
      <c r="AB155" s="466">
        <v>103023</v>
      </c>
      <c r="AC155" s="467">
        <v>0</v>
      </c>
      <c r="AD155" s="466">
        <v>0</v>
      </c>
      <c r="AE155" s="468" t="s">
        <v>516</v>
      </c>
      <c r="AF155" s="466">
        <v>0</v>
      </c>
      <c r="AG155" s="466">
        <v>0</v>
      </c>
      <c r="AH155" s="466">
        <v>16061.27</v>
      </c>
      <c r="AI155" s="466">
        <v>5533.93</v>
      </c>
      <c r="AJ155" s="469" t="s">
        <v>1481</v>
      </c>
      <c r="AK155" s="470" t="s">
        <v>1482</v>
      </c>
      <c r="AL155" s="471" t="s">
        <v>2636</v>
      </c>
      <c r="AM155" s="470" t="s">
        <v>2637</v>
      </c>
      <c r="AN155" s="470" t="s">
        <v>12578</v>
      </c>
      <c r="AO155" s="470" t="s">
        <v>2638</v>
      </c>
      <c r="AP155" s="470" t="s">
        <v>2639</v>
      </c>
      <c r="AQ155" s="470" t="s">
        <v>2633</v>
      </c>
      <c r="AR155" s="472" t="s">
        <v>515</v>
      </c>
      <c r="AS155" s="473" t="s">
        <v>1385</v>
      </c>
      <c r="AT155" s="472" t="s">
        <v>1390</v>
      </c>
      <c r="AU155" s="472" t="s">
        <v>420</v>
      </c>
      <c r="AV155" s="472">
        <v>2020</v>
      </c>
      <c r="AW155" s="474" t="s">
        <v>15078</v>
      </c>
      <c r="AX155" s="475" t="s">
        <v>15079</v>
      </c>
      <c r="AY155" s="515">
        <v>1</v>
      </c>
      <c r="AZ155" s="474" t="s">
        <v>15079</v>
      </c>
      <c r="BA155" s="472" t="s">
        <v>1390</v>
      </c>
      <c r="BB155" s="472" t="s">
        <v>1385</v>
      </c>
      <c r="BC155" s="472" t="s">
        <v>1385</v>
      </c>
      <c r="BD155" s="472" t="s">
        <v>1385</v>
      </c>
      <c r="BE155" s="472" t="s">
        <v>1385</v>
      </c>
      <c r="BF155" s="472">
        <v>24888.6</v>
      </c>
      <c r="BG155" s="472">
        <v>0</v>
      </c>
      <c r="BH155" s="472" t="s">
        <v>1385</v>
      </c>
      <c r="BI155" s="510">
        <v>0</v>
      </c>
      <c r="BJ155" s="510">
        <v>0</v>
      </c>
      <c r="BK155" s="510">
        <v>0</v>
      </c>
      <c r="BL155" s="510">
        <v>0</v>
      </c>
      <c r="BM155" s="510">
        <v>0</v>
      </c>
      <c r="BN155" s="510">
        <v>4000</v>
      </c>
      <c r="BO155" s="510">
        <v>0</v>
      </c>
      <c r="BP155" s="510">
        <v>0</v>
      </c>
      <c r="BQ155" s="510">
        <v>0</v>
      </c>
      <c r="BR155" s="510">
        <v>0</v>
      </c>
      <c r="BS155" s="510">
        <v>0</v>
      </c>
      <c r="BT155" s="510">
        <v>0</v>
      </c>
      <c r="BU155" s="510">
        <v>0</v>
      </c>
      <c r="BV155" s="510">
        <v>0</v>
      </c>
      <c r="BW155" s="510">
        <v>0</v>
      </c>
      <c r="BX155" s="510">
        <v>30000</v>
      </c>
      <c r="BY155" s="1011">
        <v>0</v>
      </c>
      <c r="BZ155" s="510">
        <v>0</v>
      </c>
      <c r="CA155" s="1011">
        <v>0</v>
      </c>
      <c r="CB155" s="510">
        <v>0</v>
      </c>
      <c r="CC155" s="1011">
        <v>0</v>
      </c>
      <c r="CD155" s="510">
        <v>0</v>
      </c>
      <c r="CE155" s="1011">
        <v>0</v>
      </c>
      <c r="CF155" s="510">
        <v>48134.400000000001</v>
      </c>
      <c r="CG155" s="1011">
        <v>0</v>
      </c>
      <c r="CH155" s="510">
        <v>0</v>
      </c>
      <c r="CI155" s="1011">
        <v>0</v>
      </c>
    </row>
    <row r="156" spans="1:87" ht="12.75" customHeight="1" x14ac:dyDescent="0.2">
      <c r="A156" s="449">
        <v>81</v>
      </c>
      <c r="B156" s="453">
        <v>19101</v>
      </c>
      <c r="C156" s="454" t="s">
        <v>2640</v>
      </c>
      <c r="D156" s="454" t="s">
        <v>1390</v>
      </c>
      <c r="E156" s="454" t="s">
        <v>2641</v>
      </c>
      <c r="F156" s="454" t="s">
        <v>527</v>
      </c>
      <c r="G156" s="454" t="s">
        <v>12579</v>
      </c>
      <c r="H156" s="455">
        <v>3305705000105</v>
      </c>
      <c r="I156" s="462">
        <v>36354</v>
      </c>
      <c r="J156" s="457">
        <v>37555464</v>
      </c>
      <c r="K156" s="454" t="s">
        <v>2642</v>
      </c>
      <c r="L156" s="458">
        <v>736</v>
      </c>
      <c r="M156" s="454" t="s">
        <v>2643</v>
      </c>
      <c r="N156" s="459">
        <v>3694010</v>
      </c>
      <c r="O156" s="460">
        <v>20423028</v>
      </c>
      <c r="P156" s="462">
        <v>204890</v>
      </c>
      <c r="Q156" s="462">
        <v>42</v>
      </c>
      <c r="R156" s="462">
        <v>43917</v>
      </c>
      <c r="S156" s="463">
        <v>291</v>
      </c>
      <c r="T156" s="464">
        <v>3.6</v>
      </c>
      <c r="U156" s="465">
        <v>1047.5999999999999</v>
      </c>
      <c r="V156" s="465">
        <v>12240</v>
      </c>
      <c r="W156" s="466">
        <v>0</v>
      </c>
      <c r="X156" s="467">
        <v>1</v>
      </c>
      <c r="Y156" s="466">
        <v>19931.400000000001</v>
      </c>
      <c r="Z156" s="468" t="s">
        <v>516</v>
      </c>
      <c r="AA156" s="466">
        <v>94465.8</v>
      </c>
      <c r="AB156" s="466">
        <v>94465.8</v>
      </c>
      <c r="AC156" s="467">
        <v>0</v>
      </c>
      <c r="AD156" s="466">
        <v>0</v>
      </c>
      <c r="AE156" s="468" t="s">
        <v>516</v>
      </c>
      <c r="AF156" s="466">
        <v>0</v>
      </c>
      <c r="AG156" s="466">
        <v>0</v>
      </c>
      <c r="AH156" s="466">
        <v>14392.21</v>
      </c>
      <c r="AI156" s="466">
        <v>6687.54</v>
      </c>
      <c r="AJ156" s="469" t="s">
        <v>2644</v>
      </c>
      <c r="AK156" s="470" t="s">
        <v>2645</v>
      </c>
      <c r="AL156" s="471" t="s">
        <v>2646</v>
      </c>
      <c r="AM156" s="470" t="s">
        <v>2647</v>
      </c>
      <c r="AN156" s="470" t="s">
        <v>12580</v>
      </c>
      <c r="AO156" s="470" t="s">
        <v>12581</v>
      </c>
      <c r="AP156" s="470" t="s">
        <v>2648</v>
      </c>
      <c r="AQ156" s="470" t="s">
        <v>2640</v>
      </c>
      <c r="AR156" s="472" t="s">
        <v>515</v>
      </c>
      <c r="AS156" s="473" t="s">
        <v>1385</v>
      </c>
      <c r="AT156" s="472" t="s">
        <v>1390</v>
      </c>
      <c r="AU156" s="472" t="s">
        <v>420</v>
      </c>
      <c r="AV156" s="472">
        <v>2020</v>
      </c>
      <c r="AW156" s="474" t="s">
        <v>15078</v>
      </c>
      <c r="AX156" s="475" t="s">
        <v>15079</v>
      </c>
      <c r="AY156" s="515">
        <v>1</v>
      </c>
      <c r="AZ156" s="474" t="s">
        <v>15079</v>
      </c>
      <c r="BA156" s="472" t="s">
        <v>1390</v>
      </c>
      <c r="BB156" s="472" t="s">
        <v>1385</v>
      </c>
      <c r="BC156" s="472" t="s">
        <v>1385</v>
      </c>
      <c r="BD156" s="472" t="s">
        <v>1385</v>
      </c>
      <c r="BE156" s="472" t="s">
        <v>1385</v>
      </c>
      <c r="BF156" s="472">
        <v>19931.400000000001</v>
      </c>
      <c r="BG156" s="472">
        <v>0</v>
      </c>
      <c r="BH156" s="472" t="s">
        <v>1385</v>
      </c>
      <c r="BI156" s="510">
        <v>0</v>
      </c>
      <c r="BJ156" s="510">
        <v>0</v>
      </c>
      <c r="BK156" s="510">
        <v>0</v>
      </c>
      <c r="BL156" s="510">
        <v>0</v>
      </c>
      <c r="BM156" s="510">
        <v>0</v>
      </c>
      <c r="BN156" s="510">
        <v>3500</v>
      </c>
      <c r="BO156" s="510">
        <v>0</v>
      </c>
      <c r="BP156" s="510">
        <v>0</v>
      </c>
      <c r="BQ156" s="510">
        <v>0</v>
      </c>
      <c r="BR156" s="510">
        <v>0</v>
      </c>
      <c r="BS156" s="510">
        <v>0</v>
      </c>
      <c r="BT156" s="510">
        <v>0</v>
      </c>
      <c r="BU156" s="510">
        <v>0</v>
      </c>
      <c r="BV156" s="510">
        <v>0</v>
      </c>
      <c r="BW156" s="510">
        <v>0</v>
      </c>
      <c r="BX156" s="510">
        <v>30000</v>
      </c>
      <c r="BY156" s="1011">
        <v>0</v>
      </c>
      <c r="BZ156" s="510">
        <v>0</v>
      </c>
      <c r="CA156" s="1011">
        <v>0</v>
      </c>
      <c r="CB156" s="510">
        <v>0</v>
      </c>
      <c r="CC156" s="1011">
        <v>0</v>
      </c>
      <c r="CD156" s="510">
        <v>0</v>
      </c>
      <c r="CE156" s="1011">
        <v>0</v>
      </c>
      <c r="CF156" s="510">
        <v>44534.400000000001</v>
      </c>
      <c r="CG156" s="1011">
        <v>0</v>
      </c>
      <c r="CH156" s="510">
        <v>0</v>
      </c>
      <c r="CI156" s="1011">
        <v>0</v>
      </c>
    </row>
    <row r="157" spans="1:87" ht="12.75" customHeight="1" x14ac:dyDescent="0.2">
      <c r="A157" s="449">
        <v>110</v>
      </c>
      <c r="B157" s="453">
        <v>19119</v>
      </c>
      <c r="C157" s="454" t="s">
        <v>2649</v>
      </c>
      <c r="D157" s="454" t="s">
        <v>1390</v>
      </c>
      <c r="E157" s="454" t="s">
        <v>2650</v>
      </c>
      <c r="F157" s="454" t="s">
        <v>527</v>
      </c>
      <c r="G157" s="454" t="s">
        <v>12582</v>
      </c>
      <c r="H157" s="455">
        <v>3333161000195</v>
      </c>
      <c r="I157" s="462">
        <v>35864</v>
      </c>
      <c r="J157" s="457">
        <v>37588125</v>
      </c>
      <c r="K157" s="454" t="s">
        <v>2651</v>
      </c>
      <c r="L157" s="458">
        <v>10</v>
      </c>
      <c r="M157" s="454" t="s">
        <v>2652</v>
      </c>
      <c r="N157" s="459">
        <v>3728100</v>
      </c>
      <c r="O157" s="460">
        <v>26217888</v>
      </c>
      <c r="P157" s="462">
        <v>200851</v>
      </c>
      <c r="Q157" s="462">
        <v>72</v>
      </c>
      <c r="R157" s="462">
        <v>43917</v>
      </c>
      <c r="S157" s="463">
        <v>414</v>
      </c>
      <c r="T157" s="464">
        <v>3.6</v>
      </c>
      <c r="U157" s="465">
        <v>1490.4</v>
      </c>
      <c r="V157" s="465">
        <v>15120</v>
      </c>
      <c r="W157" s="466">
        <v>0</v>
      </c>
      <c r="X157" s="467">
        <v>1</v>
      </c>
      <c r="Y157" s="466">
        <v>24915.599999999999</v>
      </c>
      <c r="Z157" s="468" t="s">
        <v>516</v>
      </c>
      <c r="AA157" s="466">
        <v>100090.8</v>
      </c>
      <c r="AB157" s="466">
        <v>100090.8</v>
      </c>
      <c r="AC157" s="467">
        <v>0</v>
      </c>
      <c r="AD157" s="466">
        <v>0</v>
      </c>
      <c r="AE157" s="468" t="s">
        <v>516</v>
      </c>
      <c r="AF157" s="466">
        <v>0</v>
      </c>
      <c r="AG157" s="466">
        <v>0</v>
      </c>
      <c r="AH157" s="466">
        <v>1620.52</v>
      </c>
      <c r="AI157" s="466">
        <v>3198.04</v>
      </c>
      <c r="AJ157" s="469" t="s">
        <v>2233</v>
      </c>
      <c r="AK157" s="470" t="s">
        <v>2653</v>
      </c>
      <c r="AL157" s="471" t="s">
        <v>2654</v>
      </c>
      <c r="AM157" s="470" t="s">
        <v>2655</v>
      </c>
      <c r="AN157" s="470" t="s">
        <v>12582</v>
      </c>
      <c r="AO157" s="470" t="s">
        <v>2656</v>
      </c>
      <c r="AP157" s="470" t="s">
        <v>2657</v>
      </c>
      <c r="AQ157" s="470" t="s">
        <v>2649</v>
      </c>
      <c r="AR157" s="472" t="s">
        <v>515</v>
      </c>
      <c r="AS157" s="473" t="s">
        <v>1385</v>
      </c>
      <c r="AT157" s="472" t="s">
        <v>1390</v>
      </c>
      <c r="AU157" s="472" t="s">
        <v>420</v>
      </c>
      <c r="AV157" s="472">
        <v>2020</v>
      </c>
      <c r="AW157" s="474" t="s">
        <v>15078</v>
      </c>
      <c r="AX157" s="475" t="s">
        <v>15079</v>
      </c>
      <c r="AY157" s="515">
        <v>1</v>
      </c>
      <c r="AZ157" s="474" t="s">
        <v>15079</v>
      </c>
      <c r="BA157" s="472" t="s">
        <v>1390</v>
      </c>
      <c r="BB157" s="472" t="s">
        <v>1385</v>
      </c>
      <c r="BC157" s="472" t="s">
        <v>1385</v>
      </c>
      <c r="BD157" s="472" t="s">
        <v>1385</v>
      </c>
      <c r="BE157" s="472" t="s">
        <v>1385</v>
      </c>
      <c r="BF157" s="472">
        <v>24915.599999999999</v>
      </c>
      <c r="BG157" s="472">
        <v>0</v>
      </c>
      <c r="BH157" s="472" t="s">
        <v>1385</v>
      </c>
      <c r="BI157" s="510">
        <v>0</v>
      </c>
      <c r="BJ157" s="510">
        <v>0</v>
      </c>
      <c r="BK157" s="510">
        <v>0</v>
      </c>
      <c r="BL157" s="510">
        <v>0</v>
      </c>
      <c r="BM157" s="510">
        <v>0</v>
      </c>
      <c r="BN157" s="510">
        <v>4000</v>
      </c>
      <c r="BO157" s="510">
        <v>0</v>
      </c>
      <c r="BP157" s="510">
        <v>0</v>
      </c>
      <c r="BQ157" s="510">
        <v>0</v>
      </c>
      <c r="BR157" s="510">
        <v>0</v>
      </c>
      <c r="BS157" s="510">
        <v>0</v>
      </c>
      <c r="BT157" s="510">
        <v>0</v>
      </c>
      <c r="BU157" s="510">
        <v>0</v>
      </c>
      <c r="BV157" s="510">
        <v>0</v>
      </c>
      <c r="BW157" s="510">
        <v>0</v>
      </c>
      <c r="BX157" s="510">
        <v>30000</v>
      </c>
      <c r="BY157" s="1011">
        <v>0</v>
      </c>
      <c r="BZ157" s="510">
        <v>0</v>
      </c>
      <c r="CA157" s="1011">
        <v>0</v>
      </c>
      <c r="CB157" s="510">
        <v>0</v>
      </c>
      <c r="CC157" s="1011">
        <v>0</v>
      </c>
      <c r="CD157" s="510">
        <v>0</v>
      </c>
      <c r="CE157" s="1011">
        <v>0</v>
      </c>
      <c r="CF157" s="510">
        <v>45175.199999999997</v>
      </c>
      <c r="CG157" s="1011">
        <v>0</v>
      </c>
      <c r="CH157" s="510">
        <v>0</v>
      </c>
      <c r="CI157" s="1011">
        <v>0</v>
      </c>
    </row>
    <row r="158" spans="1:87" ht="12.75" customHeight="1" x14ac:dyDescent="0.2">
      <c r="A158" s="449">
        <v>73</v>
      </c>
      <c r="B158" s="453">
        <v>19127</v>
      </c>
      <c r="C158" s="454" t="s">
        <v>2658</v>
      </c>
      <c r="D158" s="454" t="s">
        <v>1390</v>
      </c>
      <c r="E158" s="454" t="s">
        <v>2659</v>
      </c>
      <c r="F158" s="454" t="s">
        <v>525</v>
      </c>
      <c r="G158" s="454" t="s">
        <v>12583</v>
      </c>
      <c r="H158" s="455">
        <v>2720730000192</v>
      </c>
      <c r="I158" s="462">
        <v>36021</v>
      </c>
      <c r="J158" s="457">
        <v>37387251</v>
      </c>
      <c r="K158" s="454" t="s">
        <v>2661</v>
      </c>
      <c r="L158" s="458" t="s">
        <v>1446</v>
      </c>
      <c r="M158" s="454" t="s">
        <v>2662</v>
      </c>
      <c r="N158" s="459">
        <v>2635170</v>
      </c>
      <c r="O158" s="460">
        <v>22315201</v>
      </c>
      <c r="P158" s="462">
        <v>335013</v>
      </c>
      <c r="Q158" s="462">
        <v>73</v>
      </c>
      <c r="R158" s="462">
        <v>43950</v>
      </c>
      <c r="S158" s="463">
        <v>373</v>
      </c>
      <c r="T158" s="464">
        <v>3.6</v>
      </c>
      <c r="U158" s="465">
        <v>1342.8</v>
      </c>
      <c r="V158" s="465">
        <v>13680</v>
      </c>
      <c r="W158" s="466">
        <v>0</v>
      </c>
      <c r="X158" s="467">
        <v>1</v>
      </c>
      <c r="Y158" s="466">
        <v>22534.2</v>
      </c>
      <c r="Z158" s="468" t="s">
        <v>516</v>
      </c>
      <c r="AA158" s="466">
        <v>97263</v>
      </c>
      <c r="AB158" s="466">
        <v>97263</v>
      </c>
      <c r="AC158" s="467">
        <v>0</v>
      </c>
      <c r="AD158" s="466">
        <v>0</v>
      </c>
      <c r="AE158" s="468" t="s">
        <v>516</v>
      </c>
      <c r="AF158" s="466">
        <v>0</v>
      </c>
      <c r="AG158" s="466">
        <v>0</v>
      </c>
      <c r="AH158" s="466">
        <v>14687.15</v>
      </c>
      <c r="AI158" s="466">
        <v>7623.43</v>
      </c>
      <c r="AJ158" s="469" t="s">
        <v>1448</v>
      </c>
      <c r="AK158" s="470" t="s">
        <v>1449</v>
      </c>
      <c r="AL158" s="471" t="s">
        <v>2663</v>
      </c>
      <c r="AM158" s="470" t="s">
        <v>2664</v>
      </c>
      <c r="AN158" s="470" t="s">
        <v>2660</v>
      </c>
      <c r="AO158" s="470" t="s">
        <v>2665</v>
      </c>
      <c r="AP158" s="470" t="s">
        <v>2666</v>
      </c>
      <c r="AQ158" s="470" t="s">
        <v>2658</v>
      </c>
      <c r="AR158" s="472" t="s">
        <v>515</v>
      </c>
      <c r="AS158" s="473" t="s">
        <v>1385</v>
      </c>
      <c r="AT158" s="472" t="s">
        <v>1390</v>
      </c>
      <c r="AU158" s="472" t="s">
        <v>420</v>
      </c>
      <c r="AV158" s="472">
        <v>2020</v>
      </c>
      <c r="AW158" s="474" t="s">
        <v>15078</v>
      </c>
      <c r="AX158" s="475" t="s">
        <v>15079</v>
      </c>
      <c r="AY158" s="515">
        <v>1</v>
      </c>
      <c r="AZ158" s="474" t="s">
        <v>15079</v>
      </c>
      <c r="BA158" s="472" t="s">
        <v>1390</v>
      </c>
      <c r="BB158" s="472" t="s">
        <v>1385</v>
      </c>
      <c r="BC158" s="472" t="s">
        <v>1385</v>
      </c>
      <c r="BD158" s="472" t="s">
        <v>1385</v>
      </c>
      <c r="BE158" s="472" t="s">
        <v>1385</v>
      </c>
      <c r="BF158" s="472">
        <v>22534.2</v>
      </c>
      <c r="BG158" s="472">
        <v>0</v>
      </c>
      <c r="BH158" s="472" t="s">
        <v>1385</v>
      </c>
      <c r="BI158" s="510">
        <v>0</v>
      </c>
      <c r="BJ158" s="510">
        <v>0</v>
      </c>
      <c r="BK158" s="510">
        <v>0</v>
      </c>
      <c r="BL158" s="510">
        <v>0</v>
      </c>
      <c r="BM158" s="510">
        <v>0</v>
      </c>
      <c r="BN158" s="510">
        <v>0</v>
      </c>
      <c r="BO158" s="510">
        <v>0</v>
      </c>
      <c r="BP158" s="510">
        <v>0</v>
      </c>
      <c r="BQ158" s="510">
        <v>0</v>
      </c>
      <c r="BR158" s="510">
        <v>0</v>
      </c>
      <c r="BS158" s="510">
        <v>0</v>
      </c>
      <c r="BT158" s="510">
        <v>0</v>
      </c>
      <c r="BU158" s="510">
        <v>0</v>
      </c>
      <c r="BV158" s="510">
        <v>0</v>
      </c>
      <c r="BW158" s="510">
        <v>0</v>
      </c>
      <c r="BX158" s="510">
        <v>30000</v>
      </c>
      <c r="BY158" s="1011">
        <v>0</v>
      </c>
      <c r="BZ158" s="510">
        <v>0</v>
      </c>
      <c r="CA158" s="1011">
        <v>0</v>
      </c>
      <c r="CB158" s="510">
        <v>0</v>
      </c>
      <c r="CC158" s="1011">
        <v>0</v>
      </c>
      <c r="CD158" s="510">
        <v>0</v>
      </c>
      <c r="CE158" s="1011">
        <v>0</v>
      </c>
      <c r="CF158" s="510">
        <v>44728.800000000003</v>
      </c>
      <c r="CG158" s="1011">
        <v>0</v>
      </c>
      <c r="CH158" s="510">
        <v>0</v>
      </c>
      <c r="CI158" s="1011">
        <v>0</v>
      </c>
    </row>
    <row r="159" spans="1:87" ht="12.75" customHeight="1" x14ac:dyDescent="0.2">
      <c r="A159" s="449">
        <v>98</v>
      </c>
      <c r="B159" s="453">
        <v>19135</v>
      </c>
      <c r="C159" s="454" t="s">
        <v>2667</v>
      </c>
      <c r="D159" s="454" t="s">
        <v>1390</v>
      </c>
      <c r="E159" s="454" t="s">
        <v>2668</v>
      </c>
      <c r="F159" s="454" t="s">
        <v>526</v>
      </c>
      <c r="G159" s="454" t="s">
        <v>12584</v>
      </c>
      <c r="H159" s="455">
        <v>2823087000122</v>
      </c>
      <c r="I159" s="462">
        <v>36020</v>
      </c>
      <c r="J159" s="457">
        <v>37476270</v>
      </c>
      <c r="K159" s="454" t="s">
        <v>2669</v>
      </c>
      <c r="L159" s="458">
        <v>15</v>
      </c>
      <c r="M159" s="454" t="s">
        <v>1411</v>
      </c>
      <c r="N159" s="459">
        <v>8115100</v>
      </c>
      <c r="O159" s="460">
        <v>25673089</v>
      </c>
      <c r="P159" s="462">
        <v>148485</v>
      </c>
      <c r="Q159" s="462">
        <v>98</v>
      </c>
      <c r="R159" s="462">
        <v>43928</v>
      </c>
      <c r="S159" s="463">
        <v>413</v>
      </c>
      <c r="T159" s="464">
        <v>3.6</v>
      </c>
      <c r="U159" s="465">
        <v>1486.8</v>
      </c>
      <c r="V159" s="465">
        <v>15120</v>
      </c>
      <c r="W159" s="466">
        <v>0</v>
      </c>
      <c r="X159" s="467">
        <v>1</v>
      </c>
      <c r="Y159" s="466">
        <v>24910.2</v>
      </c>
      <c r="Z159" s="468" t="s">
        <v>516</v>
      </c>
      <c r="AA159" s="466">
        <v>100121.4</v>
      </c>
      <c r="AB159" s="466">
        <v>100121.4</v>
      </c>
      <c r="AC159" s="467">
        <v>0</v>
      </c>
      <c r="AD159" s="466">
        <v>0</v>
      </c>
      <c r="AE159" s="468" t="s">
        <v>516</v>
      </c>
      <c r="AF159" s="466">
        <v>0</v>
      </c>
      <c r="AG159" s="466">
        <v>0</v>
      </c>
      <c r="AH159" s="466">
        <v>14850.49</v>
      </c>
      <c r="AI159" s="466">
        <v>0.2</v>
      </c>
      <c r="AJ159" s="469" t="s">
        <v>1410</v>
      </c>
      <c r="AK159" s="470" t="s">
        <v>1411</v>
      </c>
      <c r="AL159" s="471" t="s">
        <v>2670</v>
      </c>
      <c r="AM159" s="470" t="s">
        <v>12585</v>
      </c>
      <c r="AN159" s="470" t="s">
        <v>1385</v>
      </c>
      <c r="AO159" s="470" t="s">
        <v>12586</v>
      </c>
      <c r="AP159" s="470" t="s">
        <v>2671</v>
      </c>
      <c r="AQ159" s="470" t="s">
        <v>2667</v>
      </c>
      <c r="AR159" s="472" t="s">
        <v>515</v>
      </c>
      <c r="AS159" s="473" t="s">
        <v>1385</v>
      </c>
      <c r="AT159" s="472" t="s">
        <v>1390</v>
      </c>
      <c r="AU159" s="472" t="s">
        <v>420</v>
      </c>
      <c r="AV159" s="472">
        <v>2020</v>
      </c>
      <c r="AW159" s="474" t="s">
        <v>15078</v>
      </c>
      <c r="AX159" s="475" t="s">
        <v>15079</v>
      </c>
      <c r="AY159" s="515">
        <v>1</v>
      </c>
      <c r="AZ159" s="474" t="s">
        <v>15079</v>
      </c>
      <c r="BA159" s="472" t="s">
        <v>1390</v>
      </c>
      <c r="BB159" s="472" t="s">
        <v>1385</v>
      </c>
      <c r="BC159" s="472" t="s">
        <v>1385</v>
      </c>
      <c r="BD159" s="472" t="s">
        <v>1385</v>
      </c>
      <c r="BE159" s="472" t="s">
        <v>1385</v>
      </c>
      <c r="BF159" s="472">
        <v>24910.2</v>
      </c>
      <c r="BG159" s="472">
        <v>0</v>
      </c>
      <c r="BH159" s="472" t="s">
        <v>1385</v>
      </c>
      <c r="BI159" s="510">
        <v>0</v>
      </c>
      <c r="BJ159" s="510">
        <v>327.9</v>
      </c>
      <c r="BK159" s="510">
        <v>0</v>
      </c>
      <c r="BL159" s="510">
        <v>0</v>
      </c>
      <c r="BM159" s="510">
        <v>0</v>
      </c>
      <c r="BN159" s="510">
        <v>4000</v>
      </c>
      <c r="BO159" s="510">
        <v>0</v>
      </c>
      <c r="BP159" s="510">
        <v>0</v>
      </c>
      <c r="BQ159" s="510">
        <v>0</v>
      </c>
      <c r="BR159" s="510">
        <v>0</v>
      </c>
      <c r="BS159" s="510">
        <v>0</v>
      </c>
      <c r="BT159" s="510">
        <v>0</v>
      </c>
      <c r="BU159" s="510">
        <v>0</v>
      </c>
      <c r="BV159" s="510">
        <v>0</v>
      </c>
      <c r="BW159" s="510">
        <v>0</v>
      </c>
      <c r="BX159" s="510">
        <v>30000</v>
      </c>
      <c r="BY159" s="1011">
        <v>0</v>
      </c>
      <c r="BZ159" s="510">
        <v>0</v>
      </c>
      <c r="CA159" s="1011">
        <v>0</v>
      </c>
      <c r="CB159" s="510">
        <v>0</v>
      </c>
      <c r="CC159" s="1011">
        <v>0</v>
      </c>
      <c r="CD159" s="510">
        <v>0</v>
      </c>
      <c r="CE159" s="1011">
        <v>0</v>
      </c>
      <c r="CF159" s="510">
        <v>45211.199999999997</v>
      </c>
      <c r="CG159" s="1011">
        <v>0</v>
      </c>
      <c r="CH159" s="510">
        <v>0</v>
      </c>
      <c r="CI159" s="1011">
        <v>0</v>
      </c>
    </row>
    <row r="160" spans="1:87" ht="12.75" customHeight="1" x14ac:dyDescent="0.2">
      <c r="A160" s="449">
        <v>44</v>
      </c>
      <c r="B160" s="453">
        <v>19143</v>
      </c>
      <c r="C160" s="454" t="s">
        <v>2672</v>
      </c>
      <c r="D160" s="454" t="s">
        <v>517</v>
      </c>
      <c r="E160" s="454" t="s">
        <v>2673</v>
      </c>
      <c r="F160" s="454" t="s">
        <v>518</v>
      </c>
      <c r="G160" s="454" t="s">
        <v>12587</v>
      </c>
      <c r="H160" s="455">
        <v>3132601000146</v>
      </c>
      <c r="I160" s="462">
        <v>36273</v>
      </c>
      <c r="J160" s="457">
        <v>37497839</v>
      </c>
      <c r="K160" s="454" t="s">
        <v>2675</v>
      </c>
      <c r="L160" s="458">
        <v>50</v>
      </c>
      <c r="M160" s="454" t="s">
        <v>2676</v>
      </c>
      <c r="N160" s="459">
        <v>8275570</v>
      </c>
      <c r="O160" s="460">
        <v>27484321</v>
      </c>
      <c r="P160" s="462">
        <v>50086</v>
      </c>
      <c r="Q160" s="462">
        <v>89</v>
      </c>
      <c r="R160" s="462">
        <v>43934</v>
      </c>
      <c r="S160" s="463">
        <v>761</v>
      </c>
      <c r="T160" s="464">
        <v>5.4</v>
      </c>
      <c r="U160" s="465">
        <v>4109.3999999999996</v>
      </c>
      <c r="V160" s="465">
        <v>18720</v>
      </c>
      <c r="W160" s="466">
        <v>0</v>
      </c>
      <c r="X160" s="467">
        <v>1</v>
      </c>
      <c r="Y160" s="466">
        <v>34244.1</v>
      </c>
      <c r="Z160" s="468" t="s">
        <v>516</v>
      </c>
      <c r="AA160" s="466">
        <v>131730.1</v>
      </c>
      <c r="AB160" s="466">
        <v>131730.1</v>
      </c>
      <c r="AC160" s="467">
        <v>0</v>
      </c>
      <c r="AD160" s="466">
        <v>0</v>
      </c>
      <c r="AE160" s="468" t="s">
        <v>516</v>
      </c>
      <c r="AF160" s="466">
        <v>0</v>
      </c>
      <c r="AG160" s="466">
        <v>0</v>
      </c>
      <c r="AH160" s="466">
        <v>15230.14</v>
      </c>
      <c r="AI160" s="466">
        <v>13754.84</v>
      </c>
      <c r="AJ160" s="469" t="s">
        <v>1560</v>
      </c>
      <c r="AK160" s="470" t="s">
        <v>1776</v>
      </c>
      <c r="AL160" s="471" t="s">
        <v>2677</v>
      </c>
      <c r="AM160" s="470" t="s">
        <v>2678</v>
      </c>
      <c r="AN160" s="470" t="s">
        <v>2674</v>
      </c>
      <c r="AO160" s="470" t="s">
        <v>14976</v>
      </c>
      <c r="AP160" s="470" t="s">
        <v>2679</v>
      </c>
      <c r="AQ160" s="470" t="s">
        <v>2672</v>
      </c>
      <c r="AR160" s="472" t="s">
        <v>515</v>
      </c>
      <c r="AS160" s="473" t="s">
        <v>1385</v>
      </c>
      <c r="AT160" s="472" t="s">
        <v>517</v>
      </c>
      <c r="AU160" s="472" t="s">
        <v>420</v>
      </c>
      <c r="AV160" s="472">
        <v>2020</v>
      </c>
      <c r="AW160" s="474" t="s">
        <v>15078</v>
      </c>
      <c r="AX160" s="475" t="s">
        <v>15079</v>
      </c>
      <c r="AY160" s="515">
        <v>1</v>
      </c>
      <c r="AZ160" s="474" t="s">
        <v>15079</v>
      </c>
      <c r="BA160" s="472" t="s">
        <v>517</v>
      </c>
      <c r="BB160" s="472" t="s">
        <v>1385</v>
      </c>
      <c r="BC160" s="472" t="s">
        <v>1385</v>
      </c>
      <c r="BD160" s="472" t="s">
        <v>1385</v>
      </c>
      <c r="BE160" s="472" t="s">
        <v>1385</v>
      </c>
      <c r="BF160" s="472">
        <v>34244.1</v>
      </c>
      <c r="BG160" s="472">
        <v>0</v>
      </c>
      <c r="BH160" s="472" t="s">
        <v>1385</v>
      </c>
      <c r="BI160" s="510">
        <v>0</v>
      </c>
      <c r="BJ160" s="510">
        <v>56.96</v>
      </c>
      <c r="BK160" s="510">
        <v>0</v>
      </c>
      <c r="BL160" s="510">
        <v>1859.85</v>
      </c>
      <c r="BM160" s="510">
        <v>0</v>
      </c>
      <c r="BN160" s="510">
        <v>5000</v>
      </c>
      <c r="BO160" s="510">
        <v>0</v>
      </c>
      <c r="BP160" s="510">
        <v>0</v>
      </c>
      <c r="BQ160" s="510">
        <v>0</v>
      </c>
      <c r="BR160" s="510">
        <v>0</v>
      </c>
      <c r="BS160" s="510">
        <v>0</v>
      </c>
      <c r="BT160" s="510">
        <v>0</v>
      </c>
      <c r="BU160" s="510">
        <v>2500</v>
      </c>
      <c r="BV160" s="510">
        <v>2500</v>
      </c>
      <c r="BW160" s="510">
        <v>0</v>
      </c>
      <c r="BX160" s="510">
        <v>30000</v>
      </c>
      <c r="BY160" s="1011">
        <v>0</v>
      </c>
      <c r="BZ160" s="510">
        <v>0</v>
      </c>
      <c r="CA160" s="1011">
        <v>0</v>
      </c>
      <c r="CB160" s="510">
        <v>22000</v>
      </c>
      <c r="CC160" s="1011">
        <v>0</v>
      </c>
      <c r="CD160" s="510">
        <v>0</v>
      </c>
      <c r="CE160" s="1011">
        <v>0</v>
      </c>
      <c r="CF160" s="510">
        <v>45486</v>
      </c>
      <c r="CG160" s="1011">
        <v>0</v>
      </c>
      <c r="CH160" s="510">
        <v>0</v>
      </c>
      <c r="CI160" s="1011">
        <v>0</v>
      </c>
    </row>
    <row r="161" spans="1:87" ht="12.75" customHeight="1" x14ac:dyDescent="0.2">
      <c r="A161" s="449">
        <v>78</v>
      </c>
      <c r="B161" s="453">
        <v>19151</v>
      </c>
      <c r="C161" s="454" t="s">
        <v>2680</v>
      </c>
      <c r="D161" s="454" t="s">
        <v>1390</v>
      </c>
      <c r="E161" s="454" t="s">
        <v>2681</v>
      </c>
      <c r="F161" s="454" t="s">
        <v>521</v>
      </c>
      <c r="G161" s="454" t="s">
        <v>12588</v>
      </c>
      <c r="H161" s="455">
        <v>2833006000175</v>
      </c>
      <c r="I161" s="462">
        <v>35964</v>
      </c>
      <c r="J161" s="457">
        <v>37551922</v>
      </c>
      <c r="K161" s="454" t="s">
        <v>2544</v>
      </c>
      <c r="L161" s="458">
        <v>310</v>
      </c>
      <c r="M161" s="454" t="s">
        <v>2545</v>
      </c>
      <c r="N161" s="459">
        <v>4851340</v>
      </c>
      <c r="O161" s="460">
        <v>55281467</v>
      </c>
      <c r="P161" s="462">
        <v>100024</v>
      </c>
      <c r="Q161" s="462">
        <v>37</v>
      </c>
      <c r="R161" s="462">
        <v>43934</v>
      </c>
      <c r="S161" s="463">
        <v>388</v>
      </c>
      <c r="T161" s="464">
        <v>3.6</v>
      </c>
      <c r="U161" s="465">
        <v>1396.8</v>
      </c>
      <c r="V161" s="465">
        <v>13680</v>
      </c>
      <c r="W161" s="466">
        <v>0</v>
      </c>
      <c r="X161" s="467">
        <v>1</v>
      </c>
      <c r="Y161" s="466">
        <v>22615.200000000001</v>
      </c>
      <c r="Z161" s="468" t="s">
        <v>516</v>
      </c>
      <c r="AA161" s="466">
        <v>97653.6</v>
      </c>
      <c r="AB161" s="466">
        <v>97653.6</v>
      </c>
      <c r="AC161" s="467">
        <v>0</v>
      </c>
      <c r="AD161" s="466">
        <v>0</v>
      </c>
      <c r="AE161" s="468" t="s">
        <v>516</v>
      </c>
      <c r="AF161" s="466">
        <v>0</v>
      </c>
      <c r="AG161" s="466">
        <v>0</v>
      </c>
      <c r="AH161" s="466">
        <v>18351.189999999999</v>
      </c>
      <c r="AI161" s="466">
        <v>3015.36</v>
      </c>
      <c r="AJ161" s="469" t="s">
        <v>1624</v>
      </c>
      <c r="AK161" s="470" t="s">
        <v>1625</v>
      </c>
      <c r="AL161" s="471" t="s">
        <v>2682</v>
      </c>
      <c r="AM161" s="470" t="s">
        <v>2683</v>
      </c>
      <c r="AN161" s="470" t="s">
        <v>1385</v>
      </c>
      <c r="AO161" s="470" t="s">
        <v>14926</v>
      </c>
      <c r="AP161" s="470" t="s">
        <v>2684</v>
      </c>
      <c r="AQ161" s="470" t="s">
        <v>2680</v>
      </c>
      <c r="AR161" s="472" t="s">
        <v>515</v>
      </c>
      <c r="AS161" s="473" t="s">
        <v>1385</v>
      </c>
      <c r="AT161" s="472" t="s">
        <v>1390</v>
      </c>
      <c r="AU161" s="472" t="s">
        <v>420</v>
      </c>
      <c r="AV161" s="472">
        <v>2020</v>
      </c>
      <c r="AW161" s="474" t="s">
        <v>15078</v>
      </c>
      <c r="AX161" s="475" t="s">
        <v>15079</v>
      </c>
      <c r="AY161" s="515">
        <v>1</v>
      </c>
      <c r="AZ161" s="474" t="s">
        <v>15079</v>
      </c>
      <c r="BA161" s="472" t="s">
        <v>1390</v>
      </c>
      <c r="BB161" s="472" t="s">
        <v>1385</v>
      </c>
      <c r="BC161" s="472" t="s">
        <v>1385</v>
      </c>
      <c r="BD161" s="472" t="s">
        <v>1385</v>
      </c>
      <c r="BE161" s="472" t="s">
        <v>1385</v>
      </c>
      <c r="BF161" s="509">
        <v>22615.200000000001</v>
      </c>
      <c r="BG161" s="509">
        <v>0</v>
      </c>
      <c r="BH161" s="472" t="s">
        <v>1385</v>
      </c>
      <c r="BI161" s="510">
        <v>0</v>
      </c>
      <c r="BJ161" s="510">
        <v>0</v>
      </c>
      <c r="BK161" s="510">
        <v>0</v>
      </c>
      <c r="BL161" s="510">
        <v>0</v>
      </c>
      <c r="BM161" s="510">
        <v>0</v>
      </c>
      <c r="BN161" s="510">
        <v>3500</v>
      </c>
      <c r="BO161" s="510">
        <v>0</v>
      </c>
      <c r="BP161" s="510">
        <v>0</v>
      </c>
      <c r="BQ161" s="510">
        <v>0</v>
      </c>
      <c r="BR161" s="510">
        <v>0</v>
      </c>
      <c r="BS161" s="510">
        <v>0</v>
      </c>
      <c r="BT161" s="510">
        <v>0</v>
      </c>
      <c r="BU161" s="510">
        <v>0</v>
      </c>
      <c r="BV161" s="510">
        <v>0</v>
      </c>
      <c r="BW161" s="510">
        <v>0</v>
      </c>
      <c r="BX161" s="510">
        <v>30000</v>
      </c>
      <c r="BY161" s="1011">
        <v>0</v>
      </c>
      <c r="BZ161" s="510">
        <v>0</v>
      </c>
      <c r="CA161" s="1011">
        <v>0</v>
      </c>
      <c r="CB161" s="510">
        <v>0</v>
      </c>
      <c r="CC161" s="1011">
        <v>0</v>
      </c>
      <c r="CD161" s="510">
        <v>0</v>
      </c>
      <c r="CE161" s="1011">
        <v>0</v>
      </c>
      <c r="CF161" s="510">
        <v>45038.400000000001</v>
      </c>
      <c r="CG161" s="1011">
        <v>0</v>
      </c>
      <c r="CH161" s="510">
        <v>0</v>
      </c>
      <c r="CI161" s="1011">
        <v>0</v>
      </c>
    </row>
    <row r="162" spans="1:87" ht="12.75" customHeight="1" x14ac:dyDescent="0.2">
      <c r="A162" s="449">
        <v>32</v>
      </c>
      <c r="B162" s="453">
        <v>19160</v>
      </c>
      <c r="C162" s="454" t="s">
        <v>2685</v>
      </c>
      <c r="D162" s="454" t="s">
        <v>517</v>
      </c>
      <c r="E162" s="454" t="s">
        <v>2686</v>
      </c>
      <c r="F162" s="454" t="s">
        <v>519</v>
      </c>
      <c r="G162" s="454" t="s">
        <v>12589</v>
      </c>
      <c r="H162" s="455">
        <v>2854078000107</v>
      </c>
      <c r="I162" s="462">
        <v>35944</v>
      </c>
      <c r="J162" s="457">
        <v>37355015</v>
      </c>
      <c r="K162" s="454" t="s">
        <v>2688</v>
      </c>
      <c r="L162" s="458">
        <v>10</v>
      </c>
      <c r="M162" s="454" t="s">
        <v>2689</v>
      </c>
      <c r="N162" s="459">
        <v>5564100</v>
      </c>
      <c r="O162" s="460">
        <v>37829767</v>
      </c>
      <c r="P162" s="462">
        <v>123938</v>
      </c>
      <c r="Q162" s="462">
        <v>16</v>
      </c>
      <c r="R162" s="462">
        <v>43881</v>
      </c>
      <c r="S162" s="463">
        <v>373</v>
      </c>
      <c r="T162" s="464">
        <v>5.4</v>
      </c>
      <c r="U162" s="465">
        <v>2014.2</v>
      </c>
      <c r="V162" s="465">
        <v>15480</v>
      </c>
      <c r="W162" s="466">
        <v>0</v>
      </c>
      <c r="X162" s="467">
        <v>1</v>
      </c>
      <c r="Y162" s="466">
        <v>0</v>
      </c>
      <c r="Z162" s="468" t="s">
        <v>514</v>
      </c>
      <c r="AA162" s="466">
        <v>0</v>
      </c>
      <c r="AB162" s="466">
        <v>0</v>
      </c>
      <c r="AC162" s="467">
        <v>0</v>
      </c>
      <c r="AD162" s="466">
        <v>0</v>
      </c>
      <c r="AE162" s="468" t="s">
        <v>516</v>
      </c>
      <c r="AF162" s="466">
        <v>0</v>
      </c>
      <c r="AG162" s="466">
        <v>0</v>
      </c>
      <c r="AH162" s="466">
        <v>1749.98</v>
      </c>
      <c r="AI162" s="466">
        <v>0</v>
      </c>
      <c r="AJ162" s="469" t="s">
        <v>2690</v>
      </c>
      <c r="AK162" s="470" t="s">
        <v>2691</v>
      </c>
      <c r="AL162" s="471" t="s">
        <v>2692</v>
      </c>
      <c r="AM162" s="470" t="s">
        <v>2693</v>
      </c>
      <c r="AN162" s="470" t="s">
        <v>2687</v>
      </c>
      <c r="AO162" s="470" t="s">
        <v>2694</v>
      </c>
      <c r="AP162" s="470" t="s">
        <v>2695</v>
      </c>
      <c r="AQ162" s="470" t="s">
        <v>2685</v>
      </c>
      <c r="AR162" s="472" t="s">
        <v>515</v>
      </c>
      <c r="AS162" s="473" t="s">
        <v>1385</v>
      </c>
      <c r="AT162" s="472" t="s">
        <v>517</v>
      </c>
      <c r="AU162" s="472" t="s">
        <v>420</v>
      </c>
      <c r="AV162" s="472">
        <v>2020</v>
      </c>
      <c r="AW162" s="474" t="s">
        <v>15078</v>
      </c>
      <c r="AX162" s="475" t="s">
        <v>15079</v>
      </c>
      <c r="AY162" s="515">
        <v>1</v>
      </c>
      <c r="AZ162" s="474" t="s">
        <v>15079</v>
      </c>
      <c r="BA162" s="472" t="s">
        <v>1385</v>
      </c>
      <c r="BB162" s="472" t="s">
        <v>1385</v>
      </c>
      <c r="BC162" s="472" t="s">
        <v>1385</v>
      </c>
      <c r="BD162" s="472" t="s">
        <v>1385</v>
      </c>
      <c r="BE162" s="472" t="s">
        <v>1385</v>
      </c>
      <c r="BF162" s="472">
        <v>26241.3</v>
      </c>
      <c r="BG162" s="472">
        <v>0</v>
      </c>
      <c r="BH162" s="472" t="s">
        <v>516</v>
      </c>
      <c r="BI162" s="510">
        <v>0</v>
      </c>
      <c r="BJ162" s="510">
        <v>0</v>
      </c>
      <c r="BK162" s="510">
        <v>0</v>
      </c>
      <c r="BL162" s="510">
        <v>0</v>
      </c>
      <c r="BM162" s="510">
        <v>0</v>
      </c>
      <c r="BN162" s="510">
        <v>0</v>
      </c>
      <c r="BO162" s="510">
        <v>0</v>
      </c>
      <c r="BP162" s="510">
        <v>0</v>
      </c>
      <c r="BQ162" s="510">
        <v>0</v>
      </c>
      <c r="BR162" s="510">
        <v>0</v>
      </c>
      <c r="BS162" s="510">
        <v>0</v>
      </c>
      <c r="BT162" s="510">
        <v>0</v>
      </c>
      <c r="BU162" s="510">
        <v>0</v>
      </c>
      <c r="BV162" s="510">
        <v>0</v>
      </c>
      <c r="BW162" s="510">
        <v>0</v>
      </c>
      <c r="BX162" s="510">
        <v>0</v>
      </c>
      <c r="BY162" s="1011">
        <v>0</v>
      </c>
      <c r="BZ162" s="510">
        <v>0</v>
      </c>
      <c r="CA162" s="1011">
        <v>0</v>
      </c>
      <c r="CB162" s="510">
        <v>0</v>
      </c>
      <c r="CC162" s="1011">
        <v>0</v>
      </c>
      <c r="CD162" s="510">
        <v>0</v>
      </c>
      <c r="CE162" s="1011">
        <v>0</v>
      </c>
      <c r="CF162" s="510">
        <v>0</v>
      </c>
      <c r="CG162" s="1011">
        <v>0</v>
      </c>
      <c r="CH162" s="510">
        <v>0</v>
      </c>
      <c r="CI162" s="1011">
        <v>0</v>
      </c>
    </row>
    <row r="163" spans="1:87" ht="12.75" customHeight="1" x14ac:dyDescent="0.2">
      <c r="A163" s="449">
        <v>92</v>
      </c>
      <c r="B163" s="453">
        <v>19178</v>
      </c>
      <c r="C163" s="454" t="s">
        <v>2696</v>
      </c>
      <c r="D163" s="454" t="s">
        <v>1390</v>
      </c>
      <c r="E163" s="454" t="s">
        <v>2697</v>
      </c>
      <c r="F163" s="454" t="s">
        <v>525</v>
      </c>
      <c r="G163" s="454" t="s">
        <v>12590</v>
      </c>
      <c r="H163" s="455">
        <v>3237921000160</v>
      </c>
      <c r="I163" s="462">
        <v>36297</v>
      </c>
      <c r="J163" s="457">
        <v>37411144</v>
      </c>
      <c r="K163" s="454" t="s">
        <v>2699</v>
      </c>
      <c r="L163" s="458">
        <v>272</v>
      </c>
      <c r="M163" s="454" t="s">
        <v>2700</v>
      </c>
      <c r="N163" s="459">
        <v>2360010</v>
      </c>
      <c r="O163" s="460">
        <v>29954370</v>
      </c>
      <c r="P163" s="462">
        <v>336176</v>
      </c>
      <c r="Q163" s="462">
        <v>92</v>
      </c>
      <c r="R163" s="462">
        <v>43950</v>
      </c>
      <c r="S163" s="463">
        <v>617</v>
      </c>
      <c r="T163" s="464">
        <v>3.6</v>
      </c>
      <c r="U163" s="465">
        <v>2221.1999999999998</v>
      </c>
      <c r="V163" s="465">
        <v>18000</v>
      </c>
      <c r="W163" s="466">
        <v>0</v>
      </c>
      <c r="X163" s="467">
        <v>1</v>
      </c>
      <c r="Y163" s="466">
        <v>30331.8</v>
      </c>
      <c r="Z163" s="468" t="s">
        <v>516</v>
      </c>
      <c r="AA163" s="466">
        <v>115759.8</v>
      </c>
      <c r="AB163" s="466">
        <v>115759.8</v>
      </c>
      <c r="AC163" s="467">
        <v>0</v>
      </c>
      <c r="AD163" s="466">
        <v>0</v>
      </c>
      <c r="AE163" s="468" t="s">
        <v>516</v>
      </c>
      <c r="AF163" s="466">
        <v>0</v>
      </c>
      <c r="AG163" s="466">
        <v>0</v>
      </c>
      <c r="AH163" s="466">
        <v>25213.22</v>
      </c>
      <c r="AI163" s="466">
        <v>6088.48</v>
      </c>
      <c r="AJ163" s="469" t="s">
        <v>1448</v>
      </c>
      <c r="AK163" s="470" t="s">
        <v>1449</v>
      </c>
      <c r="AL163" s="471" t="s">
        <v>2701</v>
      </c>
      <c r="AM163" s="470" t="s">
        <v>2702</v>
      </c>
      <c r="AN163" s="470" t="s">
        <v>2698</v>
      </c>
      <c r="AO163" s="470" t="s">
        <v>2703</v>
      </c>
      <c r="AP163" s="470" t="s">
        <v>2704</v>
      </c>
      <c r="AQ163" s="470" t="s">
        <v>2696</v>
      </c>
      <c r="AR163" s="472" t="s">
        <v>515</v>
      </c>
      <c r="AS163" s="473" t="s">
        <v>1385</v>
      </c>
      <c r="AT163" s="472" t="s">
        <v>1390</v>
      </c>
      <c r="AU163" s="472" t="s">
        <v>420</v>
      </c>
      <c r="AV163" s="472">
        <v>2020</v>
      </c>
      <c r="AW163" s="474" t="s">
        <v>15078</v>
      </c>
      <c r="AX163" s="475" t="s">
        <v>15079</v>
      </c>
      <c r="AY163" s="515">
        <v>1</v>
      </c>
      <c r="AZ163" s="474" t="s">
        <v>15079</v>
      </c>
      <c r="BA163" s="472" t="s">
        <v>1390</v>
      </c>
      <c r="BB163" s="472" t="s">
        <v>1385</v>
      </c>
      <c r="BC163" s="472" t="s">
        <v>1385</v>
      </c>
      <c r="BD163" s="472" t="s">
        <v>1385</v>
      </c>
      <c r="BE163" s="472" t="s">
        <v>1385</v>
      </c>
      <c r="BF163" s="472">
        <v>30331.8</v>
      </c>
      <c r="BG163" s="472">
        <v>0</v>
      </c>
      <c r="BH163" s="472" t="s">
        <v>1385</v>
      </c>
      <c r="BI163" s="510">
        <v>0</v>
      </c>
      <c r="BJ163" s="510">
        <v>0</v>
      </c>
      <c r="BK163" s="510">
        <v>0</v>
      </c>
      <c r="BL163" s="510">
        <v>0</v>
      </c>
      <c r="BM163" s="510">
        <v>0</v>
      </c>
      <c r="BN163" s="510">
        <v>0</v>
      </c>
      <c r="BO163" s="510">
        <v>0</v>
      </c>
      <c r="BP163" s="510">
        <v>0</v>
      </c>
      <c r="BQ163" s="510">
        <v>0</v>
      </c>
      <c r="BR163" s="510">
        <v>0</v>
      </c>
      <c r="BS163" s="510">
        <v>0</v>
      </c>
      <c r="BT163" s="510">
        <v>0</v>
      </c>
      <c r="BU163" s="510">
        <v>0</v>
      </c>
      <c r="BV163" s="510">
        <v>0</v>
      </c>
      <c r="BW163" s="510">
        <v>0</v>
      </c>
      <c r="BX163" s="510">
        <v>30000</v>
      </c>
      <c r="BY163" s="1011">
        <v>0</v>
      </c>
      <c r="BZ163" s="510">
        <v>0</v>
      </c>
      <c r="CA163" s="1011">
        <v>0</v>
      </c>
      <c r="CB163" s="510">
        <v>0</v>
      </c>
      <c r="CC163" s="1011">
        <v>0</v>
      </c>
      <c r="CD163" s="510">
        <v>0</v>
      </c>
      <c r="CE163" s="1011">
        <v>0</v>
      </c>
      <c r="CF163" s="510">
        <v>55428</v>
      </c>
      <c r="CG163" s="1011">
        <v>0</v>
      </c>
      <c r="CH163" s="510">
        <v>0</v>
      </c>
      <c r="CI163" s="1011">
        <v>0</v>
      </c>
    </row>
    <row r="164" spans="1:87" ht="12.75" customHeight="1" x14ac:dyDescent="0.2">
      <c r="A164" s="449">
        <v>103</v>
      </c>
      <c r="B164" s="453">
        <v>19186</v>
      </c>
      <c r="C164" s="454" t="s">
        <v>2705</v>
      </c>
      <c r="D164" s="454" t="s">
        <v>1390</v>
      </c>
      <c r="E164" s="454" t="s">
        <v>2706</v>
      </c>
      <c r="F164" s="454" t="s">
        <v>524</v>
      </c>
      <c r="G164" s="454" t="s">
        <v>12591</v>
      </c>
      <c r="H164" s="455">
        <v>3215349000139</v>
      </c>
      <c r="I164" s="462">
        <v>36319</v>
      </c>
      <c r="J164" s="457">
        <v>37498215</v>
      </c>
      <c r="K164" s="454" t="s">
        <v>2708</v>
      </c>
      <c r="L164" s="458" t="s">
        <v>1446</v>
      </c>
      <c r="M164" s="454" t="s">
        <v>2709</v>
      </c>
      <c r="N164" s="459">
        <v>4195040</v>
      </c>
      <c r="O164" s="460">
        <v>23318619</v>
      </c>
      <c r="P164" s="462">
        <v>206680</v>
      </c>
      <c r="Q164" s="462">
        <v>111</v>
      </c>
      <c r="R164" s="462">
        <v>43906</v>
      </c>
      <c r="S164" s="463">
        <v>152</v>
      </c>
      <c r="T164" s="464">
        <v>3.6</v>
      </c>
      <c r="U164" s="465">
        <v>547.20000000000005</v>
      </c>
      <c r="V164" s="465">
        <v>10800</v>
      </c>
      <c r="W164" s="466">
        <v>0</v>
      </c>
      <c r="X164" s="467">
        <v>1</v>
      </c>
      <c r="Y164" s="466">
        <v>21880.799999999999</v>
      </c>
      <c r="Z164" s="468" t="s">
        <v>516</v>
      </c>
      <c r="AA164" s="466">
        <v>101033.60000000001</v>
      </c>
      <c r="AB164" s="466">
        <v>101033.60000000001</v>
      </c>
      <c r="AC164" s="467">
        <v>0</v>
      </c>
      <c r="AD164" s="466">
        <v>0</v>
      </c>
      <c r="AE164" s="468" t="s">
        <v>516</v>
      </c>
      <c r="AF164" s="466">
        <v>0</v>
      </c>
      <c r="AG164" s="466">
        <v>0</v>
      </c>
      <c r="AH164" s="466">
        <v>21918.05</v>
      </c>
      <c r="AI164" s="466">
        <v>2657.86</v>
      </c>
      <c r="AJ164" s="469" t="s">
        <v>2511</v>
      </c>
      <c r="AK164" s="470" t="s">
        <v>2512</v>
      </c>
      <c r="AL164" s="471" t="s">
        <v>2710</v>
      </c>
      <c r="AM164" s="470" t="s">
        <v>15189</v>
      </c>
      <c r="AN164" s="470" t="s">
        <v>2707</v>
      </c>
      <c r="AO164" s="470" t="s">
        <v>12592</v>
      </c>
      <c r="AP164" s="470" t="s">
        <v>2711</v>
      </c>
      <c r="AQ164" s="470" t="s">
        <v>2705</v>
      </c>
      <c r="AR164" s="472" t="s">
        <v>515</v>
      </c>
      <c r="AS164" s="473" t="s">
        <v>1385</v>
      </c>
      <c r="AT164" s="472" t="s">
        <v>1390</v>
      </c>
      <c r="AU164" s="472" t="s">
        <v>420</v>
      </c>
      <c r="AV164" s="472">
        <v>2020</v>
      </c>
      <c r="AW164" s="474" t="s">
        <v>15078</v>
      </c>
      <c r="AX164" s="475" t="s">
        <v>15079</v>
      </c>
      <c r="AY164" s="515">
        <v>1</v>
      </c>
      <c r="AZ164" s="474" t="s">
        <v>15079</v>
      </c>
      <c r="BA164" s="472" t="s">
        <v>1390</v>
      </c>
      <c r="BB164" s="472" t="s">
        <v>516</v>
      </c>
      <c r="BC164" s="472">
        <v>5</v>
      </c>
      <c r="BD164" s="472">
        <v>3240</v>
      </c>
      <c r="BE164" s="472">
        <v>0</v>
      </c>
      <c r="BF164" s="472">
        <v>21880.799999999999</v>
      </c>
      <c r="BG164" s="472">
        <v>0</v>
      </c>
      <c r="BH164" s="472" t="s">
        <v>1385</v>
      </c>
      <c r="BI164" s="510">
        <v>0</v>
      </c>
      <c r="BJ164" s="510">
        <v>0</v>
      </c>
      <c r="BK164" s="510">
        <v>0</v>
      </c>
      <c r="BL164" s="510">
        <v>0</v>
      </c>
      <c r="BM164" s="510">
        <v>0</v>
      </c>
      <c r="BN164" s="510">
        <v>3000</v>
      </c>
      <c r="BO164" s="510">
        <v>0</v>
      </c>
      <c r="BP164" s="510">
        <v>0</v>
      </c>
      <c r="BQ164" s="510">
        <v>0</v>
      </c>
      <c r="BR164" s="510">
        <v>0</v>
      </c>
      <c r="BS164" s="510">
        <v>0</v>
      </c>
      <c r="BT164" s="510">
        <v>0</v>
      </c>
      <c r="BU164" s="510">
        <v>0</v>
      </c>
      <c r="BV164" s="510">
        <v>0</v>
      </c>
      <c r="BW164" s="510">
        <v>0</v>
      </c>
      <c r="BX164" s="510">
        <v>30000</v>
      </c>
      <c r="BY164" s="1011">
        <v>0</v>
      </c>
      <c r="BZ164" s="510">
        <v>0</v>
      </c>
      <c r="CA164" s="1011">
        <v>0</v>
      </c>
      <c r="CB164" s="510">
        <v>0</v>
      </c>
      <c r="CC164" s="1011">
        <v>0</v>
      </c>
      <c r="CD164" s="510">
        <v>0</v>
      </c>
      <c r="CE164" s="1011">
        <v>0</v>
      </c>
      <c r="CF164" s="510">
        <v>49152.800000000003</v>
      </c>
      <c r="CG164" s="1011">
        <v>0</v>
      </c>
      <c r="CH164" s="510">
        <v>0</v>
      </c>
      <c r="CI164" s="1011">
        <v>0</v>
      </c>
    </row>
    <row r="165" spans="1:87" ht="12.75" customHeight="1" x14ac:dyDescent="0.2">
      <c r="A165" s="449">
        <v>55</v>
      </c>
      <c r="B165" s="453">
        <v>19194</v>
      </c>
      <c r="C165" s="454" t="s">
        <v>2712</v>
      </c>
      <c r="D165" s="454" t="s">
        <v>517</v>
      </c>
      <c r="E165" s="454" t="s">
        <v>2713</v>
      </c>
      <c r="F165" s="454" t="s">
        <v>521</v>
      </c>
      <c r="G165" s="454" t="s">
        <v>12593</v>
      </c>
      <c r="H165" s="455">
        <v>3323261000130</v>
      </c>
      <c r="I165" s="462">
        <v>36305</v>
      </c>
      <c r="J165" s="457">
        <v>37550519</v>
      </c>
      <c r="K165" s="454" t="s">
        <v>2714</v>
      </c>
      <c r="L165" s="458">
        <v>40</v>
      </c>
      <c r="M165" s="454" t="s">
        <v>2715</v>
      </c>
      <c r="N165" s="459">
        <v>4892100</v>
      </c>
      <c r="O165" s="460">
        <v>59203963</v>
      </c>
      <c r="P165" s="462">
        <v>100245</v>
      </c>
      <c r="Q165" s="462">
        <v>72</v>
      </c>
      <c r="R165" s="462">
        <v>43934</v>
      </c>
      <c r="S165" s="463">
        <v>391</v>
      </c>
      <c r="T165" s="464">
        <v>5.4</v>
      </c>
      <c r="U165" s="465">
        <v>2111.4</v>
      </c>
      <c r="V165" s="465">
        <v>15480</v>
      </c>
      <c r="W165" s="466">
        <v>0</v>
      </c>
      <c r="X165" s="467">
        <v>1</v>
      </c>
      <c r="Y165" s="466">
        <v>26387.1</v>
      </c>
      <c r="Z165" s="468" t="s">
        <v>516</v>
      </c>
      <c r="AA165" s="466">
        <v>114250.7</v>
      </c>
      <c r="AB165" s="466">
        <v>114250.7</v>
      </c>
      <c r="AC165" s="467">
        <v>0</v>
      </c>
      <c r="AD165" s="466">
        <v>0</v>
      </c>
      <c r="AE165" s="468" t="s">
        <v>516</v>
      </c>
      <c r="AF165" s="466">
        <v>1600</v>
      </c>
      <c r="AG165" s="466">
        <v>1600</v>
      </c>
      <c r="AH165" s="466">
        <v>13192.49</v>
      </c>
      <c r="AI165" s="466">
        <v>3572.07</v>
      </c>
      <c r="AJ165" s="469" t="s">
        <v>1624</v>
      </c>
      <c r="AK165" s="470" t="s">
        <v>1625</v>
      </c>
      <c r="AL165" s="471" t="s">
        <v>2716</v>
      </c>
      <c r="AM165" s="470" t="s">
        <v>12594</v>
      </c>
      <c r="AN165" s="470" t="s">
        <v>1385</v>
      </c>
      <c r="AO165" s="470" t="s">
        <v>14913</v>
      </c>
      <c r="AP165" s="470" t="s">
        <v>2717</v>
      </c>
      <c r="AQ165" s="470" t="s">
        <v>2712</v>
      </c>
      <c r="AR165" s="472" t="s">
        <v>515</v>
      </c>
      <c r="AS165" s="473" t="s">
        <v>1385</v>
      </c>
      <c r="AT165" s="472" t="s">
        <v>517</v>
      </c>
      <c r="AU165" s="472" t="s">
        <v>420</v>
      </c>
      <c r="AV165" s="472">
        <v>2020</v>
      </c>
      <c r="AW165" s="474" t="s">
        <v>15078</v>
      </c>
      <c r="AX165" s="475" t="s">
        <v>15079</v>
      </c>
      <c r="AY165" s="515">
        <v>1</v>
      </c>
      <c r="AZ165" s="474" t="s">
        <v>15079</v>
      </c>
      <c r="BA165" s="472" t="s">
        <v>517</v>
      </c>
      <c r="BB165" s="472" t="s">
        <v>1385</v>
      </c>
      <c r="BC165" s="472" t="s">
        <v>1385</v>
      </c>
      <c r="BD165" s="472" t="s">
        <v>1385</v>
      </c>
      <c r="BE165" s="472" t="s">
        <v>1385</v>
      </c>
      <c r="BF165" s="509">
        <v>26387.1</v>
      </c>
      <c r="BG165" s="472">
        <v>0</v>
      </c>
      <c r="BH165" s="472" t="s">
        <v>1385</v>
      </c>
      <c r="BI165" s="510">
        <v>0</v>
      </c>
      <c r="BJ165" s="510">
        <v>0</v>
      </c>
      <c r="BK165" s="510">
        <v>0</v>
      </c>
      <c r="BL165" s="510">
        <v>431.48</v>
      </c>
      <c r="BM165" s="510">
        <v>0</v>
      </c>
      <c r="BN165" s="510">
        <v>3500</v>
      </c>
      <c r="BO165" s="510">
        <v>400</v>
      </c>
      <c r="BP165" s="510">
        <v>1600</v>
      </c>
      <c r="BQ165" s="510">
        <v>0</v>
      </c>
      <c r="BR165" s="510">
        <v>0</v>
      </c>
      <c r="BS165" s="510">
        <v>0</v>
      </c>
      <c r="BT165" s="510">
        <v>0</v>
      </c>
      <c r="BU165" s="510">
        <v>2500</v>
      </c>
      <c r="BV165" s="510">
        <v>2500</v>
      </c>
      <c r="BW165" s="510">
        <v>0</v>
      </c>
      <c r="BX165" s="510">
        <v>30000</v>
      </c>
      <c r="BY165" s="1011">
        <v>0</v>
      </c>
      <c r="BZ165" s="510">
        <v>0</v>
      </c>
      <c r="CA165" s="1011">
        <v>0</v>
      </c>
      <c r="CB165" s="510">
        <v>22000</v>
      </c>
      <c r="CC165" s="1011">
        <v>0</v>
      </c>
      <c r="CD165" s="510">
        <v>0</v>
      </c>
      <c r="CE165" s="1011">
        <v>0</v>
      </c>
      <c r="CF165" s="510">
        <v>35463.599999999999</v>
      </c>
      <c r="CG165" s="1011">
        <v>0</v>
      </c>
      <c r="CH165" s="510">
        <v>0</v>
      </c>
      <c r="CI165" s="1011">
        <v>0</v>
      </c>
    </row>
    <row r="166" spans="1:87" ht="12.75" customHeight="1" x14ac:dyDescent="0.2">
      <c r="A166" s="449">
        <v>57</v>
      </c>
      <c r="B166" s="453">
        <v>19195</v>
      </c>
      <c r="C166" s="454" t="s">
        <v>2718</v>
      </c>
      <c r="D166" s="454" t="s">
        <v>517</v>
      </c>
      <c r="E166" s="454" t="s">
        <v>2719</v>
      </c>
      <c r="F166" s="454" t="s">
        <v>528</v>
      </c>
      <c r="G166" s="454" t="s">
        <v>12595</v>
      </c>
      <c r="H166" s="455">
        <v>5022478000136</v>
      </c>
      <c r="I166" s="462">
        <v>36004</v>
      </c>
      <c r="J166" s="457">
        <v>37587857</v>
      </c>
      <c r="K166" s="454" t="s">
        <v>2721</v>
      </c>
      <c r="L166" s="458">
        <v>23</v>
      </c>
      <c r="M166" s="454" t="s">
        <v>2722</v>
      </c>
      <c r="N166" s="459">
        <v>2998120</v>
      </c>
      <c r="O166" s="460">
        <v>39441024</v>
      </c>
      <c r="P166" s="462">
        <v>289135</v>
      </c>
      <c r="Q166" s="462">
        <v>57</v>
      </c>
      <c r="R166" s="462">
        <v>43938</v>
      </c>
      <c r="S166" s="463">
        <v>1030</v>
      </c>
      <c r="T166" s="464">
        <v>5.4</v>
      </c>
      <c r="U166" s="465">
        <v>5562</v>
      </c>
      <c r="V166" s="465">
        <v>20340</v>
      </c>
      <c r="W166" s="466">
        <v>0</v>
      </c>
      <c r="X166" s="467">
        <v>1</v>
      </c>
      <c r="Y166" s="466">
        <v>38853</v>
      </c>
      <c r="Z166" s="468" t="s">
        <v>516</v>
      </c>
      <c r="AA166" s="466">
        <v>141933.4</v>
      </c>
      <c r="AB166" s="466">
        <v>141933.4</v>
      </c>
      <c r="AC166" s="467">
        <v>0</v>
      </c>
      <c r="AD166" s="466">
        <v>0</v>
      </c>
      <c r="AE166" s="468" t="s">
        <v>516</v>
      </c>
      <c r="AF166" s="466">
        <v>2000</v>
      </c>
      <c r="AG166" s="466">
        <v>2000</v>
      </c>
      <c r="AH166" s="466">
        <v>104.54</v>
      </c>
      <c r="AI166" s="466">
        <v>0.8</v>
      </c>
      <c r="AJ166" s="469" t="s">
        <v>2242</v>
      </c>
      <c r="AK166" s="470" t="s">
        <v>2241</v>
      </c>
      <c r="AL166" s="471" t="s">
        <v>2723</v>
      </c>
      <c r="AM166" s="470" t="s">
        <v>2724</v>
      </c>
      <c r="AN166" s="470" t="s">
        <v>2720</v>
      </c>
      <c r="AO166" s="470" t="s">
        <v>12596</v>
      </c>
      <c r="AP166" s="470" t="s">
        <v>2725</v>
      </c>
      <c r="AQ166" s="470" t="s">
        <v>2718</v>
      </c>
      <c r="AR166" s="472" t="s">
        <v>515</v>
      </c>
      <c r="AS166" s="473" t="s">
        <v>1385</v>
      </c>
      <c r="AT166" s="472" t="s">
        <v>517</v>
      </c>
      <c r="AU166" s="472" t="s">
        <v>420</v>
      </c>
      <c r="AV166" s="472">
        <v>2020</v>
      </c>
      <c r="AW166" s="474" t="s">
        <v>15078</v>
      </c>
      <c r="AX166" s="475" t="s">
        <v>15079</v>
      </c>
      <c r="AY166" s="515">
        <v>1</v>
      </c>
      <c r="AZ166" s="474" t="s">
        <v>15079</v>
      </c>
      <c r="BA166" s="472" t="s">
        <v>517</v>
      </c>
      <c r="BB166" s="472" t="s">
        <v>1385</v>
      </c>
      <c r="BC166" s="472" t="s">
        <v>1385</v>
      </c>
      <c r="BD166" s="472" t="s">
        <v>1385</v>
      </c>
      <c r="BE166" s="472" t="s">
        <v>1385</v>
      </c>
      <c r="BF166" s="472">
        <v>38853</v>
      </c>
      <c r="BG166" s="472">
        <v>0</v>
      </c>
      <c r="BH166" s="472" t="s">
        <v>1385</v>
      </c>
      <c r="BI166" s="510">
        <v>0</v>
      </c>
      <c r="BJ166" s="510">
        <v>0</v>
      </c>
      <c r="BK166" s="510">
        <v>0</v>
      </c>
      <c r="BL166" s="510">
        <v>0</v>
      </c>
      <c r="BM166" s="510">
        <v>0</v>
      </c>
      <c r="BN166" s="510">
        <v>5000</v>
      </c>
      <c r="BO166" s="510">
        <v>0</v>
      </c>
      <c r="BP166" s="510">
        <v>2000</v>
      </c>
      <c r="BQ166" s="510">
        <v>0</v>
      </c>
      <c r="BR166" s="510">
        <v>0</v>
      </c>
      <c r="BS166" s="510">
        <v>0</v>
      </c>
      <c r="BT166" s="510">
        <v>0</v>
      </c>
      <c r="BU166" s="510">
        <v>1000</v>
      </c>
      <c r="BV166" s="510">
        <v>0</v>
      </c>
      <c r="BW166" s="510">
        <v>0</v>
      </c>
      <c r="BX166" s="510">
        <v>30000</v>
      </c>
      <c r="BY166" s="1011">
        <v>0</v>
      </c>
      <c r="BZ166" s="510">
        <v>0</v>
      </c>
      <c r="CA166" s="1011">
        <v>0</v>
      </c>
      <c r="CB166" s="510">
        <v>22000</v>
      </c>
      <c r="CC166" s="1011">
        <v>0</v>
      </c>
      <c r="CD166" s="510">
        <v>0</v>
      </c>
      <c r="CE166" s="1011">
        <v>0</v>
      </c>
      <c r="CF166" s="510">
        <v>51080.4</v>
      </c>
      <c r="CG166" s="1011">
        <v>0</v>
      </c>
      <c r="CH166" s="510">
        <v>0</v>
      </c>
      <c r="CI166" s="1011">
        <v>0</v>
      </c>
    </row>
    <row r="167" spans="1:87" ht="12.75" customHeight="1" x14ac:dyDescent="0.2">
      <c r="A167" s="449">
        <v>43</v>
      </c>
      <c r="B167" s="453">
        <v>19196</v>
      </c>
      <c r="C167" s="454" t="s">
        <v>2726</v>
      </c>
      <c r="D167" s="454" t="s">
        <v>517</v>
      </c>
      <c r="E167" s="454" t="s">
        <v>2727</v>
      </c>
      <c r="F167" s="454" t="s">
        <v>529</v>
      </c>
      <c r="G167" s="454" t="s">
        <v>12597</v>
      </c>
      <c r="H167" s="455">
        <v>4488723000132</v>
      </c>
      <c r="I167" s="462">
        <v>37047</v>
      </c>
      <c r="J167" s="457">
        <v>37523244</v>
      </c>
      <c r="K167" s="454" t="s">
        <v>2728</v>
      </c>
      <c r="L167" s="458" t="s">
        <v>1446</v>
      </c>
      <c r="M167" s="454" t="s">
        <v>1789</v>
      </c>
      <c r="N167" s="459">
        <v>4421180</v>
      </c>
      <c r="O167" s="460">
        <v>56258594</v>
      </c>
      <c r="P167" s="462">
        <v>563857</v>
      </c>
      <c r="Q167" s="462">
        <v>67</v>
      </c>
      <c r="R167" s="462">
        <v>43921</v>
      </c>
      <c r="S167" s="463">
        <v>473</v>
      </c>
      <c r="T167" s="464">
        <v>5.4</v>
      </c>
      <c r="U167" s="465">
        <v>2554.1999999999998</v>
      </c>
      <c r="V167" s="465">
        <v>15480</v>
      </c>
      <c r="W167" s="466">
        <v>0</v>
      </c>
      <c r="X167" s="467">
        <v>1</v>
      </c>
      <c r="Y167" s="466">
        <v>27051.3</v>
      </c>
      <c r="Z167" s="468" t="s">
        <v>516</v>
      </c>
      <c r="AA167" s="466">
        <v>115076.5</v>
      </c>
      <c r="AB167" s="466">
        <v>115076.5</v>
      </c>
      <c r="AC167" s="467">
        <v>0</v>
      </c>
      <c r="AD167" s="466">
        <v>0</v>
      </c>
      <c r="AE167" s="468" t="s">
        <v>516</v>
      </c>
      <c r="AF167" s="466">
        <v>2000</v>
      </c>
      <c r="AG167" s="466">
        <v>2000</v>
      </c>
      <c r="AH167" s="466">
        <v>57688.04</v>
      </c>
      <c r="AI167" s="466">
        <v>14829.47</v>
      </c>
      <c r="AJ167" s="469" t="s">
        <v>1790</v>
      </c>
      <c r="AK167" s="470" t="s">
        <v>1791</v>
      </c>
      <c r="AL167" s="471" t="s">
        <v>2729</v>
      </c>
      <c r="AM167" s="470" t="s">
        <v>12598</v>
      </c>
      <c r="AN167" s="470" t="s">
        <v>12597</v>
      </c>
      <c r="AO167" s="470" t="s">
        <v>12599</v>
      </c>
      <c r="AP167" s="470" t="s">
        <v>2730</v>
      </c>
      <c r="AQ167" s="470" t="s">
        <v>2726</v>
      </c>
      <c r="AR167" s="472" t="s">
        <v>515</v>
      </c>
      <c r="AS167" s="473" t="s">
        <v>1385</v>
      </c>
      <c r="AT167" s="472" t="s">
        <v>517</v>
      </c>
      <c r="AU167" s="472" t="s">
        <v>420</v>
      </c>
      <c r="AV167" s="472">
        <v>2020</v>
      </c>
      <c r="AW167" s="474" t="s">
        <v>15078</v>
      </c>
      <c r="AX167" s="475" t="s">
        <v>15079</v>
      </c>
      <c r="AY167" s="515">
        <v>1</v>
      </c>
      <c r="AZ167" s="474" t="s">
        <v>15079</v>
      </c>
      <c r="BA167" s="472" t="s">
        <v>517</v>
      </c>
      <c r="BB167" s="472" t="s">
        <v>1385</v>
      </c>
      <c r="BC167" s="472" t="s">
        <v>1385</v>
      </c>
      <c r="BD167" s="472" t="s">
        <v>1385</v>
      </c>
      <c r="BE167" s="472" t="s">
        <v>1385</v>
      </c>
      <c r="BF167" s="472">
        <v>27051.3</v>
      </c>
      <c r="BG167" s="472">
        <v>0</v>
      </c>
      <c r="BH167" s="472" t="s">
        <v>1385</v>
      </c>
      <c r="BI167" s="510">
        <v>0</v>
      </c>
      <c r="BJ167" s="510">
        <v>0</v>
      </c>
      <c r="BK167" s="510">
        <v>0</v>
      </c>
      <c r="BL167" s="510">
        <v>3500</v>
      </c>
      <c r="BM167" s="510">
        <v>0</v>
      </c>
      <c r="BN167" s="510">
        <v>1720</v>
      </c>
      <c r="BO167" s="510">
        <v>0</v>
      </c>
      <c r="BP167" s="510">
        <v>2000</v>
      </c>
      <c r="BQ167" s="510">
        <v>0</v>
      </c>
      <c r="BR167" s="510">
        <v>0</v>
      </c>
      <c r="BS167" s="510">
        <v>0</v>
      </c>
      <c r="BT167" s="510">
        <v>0</v>
      </c>
      <c r="BU167" s="510">
        <v>0</v>
      </c>
      <c r="BV167" s="510">
        <v>0</v>
      </c>
      <c r="BW167" s="510">
        <v>0</v>
      </c>
      <c r="BX167" s="510">
        <v>30000</v>
      </c>
      <c r="BY167" s="1011">
        <v>0</v>
      </c>
      <c r="BZ167" s="510">
        <v>0</v>
      </c>
      <c r="CA167" s="1011">
        <v>0</v>
      </c>
      <c r="CB167" s="510">
        <v>22000</v>
      </c>
      <c r="CC167" s="1011">
        <v>0</v>
      </c>
      <c r="CD167" s="510">
        <v>0</v>
      </c>
      <c r="CE167" s="1011">
        <v>0</v>
      </c>
      <c r="CF167" s="510">
        <v>36025.199999999997</v>
      </c>
      <c r="CG167" s="1011">
        <v>0</v>
      </c>
      <c r="CH167" s="510">
        <v>0</v>
      </c>
      <c r="CI167" s="1011">
        <v>0</v>
      </c>
    </row>
    <row r="168" spans="1:87" ht="12.75" customHeight="1" x14ac:dyDescent="0.2">
      <c r="A168" s="449">
        <v>70</v>
      </c>
      <c r="B168" s="453">
        <v>19197</v>
      </c>
      <c r="C168" s="454" t="s">
        <v>2731</v>
      </c>
      <c r="D168" s="454" t="s">
        <v>1390</v>
      </c>
      <c r="E168" s="454" t="s">
        <v>2732</v>
      </c>
      <c r="F168" s="454" t="s">
        <v>521</v>
      </c>
      <c r="G168" s="454" t="s">
        <v>12600</v>
      </c>
      <c r="H168" s="455">
        <v>5670563000100</v>
      </c>
      <c r="I168" s="462">
        <v>37075</v>
      </c>
      <c r="J168" s="457">
        <v>37550608</v>
      </c>
      <c r="K168" s="454" t="s">
        <v>2733</v>
      </c>
      <c r="L168" s="458">
        <v>560</v>
      </c>
      <c r="M168" s="454" t="s">
        <v>2734</v>
      </c>
      <c r="N168" s="459">
        <v>4813240</v>
      </c>
      <c r="O168" s="460">
        <v>56616369</v>
      </c>
      <c r="P168" s="462">
        <v>100016</v>
      </c>
      <c r="Q168" s="462">
        <v>45</v>
      </c>
      <c r="R168" s="462">
        <v>43934</v>
      </c>
      <c r="S168" s="463">
        <v>349</v>
      </c>
      <c r="T168" s="464">
        <v>3.6</v>
      </c>
      <c r="U168" s="465">
        <v>1256.4000000000001</v>
      </c>
      <c r="V168" s="465">
        <v>13680</v>
      </c>
      <c r="W168" s="466">
        <v>0</v>
      </c>
      <c r="X168" s="467">
        <v>1</v>
      </c>
      <c r="Y168" s="466">
        <v>22404.6</v>
      </c>
      <c r="Z168" s="468" t="s">
        <v>516</v>
      </c>
      <c r="AA168" s="466">
        <v>97255.8</v>
      </c>
      <c r="AB168" s="466">
        <v>97255.8</v>
      </c>
      <c r="AC168" s="467">
        <v>0</v>
      </c>
      <c r="AD168" s="466">
        <v>0</v>
      </c>
      <c r="AE168" s="468" t="s">
        <v>516</v>
      </c>
      <c r="AF168" s="466">
        <v>0</v>
      </c>
      <c r="AG168" s="466">
        <v>0</v>
      </c>
      <c r="AH168" s="466">
        <v>6928.22</v>
      </c>
      <c r="AI168" s="466">
        <v>7386.84</v>
      </c>
      <c r="AJ168" s="469" t="s">
        <v>1624</v>
      </c>
      <c r="AK168" s="470" t="s">
        <v>1625</v>
      </c>
      <c r="AL168" s="471" t="s">
        <v>2735</v>
      </c>
      <c r="AM168" s="470" t="s">
        <v>2736</v>
      </c>
      <c r="AN168" s="470" t="s">
        <v>1385</v>
      </c>
      <c r="AO168" s="470" t="s">
        <v>2737</v>
      </c>
      <c r="AP168" s="470" t="s">
        <v>2738</v>
      </c>
      <c r="AQ168" s="470" t="s">
        <v>2731</v>
      </c>
      <c r="AR168" s="472" t="s">
        <v>515</v>
      </c>
      <c r="AS168" s="473" t="s">
        <v>1385</v>
      </c>
      <c r="AT168" s="472" t="s">
        <v>1390</v>
      </c>
      <c r="AU168" s="472" t="s">
        <v>420</v>
      </c>
      <c r="AV168" s="472">
        <v>2020</v>
      </c>
      <c r="AW168" s="474" t="s">
        <v>15078</v>
      </c>
      <c r="AX168" s="475" t="s">
        <v>15079</v>
      </c>
      <c r="AY168" s="515">
        <v>1</v>
      </c>
      <c r="AZ168" s="474" t="s">
        <v>15079</v>
      </c>
      <c r="BA168" s="472" t="s">
        <v>1390</v>
      </c>
      <c r="BB168" s="472" t="s">
        <v>1385</v>
      </c>
      <c r="BC168" s="472" t="s">
        <v>1385</v>
      </c>
      <c r="BD168" s="472" t="s">
        <v>1385</v>
      </c>
      <c r="BE168" s="472" t="s">
        <v>1385</v>
      </c>
      <c r="BF168" s="472">
        <v>22404.6</v>
      </c>
      <c r="BG168" s="472">
        <v>0</v>
      </c>
      <c r="BH168" s="472" t="s">
        <v>1385</v>
      </c>
      <c r="BI168" s="510">
        <v>0</v>
      </c>
      <c r="BJ168" s="510">
        <v>75.790000000000006</v>
      </c>
      <c r="BK168" s="510">
        <v>0</v>
      </c>
      <c r="BL168" s="510">
        <v>0</v>
      </c>
      <c r="BM168" s="510">
        <v>0</v>
      </c>
      <c r="BN168" s="510">
        <v>3500</v>
      </c>
      <c r="BO168" s="510">
        <v>0</v>
      </c>
      <c r="BP168" s="510">
        <v>0</v>
      </c>
      <c r="BQ168" s="510">
        <v>0</v>
      </c>
      <c r="BR168" s="510">
        <v>0</v>
      </c>
      <c r="BS168" s="510">
        <v>0</v>
      </c>
      <c r="BT168" s="510">
        <v>0</v>
      </c>
      <c r="BU168" s="510">
        <v>0</v>
      </c>
      <c r="BV168" s="510">
        <v>0</v>
      </c>
      <c r="BW168" s="510">
        <v>0</v>
      </c>
      <c r="BX168" s="510">
        <v>30000</v>
      </c>
      <c r="BY168" s="1011">
        <v>0</v>
      </c>
      <c r="BZ168" s="510">
        <v>0</v>
      </c>
      <c r="CA168" s="1011">
        <v>0</v>
      </c>
      <c r="CB168" s="510">
        <v>0</v>
      </c>
      <c r="CC168" s="1011">
        <v>0</v>
      </c>
      <c r="CD168" s="510">
        <v>0</v>
      </c>
      <c r="CE168" s="1011">
        <v>0</v>
      </c>
      <c r="CF168" s="510">
        <v>44851.199999999997</v>
      </c>
      <c r="CG168" s="1011">
        <v>0</v>
      </c>
      <c r="CH168" s="510">
        <v>0</v>
      </c>
      <c r="CI168" s="1011">
        <v>0</v>
      </c>
    </row>
    <row r="169" spans="1:87" ht="12.75" customHeight="1" x14ac:dyDescent="0.2">
      <c r="A169" s="449">
        <v>95</v>
      </c>
      <c r="B169" s="453">
        <v>19198</v>
      </c>
      <c r="C169" s="454" t="s">
        <v>2739</v>
      </c>
      <c r="D169" s="454" t="s">
        <v>2000</v>
      </c>
      <c r="E169" s="454" t="s">
        <v>2740</v>
      </c>
      <c r="F169" s="454" t="s">
        <v>521</v>
      </c>
      <c r="G169" s="454" t="s">
        <v>12601</v>
      </c>
      <c r="H169" s="455">
        <v>5336674000185</v>
      </c>
      <c r="I169" s="462">
        <v>37067</v>
      </c>
      <c r="J169" s="457">
        <v>37549936</v>
      </c>
      <c r="K169" s="454" t="s">
        <v>2741</v>
      </c>
      <c r="L169" s="458">
        <v>7350</v>
      </c>
      <c r="M169" s="454" t="s">
        <v>1625</v>
      </c>
      <c r="N169" s="459">
        <v>4777000</v>
      </c>
      <c r="O169" s="460">
        <v>56681921</v>
      </c>
      <c r="P169" s="462">
        <v>94431</v>
      </c>
      <c r="Q169" s="462">
        <v>26</v>
      </c>
      <c r="R169" s="462">
        <v>43934</v>
      </c>
      <c r="S169" s="463">
        <v>637</v>
      </c>
      <c r="T169" s="464">
        <v>3.6</v>
      </c>
      <c r="U169" s="465">
        <v>2293.1999999999998</v>
      </c>
      <c r="V169" s="465">
        <v>18000</v>
      </c>
      <c r="W169" s="466">
        <v>0</v>
      </c>
      <c r="X169" s="467">
        <v>1</v>
      </c>
      <c r="Y169" s="466">
        <v>30439.8</v>
      </c>
      <c r="Z169" s="468" t="s">
        <v>516</v>
      </c>
      <c r="AA169" s="466">
        <v>116098.2</v>
      </c>
      <c r="AB169" s="466">
        <v>116098.2</v>
      </c>
      <c r="AC169" s="467">
        <v>0</v>
      </c>
      <c r="AD169" s="466">
        <v>0</v>
      </c>
      <c r="AE169" s="468" t="s">
        <v>516</v>
      </c>
      <c r="AF169" s="466">
        <v>0</v>
      </c>
      <c r="AG169" s="466">
        <v>0</v>
      </c>
      <c r="AH169" s="466">
        <v>25574.67</v>
      </c>
      <c r="AI169" s="466">
        <v>8117.28</v>
      </c>
      <c r="AJ169" s="469" t="s">
        <v>1624</v>
      </c>
      <c r="AK169" s="470" t="s">
        <v>1625</v>
      </c>
      <c r="AL169" s="471" t="s">
        <v>2742</v>
      </c>
      <c r="AM169" s="470" t="s">
        <v>9258</v>
      </c>
      <c r="AN169" s="470" t="s">
        <v>1385</v>
      </c>
      <c r="AO169" s="470" t="s">
        <v>14948</v>
      </c>
      <c r="AP169" s="470" t="s">
        <v>2743</v>
      </c>
      <c r="AQ169" s="470" t="s">
        <v>2739</v>
      </c>
      <c r="AR169" s="472" t="s">
        <v>515</v>
      </c>
      <c r="AS169" s="473" t="s">
        <v>1385</v>
      </c>
      <c r="AT169" s="472" t="s">
        <v>2000</v>
      </c>
      <c r="AU169" s="472" t="s">
        <v>420</v>
      </c>
      <c r="AV169" s="472">
        <v>2020</v>
      </c>
      <c r="AW169" s="474" t="s">
        <v>15078</v>
      </c>
      <c r="AX169" s="475" t="s">
        <v>15079</v>
      </c>
      <c r="AY169" s="515">
        <v>1</v>
      </c>
      <c r="AZ169" s="474" t="s">
        <v>15079</v>
      </c>
      <c r="BA169" s="472" t="s">
        <v>2000</v>
      </c>
      <c r="BB169" s="472" t="s">
        <v>1385</v>
      </c>
      <c r="BC169" s="472" t="s">
        <v>1385</v>
      </c>
      <c r="BD169" s="472" t="s">
        <v>1385</v>
      </c>
      <c r="BE169" s="472" t="s">
        <v>1385</v>
      </c>
      <c r="BF169" s="472">
        <v>30439.8</v>
      </c>
      <c r="BG169" s="472">
        <v>0</v>
      </c>
      <c r="BH169" s="472" t="s">
        <v>1385</v>
      </c>
      <c r="BI169" s="510">
        <v>0</v>
      </c>
      <c r="BJ169" s="510">
        <v>0</v>
      </c>
      <c r="BK169" s="510">
        <v>0</v>
      </c>
      <c r="BL169" s="510">
        <v>0</v>
      </c>
      <c r="BM169" s="510">
        <v>0</v>
      </c>
      <c r="BN169" s="510">
        <v>5000</v>
      </c>
      <c r="BO169" s="510">
        <v>0</v>
      </c>
      <c r="BP169" s="510">
        <v>0</v>
      </c>
      <c r="BQ169" s="510">
        <v>0</v>
      </c>
      <c r="BR169" s="510">
        <v>0</v>
      </c>
      <c r="BS169" s="510">
        <v>0</v>
      </c>
      <c r="BT169" s="510">
        <v>0</v>
      </c>
      <c r="BU169" s="510">
        <v>0</v>
      </c>
      <c r="BV169" s="510">
        <v>0</v>
      </c>
      <c r="BW169" s="510">
        <v>0</v>
      </c>
      <c r="BX169" s="510">
        <v>30000</v>
      </c>
      <c r="BY169" s="1011">
        <v>0</v>
      </c>
      <c r="BZ169" s="510">
        <v>0</v>
      </c>
      <c r="CA169" s="1011">
        <v>0</v>
      </c>
      <c r="CB169" s="510">
        <v>0</v>
      </c>
      <c r="CC169" s="1011">
        <v>0</v>
      </c>
      <c r="CD169" s="510">
        <v>0</v>
      </c>
      <c r="CE169" s="1011">
        <v>0</v>
      </c>
      <c r="CF169" s="510">
        <v>55658.400000000001</v>
      </c>
      <c r="CG169" s="1011">
        <v>0</v>
      </c>
      <c r="CH169" s="510">
        <v>0</v>
      </c>
      <c r="CI169" s="1011">
        <v>0</v>
      </c>
    </row>
    <row r="170" spans="1:87" ht="12.75" customHeight="1" x14ac:dyDescent="0.2">
      <c r="A170" s="449">
        <v>97</v>
      </c>
      <c r="B170" s="453">
        <v>19199</v>
      </c>
      <c r="C170" s="454" t="s">
        <v>2744</v>
      </c>
      <c r="D170" s="454" t="s">
        <v>1390</v>
      </c>
      <c r="E170" s="454" t="s">
        <v>2745</v>
      </c>
      <c r="F170" s="454" t="s">
        <v>526</v>
      </c>
      <c r="G170" s="454" t="s">
        <v>12602</v>
      </c>
      <c r="H170" s="455">
        <v>8250266000102</v>
      </c>
      <c r="I170" s="462">
        <v>38707</v>
      </c>
      <c r="J170" s="457">
        <v>37411187</v>
      </c>
      <c r="K170" s="454" t="s">
        <v>2746</v>
      </c>
      <c r="L170" s="458">
        <v>7</v>
      </c>
      <c r="M170" s="454" t="s">
        <v>1888</v>
      </c>
      <c r="N170" s="459">
        <v>8070050</v>
      </c>
      <c r="O170" s="460">
        <v>22971303</v>
      </c>
      <c r="P170" s="462">
        <v>138625</v>
      </c>
      <c r="Q170" s="462">
        <v>97</v>
      </c>
      <c r="R170" s="462">
        <v>43928</v>
      </c>
      <c r="S170" s="463">
        <v>456</v>
      </c>
      <c r="T170" s="464">
        <v>3.6</v>
      </c>
      <c r="U170" s="465">
        <v>1641.6</v>
      </c>
      <c r="V170" s="465">
        <v>15120</v>
      </c>
      <c r="W170" s="466">
        <v>0</v>
      </c>
      <c r="X170" s="467">
        <v>1</v>
      </c>
      <c r="Y170" s="466">
        <v>25142.400000000001</v>
      </c>
      <c r="Z170" s="468" t="s">
        <v>516</v>
      </c>
      <c r="AA170" s="466">
        <v>103593.60000000001</v>
      </c>
      <c r="AB170" s="466">
        <v>103593.60000000001</v>
      </c>
      <c r="AC170" s="467">
        <v>0</v>
      </c>
      <c r="AD170" s="466">
        <v>0</v>
      </c>
      <c r="AE170" s="468" t="s">
        <v>516</v>
      </c>
      <c r="AF170" s="466">
        <v>0</v>
      </c>
      <c r="AG170" s="466">
        <v>0</v>
      </c>
      <c r="AH170" s="466">
        <v>5952.53</v>
      </c>
      <c r="AI170" s="466">
        <v>10824.4</v>
      </c>
      <c r="AJ170" s="469" t="s">
        <v>1839</v>
      </c>
      <c r="AK170" s="470" t="s">
        <v>526</v>
      </c>
      <c r="AL170" s="471" t="s">
        <v>2747</v>
      </c>
      <c r="AM170" s="470" t="s">
        <v>2748</v>
      </c>
      <c r="AN170" s="470" t="s">
        <v>1385</v>
      </c>
      <c r="AO170" s="470" t="s">
        <v>2749</v>
      </c>
      <c r="AP170" s="470" t="s">
        <v>2750</v>
      </c>
      <c r="AQ170" s="470" t="s">
        <v>2744</v>
      </c>
      <c r="AR170" s="472" t="s">
        <v>515</v>
      </c>
      <c r="AS170" s="473" t="s">
        <v>1385</v>
      </c>
      <c r="AT170" s="472" t="s">
        <v>1390</v>
      </c>
      <c r="AU170" s="472" t="s">
        <v>420</v>
      </c>
      <c r="AV170" s="472">
        <v>2020</v>
      </c>
      <c r="AW170" s="474" t="s">
        <v>15078</v>
      </c>
      <c r="AX170" s="475" t="s">
        <v>15079</v>
      </c>
      <c r="AY170" s="515">
        <v>1</v>
      </c>
      <c r="AZ170" s="474" t="s">
        <v>15079</v>
      </c>
      <c r="BA170" s="472" t="s">
        <v>1390</v>
      </c>
      <c r="BB170" s="472" t="s">
        <v>1385</v>
      </c>
      <c r="BC170" s="472" t="s">
        <v>1385</v>
      </c>
      <c r="BD170" s="472" t="s">
        <v>1385</v>
      </c>
      <c r="BE170" s="472" t="s">
        <v>1385</v>
      </c>
      <c r="BF170" s="472">
        <v>25142.400000000001</v>
      </c>
      <c r="BG170" s="472">
        <v>0</v>
      </c>
      <c r="BH170" s="472" t="s">
        <v>1385</v>
      </c>
      <c r="BI170" s="510">
        <v>0</v>
      </c>
      <c r="BJ170" s="510">
        <v>0</v>
      </c>
      <c r="BK170" s="510">
        <v>0</v>
      </c>
      <c r="BL170" s="510">
        <v>0</v>
      </c>
      <c r="BM170" s="510">
        <v>0</v>
      </c>
      <c r="BN170" s="510">
        <v>4000</v>
      </c>
      <c r="BO170" s="510">
        <v>0</v>
      </c>
      <c r="BP170" s="510">
        <v>0</v>
      </c>
      <c r="BQ170" s="510">
        <v>0</v>
      </c>
      <c r="BR170" s="510">
        <v>0</v>
      </c>
      <c r="BS170" s="510">
        <v>0</v>
      </c>
      <c r="BT170" s="510">
        <v>0</v>
      </c>
      <c r="BU170" s="510">
        <v>0</v>
      </c>
      <c r="BV170" s="510">
        <v>0</v>
      </c>
      <c r="BW170" s="510">
        <v>0</v>
      </c>
      <c r="BX170" s="510">
        <v>30000</v>
      </c>
      <c r="BY170" s="1011">
        <v>0</v>
      </c>
      <c r="BZ170" s="510">
        <v>0</v>
      </c>
      <c r="CA170" s="1011">
        <v>0</v>
      </c>
      <c r="CB170" s="510">
        <v>0</v>
      </c>
      <c r="CC170" s="1011">
        <v>0</v>
      </c>
      <c r="CD170" s="510">
        <v>0</v>
      </c>
      <c r="CE170" s="1011">
        <v>0</v>
      </c>
      <c r="CF170" s="510">
        <v>48451.199999999997</v>
      </c>
      <c r="CG170" s="1011">
        <v>0</v>
      </c>
      <c r="CH170" s="510">
        <v>0</v>
      </c>
      <c r="CI170" s="1011">
        <v>0</v>
      </c>
    </row>
    <row r="171" spans="1:87" ht="12.75" customHeight="1" x14ac:dyDescent="0.2">
      <c r="A171" s="449">
        <v>144</v>
      </c>
      <c r="B171" s="453">
        <v>19200</v>
      </c>
      <c r="C171" s="454" t="s">
        <v>2751</v>
      </c>
      <c r="D171" s="454" t="s">
        <v>1390</v>
      </c>
      <c r="E171" s="454" t="s">
        <v>2752</v>
      </c>
      <c r="F171" s="454" t="s">
        <v>520</v>
      </c>
      <c r="G171" s="454" t="s">
        <v>12603</v>
      </c>
      <c r="H171" s="455">
        <v>7334135000132</v>
      </c>
      <c r="I171" s="462">
        <v>38401</v>
      </c>
      <c r="J171" s="457">
        <v>37629751</v>
      </c>
      <c r="K171" s="454" t="s">
        <v>2753</v>
      </c>
      <c r="L171" s="458">
        <v>561</v>
      </c>
      <c r="M171" s="454" t="s">
        <v>2754</v>
      </c>
      <c r="N171" s="459">
        <v>4963160</v>
      </c>
      <c r="O171" s="460">
        <v>58966272</v>
      </c>
      <c r="P171" s="462">
        <v>306056</v>
      </c>
      <c r="Q171" s="462">
        <v>79</v>
      </c>
      <c r="R171" s="462">
        <v>43979</v>
      </c>
      <c r="S171" s="463">
        <v>349</v>
      </c>
      <c r="T171" s="464">
        <v>3.6</v>
      </c>
      <c r="U171" s="465">
        <v>1256.4000000000001</v>
      </c>
      <c r="V171" s="465">
        <v>13680</v>
      </c>
      <c r="W171" s="466">
        <v>0</v>
      </c>
      <c r="X171" s="467">
        <v>1</v>
      </c>
      <c r="Y171" s="466">
        <v>22404.6</v>
      </c>
      <c r="Z171" s="468" t="s">
        <v>516</v>
      </c>
      <c r="AA171" s="466">
        <v>97637.4</v>
      </c>
      <c r="AB171" s="466">
        <v>97637.4</v>
      </c>
      <c r="AC171" s="467">
        <v>0</v>
      </c>
      <c r="AD171" s="466">
        <v>0</v>
      </c>
      <c r="AE171" s="468" t="s">
        <v>516</v>
      </c>
      <c r="AF171" s="466">
        <v>0</v>
      </c>
      <c r="AG171" s="466">
        <v>0</v>
      </c>
      <c r="AH171" s="466">
        <v>24623.86</v>
      </c>
      <c r="AI171" s="466">
        <v>6458.68</v>
      </c>
      <c r="AJ171" s="469" t="s">
        <v>2755</v>
      </c>
      <c r="AK171" s="470" t="s">
        <v>2756</v>
      </c>
      <c r="AL171" s="471" t="s">
        <v>2757</v>
      </c>
      <c r="AM171" s="470" t="s">
        <v>12604</v>
      </c>
      <c r="AN171" s="470" t="s">
        <v>2758</v>
      </c>
      <c r="AO171" s="470" t="s">
        <v>2759</v>
      </c>
      <c r="AP171" s="470" t="s">
        <v>2760</v>
      </c>
      <c r="AQ171" s="470" t="s">
        <v>2751</v>
      </c>
      <c r="AR171" s="472" t="s">
        <v>515</v>
      </c>
      <c r="AS171" s="473" t="s">
        <v>1385</v>
      </c>
      <c r="AT171" s="472" t="s">
        <v>1390</v>
      </c>
      <c r="AU171" s="472" t="s">
        <v>420</v>
      </c>
      <c r="AV171" s="472">
        <v>2020</v>
      </c>
      <c r="AW171" s="474" t="s">
        <v>15078</v>
      </c>
      <c r="AX171" s="475" t="s">
        <v>15079</v>
      </c>
      <c r="AY171" s="515">
        <v>1</v>
      </c>
      <c r="AZ171" s="474" t="s">
        <v>15079</v>
      </c>
      <c r="BA171" s="472" t="s">
        <v>1390</v>
      </c>
      <c r="BB171" s="472" t="s">
        <v>1385</v>
      </c>
      <c r="BC171" s="472" t="s">
        <v>1385</v>
      </c>
      <c r="BD171" s="472" t="s">
        <v>1385</v>
      </c>
      <c r="BE171" s="472" t="s">
        <v>1385</v>
      </c>
      <c r="BF171" s="472">
        <v>22404.6</v>
      </c>
      <c r="BG171" s="472">
        <v>0</v>
      </c>
      <c r="BH171" s="472" t="s">
        <v>1385</v>
      </c>
      <c r="BI171" s="510">
        <v>0</v>
      </c>
      <c r="BJ171" s="510">
        <v>17461.2</v>
      </c>
      <c r="BK171" s="510">
        <v>0</v>
      </c>
      <c r="BL171" s="510">
        <v>0</v>
      </c>
      <c r="BM171" s="510">
        <v>0</v>
      </c>
      <c r="BN171" s="510">
        <v>3500</v>
      </c>
      <c r="BO171" s="510">
        <v>0</v>
      </c>
      <c r="BP171" s="510">
        <v>0</v>
      </c>
      <c r="BQ171" s="510">
        <v>0</v>
      </c>
      <c r="BR171" s="510">
        <v>0</v>
      </c>
      <c r="BS171" s="510">
        <v>0</v>
      </c>
      <c r="BT171" s="510">
        <v>0</v>
      </c>
      <c r="BU171" s="510">
        <v>0</v>
      </c>
      <c r="BV171" s="510">
        <v>0</v>
      </c>
      <c r="BW171" s="510">
        <v>0</v>
      </c>
      <c r="BX171" s="510">
        <v>30000</v>
      </c>
      <c r="BY171" s="1011">
        <v>0</v>
      </c>
      <c r="BZ171" s="510">
        <v>0</v>
      </c>
      <c r="CA171" s="1011">
        <v>0</v>
      </c>
      <c r="CB171" s="510">
        <v>0</v>
      </c>
      <c r="CC171" s="1011">
        <v>0</v>
      </c>
      <c r="CD171" s="510">
        <v>0</v>
      </c>
      <c r="CE171" s="1011">
        <v>0</v>
      </c>
      <c r="CF171" s="510">
        <v>45232.800000000003</v>
      </c>
      <c r="CG171" s="1011">
        <v>0</v>
      </c>
      <c r="CH171" s="510">
        <v>0</v>
      </c>
      <c r="CI171" s="1011">
        <v>0</v>
      </c>
    </row>
    <row r="172" spans="1:87" ht="12.75" customHeight="1" x14ac:dyDescent="0.2">
      <c r="A172" s="449">
        <v>114</v>
      </c>
      <c r="B172" s="453">
        <v>19201</v>
      </c>
      <c r="C172" s="454" t="s">
        <v>2761</v>
      </c>
      <c r="D172" s="454" t="s">
        <v>1390</v>
      </c>
      <c r="E172" s="454" t="s">
        <v>2762</v>
      </c>
      <c r="F172" s="454" t="s">
        <v>526</v>
      </c>
      <c r="G172" s="454" t="s">
        <v>12605</v>
      </c>
      <c r="H172" s="455">
        <v>5979916000159</v>
      </c>
      <c r="I172" s="462">
        <v>37747</v>
      </c>
      <c r="J172" s="457">
        <v>37476890</v>
      </c>
      <c r="K172" s="454" t="s">
        <v>2763</v>
      </c>
      <c r="L172" s="458">
        <v>35</v>
      </c>
      <c r="M172" s="454" t="s">
        <v>1888</v>
      </c>
      <c r="N172" s="459">
        <v>8180010</v>
      </c>
      <c r="O172" s="460">
        <v>25851610</v>
      </c>
      <c r="P172" s="462">
        <v>123148</v>
      </c>
      <c r="Q172" s="462">
        <v>114</v>
      </c>
      <c r="R172" s="462">
        <v>43928</v>
      </c>
      <c r="S172" s="463">
        <v>490</v>
      </c>
      <c r="T172" s="464">
        <v>3.6</v>
      </c>
      <c r="U172" s="465">
        <v>1764</v>
      </c>
      <c r="V172" s="465">
        <v>15120</v>
      </c>
      <c r="W172" s="466">
        <v>0</v>
      </c>
      <c r="X172" s="467">
        <v>1</v>
      </c>
      <c r="Y172" s="466">
        <v>25326</v>
      </c>
      <c r="Z172" s="468" t="s">
        <v>516</v>
      </c>
      <c r="AA172" s="466">
        <v>108312.4</v>
      </c>
      <c r="AB172" s="466">
        <v>108312.4</v>
      </c>
      <c r="AC172" s="467">
        <v>0</v>
      </c>
      <c r="AD172" s="466">
        <v>0</v>
      </c>
      <c r="AE172" s="468" t="s">
        <v>516</v>
      </c>
      <c r="AF172" s="466">
        <v>1000</v>
      </c>
      <c r="AG172" s="466">
        <v>1000</v>
      </c>
      <c r="AH172" s="466">
        <v>16558.39</v>
      </c>
      <c r="AI172" s="466">
        <v>526.79999999999995</v>
      </c>
      <c r="AJ172" s="469" t="s">
        <v>2764</v>
      </c>
      <c r="AK172" s="470" t="s">
        <v>2765</v>
      </c>
      <c r="AL172" s="471" t="s">
        <v>2766</v>
      </c>
      <c r="AM172" s="470" t="s">
        <v>2767</v>
      </c>
      <c r="AN172" s="470" t="s">
        <v>1385</v>
      </c>
      <c r="AO172" s="470" t="s">
        <v>12606</v>
      </c>
      <c r="AP172" s="470" t="s">
        <v>2768</v>
      </c>
      <c r="AQ172" s="470" t="s">
        <v>2761</v>
      </c>
      <c r="AR172" s="472" t="s">
        <v>515</v>
      </c>
      <c r="AS172" s="473" t="s">
        <v>1385</v>
      </c>
      <c r="AT172" s="472" t="s">
        <v>1390</v>
      </c>
      <c r="AU172" s="472" t="s">
        <v>420</v>
      </c>
      <c r="AV172" s="472">
        <v>2020</v>
      </c>
      <c r="AW172" s="474" t="s">
        <v>15078</v>
      </c>
      <c r="AX172" s="475" t="s">
        <v>15079</v>
      </c>
      <c r="AY172" s="515">
        <v>1</v>
      </c>
      <c r="AZ172" s="474" t="s">
        <v>15079</v>
      </c>
      <c r="BA172" s="472" t="s">
        <v>1390</v>
      </c>
      <c r="BB172" s="472" t="s">
        <v>1385</v>
      </c>
      <c r="BC172" s="472" t="s">
        <v>1385</v>
      </c>
      <c r="BD172" s="472" t="s">
        <v>1385</v>
      </c>
      <c r="BE172" s="472" t="s">
        <v>1385</v>
      </c>
      <c r="BF172" s="472">
        <v>25326</v>
      </c>
      <c r="BG172" s="472">
        <v>0</v>
      </c>
      <c r="BH172" s="472" t="s">
        <v>1385</v>
      </c>
      <c r="BI172" s="510">
        <v>0</v>
      </c>
      <c r="BJ172" s="510">
        <v>0</v>
      </c>
      <c r="BK172" s="510">
        <v>0</v>
      </c>
      <c r="BL172" s="510">
        <v>0</v>
      </c>
      <c r="BM172" s="510">
        <v>0</v>
      </c>
      <c r="BN172" s="510">
        <v>4000</v>
      </c>
      <c r="BO172" s="510">
        <v>1000</v>
      </c>
      <c r="BP172" s="510">
        <v>1000</v>
      </c>
      <c r="BQ172" s="510">
        <v>0</v>
      </c>
      <c r="BR172" s="510">
        <v>0</v>
      </c>
      <c r="BS172" s="510">
        <v>0</v>
      </c>
      <c r="BT172" s="510">
        <v>0</v>
      </c>
      <c r="BU172" s="510">
        <v>0</v>
      </c>
      <c r="BV172" s="510">
        <v>0</v>
      </c>
      <c r="BW172" s="510">
        <v>0</v>
      </c>
      <c r="BX172" s="510">
        <v>30000</v>
      </c>
      <c r="BY172" s="1011">
        <v>0</v>
      </c>
      <c r="BZ172" s="510">
        <v>0</v>
      </c>
      <c r="CA172" s="1011">
        <v>0</v>
      </c>
      <c r="CB172" s="510">
        <v>0</v>
      </c>
      <c r="CC172" s="1011">
        <v>0</v>
      </c>
      <c r="CD172" s="510">
        <v>0</v>
      </c>
      <c r="CE172" s="1011">
        <v>0</v>
      </c>
      <c r="CF172" s="510">
        <v>51986.400000000001</v>
      </c>
      <c r="CG172" s="1011">
        <v>0</v>
      </c>
      <c r="CH172" s="510">
        <v>0</v>
      </c>
      <c r="CI172" s="1011">
        <v>0</v>
      </c>
    </row>
    <row r="173" spans="1:87" ht="12.75" customHeight="1" x14ac:dyDescent="0.2">
      <c r="A173" s="449">
        <v>109</v>
      </c>
      <c r="B173" s="453">
        <v>19202</v>
      </c>
      <c r="C173" s="454" t="s">
        <v>2769</v>
      </c>
      <c r="D173" s="454" t="s">
        <v>1390</v>
      </c>
      <c r="E173" s="454" t="s">
        <v>2770</v>
      </c>
      <c r="F173" s="454" t="s">
        <v>528</v>
      </c>
      <c r="G173" s="454" t="s">
        <v>12607</v>
      </c>
      <c r="H173" s="455">
        <v>5058252000195</v>
      </c>
      <c r="I173" s="462">
        <v>37389</v>
      </c>
      <c r="J173" s="457">
        <v>37382519</v>
      </c>
      <c r="K173" s="454" t="s">
        <v>2771</v>
      </c>
      <c r="L173" s="458">
        <v>67</v>
      </c>
      <c r="M173" s="454" t="s">
        <v>1728</v>
      </c>
      <c r="N173" s="459">
        <v>5182210</v>
      </c>
      <c r="O173" s="460">
        <v>39419699</v>
      </c>
      <c r="P173" s="462">
        <v>258531</v>
      </c>
      <c r="Q173" s="462">
        <v>109</v>
      </c>
      <c r="R173" s="462">
        <v>43938</v>
      </c>
      <c r="S173" s="463">
        <v>449</v>
      </c>
      <c r="T173" s="464">
        <v>3.6</v>
      </c>
      <c r="U173" s="465">
        <v>1616.4</v>
      </c>
      <c r="V173" s="465">
        <v>15120</v>
      </c>
      <c r="W173" s="466">
        <v>0</v>
      </c>
      <c r="X173" s="467">
        <v>1</v>
      </c>
      <c r="Y173" s="466">
        <v>25104.6</v>
      </c>
      <c r="Z173" s="468" t="s">
        <v>516</v>
      </c>
      <c r="AA173" s="466">
        <v>103714.2</v>
      </c>
      <c r="AB173" s="466">
        <v>103714.2</v>
      </c>
      <c r="AC173" s="467">
        <v>0</v>
      </c>
      <c r="AD173" s="466">
        <v>0</v>
      </c>
      <c r="AE173" s="468" t="s">
        <v>516</v>
      </c>
      <c r="AF173" s="466">
        <v>0</v>
      </c>
      <c r="AG173" s="466">
        <v>0</v>
      </c>
      <c r="AH173" s="466">
        <v>15833.33</v>
      </c>
      <c r="AI173" s="466">
        <v>8081.79</v>
      </c>
      <c r="AJ173" s="469" t="s">
        <v>1571</v>
      </c>
      <c r="AK173" s="470" t="s">
        <v>528</v>
      </c>
      <c r="AL173" s="471" t="s">
        <v>2772</v>
      </c>
      <c r="AM173" s="470" t="s">
        <v>2773</v>
      </c>
      <c r="AN173" s="470" t="s">
        <v>2774</v>
      </c>
      <c r="AO173" s="470" t="s">
        <v>12608</v>
      </c>
      <c r="AP173" s="470" t="s">
        <v>2775</v>
      </c>
      <c r="AQ173" s="470" t="s">
        <v>2769</v>
      </c>
      <c r="AR173" s="472" t="s">
        <v>515</v>
      </c>
      <c r="AS173" s="473" t="s">
        <v>1385</v>
      </c>
      <c r="AT173" s="472" t="s">
        <v>1390</v>
      </c>
      <c r="AU173" s="472" t="s">
        <v>420</v>
      </c>
      <c r="AV173" s="472">
        <v>2020</v>
      </c>
      <c r="AW173" s="474" t="s">
        <v>15078</v>
      </c>
      <c r="AX173" s="475" t="s">
        <v>15079</v>
      </c>
      <c r="AY173" s="515">
        <v>1</v>
      </c>
      <c r="AZ173" s="474" t="s">
        <v>15079</v>
      </c>
      <c r="BA173" s="472" t="s">
        <v>1390</v>
      </c>
      <c r="BB173" s="472" t="s">
        <v>1385</v>
      </c>
      <c r="BC173" s="472" t="s">
        <v>1385</v>
      </c>
      <c r="BD173" s="472" t="s">
        <v>1385</v>
      </c>
      <c r="BE173" s="472" t="s">
        <v>1385</v>
      </c>
      <c r="BF173" s="509">
        <v>25104.6</v>
      </c>
      <c r="BG173" s="509">
        <v>0</v>
      </c>
      <c r="BH173" s="472" t="s">
        <v>1385</v>
      </c>
      <c r="BI173" s="510">
        <v>0</v>
      </c>
      <c r="BJ173" s="510">
        <v>0</v>
      </c>
      <c r="BK173" s="510">
        <v>0</v>
      </c>
      <c r="BL173" s="510">
        <v>0</v>
      </c>
      <c r="BM173" s="510">
        <v>0</v>
      </c>
      <c r="BN173" s="510">
        <v>4000</v>
      </c>
      <c r="BO173" s="510">
        <v>0</v>
      </c>
      <c r="BP173" s="510">
        <v>0</v>
      </c>
      <c r="BQ173" s="510">
        <v>0</v>
      </c>
      <c r="BR173" s="510">
        <v>0</v>
      </c>
      <c r="BS173" s="510">
        <v>0</v>
      </c>
      <c r="BT173" s="510">
        <v>0</v>
      </c>
      <c r="BU173" s="510">
        <v>0</v>
      </c>
      <c r="BV173" s="510">
        <v>0</v>
      </c>
      <c r="BW173" s="510">
        <v>0</v>
      </c>
      <c r="BX173" s="510">
        <v>30000</v>
      </c>
      <c r="BY173" s="1011">
        <v>0</v>
      </c>
      <c r="BZ173" s="510">
        <v>0</v>
      </c>
      <c r="CA173" s="1011">
        <v>0</v>
      </c>
      <c r="CB173" s="510">
        <v>0</v>
      </c>
      <c r="CC173" s="1011">
        <v>0</v>
      </c>
      <c r="CD173" s="510">
        <v>0</v>
      </c>
      <c r="CE173" s="1011">
        <v>0</v>
      </c>
      <c r="CF173" s="510">
        <v>48609.599999999999</v>
      </c>
      <c r="CG173" s="1011">
        <v>0</v>
      </c>
      <c r="CH173" s="510">
        <v>0</v>
      </c>
      <c r="CI173" s="1011">
        <v>0</v>
      </c>
    </row>
    <row r="174" spans="1:87" ht="12.75" customHeight="1" x14ac:dyDescent="0.2">
      <c r="A174" s="449">
        <v>105</v>
      </c>
      <c r="B174" s="453">
        <v>19203</v>
      </c>
      <c r="C174" s="454" t="s">
        <v>2776</v>
      </c>
      <c r="D174" s="454" t="s">
        <v>1390</v>
      </c>
      <c r="E174" s="454" t="s">
        <v>2777</v>
      </c>
      <c r="F174" s="454" t="s">
        <v>528</v>
      </c>
      <c r="G174" s="454" t="s">
        <v>12609</v>
      </c>
      <c r="H174" s="455">
        <v>5101775000177</v>
      </c>
      <c r="I174" s="462">
        <v>37391</v>
      </c>
      <c r="J174" s="457">
        <v>37380281</v>
      </c>
      <c r="K174" s="454" t="s">
        <v>2779</v>
      </c>
      <c r="L174" s="458" t="s">
        <v>1446</v>
      </c>
      <c r="M174" s="454" t="s">
        <v>2780</v>
      </c>
      <c r="N174" s="459">
        <v>5142100</v>
      </c>
      <c r="O174" s="460">
        <v>38320212</v>
      </c>
      <c r="P174" s="462">
        <v>254552</v>
      </c>
      <c r="Q174" s="462">
        <v>105</v>
      </c>
      <c r="R174" s="462">
        <v>43938</v>
      </c>
      <c r="S174" s="463">
        <v>270</v>
      </c>
      <c r="T174" s="464">
        <v>3.6</v>
      </c>
      <c r="U174" s="465">
        <v>972</v>
      </c>
      <c r="V174" s="465">
        <v>12240</v>
      </c>
      <c r="W174" s="466">
        <v>0</v>
      </c>
      <c r="X174" s="467">
        <v>1</v>
      </c>
      <c r="Y174" s="466">
        <v>19818</v>
      </c>
      <c r="Z174" s="468" t="s">
        <v>516</v>
      </c>
      <c r="AA174" s="466">
        <v>91040.4</v>
      </c>
      <c r="AB174" s="466">
        <v>91040.4</v>
      </c>
      <c r="AC174" s="467">
        <v>0</v>
      </c>
      <c r="AD174" s="466">
        <v>0</v>
      </c>
      <c r="AE174" s="468" t="s">
        <v>516</v>
      </c>
      <c r="AF174" s="466">
        <v>0</v>
      </c>
      <c r="AG174" s="466">
        <v>0</v>
      </c>
      <c r="AH174" s="466">
        <v>27004.35</v>
      </c>
      <c r="AI174" s="466">
        <v>12326.74</v>
      </c>
      <c r="AJ174" s="469" t="s">
        <v>1571</v>
      </c>
      <c r="AK174" s="470" t="s">
        <v>528</v>
      </c>
      <c r="AL174" s="471" t="s">
        <v>2781</v>
      </c>
      <c r="AM174" s="470" t="s">
        <v>2782</v>
      </c>
      <c r="AN174" s="470" t="s">
        <v>2778</v>
      </c>
      <c r="AO174" s="470" t="s">
        <v>12610</v>
      </c>
      <c r="AP174" s="470" t="s">
        <v>2780</v>
      </c>
      <c r="AQ174" s="470" t="s">
        <v>2776</v>
      </c>
      <c r="AR174" s="472" t="s">
        <v>515</v>
      </c>
      <c r="AS174" s="473" t="s">
        <v>1385</v>
      </c>
      <c r="AT174" s="472" t="s">
        <v>1390</v>
      </c>
      <c r="AU174" s="472" t="s">
        <v>420</v>
      </c>
      <c r="AV174" s="472">
        <v>2020</v>
      </c>
      <c r="AW174" s="474" t="s">
        <v>15078</v>
      </c>
      <c r="AX174" s="475" t="s">
        <v>15079</v>
      </c>
      <c r="AY174" s="515">
        <v>1</v>
      </c>
      <c r="AZ174" s="474" t="s">
        <v>15079</v>
      </c>
      <c r="BA174" s="472" t="s">
        <v>1390</v>
      </c>
      <c r="BB174" s="472" t="s">
        <v>1385</v>
      </c>
      <c r="BC174" s="472" t="s">
        <v>1385</v>
      </c>
      <c r="BD174" s="472" t="s">
        <v>1385</v>
      </c>
      <c r="BE174" s="472" t="s">
        <v>1385</v>
      </c>
      <c r="BF174" s="472">
        <v>19818</v>
      </c>
      <c r="BG174" s="472">
        <v>0</v>
      </c>
      <c r="BH174" s="472" t="s">
        <v>1385</v>
      </c>
      <c r="BI174" s="510">
        <v>0</v>
      </c>
      <c r="BJ174" s="510">
        <v>0</v>
      </c>
      <c r="BK174" s="510">
        <v>0</v>
      </c>
      <c r="BL174" s="510">
        <v>0</v>
      </c>
      <c r="BM174" s="510">
        <v>0</v>
      </c>
      <c r="BN174" s="510">
        <v>3500</v>
      </c>
      <c r="BO174" s="510">
        <v>0</v>
      </c>
      <c r="BP174" s="510">
        <v>0</v>
      </c>
      <c r="BQ174" s="510">
        <v>0</v>
      </c>
      <c r="BR174" s="510">
        <v>0</v>
      </c>
      <c r="BS174" s="510">
        <v>0</v>
      </c>
      <c r="BT174" s="510">
        <v>0</v>
      </c>
      <c r="BU174" s="510">
        <v>0</v>
      </c>
      <c r="BV174" s="510">
        <v>0</v>
      </c>
      <c r="BW174" s="510">
        <v>0</v>
      </c>
      <c r="BX174" s="510">
        <v>30000</v>
      </c>
      <c r="BY174" s="1011">
        <v>0</v>
      </c>
      <c r="BZ174" s="510">
        <v>0</v>
      </c>
      <c r="CA174" s="1011">
        <v>0</v>
      </c>
      <c r="CB174" s="510">
        <v>0</v>
      </c>
      <c r="CC174" s="1011">
        <v>0</v>
      </c>
      <c r="CD174" s="510">
        <v>0</v>
      </c>
      <c r="CE174" s="1011">
        <v>0</v>
      </c>
      <c r="CF174" s="510">
        <v>41222.400000000001</v>
      </c>
      <c r="CG174" s="1011">
        <v>0</v>
      </c>
      <c r="CH174" s="510">
        <v>0</v>
      </c>
      <c r="CI174" s="1011">
        <v>0</v>
      </c>
    </row>
    <row r="175" spans="1:87" ht="12.75" customHeight="1" x14ac:dyDescent="0.2">
      <c r="A175" s="449">
        <v>148</v>
      </c>
      <c r="B175" s="453">
        <v>19204</v>
      </c>
      <c r="C175" s="454" t="s">
        <v>2783</v>
      </c>
      <c r="D175" s="454" t="s">
        <v>1390</v>
      </c>
      <c r="E175" s="454" t="s">
        <v>2783</v>
      </c>
      <c r="F175" s="454" t="s">
        <v>520</v>
      </c>
      <c r="G175" s="454" t="s">
        <v>12611</v>
      </c>
      <c r="H175" s="455">
        <v>5460005000110</v>
      </c>
      <c r="I175" s="462">
        <v>37594</v>
      </c>
      <c r="J175" s="457">
        <v>37753193</v>
      </c>
      <c r="K175" s="454" t="s">
        <v>1655</v>
      </c>
      <c r="L175" s="458">
        <v>18</v>
      </c>
      <c r="M175" s="454" t="s">
        <v>1656</v>
      </c>
      <c r="N175" s="459">
        <v>4953040</v>
      </c>
      <c r="O175" s="460">
        <v>58955449</v>
      </c>
      <c r="P175" s="462">
        <v>306528</v>
      </c>
      <c r="Q175" s="462">
        <v>83</v>
      </c>
      <c r="R175" s="462">
        <v>43969</v>
      </c>
      <c r="S175" s="463">
        <v>512</v>
      </c>
      <c r="T175" s="464">
        <v>3.6</v>
      </c>
      <c r="U175" s="465">
        <v>1843.2</v>
      </c>
      <c r="V175" s="465">
        <v>16560</v>
      </c>
      <c r="W175" s="466">
        <v>0</v>
      </c>
      <c r="X175" s="467">
        <v>1</v>
      </c>
      <c r="Y175" s="466">
        <v>27604.799999999999</v>
      </c>
      <c r="Z175" s="468" t="s">
        <v>516</v>
      </c>
      <c r="AA175" s="466">
        <v>109591.2</v>
      </c>
      <c r="AB175" s="466">
        <v>109591.2</v>
      </c>
      <c r="AC175" s="467">
        <v>0</v>
      </c>
      <c r="AD175" s="466">
        <v>0</v>
      </c>
      <c r="AE175" s="468" t="s">
        <v>516</v>
      </c>
      <c r="AF175" s="466">
        <v>0</v>
      </c>
      <c r="AG175" s="466">
        <v>0</v>
      </c>
      <c r="AH175" s="466">
        <v>21549.5</v>
      </c>
      <c r="AI175" s="466">
        <v>1298.92</v>
      </c>
      <c r="AJ175" s="469" t="s">
        <v>1489</v>
      </c>
      <c r="AK175" s="470" t="s">
        <v>520</v>
      </c>
      <c r="AL175" s="471" t="s">
        <v>2784</v>
      </c>
      <c r="AM175" s="470" t="s">
        <v>12612</v>
      </c>
      <c r="AN175" s="470" t="s">
        <v>2785</v>
      </c>
      <c r="AO175" s="470" t="s">
        <v>2786</v>
      </c>
      <c r="AP175" s="470" t="s">
        <v>2787</v>
      </c>
      <c r="AQ175" s="470" t="s">
        <v>2783</v>
      </c>
      <c r="AR175" s="472" t="s">
        <v>515</v>
      </c>
      <c r="AS175" s="473" t="s">
        <v>1385</v>
      </c>
      <c r="AT175" s="472" t="s">
        <v>1390</v>
      </c>
      <c r="AU175" s="472" t="s">
        <v>420</v>
      </c>
      <c r="AV175" s="472">
        <v>2020</v>
      </c>
      <c r="AW175" s="474" t="s">
        <v>15078</v>
      </c>
      <c r="AX175" s="475" t="s">
        <v>15079</v>
      </c>
      <c r="AY175" s="515">
        <v>1</v>
      </c>
      <c r="AZ175" s="474" t="s">
        <v>15079</v>
      </c>
      <c r="BA175" s="472" t="s">
        <v>1390</v>
      </c>
      <c r="BB175" s="472" t="s">
        <v>1385</v>
      </c>
      <c r="BC175" s="472" t="s">
        <v>1385</v>
      </c>
      <c r="BD175" s="472" t="s">
        <v>1385</v>
      </c>
      <c r="BE175" s="472" t="s">
        <v>1385</v>
      </c>
      <c r="BF175" s="472">
        <v>27604.799999999999</v>
      </c>
      <c r="BG175" s="472">
        <v>0</v>
      </c>
      <c r="BH175" s="472" t="s">
        <v>1385</v>
      </c>
      <c r="BI175" s="510">
        <v>0</v>
      </c>
      <c r="BJ175" s="510">
        <v>0</v>
      </c>
      <c r="BK175" s="510">
        <v>0</v>
      </c>
      <c r="BL175" s="510">
        <v>0</v>
      </c>
      <c r="BM175" s="510">
        <v>0</v>
      </c>
      <c r="BN175" s="510">
        <v>4000</v>
      </c>
      <c r="BO175" s="510">
        <v>0</v>
      </c>
      <c r="BP175" s="510">
        <v>0</v>
      </c>
      <c r="BQ175" s="510">
        <v>0</v>
      </c>
      <c r="BR175" s="510">
        <v>0</v>
      </c>
      <c r="BS175" s="510">
        <v>0</v>
      </c>
      <c r="BT175" s="510">
        <v>0</v>
      </c>
      <c r="BU175" s="510">
        <v>0</v>
      </c>
      <c r="BV175" s="510">
        <v>0</v>
      </c>
      <c r="BW175" s="510">
        <v>0</v>
      </c>
      <c r="BX175" s="510">
        <v>30000</v>
      </c>
      <c r="BY175" s="1011">
        <v>0</v>
      </c>
      <c r="BZ175" s="510">
        <v>0</v>
      </c>
      <c r="CA175" s="1011">
        <v>0</v>
      </c>
      <c r="CB175" s="510">
        <v>0</v>
      </c>
      <c r="CC175" s="1011">
        <v>0</v>
      </c>
      <c r="CD175" s="510">
        <v>0</v>
      </c>
      <c r="CE175" s="1011">
        <v>0</v>
      </c>
      <c r="CF175" s="510">
        <v>51986.400000000001</v>
      </c>
      <c r="CG175" s="1011">
        <v>0</v>
      </c>
      <c r="CH175" s="510">
        <v>0</v>
      </c>
      <c r="CI175" s="1011">
        <v>0</v>
      </c>
    </row>
    <row r="176" spans="1:87" ht="12.75" customHeight="1" x14ac:dyDescent="0.2">
      <c r="A176" s="449">
        <v>106</v>
      </c>
      <c r="B176" s="453">
        <v>19205</v>
      </c>
      <c r="C176" s="454" t="s">
        <v>2788</v>
      </c>
      <c r="D176" s="454" t="s">
        <v>1390</v>
      </c>
      <c r="E176" s="454" t="s">
        <v>2789</v>
      </c>
      <c r="F176" s="454" t="s">
        <v>528</v>
      </c>
      <c r="G176" s="454" t="s">
        <v>12613</v>
      </c>
      <c r="H176" s="455">
        <v>5112221000175</v>
      </c>
      <c r="I176" s="462">
        <v>38533</v>
      </c>
      <c r="J176" s="457">
        <v>37587196</v>
      </c>
      <c r="K176" s="454" t="s">
        <v>2790</v>
      </c>
      <c r="L176" s="458" t="s">
        <v>1446</v>
      </c>
      <c r="M176" s="454" t="s">
        <v>2791</v>
      </c>
      <c r="N176" s="459">
        <v>5272005</v>
      </c>
      <c r="O176" s="460">
        <v>39117589</v>
      </c>
      <c r="P176" s="462">
        <v>254579</v>
      </c>
      <c r="Q176" s="462">
        <v>106</v>
      </c>
      <c r="R176" s="462">
        <v>43938</v>
      </c>
      <c r="S176" s="463">
        <v>413</v>
      </c>
      <c r="T176" s="464">
        <v>3.6</v>
      </c>
      <c r="U176" s="465">
        <v>1486.8</v>
      </c>
      <c r="V176" s="465">
        <v>15120</v>
      </c>
      <c r="W176" s="466">
        <v>0</v>
      </c>
      <c r="X176" s="467">
        <v>1</v>
      </c>
      <c r="Y176" s="466">
        <v>24910.2</v>
      </c>
      <c r="Z176" s="468" t="s">
        <v>516</v>
      </c>
      <c r="AA176" s="466">
        <v>103174.2</v>
      </c>
      <c r="AB176" s="466">
        <v>103174.2</v>
      </c>
      <c r="AC176" s="467">
        <v>0</v>
      </c>
      <c r="AD176" s="466">
        <v>0</v>
      </c>
      <c r="AE176" s="468" t="s">
        <v>516</v>
      </c>
      <c r="AF176" s="466">
        <v>0</v>
      </c>
      <c r="AG176" s="466">
        <v>0</v>
      </c>
      <c r="AH176" s="466">
        <v>17591.740000000002</v>
      </c>
      <c r="AI176" s="466">
        <v>10583.65</v>
      </c>
      <c r="AJ176" s="469" t="s">
        <v>2792</v>
      </c>
      <c r="AK176" s="470" t="s">
        <v>2793</v>
      </c>
      <c r="AL176" s="471" t="s">
        <v>2794</v>
      </c>
      <c r="AM176" s="470" t="s">
        <v>12614</v>
      </c>
      <c r="AN176" s="470" t="s">
        <v>2795</v>
      </c>
      <c r="AO176" s="470" t="s">
        <v>12615</v>
      </c>
      <c r="AP176" s="470" t="s">
        <v>2791</v>
      </c>
      <c r="AQ176" s="470" t="s">
        <v>2788</v>
      </c>
      <c r="AR176" s="472" t="s">
        <v>515</v>
      </c>
      <c r="AS176" s="473" t="s">
        <v>1385</v>
      </c>
      <c r="AT176" s="472" t="s">
        <v>1390</v>
      </c>
      <c r="AU176" s="472" t="s">
        <v>420</v>
      </c>
      <c r="AV176" s="472">
        <v>2020</v>
      </c>
      <c r="AW176" s="474" t="s">
        <v>15078</v>
      </c>
      <c r="AX176" s="475" t="s">
        <v>15079</v>
      </c>
      <c r="AY176" s="515">
        <v>1</v>
      </c>
      <c r="AZ176" s="474" t="s">
        <v>15079</v>
      </c>
      <c r="BA176" s="472" t="s">
        <v>1390</v>
      </c>
      <c r="BB176" s="472" t="s">
        <v>1385</v>
      </c>
      <c r="BC176" s="472" t="s">
        <v>1385</v>
      </c>
      <c r="BD176" s="472" t="s">
        <v>1385</v>
      </c>
      <c r="BE176" s="472" t="s">
        <v>1385</v>
      </c>
      <c r="BF176" s="472">
        <v>24910.2</v>
      </c>
      <c r="BG176" s="472">
        <v>0</v>
      </c>
      <c r="BH176" s="472" t="s">
        <v>1385</v>
      </c>
      <c r="BI176" s="510">
        <v>0</v>
      </c>
      <c r="BJ176" s="510">
        <v>1052.2</v>
      </c>
      <c r="BK176" s="510">
        <v>0</v>
      </c>
      <c r="BL176" s="510">
        <v>0</v>
      </c>
      <c r="BM176" s="510">
        <v>0</v>
      </c>
      <c r="BN176" s="510">
        <v>4000</v>
      </c>
      <c r="BO176" s="510">
        <v>0</v>
      </c>
      <c r="BP176" s="510">
        <v>0</v>
      </c>
      <c r="BQ176" s="510">
        <v>0</v>
      </c>
      <c r="BR176" s="510">
        <v>0</v>
      </c>
      <c r="BS176" s="510">
        <v>0</v>
      </c>
      <c r="BT176" s="510">
        <v>0</v>
      </c>
      <c r="BU176" s="510">
        <v>0</v>
      </c>
      <c r="BV176" s="510">
        <v>0</v>
      </c>
      <c r="BW176" s="510">
        <v>0</v>
      </c>
      <c r="BX176" s="510">
        <v>30000</v>
      </c>
      <c r="BY176" s="1011">
        <v>0</v>
      </c>
      <c r="BZ176" s="510">
        <v>0</v>
      </c>
      <c r="CA176" s="1011">
        <v>0</v>
      </c>
      <c r="CB176" s="510">
        <v>0</v>
      </c>
      <c r="CC176" s="1011">
        <v>0</v>
      </c>
      <c r="CD176" s="510">
        <v>0</v>
      </c>
      <c r="CE176" s="1011">
        <v>0</v>
      </c>
      <c r="CF176" s="510">
        <v>48264</v>
      </c>
      <c r="CG176" s="1011">
        <v>0</v>
      </c>
      <c r="CH176" s="510">
        <v>0</v>
      </c>
      <c r="CI176" s="1011">
        <v>0</v>
      </c>
    </row>
    <row r="177" spans="1:87" ht="12.75" customHeight="1" x14ac:dyDescent="0.2">
      <c r="A177" s="449">
        <v>106</v>
      </c>
      <c r="B177" s="453">
        <v>19206</v>
      </c>
      <c r="C177" s="454" t="s">
        <v>2796</v>
      </c>
      <c r="D177" s="454" t="s">
        <v>1390</v>
      </c>
      <c r="E177" s="454" t="s">
        <v>2797</v>
      </c>
      <c r="F177" s="454" t="s">
        <v>513</v>
      </c>
      <c r="G177" s="454" t="s">
        <v>12616</v>
      </c>
      <c r="H177" s="455">
        <v>7045178000106</v>
      </c>
      <c r="I177" s="462">
        <v>37103</v>
      </c>
      <c r="J177" s="457">
        <v>37531344</v>
      </c>
      <c r="K177" s="454" t="s">
        <v>2798</v>
      </c>
      <c r="L177" s="458">
        <v>5</v>
      </c>
      <c r="M177" s="454" t="s">
        <v>2799</v>
      </c>
      <c r="N177" s="459">
        <v>8371150</v>
      </c>
      <c r="O177" s="460">
        <v>27311877</v>
      </c>
      <c r="P177" s="462">
        <v>151664</v>
      </c>
      <c r="Q177" s="462">
        <v>106</v>
      </c>
      <c r="R177" s="462">
        <v>43937</v>
      </c>
      <c r="S177" s="463">
        <v>452</v>
      </c>
      <c r="T177" s="464">
        <v>3.6</v>
      </c>
      <c r="U177" s="465">
        <v>1627.2</v>
      </c>
      <c r="V177" s="465">
        <v>15120</v>
      </c>
      <c r="W177" s="466">
        <v>0</v>
      </c>
      <c r="X177" s="467">
        <v>1</v>
      </c>
      <c r="Y177" s="466">
        <v>0</v>
      </c>
      <c r="Z177" s="468" t="s">
        <v>514</v>
      </c>
      <c r="AA177" s="466">
        <v>0</v>
      </c>
      <c r="AB177" s="466">
        <v>0</v>
      </c>
      <c r="AC177" s="467">
        <v>0</v>
      </c>
      <c r="AD177" s="466">
        <v>0</v>
      </c>
      <c r="AE177" s="468" t="s">
        <v>516</v>
      </c>
      <c r="AF177" s="466">
        <v>0</v>
      </c>
      <c r="AG177" s="466">
        <v>0</v>
      </c>
      <c r="AH177" s="466">
        <v>0</v>
      </c>
      <c r="AI177" s="466">
        <v>0</v>
      </c>
      <c r="AJ177" s="469" t="s">
        <v>1560</v>
      </c>
      <c r="AK177" s="470" t="s">
        <v>1561</v>
      </c>
      <c r="AL177" s="471" t="s">
        <v>2800</v>
      </c>
      <c r="AM177" s="470" t="s">
        <v>2801</v>
      </c>
      <c r="AN177" s="470" t="s">
        <v>1385</v>
      </c>
      <c r="AO177" s="470" t="s">
        <v>2802</v>
      </c>
      <c r="AP177" s="470" t="s">
        <v>2803</v>
      </c>
      <c r="AQ177" s="470" t="s">
        <v>2796</v>
      </c>
      <c r="AR177" s="472" t="s">
        <v>515</v>
      </c>
      <c r="AS177" s="473" t="s">
        <v>1385</v>
      </c>
      <c r="AT177" s="472" t="s">
        <v>1390</v>
      </c>
      <c r="AU177" s="472" t="s">
        <v>420</v>
      </c>
      <c r="AV177" s="472">
        <v>2020</v>
      </c>
      <c r="AW177" s="474" t="s">
        <v>15078</v>
      </c>
      <c r="AX177" s="475" t="s">
        <v>15079</v>
      </c>
      <c r="AY177" s="515">
        <v>1</v>
      </c>
      <c r="AZ177" s="474" t="s">
        <v>15079</v>
      </c>
      <c r="BA177" s="472" t="s">
        <v>1385</v>
      </c>
      <c r="BB177" s="472" t="s">
        <v>1385</v>
      </c>
      <c r="BC177" s="472" t="s">
        <v>1385</v>
      </c>
      <c r="BD177" s="472" t="s">
        <v>1385</v>
      </c>
      <c r="BE177" s="472" t="s">
        <v>1385</v>
      </c>
      <c r="BF177" s="472">
        <v>25120.799999999999</v>
      </c>
      <c r="BG177" s="472">
        <v>0</v>
      </c>
      <c r="BH177" s="472" t="s">
        <v>516</v>
      </c>
      <c r="BI177" s="510">
        <v>0</v>
      </c>
      <c r="BJ177" s="510">
        <v>0</v>
      </c>
      <c r="BK177" s="510">
        <v>0</v>
      </c>
      <c r="BL177" s="510">
        <v>0</v>
      </c>
      <c r="BM177" s="510">
        <v>0</v>
      </c>
      <c r="BN177" s="510">
        <v>0</v>
      </c>
      <c r="BO177" s="510">
        <v>0</v>
      </c>
      <c r="BP177" s="510">
        <v>0</v>
      </c>
      <c r="BQ177" s="510">
        <v>0</v>
      </c>
      <c r="BR177" s="510">
        <v>0</v>
      </c>
      <c r="BS177" s="510">
        <v>0</v>
      </c>
      <c r="BT177" s="510">
        <v>0</v>
      </c>
      <c r="BU177" s="510">
        <v>0</v>
      </c>
      <c r="BV177" s="510">
        <v>0</v>
      </c>
      <c r="BW177" s="510">
        <v>0</v>
      </c>
      <c r="BX177" s="510">
        <v>0</v>
      </c>
      <c r="BY177" s="1011">
        <v>0</v>
      </c>
      <c r="BZ177" s="510">
        <v>0</v>
      </c>
      <c r="CA177" s="1011">
        <v>0</v>
      </c>
      <c r="CB177" s="510">
        <v>0</v>
      </c>
      <c r="CC177" s="1011">
        <v>0</v>
      </c>
      <c r="CD177" s="510">
        <v>0</v>
      </c>
      <c r="CE177" s="1011">
        <v>0</v>
      </c>
      <c r="CF177" s="510">
        <v>0</v>
      </c>
      <c r="CG177" s="1011">
        <v>0</v>
      </c>
      <c r="CH177" s="510">
        <v>0</v>
      </c>
      <c r="CI177" s="1011">
        <v>0</v>
      </c>
    </row>
    <row r="178" spans="1:87" ht="12.75" customHeight="1" x14ac:dyDescent="0.2">
      <c r="A178" s="449">
        <v>94</v>
      </c>
      <c r="B178" s="453">
        <v>19207</v>
      </c>
      <c r="C178" s="454" t="s">
        <v>2804</v>
      </c>
      <c r="D178" s="454" t="s">
        <v>1390</v>
      </c>
      <c r="E178" s="454" t="s">
        <v>2805</v>
      </c>
      <c r="F178" s="454" t="s">
        <v>526</v>
      </c>
      <c r="G178" s="454" t="s">
        <v>12617</v>
      </c>
      <c r="H178" s="455">
        <v>7664076000160</v>
      </c>
      <c r="I178" s="462">
        <v>38182</v>
      </c>
      <c r="J178" s="457">
        <v>37476068</v>
      </c>
      <c r="K178" s="454" t="s">
        <v>2806</v>
      </c>
      <c r="L178" s="458">
        <v>731</v>
      </c>
      <c r="M178" s="454" t="s">
        <v>2807</v>
      </c>
      <c r="N178" s="459">
        <v>8240620</v>
      </c>
      <c r="O178" s="460">
        <v>20513277</v>
      </c>
      <c r="P178" s="462">
        <v>156224</v>
      </c>
      <c r="Q178" s="462">
        <v>94</v>
      </c>
      <c r="R178" s="462">
        <v>43928</v>
      </c>
      <c r="S178" s="463">
        <v>330</v>
      </c>
      <c r="T178" s="464">
        <v>3.6</v>
      </c>
      <c r="U178" s="465">
        <v>1188</v>
      </c>
      <c r="V178" s="465">
        <v>13680</v>
      </c>
      <c r="W178" s="466">
        <v>0</v>
      </c>
      <c r="X178" s="467">
        <v>1</v>
      </c>
      <c r="Y178" s="466">
        <v>22302</v>
      </c>
      <c r="Z178" s="468" t="s">
        <v>516</v>
      </c>
      <c r="AA178" s="466">
        <v>97398</v>
      </c>
      <c r="AB178" s="466">
        <v>97398</v>
      </c>
      <c r="AC178" s="467">
        <v>0</v>
      </c>
      <c r="AD178" s="466">
        <v>0</v>
      </c>
      <c r="AE178" s="468" t="s">
        <v>516</v>
      </c>
      <c r="AF178" s="466">
        <v>0</v>
      </c>
      <c r="AG178" s="466">
        <v>0</v>
      </c>
      <c r="AH178" s="466">
        <v>27295.1</v>
      </c>
      <c r="AI178" s="466">
        <v>0</v>
      </c>
      <c r="AJ178" s="469" t="s">
        <v>1839</v>
      </c>
      <c r="AK178" s="470" t="s">
        <v>526</v>
      </c>
      <c r="AL178" s="471" t="s">
        <v>2808</v>
      </c>
      <c r="AM178" s="470" t="s">
        <v>2809</v>
      </c>
      <c r="AN178" s="470" t="s">
        <v>1385</v>
      </c>
      <c r="AO178" s="470" t="s">
        <v>12618</v>
      </c>
      <c r="AP178" s="470" t="s">
        <v>2810</v>
      </c>
      <c r="AQ178" s="470" t="s">
        <v>2804</v>
      </c>
      <c r="AR178" s="472" t="s">
        <v>515</v>
      </c>
      <c r="AS178" s="473" t="s">
        <v>1385</v>
      </c>
      <c r="AT178" s="472" t="s">
        <v>1390</v>
      </c>
      <c r="AU178" s="472" t="s">
        <v>420</v>
      </c>
      <c r="AV178" s="472">
        <v>2020</v>
      </c>
      <c r="AW178" s="474" t="s">
        <v>15078</v>
      </c>
      <c r="AX178" s="475" t="s">
        <v>15079</v>
      </c>
      <c r="AY178" s="515">
        <v>1</v>
      </c>
      <c r="AZ178" s="474" t="s">
        <v>15079</v>
      </c>
      <c r="BA178" s="472" t="s">
        <v>1390</v>
      </c>
      <c r="BB178" s="472" t="s">
        <v>1385</v>
      </c>
      <c r="BC178" s="472" t="s">
        <v>1385</v>
      </c>
      <c r="BD178" s="472" t="s">
        <v>1385</v>
      </c>
      <c r="BE178" s="472" t="s">
        <v>1385</v>
      </c>
      <c r="BF178" s="472">
        <v>22302</v>
      </c>
      <c r="BG178" s="472">
        <v>0</v>
      </c>
      <c r="BH178" s="472" t="s">
        <v>1385</v>
      </c>
      <c r="BI178" s="510">
        <v>0</v>
      </c>
      <c r="BJ178" s="510">
        <v>8044.2</v>
      </c>
      <c r="BK178" s="510">
        <v>0</v>
      </c>
      <c r="BL178" s="510">
        <v>0</v>
      </c>
      <c r="BM178" s="510">
        <v>0</v>
      </c>
      <c r="BN178" s="510">
        <v>3500</v>
      </c>
      <c r="BO178" s="510">
        <v>0</v>
      </c>
      <c r="BP178" s="510">
        <v>0</v>
      </c>
      <c r="BQ178" s="510">
        <v>0</v>
      </c>
      <c r="BR178" s="510">
        <v>0</v>
      </c>
      <c r="BS178" s="510">
        <v>0</v>
      </c>
      <c r="BT178" s="510">
        <v>0</v>
      </c>
      <c r="BU178" s="510">
        <v>0</v>
      </c>
      <c r="BV178" s="510">
        <v>0</v>
      </c>
      <c r="BW178" s="510">
        <v>0</v>
      </c>
      <c r="BX178" s="510">
        <v>30000</v>
      </c>
      <c r="BY178" s="1011">
        <v>0</v>
      </c>
      <c r="BZ178" s="510">
        <v>0</v>
      </c>
      <c r="CA178" s="1011">
        <v>0</v>
      </c>
      <c r="CB178" s="510">
        <v>0</v>
      </c>
      <c r="CC178" s="1011">
        <v>0</v>
      </c>
      <c r="CD178" s="510">
        <v>0</v>
      </c>
      <c r="CE178" s="1011">
        <v>0</v>
      </c>
      <c r="CF178" s="510">
        <v>45096</v>
      </c>
      <c r="CG178" s="1011">
        <v>0</v>
      </c>
      <c r="CH178" s="510">
        <v>0</v>
      </c>
      <c r="CI178" s="1011">
        <v>0</v>
      </c>
    </row>
    <row r="179" spans="1:87" ht="12.75" customHeight="1" x14ac:dyDescent="0.2">
      <c r="A179" s="449">
        <v>50</v>
      </c>
      <c r="B179" s="453">
        <v>19208</v>
      </c>
      <c r="C179" s="454" t="s">
        <v>2811</v>
      </c>
      <c r="D179" s="454" t="s">
        <v>517</v>
      </c>
      <c r="E179" s="454" t="s">
        <v>2812</v>
      </c>
      <c r="F179" s="454" t="s">
        <v>523</v>
      </c>
      <c r="G179" s="454" t="s">
        <v>12619</v>
      </c>
      <c r="H179" s="455">
        <v>3221185000152</v>
      </c>
      <c r="I179" s="462">
        <v>36272</v>
      </c>
      <c r="J179" s="457">
        <v>37618588</v>
      </c>
      <c r="K179" s="454" t="s">
        <v>2813</v>
      </c>
      <c r="L179" s="458">
        <v>16</v>
      </c>
      <c r="M179" s="454" t="s">
        <v>523</v>
      </c>
      <c r="N179" s="459">
        <v>8421107</v>
      </c>
      <c r="O179" s="460">
        <v>25555733</v>
      </c>
      <c r="P179" s="462">
        <v>262024</v>
      </c>
      <c r="Q179" s="462">
        <v>50</v>
      </c>
      <c r="R179" s="462">
        <v>43921</v>
      </c>
      <c r="S179" s="463">
        <v>790</v>
      </c>
      <c r="T179" s="464">
        <v>5.4</v>
      </c>
      <c r="U179" s="465">
        <v>4266</v>
      </c>
      <c r="V179" s="465">
        <v>18720</v>
      </c>
      <c r="W179" s="466">
        <v>0</v>
      </c>
      <c r="X179" s="467">
        <v>1</v>
      </c>
      <c r="Y179" s="466">
        <v>40095</v>
      </c>
      <c r="Z179" s="468" t="s">
        <v>516</v>
      </c>
      <c r="AA179" s="466">
        <v>149777.4</v>
      </c>
      <c r="AB179" s="466">
        <v>149777.4</v>
      </c>
      <c r="AC179" s="467">
        <v>0</v>
      </c>
      <c r="AD179" s="466">
        <v>0</v>
      </c>
      <c r="AE179" s="468" t="s">
        <v>516</v>
      </c>
      <c r="AF179" s="466">
        <v>2000</v>
      </c>
      <c r="AG179" s="466">
        <v>2000</v>
      </c>
      <c r="AH179" s="466">
        <v>21687.74</v>
      </c>
      <c r="AI179" s="466">
        <v>23671.87</v>
      </c>
      <c r="AJ179" s="469" t="s">
        <v>1674</v>
      </c>
      <c r="AK179" s="470" t="s">
        <v>518</v>
      </c>
      <c r="AL179" s="471" t="s">
        <v>2814</v>
      </c>
      <c r="AM179" s="470" t="s">
        <v>12620</v>
      </c>
      <c r="AN179" s="470" t="s">
        <v>2815</v>
      </c>
      <c r="AO179" s="470" t="s">
        <v>2816</v>
      </c>
      <c r="AP179" s="470" t="s">
        <v>2817</v>
      </c>
      <c r="AQ179" s="470" t="s">
        <v>2811</v>
      </c>
      <c r="AR179" s="472" t="s">
        <v>515</v>
      </c>
      <c r="AS179" s="473" t="s">
        <v>1385</v>
      </c>
      <c r="AT179" s="472" t="s">
        <v>517</v>
      </c>
      <c r="AU179" s="472" t="s">
        <v>420</v>
      </c>
      <c r="AV179" s="472">
        <v>2020</v>
      </c>
      <c r="AW179" s="474" t="s">
        <v>15078</v>
      </c>
      <c r="AX179" s="475" t="s">
        <v>15079</v>
      </c>
      <c r="AY179" s="515">
        <v>1</v>
      </c>
      <c r="AZ179" s="474" t="s">
        <v>15079</v>
      </c>
      <c r="BA179" s="472" t="s">
        <v>517</v>
      </c>
      <c r="BB179" s="472" t="s">
        <v>516</v>
      </c>
      <c r="BC179" s="472">
        <v>1</v>
      </c>
      <c r="BD179" s="472">
        <v>3744</v>
      </c>
      <c r="BE179" s="472">
        <v>0</v>
      </c>
      <c r="BF179" s="472">
        <v>40095</v>
      </c>
      <c r="BG179" s="472">
        <v>0</v>
      </c>
      <c r="BH179" s="472" t="s">
        <v>1385</v>
      </c>
      <c r="BI179" s="510">
        <v>0</v>
      </c>
      <c r="BJ179" s="510">
        <v>0</v>
      </c>
      <c r="BK179" s="510">
        <v>0</v>
      </c>
      <c r="BL179" s="510">
        <v>0</v>
      </c>
      <c r="BM179" s="510">
        <v>0</v>
      </c>
      <c r="BN179" s="510">
        <v>5000</v>
      </c>
      <c r="BO179" s="510">
        <v>0</v>
      </c>
      <c r="BP179" s="510">
        <v>2000</v>
      </c>
      <c r="BQ179" s="510">
        <v>0</v>
      </c>
      <c r="BR179" s="510">
        <v>0</v>
      </c>
      <c r="BS179" s="510">
        <v>0</v>
      </c>
      <c r="BT179" s="510">
        <v>0</v>
      </c>
      <c r="BU179" s="510">
        <v>2500</v>
      </c>
      <c r="BV179" s="510">
        <v>2500</v>
      </c>
      <c r="BW179" s="510">
        <v>0</v>
      </c>
      <c r="BX179" s="510">
        <v>30000</v>
      </c>
      <c r="BY179" s="1011">
        <v>0</v>
      </c>
      <c r="BZ179" s="510">
        <v>0</v>
      </c>
      <c r="CA179" s="1011">
        <v>0</v>
      </c>
      <c r="CB179" s="510">
        <v>22000</v>
      </c>
      <c r="CC179" s="1011">
        <v>0</v>
      </c>
      <c r="CD179" s="510">
        <v>0</v>
      </c>
      <c r="CE179" s="1011">
        <v>0</v>
      </c>
      <c r="CF179" s="510">
        <v>57682.400000000001</v>
      </c>
      <c r="CG179" s="1011">
        <v>0</v>
      </c>
      <c r="CH179" s="510">
        <v>0</v>
      </c>
      <c r="CI179" s="1011">
        <v>0</v>
      </c>
    </row>
    <row r="180" spans="1:87" ht="12.75" customHeight="1" x14ac:dyDescent="0.2">
      <c r="A180" s="449">
        <v>76</v>
      </c>
      <c r="B180" s="453">
        <v>19209</v>
      </c>
      <c r="C180" s="454" t="s">
        <v>2818</v>
      </c>
      <c r="D180" s="454" t="s">
        <v>1390</v>
      </c>
      <c r="E180" s="454" t="s">
        <v>2819</v>
      </c>
      <c r="F180" s="454" t="s">
        <v>518</v>
      </c>
      <c r="G180" s="454" t="s">
        <v>12621</v>
      </c>
      <c r="H180" s="455">
        <v>6959789000199</v>
      </c>
      <c r="I180" s="462">
        <v>38176</v>
      </c>
      <c r="J180" s="457">
        <v>37469193</v>
      </c>
      <c r="K180" s="454" t="s">
        <v>2821</v>
      </c>
      <c r="L180" s="458" t="s">
        <v>1446</v>
      </c>
      <c r="M180" s="454" t="s">
        <v>2676</v>
      </c>
      <c r="N180" s="459">
        <v>8270640</v>
      </c>
      <c r="O180" s="460">
        <v>25240027</v>
      </c>
      <c r="P180" s="462">
        <v>47042</v>
      </c>
      <c r="Q180" s="462">
        <v>45</v>
      </c>
      <c r="R180" s="462">
        <v>43934</v>
      </c>
      <c r="S180" s="463">
        <v>460</v>
      </c>
      <c r="T180" s="464">
        <v>3.6</v>
      </c>
      <c r="U180" s="465">
        <v>1656</v>
      </c>
      <c r="V180" s="465">
        <v>15120</v>
      </c>
      <c r="W180" s="466">
        <v>0</v>
      </c>
      <c r="X180" s="467">
        <v>1</v>
      </c>
      <c r="Y180" s="466">
        <v>25164</v>
      </c>
      <c r="Z180" s="468" t="s">
        <v>516</v>
      </c>
      <c r="AA180" s="466">
        <v>103910.39999999999</v>
      </c>
      <c r="AB180" s="466">
        <v>103910.39999999999</v>
      </c>
      <c r="AC180" s="467">
        <v>0</v>
      </c>
      <c r="AD180" s="466">
        <v>0</v>
      </c>
      <c r="AE180" s="468" t="s">
        <v>516</v>
      </c>
      <c r="AF180" s="466">
        <v>0</v>
      </c>
      <c r="AG180" s="466">
        <v>0</v>
      </c>
      <c r="AH180" s="466">
        <v>26139.22</v>
      </c>
      <c r="AI180" s="466">
        <v>14957.11</v>
      </c>
      <c r="AJ180" s="469" t="s">
        <v>1560</v>
      </c>
      <c r="AK180" s="470" t="s">
        <v>1776</v>
      </c>
      <c r="AL180" s="471" t="s">
        <v>2822</v>
      </c>
      <c r="AM180" s="470" t="s">
        <v>2823</v>
      </c>
      <c r="AN180" s="470" t="s">
        <v>2820</v>
      </c>
      <c r="AO180" s="470" t="s">
        <v>14977</v>
      </c>
      <c r="AP180" s="470" t="s">
        <v>2824</v>
      </c>
      <c r="AQ180" s="470" t="s">
        <v>2818</v>
      </c>
      <c r="AR180" s="472" t="s">
        <v>515</v>
      </c>
      <c r="AS180" s="473" t="s">
        <v>1385</v>
      </c>
      <c r="AT180" s="472" t="s">
        <v>1390</v>
      </c>
      <c r="AU180" s="472" t="s">
        <v>420</v>
      </c>
      <c r="AV180" s="472">
        <v>2020</v>
      </c>
      <c r="AW180" s="474" t="s">
        <v>15078</v>
      </c>
      <c r="AX180" s="475" t="s">
        <v>15079</v>
      </c>
      <c r="AY180" s="515">
        <v>1</v>
      </c>
      <c r="AZ180" s="474" t="s">
        <v>15079</v>
      </c>
      <c r="BA180" s="472" t="s">
        <v>1390</v>
      </c>
      <c r="BB180" s="472" t="s">
        <v>1385</v>
      </c>
      <c r="BC180" s="472" t="s">
        <v>1385</v>
      </c>
      <c r="BD180" s="472" t="s">
        <v>1385</v>
      </c>
      <c r="BE180" s="472" t="s">
        <v>1385</v>
      </c>
      <c r="BF180" s="472">
        <v>25164</v>
      </c>
      <c r="BG180" s="472">
        <v>0</v>
      </c>
      <c r="BH180" s="472" t="s">
        <v>1385</v>
      </c>
      <c r="BI180" s="510">
        <v>0</v>
      </c>
      <c r="BJ180" s="510">
        <v>0</v>
      </c>
      <c r="BK180" s="510">
        <v>0</v>
      </c>
      <c r="BL180" s="510">
        <v>0</v>
      </c>
      <c r="BM180" s="510">
        <v>0</v>
      </c>
      <c r="BN180" s="510">
        <v>4000</v>
      </c>
      <c r="BO180" s="510">
        <v>0</v>
      </c>
      <c r="BP180" s="510">
        <v>0</v>
      </c>
      <c r="BQ180" s="510">
        <v>0</v>
      </c>
      <c r="BR180" s="510">
        <v>0</v>
      </c>
      <c r="BS180" s="510">
        <v>0</v>
      </c>
      <c r="BT180" s="510">
        <v>0</v>
      </c>
      <c r="BU180" s="510">
        <v>2500</v>
      </c>
      <c r="BV180" s="510">
        <v>2500</v>
      </c>
      <c r="BW180" s="510">
        <v>0</v>
      </c>
      <c r="BX180" s="510">
        <v>30000</v>
      </c>
      <c r="BY180" s="1011">
        <v>0</v>
      </c>
      <c r="BZ180" s="510">
        <v>0</v>
      </c>
      <c r="CA180" s="1011">
        <v>0</v>
      </c>
      <c r="CB180" s="510">
        <v>0</v>
      </c>
      <c r="CC180" s="1011">
        <v>0</v>
      </c>
      <c r="CD180" s="510">
        <v>0</v>
      </c>
      <c r="CE180" s="1011">
        <v>0</v>
      </c>
      <c r="CF180" s="510">
        <v>48746.400000000001</v>
      </c>
      <c r="CG180" s="1011">
        <v>0</v>
      </c>
      <c r="CH180" s="510">
        <v>0</v>
      </c>
      <c r="CI180" s="1011">
        <v>0</v>
      </c>
    </row>
    <row r="181" spans="1:87" s="448" customFormat="1" ht="12.75" customHeight="1" x14ac:dyDescent="0.2">
      <c r="A181" s="449">
        <v>86</v>
      </c>
      <c r="B181" s="453">
        <v>19210</v>
      </c>
      <c r="C181" s="454" t="s">
        <v>2825</v>
      </c>
      <c r="D181" s="454" t="s">
        <v>1390</v>
      </c>
      <c r="E181" s="454" t="s">
        <v>2826</v>
      </c>
      <c r="F181" s="454" t="s">
        <v>521</v>
      </c>
      <c r="G181" s="454" t="s">
        <v>12622</v>
      </c>
      <c r="H181" s="455">
        <v>6031062000147</v>
      </c>
      <c r="I181" s="462">
        <v>37678</v>
      </c>
      <c r="J181" s="457">
        <v>37551884</v>
      </c>
      <c r="K181" s="454" t="s">
        <v>2827</v>
      </c>
      <c r="L181" s="458" t="s">
        <v>1446</v>
      </c>
      <c r="M181" s="454" t="s">
        <v>2828</v>
      </c>
      <c r="N181" s="459">
        <v>4814720</v>
      </c>
      <c r="O181" s="460">
        <v>56622426</v>
      </c>
      <c r="P181" s="462">
        <v>83170</v>
      </c>
      <c r="Q181" s="462">
        <v>24</v>
      </c>
      <c r="R181" s="462">
        <v>43934</v>
      </c>
      <c r="S181" s="463">
        <v>488</v>
      </c>
      <c r="T181" s="464">
        <v>3.6</v>
      </c>
      <c r="U181" s="465">
        <v>1756.8</v>
      </c>
      <c r="V181" s="465">
        <v>15120</v>
      </c>
      <c r="W181" s="466">
        <v>0</v>
      </c>
      <c r="X181" s="467">
        <v>1</v>
      </c>
      <c r="Y181" s="466">
        <v>25315.200000000001</v>
      </c>
      <c r="Z181" s="468" t="s">
        <v>516</v>
      </c>
      <c r="AA181" s="466">
        <v>103939.2</v>
      </c>
      <c r="AB181" s="466">
        <v>103939.2</v>
      </c>
      <c r="AC181" s="467">
        <v>0</v>
      </c>
      <c r="AD181" s="466">
        <v>0</v>
      </c>
      <c r="AE181" s="468" t="s">
        <v>516</v>
      </c>
      <c r="AF181" s="466">
        <v>0</v>
      </c>
      <c r="AG181" s="466">
        <v>0</v>
      </c>
      <c r="AH181" s="466">
        <v>16237.44</v>
      </c>
      <c r="AI181" s="466">
        <v>3652.92</v>
      </c>
      <c r="AJ181" s="469" t="s">
        <v>1481</v>
      </c>
      <c r="AK181" s="470" t="s">
        <v>1632</v>
      </c>
      <c r="AL181" s="471" t="s">
        <v>2829</v>
      </c>
      <c r="AM181" s="470" t="s">
        <v>12623</v>
      </c>
      <c r="AN181" s="470" t="s">
        <v>1385</v>
      </c>
      <c r="AO181" s="470" t="s">
        <v>14933</v>
      </c>
      <c r="AP181" s="470" t="s">
        <v>2830</v>
      </c>
      <c r="AQ181" s="470" t="s">
        <v>2825</v>
      </c>
      <c r="AR181" s="472" t="s">
        <v>515</v>
      </c>
      <c r="AS181" s="473" t="s">
        <v>1385</v>
      </c>
      <c r="AT181" s="472" t="s">
        <v>1390</v>
      </c>
      <c r="AU181" s="472" t="s">
        <v>420</v>
      </c>
      <c r="AV181" s="472">
        <v>2020</v>
      </c>
      <c r="AW181" s="474" t="s">
        <v>15078</v>
      </c>
      <c r="AX181" s="475" t="s">
        <v>15079</v>
      </c>
      <c r="AY181" s="515">
        <v>1</v>
      </c>
      <c r="AZ181" s="474" t="s">
        <v>15079</v>
      </c>
      <c r="BA181" s="472" t="s">
        <v>1390</v>
      </c>
      <c r="BB181" s="472" t="s">
        <v>1385</v>
      </c>
      <c r="BC181" s="472" t="s">
        <v>1385</v>
      </c>
      <c r="BD181" s="472" t="s">
        <v>1385</v>
      </c>
      <c r="BE181" s="472" t="s">
        <v>1385</v>
      </c>
      <c r="BF181" s="472">
        <v>25315.200000000001</v>
      </c>
      <c r="BG181" s="472">
        <v>0</v>
      </c>
      <c r="BH181" s="472" t="s">
        <v>1385</v>
      </c>
      <c r="BI181" s="510">
        <v>0</v>
      </c>
      <c r="BJ181" s="510">
        <v>0</v>
      </c>
      <c r="BK181" s="510">
        <v>0</v>
      </c>
      <c r="BL181" s="510">
        <v>0</v>
      </c>
      <c r="BM181" s="510">
        <v>0</v>
      </c>
      <c r="BN181" s="510">
        <v>4000</v>
      </c>
      <c r="BO181" s="510">
        <v>0</v>
      </c>
      <c r="BP181" s="510">
        <v>0</v>
      </c>
      <c r="BQ181" s="510">
        <v>0</v>
      </c>
      <c r="BR181" s="510">
        <v>0</v>
      </c>
      <c r="BS181" s="510">
        <v>0</v>
      </c>
      <c r="BT181" s="510">
        <v>0</v>
      </c>
      <c r="BU181" s="510">
        <v>0</v>
      </c>
      <c r="BV181" s="510">
        <v>0</v>
      </c>
      <c r="BW181" s="510">
        <v>0</v>
      </c>
      <c r="BX181" s="510">
        <v>30000</v>
      </c>
      <c r="BY181" s="1011">
        <v>0</v>
      </c>
      <c r="BZ181" s="510">
        <v>0</v>
      </c>
      <c r="CA181" s="1011">
        <v>0</v>
      </c>
      <c r="CB181" s="510">
        <v>0</v>
      </c>
      <c r="CC181" s="1011">
        <v>0</v>
      </c>
      <c r="CD181" s="510">
        <v>0</v>
      </c>
      <c r="CE181" s="1011">
        <v>0</v>
      </c>
      <c r="CF181" s="510">
        <v>48624</v>
      </c>
      <c r="CG181" s="1011">
        <v>0</v>
      </c>
      <c r="CH181" s="510">
        <v>0</v>
      </c>
      <c r="CI181" s="1011">
        <v>0</v>
      </c>
    </row>
    <row r="182" spans="1:87" s="448" customFormat="1" ht="12.75" customHeight="1" x14ac:dyDescent="0.2">
      <c r="A182" s="449">
        <v>152</v>
      </c>
      <c r="B182" s="453">
        <v>19211</v>
      </c>
      <c r="C182" s="454" t="s">
        <v>2831</v>
      </c>
      <c r="D182" s="454" t="s">
        <v>1390</v>
      </c>
      <c r="E182" s="454" t="s">
        <v>2831</v>
      </c>
      <c r="F182" s="454" t="s">
        <v>520</v>
      </c>
      <c r="G182" s="454" t="s">
        <v>12624</v>
      </c>
      <c r="H182" s="455">
        <v>5594303000101</v>
      </c>
      <c r="I182" s="462">
        <v>37600</v>
      </c>
      <c r="J182" s="457">
        <v>37616242</v>
      </c>
      <c r="K182" s="454" t="s">
        <v>2832</v>
      </c>
      <c r="L182" s="458">
        <v>1419</v>
      </c>
      <c r="M182" s="454" t="s">
        <v>2833</v>
      </c>
      <c r="N182" s="459">
        <v>5791220</v>
      </c>
      <c r="O182" s="460">
        <v>58259758</v>
      </c>
      <c r="P182" s="462">
        <v>306617</v>
      </c>
      <c r="Q182" s="462">
        <v>87</v>
      </c>
      <c r="R182" s="462">
        <v>43979</v>
      </c>
      <c r="S182" s="463">
        <v>457</v>
      </c>
      <c r="T182" s="464">
        <v>3.6</v>
      </c>
      <c r="U182" s="465">
        <v>1645.2</v>
      </c>
      <c r="V182" s="465">
        <v>15120</v>
      </c>
      <c r="W182" s="466">
        <v>0</v>
      </c>
      <c r="X182" s="467">
        <v>1</v>
      </c>
      <c r="Y182" s="466">
        <v>25147.8</v>
      </c>
      <c r="Z182" s="468" t="s">
        <v>516</v>
      </c>
      <c r="AA182" s="466">
        <v>103671</v>
      </c>
      <c r="AB182" s="466">
        <v>103671</v>
      </c>
      <c r="AC182" s="467">
        <v>0</v>
      </c>
      <c r="AD182" s="466">
        <v>0</v>
      </c>
      <c r="AE182" s="468" t="s">
        <v>516</v>
      </c>
      <c r="AF182" s="466">
        <v>0</v>
      </c>
      <c r="AG182" s="466">
        <v>0</v>
      </c>
      <c r="AH182" s="466">
        <v>31693.34</v>
      </c>
      <c r="AI182" s="466">
        <v>5952.2</v>
      </c>
      <c r="AJ182" s="469" t="s">
        <v>2585</v>
      </c>
      <c r="AK182" s="470" t="s">
        <v>2586</v>
      </c>
      <c r="AL182" s="471" t="s">
        <v>2834</v>
      </c>
      <c r="AM182" s="470" t="s">
        <v>2835</v>
      </c>
      <c r="AN182" s="470" t="s">
        <v>2836</v>
      </c>
      <c r="AO182" s="470" t="s">
        <v>2837</v>
      </c>
      <c r="AP182" s="470" t="s">
        <v>2838</v>
      </c>
      <c r="AQ182" s="470" t="s">
        <v>2831</v>
      </c>
      <c r="AR182" s="472" t="s">
        <v>515</v>
      </c>
      <c r="AS182" s="473" t="s">
        <v>1385</v>
      </c>
      <c r="AT182" s="472" t="s">
        <v>1390</v>
      </c>
      <c r="AU182" s="472" t="s">
        <v>420</v>
      </c>
      <c r="AV182" s="472">
        <v>2020</v>
      </c>
      <c r="AW182" s="474" t="s">
        <v>15078</v>
      </c>
      <c r="AX182" s="475" t="s">
        <v>15079</v>
      </c>
      <c r="AY182" s="515">
        <v>1</v>
      </c>
      <c r="AZ182" s="474" t="s">
        <v>15079</v>
      </c>
      <c r="BA182" s="472" t="s">
        <v>1390</v>
      </c>
      <c r="BB182" s="472" t="s">
        <v>1385</v>
      </c>
      <c r="BC182" s="472" t="s">
        <v>1385</v>
      </c>
      <c r="BD182" s="472" t="s">
        <v>1385</v>
      </c>
      <c r="BE182" s="472" t="s">
        <v>1385</v>
      </c>
      <c r="BF182" s="472">
        <v>25147.8</v>
      </c>
      <c r="BG182" s="472">
        <v>0</v>
      </c>
      <c r="BH182" s="472" t="s">
        <v>1385</v>
      </c>
      <c r="BI182" s="510">
        <v>0</v>
      </c>
      <c r="BJ182" s="510">
        <v>641.20000000000005</v>
      </c>
      <c r="BK182" s="510">
        <v>0</v>
      </c>
      <c r="BL182" s="510">
        <v>0</v>
      </c>
      <c r="BM182" s="510">
        <v>0</v>
      </c>
      <c r="BN182" s="510">
        <v>4000</v>
      </c>
      <c r="BO182" s="510">
        <v>0</v>
      </c>
      <c r="BP182" s="510">
        <v>0</v>
      </c>
      <c r="BQ182" s="510">
        <v>0</v>
      </c>
      <c r="BR182" s="510">
        <v>0</v>
      </c>
      <c r="BS182" s="510">
        <v>0</v>
      </c>
      <c r="BT182" s="510">
        <v>0</v>
      </c>
      <c r="BU182" s="510">
        <v>0</v>
      </c>
      <c r="BV182" s="510">
        <v>0</v>
      </c>
      <c r="BW182" s="510">
        <v>0</v>
      </c>
      <c r="BX182" s="510">
        <v>30000</v>
      </c>
      <c r="BY182" s="1011">
        <v>0</v>
      </c>
      <c r="BZ182" s="510">
        <v>0</v>
      </c>
      <c r="CA182" s="1011">
        <v>0</v>
      </c>
      <c r="CB182" s="510">
        <v>0</v>
      </c>
      <c r="CC182" s="1011">
        <v>0</v>
      </c>
      <c r="CD182" s="510">
        <v>0</v>
      </c>
      <c r="CE182" s="1011">
        <v>0</v>
      </c>
      <c r="CF182" s="510">
        <v>48523.199999999997</v>
      </c>
      <c r="CG182" s="1011">
        <v>0</v>
      </c>
      <c r="CH182" s="510">
        <v>0</v>
      </c>
      <c r="CI182" s="1011">
        <v>0</v>
      </c>
    </row>
    <row r="183" spans="1:87" x14ac:dyDescent="0.2">
      <c r="A183" s="449">
        <v>92</v>
      </c>
      <c r="B183" s="453">
        <v>19212</v>
      </c>
      <c r="C183" s="454" t="s">
        <v>2839</v>
      </c>
      <c r="D183" s="454" t="s">
        <v>1390</v>
      </c>
      <c r="E183" s="454" t="s">
        <v>2840</v>
      </c>
      <c r="F183" s="454" t="s">
        <v>528</v>
      </c>
      <c r="G183" s="454" t="s">
        <v>2844</v>
      </c>
      <c r="H183" s="455">
        <v>7227007000190</v>
      </c>
      <c r="I183" s="462">
        <v>38659</v>
      </c>
      <c r="J183" s="457">
        <v>37376039</v>
      </c>
      <c r="K183" s="454" t="s">
        <v>2841</v>
      </c>
      <c r="L183" s="458">
        <v>1800</v>
      </c>
      <c r="M183" s="454" t="s">
        <v>2842</v>
      </c>
      <c r="N183" s="459">
        <v>2991000</v>
      </c>
      <c r="O183" s="460">
        <v>39417165</v>
      </c>
      <c r="P183" s="462">
        <v>274618</v>
      </c>
      <c r="Q183" s="462">
        <v>92</v>
      </c>
      <c r="R183" s="462">
        <v>43938</v>
      </c>
      <c r="S183" s="463">
        <v>433</v>
      </c>
      <c r="T183" s="464">
        <v>3.6</v>
      </c>
      <c r="U183" s="465">
        <v>1558.8</v>
      </c>
      <c r="V183" s="465">
        <v>15120</v>
      </c>
      <c r="W183" s="466">
        <v>0</v>
      </c>
      <c r="X183" s="467">
        <v>1</v>
      </c>
      <c r="Y183" s="466">
        <v>0</v>
      </c>
      <c r="Z183" s="468" t="s">
        <v>514</v>
      </c>
      <c r="AA183" s="466">
        <v>0</v>
      </c>
      <c r="AB183" s="466">
        <v>0</v>
      </c>
      <c r="AC183" s="467">
        <v>0</v>
      </c>
      <c r="AD183" s="466">
        <v>0</v>
      </c>
      <c r="AE183" s="468" t="s">
        <v>516</v>
      </c>
      <c r="AF183" s="466">
        <v>0</v>
      </c>
      <c r="AG183" s="466">
        <v>0</v>
      </c>
      <c r="AH183" s="466">
        <v>0</v>
      </c>
      <c r="AI183" s="466">
        <v>0</v>
      </c>
      <c r="AJ183" s="469" t="s">
        <v>1571</v>
      </c>
      <c r="AK183" s="470" t="s">
        <v>528</v>
      </c>
      <c r="AL183" s="471" t="s">
        <v>2843</v>
      </c>
      <c r="AM183" s="470" t="s">
        <v>12625</v>
      </c>
      <c r="AN183" s="470" t="s">
        <v>12626</v>
      </c>
      <c r="AO183" s="470" t="s">
        <v>2845</v>
      </c>
      <c r="AP183" s="470" t="s">
        <v>2846</v>
      </c>
      <c r="AQ183" s="470" t="s">
        <v>2839</v>
      </c>
      <c r="AR183" s="472" t="s">
        <v>515</v>
      </c>
      <c r="AS183" s="473" t="s">
        <v>1385</v>
      </c>
      <c r="AT183" s="472" t="s">
        <v>1390</v>
      </c>
      <c r="AU183" s="472" t="s">
        <v>420</v>
      </c>
      <c r="AV183" s="472">
        <v>2020</v>
      </c>
      <c r="AW183" s="474" t="s">
        <v>15078</v>
      </c>
      <c r="AX183" s="475" t="s">
        <v>15079</v>
      </c>
      <c r="AY183" s="515">
        <v>1</v>
      </c>
      <c r="AZ183" s="474" t="s">
        <v>15079</v>
      </c>
      <c r="BA183" s="472" t="s">
        <v>1385</v>
      </c>
      <c r="BB183" s="472" t="s">
        <v>1385</v>
      </c>
      <c r="BC183" s="472" t="s">
        <v>1385</v>
      </c>
      <c r="BD183" s="472" t="s">
        <v>1385</v>
      </c>
      <c r="BE183" s="472" t="s">
        <v>1385</v>
      </c>
      <c r="BF183" s="472">
        <v>25018.2</v>
      </c>
      <c r="BG183" s="472">
        <v>0</v>
      </c>
      <c r="BH183" s="472" t="s">
        <v>516</v>
      </c>
      <c r="BI183" s="510">
        <v>0</v>
      </c>
      <c r="BJ183" s="510">
        <v>0</v>
      </c>
      <c r="BK183" s="510">
        <v>0</v>
      </c>
      <c r="BL183" s="510">
        <v>0</v>
      </c>
      <c r="BM183" s="510">
        <v>0</v>
      </c>
      <c r="BN183" s="510">
        <v>0</v>
      </c>
      <c r="BO183" s="510">
        <v>0</v>
      </c>
      <c r="BP183" s="510">
        <v>0</v>
      </c>
      <c r="BQ183" s="510">
        <v>0</v>
      </c>
      <c r="BR183" s="510">
        <v>0</v>
      </c>
      <c r="BS183" s="510">
        <v>0</v>
      </c>
      <c r="BT183" s="510">
        <v>0</v>
      </c>
      <c r="BU183" s="510">
        <v>0</v>
      </c>
      <c r="BV183" s="510">
        <v>0</v>
      </c>
      <c r="BW183" s="510">
        <v>0</v>
      </c>
      <c r="BX183" s="510">
        <v>0</v>
      </c>
      <c r="BY183" s="1011">
        <v>0</v>
      </c>
      <c r="BZ183" s="510">
        <v>0</v>
      </c>
      <c r="CA183" s="1011">
        <v>0</v>
      </c>
      <c r="CB183" s="510">
        <v>0</v>
      </c>
      <c r="CC183" s="1011">
        <v>0</v>
      </c>
      <c r="CD183" s="510">
        <v>0</v>
      </c>
      <c r="CE183" s="1011">
        <v>0</v>
      </c>
      <c r="CF183" s="510">
        <v>0</v>
      </c>
      <c r="CG183" s="1011">
        <v>0</v>
      </c>
      <c r="CH183" s="510">
        <v>0</v>
      </c>
      <c r="CI183" s="1011">
        <v>0</v>
      </c>
    </row>
    <row r="184" spans="1:87" x14ac:dyDescent="0.2">
      <c r="A184" s="449">
        <v>89</v>
      </c>
      <c r="B184" s="453">
        <v>19213</v>
      </c>
      <c r="C184" s="454" t="s">
        <v>2847</v>
      </c>
      <c r="D184" s="454" t="s">
        <v>1390</v>
      </c>
      <c r="E184" s="454" t="s">
        <v>2848</v>
      </c>
      <c r="F184" s="454" t="s">
        <v>521</v>
      </c>
      <c r="G184" s="454" t="s">
        <v>12627</v>
      </c>
      <c r="H184" s="455">
        <v>6004216000101</v>
      </c>
      <c r="I184" s="462">
        <v>37784</v>
      </c>
      <c r="J184" s="457">
        <v>37551876</v>
      </c>
      <c r="K184" s="454" t="s">
        <v>2849</v>
      </c>
      <c r="L184" s="458" t="s">
        <v>1446</v>
      </c>
      <c r="M184" s="454" t="s">
        <v>2850</v>
      </c>
      <c r="N184" s="459">
        <v>4880080</v>
      </c>
      <c r="O184" s="460">
        <v>59215480</v>
      </c>
      <c r="P184" s="462">
        <v>89489</v>
      </c>
      <c r="Q184" s="462">
        <v>23</v>
      </c>
      <c r="R184" s="462">
        <v>43934</v>
      </c>
      <c r="S184" s="463">
        <v>597</v>
      </c>
      <c r="T184" s="464">
        <v>3.6</v>
      </c>
      <c r="U184" s="465">
        <v>2149.1999999999998</v>
      </c>
      <c r="V184" s="465">
        <v>16560</v>
      </c>
      <c r="W184" s="466">
        <v>0</v>
      </c>
      <c r="X184" s="467">
        <v>1</v>
      </c>
      <c r="Y184" s="466">
        <v>28063.8</v>
      </c>
      <c r="Z184" s="468" t="s">
        <v>516</v>
      </c>
      <c r="AA184" s="466">
        <v>110050.2</v>
      </c>
      <c r="AB184" s="466">
        <v>110050.2</v>
      </c>
      <c r="AC184" s="467">
        <v>0</v>
      </c>
      <c r="AD184" s="466">
        <v>0</v>
      </c>
      <c r="AE184" s="468" t="s">
        <v>516</v>
      </c>
      <c r="AF184" s="466">
        <v>0</v>
      </c>
      <c r="AG184" s="466">
        <v>0</v>
      </c>
      <c r="AH184" s="466">
        <v>57944.69</v>
      </c>
      <c r="AI184" s="466">
        <v>7577</v>
      </c>
      <c r="AJ184" s="469" t="s">
        <v>1657</v>
      </c>
      <c r="AK184" s="470" t="s">
        <v>1625</v>
      </c>
      <c r="AL184" s="471" t="s">
        <v>2851</v>
      </c>
      <c r="AM184" s="470" t="s">
        <v>2852</v>
      </c>
      <c r="AN184" s="470" t="s">
        <v>1385</v>
      </c>
      <c r="AO184" s="470" t="s">
        <v>14937</v>
      </c>
      <c r="AP184" s="470" t="s">
        <v>2853</v>
      </c>
      <c r="AQ184" s="470" t="s">
        <v>2847</v>
      </c>
      <c r="AR184" s="472" t="s">
        <v>515</v>
      </c>
      <c r="AS184" s="473" t="s">
        <v>1385</v>
      </c>
      <c r="AT184" s="472" t="s">
        <v>1390</v>
      </c>
      <c r="AU184" s="472" t="s">
        <v>420</v>
      </c>
      <c r="AV184" s="472">
        <v>2020</v>
      </c>
      <c r="AW184" s="474" t="s">
        <v>15078</v>
      </c>
      <c r="AX184" s="475" t="s">
        <v>15079</v>
      </c>
      <c r="AY184" s="515">
        <v>1</v>
      </c>
      <c r="AZ184" s="474" t="s">
        <v>15079</v>
      </c>
      <c r="BA184" s="472" t="s">
        <v>1390</v>
      </c>
      <c r="BB184" s="472" t="s">
        <v>1385</v>
      </c>
      <c r="BC184" s="472" t="s">
        <v>1385</v>
      </c>
      <c r="BD184" s="472" t="s">
        <v>1385</v>
      </c>
      <c r="BE184" s="472" t="s">
        <v>1385</v>
      </c>
      <c r="BF184" s="472">
        <v>28063.8</v>
      </c>
      <c r="BG184" s="472">
        <v>0</v>
      </c>
      <c r="BH184" s="472" t="s">
        <v>1385</v>
      </c>
      <c r="BI184" s="510">
        <v>0</v>
      </c>
      <c r="BJ184" s="510">
        <v>6097.9</v>
      </c>
      <c r="BK184" s="510">
        <v>0</v>
      </c>
      <c r="BL184" s="510">
        <v>0</v>
      </c>
      <c r="BM184" s="510">
        <v>0</v>
      </c>
      <c r="BN184" s="510">
        <v>5000</v>
      </c>
      <c r="BO184" s="510">
        <v>0</v>
      </c>
      <c r="BP184" s="510">
        <v>0</v>
      </c>
      <c r="BQ184" s="510">
        <v>0</v>
      </c>
      <c r="BR184" s="510">
        <v>0</v>
      </c>
      <c r="BS184" s="510">
        <v>0</v>
      </c>
      <c r="BT184" s="510">
        <v>0</v>
      </c>
      <c r="BU184" s="510">
        <v>0</v>
      </c>
      <c r="BV184" s="510">
        <v>0</v>
      </c>
      <c r="BW184" s="510">
        <v>0</v>
      </c>
      <c r="BX184" s="510">
        <v>30000</v>
      </c>
      <c r="BY184" s="1011">
        <v>0</v>
      </c>
      <c r="BZ184" s="510">
        <v>0</v>
      </c>
      <c r="CA184" s="1011">
        <v>0</v>
      </c>
      <c r="CB184" s="510">
        <v>0</v>
      </c>
      <c r="CC184" s="1011">
        <v>0</v>
      </c>
      <c r="CD184" s="510">
        <v>0</v>
      </c>
      <c r="CE184" s="1011">
        <v>0</v>
      </c>
      <c r="CF184" s="510">
        <v>51986.400000000001</v>
      </c>
      <c r="CG184" s="1011">
        <v>0</v>
      </c>
      <c r="CH184" s="510">
        <v>0</v>
      </c>
      <c r="CI184" s="1011">
        <v>0</v>
      </c>
    </row>
    <row r="185" spans="1:87" x14ac:dyDescent="0.2">
      <c r="A185" s="449">
        <v>97</v>
      </c>
      <c r="B185" s="453">
        <v>19214</v>
      </c>
      <c r="C185" s="454" t="s">
        <v>2854</v>
      </c>
      <c r="D185" s="454" t="s">
        <v>2000</v>
      </c>
      <c r="E185" s="454" t="s">
        <v>2855</v>
      </c>
      <c r="F185" s="454" t="s">
        <v>518</v>
      </c>
      <c r="G185" s="454" t="s">
        <v>12628</v>
      </c>
      <c r="H185" s="455">
        <v>5376866000115</v>
      </c>
      <c r="I185" s="462">
        <v>37522</v>
      </c>
      <c r="J185" s="457">
        <v>37470388</v>
      </c>
      <c r="K185" s="454" t="s">
        <v>2857</v>
      </c>
      <c r="L185" s="458">
        <v>2171</v>
      </c>
      <c r="M185" s="454" t="s">
        <v>2858</v>
      </c>
      <c r="N185" s="459">
        <v>8225310</v>
      </c>
      <c r="O185" s="460">
        <v>20469633</v>
      </c>
      <c r="P185" s="462">
        <v>49711</v>
      </c>
      <c r="Q185" s="462">
        <v>66</v>
      </c>
      <c r="R185" s="462">
        <v>43934</v>
      </c>
      <c r="S185" s="463">
        <v>599</v>
      </c>
      <c r="T185" s="464">
        <v>3.6</v>
      </c>
      <c r="U185" s="465">
        <v>2156.4</v>
      </c>
      <c r="V185" s="465">
        <v>16560</v>
      </c>
      <c r="W185" s="466">
        <v>0</v>
      </c>
      <c r="X185" s="467">
        <v>1</v>
      </c>
      <c r="Y185" s="466">
        <v>28074.6</v>
      </c>
      <c r="Z185" s="468" t="s">
        <v>516</v>
      </c>
      <c r="AA185" s="466">
        <v>110291.4</v>
      </c>
      <c r="AB185" s="466">
        <v>110291.4</v>
      </c>
      <c r="AC185" s="467">
        <v>0</v>
      </c>
      <c r="AD185" s="466">
        <v>0</v>
      </c>
      <c r="AE185" s="468" t="s">
        <v>516</v>
      </c>
      <c r="AF185" s="466">
        <v>0</v>
      </c>
      <c r="AG185" s="466">
        <v>0</v>
      </c>
      <c r="AH185" s="466">
        <v>19303.02</v>
      </c>
      <c r="AI185" s="466">
        <v>7404</v>
      </c>
      <c r="AJ185" s="469" t="s">
        <v>2644</v>
      </c>
      <c r="AK185" s="470" t="s">
        <v>2859</v>
      </c>
      <c r="AL185" s="471" t="s">
        <v>2860</v>
      </c>
      <c r="AM185" s="470" t="s">
        <v>2861</v>
      </c>
      <c r="AN185" s="470" t="s">
        <v>2856</v>
      </c>
      <c r="AO185" s="470" t="s">
        <v>2862</v>
      </c>
      <c r="AP185" s="470" t="s">
        <v>2863</v>
      </c>
      <c r="AQ185" s="470" t="s">
        <v>2854</v>
      </c>
      <c r="AR185" s="472" t="s">
        <v>515</v>
      </c>
      <c r="AS185" s="473" t="s">
        <v>1385</v>
      </c>
      <c r="AT185" s="472" t="s">
        <v>2000</v>
      </c>
      <c r="AU185" s="472" t="s">
        <v>420</v>
      </c>
      <c r="AV185" s="472">
        <v>2020</v>
      </c>
      <c r="AW185" s="474" t="s">
        <v>15078</v>
      </c>
      <c r="AX185" s="475" t="s">
        <v>15079</v>
      </c>
      <c r="AY185" s="515">
        <v>1</v>
      </c>
      <c r="AZ185" s="474" t="s">
        <v>15079</v>
      </c>
      <c r="BA185" s="472" t="s">
        <v>2000</v>
      </c>
      <c r="BB185" s="472" t="s">
        <v>1385</v>
      </c>
      <c r="BC185" s="472" t="s">
        <v>1385</v>
      </c>
      <c r="BD185" s="472" t="s">
        <v>1385</v>
      </c>
      <c r="BE185" s="472" t="s">
        <v>1385</v>
      </c>
      <c r="BF185" s="472">
        <v>28074.6</v>
      </c>
      <c r="BG185" s="472">
        <v>0</v>
      </c>
      <c r="BH185" s="472" t="s">
        <v>1385</v>
      </c>
      <c r="BI185" s="510">
        <v>0</v>
      </c>
      <c r="BJ185" s="510">
        <v>0</v>
      </c>
      <c r="BK185" s="510">
        <v>0</v>
      </c>
      <c r="BL185" s="510">
        <v>0</v>
      </c>
      <c r="BM185" s="510">
        <v>0</v>
      </c>
      <c r="BN185" s="510">
        <v>5000</v>
      </c>
      <c r="BO185" s="510">
        <v>0</v>
      </c>
      <c r="BP185" s="510">
        <v>0</v>
      </c>
      <c r="BQ185" s="510">
        <v>0</v>
      </c>
      <c r="BR185" s="510">
        <v>0</v>
      </c>
      <c r="BS185" s="510">
        <v>0</v>
      </c>
      <c r="BT185" s="510">
        <v>0</v>
      </c>
      <c r="BU185" s="510">
        <v>0</v>
      </c>
      <c r="BV185" s="510">
        <v>0</v>
      </c>
      <c r="BW185" s="510">
        <v>0</v>
      </c>
      <c r="BX185" s="510">
        <v>30000</v>
      </c>
      <c r="BY185" s="1011">
        <v>0</v>
      </c>
      <c r="BZ185" s="510">
        <v>0</v>
      </c>
      <c r="CA185" s="1011">
        <v>0</v>
      </c>
      <c r="CB185" s="510">
        <v>0</v>
      </c>
      <c r="CC185" s="1011">
        <v>0</v>
      </c>
      <c r="CD185" s="510">
        <v>0</v>
      </c>
      <c r="CE185" s="1011">
        <v>0</v>
      </c>
      <c r="CF185" s="510">
        <v>52216.800000000003</v>
      </c>
      <c r="CG185" s="1011">
        <v>0</v>
      </c>
      <c r="CH185" s="510">
        <v>0</v>
      </c>
      <c r="CI185" s="1011">
        <v>0</v>
      </c>
    </row>
    <row r="186" spans="1:87" x14ac:dyDescent="0.2">
      <c r="A186" s="449">
        <v>75</v>
      </c>
      <c r="B186" s="453">
        <v>19215</v>
      </c>
      <c r="C186" s="454" t="s">
        <v>2864</v>
      </c>
      <c r="D186" s="454" t="s">
        <v>517</v>
      </c>
      <c r="E186" s="454" t="s">
        <v>2865</v>
      </c>
      <c r="F186" s="454" t="s">
        <v>528</v>
      </c>
      <c r="G186" s="454" t="s">
        <v>12629</v>
      </c>
      <c r="H186" s="455">
        <v>4531758000107</v>
      </c>
      <c r="I186" s="462">
        <v>37049</v>
      </c>
      <c r="J186" s="457">
        <v>37587234</v>
      </c>
      <c r="K186" s="454" t="s">
        <v>2866</v>
      </c>
      <c r="L186" s="458" t="s">
        <v>1446</v>
      </c>
      <c r="M186" s="454" t="s">
        <v>2867</v>
      </c>
      <c r="N186" s="459">
        <v>5271150</v>
      </c>
      <c r="O186" s="460">
        <v>39117772</v>
      </c>
      <c r="P186" s="462">
        <v>218165</v>
      </c>
      <c r="Q186" s="462">
        <v>75</v>
      </c>
      <c r="R186" s="462">
        <v>43938</v>
      </c>
      <c r="S186" s="463">
        <v>892</v>
      </c>
      <c r="T186" s="464">
        <v>5.4</v>
      </c>
      <c r="U186" s="465">
        <v>4816.8</v>
      </c>
      <c r="V186" s="465">
        <v>18720</v>
      </c>
      <c r="W186" s="466">
        <v>0</v>
      </c>
      <c r="X186" s="467">
        <v>1</v>
      </c>
      <c r="Y186" s="466">
        <v>35305.199999999997</v>
      </c>
      <c r="Z186" s="468" t="s">
        <v>516</v>
      </c>
      <c r="AA186" s="466">
        <v>134395.6</v>
      </c>
      <c r="AB186" s="466">
        <v>134395.6</v>
      </c>
      <c r="AC186" s="467">
        <v>0</v>
      </c>
      <c r="AD186" s="466">
        <v>0</v>
      </c>
      <c r="AE186" s="468" t="s">
        <v>516</v>
      </c>
      <c r="AF186" s="466">
        <v>1400</v>
      </c>
      <c r="AG186" s="466">
        <v>1400</v>
      </c>
      <c r="AH186" s="466">
        <v>22296.62</v>
      </c>
      <c r="AI186" s="466">
        <v>12688.43</v>
      </c>
      <c r="AJ186" s="469" t="s">
        <v>1729</v>
      </c>
      <c r="AK186" s="470" t="s">
        <v>2868</v>
      </c>
      <c r="AL186" s="471" t="s">
        <v>2869</v>
      </c>
      <c r="AM186" s="470" t="s">
        <v>2870</v>
      </c>
      <c r="AN186" s="470" t="s">
        <v>2871</v>
      </c>
      <c r="AO186" s="470" t="s">
        <v>2872</v>
      </c>
      <c r="AP186" s="470" t="s">
        <v>2873</v>
      </c>
      <c r="AQ186" s="470" t="s">
        <v>2864</v>
      </c>
      <c r="AR186" s="472" t="s">
        <v>515</v>
      </c>
      <c r="AS186" s="473" t="s">
        <v>1385</v>
      </c>
      <c r="AT186" s="472" t="s">
        <v>517</v>
      </c>
      <c r="AU186" s="472" t="s">
        <v>420</v>
      </c>
      <c r="AV186" s="472">
        <v>2020</v>
      </c>
      <c r="AW186" s="474" t="s">
        <v>15078</v>
      </c>
      <c r="AX186" s="475" t="s">
        <v>15079</v>
      </c>
      <c r="AY186" s="515">
        <v>1</v>
      </c>
      <c r="AZ186" s="474" t="s">
        <v>15079</v>
      </c>
      <c r="BA186" s="472" t="s">
        <v>517</v>
      </c>
      <c r="BB186" s="472" t="s">
        <v>1385</v>
      </c>
      <c r="BC186" s="472" t="s">
        <v>1385</v>
      </c>
      <c r="BD186" s="472" t="s">
        <v>1385</v>
      </c>
      <c r="BE186" s="472" t="s">
        <v>1385</v>
      </c>
      <c r="BF186" s="472">
        <v>35305.199999999997</v>
      </c>
      <c r="BG186" s="472">
        <v>0</v>
      </c>
      <c r="BH186" s="472" t="s">
        <v>1385</v>
      </c>
      <c r="BI186" s="510">
        <v>0</v>
      </c>
      <c r="BJ186" s="510">
        <v>0</v>
      </c>
      <c r="BK186" s="510">
        <v>0</v>
      </c>
      <c r="BL186" s="510">
        <v>0</v>
      </c>
      <c r="BM186" s="510">
        <v>0</v>
      </c>
      <c r="BN186" s="510">
        <v>5000</v>
      </c>
      <c r="BO186" s="510">
        <v>600</v>
      </c>
      <c r="BP186" s="510">
        <v>1400</v>
      </c>
      <c r="BQ186" s="510">
        <v>0</v>
      </c>
      <c r="BR186" s="510">
        <v>0</v>
      </c>
      <c r="BS186" s="510">
        <v>0</v>
      </c>
      <c r="BT186" s="510">
        <v>0</v>
      </c>
      <c r="BU186" s="510">
        <v>0</v>
      </c>
      <c r="BV186" s="510">
        <v>0</v>
      </c>
      <c r="BW186" s="510">
        <v>0</v>
      </c>
      <c r="BX186" s="510">
        <v>30000</v>
      </c>
      <c r="BY186" s="1011">
        <v>0</v>
      </c>
      <c r="BZ186" s="510">
        <v>0</v>
      </c>
      <c r="CA186" s="1011">
        <v>0</v>
      </c>
      <c r="CB186" s="510">
        <v>22000</v>
      </c>
      <c r="CC186" s="1011">
        <v>0</v>
      </c>
      <c r="CD186" s="510">
        <v>0</v>
      </c>
      <c r="CE186" s="1011">
        <v>0</v>
      </c>
      <c r="CF186" s="510">
        <v>46490.400000000001</v>
      </c>
      <c r="CG186" s="1011">
        <v>0</v>
      </c>
      <c r="CH186" s="510">
        <v>0</v>
      </c>
      <c r="CI186" s="1011">
        <v>0</v>
      </c>
    </row>
    <row r="187" spans="1:87" x14ac:dyDescent="0.2">
      <c r="A187" s="449">
        <v>75</v>
      </c>
      <c r="B187" s="453">
        <v>19216</v>
      </c>
      <c r="C187" s="454" t="s">
        <v>2874</v>
      </c>
      <c r="D187" s="454" t="s">
        <v>517</v>
      </c>
      <c r="E187" s="454" t="s">
        <v>2875</v>
      </c>
      <c r="F187" s="454" t="s">
        <v>513</v>
      </c>
      <c r="G187" s="454" t="s">
        <v>12630</v>
      </c>
      <c r="H187" s="455">
        <v>2913115000100</v>
      </c>
      <c r="I187" s="462">
        <v>36105</v>
      </c>
      <c r="J187" s="457">
        <v>37532707</v>
      </c>
      <c r="K187" s="454" t="s">
        <v>2876</v>
      </c>
      <c r="L187" s="458">
        <v>262</v>
      </c>
      <c r="M187" s="454" t="s">
        <v>2877</v>
      </c>
      <c r="N187" s="459">
        <v>8390000</v>
      </c>
      <c r="O187" s="460">
        <v>27517340</v>
      </c>
      <c r="P187" s="462">
        <v>150854</v>
      </c>
      <c r="Q187" s="462">
        <v>74</v>
      </c>
      <c r="R187" s="462">
        <v>43937</v>
      </c>
      <c r="S187" s="463">
        <v>1365</v>
      </c>
      <c r="T187" s="464">
        <v>5.4</v>
      </c>
      <c r="U187" s="465">
        <v>7371</v>
      </c>
      <c r="V187" s="465">
        <v>21960</v>
      </c>
      <c r="W187" s="466">
        <v>0</v>
      </c>
      <c r="X187" s="467">
        <v>1</v>
      </c>
      <c r="Y187" s="466">
        <v>43996.5</v>
      </c>
      <c r="Z187" s="468" t="s">
        <v>516</v>
      </c>
      <c r="AA187" s="466">
        <v>153513.70000000001</v>
      </c>
      <c r="AB187" s="466">
        <v>153513.70000000001</v>
      </c>
      <c r="AC187" s="467">
        <v>0</v>
      </c>
      <c r="AD187" s="466">
        <v>0</v>
      </c>
      <c r="AE187" s="468" t="s">
        <v>516</v>
      </c>
      <c r="AF187" s="466">
        <v>0</v>
      </c>
      <c r="AG187" s="466">
        <v>0</v>
      </c>
      <c r="AH187" s="466">
        <v>16868.080000000002</v>
      </c>
      <c r="AI187" s="466">
        <v>5866.89</v>
      </c>
      <c r="AJ187" s="469" t="s">
        <v>2030</v>
      </c>
      <c r="AK187" s="470" t="s">
        <v>513</v>
      </c>
      <c r="AL187" s="471" t="s">
        <v>2878</v>
      </c>
      <c r="AM187" s="470" t="s">
        <v>2879</v>
      </c>
      <c r="AN187" s="470" t="s">
        <v>1385</v>
      </c>
      <c r="AO187" s="470" t="s">
        <v>2880</v>
      </c>
      <c r="AP187" s="470" t="s">
        <v>2881</v>
      </c>
      <c r="AQ187" s="470" t="s">
        <v>2874</v>
      </c>
      <c r="AR187" s="472" t="s">
        <v>515</v>
      </c>
      <c r="AS187" s="473" t="s">
        <v>1385</v>
      </c>
      <c r="AT187" s="472" t="s">
        <v>517</v>
      </c>
      <c r="AU187" s="472" t="s">
        <v>420</v>
      </c>
      <c r="AV187" s="472">
        <v>2020</v>
      </c>
      <c r="AW187" s="474" t="s">
        <v>15078</v>
      </c>
      <c r="AX187" s="475" t="s">
        <v>15079</v>
      </c>
      <c r="AY187" s="515">
        <v>1</v>
      </c>
      <c r="AZ187" s="474" t="s">
        <v>15079</v>
      </c>
      <c r="BA187" s="472" t="s">
        <v>517</v>
      </c>
      <c r="BB187" s="472" t="s">
        <v>1385</v>
      </c>
      <c r="BC187" s="472" t="s">
        <v>1385</v>
      </c>
      <c r="BD187" s="472" t="s">
        <v>1385</v>
      </c>
      <c r="BE187" s="472" t="s">
        <v>1385</v>
      </c>
      <c r="BF187" s="472">
        <v>43996.5</v>
      </c>
      <c r="BG187" s="472">
        <v>0</v>
      </c>
      <c r="BH187" s="472" t="s">
        <v>1385</v>
      </c>
      <c r="BI187" s="510">
        <v>0</v>
      </c>
      <c r="BJ187" s="510">
        <v>0</v>
      </c>
      <c r="BK187" s="510">
        <v>0</v>
      </c>
      <c r="BL187" s="510">
        <v>3500</v>
      </c>
      <c r="BM187" s="510">
        <v>0</v>
      </c>
      <c r="BN187" s="510">
        <v>4800</v>
      </c>
      <c r="BO187" s="510">
        <v>0</v>
      </c>
      <c r="BP187" s="510">
        <v>0</v>
      </c>
      <c r="BQ187" s="510">
        <v>0</v>
      </c>
      <c r="BR187" s="510">
        <v>0</v>
      </c>
      <c r="BS187" s="510">
        <v>0</v>
      </c>
      <c r="BT187" s="510">
        <v>0</v>
      </c>
      <c r="BU187" s="510">
        <v>2500</v>
      </c>
      <c r="BV187" s="510">
        <v>2500</v>
      </c>
      <c r="BW187" s="510">
        <v>0</v>
      </c>
      <c r="BX187" s="510">
        <v>30000</v>
      </c>
      <c r="BY187" s="1011">
        <v>0</v>
      </c>
      <c r="BZ187" s="510">
        <v>0</v>
      </c>
      <c r="CA187" s="1011">
        <v>0</v>
      </c>
      <c r="CB187" s="510">
        <v>22000</v>
      </c>
      <c r="CC187" s="1011">
        <v>0</v>
      </c>
      <c r="CD187" s="510">
        <v>0</v>
      </c>
      <c r="CE187" s="1011">
        <v>0</v>
      </c>
      <c r="CF187" s="510">
        <v>57517.2</v>
      </c>
      <c r="CG187" s="1011">
        <v>0</v>
      </c>
      <c r="CH187" s="510">
        <v>0</v>
      </c>
      <c r="CI187" s="1011">
        <v>0</v>
      </c>
    </row>
    <row r="188" spans="1:87" x14ac:dyDescent="0.2">
      <c r="A188" s="449">
        <v>74</v>
      </c>
      <c r="B188" s="453">
        <v>19217</v>
      </c>
      <c r="C188" s="454" t="s">
        <v>2882</v>
      </c>
      <c r="D188" s="454" t="s">
        <v>517</v>
      </c>
      <c r="E188" s="454" t="s">
        <v>2883</v>
      </c>
      <c r="F188" s="454" t="s">
        <v>528</v>
      </c>
      <c r="G188" s="454" t="s">
        <v>12631</v>
      </c>
      <c r="H188" s="455">
        <v>5127297000174</v>
      </c>
      <c r="I188" s="462">
        <v>37049</v>
      </c>
      <c r="J188" s="457">
        <v>37374869</v>
      </c>
      <c r="K188" s="454" t="s">
        <v>2577</v>
      </c>
      <c r="L188" s="458" t="s">
        <v>1446</v>
      </c>
      <c r="M188" s="454" t="s">
        <v>2241</v>
      </c>
      <c r="N188" s="459">
        <v>5209000</v>
      </c>
      <c r="O188" s="460">
        <v>39177804</v>
      </c>
      <c r="P188" s="462">
        <v>263187</v>
      </c>
      <c r="Q188" s="462">
        <v>74</v>
      </c>
      <c r="R188" s="462">
        <v>43938</v>
      </c>
      <c r="S188" s="463">
        <v>1050</v>
      </c>
      <c r="T188" s="464">
        <v>5.4</v>
      </c>
      <c r="U188" s="465">
        <v>5670</v>
      </c>
      <c r="V188" s="465">
        <v>20340</v>
      </c>
      <c r="W188" s="466">
        <v>0</v>
      </c>
      <c r="X188" s="467">
        <v>1</v>
      </c>
      <c r="Y188" s="466">
        <v>39015</v>
      </c>
      <c r="Z188" s="468" t="s">
        <v>516</v>
      </c>
      <c r="AA188" s="466">
        <v>142765</v>
      </c>
      <c r="AB188" s="466">
        <v>142765</v>
      </c>
      <c r="AC188" s="467">
        <v>0</v>
      </c>
      <c r="AD188" s="466">
        <v>0</v>
      </c>
      <c r="AE188" s="468" t="s">
        <v>516</v>
      </c>
      <c r="AF188" s="466">
        <v>0</v>
      </c>
      <c r="AG188" s="466">
        <v>0</v>
      </c>
      <c r="AH188" s="466">
        <v>20096.759999999998</v>
      </c>
      <c r="AI188" s="466">
        <v>13937.2</v>
      </c>
      <c r="AJ188" s="469" t="s">
        <v>2242</v>
      </c>
      <c r="AK188" s="470" t="s">
        <v>2241</v>
      </c>
      <c r="AL188" s="471" t="s">
        <v>2884</v>
      </c>
      <c r="AM188" s="470" t="s">
        <v>12632</v>
      </c>
      <c r="AN188" s="470" t="s">
        <v>2885</v>
      </c>
      <c r="AO188" s="470" t="s">
        <v>12633</v>
      </c>
      <c r="AP188" s="470" t="s">
        <v>2886</v>
      </c>
      <c r="AQ188" s="470" t="s">
        <v>2882</v>
      </c>
      <c r="AR188" s="472" t="s">
        <v>515</v>
      </c>
      <c r="AS188" s="473" t="s">
        <v>1385</v>
      </c>
      <c r="AT188" s="472" t="s">
        <v>517</v>
      </c>
      <c r="AU188" s="472" t="s">
        <v>420</v>
      </c>
      <c r="AV188" s="472">
        <v>2020</v>
      </c>
      <c r="AW188" s="474" t="s">
        <v>15078</v>
      </c>
      <c r="AX188" s="475" t="s">
        <v>15079</v>
      </c>
      <c r="AY188" s="515">
        <v>1</v>
      </c>
      <c r="AZ188" s="474" t="s">
        <v>15079</v>
      </c>
      <c r="BA188" s="472" t="s">
        <v>517</v>
      </c>
      <c r="BB188" s="472" t="s">
        <v>1385</v>
      </c>
      <c r="BC188" s="472" t="s">
        <v>1385</v>
      </c>
      <c r="BD188" s="472" t="s">
        <v>1385</v>
      </c>
      <c r="BE188" s="472" t="s">
        <v>1385</v>
      </c>
      <c r="BF188" s="472">
        <v>39015</v>
      </c>
      <c r="BG188" s="472">
        <v>0</v>
      </c>
      <c r="BH188" s="472" t="s">
        <v>1385</v>
      </c>
      <c r="BI188" s="510">
        <v>0</v>
      </c>
      <c r="BJ188" s="510">
        <v>0</v>
      </c>
      <c r="BK188" s="510">
        <v>0</v>
      </c>
      <c r="BL188" s="510">
        <v>1425</v>
      </c>
      <c r="BM188" s="510">
        <v>0</v>
      </c>
      <c r="BN188" s="510">
        <v>5000</v>
      </c>
      <c r="BO188" s="510">
        <v>0</v>
      </c>
      <c r="BP188" s="510">
        <v>0</v>
      </c>
      <c r="BQ188" s="510">
        <v>0</v>
      </c>
      <c r="BR188" s="510">
        <v>0</v>
      </c>
      <c r="BS188" s="510">
        <v>0</v>
      </c>
      <c r="BT188" s="510">
        <v>0</v>
      </c>
      <c r="BU188" s="510">
        <v>2500</v>
      </c>
      <c r="BV188" s="510">
        <v>2500</v>
      </c>
      <c r="BW188" s="510">
        <v>0</v>
      </c>
      <c r="BX188" s="510">
        <v>30000</v>
      </c>
      <c r="BY188" s="1011">
        <v>0</v>
      </c>
      <c r="BZ188" s="510">
        <v>0</v>
      </c>
      <c r="CA188" s="1011">
        <v>0</v>
      </c>
      <c r="CB188" s="510">
        <v>22000</v>
      </c>
      <c r="CC188" s="1011">
        <v>0</v>
      </c>
      <c r="CD188" s="510">
        <v>0</v>
      </c>
      <c r="CE188" s="1011">
        <v>0</v>
      </c>
      <c r="CF188" s="510">
        <v>51750</v>
      </c>
      <c r="CG188" s="1011">
        <v>0</v>
      </c>
      <c r="CH188" s="510">
        <v>0</v>
      </c>
      <c r="CI188" s="1011">
        <v>0</v>
      </c>
    </row>
    <row r="189" spans="1:87" x14ac:dyDescent="0.2">
      <c r="A189" s="449">
        <v>55</v>
      </c>
      <c r="B189" s="453">
        <v>19218</v>
      </c>
      <c r="C189" s="454" t="s">
        <v>2887</v>
      </c>
      <c r="D189" s="454" t="s">
        <v>517</v>
      </c>
      <c r="E189" s="454" t="s">
        <v>2888</v>
      </c>
      <c r="F189" s="454" t="s">
        <v>528</v>
      </c>
      <c r="G189" s="454" t="s">
        <v>12634</v>
      </c>
      <c r="H189" s="455">
        <v>5059285000150</v>
      </c>
      <c r="I189" s="462">
        <v>38619</v>
      </c>
      <c r="J189" s="457">
        <v>37374788</v>
      </c>
      <c r="K189" s="454" t="s">
        <v>2790</v>
      </c>
      <c r="L189" s="458" t="s">
        <v>1446</v>
      </c>
      <c r="M189" s="454" t="s">
        <v>2791</v>
      </c>
      <c r="N189" s="459">
        <v>5272005</v>
      </c>
      <c r="O189" s="460">
        <v>39112741</v>
      </c>
      <c r="P189" s="462">
        <v>217819</v>
      </c>
      <c r="Q189" s="462">
        <v>55</v>
      </c>
      <c r="R189" s="462">
        <v>43938</v>
      </c>
      <c r="S189" s="463">
        <v>776</v>
      </c>
      <c r="T189" s="464">
        <v>5.4</v>
      </c>
      <c r="U189" s="465">
        <v>4190.3999999999996</v>
      </c>
      <c r="V189" s="465">
        <v>18720</v>
      </c>
      <c r="W189" s="466">
        <v>0</v>
      </c>
      <c r="X189" s="467">
        <v>1</v>
      </c>
      <c r="Y189" s="466">
        <v>34365.599999999999</v>
      </c>
      <c r="Z189" s="468" t="s">
        <v>516</v>
      </c>
      <c r="AA189" s="466">
        <v>132208</v>
      </c>
      <c r="AB189" s="466">
        <v>132208</v>
      </c>
      <c r="AC189" s="467">
        <v>0</v>
      </c>
      <c r="AD189" s="466">
        <v>0</v>
      </c>
      <c r="AE189" s="468" t="s">
        <v>516</v>
      </c>
      <c r="AF189" s="466">
        <v>0</v>
      </c>
      <c r="AG189" s="466">
        <v>0</v>
      </c>
      <c r="AH189" s="466">
        <v>23438.639999999999</v>
      </c>
      <c r="AI189" s="466">
        <v>7258.48</v>
      </c>
      <c r="AJ189" s="469" t="s">
        <v>1588</v>
      </c>
      <c r="AK189" s="470" t="s">
        <v>528</v>
      </c>
      <c r="AL189" s="471" t="s">
        <v>2889</v>
      </c>
      <c r="AM189" s="470" t="s">
        <v>2890</v>
      </c>
      <c r="AN189" s="470" t="s">
        <v>2891</v>
      </c>
      <c r="AO189" s="470" t="s">
        <v>2892</v>
      </c>
      <c r="AP189" s="470" t="s">
        <v>2791</v>
      </c>
      <c r="AQ189" s="470" t="s">
        <v>2887</v>
      </c>
      <c r="AR189" s="472" t="s">
        <v>515</v>
      </c>
      <c r="AS189" s="473" t="s">
        <v>1385</v>
      </c>
      <c r="AT189" s="472" t="s">
        <v>517</v>
      </c>
      <c r="AU189" s="472" t="s">
        <v>420</v>
      </c>
      <c r="AV189" s="472">
        <v>2020</v>
      </c>
      <c r="AW189" s="474" t="s">
        <v>15078</v>
      </c>
      <c r="AX189" s="475" t="s">
        <v>15079</v>
      </c>
      <c r="AY189" s="515">
        <v>1</v>
      </c>
      <c r="AZ189" s="474" t="s">
        <v>15079</v>
      </c>
      <c r="BA189" s="472" t="s">
        <v>517</v>
      </c>
      <c r="BB189" s="472" t="s">
        <v>1385</v>
      </c>
      <c r="BC189" s="472" t="s">
        <v>1385</v>
      </c>
      <c r="BD189" s="472" t="s">
        <v>1385</v>
      </c>
      <c r="BE189" s="472" t="s">
        <v>1385</v>
      </c>
      <c r="BF189" s="472">
        <v>34365.599999999999</v>
      </c>
      <c r="BG189" s="472">
        <v>0</v>
      </c>
      <c r="BH189" s="472" t="s">
        <v>1385</v>
      </c>
      <c r="BI189" s="510">
        <v>0</v>
      </c>
      <c r="BJ189" s="510">
        <v>406.15</v>
      </c>
      <c r="BK189" s="510">
        <v>0</v>
      </c>
      <c r="BL189" s="510">
        <v>3500</v>
      </c>
      <c r="BM189" s="510">
        <v>0</v>
      </c>
      <c r="BN189" s="510">
        <v>5000</v>
      </c>
      <c r="BO189" s="510">
        <v>0</v>
      </c>
      <c r="BP189" s="510">
        <v>0</v>
      </c>
      <c r="BQ189" s="510">
        <v>0</v>
      </c>
      <c r="BR189" s="510">
        <v>0</v>
      </c>
      <c r="BS189" s="510">
        <v>0</v>
      </c>
      <c r="BT189" s="510">
        <v>0</v>
      </c>
      <c r="BU189" s="510">
        <v>0</v>
      </c>
      <c r="BV189" s="510">
        <v>0</v>
      </c>
      <c r="BW189" s="510">
        <v>0</v>
      </c>
      <c r="BX189" s="510">
        <v>30000</v>
      </c>
      <c r="BY189" s="1011">
        <v>0</v>
      </c>
      <c r="BZ189" s="510">
        <v>0</v>
      </c>
      <c r="CA189" s="1011">
        <v>0</v>
      </c>
      <c r="CB189" s="510">
        <v>22000</v>
      </c>
      <c r="CC189" s="1011">
        <v>0</v>
      </c>
      <c r="CD189" s="510">
        <v>0</v>
      </c>
      <c r="CE189" s="1011">
        <v>0</v>
      </c>
      <c r="CF189" s="510">
        <v>45842.400000000001</v>
      </c>
      <c r="CG189" s="1011">
        <v>0</v>
      </c>
      <c r="CH189" s="510">
        <v>0</v>
      </c>
      <c r="CI189" s="1011">
        <v>0</v>
      </c>
    </row>
    <row r="190" spans="1:87" x14ac:dyDescent="0.2">
      <c r="A190" s="449">
        <v>40</v>
      </c>
      <c r="B190" s="453">
        <v>19219</v>
      </c>
      <c r="C190" s="454" t="s">
        <v>2893</v>
      </c>
      <c r="D190" s="454" t="s">
        <v>517</v>
      </c>
      <c r="E190" s="454" t="s">
        <v>2894</v>
      </c>
      <c r="F190" s="454" t="s">
        <v>528</v>
      </c>
      <c r="G190" s="454" t="s">
        <v>12635</v>
      </c>
      <c r="H190" s="455">
        <v>5046076000171</v>
      </c>
      <c r="I190" s="462">
        <v>37389</v>
      </c>
      <c r="J190" s="457">
        <v>37605046</v>
      </c>
      <c r="K190" s="454" t="s">
        <v>2895</v>
      </c>
      <c r="L190" s="458">
        <v>204</v>
      </c>
      <c r="M190" s="454" t="s">
        <v>2896</v>
      </c>
      <c r="N190" s="459">
        <v>2984090</v>
      </c>
      <c r="O190" s="460">
        <v>39415895</v>
      </c>
      <c r="P190" s="462">
        <v>292551</v>
      </c>
      <c r="Q190" s="462">
        <v>40</v>
      </c>
      <c r="R190" s="462">
        <v>43938</v>
      </c>
      <c r="S190" s="463">
        <v>1012</v>
      </c>
      <c r="T190" s="464">
        <v>5.4</v>
      </c>
      <c r="U190" s="465">
        <v>5464.8</v>
      </c>
      <c r="V190" s="465">
        <v>20340</v>
      </c>
      <c r="W190" s="466">
        <v>0</v>
      </c>
      <c r="X190" s="467">
        <v>1</v>
      </c>
      <c r="Y190" s="466">
        <v>38707.199999999997</v>
      </c>
      <c r="Z190" s="468" t="s">
        <v>516</v>
      </c>
      <c r="AA190" s="466">
        <v>141852.4</v>
      </c>
      <c r="AB190" s="466">
        <v>141852.4</v>
      </c>
      <c r="AC190" s="467">
        <v>0</v>
      </c>
      <c r="AD190" s="466">
        <v>0</v>
      </c>
      <c r="AE190" s="468" t="s">
        <v>516</v>
      </c>
      <c r="AF190" s="466">
        <v>2000</v>
      </c>
      <c r="AG190" s="466">
        <v>2000</v>
      </c>
      <c r="AH190" s="466">
        <v>34232.699999999997</v>
      </c>
      <c r="AI190" s="466">
        <v>12622.88</v>
      </c>
      <c r="AJ190" s="469" t="s">
        <v>1571</v>
      </c>
      <c r="AK190" s="470" t="s">
        <v>528</v>
      </c>
      <c r="AL190" s="471" t="s">
        <v>2897</v>
      </c>
      <c r="AM190" s="470" t="s">
        <v>12636</v>
      </c>
      <c r="AN190" s="470" t="s">
        <v>2898</v>
      </c>
      <c r="AO190" s="470" t="s">
        <v>12637</v>
      </c>
      <c r="AP190" s="470" t="s">
        <v>2899</v>
      </c>
      <c r="AQ190" s="470" t="s">
        <v>2893</v>
      </c>
      <c r="AR190" s="472" t="s">
        <v>515</v>
      </c>
      <c r="AS190" s="473" t="s">
        <v>1385</v>
      </c>
      <c r="AT190" s="472" t="s">
        <v>517</v>
      </c>
      <c r="AU190" s="472" t="s">
        <v>420</v>
      </c>
      <c r="AV190" s="472">
        <v>2020</v>
      </c>
      <c r="AW190" s="474" t="s">
        <v>15078</v>
      </c>
      <c r="AX190" s="475" t="s">
        <v>15079</v>
      </c>
      <c r="AY190" s="515">
        <v>1</v>
      </c>
      <c r="AZ190" s="474" t="s">
        <v>15079</v>
      </c>
      <c r="BA190" s="472" t="s">
        <v>517</v>
      </c>
      <c r="BB190" s="472" t="s">
        <v>1385</v>
      </c>
      <c r="BC190" s="472" t="s">
        <v>1385</v>
      </c>
      <c r="BD190" s="472" t="s">
        <v>1385</v>
      </c>
      <c r="BE190" s="472" t="s">
        <v>1385</v>
      </c>
      <c r="BF190" s="472">
        <v>38707.199999999997</v>
      </c>
      <c r="BG190" s="472">
        <v>0</v>
      </c>
      <c r="BH190" s="472" t="s">
        <v>1385</v>
      </c>
      <c r="BI190" s="510">
        <v>0</v>
      </c>
      <c r="BJ190" s="510">
        <v>0</v>
      </c>
      <c r="BK190" s="510">
        <v>0</v>
      </c>
      <c r="BL190" s="510">
        <v>10</v>
      </c>
      <c r="BM190" s="510">
        <v>0</v>
      </c>
      <c r="BN190" s="510">
        <v>5000</v>
      </c>
      <c r="BO190" s="510">
        <v>0</v>
      </c>
      <c r="BP190" s="510">
        <v>2000</v>
      </c>
      <c r="BQ190" s="510">
        <v>0</v>
      </c>
      <c r="BR190" s="510">
        <v>0</v>
      </c>
      <c r="BS190" s="510">
        <v>0</v>
      </c>
      <c r="BT190" s="510">
        <v>0</v>
      </c>
      <c r="BU190" s="510">
        <v>0</v>
      </c>
      <c r="BV190" s="510">
        <v>0</v>
      </c>
      <c r="BW190" s="510">
        <v>0</v>
      </c>
      <c r="BX190" s="510">
        <v>30000</v>
      </c>
      <c r="BY190" s="1011">
        <v>0</v>
      </c>
      <c r="BZ190" s="510">
        <v>0</v>
      </c>
      <c r="CA190" s="1011">
        <v>0</v>
      </c>
      <c r="CB190" s="510">
        <v>22000</v>
      </c>
      <c r="CC190" s="1011">
        <v>0</v>
      </c>
      <c r="CD190" s="510">
        <v>0</v>
      </c>
      <c r="CE190" s="1011">
        <v>0</v>
      </c>
      <c r="CF190" s="510">
        <v>51145.2</v>
      </c>
      <c r="CG190" s="1011">
        <v>0</v>
      </c>
      <c r="CH190" s="510">
        <v>0</v>
      </c>
      <c r="CI190" s="1011">
        <v>0</v>
      </c>
    </row>
    <row r="191" spans="1:87" x14ac:dyDescent="0.2">
      <c r="A191" s="449">
        <v>67</v>
      </c>
      <c r="B191" s="453">
        <v>19220</v>
      </c>
      <c r="C191" s="454" t="s">
        <v>2900</v>
      </c>
      <c r="D191" s="454" t="s">
        <v>517</v>
      </c>
      <c r="E191" s="454" t="s">
        <v>2901</v>
      </c>
      <c r="F191" s="454" t="s">
        <v>528</v>
      </c>
      <c r="G191" s="454" t="s">
        <v>12638</v>
      </c>
      <c r="H191" s="455">
        <v>5060608000125</v>
      </c>
      <c r="I191" s="462">
        <v>37391</v>
      </c>
      <c r="J191" s="457">
        <v>37373358</v>
      </c>
      <c r="K191" s="454" t="s">
        <v>2902</v>
      </c>
      <c r="L191" s="458" t="s">
        <v>1446</v>
      </c>
      <c r="M191" s="454" t="s">
        <v>2903</v>
      </c>
      <c r="N191" s="459">
        <v>2820090</v>
      </c>
      <c r="O191" s="460">
        <v>39729229</v>
      </c>
      <c r="P191" s="462">
        <v>262121</v>
      </c>
      <c r="Q191" s="462">
        <v>67</v>
      </c>
      <c r="R191" s="462">
        <v>43938</v>
      </c>
      <c r="S191" s="463">
        <v>1043</v>
      </c>
      <c r="T191" s="464">
        <v>5.4</v>
      </c>
      <c r="U191" s="465">
        <v>5632.2</v>
      </c>
      <c r="V191" s="465">
        <v>20340</v>
      </c>
      <c r="W191" s="466">
        <v>0</v>
      </c>
      <c r="X191" s="467">
        <v>1</v>
      </c>
      <c r="Y191" s="466">
        <v>38958.300000000003</v>
      </c>
      <c r="Z191" s="468" t="s">
        <v>516</v>
      </c>
      <c r="AA191" s="466">
        <v>143464.70000000001</v>
      </c>
      <c r="AB191" s="466">
        <v>143464.70000000001</v>
      </c>
      <c r="AC191" s="467">
        <v>0</v>
      </c>
      <c r="AD191" s="466">
        <v>0</v>
      </c>
      <c r="AE191" s="468" t="s">
        <v>516</v>
      </c>
      <c r="AF191" s="466">
        <v>1600</v>
      </c>
      <c r="AG191" s="466">
        <v>1600</v>
      </c>
      <c r="AH191" s="466">
        <v>13180.86</v>
      </c>
      <c r="AI191" s="466">
        <v>15879.66</v>
      </c>
      <c r="AJ191" s="469" t="s">
        <v>1571</v>
      </c>
      <c r="AK191" s="470" t="s">
        <v>2904</v>
      </c>
      <c r="AL191" s="471" t="s">
        <v>2905</v>
      </c>
      <c r="AM191" s="470" t="s">
        <v>12639</v>
      </c>
      <c r="AN191" s="470" t="s">
        <v>2906</v>
      </c>
      <c r="AO191" s="470" t="s">
        <v>12640</v>
      </c>
      <c r="AP191" s="470" t="s">
        <v>2907</v>
      </c>
      <c r="AQ191" s="470" t="s">
        <v>2900</v>
      </c>
      <c r="AR191" s="472" t="s">
        <v>515</v>
      </c>
      <c r="AS191" s="473" t="s">
        <v>1385</v>
      </c>
      <c r="AT191" s="472" t="s">
        <v>517</v>
      </c>
      <c r="AU191" s="472" t="s">
        <v>420</v>
      </c>
      <c r="AV191" s="472">
        <v>2020</v>
      </c>
      <c r="AW191" s="474" t="s">
        <v>15078</v>
      </c>
      <c r="AX191" s="475" t="s">
        <v>15079</v>
      </c>
      <c r="AY191" s="515">
        <v>1</v>
      </c>
      <c r="AZ191" s="474" t="s">
        <v>15079</v>
      </c>
      <c r="BA191" s="472" t="s">
        <v>517</v>
      </c>
      <c r="BB191" s="472" t="s">
        <v>1385</v>
      </c>
      <c r="BC191" s="472" t="s">
        <v>1385</v>
      </c>
      <c r="BD191" s="472" t="s">
        <v>1385</v>
      </c>
      <c r="BE191" s="472" t="s">
        <v>1385</v>
      </c>
      <c r="BF191" s="472">
        <v>38958.300000000003</v>
      </c>
      <c r="BG191" s="472">
        <v>0</v>
      </c>
      <c r="BH191" s="472" t="s">
        <v>1385</v>
      </c>
      <c r="BI191" s="510">
        <v>0</v>
      </c>
      <c r="BJ191" s="510">
        <v>0</v>
      </c>
      <c r="BK191" s="510">
        <v>0</v>
      </c>
      <c r="BL191" s="510">
        <v>3500</v>
      </c>
      <c r="BM191" s="510">
        <v>0</v>
      </c>
      <c r="BN191" s="510">
        <v>5000</v>
      </c>
      <c r="BO191" s="510">
        <v>400</v>
      </c>
      <c r="BP191" s="510">
        <v>1600</v>
      </c>
      <c r="BQ191" s="510">
        <v>0</v>
      </c>
      <c r="BR191" s="510">
        <v>0</v>
      </c>
      <c r="BS191" s="510">
        <v>0</v>
      </c>
      <c r="BT191" s="510">
        <v>0</v>
      </c>
      <c r="BU191" s="510">
        <v>2500</v>
      </c>
      <c r="BV191" s="510">
        <v>2500</v>
      </c>
      <c r="BW191" s="510">
        <v>0</v>
      </c>
      <c r="BX191" s="510">
        <v>30000</v>
      </c>
      <c r="BY191" s="1011">
        <v>0</v>
      </c>
      <c r="BZ191" s="510">
        <v>0</v>
      </c>
      <c r="CA191" s="1011">
        <v>0</v>
      </c>
      <c r="CB191" s="510">
        <v>22000</v>
      </c>
      <c r="CC191" s="1011">
        <v>0</v>
      </c>
      <c r="CD191" s="510">
        <v>0</v>
      </c>
      <c r="CE191" s="1011">
        <v>0</v>
      </c>
      <c r="CF191" s="510">
        <v>52106.400000000001</v>
      </c>
      <c r="CG191" s="1011">
        <v>0</v>
      </c>
      <c r="CH191" s="510">
        <v>0</v>
      </c>
      <c r="CI191" s="1011">
        <v>0</v>
      </c>
    </row>
    <row r="192" spans="1:87" x14ac:dyDescent="0.2">
      <c r="A192" s="449">
        <v>60</v>
      </c>
      <c r="B192" s="453">
        <v>19221</v>
      </c>
      <c r="C192" s="454" t="s">
        <v>2908</v>
      </c>
      <c r="D192" s="454" t="s">
        <v>517</v>
      </c>
      <c r="E192" s="454" t="s">
        <v>2909</v>
      </c>
      <c r="F192" s="454" t="s">
        <v>513</v>
      </c>
      <c r="G192" s="454" t="s">
        <v>12641</v>
      </c>
      <c r="H192" s="455">
        <v>4905056000146</v>
      </c>
      <c r="I192" s="462">
        <v>37146</v>
      </c>
      <c r="J192" s="457">
        <v>37532812</v>
      </c>
      <c r="K192" s="454" t="s">
        <v>2603</v>
      </c>
      <c r="L192" s="458">
        <v>139</v>
      </c>
      <c r="M192" s="454" t="s">
        <v>2604</v>
      </c>
      <c r="N192" s="459">
        <v>8372100</v>
      </c>
      <c r="O192" s="460">
        <v>27317774</v>
      </c>
      <c r="P192" s="462">
        <v>150234</v>
      </c>
      <c r="Q192" s="462">
        <v>60</v>
      </c>
      <c r="R192" s="462">
        <v>43937</v>
      </c>
      <c r="S192" s="463">
        <v>1008</v>
      </c>
      <c r="T192" s="464">
        <v>5.4</v>
      </c>
      <c r="U192" s="465">
        <v>5443.2</v>
      </c>
      <c r="V192" s="465">
        <v>20340</v>
      </c>
      <c r="W192" s="466">
        <v>0</v>
      </c>
      <c r="X192" s="467">
        <v>1</v>
      </c>
      <c r="Y192" s="466">
        <v>38674.800000000003</v>
      </c>
      <c r="Z192" s="468" t="s">
        <v>516</v>
      </c>
      <c r="AA192" s="466">
        <v>142241.20000000001</v>
      </c>
      <c r="AB192" s="466">
        <v>142241.20000000001</v>
      </c>
      <c r="AC192" s="467">
        <v>0</v>
      </c>
      <c r="AD192" s="466">
        <v>0</v>
      </c>
      <c r="AE192" s="468" t="s">
        <v>516</v>
      </c>
      <c r="AF192" s="466">
        <v>0</v>
      </c>
      <c r="AG192" s="466">
        <v>0</v>
      </c>
      <c r="AH192" s="466">
        <v>67567.600000000006</v>
      </c>
      <c r="AI192" s="466">
        <v>17937.509999999998</v>
      </c>
      <c r="AJ192" s="469" t="s">
        <v>2030</v>
      </c>
      <c r="AK192" s="470" t="s">
        <v>2910</v>
      </c>
      <c r="AL192" s="471" t="s">
        <v>2911</v>
      </c>
      <c r="AM192" s="470" t="s">
        <v>2912</v>
      </c>
      <c r="AN192" s="470" t="s">
        <v>1385</v>
      </c>
      <c r="AO192" s="470" t="s">
        <v>2913</v>
      </c>
      <c r="AP192" s="470" t="s">
        <v>2604</v>
      </c>
      <c r="AQ192" s="470" t="s">
        <v>2908</v>
      </c>
      <c r="AR192" s="472" t="s">
        <v>515</v>
      </c>
      <c r="AS192" s="473" t="s">
        <v>1385</v>
      </c>
      <c r="AT192" s="472" t="s">
        <v>517</v>
      </c>
      <c r="AU192" s="472" t="s">
        <v>420</v>
      </c>
      <c r="AV192" s="472">
        <v>2020</v>
      </c>
      <c r="AW192" s="474" t="s">
        <v>15078</v>
      </c>
      <c r="AX192" s="475" t="s">
        <v>15079</v>
      </c>
      <c r="AY192" s="515">
        <v>1</v>
      </c>
      <c r="AZ192" s="474" t="s">
        <v>15079</v>
      </c>
      <c r="BA192" s="472" t="s">
        <v>517</v>
      </c>
      <c r="BB192" s="472" t="s">
        <v>1385</v>
      </c>
      <c r="BC192" s="472" t="s">
        <v>1385</v>
      </c>
      <c r="BD192" s="472" t="s">
        <v>1385</v>
      </c>
      <c r="BE192" s="472" t="s">
        <v>1385</v>
      </c>
      <c r="BF192" s="472">
        <v>38674.800000000003</v>
      </c>
      <c r="BG192" s="472">
        <v>0</v>
      </c>
      <c r="BH192" s="472" t="s">
        <v>1385</v>
      </c>
      <c r="BI192" s="510">
        <v>0</v>
      </c>
      <c r="BJ192" s="510">
        <v>4624.8999999999996</v>
      </c>
      <c r="BK192" s="510">
        <v>0</v>
      </c>
      <c r="BL192" s="510">
        <v>3500</v>
      </c>
      <c r="BM192" s="510">
        <v>0</v>
      </c>
      <c r="BN192" s="510">
        <v>5000</v>
      </c>
      <c r="BO192" s="510">
        <v>0</v>
      </c>
      <c r="BP192" s="510">
        <v>0</v>
      </c>
      <c r="BQ192" s="510">
        <v>0</v>
      </c>
      <c r="BR192" s="510">
        <v>0</v>
      </c>
      <c r="BS192" s="510">
        <v>0</v>
      </c>
      <c r="BT192" s="510">
        <v>0</v>
      </c>
      <c r="BU192" s="510">
        <v>2500</v>
      </c>
      <c r="BV192" s="510">
        <v>2500</v>
      </c>
      <c r="BW192" s="510">
        <v>0</v>
      </c>
      <c r="BX192" s="510">
        <v>30000</v>
      </c>
      <c r="BY192" s="1011">
        <v>0</v>
      </c>
      <c r="BZ192" s="510">
        <v>0</v>
      </c>
      <c r="CA192" s="1011">
        <v>0</v>
      </c>
      <c r="CB192" s="510">
        <v>22000</v>
      </c>
      <c r="CC192" s="1011">
        <v>0</v>
      </c>
      <c r="CD192" s="510">
        <v>0</v>
      </c>
      <c r="CE192" s="1011">
        <v>0</v>
      </c>
      <c r="CF192" s="510">
        <v>51566.400000000001</v>
      </c>
      <c r="CG192" s="1011">
        <v>0</v>
      </c>
      <c r="CH192" s="510">
        <v>0</v>
      </c>
      <c r="CI192" s="1011">
        <v>0</v>
      </c>
    </row>
    <row r="193" spans="1:118" x14ac:dyDescent="0.2">
      <c r="A193" s="449">
        <v>112</v>
      </c>
      <c r="B193" s="453">
        <v>19222</v>
      </c>
      <c r="C193" s="454" t="s">
        <v>2914</v>
      </c>
      <c r="D193" s="454" t="s">
        <v>517</v>
      </c>
      <c r="E193" s="454" t="s">
        <v>2914</v>
      </c>
      <c r="F193" s="454" t="s">
        <v>520</v>
      </c>
      <c r="G193" s="454" t="s">
        <v>12642</v>
      </c>
      <c r="H193" s="455">
        <v>5110013000137</v>
      </c>
      <c r="I193" s="462">
        <v>37138</v>
      </c>
      <c r="J193" s="457">
        <v>37619632</v>
      </c>
      <c r="K193" s="454" t="s">
        <v>2915</v>
      </c>
      <c r="L193" s="458">
        <v>100</v>
      </c>
      <c r="M193" s="454" t="s">
        <v>2916</v>
      </c>
      <c r="N193" s="459">
        <v>5712080</v>
      </c>
      <c r="O193" s="460">
        <v>37429911</v>
      </c>
      <c r="P193" s="462">
        <v>304088</v>
      </c>
      <c r="Q193" s="462">
        <v>177</v>
      </c>
      <c r="R193" s="462">
        <v>43979</v>
      </c>
      <c r="S193" s="463">
        <v>1235</v>
      </c>
      <c r="T193" s="464">
        <v>5.4</v>
      </c>
      <c r="U193" s="465">
        <v>6669</v>
      </c>
      <c r="V193" s="465">
        <v>21960</v>
      </c>
      <c r="W193" s="466">
        <v>0</v>
      </c>
      <c r="X193" s="467">
        <v>1</v>
      </c>
      <c r="Y193" s="466">
        <v>42943.5</v>
      </c>
      <c r="Z193" s="468" t="s">
        <v>516</v>
      </c>
      <c r="AA193" s="466">
        <v>152428.29999999999</v>
      </c>
      <c r="AB193" s="466">
        <v>152428.29999999999</v>
      </c>
      <c r="AC193" s="467">
        <v>0</v>
      </c>
      <c r="AD193" s="466">
        <v>0</v>
      </c>
      <c r="AE193" s="468" t="s">
        <v>516</v>
      </c>
      <c r="AF193" s="466">
        <v>0</v>
      </c>
      <c r="AG193" s="466">
        <v>0</v>
      </c>
      <c r="AH193" s="466">
        <v>37362.33</v>
      </c>
      <c r="AI193" s="466">
        <v>6739.25</v>
      </c>
      <c r="AJ193" s="469" t="s">
        <v>1489</v>
      </c>
      <c r="AK193" s="470" t="s">
        <v>520</v>
      </c>
      <c r="AL193" s="471" t="s">
        <v>2917</v>
      </c>
      <c r="AM193" s="470" t="s">
        <v>2918</v>
      </c>
      <c r="AN193" s="470" t="s">
        <v>2919</v>
      </c>
      <c r="AO193" s="470" t="s">
        <v>2920</v>
      </c>
      <c r="AP193" s="470" t="s">
        <v>2921</v>
      </c>
      <c r="AQ193" s="470" t="s">
        <v>2914</v>
      </c>
      <c r="AR193" s="472" t="s">
        <v>515</v>
      </c>
      <c r="AS193" s="473" t="s">
        <v>1385</v>
      </c>
      <c r="AT193" s="472" t="s">
        <v>517</v>
      </c>
      <c r="AU193" s="472" t="s">
        <v>420</v>
      </c>
      <c r="AV193" s="472">
        <v>2020</v>
      </c>
      <c r="AW193" s="474" t="s">
        <v>15078</v>
      </c>
      <c r="AX193" s="475" t="s">
        <v>15079</v>
      </c>
      <c r="AY193" s="515">
        <v>1</v>
      </c>
      <c r="AZ193" s="474" t="s">
        <v>15079</v>
      </c>
      <c r="BA193" s="472" t="s">
        <v>517</v>
      </c>
      <c r="BB193" s="472" t="s">
        <v>1385</v>
      </c>
      <c r="BC193" s="472" t="s">
        <v>1385</v>
      </c>
      <c r="BD193" s="472" t="s">
        <v>1385</v>
      </c>
      <c r="BE193" s="472" t="s">
        <v>1385</v>
      </c>
      <c r="BF193" s="472">
        <v>42943.5</v>
      </c>
      <c r="BG193" s="472">
        <v>0</v>
      </c>
      <c r="BH193" s="472" t="s">
        <v>1385</v>
      </c>
      <c r="BI193" s="510">
        <v>0</v>
      </c>
      <c r="BJ193" s="510">
        <v>0</v>
      </c>
      <c r="BK193" s="510">
        <v>0</v>
      </c>
      <c r="BL193" s="510">
        <v>0</v>
      </c>
      <c r="BM193" s="510">
        <v>0</v>
      </c>
      <c r="BN193" s="510">
        <v>6000</v>
      </c>
      <c r="BO193" s="510">
        <v>0</v>
      </c>
      <c r="BP193" s="510">
        <v>0</v>
      </c>
      <c r="BQ193" s="510">
        <v>0</v>
      </c>
      <c r="BR193" s="510">
        <v>0</v>
      </c>
      <c r="BS193" s="510">
        <v>0</v>
      </c>
      <c r="BT193" s="510">
        <v>0</v>
      </c>
      <c r="BU193" s="510">
        <v>0</v>
      </c>
      <c r="BV193" s="510">
        <v>0</v>
      </c>
      <c r="BW193" s="510">
        <v>0</v>
      </c>
      <c r="BX193" s="510">
        <v>30000</v>
      </c>
      <c r="BY193" s="1011">
        <v>0</v>
      </c>
      <c r="BZ193" s="510">
        <v>0</v>
      </c>
      <c r="CA193" s="1011">
        <v>0</v>
      </c>
      <c r="CB193" s="510">
        <v>22000</v>
      </c>
      <c r="CC193" s="1011">
        <v>0</v>
      </c>
      <c r="CD193" s="510">
        <v>0</v>
      </c>
      <c r="CE193" s="1011">
        <v>0</v>
      </c>
      <c r="CF193" s="510">
        <v>57484.800000000003</v>
      </c>
      <c r="CG193" s="1011">
        <v>0</v>
      </c>
      <c r="CH193" s="510">
        <v>0</v>
      </c>
      <c r="CI193" s="1011">
        <v>0</v>
      </c>
    </row>
    <row r="194" spans="1:118" x14ac:dyDescent="0.2">
      <c r="A194" s="449">
        <v>66</v>
      </c>
      <c r="B194" s="453">
        <v>19223</v>
      </c>
      <c r="C194" s="454" t="s">
        <v>2922</v>
      </c>
      <c r="D194" s="454" t="s">
        <v>517</v>
      </c>
      <c r="E194" s="454" t="s">
        <v>2923</v>
      </c>
      <c r="F194" s="454" t="s">
        <v>513</v>
      </c>
      <c r="G194" s="454" t="s">
        <v>12643</v>
      </c>
      <c r="H194" s="455">
        <v>4889761000105</v>
      </c>
      <c r="I194" s="462">
        <v>36935</v>
      </c>
      <c r="J194" s="457">
        <v>37532766</v>
      </c>
      <c r="K194" s="454" t="s">
        <v>2924</v>
      </c>
      <c r="L194" s="458">
        <v>2</v>
      </c>
      <c r="M194" s="454" t="s">
        <v>2925</v>
      </c>
      <c r="N194" s="459">
        <v>8390280</v>
      </c>
      <c r="O194" s="460">
        <v>27539100</v>
      </c>
      <c r="P194" s="462">
        <v>150706</v>
      </c>
      <c r="Q194" s="462">
        <v>66</v>
      </c>
      <c r="R194" s="462">
        <v>43937</v>
      </c>
      <c r="S194" s="463">
        <v>1282</v>
      </c>
      <c r="T194" s="464">
        <v>5.4</v>
      </c>
      <c r="U194" s="465">
        <v>6922.8</v>
      </c>
      <c r="V194" s="465">
        <v>21960</v>
      </c>
      <c r="W194" s="466">
        <v>0</v>
      </c>
      <c r="X194" s="467">
        <v>1</v>
      </c>
      <c r="Y194" s="466">
        <v>43324.2</v>
      </c>
      <c r="Z194" s="468" t="s">
        <v>516</v>
      </c>
      <c r="AA194" s="466">
        <v>152890.6</v>
      </c>
      <c r="AB194" s="466">
        <v>152890.6</v>
      </c>
      <c r="AC194" s="467">
        <v>0</v>
      </c>
      <c r="AD194" s="466">
        <v>0</v>
      </c>
      <c r="AE194" s="468" t="s">
        <v>516</v>
      </c>
      <c r="AF194" s="466">
        <v>1400</v>
      </c>
      <c r="AG194" s="466">
        <v>1400</v>
      </c>
      <c r="AH194" s="466">
        <v>29223.78</v>
      </c>
      <c r="AI194" s="466">
        <v>26394.26</v>
      </c>
      <c r="AJ194" s="469" t="s">
        <v>2926</v>
      </c>
      <c r="AK194" s="470" t="s">
        <v>2927</v>
      </c>
      <c r="AL194" s="471" t="s">
        <v>2928</v>
      </c>
      <c r="AM194" s="470" t="s">
        <v>12644</v>
      </c>
      <c r="AN194" s="470" t="s">
        <v>2929</v>
      </c>
      <c r="AO194" s="470" t="s">
        <v>2930</v>
      </c>
      <c r="AP194" s="470" t="s">
        <v>2931</v>
      </c>
      <c r="AQ194" s="470" t="s">
        <v>2922</v>
      </c>
      <c r="AR194" s="472" t="s">
        <v>515</v>
      </c>
      <c r="AS194" s="473" t="s">
        <v>1385</v>
      </c>
      <c r="AT194" s="472" t="s">
        <v>517</v>
      </c>
      <c r="AU194" s="472" t="s">
        <v>420</v>
      </c>
      <c r="AV194" s="472">
        <v>2020</v>
      </c>
      <c r="AW194" s="474" t="s">
        <v>15078</v>
      </c>
      <c r="AX194" s="475" t="s">
        <v>15079</v>
      </c>
      <c r="AY194" s="515">
        <v>1</v>
      </c>
      <c r="AZ194" s="474" t="s">
        <v>15079</v>
      </c>
      <c r="BA194" s="472" t="s">
        <v>517</v>
      </c>
      <c r="BB194" s="472" t="s">
        <v>1385</v>
      </c>
      <c r="BC194" s="472" t="s">
        <v>1385</v>
      </c>
      <c r="BD194" s="472" t="s">
        <v>1385</v>
      </c>
      <c r="BE194" s="472" t="s">
        <v>1385</v>
      </c>
      <c r="BF194" s="472">
        <v>43324.2</v>
      </c>
      <c r="BG194" s="472">
        <v>0</v>
      </c>
      <c r="BH194" s="472" t="s">
        <v>1385</v>
      </c>
      <c r="BI194" s="510">
        <v>0</v>
      </c>
      <c r="BJ194" s="510">
        <v>0</v>
      </c>
      <c r="BK194" s="510">
        <v>0</v>
      </c>
      <c r="BL194" s="510">
        <v>0</v>
      </c>
      <c r="BM194" s="510">
        <v>0</v>
      </c>
      <c r="BN194" s="510">
        <v>6000</v>
      </c>
      <c r="BO194" s="510">
        <v>600</v>
      </c>
      <c r="BP194" s="510">
        <v>1400</v>
      </c>
      <c r="BQ194" s="510">
        <v>0</v>
      </c>
      <c r="BR194" s="510">
        <v>0</v>
      </c>
      <c r="BS194" s="510">
        <v>0</v>
      </c>
      <c r="BT194" s="510">
        <v>0</v>
      </c>
      <c r="BU194" s="510">
        <v>0</v>
      </c>
      <c r="BV194" s="510">
        <v>0</v>
      </c>
      <c r="BW194" s="510">
        <v>0</v>
      </c>
      <c r="BX194" s="510">
        <v>30000</v>
      </c>
      <c r="BY194" s="1011">
        <v>0</v>
      </c>
      <c r="BZ194" s="510">
        <v>0</v>
      </c>
      <c r="CA194" s="1011">
        <v>0</v>
      </c>
      <c r="CB194" s="510">
        <v>22000</v>
      </c>
      <c r="CC194" s="1011">
        <v>0</v>
      </c>
      <c r="CD194" s="510">
        <v>0</v>
      </c>
      <c r="CE194" s="1011">
        <v>0</v>
      </c>
      <c r="CF194" s="510">
        <v>56966.400000000001</v>
      </c>
      <c r="CG194" s="1011">
        <v>0</v>
      </c>
      <c r="CH194" s="510">
        <v>0</v>
      </c>
      <c r="CI194" s="1011">
        <v>0</v>
      </c>
    </row>
    <row r="195" spans="1:118" x14ac:dyDescent="0.2">
      <c r="A195" s="449">
        <v>53</v>
      </c>
      <c r="B195" s="453">
        <v>19224</v>
      </c>
      <c r="C195" s="454" t="s">
        <v>2932</v>
      </c>
      <c r="D195" s="454" t="s">
        <v>517</v>
      </c>
      <c r="E195" s="454" t="s">
        <v>2933</v>
      </c>
      <c r="F195" s="454" t="s">
        <v>528</v>
      </c>
      <c r="G195" s="454" t="s">
        <v>12645</v>
      </c>
      <c r="H195" s="455">
        <v>3793169000134</v>
      </c>
      <c r="I195" s="462">
        <v>38591</v>
      </c>
      <c r="J195" s="457">
        <v>37374648</v>
      </c>
      <c r="K195" s="454" t="s">
        <v>2934</v>
      </c>
      <c r="L195" s="458">
        <v>38</v>
      </c>
      <c r="M195" s="454" t="s">
        <v>2935</v>
      </c>
      <c r="N195" s="459">
        <v>5267200</v>
      </c>
      <c r="O195" s="460">
        <v>39165479</v>
      </c>
      <c r="P195" s="462">
        <v>261974</v>
      </c>
      <c r="Q195" s="462">
        <v>53</v>
      </c>
      <c r="R195" s="462">
        <v>43938</v>
      </c>
      <c r="S195" s="463">
        <v>1093</v>
      </c>
      <c r="T195" s="464">
        <v>5.4</v>
      </c>
      <c r="U195" s="465">
        <v>5902.2</v>
      </c>
      <c r="V195" s="465">
        <v>20340</v>
      </c>
      <c r="W195" s="466">
        <v>0</v>
      </c>
      <c r="X195" s="467">
        <v>1</v>
      </c>
      <c r="Y195" s="466">
        <v>39363.300000000003</v>
      </c>
      <c r="Z195" s="468" t="s">
        <v>516</v>
      </c>
      <c r="AA195" s="466">
        <v>143685.70000000001</v>
      </c>
      <c r="AB195" s="466">
        <v>143685.70000000001</v>
      </c>
      <c r="AC195" s="467">
        <v>0</v>
      </c>
      <c r="AD195" s="466">
        <v>0</v>
      </c>
      <c r="AE195" s="468" t="s">
        <v>516</v>
      </c>
      <c r="AF195" s="466">
        <v>0</v>
      </c>
      <c r="AG195" s="466">
        <v>0</v>
      </c>
      <c r="AH195" s="466">
        <v>17107.57</v>
      </c>
      <c r="AI195" s="466">
        <v>7555.53</v>
      </c>
      <c r="AJ195" s="469" t="s">
        <v>1729</v>
      </c>
      <c r="AK195" s="470" t="s">
        <v>2936</v>
      </c>
      <c r="AL195" s="471" t="s">
        <v>2937</v>
      </c>
      <c r="AM195" s="470" t="s">
        <v>2938</v>
      </c>
      <c r="AN195" s="470" t="s">
        <v>2939</v>
      </c>
      <c r="AO195" s="470" t="s">
        <v>2940</v>
      </c>
      <c r="AP195" s="470" t="s">
        <v>2941</v>
      </c>
      <c r="AQ195" s="470" t="s">
        <v>2932</v>
      </c>
      <c r="AR195" s="472" t="s">
        <v>515</v>
      </c>
      <c r="AS195" s="473" t="s">
        <v>1385</v>
      </c>
      <c r="AT195" s="472" t="s">
        <v>517</v>
      </c>
      <c r="AU195" s="472" t="s">
        <v>420</v>
      </c>
      <c r="AV195" s="472">
        <v>2020</v>
      </c>
      <c r="AW195" s="474" t="s">
        <v>15078</v>
      </c>
      <c r="AX195" s="475" t="s">
        <v>15079</v>
      </c>
      <c r="AY195" s="515">
        <v>1</v>
      </c>
      <c r="AZ195" s="474" t="s">
        <v>15079</v>
      </c>
      <c r="BA195" s="472" t="s">
        <v>517</v>
      </c>
      <c r="BB195" s="472" t="s">
        <v>1385</v>
      </c>
      <c r="BC195" s="472" t="s">
        <v>1385</v>
      </c>
      <c r="BD195" s="472" t="s">
        <v>1385</v>
      </c>
      <c r="BE195" s="472" t="s">
        <v>1385</v>
      </c>
      <c r="BF195" s="509">
        <v>39363.300000000003</v>
      </c>
      <c r="BG195" s="509">
        <v>0</v>
      </c>
      <c r="BH195" s="472" t="s">
        <v>1385</v>
      </c>
      <c r="BI195" s="510">
        <v>0</v>
      </c>
      <c r="BJ195" s="510">
        <v>0</v>
      </c>
      <c r="BK195" s="510">
        <v>0</v>
      </c>
      <c r="BL195" s="510">
        <v>0</v>
      </c>
      <c r="BM195" s="510">
        <v>0</v>
      </c>
      <c r="BN195" s="510">
        <v>5000</v>
      </c>
      <c r="BO195" s="510">
        <v>0</v>
      </c>
      <c r="BP195" s="510">
        <v>0</v>
      </c>
      <c r="BQ195" s="510">
        <v>0</v>
      </c>
      <c r="BR195" s="510">
        <v>0</v>
      </c>
      <c r="BS195" s="510">
        <v>0</v>
      </c>
      <c r="BT195" s="510">
        <v>0</v>
      </c>
      <c r="BU195" s="510">
        <v>2500</v>
      </c>
      <c r="BV195" s="510">
        <v>2500</v>
      </c>
      <c r="BW195" s="510">
        <v>0</v>
      </c>
      <c r="BX195" s="510">
        <v>30000</v>
      </c>
      <c r="BY195" s="1011">
        <v>0</v>
      </c>
      <c r="BZ195" s="510">
        <v>0</v>
      </c>
      <c r="CA195" s="1011">
        <v>0</v>
      </c>
      <c r="CB195" s="510">
        <v>22000</v>
      </c>
      <c r="CC195" s="1011">
        <v>0</v>
      </c>
      <c r="CD195" s="510">
        <v>0</v>
      </c>
      <c r="CE195" s="1011">
        <v>0</v>
      </c>
      <c r="CF195" s="510">
        <v>52322.400000000001</v>
      </c>
      <c r="CG195" s="1011">
        <v>0</v>
      </c>
      <c r="CH195" s="510">
        <v>0</v>
      </c>
      <c r="CI195" s="1011">
        <v>0</v>
      </c>
    </row>
    <row r="196" spans="1:118" x14ac:dyDescent="0.2">
      <c r="A196" s="449">
        <v>82</v>
      </c>
      <c r="B196" s="453">
        <v>19225</v>
      </c>
      <c r="C196" s="454" t="s">
        <v>2942</v>
      </c>
      <c r="D196" s="454" t="s">
        <v>517</v>
      </c>
      <c r="E196" s="454" t="s">
        <v>2943</v>
      </c>
      <c r="F196" s="454" t="s">
        <v>526</v>
      </c>
      <c r="G196" s="454" t="s">
        <v>12646</v>
      </c>
      <c r="H196" s="455">
        <v>4887168000111</v>
      </c>
      <c r="I196" s="462">
        <v>37095</v>
      </c>
      <c r="J196" s="457">
        <v>37474936</v>
      </c>
      <c r="K196" s="454" t="s">
        <v>2944</v>
      </c>
      <c r="L196" s="458">
        <v>18</v>
      </c>
      <c r="M196" s="454" t="s">
        <v>1838</v>
      </c>
      <c r="N196" s="459">
        <v>8111730</v>
      </c>
      <c r="O196" s="460">
        <v>25691250</v>
      </c>
      <c r="P196" s="462">
        <v>144544</v>
      </c>
      <c r="Q196" s="462">
        <v>82</v>
      </c>
      <c r="R196" s="462">
        <v>43928</v>
      </c>
      <c r="S196" s="463">
        <v>808</v>
      </c>
      <c r="T196" s="464">
        <v>5.4</v>
      </c>
      <c r="U196" s="465">
        <v>4363.2</v>
      </c>
      <c r="V196" s="465">
        <v>18720</v>
      </c>
      <c r="W196" s="466">
        <v>0</v>
      </c>
      <c r="X196" s="467">
        <v>1</v>
      </c>
      <c r="Y196" s="466">
        <v>34624.800000000003</v>
      </c>
      <c r="Z196" s="468" t="s">
        <v>516</v>
      </c>
      <c r="AA196" s="466">
        <v>133683.20000000001</v>
      </c>
      <c r="AB196" s="466">
        <v>133683.20000000001</v>
      </c>
      <c r="AC196" s="467">
        <v>0</v>
      </c>
      <c r="AD196" s="466">
        <v>0</v>
      </c>
      <c r="AE196" s="468" t="s">
        <v>516</v>
      </c>
      <c r="AF196" s="466">
        <v>1000</v>
      </c>
      <c r="AG196" s="466">
        <v>1000</v>
      </c>
      <c r="AH196" s="466">
        <v>15683.59</v>
      </c>
      <c r="AI196" s="466">
        <v>7535.86</v>
      </c>
      <c r="AJ196" s="469" t="s">
        <v>1410</v>
      </c>
      <c r="AK196" s="470" t="s">
        <v>1411</v>
      </c>
      <c r="AL196" s="471" t="s">
        <v>2945</v>
      </c>
      <c r="AM196" s="470" t="s">
        <v>2946</v>
      </c>
      <c r="AN196" s="470" t="s">
        <v>1385</v>
      </c>
      <c r="AO196" s="470" t="s">
        <v>2947</v>
      </c>
      <c r="AP196" s="470" t="s">
        <v>2948</v>
      </c>
      <c r="AQ196" s="470" t="s">
        <v>2942</v>
      </c>
      <c r="AR196" s="472" t="s">
        <v>515</v>
      </c>
      <c r="AS196" s="473" t="s">
        <v>1385</v>
      </c>
      <c r="AT196" s="472" t="s">
        <v>517</v>
      </c>
      <c r="AU196" s="472" t="s">
        <v>420</v>
      </c>
      <c r="AV196" s="472">
        <v>2020</v>
      </c>
      <c r="AW196" s="474" t="s">
        <v>15078</v>
      </c>
      <c r="AX196" s="475" t="s">
        <v>15079</v>
      </c>
      <c r="AY196" s="515">
        <v>1</v>
      </c>
      <c r="AZ196" s="474" t="s">
        <v>15079</v>
      </c>
      <c r="BA196" s="472" t="s">
        <v>517</v>
      </c>
      <c r="BB196" s="472" t="s">
        <v>1385</v>
      </c>
      <c r="BC196" s="472" t="s">
        <v>1385</v>
      </c>
      <c r="BD196" s="472" t="s">
        <v>1385</v>
      </c>
      <c r="BE196" s="472" t="s">
        <v>1385</v>
      </c>
      <c r="BF196" s="472">
        <v>34624.800000000003</v>
      </c>
      <c r="BG196" s="472">
        <v>0</v>
      </c>
      <c r="BH196" s="472" t="s">
        <v>1385</v>
      </c>
      <c r="BI196" s="510">
        <v>0</v>
      </c>
      <c r="BJ196" s="510">
        <v>0</v>
      </c>
      <c r="BK196" s="510">
        <v>0</v>
      </c>
      <c r="BL196" s="510">
        <v>0</v>
      </c>
      <c r="BM196" s="510">
        <v>0</v>
      </c>
      <c r="BN196" s="510">
        <v>5000</v>
      </c>
      <c r="BO196" s="510">
        <v>1000</v>
      </c>
      <c r="BP196" s="510">
        <v>1000</v>
      </c>
      <c r="BQ196" s="510">
        <v>0</v>
      </c>
      <c r="BR196" s="510">
        <v>0</v>
      </c>
      <c r="BS196" s="510">
        <v>0</v>
      </c>
      <c r="BT196" s="510">
        <v>0</v>
      </c>
      <c r="BU196" s="510">
        <v>2500</v>
      </c>
      <c r="BV196" s="510">
        <v>2500</v>
      </c>
      <c r="BW196" s="510">
        <v>0</v>
      </c>
      <c r="BX196" s="510">
        <v>30000</v>
      </c>
      <c r="BY196" s="1011">
        <v>0</v>
      </c>
      <c r="BZ196" s="510">
        <v>0</v>
      </c>
      <c r="CA196" s="1011">
        <v>0</v>
      </c>
      <c r="CB196" s="510">
        <v>22000</v>
      </c>
      <c r="CC196" s="1011">
        <v>0</v>
      </c>
      <c r="CD196" s="510">
        <v>0</v>
      </c>
      <c r="CE196" s="1011">
        <v>0</v>
      </c>
      <c r="CF196" s="510">
        <v>46058.400000000001</v>
      </c>
      <c r="CG196" s="1011">
        <v>0</v>
      </c>
      <c r="CH196" s="510">
        <v>0</v>
      </c>
      <c r="CI196" s="1011">
        <v>0</v>
      </c>
    </row>
    <row r="197" spans="1:118" x14ac:dyDescent="0.2">
      <c r="A197" s="449">
        <v>83</v>
      </c>
      <c r="B197" s="453">
        <v>19226</v>
      </c>
      <c r="C197" s="454" t="s">
        <v>2949</v>
      </c>
      <c r="D197" s="454" t="s">
        <v>2950</v>
      </c>
      <c r="E197" s="454" t="s">
        <v>2951</v>
      </c>
      <c r="F197" s="454" t="s">
        <v>526</v>
      </c>
      <c r="G197" s="454" t="s">
        <v>12647</v>
      </c>
      <c r="H197" s="455">
        <v>5073870000104</v>
      </c>
      <c r="I197" s="462">
        <v>37386</v>
      </c>
      <c r="J197" s="457">
        <v>37475193</v>
      </c>
      <c r="K197" s="454" t="s">
        <v>2952</v>
      </c>
      <c r="L197" s="458">
        <v>347</v>
      </c>
      <c r="M197" s="454" t="s">
        <v>1838</v>
      </c>
      <c r="N197" s="459">
        <v>8141290</v>
      </c>
      <c r="O197" s="460">
        <v>25636231</v>
      </c>
      <c r="P197" s="462">
        <v>139451</v>
      </c>
      <c r="Q197" s="462">
        <v>83</v>
      </c>
      <c r="R197" s="462">
        <v>43928</v>
      </c>
      <c r="S197" s="463">
        <v>1039</v>
      </c>
      <c r="T197" s="464">
        <v>5.4</v>
      </c>
      <c r="U197" s="465">
        <v>5610.6</v>
      </c>
      <c r="V197" s="465">
        <v>20340</v>
      </c>
      <c r="W197" s="466">
        <v>0</v>
      </c>
      <c r="X197" s="467">
        <v>1</v>
      </c>
      <c r="Y197" s="466">
        <v>38925.9</v>
      </c>
      <c r="Z197" s="468" t="s">
        <v>516</v>
      </c>
      <c r="AA197" s="466">
        <v>156825.9</v>
      </c>
      <c r="AB197" s="466">
        <v>156825.9</v>
      </c>
      <c r="AC197" s="467">
        <v>0</v>
      </c>
      <c r="AD197" s="466">
        <v>0</v>
      </c>
      <c r="AE197" s="468" t="s">
        <v>516</v>
      </c>
      <c r="AF197" s="466">
        <v>500</v>
      </c>
      <c r="AG197" s="466">
        <v>500</v>
      </c>
      <c r="AH197" s="466">
        <v>28137.17</v>
      </c>
      <c r="AI197" s="466">
        <v>13112.14</v>
      </c>
      <c r="AJ197" s="469" t="s">
        <v>1410</v>
      </c>
      <c r="AK197" s="470" t="s">
        <v>1411</v>
      </c>
      <c r="AL197" s="471" t="s">
        <v>2953</v>
      </c>
      <c r="AM197" s="470" t="s">
        <v>2954</v>
      </c>
      <c r="AN197" s="470" t="s">
        <v>1385</v>
      </c>
      <c r="AO197" s="470" t="s">
        <v>12648</v>
      </c>
      <c r="AP197" s="470" t="s">
        <v>2787</v>
      </c>
      <c r="AQ197" s="470" t="s">
        <v>2949</v>
      </c>
      <c r="AR197" s="472" t="s">
        <v>515</v>
      </c>
      <c r="AS197" s="473" t="s">
        <v>1385</v>
      </c>
      <c r="AT197" s="472" t="s">
        <v>2950</v>
      </c>
      <c r="AU197" s="472" t="s">
        <v>420</v>
      </c>
      <c r="AV197" s="472">
        <v>2020</v>
      </c>
      <c r="AW197" s="474" t="s">
        <v>15078</v>
      </c>
      <c r="AX197" s="475" t="s">
        <v>15079</v>
      </c>
      <c r="AY197" s="515">
        <v>1</v>
      </c>
      <c r="AZ197" s="474" t="s">
        <v>15079</v>
      </c>
      <c r="BA197" s="472" t="s">
        <v>2950</v>
      </c>
      <c r="BB197" s="472" t="s">
        <v>1385</v>
      </c>
      <c r="BC197" s="472" t="s">
        <v>1385</v>
      </c>
      <c r="BD197" s="472" t="s">
        <v>1385</v>
      </c>
      <c r="BE197" s="472" t="s">
        <v>1385</v>
      </c>
      <c r="BF197" s="472">
        <v>38925.9</v>
      </c>
      <c r="BG197" s="472">
        <v>0</v>
      </c>
      <c r="BH197" s="472" t="s">
        <v>1385</v>
      </c>
      <c r="BI197" s="510">
        <v>0</v>
      </c>
      <c r="BJ197" s="510">
        <v>0</v>
      </c>
      <c r="BK197" s="510">
        <v>0</v>
      </c>
      <c r="BL197" s="510">
        <v>3500</v>
      </c>
      <c r="BM197" s="510">
        <v>0</v>
      </c>
      <c r="BN197" s="510">
        <v>5000</v>
      </c>
      <c r="BO197" s="510">
        <v>1500</v>
      </c>
      <c r="BP197" s="510">
        <v>500</v>
      </c>
      <c r="BQ197" s="510">
        <v>0</v>
      </c>
      <c r="BR197" s="510">
        <v>0</v>
      </c>
      <c r="BS197" s="510">
        <v>0</v>
      </c>
      <c r="BT197" s="510">
        <v>0</v>
      </c>
      <c r="BU197" s="510">
        <v>2500</v>
      </c>
      <c r="BV197" s="510">
        <v>2500</v>
      </c>
      <c r="BW197" s="510">
        <v>0</v>
      </c>
      <c r="BX197" s="510">
        <v>30000</v>
      </c>
      <c r="BY197" s="1011">
        <v>0</v>
      </c>
      <c r="BZ197" s="510">
        <v>0</v>
      </c>
      <c r="CA197" s="1011">
        <v>0</v>
      </c>
      <c r="CB197" s="510">
        <v>22000</v>
      </c>
      <c r="CC197" s="1011">
        <v>0</v>
      </c>
      <c r="CD197" s="510">
        <v>0</v>
      </c>
      <c r="CE197" s="1011">
        <v>0</v>
      </c>
      <c r="CF197" s="510">
        <v>64400</v>
      </c>
      <c r="CG197" s="1011">
        <v>0</v>
      </c>
      <c r="CH197" s="510">
        <v>0</v>
      </c>
      <c r="CI197" s="1011">
        <v>0</v>
      </c>
    </row>
    <row r="198" spans="1:118" x14ac:dyDescent="0.2">
      <c r="A198" s="449">
        <v>53</v>
      </c>
      <c r="B198" s="453">
        <v>19227</v>
      </c>
      <c r="C198" s="454" t="s">
        <v>2955</v>
      </c>
      <c r="D198" s="454" t="s">
        <v>2950</v>
      </c>
      <c r="E198" s="454" t="s">
        <v>2956</v>
      </c>
      <c r="F198" s="454" t="s">
        <v>518</v>
      </c>
      <c r="G198" s="454" t="s">
        <v>12649</v>
      </c>
      <c r="H198" s="455">
        <v>5082246000173</v>
      </c>
      <c r="I198" s="462">
        <v>37376</v>
      </c>
      <c r="J198" s="457">
        <v>37468626</v>
      </c>
      <c r="K198" s="454" t="s">
        <v>2958</v>
      </c>
      <c r="L198" s="458">
        <v>2171</v>
      </c>
      <c r="M198" s="454" t="s">
        <v>2859</v>
      </c>
      <c r="N198" s="459">
        <v>8225380</v>
      </c>
      <c r="O198" s="460">
        <v>33979050</v>
      </c>
      <c r="P198" s="462">
        <v>50191</v>
      </c>
      <c r="Q198" s="462">
        <v>98</v>
      </c>
      <c r="R198" s="462">
        <v>43934</v>
      </c>
      <c r="S198" s="463">
        <v>1286</v>
      </c>
      <c r="T198" s="464">
        <v>5.4</v>
      </c>
      <c r="U198" s="465">
        <v>6944.4</v>
      </c>
      <c r="V198" s="465">
        <v>21960</v>
      </c>
      <c r="W198" s="466">
        <v>0</v>
      </c>
      <c r="X198" s="467">
        <v>1</v>
      </c>
      <c r="Y198" s="466">
        <v>49944.6</v>
      </c>
      <c r="Z198" s="468" t="s">
        <v>516</v>
      </c>
      <c r="AA198" s="466">
        <v>175614.6</v>
      </c>
      <c r="AB198" s="466">
        <v>175614.6</v>
      </c>
      <c r="AC198" s="467">
        <v>0</v>
      </c>
      <c r="AD198" s="466">
        <v>0</v>
      </c>
      <c r="AE198" s="468" t="s">
        <v>516</v>
      </c>
      <c r="AF198" s="466">
        <v>0</v>
      </c>
      <c r="AG198" s="466">
        <v>0</v>
      </c>
      <c r="AH198" s="466">
        <v>58360.26</v>
      </c>
      <c r="AI198" s="466">
        <v>0.41</v>
      </c>
      <c r="AJ198" s="469" t="s">
        <v>2196</v>
      </c>
      <c r="AK198" s="470" t="s">
        <v>2859</v>
      </c>
      <c r="AL198" s="471" t="s">
        <v>2959</v>
      </c>
      <c r="AM198" s="470" t="s">
        <v>12650</v>
      </c>
      <c r="AN198" s="470" t="s">
        <v>2957</v>
      </c>
      <c r="AO198" s="470" t="s">
        <v>2960</v>
      </c>
      <c r="AP198" s="470" t="s">
        <v>2961</v>
      </c>
      <c r="AQ198" s="470" t="s">
        <v>2955</v>
      </c>
      <c r="AR198" s="472" t="s">
        <v>515</v>
      </c>
      <c r="AS198" s="473" t="s">
        <v>1385</v>
      </c>
      <c r="AT198" s="472" t="s">
        <v>2950</v>
      </c>
      <c r="AU198" s="472" t="s">
        <v>420</v>
      </c>
      <c r="AV198" s="472">
        <v>2020</v>
      </c>
      <c r="AW198" s="474" t="s">
        <v>15078</v>
      </c>
      <c r="AX198" s="475" t="s">
        <v>15079</v>
      </c>
      <c r="AY198" s="515">
        <v>1</v>
      </c>
      <c r="AZ198" s="474" t="s">
        <v>15079</v>
      </c>
      <c r="BA198" s="472" t="s">
        <v>2950</v>
      </c>
      <c r="BB198" s="472" t="s">
        <v>516</v>
      </c>
      <c r="BC198" s="472">
        <v>3</v>
      </c>
      <c r="BD198" s="472">
        <v>4392</v>
      </c>
      <c r="BE198" s="472">
        <v>0</v>
      </c>
      <c r="BF198" s="472">
        <v>49944.6</v>
      </c>
      <c r="BG198" s="472">
        <v>0</v>
      </c>
      <c r="BH198" s="472" t="s">
        <v>1385</v>
      </c>
      <c r="BI198" s="510">
        <v>0</v>
      </c>
      <c r="BJ198" s="510">
        <v>8135</v>
      </c>
      <c r="BK198" s="510">
        <v>0</v>
      </c>
      <c r="BL198" s="510">
        <v>3500</v>
      </c>
      <c r="BM198" s="510">
        <v>0</v>
      </c>
      <c r="BN198" s="510">
        <v>6000</v>
      </c>
      <c r="BO198" s="510">
        <v>0</v>
      </c>
      <c r="BP198" s="510">
        <v>0</v>
      </c>
      <c r="BQ198" s="510">
        <v>0</v>
      </c>
      <c r="BR198" s="510">
        <v>0</v>
      </c>
      <c r="BS198" s="510">
        <v>0</v>
      </c>
      <c r="BT198" s="510">
        <v>0</v>
      </c>
      <c r="BU198" s="510">
        <v>2500</v>
      </c>
      <c r="BV198" s="510">
        <v>2500</v>
      </c>
      <c r="BW198" s="510">
        <v>0</v>
      </c>
      <c r="BX198" s="510">
        <v>30000</v>
      </c>
      <c r="BY198" s="1011">
        <v>0</v>
      </c>
      <c r="BZ198" s="510">
        <v>0</v>
      </c>
      <c r="CA198" s="1011">
        <v>0</v>
      </c>
      <c r="CB198" s="510">
        <v>22000</v>
      </c>
      <c r="CC198" s="1011">
        <v>0</v>
      </c>
      <c r="CD198" s="510">
        <v>0</v>
      </c>
      <c r="CE198" s="1011">
        <v>0</v>
      </c>
      <c r="CF198" s="510">
        <v>73670</v>
      </c>
      <c r="CG198" s="1011">
        <v>0</v>
      </c>
      <c r="CH198" s="510">
        <v>0</v>
      </c>
      <c r="CI198" s="1011">
        <v>0</v>
      </c>
    </row>
    <row r="199" spans="1:118" x14ac:dyDescent="0.2">
      <c r="A199" s="449">
        <v>47</v>
      </c>
      <c r="B199" s="453">
        <v>19228</v>
      </c>
      <c r="C199" s="454" t="s">
        <v>2962</v>
      </c>
      <c r="D199" s="454" t="s">
        <v>517</v>
      </c>
      <c r="E199" s="454" t="s">
        <v>2963</v>
      </c>
      <c r="F199" s="454" t="s">
        <v>521</v>
      </c>
      <c r="G199" s="454" t="s">
        <v>12651</v>
      </c>
      <c r="H199" s="455">
        <v>4474408000156</v>
      </c>
      <c r="I199" s="462">
        <v>37036</v>
      </c>
      <c r="J199" s="457">
        <v>37588826</v>
      </c>
      <c r="K199" s="454" t="s">
        <v>2964</v>
      </c>
      <c r="L199" s="458">
        <v>67</v>
      </c>
      <c r="M199" s="454" t="s">
        <v>2965</v>
      </c>
      <c r="N199" s="459">
        <v>4850190</v>
      </c>
      <c r="O199" s="460">
        <v>59312726</v>
      </c>
      <c r="P199" s="462">
        <v>100733</v>
      </c>
      <c r="Q199" s="462">
        <v>68</v>
      </c>
      <c r="R199" s="462">
        <v>43934</v>
      </c>
      <c r="S199" s="463">
        <v>1040</v>
      </c>
      <c r="T199" s="464">
        <v>5.4</v>
      </c>
      <c r="U199" s="465">
        <v>5616</v>
      </c>
      <c r="V199" s="465">
        <v>20340</v>
      </c>
      <c r="W199" s="466">
        <v>0</v>
      </c>
      <c r="X199" s="467">
        <v>1</v>
      </c>
      <c r="Y199" s="466">
        <v>38934</v>
      </c>
      <c r="Z199" s="468" t="s">
        <v>516</v>
      </c>
      <c r="AA199" s="466">
        <v>143727.20000000001</v>
      </c>
      <c r="AB199" s="466">
        <v>143727.20000000001</v>
      </c>
      <c r="AC199" s="467">
        <v>0</v>
      </c>
      <c r="AD199" s="466">
        <v>0</v>
      </c>
      <c r="AE199" s="468" t="s">
        <v>516</v>
      </c>
      <c r="AF199" s="466">
        <v>1000</v>
      </c>
      <c r="AG199" s="466">
        <v>1000</v>
      </c>
      <c r="AH199" s="466">
        <v>25787.3</v>
      </c>
      <c r="AI199" s="466">
        <v>8107.96</v>
      </c>
      <c r="AJ199" s="469" t="s">
        <v>2546</v>
      </c>
      <c r="AK199" s="470" t="s">
        <v>2966</v>
      </c>
      <c r="AL199" s="471" t="s">
        <v>2967</v>
      </c>
      <c r="AM199" s="470" t="s">
        <v>12652</v>
      </c>
      <c r="AN199" s="470" t="s">
        <v>1385</v>
      </c>
      <c r="AO199" s="470" t="s">
        <v>12653</v>
      </c>
      <c r="AP199" s="470" t="s">
        <v>2968</v>
      </c>
      <c r="AQ199" s="470" t="s">
        <v>2962</v>
      </c>
      <c r="AR199" s="472" t="s">
        <v>515</v>
      </c>
      <c r="AS199" s="473" t="s">
        <v>1385</v>
      </c>
      <c r="AT199" s="472" t="s">
        <v>517</v>
      </c>
      <c r="AU199" s="472" t="s">
        <v>420</v>
      </c>
      <c r="AV199" s="472">
        <v>2020</v>
      </c>
      <c r="AW199" s="474" t="s">
        <v>15078</v>
      </c>
      <c r="AX199" s="475" t="s">
        <v>15079</v>
      </c>
      <c r="AY199" s="515">
        <v>1</v>
      </c>
      <c r="AZ199" s="474" t="s">
        <v>15079</v>
      </c>
      <c r="BA199" s="472" t="s">
        <v>517</v>
      </c>
      <c r="BB199" s="472" t="s">
        <v>1385</v>
      </c>
      <c r="BC199" s="472" t="s">
        <v>1385</v>
      </c>
      <c r="BD199" s="472" t="s">
        <v>1385</v>
      </c>
      <c r="BE199" s="472" t="s">
        <v>1385</v>
      </c>
      <c r="BF199" s="472">
        <v>38934</v>
      </c>
      <c r="BG199" s="472">
        <v>0</v>
      </c>
      <c r="BH199" s="472" t="s">
        <v>1385</v>
      </c>
      <c r="BI199" s="510">
        <v>0</v>
      </c>
      <c r="BJ199" s="510">
        <v>98.04</v>
      </c>
      <c r="BK199" s="510">
        <v>0</v>
      </c>
      <c r="BL199" s="510">
        <v>127.63</v>
      </c>
      <c r="BM199" s="510">
        <v>0</v>
      </c>
      <c r="BN199" s="510">
        <v>5000</v>
      </c>
      <c r="BO199" s="510">
        <v>1000</v>
      </c>
      <c r="BP199" s="510">
        <v>1000</v>
      </c>
      <c r="BQ199" s="510">
        <v>0</v>
      </c>
      <c r="BR199" s="510">
        <v>0</v>
      </c>
      <c r="BS199" s="510">
        <v>0</v>
      </c>
      <c r="BT199" s="510">
        <v>0</v>
      </c>
      <c r="BU199" s="510">
        <v>0</v>
      </c>
      <c r="BV199" s="510">
        <v>0</v>
      </c>
      <c r="BW199" s="510">
        <v>0</v>
      </c>
      <c r="BX199" s="510">
        <v>30000</v>
      </c>
      <c r="BY199" s="1011">
        <v>0</v>
      </c>
      <c r="BZ199" s="510">
        <v>0</v>
      </c>
      <c r="CA199" s="1011">
        <v>0</v>
      </c>
      <c r="CB199" s="510">
        <v>22000</v>
      </c>
      <c r="CC199" s="1011">
        <v>0</v>
      </c>
      <c r="CD199" s="510">
        <v>0</v>
      </c>
      <c r="CE199" s="1011">
        <v>0</v>
      </c>
      <c r="CF199" s="510">
        <v>51793.2</v>
      </c>
      <c r="CG199" s="1011">
        <v>0</v>
      </c>
      <c r="CH199" s="510">
        <v>0</v>
      </c>
      <c r="CI199" s="1011">
        <v>0</v>
      </c>
    </row>
    <row r="200" spans="1:118" x14ac:dyDescent="0.2">
      <c r="A200" s="449">
        <v>59</v>
      </c>
      <c r="B200" s="453">
        <v>19229</v>
      </c>
      <c r="C200" s="454" t="s">
        <v>2969</v>
      </c>
      <c r="D200" s="454" t="s">
        <v>517</v>
      </c>
      <c r="E200" s="454" t="s">
        <v>2970</v>
      </c>
      <c r="F200" s="454" t="s">
        <v>528</v>
      </c>
      <c r="G200" s="454" t="s">
        <v>12654</v>
      </c>
      <c r="H200" s="455">
        <v>4902635000135</v>
      </c>
      <c r="I200" s="462">
        <v>37520</v>
      </c>
      <c r="J200" s="457">
        <v>37468480</v>
      </c>
      <c r="K200" s="454" t="s">
        <v>2971</v>
      </c>
      <c r="L200" s="458">
        <v>362</v>
      </c>
      <c r="M200" s="454" t="s">
        <v>2972</v>
      </c>
      <c r="N200" s="459">
        <v>5108130</v>
      </c>
      <c r="O200" s="460">
        <v>36228265</v>
      </c>
      <c r="P200" s="462">
        <v>217983</v>
      </c>
      <c r="Q200" s="462">
        <v>59</v>
      </c>
      <c r="R200" s="462">
        <v>43938</v>
      </c>
      <c r="S200" s="463">
        <v>706</v>
      </c>
      <c r="T200" s="464">
        <v>5.4</v>
      </c>
      <c r="U200" s="465">
        <v>3812.4</v>
      </c>
      <c r="V200" s="465">
        <v>18720</v>
      </c>
      <c r="W200" s="466">
        <v>0</v>
      </c>
      <c r="X200" s="467">
        <v>1</v>
      </c>
      <c r="Y200" s="466">
        <v>33798.6</v>
      </c>
      <c r="Z200" s="468" t="s">
        <v>516</v>
      </c>
      <c r="AA200" s="466">
        <v>147775.4</v>
      </c>
      <c r="AB200" s="466">
        <v>147775.4</v>
      </c>
      <c r="AC200" s="467">
        <v>0</v>
      </c>
      <c r="AD200" s="466">
        <v>0</v>
      </c>
      <c r="AE200" s="468" t="s">
        <v>516</v>
      </c>
      <c r="AF200" s="466">
        <v>2000</v>
      </c>
      <c r="AG200" s="466">
        <v>2000</v>
      </c>
      <c r="AH200" s="466">
        <v>13594.93</v>
      </c>
      <c r="AI200" s="466">
        <v>3612.96</v>
      </c>
      <c r="AJ200" s="469" t="s">
        <v>1729</v>
      </c>
      <c r="AK200" s="470" t="s">
        <v>2973</v>
      </c>
      <c r="AL200" s="471" t="s">
        <v>2974</v>
      </c>
      <c r="AM200" s="470" t="s">
        <v>12655</v>
      </c>
      <c r="AN200" s="470" t="s">
        <v>2975</v>
      </c>
      <c r="AO200" s="470" t="s">
        <v>2976</v>
      </c>
      <c r="AP200" s="470" t="s">
        <v>2977</v>
      </c>
      <c r="AQ200" s="470" t="s">
        <v>2969</v>
      </c>
      <c r="AR200" s="472" t="s">
        <v>515</v>
      </c>
      <c r="AS200" s="473" t="s">
        <v>1385</v>
      </c>
      <c r="AT200" s="472" t="s">
        <v>517</v>
      </c>
      <c r="AU200" s="472" t="s">
        <v>420</v>
      </c>
      <c r="AV200" s="472">
        <v>2020</v>
      </c>
      <c r="AW200" s="474" t="s">
        <v>15078</v>
      </c>
      <c r="AX200" s="475" t="s">
        <v>15079</v>
      </c>
      <c r="AY200" s="515">
        <v>1</v>
      </c>
      <c r="AZ200" s="474" t="s">
        <v>15079</v>
      </c>
      <c r="BA200" s="472" t="s">
        <v>517</v>
      </c>
      <c r="BB200" s="472" t="s">
        <v>1385</v>
      </c>
      <c r="BC200" s="472" t="s">
        <v>1385</v>
      </c>
      <c r="BD200" s="472" t="s">
        <v>1385</v>
      </c>
      <c r="BE200" s="472" t="s">
        <v>1385</v>
      </c>
      <c r="BF200" s="472">
        <v>33798.6</v>
      </c>
      <c r="BG200" s="472">
        <v>0</v>
      </c>
      <c r="BH200" s="472" t="s">
        <v>1385</v>
      </c>
      <c r="BI200" s="510">
        <v>0</v>
      </c>
      <c r="BJ200" s="510">
        <v>0</v>
      </c>
      <c r="BK200" s="510">
        <v>0</v>
      </c>
      <c r="BL200" s="510">
        <v>0</v>
      </c>
      <c r="BM200" s="510">
        <v>0</v>
      </c>
      <c r="BN200" s="510">
        <v>5000</v>
      </c>
      <c r="BO200" s="510">
        <v>0</v>
      </c>
      <c r="BP200" s="510">
        <v>2000</v>
      </c>
      <c r="BQ200" s="510">
        <v>0</v>
      </c>
      <c r="BR200" s="510">
        <v>0</v>
      </c>
      <c r="BS200" s="510">
        <v>0</v>
      </c>
      <c r="BT200" s="510">
        <v>0</v>
      </c>
      <c r="BU200" s="510">
        <v>2500</v>
      </c>
      <c r="BV200" s="510">
        <v>2500</v>
      </c>
      <c r="BW200" s="510">
        <v>0</v>
      </c>
      <c r="BX200" s="510">
        <v>30000</v>
      </c>
      <c r="BY200" s="1011">
        <v>0</v>
      </c>
      <c r="BZ200" s="510">
        <v>0</v>
      </c>
      <c r="CA200" s="1011">
        <v>0</v>
      </c>
      <c r="CB200" s="510">
        <v>22000</v>
      </c>
      <c r="CC200" s="1011">
        <v>0</v>
      </c>
      <c r="CD200" s="510">
        <v>0</v>
      </c>
      <c r="CE200" s="1011">
        <v>0</v>
      </c>
      <c r="CF200" s="510">
        <v>61976.800000000003</v>
      </c>
      <c r="CG200" s="1011">
        <v>0</v>
      </c>
      <c r="CH200" s="510">
        <v>0</v>
      </c>
      <c r="CI200" s="1011">
        <v>0</v>
      </c>
    </row>
    <row r="201" spans="1:118" x14ac:dyDescent="0.2">
      <c r="A201" s="449">
        <v>109</v>
      </c>
      <c r="B201" s="453">
        <v>19230</v>
      </c>
      <c r="C201" s="454" t="s">
        <v>2978</v>
      </c>
      <c r="D201" s="454" t="s">
        <v>1390</v>
      </c>
      <c r="E201" s="454" t="s">
        <v>2979</v>
      </c>
      <c r="F201" s="454" t="s">
        <v>527</v>
      </c>
      <c r="G201" s="454" t="s">
        <v>12656</v>
      </c>
      <c r="H201" s="455">
        <v>5903442000161</v>
      </c>
      <c r="I201" s="462">
        <v>37432</v>
      </c>
      <c r="J201" s="457">
        <v>37555057</v>
      </c>
      <c r="K201" s="454" t="s">
        <v>2980</v>
      </c>
      <c r="L201" s="458">
        <v>1360</v>
      </c>
      <c r="M201" s="454" t="s">
        <v>2981</v>
      </c>
      <c r="N201" s="459">
        <v>3644070</v>
      </c>
      <c r="O201" s="460">
        <v>26477490</v>
      </c>
      <c r="P201" s="462">
        <v>206345</v>
      </c>
      <c r="Q201" s="462">
        <v>71</v>
      </c>
      <c r="R201" s="462">
        <v>43917</v>
      </c>
      <c r="S201" s="463">
        <v>521</v>
      </c>
      <c r="T201" s="464">
        <v>3.6</v>
      </c>
      <c r="U201" s="465">
        <v>1875.6</v>
      </c>
      <c r="V201" s="465">
        <v>16560</v>
      </c>
      <c r="W201" s="466">
        <v>0</v>
      </c>
      <c r="X201" s="467">
        <v>1</v>
      </c>
      <c r="Y201" s="466">
        <v>27653.4</v>
      </c>
      <c r="Z201" s="468" t="s">
        <v>516</v>
      </c>
      <c r="AA201" s="466">
        <v>106493.4</v>
      </c>
      <c r="AB201" s="466">
        <v>106493.4</v>
      </c>
      <c r="AC201" s="467">
        <v>0</v>
      </c>
      <c r="AD201" s="466">
        <v>0</v>
      </c>
      <c r="AE201" s="468" t="s">
        <v>516</v>
      </c>
      <c r="AF201" s="466">
        <v>0</v>
      </c>
      <c r="AG201" s="466">
        <v>0</v>
      </c>
      <c r="AH201" s="466">
        <v>11512.94</v>
      </c>
      <c r="AI201" s="466">
        <v>3538.63</v>
      </c>
      <c r="AJ201" s="469" t="s">
        <v>2982</v>
      </c>
      <c r="AK201" s="470" t="s">
        <v>2983</v>
      </c>
      <c r="AL201" s="471" t="s">
        <v>2984</v>
      </c>
      <c r="AM201" s="470" t="s">
        <v>2985</v>
      </c>
      <c r="AN201" s="470" t="s">
        <v>12656</v>
      </c>
      <c r="AO201" s="470" t="s">
        <v>2986</v>
      </c>
      <c r="AP201" s="470" t="s">
        <v>2987</v>
      </c>
      <c r="AQ201" s="470" t="s">
        <v>2978</v>
      </c>
      <c r="AR201" s="472" t="s">
        <v>515</v>
      </c>
      <c r="AS201" s="473" t="s">
        <v>1385</v>
      </c>
      <c r="AT201" s="472" t="s">
        <v>1390</v>
      </c>
      <c r="AU201" s="472" t="s">
        <v>420</v>
      </c>
      <c r="AV201" s="472">
        <v>2020</v>
      </c>
      <c r="AW201" s="474" t="s">
        <v>15078</v>
      </c>
      <c r="AX201" s="475" t="s">
        <v>15079</v>
      </c>
      <c r="AY201" s="515">
        <v>1</v>
      </c>
      <c r="AZ201" s="474" t="s">
        <v>15079</v>
      </c>
      <c r="BA201" s="472" t="s">
        <v>1390</v>
      </c>
      <c r="BB201" s="472" t="s">
        <v>1385</v>
      </c>
      <c r="BC201" s="472" t="s">
        <v>1385</v>
      </c>
      <c r="BD201" s="472" t="s">
        <v>1385</v>
      </c>
      <c r="BE201" s="472" t="s">
        <v>1385</v>
      </c>
      <c r="BF201" s="472">
        <v>27653.4</v>
      </c>
      <c r="BG201" s="472">
        <v>0</v>
      </c>
      <c r="BH201" s="472" t="s">
        <v>1385</v>
      </c>
      <c r="BI201" s="510">
        <v>0</v>
      </c>
      <c r="BJ201" s="510">
        <v>9.1999999999999993</v>
      </c>
      <c r="BK201" s="510">
        <v>0</v>
      </c>
      <c r="BL201" s="510">
        <v>0</v>
      </c>
      <c r="BM201" s="510">
        <v>0</v>
      </c>
      <c r="BN201" s="510">
        <v>4000</v>
      </c>
      <c r="BO201" s="510">
        <v>0</v>
      </c>
      <c r="BP201" s="510">
        <v>0</v>
      </c>
      <c r="BQ201" s="510">
        <v>0</v>
      </c>
      <c r="BR201" s="510">
        <v>0</v>
      </c>
      <c r="BS201" s="510">
        <v>0</v>
      </c>
      <c r="BT201" s="510">
        <v>0</v>
      </c>
      <c r="BU201" s="510">
        <v>0</v>
      </c>
      <c r="BV201" s="510">
        <v>0</v>
      </c>
      <c r="BW201" s="510">
        <v>0</v>
      </c>
      <c r="BX201" s="510">
        <v>30000</v>
      </c>
      <c r="BY201" s="1011">
        <v>0</v>
      </c>
      <c r="BZ201" s="510">
        <v>0</v>
      </c>
      <c r="CA201" s="1011">
        <v>0</v>
      </c>
      <c r="CB201" s="510">
        <v>0</v>
      </c>
      <c r="CC201" s="1011">
        <v>0</v>
      </c>
      <c r="CD201" s="510">
        <v>0</v>
      </c>
      <c r="CE201" s="1011">
        <v>0</v>
      </c>
      <c r="CF201" s="510">
        <v>48840</v>
      </c>
      <c r="CG201" s="1011">
        <v>0</v>
      </c>
      <c r="CH201" s="510">
        <v>0</v>
      </c>
      <c r="CI201" s="1011">
        <v>0</v>
      </c>
    </row>
    <row r="202" spans="1:118" x14ac:dyDescent="0.2">
      <c r="A202" s="449">
        <v>70</v>
      </c>
      <c r="B202" s="453">
        <v>19231</v>
      </c>
      <c r="C202" s="454" t="s">
        <v>2988</v>
      </c>
      <c r="D202" s="454" t="s">
        <v>1390</v>
      </c>
      <c r="E202" s="454" t="s">
        <v>2989</v>
      </c>
      <c r="F202" s="454" t="s">
        <v>518</v>
      </c>
      <c r="G202" s="454" t="s">
        <v>12657</v>
      </c>
      <c r="H202" s="455">
        <v>7803165000140</v>
      </c>
      <c r="I202" s="462">
        <v>38677</v>
      </c>
      <c r="J202" s="457">
        <v>37470272</v>
      </c>
      <c r="K202" s="454" t="s">
        <v>2991</v>
      </c>
      <c r="L202" s="458">
        <v>200</v>
      </c>
      <c r="M202" s="454" t="s">
        <v>2992</v>
      </c>
      <c r="N202" s="459">
        <v>8265300</v>
      </c>
      <c r="O202" s="460">
        <v>25226487</v>
      </c>
      <c r="P202" s="462">
        <v>46968</v>
      </c>
      <c r="Q202" s="462">
        <v>39</v>
      </c>
      <c r="R202" s="462">
        <v>43934</v>
      </c>
      <c r="S202" s="463">
        <v>399</v>
      </c>
      <c r="T202" s="464">
        <v>3.6</v>
      </c>
      <c r="U202" s="465">
        <v>1436.4</v>
      </c>
      <c r="V202" s="465">
        <v>13680</v>
      </c>
      <c r="W202" s="466">
        <v>0</v>
      </c>
      <c r="X202" s="467">
        <v>1</v>
      </c>
      <c r="Y202" s="466">
        <v>22674.6</v>
      </c>
      <c r="Z202" s="468" t="s">
        <v>516</v>
      </c>
      <c r="AA202" s="466">
        <v>97713</v>
      </c>
      <c r="AB202" s="466">
        <v>97713</v>
      </c>
      <c r="AC202" s="467">
        <v>0</v>
      </c>
      <c r="AD202" s="466">
        <v>0</v>
      </c>
      <c r="AE202" s="468" t="s">
        <v>516</v>
      </c>
      <c r="AF202" s="466">
        <v>0</v>
      </c>
      <c r="AG202" s="466">
        <v>0</v>
      </c>
      <c r="AH202" s="466">
        <v>13590.55</v>
      </c>
      <c r="AI202" s="466">
        <v>5408.88</v>
      </c>
      <c r="AJ202" s="469" t="s">
        <v>1560</v>
      </c>
      <c r="AK202" s="470" t="s">
        <v>1776</v>
      </c>
      <c r="AL202" s="471" t="s">
        <v>2993</v>
      </c>
      <c r="AM202" s="470" t="s">
        <v>2994</v>
      </c>
      <c r="AN202" s="470" t="s">
        <v>2990</v>
      </c>
      <c r="AO202" s="470" t="s">
        <v>14978</v>
      </c>
      <c r="AP202" s="470" t="s">
        <v>2995</v>
      </c>
      <c r="AQ202" s="470" t="s">
        <v>2988</v>
      </c>
      <c r="AR202" s="472" t="s">
        <v>515</v>
      </c>
      <c r="AS202" s="473" t="s">
        <v>1385</v>
      </c>
      <c r="AT202" s="472" t="s">
        <v>1390</v>
      </c>
      <c r="AU202" s="472" t="s">
        <v>420</v>
      </c>
      <c r="AV202" s="472">
        <v>2020</v>
      </c>
      <c r="AW202" s="474" t="s">
        <v>15078</v>
      </c>
      <c r="AX202" s="475" t="s">
        <v>15079</v>
      </c>
      <c r="AY202" s="515">
        <v>1</v>
      </c>
      <c r="AZ202" s="474" t="s">
        <v>15079</v>
      </c>
      <c r="BA202" s="472" t="s">
        <v>1390</v>
      </c>
      <c r="BB202" s="472" t="s">
        <v>1385</v>
      </c>
      <c r="BC202" s="472" t="s">
        <v>1385</v>
      </c>
      <c r="BD202" s="472" t="s">
        <v>1385</v>
      </c>
      <c r="BE202" s="472" t="s">
        <v>1385</v>
      </c>
      <c r="BF202" s="472">
        <v>22674.6</v>
      </c>
      <c r="BG202" s="472">
        <v>0</v>
      </c>
      <c r="BH202" s="472" t="s">
        <v>1385</v>
      </c>
      <c r="BI202" s="510">
        <v>0</v>
      </c>
      <c r="BJ202" s="510">
        <v>58.59</v>
      </c>
      <c r="BK202" s="510">
        <v>0</v>
      </c>
      <c r="BL202" s="510">
        <v>0</v>
      </c>
      <c r="BM202" s="510">
        <v>0</v>
      </c>
      <c r="BN202" s="510">
        <v>3500</v>
      </c>
      <c r="BO202" s="510">
        <v>0</v>
      </c>
      <c r="BP202" s="510">
        <v>0</v>
      </c>
      <c r="BQ202" s="510">
        <v>0</v>
      </c>
      <c r="BR202" s="510">
        <v>0</v>
      </c>
      <c r="BS202" s="510">
        <v>0</v>
      </c>
      <c r="BT202" s="510">
        <v>0</v>
      </c>
      <c r="BU202" s="510">
        <v>0</v>
      </c>
      <c r="BV202" s="510">
        <v>0</v>
      </c>
      <c r="BW202" s="510">
        <v>0</v>
      </c>
      <c r="BX202" s="510">
        <v>30000</v>
      </c>
      <c r="BY202" s="1011">
        <v>0</v>
      </c>
      <c r="BZ202" s="510">
        <v>0</v>
      </c>
      <c r="CA202" s="1011">
        <v>0</v>
      </c>
      <c r="CB202" s="510">
        <v>0</v>
      </c>
      <c r="CC202" s="1011">
        <v>0</v>
      </c>
      <c r="CD202" s="510">
        <v>0</v>
      </c>
      <c r="CE202" s="1011">
        <v>0</v>
      </c>
      <c r="CF202" s="510">
        <v>45038.400000000001</v>
      </c>
      <c r="CG202" s="1011">
        <v>0</v>
      </c>
      <c r="CH202" s="510">
        <v>0</v>
      </c>
      <c r="CI202" s="1011">
        <v>0</v>
      </c>
      <c r="CJ202" s="466"/>
      <c r="CK202" s="467"/>
      <c r="CL202" s="466"/>
      <c r="CM202" s="468"/>
      <c r="CN202" s="466"/>
      <c r="CO202" s="466"/>
      <c r="CP202" s="466"/>
      <c r="CQ202" s="466"/>
      <c r="CR202" s="469"/>
      <c r="CS202" s="470"/>
      <c r="CT202" s="471"/>
      <c r="CU202" s="470"/>
      <c r="CV202" s="470"/>
      <c r="CW202" s="470"/>
      <c r="CX202" s="470"/>
      <c r="CY202" s="470"/>
      <c r="CZ202" s="472"/>
      <c r="DA202" s="473"/>
      <c r="DB202" s="472"/>
      <c r="DC202" s="472"/>
      <c r="DD202" s="472"/>
      <c r="DE202" s="474"/>
      <c r="DF202" s="475"/>
      <c r="DG202" s="474"/>
      <c r="DH202" s="474"/>
      <c r="DI202" s="472"/>
      <c r="DJ202" s="472"/>
      <c r="DK202" s="472"/>
      <c r="DL202" s="472"/>
      <c r="DM202" s="472"/>
      <c r="DN202" s="509"/>
    </row>
    <row r="203" spans="1:118" x14ac:dyDescent="0.2">
      <c r="A203" s="449">
        <v>51</v>
      </c>
      <c r="B203" s="453">
        <v>19232</v>
      </c>
      <c r="C203" s="454" t="s">
        <v>2996</v>
      </c>
      <c r="D203" s="454" t="s">
        <v>517</v>
      </c>
      <c r="E203" s="454" t="s">
        <v>2997</v>
      </c>
      <c r="F203" s="454" t="s">
        <v>513</v>
      </c>
      <c r="G203" s="454" t="s">
        <v>12658</v>
      </c>
      <c r="H203" s="455">
        <v>3787121000113</v>
      </c>
      <c r="I203" s="462">
        <v>36649</v>
      </c>
      <c r="J203" s="457">
        <v>37533029</v>
      </c>
      <c r="K203" s="454" t="s">
        <v>2998</v>
      </c>
      <c r="L203" s="458">
        <v>95</v>
      </c>
      <c r="M203" s="454" t="s">
        <v>2999</v>
      </c>
      <c r="N203" s="459">
        <v>3974100</v>
      </c>
      <c r="O203" s="460">
        <v>29623355</v>
      </c>
      <c r="P203" s="462">
        <v>149988</v>
      </c>
      <c r="Q203" s="462">
        <v>51</v>
      </c>
      <c r="R203" s="462">
        <v>43937</v>
      </c>
      <c r="S203" s="463">
        <v>655</v>
      </c>
      <c r="T203" s="464">
        <v>5.4</v>
      </c>
      <c r="U203" s="465">
        <v>3537</v>
      </c>
      <c r="V203" s="465">
        <v>17100</v>
      </c>
      <c r="W203" s="466">
        <v>0</v>
      </c>
      <c r="X203" s="467">
        <v>1</v>
      </c>
      <c r="Y203" s="466">
        <v>30955.5</v>
      </c>
      <c r="Z203" s="468" t="s">
        <v>516</v>
      </c>
      <c r="AA203" s="466">
        <v>144360.29999999999</v>
      </c>
      <c r="AB203" s="466">
        <v>144360.29999999999</v>
      </c>
      <c r="AC203" s="467">
        <v>0</v>
      </c>
      <c r="AD203" s="466">
        <v>0</v>
      </c>
      <c r="AE203" s="468" t="s">
        <v>516</v>
      </c>
      <c r="AF203" s="466">
        <v>1600</v>
      </c>
      <c r="AG203" s="466">
        <v>1600</v>
      </c>
      <c r="AH203" s="466">
        <v>19675.5</v>
      </c>
      <c r="AI203" s="466">
        <v>9066.75</v>
      </c>
      <c r="AJ203" s="469" t="s">
        <v>2491</v>
      </c>
      <c r="AK203" s="470" t="s">
        <v>2492</v>
      </c>
      <c r="AL203" s="471" t="s">
        <v>3000</v>
      </c>
      <c r="AM203" s="470" t="s">
        <v>3001</v>
      </c>
      <c r="AN203" s="470" t="s">
        <v>1385</v>
      </c>
      <c r="AO203" s="470" t="s">
        <v>3002</v>
      </c>
      <c r="AP203" s="470" t="s">
        <v>3003</v>
      </c>
      <c r="AQ203" s="470" t="s">
        <v>2996</v>
      </c>
      <c r="AR203" s="472" t="s">
        <v>515</v>
      </c>
      <c r="AS203" s="473" t="s">
        <v>1385</v>
      </c>
      <c r="AT203" s="472" t="s">
        <v>517</v>
      </c>
      <c r="AU203" s="472" t="s">
        <v>420</v>
      </c>
      <c r="AV203" s="472">
        <v>2020</v>
      </c>
      <c r="AW203" s="474" t="s">
        <v>15078</v>
      </c>
      <c r="AX203" s="475" t="s">
        <v>15079</v>
      </c>
      <c r="AY203" s="515">
        <v>1</v>
      </c>
      <c r="AZ203" s="474" t="s">
        <v>15079</v>
      </c>
      <c r="BA203" s="472" t="s">
        <v>517</v>
      </c>
      <c r="BB203" s="472" t="s">
        <v>1385</v>
      </c>
      <c r="BC203" s="472" t="s">
        <v>1385</v>
      </c>
      <c r="BD203" s="472" t="s">
        <v>1385</v>
      </c>
      <c r="BE203" s="472" t="s">
        <v>1385</v>
      </c>
      <c r="BF203" s="472">
        <v>30955.5</v>
      </c>
      <c r="BG203" s="472">
        <v>0</v>
      </c>
      <c r="BH203" s="472" t="s">
        <v>1385</v>
      </c>
      <c r="BI203" s="510">
        <v>0</v>
      </c>
      <c r="BJ203" s="510">
        <v>0</v>
      </c>
      <c r="BK203" s="510">
        <v>0</v>
      </c>
      <c r="BL203" s="510">
        <v>3500</v>
      </c>
      <c r="BM203" s="510">
        <v>0</v>
      </c>
      <c r="BN203" s="510">
        <v>2678.05</v>
      </c>
      <c r="BO203" s="510">
        <v>400</v>
      </c>
      <c r="BP203" s="510">
        <v>1600</v>
      </c>
      <c r="BQ203" s="510">
        <v>0</v>
      </c>
      <c r="BR203" s="510">
        <v>0</v>
      </c>
      <c r="BS203" s="510">
        <v>0</v>
      </c>
      <c r="BT203" s="510">
        <v>0</v>
      </c>
      <c r="BU203" s="510">
        <v>2500</v>
      </c>
      <c r="BV203" s="510">
        <v>2500</v>
      </c>
      <c r="BW203" s="510">
        <v>0</v>
      </c>
      <c r="BX203" s="510">
        <v>30000</v>
      </c>
      <c r="BY203" s="1011">
        <v>0</v>
      </c>
      <c r="BZ203" s="510">
        <v>0</v>
      </c>
      <c r="CA203" s="1011">
        <v>0</v>
      </c>
      <c r="CB203" s="510">
        <v>22000</v>
      </c>
      <c r="CC203" s="1011">
        <v>0</v>
      </c>
      <c r="CD203" s="510">
        <v>0</v>
      </c>
      <c r="CE203" s="1011">
        <v>0</v>
      </c>
      <c r="CF203" s="510">
        <v>61004.800000000003</v>
      </c>
      <c r="CG203" s="1011">
        <v>0</v>
      </c>
      <c r="CH203" s="510">
        <v>0</v>
      </c>
      <c r="CI203" s="1011">
        <v>0</v>
      </c>
    </row>
    <row r="204" spans="1:118" x14ac:dyDescent="0.2">
      <c r="A204" s="449">
        <v>39</v>
      </c>
      <c r="B204" s="453">
        <v>19233</v>
      </c>
      <c r="C204" s="454" t="s">
        <v>3004</v>
      </c>
      <c r="D204" s="454" t="s">
        <v>517</v>
      </c>
      <c r="E204" s="454" t="s">
        <v>3005</v>
      </c>
      <c r="F204" s="454" t="s">
        <v>528</v>
      </c>
      <c r="G204" s="454" t="s">
        <v>12659</v>
      </c>
      <c r="H204" s="455">
        <v>4995482000118</v>
      </c>
      <c r="I204" s="462">
        <v>38659</v>
      </c>
      <c r="J204" s="457">
        <v>37373145</v>
      </c>
      <c r="K204" s="454" t="s">
        <v>3006</v>
      </c>
      <c r="L204" s="458" t="s">
        <v>3007</v>
      </c>
      <c r="M204" s="454" t="s">
        <v>3008</v>
      </c>
      <c r="N204" s="459">
        <v>5269060</v>
      </c>
      <c r="O204" s="460">
        <v>39111658</v>
      </c>
      <c r="P204" s="462">
        <v>213708</v>
      </c>
      <c r="Q204" s="462">
        <v>39</v>
      </c>
      <c r="R204" s="462">
        <v>43938</v>
      </c>
      <c r="S204" s="463">
        <v>446</v>
      </c>
      <c r="T204" s="464">
        <v>5.4</v>
      </c>
      <c r="U204" s="465">
        <v>2408.4</v>
      </c>
      <c r="V204" s="465">
        <v>15480</v>
      </c>
      <c r="W204" s="466">
        <v>0</v>
      </c>
      <c r="X204" s="467">
        <v>1</v>
      </c>
      <c r="Y204" s="466">
        <v>26832.6</v>
      </c>
      <c r="Z204" s="468" t="s">
        <v>516</v>
      </c>
      <c r="AA204" s="466">
        <v>115123</v>
      </c>
      <c r="AB204" s="466">
        <v>115123</v>
      </c>
      <c r="AC204" s="467">
        <v>0</v>
      </c>
      <c r="AD204" s="466">
        <v>0</v>
      </c>
      <c r="AE204" s="468" t="s">
        <v>516</v>
      </c>
      <c r="AF204" s="466">
        <v>1400</v>
      </c>
      <c r="AG204" s="466">
        <v>1400</v>
      </c>
      <c r="AH204" s="466">
        <v>26979.15</v>
      </c>
      <c r="AI204" s="466">
        <v>9669.0499999999993</v>
      </c>
      <c r="AJ204" s="469" t="s">
        <v>1588</v>
      </c>
      <c r="AK204" s="470" t="s">
        <v>1589</v>
      </c>
      <c r="AL204" s="471" t="s">
        <v>3009</v>
      </c>
      <c r="AM204" s="470" t="s">
        <v>3010</v>
      </c>
      <c r="AN204" s="470" t="s">
        <v>3011</v>
      </c>
      <c r="AO204" s="470" t="s">
        <v>12660</v>
      </c>
      <c r="AP204" s="470" t="s">
        <v>3012</v>
      </c>
      <c r="AQ204" s="470" t="s">
        <v>3004</v>
      </c>
      <c r="AR204" s="472" t="s">
        <v>515</v>
      </c>
      <c r="AS204" s="473" t="s">
        <v>1385</v>
      </c>
      <c r="AT204" s="472" t="s">
        <v>517</v>
      </c>
      <c r="AU204" s="472" t="s">
        <v>420</v>
      </c>
      <c r="AV204" s="472">
        <v>2020</v>
      </c>
      <c r="AW204" s="474" t="s">
        <v>15078</v>
      </c>
      <c r="AX204" s="475" t="s">
        <v>15079</v>
      </c>
      <c r="AY204" s="515">
        <v>1</v>
      </c>
      <c r="AZ204" s="474" t="s">
        <v>15079</v>
      </c>
      <c r="BA204" s="472" t="s">
        <v>517</v>
      </c>
      <c r="BB204" s="472" t="s">
        <v>1385</v>
      </c>
      <c r="BC204" s="472" t="s">
        <v>1385</v>
      </c>
      <c r="BD204" s="472" t="s">
        <v>1385</v>
      </c>
      <c r="BE204" s="472" t="s">
        <v>1385</v>
      </c>
      <c r="BF204" s="472">
        <v>26832.6</v>
      </c>
      <c r="BG204" s="472">
        <v>0</v>
      </c>
      <c r="BH204" s="472" t="s">
        <v>1385</v>
      </c>
      <c r="BI204" s="510">
        <v>0</v>
      </c>
      <c r="BJ204" s="510">
        <v>0</v>
      </c>
      <c r="BK204" s="510">
        <v>0</v>
      </c>
      <c r="BL204" s="510">
        <v>3500</v>
      </c>
      <c r="BM204" s="510">
        <v>0</v>
      </c>
      <c r="BN204" s="510">
        <v>3500</v>
      </c>
      <c r="BO204" s="510">
        <v>600</v>
      </c>
      <c r="BP204" s="510">
        <v>1400</v>
      </c>
      <c r="BQ204" s="510">
        <v>0</v>
      </c>
      <c r="BR204" s="510">
        <v>0</v>
      </c>
      <c r="BS204" s="510">
        <v>0</v>
      </c>
      <c r="BT204" s="510">
        <v>0</v>
      </c>
      <c r="BU204" s="510">
        <v>0</v>
      </c>
      <c r="BV204" s="510">
        <v>0</v>
      </c>
      <c r="BW204" s="510">
        <v>0</v>
      </c>
      <c r="BX204" s="510">
        <v>30000</v>
      </c>
      <c r="BY204" s="1011">
        <v>0</v>
      </c>
      <c r="BZ204" s="510">
        <v>0</v>
      </c>
      <c r="CA204" s="1011">
        <v>0</v>
      </c>
      <c r="CB204" s="510">
        <v>22000</v>
      </c>
      <c r="CC204" s="1011">
        <v>0</v>
      </c>
      <c r="CD204" s="510">
        <v>0</v>
      </c>
      <c r="CE204" s="1011">
        <v>0</v>
      </c>
      <c r="CF204" s="510">
        <v>35690.400000000001</v>
      </c>
      <c r="CG204" s="1011">
        <v>0</v>
      </c>
      <c r="CH204" s="510">
        <v>0</v>
      </c>
      <c r="CI204" s="1011">
        <v>0</v>
      </c>
    </row>
    <row r="205" spans="1:118" x14ac:dyDescent="0.2">
      <c r="A205" s="449">
        <v>121</v>
      </c>
      <c r="B205" s="453">
        <v>19234</v>
      </c>
      <c r="C205" s="454" t="s">
        <v>3013</v>
      </c>
      <c r="D205" s="454" t="s">
        <v>2000</v>
      </c>
      <c r="E205" s="454" t="s">
        <v>3014</v>
      </c>
      <c r="F205" s="454" t="s">
        <v>527</v>
      </c>
      <c r="G205" s="454" t="s">
        <v>12661</v>
      </c>
      <c r="H205" s="455">
        <v>5597288000147</v>
      </c>
      <c r="I205" s="462">
        <v>37476</v>
      </c>
      <c r="J205" s="457">
        <v>37554786</v>
      </c>
      <c r="K205" s="454" t="s">
        <v>3015</v>
      </c>
      <c r="L205" s="458">
        <v>230</v>
      </c>
      <c r="M205" s="454" t="s">
        <v>3016</v>
      </c>
      <c r="N205" s="459">
        <v>3704015</v>
      </c>
      <c r="O205" s="460">
        <v>20927043</v>
      </c>
      <c r="P205" s="462">
        <v>206299</v>
      </c>
      <c r="Q205" s="462">
        <v>73</v>
      </c>
      <c r="R205" s="462">
        <v>43917</v>
      </c>
      <c r="S205" s="463">
        <v>592</v>
      </c>
      <c r="T205" s="464">
        <v>3.6</v>
      </c>
      <c r="U205" s="465">
        <v>2131.1999999999998</v>
      </c>
      <c r="V205" s="465">
        <v>16560</v>
      </c>
      <c r="W205" s="466">
        <v>0</v>
      </c>
      <c r="X205" s="467">
        <v>1</v>
      </c>
      <c r="Y205" s="466">
        <v>28036.799999999999</v>
      </c>
      <c r="Z205" s="468" t="s">
        <v>516</v>
      </c>
      <c r="AA205" s="466">
        <v>110073.60000000001</v>
      </c>
      <c r="AB205" s="466">
        <v>110073.60000000001</v>
      </c>
      <c r="AC205" s="467">
        <v>0</v>
      </c>
      <c r="AD205" s="466">
        <v>0</v>
      </c>
      <c r="AE205" s="468" t="s">
        <v>516</v>
      </c>
      <c r="AF205" s="466">
        <v>0</v>
      </c>
      <c r="AG205" s="466">
        <v>0</v>
      </c>
      <c r="AH205" s="466">
        <v>30211.05</v>
      </c>
      <c r="AI205" s="466">
        <v>8491.81</v>
      </c>
      <c r="AJ205" s="469" t="s">
        <v>2233</v>
      </c>
      <c r="AK205" s="470" t="s">
        <v>2653</v>
      </c>
      <c r="AL205" s="471" t="s">
        <v>3017</v>
      </c>
      <c r="AM205" s="470" t="s">
        <v>3018</v>
      </c>
      <c r="AN205" s="470" t="s">
        <v>12662</v>
      </c>
      <c r="AO205" s="470" t="s">
        <v>12663</v>
      </c>
      <c r="AP205" s="470" t="s">
        <v>2567</v>
      </c>
      <c r="AQ205" s="470" t="s">
        <v>3013</v>
      </c>
      <c r="AR205" s="472" t="s">
        <v>515</v>
      </c>
      <c r="AS205" s="473" t="s">
        <v>1385</v>
      </c>
      <c r="AT205" s="472" t="s">
        <v>2000</v>
      </c>
      <c r="AU205" s="472" t="s">
        <v>420</v>
      </c>
      <c r="AV205" s="472">
        <v>2020</v>
      </c>
      <c r="AW205" s="474" t="s">
        <v>15078</v>
      </c>
      <c r="AX205" s="475" t="s">
        <v>15079</v>
      </c>
      <c r="AY205" s="515">
        <v>1</v>
      </c>
      <c r="AZ205" s="474" t="s">
        <v>15079</v>
      </c>
      <c r="BA205" s="472" t="s">
        <v>2000</v>
      </c>
      <c r="BB205" s="472" t="s">
        <v>1385</v>
      </c>
      <c r="BC205" s="472" t="s">
        <v>1385</v>
      </c>
      <c r="BD205" s="472" t="s">
        <v>1385</v>
      </c>
      <c r="BE205" s="472" t="s">
        <v>1385</v>
      </c>
      <c r="BF205" s="472">
        <v>28036.799999999999</v>
      </c>
      <c r="BG205" s="472">
        <v>0</v>
      </c>
      <c r="BH205" s="472" t="s">
        <v>1385</v>
      </c>
      <c r="BI205" s="510">
        <v>0</v>
      </c>
      <c r="BJ205" s="510">
        <v>4160</v>
      </c>
      <c r="BK205" s="510">
        <v>0</v>
      </c>
      <c r="BL205" s="510">
        <v>0</v>
      </c>
      <c r="BM205" s="510">
        <v>0</v>
      </c>
      <c r="BN205" s="510">
        <v>5000</v>
      </c>
      <c r="BO205" s="510">
        <v>0</v>
      </c>
      <c r="BP205" s="510">
        <v>0</v>
      </c>
      <c r="BQ205" s="510">
        <v>0</v>
      </c>
      <c r="BR205" s="510">
        <v>0</v>
      </c>
      <c r="BS205" s="510">
        <v>0</v>
      </c>
      <c r="BT205" s="510">
        <v>0</v>
      </c>
      <c r="BU205" s="510">
        <v>0</v>
      </c>
      <c r="BV205" s="510">
        <v>0</v>
      </c>
      <c r="BW205" s="510">
        <v>0</v>
      </c>
      <c r="BX205" s="510">
        <v>30000</v>
      </c>
      <c r="BY205" s="1011">
        <v>0</v>
      </c>
      <c r="BZ205" s="510">
        <v>0</v>
      </c>
      <c r="CA205" s="1011">
        <v>0</v>
      </c>
      <c r="CB205" s="510">
        <v>0</v>
      </c>
      <c r="CC205" s="1011">
        <v>0</v>
      </c>
      <c r="CD205" s="510">
        <v>0</v>
      </c>
      <c r="CE205" s="1011">
        <v>0</v>
      </c>
      <c r="CF205" s="510">
        <v>52036.800000000003</v>
      </c>
      <c r="CG205" s="1011">
        <v>0</v>
      </c>
      <c r="CH205" s="510">
        <v>0</v>
      </c>
      <c r="CI205" s="1011">
        <v>0</v>
      </c>
    </row>
    <row r="206" spans="1:118" x14ac:dyDescent="0.2">
      <c r="A206" s="449">
        <v>101</v>
      </c>
      <c r="B206" s="453">
        <v>19235</v>
      </c>
      <c r="C206" s="454" t="s">
        <v>3019</v>
      </c>
      <c r="D206" s="454" t="s">
        <v>1390</v>
      </c>
      <c r="E206" s="454" t="s">
        <v>3020</v>
      </c>
      <c r="F206" s="454" t="s">
        <v>513</v>
      </c>
      <c r="G206" s="454" t="s">
        <v>12664</v>
      </c>
      <c r="H206" s="455">
        <v>6017813000170</v>
      </c>
      <c r="I206" s="462">
        <v>37796</v>
      </c>
      <c r="J206" s="457">
        <v>37532006</v>
      </c>
      <c r="K206" s="454" t="s">
        <v>3021</v>
      </c>
      <c r="L206" s="458">
        <v>100</v>
      </c>
      <c r="M206" s="454" t="s">
        <v>2088</v>
      </c>
      <c r="N206" s="459">
        <v>8310410</v>
      </c>
      <c r="O206" s="460">
        <v>27537908</v>
      </c>
      <c r="P206" s="462">
        <v>151486</v>
      </c>
      <c r="Q206" s="462">
        <v>101</v>
      </c>
      <c r="R206" s="462">
        <v>43937</v>
      </c>
      <c r="S206" s="463">
        <v>433</v>
      </c>
      <c r="T206" s="464">
        <v>3.6</v>
      </c>
      <c r="U206" s="465">
        <v>1558.8</v>
      </c>
      <c r="V206" s="465">
        <v>15120</v>
      </c>
      <c r="W206" s="466">
        <v>0</v>
      </c>
      <c r="X206" s="467">
        <v>1</v>
      </c>
      <c r="Y206" s="466">
        <v>25018.2</v>
      </c>
      <c r="Z206" s="468" t="s">
        <v>516</v>
      </c>
      <c r="AA206" s="466">
        <v>103383</v>
      </c>
      <c r="AB206" s="466">
        <v>103383</v>
      </c>
      <c r="AC206" s="467">
        <v>0</v>
      </c>
      <c r="AD206" s="466">
        <v>0</v>
      </c>
      <c r="AE206" s="468" t="s">
        <v>516</v>
      </c>
      <c r="AF206" s="466">
        <v>0</v>
      </c>
      <c r="AG206" s="466">
        <v>0</v>
      </c>
      <c r="AH206" s="466">
        <v>18291.59</v>
      </c>
      <c r="AI206" s="466">
        <v>10602.27</v>
      </c>
      <c r="AJ206" s="469" t="s">
        <v>1560</v>
      </c>
      <c r="AK206" s="470" t="s">
        <v>1561</v>
      </c>
      <c r="AL206" s="471" t="s">
        <v>3022</v>
      </c>
      <c r="AM206" s="470" t="s">
        <v>3023</v>
      </c>
      <c r="AN206" s="470" t="s">
        <v>1385</v>
      </c>
      <c r="AO206" s="470" t="s">
        <v>3024</v>
      </c>
      <c r="AP206" s="470" t="s">
        <v>3025</v>
      </c>
      <c r="AQ206" s="470" t="s">
        <v>3019</v>
      </c>
      <c r="AR206" s="472" t="s">
        <v>515</v>
      </c>
      <c r="AS206" s="473" t="s">
        <v>1385</v>
      </c>
      <c r="AT206" s="472" t="s">
        <v>1390</v>
      </c>
      <c r="AU206" s="472" t="s">
        <v>420</v>
      </c>
      <c r="AV206" s="472">
        <v>2020</v>
      </c>
      <c r="AW206" s="474" t="s">
        <v>15078</v>
      </c>
      <c r="AX206" s="475" t="s">
        <v>15079</v>
      </c>
      <c r="AY206" s="515">
        <v>1</v>
      </c>
      <c r="AZ206" s="474" t="s">
        <v>15079</v>
      </c>
      <c r="BA206" s="472" t="s">
        <v>1390</v>
      </c>
      <c r="BB206" s="472" t="s">
        <v>1385</v>
      </c>
      <c r="BC206" s="472" t="s">
        <v>1385</v>
      </c>
      <c r="BD206" s="472" t="s">
        <v>1385</v>
      </c>
      <c r="BE206" s="472" t="s">
        <v>1385</v>
      </c>
      <c r="BF206" s="472">
        <v>25018.2</v>
      </c>
      <c r="BG206" s="472">
        <v>0</v>
      </c>
      <c r="BH206" s="472" t="s">
        <v>1385</v>
      </c>
      <c r="BI206" s="510">
        <v>0</v>
      </c>
      <c r="BJ206" s="510">
        <v>0</v>
      </c>
      <c r="BK206" s="510">
        <v>0</v>
      </c>
      <c r="BL206" s="510">
        <v>0</v>
      </c>
      <c r="BM206" s="510">
        <v>0</v>
      </c>
      <c r="BN206" s="510">
        <v>4000</v>
      </c>
      <c r="BO206" s="510">
        <v>0</v>
      </c>
      <c r="BP206" s="510">
        <v>0</v>
      </c>
      <c r="BQ206" s="510">
        <v>0</v>
      </c>
      <c r="BR206" s="510">
        <v>0</v>
      </c>
      <c r="BS206" s="510">
        <v>0</v>
      </c>
      <c r="BT206" s="510">
        <v>0</v>
      </c>
      <c r="BU206" s="510">
        <v>0</v>
      </c>
      <c r="BV206" s="510">
        <v>0</v>
      </c>
      <c r="BW206" s="510">
        <v>0</v>
      </c>
      <c r="BX206" s="510">
        <v>30000</v>
      </c>
      <c r="BY206" s="1011">
        <v>0</v>
      </c>
      <c r="BZ206" s="510">
        <v>0</v>
      </c>
      <c r="CA206" s="1011">
        <v>0</v>
      </c>
      <c r="CB206" s="510">
        <v>0</v>
      </c>
      <c r="CC206" s="1011">
        <v>0</v>
      </c>
      <c r="CD206" s="510">
        <v>0</v>
      </c>
      <c r="CE206" s="1011">
        <v>0</v>
      </c>
      <c r="CF206" s="510">
        <v>48364.800000000003</v>
      </c>
      <c r="CG206" s="1011">
        <v>0</v>
      </c>
      <c r="CH206" s="510">
        <v>0</v>
      </c>
      <c r="CI206" s="1011">
        <v>0</v>
      </c>
    </row>
    <row r="207" spans="1:118" x14ac:dyDescent="0.2">
      <c r="A207" s="449">
        <v>63</v>
      </c>
      <c r="B207" s="453">
        <v>19236</v>
      </c>
      <c r="C207" s="454" t="s">
        <v>3026</v>
      </c>
      <c r="D207" s="454" t="s">
        <v>1390</v>
      </c>
      <c r="E207" s="454" t="s">
        <v>3027</v>
      </c>
      <c r="F207" s="454" t="s">
        <v>518</v>
      </c>
      <c r="G207" s="454" t="s">
        <v>12665</v>
      </c>
      <c r="H207" s="455">
        <v>7570343000130</v>
      </c>
      <c r="I207" s="462">
        <v>38205</v>
      </c>
      <c r="J207" s="457">
        <v>37470230</v>
      </c>
      <c r="K207" s="454" t="s">
        <v>3029</v>
      </c>
      <c r="L207" s="458" t="s">
        <v>1446</v>
      </c>
      <c r="M207" s="454" t="s">
        <v>3030</v>
      </c>
      <c r="N207" s="459">
        <v>8220280</v>
      </c>
      <c r="O207" s="460">
        <v>20492478</v>
      </c>
      <c r="P207" s="462">
        <v>46887</v>
      </c>
      <c r="Q207" s="462">
        <v>32</v>
      </c>
      <c r="R207" s="462">
        <v>43934</v>
      </c>
      <c r="S207" s="463">
        <v>325</v>
      </c>
      <c r="T207" s="464">
        <v>3.6</v>
      </c>
      <c r="U207" s="465">
        <v>1170</v>
      </c>
      <c r="V207" s="465">
        <v>13680</v>
      </c>
      <c r="W207" s="466">
        <v>0</v>
      </c>
      <c r="X207" s="467">
        <v>1</v>
      </c>
      <c r="Y207" s="466">
        <v>0</v>
      </c>
      <c r="Z207" s="468" t="s">
        <v>514</v>
      </c>
      <c r="AA207" s="466">
        <v>0</v>
      </c>
      <c r="AB207" s="466">
        <v>0</v>
      </c>
      <c r="AC207" s="467">
        <v>0</v>
      </c>
      <c r="AD207" s="466">
        <v>0</v>
      </c>
      <c r="AE207" s="468" t="s">
        <v>516</v>
      </c>
      <c r="AF207" s="466">
        <v>0</v>
      </c>
      <c r="AG207" s="466">
        <v>0</v>
      </c>
      <c r="AH207" s="466">
        <v>357.53</v>
      </c>
      <c r="AI207" s="466">
        <v>46.75</v>
      </c>
      <c r="AJ207" s="469" t="s">
        <v>2644</v>
      </c>
      <c r="AK207" s="470" t="s">
        <v>2197</v>
      </c>
      <c r="AL207" s="471" t="s">
        <v>3031</v>
      </c>
      <c r="AM207" s="470" t="s">
        <v>3032</v>
      </c>
      <c r="AN207" s="470" t="s">
        <v>3028</v>
      </c>
      <c r="AO207" s="470" t="s">
        <v>14979</v>
      </c>
      <c r="AP207" s="470" t="s">
        <v>3033</v>
      </c>
      <c r="AQ207" s="470" t="s">
        <v>3026</v>
      </c>
      <c r="AR207" s="472" t="s">
        <v>515</v>
      </c>
      <c r="AS207" s="473" t="s">
        <v>1385</v>
      </c>
      <c r="AT207" s="472" t="s">
        <v>1390</v>
      </c>
      <c r="AU207" s="472" t="s">
        <v>420</v>
      </c>
      <c r="AV207" s="472">
        <v>2020</v>
      </c>
      <c r="AW207" s="474" t="s">
        <v>15078</v>
      </c>
      <c r="AX207" s="475" t="s">
        <v>15079</v>
      </c>
      <c r="AY207" s="515">
        <v>1</v>
      </c>
      <c r="AZ207" s="474" t="s">
        <v>15079</v>
      </c>
      <c r="BA207" s="472" t="s">
        <v>1385</v>
      </c>
      <c r="BB207" s="472" t="s">
        <v>1385</v>
      </c>
      <c r="BC207" s="472" t="s">
        <v>1385</v>
      </c>
      <c r="BD207" s="472" t="s">
        <v>1385</v>
      </c>
      <c r="BE207" s="472" t="s">
        <v>1385</v>
      </c>
      <c r="BF207" s="472">
        <v>22275</v>
      </c>
      <c r="BG207" s="472">
        <v>0</v>
      </c>
      <c r="BH207" s="472" t="s">
        <v>516</v>
      </c>
      <c r="BI207" s="510">
        <v>0</v>
      </c>
      <c r="BJ207" s="510">
        <v>0</v>
      </c>
      <c r="BK207" s="510">
        <v>0</v>
      </c>
      <c r="BL207" s="510">
        <v>0</v>
      </c>
      <c r="BM207" s="510">
        <v>0</v>
      </c>
      <c r="BN207" s="510">
        <v>0</v>
      </c>
      <c r="BO207" s="510">
        <v>0</v>
      </c>
      <c r="BP207" s="510">
        <v>0</v>
      </c>
      <c r="BQ207" s="510">
        <v>0</v>
      </c>
      <c r="BR207" s="510">
        <v>0</v>
      </c>
      <c r="BS207" s="510">
        <v>0</v>
      </c>
      <c r="BT207" s="510">
        <v>0</v>
      </c>
      <c r="BU207" s="510">
        <v>0</v>
      </c>
      <c r="BV207" s="510">
        <v>0</v>
      </c>
      <c r="BW207" s="510">
        <v>0</v>
      </c>
      <c r="BX207" s="510">
        <v>0</v>
      </c>
      <c r="BY207" s="1011">
        <v>0</v>
      </c>
      <c r="BZ207" s="510">
        <v>0</v>
      </c>
      <c r="CA207" s="1011">
        <v>0</v>
      </c>
      <c r="CB207" s="510">
        <v>0</v>
      </c>
      <c r="CC207" s="1011">
        <v>0</v>
      </c>
      <c r="CD207" s="510">
        <v>0</v>
      </c>
      <c r="CE207" s="1011">
        <v>0</v>
      </c>
      <c r="CF207" s="510">
        <v>0</v>
      </c>
      <c r="CG207" s="1011">
        <v>0</v>
      </c>
      <c r="CH207" s="510">
        <v>0</v>
      </c>
      <c r="CI207" s="1011">
        <v>0</v>
      </c>
    </row>
    <row r="208" spans="1:118" x14ac:dyDescent="0.2">
      <c r="A208" s="449">
        <v>99</v>
      </c>
      <c r="B208" s="453">
        <v>19237</v>
      </c>
      <c r="C208" s="454" t="s">
        <v>3034</v>
      </c>
      <c r="D208" s="454" t="s">
        <v>1390</v>
      </c>
      <c r="E208" s="454" t="s">
        <v>3035</v>
      </c>
      <c r="F208" s="454" t="s">
        <v>524</v>
      </c>
      <c r="G208" s="454" t="s">
        <v>12666</v>
      </c>
      <c r="H208" s="455">
        <v>5152097000171</v>
      </c>
      <c r="I208" s="462">
        <v>37412</v>
      </c>
      <c r="J208" s="457">
        <v>37498177</v>
      </c>
      <c r="K208" s="454" t="s">
        <v>3036</v>
      </c>
      <c r="L208" s="458" t="s">
        <v>1446</v>
      </c>
      <c r="M208" s="454" t="s">
        <v>3037</v>
      </c>
      <c r="N208" s="459">
        <v>4256215</v>
      </c>
      <c r="O208" s="460">
        <v>29475077</v>
      </c>
      <c r="P208" s="462">
        <v>206329</v>
      </c>
      <c r="Q208" s="462">
        <v>107</v>
      </c>
      <c r="R208" s="462">
        <v>43906</v>
      </c>
      <c r="S208" s="463">
        <v>285</v>
      </c>
      <c r="T208" s="464">
        <v>3.6</v>
      </c>
      <c r="U208" s="465">
        <v>1026</v>
      </c>
      <c r="V208" s="465">
        <v>12240</v>
      </c>
      <c r="W208" s="466">
        <v>0</v>
      </c>
      <c r="X208" s="467">
        <v>1</v>
      </c>
      <c r="Y208" s="466">
        <v>19899</v>
      </c>
      <c r="Z208" s="468" t="s">
        <v>516</v>
      </c>
      <c r="AA208" s="466">
        <v>94426.2</v>
      </c>
      <c r="AB208" s="466">
        <v>94426.2</v>
      </c>
      <c r="AC208" s="467">
        <v>0</v>
      </c>
      <c r="AD208" s="466">
        <v>0</v>
      </c>
      <c r="AE208" s="468" t="s">
        <v>516</v>
      </c>
      <c r="AF208" s="466">
        <v>0</v>
      </c>
      <c r="AG208" s="466">
        <v>0</v>
      </c>
      <c r="AH208" s="466">
        <v>7081.2</v>
      </c>
      <c r="AI208" s="466">
        <v>133.69</v>
      </c>
      <c r="AJ208" s="469" t="s">
        <v>1759</v>
      </c>
      <c r="AK208" s="470" t="s">
        <v>1760</v>
      </c>
      <c r="AL208" s="471" t="s">
        <v>3038</v>
      </c>
      <c r="AM208" s="470" t="s">
        <v>15185</v>
      </c>
      <c r="AN208" s="470" t="s">
        <v>3039</v>
      </c>
      <c r="AO208" s="470" t="s">
        <v>3040</v>
      </c>
      <c r="AP208" s="470" t="s">
        <v>3041</v>
      </c>
      <c r="AQ208" s="470" t="s">
        <v>3034</v>
      </c>
      <c r="AR208" s="472" t="s">
        <v>515</v>
      </c>
      <c r="AS208" s="473" t="s">
        <v>1385</v>
      </c>
      <c r="AT208" s="472" t="s">
        <v>1390</v>
      </c>
      <c r="AU208" s="472" t="s">
        <v>420</v>
      </c>
      <c r="AV208" s="472">
        <v>2020</v>
      </c>
      <c r="AW208" s="474" t="s">
        <v>15078</v>
      </c>
      <c r="AX208" s="475" t="s">
        <v>15079</v>
      </c>
      <c r="AY208" s="515">
        <v>1</v>
      </c>
      <c r="AZ208" s="474" t="s">
        <v>15079</v>
      </c>
      <c r="BA208" s="472" t="s">
        <v>1390</v>
      </c>
      <c r="BB208" s="472" t="s">
        <v>1385</v>
      </c>
      <c r="BC208" s="472" t="s">
        <v>1385</v>
      </c>
      <c r="BD208" s="472" t="s">
        <v>1385</v>
      </c>
      <c r="BE208" s="472" t="s">
        <v>1385</v>
      </c>
      <c r="BF208" s="472">
        <v>19899</v>
      </c>
      <c r="BG208" s="472">
        <v>0</v>
      </c>
      <c r="BH208" s="472" t="s">
        <v>1385</v>
      </c>
      <c r="BI208" s="510">
        <v>0</v>
      </c>
      <c r="BJ208" s="510">
        <v>0</v>
      </c>
      <c r="BK208" s="510">
        <v>0</v>
      </c>
      <c r="BL208" s="510">
        <v>0</v>
      </c>
      <c r="BM208" s="510">
        <v>0</v>
      </c>
      <c r="BN208" s="510">
        <v>3500</v>
      </c>
      <c r="BO208" s="510">
        <v>0</v>
      </c>
      <c r="BP208" s="510">
        <v>0</v>
      </c>
      <c r="BQ208" s="510">
        <v>0</v>
      </c>
      <c r="BR208" s="510">
        <v>0</v>
      </c>
      <c r="BS208" s="510">
        <v>0</v>
      </c>
      <c r="BT208" s="510">
        <v>0</v>
      </c>
      <c r="BU208" s="510">
        <v>0</v>
      </c>
      <c r="BV208" s="510">
        <v>0</v>
      </c>
      <c r="BW208" s="510">
        <v>0</v>
      </c>
      <c r="BX208" s="510">
        <v>30000</v>
      </c>
      <c r="BY208" s="1011">
        <v>0</v>
      </c>
      <c r="BZ208" s="510">
        <v>0</v>
      </c>
      <c r="CA208" s="1011">
        <v>0</v>
      </c>
      <c r="CB208" s="510">
        <v>0</v>
      </c>
      <c r="CC208" s="1011">
        <v>0</v>
      </c>
      <c r="CD208" s="510">
        <v>0</v>
      </c>
      <c r="CE208" s="1011">
        <v>0</v>
      </c>
      <c r="CF208" s="510">
        <v>44527.199999999997</v>
      </c>
      <c r="CG208" s="1011">
        <v>0</v>
      </c>
      <c r="CH208" s="510">
        <v>0</v>
      </c>
      <c r="CI208" s="1011">
        <v>0</v>
      </c>
    </row>
    <row r="209" spans="1:87" x14ac:dyDescent="0.2">
      <c r="A209" s="449">
        <v>103</v>
      </c>
      <c r="B209" s="453">
        <v>19238</v>
      </c>
      <c r="C209" s="454" t="s">
        <v>3042</v>
      </c>
      <c r="D209" s="454" t="s">
        <v>1390</v>
      </c>
      <c r="E209" s="454" t="s">
        <v>3043</v>
      </c>
      <c r="F209" s="454" t="s">
        <v>526</v>
      </c>
      <c r="G209" s="454" t="s">
        <v>12667</v>
      </c>
      <c r="H209" s="455">
        <v>7708634000142</v>
      </c>
      <c r="I209" s="462">
        <v>38230</v>
      </c>
      <c r="J209" s="457">
        <v>37475959</v>
      </c>
      <c r="K209" s="454" t="s">
        <v>3044</v>
      </c>
      <c r="L209" s="458">
        <v>85</v>
      </c>
      <c r="M209" s="454" t="s">
        <v>2571</v>
      </c>
      <c r="N209" s="459">
        <v>8061290</v>
      </c>
      <c r="O209" s="460">
        <v>29566180</v>
      </c>
      <c r="P209" s="462">
        <v>304487</v>
      </c>
      <c r="Q209" s="462">
        <v>103</v>
      </c>
      <c r="R209" s="462">
        <v>43928</v>
      </c>
      <c r="S209" s="463">
        <v>268</v>
      </c>
      <c r="T209" s="464">
        <v>3.6</v>
      </c>
      <c r="U209" s="465">
        <v>964.8</v>
      </c>
      <c r="V209" s="465">
        <v>12240</v>
      </c>
      <c r="W209" s="466">
        <v>0</v>
      </c>
      <c r="X209" s="467">
        <v>1</v>
      </c>
      <c r="Y209" s="466">
        <v>25315.200000000001</v>
      </c>
      <c r="Z209" s="468" t="s">
        <v>516</v>
      </c>
      <c r="AA209" s="466">
        <v>108982.39999999999</v>
      </c>
      <c r="AB209" s="466">
        <v>108982.39999999999</v>
      </c>
      <c r="AC209" s="467">
        <v>0</v>
      </c>
      <c r="AD209" s="466">
        <v>0</v>
      </c>
      <c r="AE209" s="468" t="s">
        <v>516</v>
      </c>
      <c r="AF209" s="466">
        <v>0</v>
      </c>
      <c r="AG209" s="466">
        <v>0</v>
      </c>
      <c r="AH209" s="466">
        <v>19435.84</v>
      </c>
      <c r="AI209" s="466">
        <v>5383.51</v>
      </c>
      <c r="AJ209" s="469" t="s">
        <v>1839</v>
      </c>
      <c r="AK209" s="470" t="s">
        <v>526</v>
      </c>
      <c r="AL209" s="471" t="s">
        <v>3045</v>
      </c>
      <c r="AM209" s="470" t="s">
        <v>12668</v>
      </c>
      <c r="AN209" s="470" t="s">
        <v>1385</v>
      </c>
      <c r="AO209" s="470" t="s">
        <v>3046</v>
      </c>
      <c r="AP209" s="470" t="s">
        <v>3047</v>
      </c>
      <c r="AQ209" s="470" t="s">
        <v>3042</v>
      </c>
      <c r="AR209" s="472" t="s">
        <v>515</v>
      </c>
      <c r="AS209" s="473" t="s">
        <v>1385</v>
      </c>
      <c r="AT209" s="472" t="s">
        <v>1390</v>
      </c>
      <c r="AU209" s="472" t="s">
        <v>420</v>
      </c>
      <c r="AV209" s="472">
        <v>2020</v>
      </c>
      <c r="AW209" s="474" t="s">
        <v>15078</v>
      </c>
      <c r="AX209" s="475" t="s">
        <v>15079</v>
      </c>
      <c r="AY209" s="515">
        <v>1</v>
      </c>
      <c r="AZ209" s="474" t="s">
        <v>15079</v>
      </c>
      <c r="BA209" s="472" t="s">
        <v>1390</v>
      </c>
      <c r="BB209" s="472" t="s">
        <v>516</v>
      </c>
      <c r="BC209" s="472">
        <v>10</v>
      </c>
      <c r="BD209" s="472">
        <v>3672</v>
      </c>
      <c r="BE209" s="472">
        <v>0</v>
      </c>
      <c r="BF209" s="472">
        <v>25315.200000000001</v>
      </c>
      <c r="BG209" s="472">
        <v>0</v>
      </c>
      <c r="BH209" s="472" t="s">
        <v>1385</v>
      </c>
      <c r="BI209" s="510">
        <v>0</v>
      </c>
      <c r="BJ209" s="510">
        <v>2365.85</v>
      </c>
      <c r="BK209" s="510">
        <v>0</v>
      </c>
      <c r="BL209" s="510">
        <v>0</v>
      </c>
      <c r="BM209" s="510">
        <v>0</v>
      </c>
      <c r="BN209" s="510">
        <v>3500</v>
      </c>
      <c r="BO209" s="510">
        <v>0</v>
      </c>
      <c r="BP209" s="510">
        <v>0</v>
      </c>
      <c r="BQ209" s="510">
        <v>0</v>
      </c>
      <c r="BR209" s="510">
        <v>0</v>
      </c>
      <c r="BS209" s="510">
        <v>0</v>
      </c>
      <c r="BT209" s="510">
        <v>0</v>
      </c>
      <c r="BU209" s="510">
        <v>0</v>
      </c>
      <c r="BV209" s="510">
        <v>0</v>
      </c>
      <c r="BW209" s="510">
        <v>0</v>
      </c>
      <c r="BX209" s="510">
        <v>30000</v>
      </c>
      <c r="BY209" s="1011">
        <v>0</v>
      </c>
      <c r="BZ209" s="510">
        <v>0</v>
      </c>
      <c r="CA209" s="1011">
        <v>0</v>
      </c>
      <c r="CB209" s="510">
        <v>0</v>
      </c>
      <c r="CC209" s="1011">
        <v>0</v>
      </c>
      <c r="CD209" s="510">
        <v>0</v>
      </c>
      <c r="CE209" s="1011">
        <v>0</v>
      </c>
      <c r="CF209" s="510">
        <v>53667.199999999997</v>
      </c>
      <c r="CG209" s="1011">
        <v>0</v>
      </c>
      <c r="CH209" s="510">
        <v>0</v>
      </c>
      <c r="CI209" s="1011">
        <v>0</v>
      </c>
    </row>
    <row r="210" spans="1:87" x14ac:dyDescent="0.2">
      <c r="A210" s="449">
        <v>151</v>
      </c>
      <c r="B210" s="453">
        <v>19239</v>
      </c>
      <c r="C210" s="454" t="s">
        <v>3048</v>
      </c>
      <c r="D210" s="454" t="s">
        <v>1390</v>
      </c>
      <c r="E210" s="454" t="s">
        <v>3049</v>
      </c>
      <c r="F210" s="454" t="s">
        <v>520</v>
      </c>
      <c r="G210" s="454" t="s">
        <v>12669</v>
      </c>
      <c r="H210" s="455">
        <v>7062198000187</v>
      </c>
      <c r="I210" s="462">
        <v>38275</v>
      </c>
      <c r="J210" s="457">
        <v>37620894</v>
      </c>
      <c r="K210" s="454" t="s">
        <v>3051</v>
      </c>
      <c r="L210" s="458">
        <v>20</v>
      </c>
      <c r="M210" s="454" t="s">
        <v>3052</v>
      </c>
      <c r="N210" s="459">
        <v>5728050</v>
      </c>
      <c r="O210" s="460">
        <v>35013252</v>
      </c>
      <c r="P210" s="462">
        <v>306609</v>
      </c>
      <c r="Q210" s="462">
        <v>86</v>
      </c>
      <c r="R210" s="462">
        <v>43969</v>
      </c>
      <c r="S210" s="463">
        <v>423</v>
      </c>
      <c r="T210" s="464">
        <v>3.6</v>
      </c>
      <c r="U210" s="465">
        <v>1522.8</v>
      </c>
      <c r="V210" s="465">
        <v>15120</v>
      </c>
      <c r="W210" s="466">
        <v>0</v>
      </c>
      <c r="X210" s="467">
        <v>1</v>
      </c>
      <c r="Y210" s="466">
        <v>24964.2</v>
      </c>
      <c r="Z210" s="468" t="s">
        <v>516</v>
      </c>
      <c r="AA210" s="466">
        <v>103228.2</v>
      </c>
      <c r="AB210" s="466">
        <v>103228.2</v>
      </c>
      <c r="AC210" s="467">
        <v>0</v>
      </c>
      <c r="AD210" s="466">
        <v>0</v>
      </c>
      <c r="AE210" s="468" t="s">
        <v>516</v>
      </c>
      <c r="AF210" s="466">
        <v>0</v>
      </c>
      <c r="AG210" s="466">
        <v>0</v>
      </c>
      <c r="AH210" s="466">
        <v>22387.27</v>
      </c>
      <c r="AI210" s="466">
        <v>11490.04</v>
      </c>
      <c r="AJ210" s="469" t="s">
        <v>1470</v>
      </c>
      <c r="AK210" s="470" t="s">
        <v>1471</v>
      </c>
      <c r="AL210" s="471" t="s">
        <v>3053</v>
      </c>
      <c r="AM210" s="470" t="s">
        <v>12670</v>
      </c>
      <c r="AN210" s="470" t="s">
        <v>3050</v>
      </c>
      <c r="AO210" s="470" t="s">
        <v>3054</v>
      </c>
      <c r="AP210" s="470" t="s">
        <v>3055</v>
      </c>
      <c r="AQ210" s="470" t="s">
        <v>3048</v>
      </c>
      <c r="AR210" s="472" t="s">
        <v>515</v>
      </c>
      <c r="AS210" s="473" t="s">
        <v>1385</v>
      </c>
      <c r="AT210" s="472" t="s">
        <v>1390</v>
      </c>
      <c r="AU210" s="472" t="s">
        <v>420</v>
      </c>
      <c r="AV210" s="472">
        <v>2020</v>
      </c>
      <c r="AW210" s="474" t="s">
        <v>15078</v>
      </c>
      <c r="AX210" s="475" t="s">
        <v>15079</v>
      </c>
      <c r="AY210" s="515">
        <v>1</v>
      </c>
      <c r="AZ210" s="474" t="s">
        <v>15079</v>
      </c>
      <c r="BA210" s="472" t="s">
        <v>1390</v>
      </c>
      <c r="BB210" s="472" t="s">
        <v>1385</v>
      </c>
      <c r="BC210" s="472" t="s">
        <v>1385</v>
      </c>
      <c r="BD210" s="472" t="s">
        <v>1385</v>
      </c>
      <c r="BE210" s="472" t="s">
        <v>1385</v>
      </c>
      <c r="BF210" s="472">
        <v>24964.2</v>
      </c>
      <c r="BG210" s="472">
        <v>0</v>
      </c>
      <c r="BH210" s="472" t="s">
        <v>1385</v>
      </c>
      <c r="BI210" s="510">
        <v>0</v>
      </c>
      <c r="BJ210" s="510">
        <v>0</v>
      </c>
      <c r="BK210" s="510">
        <v>0</v>
      </c>
      <c r="BL210" s="510">
        <v>0</v>
      </c>
      <c r="BM210" s="510">
        <v>0</v>
      </c>
      <c r="BN210" s="510">
        <v>4000</v>
      </c>
      <c r="BO210" s="510">
        <v>0</v>
      </c>
      <c r="BP210" s="510">
        <v>0</v>
      </c>
      <c r="BQ210" s="510">
        <v>0</v>
      </c>
      <c r="BR210" s="510">
        <v>0</v>
      </c>
      <c r="BS210" s="510">
        <v>0</v>
      </c>
      <c r="BT210" s="510">
        <v>0</v>
      </c>
      <c r="BU210" s="510">
        <v>0</v>
      </c>
      <c r="BV210" s="510">
        <v>0</v>
      </c>
      <c r="BW210" s="510">
        <v>0</v>
      </c>
      <c r="BX210" s="510">
        <v>30000</v>
      </c>
      <c r="BY210" s="1011">
        <v>0</v>
      </c>
      <c r="BZ210" s="510">
        <v>0</v>
      </c>
      <c r="CA210" s="1011">
        <v>0</v>
      </c>
      <c r="CB210" s="510">
        <v>0</v>
      </c>
      <c r="CC210" s="1011">
        <v>0</v>
      </c>
      <c r="CD210" s="510">
        <v>0</v>
      </c>
      <c r="CE210" s="1011">
        <v>0</v>
      </c>
      <c r="CF210" s="510">
        <v>48264</v>
      </c>
      <c r="CG210" s="1011">
        <v>0</v>
      </c>
      <c r="CH210" s="510">
        <v>0</v>
      </c>
      <c r="CI210" s="1011">
        <v>0</v>
      </c>
    </row>
    <row r="211" spans="1:87" x14ac:dyDescent="0.2">
      <c r="A211" s="449">
        <v>88</v>
      </c>
      <c r="B211" s="453">
        <v>19240</v>
      </c>
      <c r="C211" s="454" t="s">
        <v>3056</v>
      </c>
      <c r="D211" s="454" t="s">
        <v>1390</v>
      </c>
      <c r="E211" s="454" t="s">
        <v>3057</v>
      </c>
      <c r="F211" s="454" t="s">
        <v>513</v>
      </c>
      <c r="G211" s="454" t="s">
        <v>12671</v>
      </c>
      <c r="H211" s="455">
        <v>7103564000107</v>
      </c>
      <c r="I211" s="462">
        <v>38289</v>
      </c>
      <c r="J211" s="457">
        <v>37532669</v>
      </c>
      <c r="K211" s="454" t="s">
        <v>3058</v>
      </c>
      <c r="L211" s="458">
        <v>16</v>
      </c>
      <c r="M211" s="454" t="s">
        <v>3003</v>
      </c>
      <c r="N211" s="459">
        <v>3974015</v>
      </c>
      <c r="O211" s="460">
        <v>20121055</v>
      </c>
      <c r="P211" s="462">
        <v>151095</v>
      </c>
      <c r="Q211" s="462">
        <v>88</v>
      </c>
      <c r="R211" s="462">
        <v>43937</v>
      </c>
      <c r="S211" s="463">
        <v>290</v>
      </c>
      <c r="T211" s="464">
        <v>3.6</v>
      </c>
      <c r="U211" s="465">
        <v>1044</v>
      </c>
      <c r="V211" s="465">
        <v>12240</v>
      </c>
      <c r="W211" s="466">
        <v>0</v>
      </c>
      <c r="X211" s="467">
        <v>1</v>
      </c>
      <c r="Y211" s="466">
        <v>19926</v>
      </c>
      <c r="Z211" s="468" t="s">
        <v>516</v>
      </c>
      <c r="AA211" s="466">
        <v>94496.4</v>
      </c>
      <c r="AB211" s="466">
        <v>94496.4</v>
      </c>
      <c r="AC211" s="467">
        <v>0</v>
      </c>
      <c r="AD211" s="466">
        <v>0</v>
      </c>
      <c r="AE211" s="468" t="s">
        <v>516</v>
      </c>
      <c r="AF211" s="466">
        <v>0</v>
      </c>
      <c r="AG211" s="466">
        <v>0</v>
      </c>
      <c r="AH211" s="466">
        <v>5739.08</v>
      </c>
      <c r="AI211" s="466">
        <v>6558.36</v>
      </c>
      <c r="AJ211" s="469" t="s">
        <v>1972</v>
      </c>
      <c r="AK211" s="470" t="s">
        <v>1973</v>
      </c>
      <c r="AL211" s="471" t="s">
        <v>3059</v>
      </c>
      <c r="AM211" s="470" t="s">
        <v>12672</v>
      </c>
      <c r="AN211" s="470" t="s">
        <v>3060</v>
      </c>
      <c r="AO211" s="470" t="s">
        <v>3061</v>
      </c>
      <c r="AP211" s="470" t="s">
        <v>3062</v>
      </c>
      <c r="AQ211" s="470" t="s">
        <v>3056</v>
      </c>
      <c r="AR211" s="472" t="s">
        <v>515</v>
      </c>
      <c r="AS211" s="473" t="s">
        <v>1385</v>
      </c>
      <c r="AT211" s="472" t="s">
        <v>1390</v>
      </c>
      <c r="AU211" s="472" t="s">
        <v>420</v>
      </c>
      <c r="AV211" s="472">
        <v>2020</v>
      </c>
      <c r="AW211" s="474" t="s">
        <v>15078</v>
      </c>
      <c r="AX211" s="475" t="s">
        <v>15079</v>
      </c>
      <c r="AY211" s="515">
        <v>1</v>
      </c>
      <c r="AZ211" s="474" t="s">
        <v>15079</v>
      </c>
      <c r="BA211" s="472" t="s">
        <v>1390</v>
      </c>
      <c r="BB211" s="472" t="s">
        <v>1385</v>
      </c>
      <c r="BC211" s="472" t="s">
        <v>1385</v>
      </c>
      <c r="BD211" s="472" t="s">
        <v>1385</v>
      </c>
      <c r="BE211" s="472" t="s">
        <v>1385</v>
      </c>
      <c r="BF211" s="472">
        <v>19926</v>
      </c>
      <c r="BG211" s="472">
        <v>0</v>
      </c>
      <c r="BH211" s="472" t="s">
        <v>1385</v>
      </c>
      <c r="BI211" s="510">
        <v>0</v>
      </c>
      <c r="BJ211" s="510">
        <v>0</v>
      </c>
      <c r="BK211" s="510">
        <v>0</v>
      </c>
      <c r="BL211" s="510">
        <v>0</v>
      </c>
      <c r="BM211" s="510">
        <v>0</v>
      </c>
      <c r="BN211" s="510">
        <v>3500</v>
      </c>
      <c r="BO211" s="510">
        <v>0</v>
      </c>
      <c r="BP211" s="510">
        <v>0</v>
      </c>
      <c r="BQ211" s="510">
        <v>0</v>
      </c>
      <c r="BR211" s="510">
        <v>0</v>
      </c>
      <c r="BS211" s="510">
        <v>0</v>
      </c>
      <c r="BT211" s="510">
        <v>0</v>
      </c>
      <c r="BU211" s="510">
        <v>0</v>
      </c>
      <c r="BV211" s="510">
        <v>0</v>
      </c>
      <c r="BW211" s="510">
        <v>0</v>
      </c>
      <c r="BX211" s="510">
        <v>30000</v>
      </c>
      <c r="BY211" s="1011">
        <v>0</v>
      </c>
      <c r="BZ211" s="510">
        <v>0</v>
      </c>
      <c r="CA211" s="1011">
        <v>0</v>
      </c>
      <c r="CB211" s="510">
        <v>0</v>
      </c>
      <c r="CC211" s="1011">
        <v>0</v>
      </c>
      <c r="CD211" s="510">
        <v>0</v>
      </c>
      <c r="CE211" s="1011">
        <v>0</v>
      </c>
      <c r="CF211" s="510">
        <v>44570.400000000001</v>
      </c>
      <c r="CG211" s="1011">
        <v>0</v>
      </c>
      <c r="CH211" s="510">
        <v>0</v>
      </c>
      <c r="CI211" s="1011">
        <v>0</v>
      </c>
    </row>
    <row r="212" spans="1:87" x14ac:dyDescent="0.2">
      <c r="A212" s="449">
        <v>56</v>
      </c>
      <c r="B212" s="453">
        <v>19241</v>
      </c>
      <c r="C212" s="454" t="s">
        <v>3063</v>
      </c>
      <c r="D212" s="454" t="s">
        <v>517</v>
      </c>
      <c r="E212" s="454" t="s">
        <v>3064</v>
      </c>
      <c r="F212" s="454" t="s">
        <v>526</v>
      </c>
      <c r="G212" s="454" t="s">
        <v>12673</v>
      </c>
      <c r="H212" s="455">
        <v>3137164000153</v>
      </c>
      <c r="I212" s="462">
        <v>36286</v>
      </c>
      <c r="J212" s="457">
        <v>37475045</v>
      </c>
      <c r="K212" s="454" t="s">
        <v>2358</v>
      </c>
      <c r="L212" s="458">
        <v>654</v>
      </c>
      <c r="M212" s="454" t="s">
        <v>2359</v>
      </c>
      <c r="N212" s="459">
        <v>8131360</v>
      </c>
      <c r="O212" s="460">
        <v>25668599</v>
      </c>
      <c r="P212" s="462">
        <v>126147</v>
      </c>
      <c r="Q212" s="462">
        <v>56</v>
      </c>
      <c r="R212" s="462">
        <v>43928</v>
      </c>
      <c r="S212" s="463">
        <v>1067</v>
      </c>
      <c r="T212" s="464">
        <v>5.4</v>
      </c>
      <c r="U212" s="465">
        <v>5761.8</v>
      </c>
      <c r="V212" s="465">
        <v>20340</v>
      </c>
      <c r="W212" s="466">
        <v>0</v>
      </c>
      <c r="X212" s="467">
        <v>1</v>
      </c>
      <c r="Y212" s="466">
        <v>39152.699999999997</v>
      </c>
      <c r="Z212" s="468" t="s">
        <v>516</v>
      </c>
      <c r="AA212" s="466">
        <v>143107.9</v>
      </c>
      <c r="AB212" s="466">
        <v>143107.9</v>
      </c>
      <c r="AC212" s="467">
        <v>0</v>
      </c>
      <c r="AD212" s="466">
        <v>0</v>
      </c>
      <c r="AE212" s="468" t="s">
        <v>516</v>
      </c>
      <c r="AF212" s="466">
        <v>2000</v>
      </c>
      <c r="AG212" s="466">
        <v>2000</v>
      </c>
      <c r="AH212" s="466">
        <v>13270.03</v>
      </c>
      <c r="AI212" s="466">
        <v>15200.46</v>
      </c>
      <c r="AJ212" s="469" t="s">
        <v>1410</v>
      </c>
      <c r="AK212" s="470" t="s">
        <v>1411</v>
      </c>
      <c r="AL212" s="471" t="s">
        <v>3065</v>
      </c>
      <c r="AM212" s="470" t="s">
        <v>12674</v>
      </c>
      <c r="AN212" s="470" t="s">
        <v>1385</v>
      </c>
      <c r="AO212" s="470" t="s">
        <v>3066</v>
      </c>
      <c r="AP212" s="470" t="s">
        <v>3067</v>
      </c>
      <c r="AQ212" s="470" t="s">
        <v>3063</v>
      </c>
      <c r="AR212" s="472" t="s">
        <v>515</v>
      </c>
      <c r="AS212" s="473" t="s">
        <v>1385</v>
      </c>
      <c r="AT212" s="472" t="s">
        <v>517</v>
      </c>
      <c r="AU212" s="472" t="s">
        <v>420</v>
      </c>
      <c r="AV212" s="472">
        <v>2020</v>
      </c>
      <c r="AW212" s="474" t="s">
        <v>15078</v>
      </c>
      <c r="AX212" s="475" t="s">
        <v>15079</v>
      </c>
      <c r="AY212" s="515">
        <v>1</v>
      </c>
      <c r="AZ212" s="474" t="s">
        <v>15079</v>
      </c>
      <c r="BA212" s="472" t="s">
        <v>517</v>
      </c>
      <c r="BB212" s="472" t="s">
        <v>1385</v>
      </c>
      <c r="BC212" s="472" t="s">
        <v>1385</v>
      </c>
      <c r="BD212" s="472" t="s">
        <v>1385</v>
      </c>
      <c r="BE212" s="472" t="s">
        <v>1385</v>
      </c>
      <c r="BF212" s="509">
        <v>39152.699999999997</v>
      </c>
      <c r="BG212" s="509">
        <v>0</v>
      </c>
      <c r="BH212" s="472" t="s">
        <v>1385</v>
      </c>
      <c r="BI212" s="510">
        <v>0</v>
      </c>
      <c r="BJ212" s="510">
        <v>0</v>
      </c>
      <c r="BK212" s="510">
        <v>0</v>
      </c>
      <c r="BL212" s="510">
        <v>0</v>
      </c>
      <c r="BM212" s="510">
        <v>0</v>
      </c>
      <c r="BN212" s="510">
        <v>5000</v>
      </c>
      <c r="BO212" s="510">
        <v>0</v>
      </c>
      <c r="BP212" s="510">
        <v>2000</v>
      </c>
      <c r="BQ212" s="510">
        <v>0</v>
      </c>
      <c r="BR212" s="510">
        <v>0</v>
      </c>
      <c r="BS212" s="510">
        <v>0</v>
      </c>
      <c r="BT212" s="510">
        <v>0</v>
      </c>
      <c r="BU212" s="510">
        <v>0</v>
      </c>
      <c r="BV212" s="510">
        <v>0</v>
      </c>
      <c r="BW212" s="510">
        <v>0</v>
      </c>
      <c r="BX212" s="510">
        <v>30000</v>
      </c>
      <c r="BY212" s="1011">
        <v>0</v>
      </c>
      <c r="BZ212" s="510">
        <v>0</v>
      </c>
      <c r="CA212" s="1011">
        <v>0</v>
      </c>
      <c r="CB212" s="510">
        <v>22000</v>
      </c>
      <c r="CC212" s="1011">
        <v>0</v>
      </c>
      <c r="CD212" s="510">
        <v>0</v>
      </c>
      <c r="CE212" s="1011">
        <v>0</v>
      </c>
      <c r="CF212" s="510">
        <v>51955.199999999997</v>
      </c>
      <c r="CG212" s="1011">
        <v>0</v>
      </c>
      <c r="CH212" s="510">
        <v>0</v>
      </c>
      <c r="CI212" s="1011">
        <v>0</v>
      </c>
    </row>
    <row r="213" spans="1:87" x14ac:dyDescent="0.2">
      <c r="A213" s="449">
        <v>69</v>
      </c>
      <c r="B213" s="453">
        <v>19242</v>
      </c>
      <c r="C213" s="454" t="s">
        <v>3068</v>
      </c>
      <c r="D213" s="454" t="s">
        <v>1390</v>
      </c>
      <c r="E213" s="454" t="s">
        <v>3069</v>
      </c>
      <c r="F213" s="454" t="s">
        <v>519</v>
      </c>
      <c r="G213" s="454" t="s">
        <v>12675</v>
      </c>
      <c r="H213" s="455">
        <v>5916520000162</v>
      </c>
      <c r="I213" s="462">
        <v>37803</v>
      </c>
      <c r="J213" s="457">
        <v>37358545</v>
      </c>
      <c r="K213" s="454" t="s">
        <v>3071</v>
      </c>
      <c r="L213" s="458">
        <v>118</v>
      </c>
      <c r="M213" s="454" t="s">
        <v>3072</v>
      </c>
      <c r="N213" s="459">
        <v>5565200</v>
      </c>
      <c r="O213" s="460">
        <v>37827064</v>
      </c>
      <c r="P213" s="462">
        <v>119515</v>
      </c>
      <c r="Q213" s="462">
        <v>55</v>
      </c>
      <c r="R213" s="462">
        <v>43881</v>
      </c>
      <c r="S213" s="463">
        <v>352</v>
      </c>
      <c r="T213" s="464">
        <v>3.6</v>
      </c>
      <c r="U213" s="465">
        <v>1267.2</v>
      </c>
      <c r="V213" s="465">
        <v>13680</v>
      </c>
      <c r="W213" s="466">
        <v>0</v>
      </c>
      <c r="X213" s="467">
        <v>1</v>
      </c>
      <c r="Y213" s="466">
        <v>0</v>
      </c>
      <c r="Z213" s="468" t="s">
        <v>514</v>
      </c>
      <c r="AA213" s="466">
        <v>0</v>
      </c>
      <c r="AB213" s="466">
        <v>0</v>
      </c>
      <c r="AC213" s="467">
        <v>0</v>
      </c>
      <c r="AD213" s="466">
        <v>0</v>
      </c>
      <c r="AE213" s="468" t="s">
        <v>516</v>
      </c>
      <c r="AF213" s="466">
        <v>0</v>
      </c>
      <c r="AG213" s="466">
        <v>0</v>
      </c>
      <c r="AH213" s="466">
        <v>461.74</v>
      </c>
      <c r="AI213" s="466">
        <v>3.88</v>
      </c>
      <c r="AJ213" s="469" t="s">
        <v>2690</v>
      </c>
      <c r="AK213" s="470" t="s">
        <v>2691</v>
      </c>
      <c r="AL213" s="471" t="s">
        <v>3073</v>
      </c>
      <c r="AM213" s="470" t="s">
        <v>3074</v>
      </c>
      <c r="AN213" s="470" t="s">
        <v>3070</v>
      </c>
      <c r="AO213" s="470" t="s">
        <v>3075</v>
      </c>
      <c r="AP213" s="470" t="s">
        <v>3076</v>
      </c>
      <c r="AQ213" s="470" t="s">
        <v>3068</v>
      </c>
      <c r="AR213" s="472" t="s">
        <v>515</v>
      </c>
      <c r="AS213" s="473" t="s">
        <v>1385</v>
      </c>
      <c r="AT213" s="472" t="s">
        <v>1390</v>
      </c>
      <c r="AU213" s="472" t="s">
        <v>420</v>
      </c>
      <c r="AV213" s="472">
        <v>2020</v>
      </c>
      <c r="AW213" s="474" t="s">
        <v>15078</v>
      </c>
      <c r="AX213" s="475" t="s">
        <v>15079</v>
      </c>
      <c r="AY213" s="515">
        <v>1</v>
      </c>
      <c r="AZ213" s="474" t="s">
        <v>15079</v>
      </c>
      <c r="BA213" s="472" t="s">
        <v>1385</v>
      </c>
      <c r="BB213" s="472" t="s">
        <v>1385</v>
      </c>
      <c r="BC213" s="472" t="s">
        <v>1385</v>
      </c>
      <c r="BD213" s="472" t="s">
        <v>1385</v>
      </c>
      <c r="BE213" s="472" t="s">
        <v>1385</v>
      </c>
      <c r="BF213" s="472">
        <v>22420.799999999999</v>
      </c>
      <c r="BG213" s="472">
        <v>0</v>
      </c>
      <c r="BH213" s="472" t="s">
        <v>516</v>
      </c>
      <c r="BI213" s="510">
        <v>0</v>
      </c>
      <c r="BJ213" s="510">
        <v>0</v>
      </c>
      <c r="BK213" s="510">
        <v>0</v>
      </c>
      <c r="BL213" s="510">
        <v>0</v>
      </c>
      <c r="BM213" s="510">
        <v>0</v>
      </c>
      <c r="BN213" s="510">
        <v>0</v>
      </c>
      <c r="BO213" s="510">
        <v>0</v>
      </c>
      <c r="BP213" s="510">
        <v>0</v>
      </c>
      <c r="BQ213" s="510">
        <v>0</v>
      </c>
      <c r="BR213" s="510">
        <v>0</v>
      </c>
      <c r="BS213" s="510">
        <v>0</v>
      </c>
      <c r="BT213" s="510">
        <v>0</v>
      </c>
      <c r="BU213" s="510">
        <v>0</v>
      </c>
      <c r="BV213" s="510">
        <v>0</v>
      </c>
      <c r="BW213" s="510">
        <v>0</v>
      </c>
      <c r="BX213" s="510">
        <v>0</v>
      </c>
      <c r="BY213" s="1011">
        <v>0</v>
      </c>
      <c r="BZ213" s="510">
        <v>0</v>
      </c>
      <c r="CA213" s="1011">
        <v>0</v>
      </c>
      <c r="CB213" s="510">
        <v>0</v>
      </c>
      <c r="CC213" s="1011">
        <v>0</v>
      </c>
      <c r="CD213" s="510">
        <v>0</v>
      </c>
      <c r="CE213" s="1011">
        <v>0</v>
      </c>
      <c r="CF213" s="510">
        <v>0</v>
      </c>
      <c r="CG213" s="1011">
        <v>0</v>
      </c>
      <c r="CH213" s="510">
        <v>0</v>
      </c>
      <c r="CI213" s="1011">
        <v>0</v>
      </c>
    </row>
    <row r="214" spans="1:87" x14ac:dyDescent="0.2">
      <c r="A214" s="449">
        <v>50</v>
      </c>
      <c r="B214" s="453">
        <v>19243</v>
      </c>
      <c r="C214" s="454" t="s">
        <v>3077</v>
      </c>
      <c r="D214" s="454" t="s">
        <v>517</v>
      </c>
      <c r="E214" s="454" t="s">
        <v>3078</v>
      </c>
      <c r="F214" s="454" t="s">
        <v>521</v>
      </c>
      <c r="G214" s="454" t="s">
        <v>12676</v>
      </c>
      <c r="H214" s="455">
        <v>6134669000152</v>
      </c>
      <c r="I214" s="462">
        <v>37726</v>
      </c>
      <c r="J214" s="457">
        <v>37552090</v>
      </c>
      <c r="K214" s="454" t="s">
        <v>3079</v>
      </c>
      <c r="L214" s="458">
        <v>862</v>
      </c>
      <c r="M214" s="454" t="s">
        <v>3080</v>
      </c>
      <c r="N214" s="459">
        <v>4811120</v>
      </c>
      <c r="O214" s="460">
        <v>56690861</v>
      </c>
      <c r="P214" s="462">
        <v>99760</v>
      </c>
      <c r="Q214" s="462">
        <v>50</v>
      </c>
      <c r="R214" s="462">
        <v>43934</v>
      </c>
      <c r="S214" s="463">
        <v>824</v>
      </c>
      <c r="T214" s="464">
        <v>5.4</v>
      </c>
      <c r="U214" s="465">
        <v>4449.6000000000004</v>
      </c>
      <c r="V214" s="465">
        <v>18720</v>
      </c>
      <c r="W214" s="466">
        <v>0</v>
      </c>
      <c r="X214" s="467">
        <v>1</v>
      </c>
      <c r="Y214" s="466">
        <v>34754.400000000001</v>
      </c>
      <c r="Z214" s="468" t="s">
        <v>516</v>
      </c>
      <c r="AA214" s="466">
        <v>133747.6</v>
      </c>
      <c r="AB214" s="466">
        <v>133747.6</v>
      </c>
      <c r="AC214" s="467">
        <v>0</v>
      </c>
      <c r="AD214" s="466">
        <v>0</v>
      </c>
      <c r="AE214" s="468" t="s">
        <v>516</v>
      </c>
      <c r="AF214" s="466">
        <v>1400</v>
      </c>
      <c r="AG214" s="466">
        <v>1400</v>
      </c>
      <c r="AH214" s="466">
        <v>27871.3</v>
      </c>
      <c r="AI214" s="466">
        <v>11142.74</v>
      </c>
      <c r="AJ214" s="469" t="s">
        <v>1624</v>
      </c>
      <c r="AK214" s="470" t="s">
        <v>1625</v>
      </c>
      <c r="AL214" s="471" t="s">
        <v>3081</v>
      </c>
      <c r="AM214" s="470" t="s">
        <v>3082</v>
      </c>
      <c r="AN214" s="470" t="s">
        <v>1385</v>
      </c>
      <c r="AO214" s="470" t="s">
        <v>12677</v>
      </c>
      <c r="AP214" s="470" t="s">
        <v>3083</v>
      </c>
      <c r="AQ214" s="470" t="s">
        <v>3077</v>
      </c>
      <c r="AR214" s="472" t="s">
        <v>515</v>
      </c>
      <c r="AS214" s="473" t="s">
        <v>1385</v>
      </c>
      <c r="AT214" s="472" t="s">
        <v>517</v>
      </c>
      <c r="AU214" s="472" t="s">
        <v>420</v>
      </c>
      <c r="AV214" s="472">
        <v>2020</v>
      </c>
      <c r="AW214" s="474" t="s">
        <v>15078</v>
      </c>
      <c r="AX214" s="475" t="s">
        <v>15079</v>
      </c>
      <c r="AY214" s="515">
        <v>1</v>
      </c>
      <c r="AZ214" s="474" t="s">
        <v>15079</v>
      </c>
      <c r="BA214" s="472" t="s">
        <v>517</v>
      </c>
      <c r="BB214" s="472" t="s">
        <v>1385</v>
      </c>
      <c r="BC214" s="472" t="s">
        <v>1385</v>
      </c>
      <c r="BD214" s="472" t="s">
        <v>1385</v>
      </c>
      <c r="BE214" s="472" t="s">
        <v>1385</v>
      </c>
      <c r="BF214" s="472">
        <v>34754.400000000001</v>
      </c>
      <c r="BG214" s="472">
        <v>0</v>
      </c>
      <c r="BH214" s="472" t="s">
        <v>1385</v>
      </c>
      <c r="BI214" s="510">
        <v>0</v>
      </c>
      <c r="BJ214" s="510">
        <v>0</v>
      </c>
      <c r="BK214" s="510">
        <v>0</v>
      </c>
      <c r="BL214" s="510">
        <v>3500</v>
      </c>
      <c r="BM214" s="510">
        <v>0</v>
      </c>
      <c r="BN214" s="510">
        <v>5000</v>
      </c>
      <c r="BO214" s="510">
        <v>600</v>
      </c>
      <c r="BP214" s="510">
        <v>1400</v>
      </c>
      <c r="BQ214" s="510">
        <v>0</v>
      </c>
      <c r="BR214" s="510">
        <v>0</v>
      </c>
      <c r="BS214" s="510">
        <v>0</v>
      </c>
      <c r="BT214" s="510">
        <v>0</v>
      </c>
      <c r="BU214" s="510">
        <v>0</v>
      </c>
      <c r="BV214" s="510">
        <v>0</v>
      </c>
      <c r="BW214" s="510">
        <v>0</v>
      </c>
      <c r="BX214" s="510">
        <v>30000</v>
      </c>
      <c r="BY214" s="1011">
        <v>0</v>
      </c>
      <c r="BZ214" s="510">
        <v>0</v>
      </c>
      <c r="CA214" s="1011">
        <v>0</v>
      </c>
      <c r="CB214" s="510">
        <v>22000</v>
      </c>
      <c r="CC214" s="1011">
        <v>0</v>
      </c>
      <c r="CD214" s="510">
        <v>0</v>
      </c>
      <c r="CE214" s="1011">
        <v>0</v>
      </c>
      <c r="CF214" s="510">
        <v>46393.2</v>
      </c>
      <c r="CG214" s="1011">
        <v>0</v>
      </c>
      <c r="CH214" s="510">
        <v>0</v>
      </c>
      <c r="CI214" s="1011">
        <v>0</v>
      </c>
    </row>
    <row r="215" spans="1:87" x14ac:dyDescent="0.2">
      <c r="A215" s="449">
        <v>54</v>
      </c>
      <c r="B215" s="453">
        <v>19244</v>
      </c>
      <c r="C215" s="454" t="s">
        <v>3084</v>
      </c>
      <c r="D215" s="454" t="s">
        <v>517</v>
      </c>
      <c r="E215" s="454" t="s">
        <v>3085</v>
      </c>
      <c r="F215" s="454" t="s">
        <v>513</v>
      </c>
      <c r="G215" s="454" t="s">
        <v>12678</v>
      </c>
      <c r="H215" s="455">
        <v>6328218000156</v>
      </c>
      <c r="I215" s="462">
        <v>38149</v>
      </c>
      <c r="J215" s="457">
        <v>37537016</v>
      </c>
      <c r="K215" s="454" t="s">
        <v>3086</v>
      </c>
      <c r="L215" s="458">
        <v>147</v>
      </c>
      <c r="M215" s="454" t="s">
        <v>3003</v>
      </c>
      <c r="N215" s="459">
        <v>3977414</v>
      </c>
      <c r="O215" s="460">
        <v>29196487</v>
      </c>
      <c r="P215" s="462">
        <v>150110</v>
      </c>
      <c r="Q215" s="462">
        <v>54</v>
      </c>
      <c r="R215" s="462">
        <v>43937</v>
      </c>
      <c r="S215" s="463">
        <v>811</v>
      </c>
      <c r="T215" s="464">
        <v>5.4</v>
      </c>
      <c r="U215" s="465">
        <v>4379.3999999999996</v>
      </c>
      <c r="V215" s="465">
        <v>18720</v>
      </c>
      <c r="W215" s="466">
        <v>0</v>
      </c>
      <c r="X215" s="467">
        <v>1</v>
      </c>
      <c r="Y215" s="466">
        <v>0</v>
      </c>
      <c r="Z215" s="468" t="s">
        <v>514</v>
      </c>
      <c r="AA215" s="466">
        <v>0</v>
      </c>
      <c r="AB215" s="466">
        <v>0</v>
      </c>
      <c r="AC215" s="467">
        <v>0</v>
      </c>
      <c r="AD215" s="466">
        <v>0</v>
      </c>
      <c r="AE215" s="468" t="s">
        <v>516</v>
      </c>
      <c r="AF215" s="466">
        <v>0</v>
      </c>
      <c r="AG215" s="466">
        <v>0</v>
      </c>
      <c r="AH215" s="466">
        <v>649.32000000000005</v>
      </c>
      <c r="AI215" s="466">
        <v>3382.04</v>
      </c>
      <c r="AJ215" s="469" t="s">
        <v>1580</v>
      </c>
      <c r="AK215" s="470" t="s">
        <v>1879</v>
      </c>
      <c r="AL215" s="471" t="s">
        <v>3087</v>
      </c>
      <c r="AM215" s="470" t="s">
        <v>3088</v>
      </c>
      <c r="AN215" s="470" t="s">
        <v>3089</v>
      </c>
      <c r="AO215" s="470" t="s">
        <v>3090</v>
      </c>
      <c r="AP215" s="470" t="s">
        <v>3091</v>
      </c>
      <c r="AQ215" s="470" t="s">
        <v>3084</v>
      </c>
      <c r="AR215" s="472" t="s">
        <v>515</v>
      </c>
      <c r="AS215" s="473" t="s">
        <v>1385</v>
      </c>
      <c r="AT215" s="472" t="s">
        <v>517</v>
      </c>
      <c r="AU215" s="472" t="s">
        <v>420</v>
      </c>
      <c r="AV215" s="472">
        <v>2020</v>
      </c>
      <c r="AW215" s="474" t="s">
        <v>15078</v>
      </c>
      <c r="AX215" s="475" t="s">
        <v>15079</v>
      </c>
      <c r="AY215" s="515">
        <v>1</v>
      </c>
      <c r="AZ215" s="474" t="s">
        <v>15079</v>
      </c>
      <c r="BA215" s="472" t="s">
        <v>1385</v>
      </c>
      <c r="BB215" s="472" t="s">
        <v>1385</v>
      </c>
      <c r="BC215" s="472" t="s">
        <v>1385</v>
      </c>
      <c r="BD215" s="472" t="s">
        <v>1385</v>
      </c>
      <c r="BE215" s="472" t="s">
        <v>1385</v>
      </c>
      <c r="BF215" s="472">
        <v>34649.1</v>
      </c>
      <c r="BG215" s="472">
        <v>0</v>
      </c>
      <c r="BH215" s="472" t="s">
        <v>516</v>
      </c>
      <c r="BI215" s="510">
        <v>0</v>
      </c>
      <c r="BJ215" s="510">
        <v>0</v>
      </c>
      <c r="BK215" s="510">
        <v>0</v>
      </c>
      <c r="BL215" s="510">
        <v>0</v>
      </c>
      <c r="BM215" s="510">
        <v>0</v>
      </c>
      <c r="BN215" s="510">
        <v>0</v>
      </c>
      <c r="BO215" s="510">
        <v>0</v>
      </c>
      <c r="BP215" s="510">
        <v>0</v>
      </c>
      <c r="BQ215" s="510">
        <v>0</v>
      </c>
      <c r="BR215" s="510">
        <v>0</v>
      </c>
      <c r="BS215" s="510">
        <v>0</v>
      </c>
      <c r="BT215" s="510">
        <v>0</v>
      </c>
      <c r="BU215" s="510">
        <v>0</v>
      </c>
      <c r="BV215" s="510">
        <v>0</v>
      </c>
      <c r="BW215" s="510">
        <v>0</v>
      </c>
      <c r="BX215" s="510">
        <v>0</v>
      </c>
      <c r="BY215" s="1011">
        <v>0</v>
      </c>
      <c r="BZ215" s="510">
        <v>0</v>
      </c>
      <c r="CA215" s="1011">
        <v>0</v>
      </c>
      <c r="CB215" s="510">
        <v>0</v>
      </c>
      <c r="CC215" s="1011">
        <v>0</v>
      </c>
      <c r="CD215" s="510">
        <v>0</v>
      </c>
      <c r="CE215" s="1011">
        <v>0</v>
      </c>
      <c r="CF215" s="510">
        <v>0</v>
      </c>
      <c r="CG215" s="1011">
        <v>0</v>
      </c>
      <c r="CH215" s="510">
        <v>0</v>
      </c>
      <c r="CI215" s="1011">
        <v>0</v>
      </c>
    </row>
    <row r="216" spans="1:87" x14ac:dyDescent="0.2">
      <c r="A216" s="449">
        <v>91</v>
      </c>
      <c r="B216" s="453">
        <v>19245</v>
      </c>
      <c r="C216" s="454" t="s">
        <v>3092</v>
      </c>
      <c r="D216" s="454" t="s">
        <v>1390</v>
      </c>
      <c r="E216" s="454" t="s">
        <v>3093</v>
      </c>
      <c r="F216" s="454" t="s">
        <v>513</v>
      </c>
      <c r="G216" s="454" t="s">
        <v>12679</v>
      </c>
      <c r="H216" s="455">
        <v>7035089000170</v>
      </c>
      <c r="I216" s="462">
        <v>38244</v>
      </c>
      <c r="J216" s="457">
        <v>37532227</v>
      </c>
      <c r="K216" s="454" t="s">
        <v>3086</v>
      </c>
      <c r="L216" s="458">
        <v>179</v>
      </c>
      <c r="M216" s="454" t="s">
        <v>3003</v>
      </c>
      <c r="N216" s="459">
        <v>3977414</v>
      </c>
      <c r="O216" s="460">
        <v>29624441</v>
      </c>
      <c r="P216" s="462">
        <v>151133</v>
      </c>
      <c r="Q216" s="462">
        <v>91</v>
      </c>
      <c r="R216" s="462">
        <v>43937</v>
      </c>
      <c r="S216" s="463">
        <v>300</v>
      </c>
      <c r="T216" s="464">
        <v>3.6</v>
      </c>
      <c r="U216" s="465">
        <v>1080</v>
      </c>
      <c r="V216" s="465">
        <v>12240</v>
      </c>
      <c r="W216" s="466">
        <v>0</v>
      </c>
      <c r="X216" s="467">
        <v>1</v>
      </c>
      <c r="Y216" s="466">
        <v>19980</v>
      </c>
      <c r="Z216" s="468" t="s">
        <v>516</v>
      </c>
      <c r="AA216" s="466">
        <v>91576.8</v>
      </c>
      <c r="AB216" s="466">
        <v>91576.8</v>
      </c>
      <c r="AC216" s="467">
        <v>0</v>
      </c>
      <c r="AD216" s="466">
        <v>0</v>
      </c>
      <c r="AE216" s="468" t="s">
        <v>516</v>
      </c>
      <c r="AF216" s="466">
        <v>0</v>
      </c>
      <c r="AG216" s="466">
        <v>0</v>
      </c>
      <c r="AH216" s="466">
        <v>22225.18</v>
      </c>
      <c r="AI216" s="466">
        <v>2834.06</v>
      </c>
      <c r="AJ216" s="469" t="s">
        <v>1972</v>
      </c>
      <c r="AK216" s="470" t="s">
        <v>1973</v>
      </c>
      <c r="AL216" s="471" t="s">
        <v>3094</v>
      </c>
      <c r="AM216" s="470" t="s">
        <v>12680</v>
      </c>
      <c r="AN216" s="470" t="s">
        <v>3095</v>
      </c>
      <c r="AO216" s="470" t="s">
        <v>3096</v>
      </c>
      <c r="AP216" s="470" t="s">
        <v>3097</v>
      </c>
      <c r="AQ216" s="470" t="s">
        <v>3092</v>
      </c>
      <c r="AR216" s="472" t="s">
        <v>515</v>
      </c>
      <c r="AS216" s="473" t="s">
        <v>1385</v>
      </c>
      <c r="AT216" s="472" t="s">
        <v>1390</v>
      </c>
      <c r="AU216" s="472" t="s">
        <v>420</v>
      </c>
      <c r="AV216" s="472">
        <v>2020</v>
      </c>
      <c r="AW216" s="474" t="s">
        <v>15078</v>
      </c>
      <c r="AX216" s="475" t="s">
        <v>15079</v>
      </c>
      <c r="AY216" s="515">
        <v>1</v>
      </c>
      <c r="AZ216" s="474" t="s">
        <v>15079</v>
      </c>
      <c r="BA216" s="472" t="s">
        <v>1390</v>
      </c>
      <c r="BB216" s="472" t="s">
        <v>1385</v>
      </c>
      <c r="BC216" s="472" t="s">
        <v>1385</v>
      </c>
      <c r="BD216" s="472" t="s">
        <v>1385</v>
      </c>
      <c r="BE216" s="472" t="s">
        <v>1385</v>
      </c>
      <c r="BF216" s="472">
        <v>19980</v>
      </c>
      <c r="BG216" s="472">
        <v>0</v>
      </c>
      <c r="BH216" s="472" t="s">
        <v>1385</v>
      </c>
      <c r="BI216" s="510">
        <v>0</v>
      </c>
      <c r="BJ216" s="510">
        <v>0</v>
      </c>
      <c r="BK216" s="510">
        <v>0</v>
      </c>
      <c r="BL216" s="510">
        <v>0</v>
      </c>
      <c r="BM216" s="510">
        <v>0</v>
      </c>
      <c r="BN216" s="510">
        <v>3500</v>
      </c>
      <c r="BO216" s="510">
        <v>0</v>
      </c>
      <c r="BP216" s="510">
        <v>0</v>
      </c>
      <c r="BQ216" s="510">
        <v>0</v>
      </c>
      <c r="BR216" s="510">
        <v>0</v>
      </c>
      <c r="BS216" s="510">
        <v>0</v>
      </c>
      <c r="BT216" s="510">
        <v>0</v>
      </c>
      <c r="BU216" s="510">
        <v>0</v>
      </c>
      <c r="BV216" s="510">
        <v>0</v>
      </c>
      <c r="BW216" s="510">
        <v>0</v>
      </c>
      <c r="BX216" s="510">
        <v>30000</v>
      </c>
      <c r="BY216" s="1011">
        <v>0</v>
      </c>
      <c r="BZ216" s="510">
        <v>0</v>
      </c>
      <c r="CA216" s="1011">
        <v>0</v>
      </c>
      <c r="CB216" s="510">
        <v>0</v>
      </c>
      <c r="CC216" s="1011">
        <v>0</v>
      </c>
      <c r="CD216" s="510">
        <v>0</v>
      </c>
      <c r="CE216" s="1011">
        <v>0</v>
      </c>
      <c r="CF216" s="510">
        <v>41596.800000000003</v>
      </c>
      <c r="CG216" s="1011">
        <v>0</v>
      </c>
      <c r="CH216" s="510">
        <v>0</v>
      </c>
      <c r="CI216" s="1011">
        <v>0</v>
      </c>
    </row>
    <row r="217" spans="1:87" x14ac:dyDescent="0.2">
      <c r="A217" s="449">
        <v>87</v>
      </c>
      <c r="B217" s="453">
        <v>19246</v>
      </c>
      <c r="C217" s="454" t="s">
        <v>3098</v>
      </c>
      <c r="D217" s="454" t="s">
        <v>1390</v>
      </c>
      <c r="E217" s="454" t="s">
        <v>3099</v>
      </c>
      <c r="F217" s="454" t="s">
        <v>523</v>
      </c>
      <c r="G217" s="454" t="s">
        <v>12681</v>
      </c>
      <c r="H217" s="455">
        <v>7654505000119</v>
      </c>
      <c r="I217" s="462">
        <v>38546</v>
      </c>
      <c r="J217" s="457">
        <v>34572490</v>
      </c>
      <c r="K217" s="454" t="s">
        <v>3101</v>
      </c>
      <c r="L217" s="458">
        <v>451</v>
      </c>
      <c r="M217" s="454" t="s">
        <v>1950</v>
      </c>
      <c r="N217" s="459">
        <v>8473591</v>
      </c>
      <c r="O217" s="460">
        <v>22823477</v>
      </c>
      <c r="P217" s="462">
        <v>261168</v>
      </c>
      <c r="Q217" s="462">
        <v>87</v>
      </c>
      <c r="R217" s="462">
        <v>43921</v>
      </c>
      <c r="S217" s="463">
        <v>482</v>
      </c>
      <c r="T217" s="464">
        <v>3.6</v>
      </c>
      <c r="U217" s="465">
        <v>1735.2</v>
      </c>
      <c r="V217" s="465">
        <v>15120</v>
      </c>
      <c r="W217" s="466">
        <v>0</v>
      </c>
      <c r="X217" s="467">
        <v>1</v>
      </c>
      <c r="Y217" s="466">
        <v>25282.799999999999</v>
      </c>
      <c r="Z217" s="468" t="s">
        <v>516</v>
      </c>
      <c r="AA217" s="466">
        <v>104036.4</v>
      </c>
      <c r="AB217" s="466">
        <v>104036.4</v>
      </c>
      <c r="AC217" s="467">
        <v>0</v>
      </c>
      <c r="AD217" s="466">
        <v>0</v>
      </c>
      <c r="AE217" s="468" t="s">
        <v>516</v>
      </c>
      <c r="AF217" s="466">
        <v>0</v>
      </c>
      <c r="AG217" s="466">
        <v>0</v>
      </c>
      <c r="AH217" s="466">
        <v>15041.07</v>
      </c>
      <c r="AI217" s="466">
        <v>16077.05</v>
      </c>
      <c r="AJ217" s="469" t="s">
        <v>1674</v>
      </c>
      <c r="AK217" s="470" t="s">
        <v>518</v>
      </c>
      <c r="AL217" s="471" t="s">
        <v>3102</v>
      </c>
      <c r="AM217" s="470" t="s">
        <v>12682</v>
      </c>
      <c r="AN217" s="470" t="s">
        <v>3100</v>
      </c>
      <c r="AO217" s="470" t="s">
        <v>3103</v>
      </c>
      <c r="AP217" s="470" t="s">
        <v>3104</v>
      </c>
      <c r="AQ217" s="470" t="s">
        <v>3098</v>
      </c>
      <c r="AR217" s="472" t="s">
        <v>515</v>
      </c>
      <c r="AS217" s="473" t="s">
        <v>1385</v>
      </c>
      <c r="AT217" s="472" t="s">
        <v>1390</v>
      </c>
      <c r="AU217" s="472" t="s">
        <v>420</v>
      </c>
      <c r="AV217" s="472">
        <v>2020</v>
      </c>
      <c r="AW217" s="474" t="s">
        <v>15078</v>
      </c>
      <c r="AX217" s="475" t="s">
        <v>15079</v>
      </c>
      <c r="AY217" s="515">
        <v>1</v>
      </c>
      <c r="AZ217" s="474" t="s">
        <v>15079</v>
      </c>
      <c r="BA217" s="472" t="s">
        <v>1390</v>
      </c>
      <c r="BB217" s="472" t="s">
        <v>1385</v>
      </c>
      <c r="BC217" s="472" t="s">
        <v>1385</v>
      </c>
      <c r="BD217" s="472" t="s">
        <v>1385</v>
      </c>
      <c r="BE217" s="472" t="s">
        <v>1385</v>
      </c>
      <c r="BF217" s="472">
        <v>25282.799999999999</v>
      </c>
      <c r="BG217" s="472">
        <v>0</v>
      </c>
      <c r="BH217" s="472" t="s">
        <v>1385</v>
      </c>
      <c r="BI217" s="510">
        <v>0</v>
      </c>
      <c r="BJ217" s="510">
        <v>0</v>
      </c>
      <c r="BK217" s="510">
        <v>0</v>
      </c>
      <c r="BL217" s="510">
        <v>0</v>
      </c>
      <c r="BM217" s="510">
        <v>0</v>
      </c>
      <c r="BN217" s="510">
        <v>4000</v>
      </c>
      <c r="BO217" s="510">
        <v>0</v>
      </c>
      <c r="BP217" s="510">
        <v>0</v>
      </c>
      <c r="BQ217" s="510">
        <v>0</v>
      </c>
      <c r="BR217" s="510">
        <v>0</v>
      </c>
      <c r="BS217" s="510">
        <v>0</v>
      </c>
      <c r="BT217" s="510">
        <v>0</v>
      </c>
      <c r="BU217" s="510">
        <v>0</v>
      </c>
      <c r="BV217" s="510">
        <v>0</v>
      </c>
      <c r="BW217" s="510">
        <v>0</v>
      </c>
      <c r="BX217" s="510">
        <v>30000</v>
      </c>
      <c r="BY217" s="1011">
        <v>0</v>
      </c>
      <c r="BZ217" s="510">
        <v>0</v>
      </c>
      <c r="CA217" s="1011">
        <v>0</v>
      </c>
      <c r="CB217" s="510">
        <v>0</v>
      </c>
      <c r="CC217" s="1011">
        <v>0</v>
      </c>
      <c r="CD217" s="510">
        <v>0</v>
      </c>
      <c r="CE217" s="1011">
        <v>0</v>
      </c>
      <c r="CF217" s="510">
        <v>48753.599999999999</v>
      </c>
      <c r="CG217" s="1011">
        <v>0</v>
      </c>
      <c r="CH217" s="510">
        <v>0</v>
      </c>
      <c r="CI217" s="1011">
        <v>0</v>
      </c>
    </row>
    <row r="218" spans="1:87" x14ac:dyDescent="0.2">
      <c r="A218" s="449">
        <v>109</v>
      </c>
      <c r="B218" s="453">
        <v>19247</v>
      </c>
      <c r="C218" s="454" t="s">
        <v>3105</v>
      </c>
      <c r="D218" s="454" t="s">
        <v>517</v>
      </c>
      <c r="E218" s="454" t="s">
        <v>3105</v>
      </c>
      <c r="F218" s="454" t="s">
        <v>520</v>
      </c>
      <c r="G218" s="454" t="s">
        <v>12683</v>
      </c>
      <c r="H218" s="455">
        <v>6300513000102</v>
      </c>
      <c r="I218" s="462">
        <v>37993</v>
      </c>
      <c r="J218" s="457">
        <v>37622552</v>
      </c>
      <c r="K218" s="454" t="s">
        <v>3106</v>
      </c>
      <c r="L218" s="458" t="s">
        <v>1446</v>
      </c>
      <c r="M218" s="454" t="s">
        <v>3107</v>
      </c>
      <c r="N218" s="459">
        <v>5886490</v>
      </c>
      <c r="O218" s="460">
        <v>58253208</v>
      </c>
      <c r="P218" s="462">
        <v>304010</v>
      </c>
      <c r="Q218" s="462">
        <v>174</v>
      </c>
      <c r="R218" s="462">
        <v>43979</v>
      </c>
      <c r="S218" s="463">
        <v>596</v>
      </c>
      <c r="T218" s="464">
        <v>5.4</v>
      </c>
      <c r="U218" s="465">
        <v>3218.4</v>
      </c>
      <c r="V218" s="465">
        <v>17100</v>
      </c>
      <c r="W218" s="466">
        <v>0</v>
      </c>
      <c r="X218" s="467">
        <v>1</v>
      </c>
      <c r="Y218" s="466">
        <v>30477.599999999999</v>
      </c>
      <c r="Z218" s="468" t="s">
        <v>516</v>
      </c>
      <c r="AA218" s="466">
        <v>123179.2</v>
      </c>
      <c r="AB218" s="466">
        <v>123179.2</v>
      </c>
      <c r="AC218" s="467">
        <v>0</v>
      </c>
      <c r="AD218" s="466">
        <v>0</v>
      </c>
      <c r="AE218" s="468" t="s">
        <v>516</v>
      </c>
      <c r="AF218" s="466">
        <v>0</v>
      </c>
      <c r="AG218" s="466">
        <v>0</v>
      </c>
      <c r="AH218" s="466">
        <v>6629.69</v>
      </c>
      <c r="AI218" s="466">
        <v>29.8</v>
      </c>
      <c r="AJ218" s="469" t="s">
        <v>1470</v>
      </c>
      <c r="AK218" s="470" t="s">
        <v>1471</v>
      </c>
      <c r="AL218" s="471" t="s">
        <v>3108</v>
      </c>
      <c r="AM218" s="470" t="s">
        <v>3109</v>
      </c>
      <c r="AN218" s="470" t="s">
        <v>3110</v>
      </c>
      <c r="AO218" s="470" t="s">
        <v>3111</v>
      </c>
      <c r="AP218" s="470" t="s">
        <v>3112</v>
      </c>
      <c r="AQ218" s="470" t="s">
        <v>3105</v>
      </c>
      <c r="AR218" s="472" t="s">
        <v>515</v>
      </c>
      <c r="AS218" s="473" t="s">
        <v>1385</v>
      </c>
      <c r="AT218" s="472" t="s">
        <v>517</v>
      </c>
      <c r="AU218" s="472" t="s">
        <v>420</v>
      </c>
      <c r="AV218" s="472">
        <v>2020</v>
      </c>
      <c r="AW218" s="474" t="s">
        <v>15078</v>
      </c>
      <c r="AX218" s="475" t="s">
        <v>15079</v>
      </c>
      <c r="AY218" s="515">
        <v>1</v>
      </c>
      <c r="AZ218" s="474" t="s">
        <v>15079</v>
      </c>
      <c r="BA218" s="472" t="s">
        <v>517</v>
      </c>
      <c r="BB218" s="472" t="s">
        <v>1385</v>
      </c>
      <c r="BC218" s="472" t="s">
        <v>1385</v>
      </c>
      <c r="BD218" s="472" t="s">
        <v>1385</v>
      </c>
      <c r="BE218" s="472" t="s">
        <v>1385</v>
      </c>
      <c r="BF218" s="472">
        <v>30477.599999999999</v>
      </c>
      <c r="BG218" s="472">
        <v>0</v>
      </c>
      <c r="BH218" s="472" t="s">
        <v>1385</v>
      </c>
      <c r="BI218" s="510">
        <v>0</v>
      </c>
      <c r="BJ218" s="510">
        <v>0</v>
      </c>
      <c r="BK218" s="510">
        <v>0</v>
      </c>
      <c r="BL218" s="510">
        <v>1234.4000000000001</v>
      </c>
      <c r="BM218" s="510">
        <v>0</v>
      </c>
      <c r="BN218" s="510">
        <v>3500</v>
      </c>
      <c r="BO218" s="510">
        <v>0</v>
      </c>
      <c r="BP218" s="510">
        <v>0</v>
      </c>
      <c r="BQ218" s="510">
        <v>0</v>
      </c>
      <c r="BR218" s="510">
        <v>0</v>
      </c>
      <c r="BS218" s="510">
        <v>0</v>
      </c>
      <c r="BT218" s="510">
        <v>0</v>
      </c>
      <c r="BU218" s="510">
        <v>0</v>
      </c>
      <c r="BV218" s="510">
        <v>0</v>
      </c>
      <c r="BW218" s="510">
        <v>0</v>
      </c>
      <c r="BX218" s="510">
        <v>30000</v>
      </c>
      <c r="BY218" s="1011">
        <v>0</v>
      </c>
      <c r="BZ218" s="510">
        <v>0</v>
      </c>
      <c r="CA218" s="1011">
        <v>0</v>
      </c>
      <c r="CB218" s="510">
        <v>22000</v>
      </c>
      <c r="CC218" s="1011">
        <v>0</v>
      </c>
      <c r="CD218" s="510">
        <v>0</v>
      </c>
      <c r="CE218" s="1011">
        <v>0</v>
      </c>
      <c r="CF218" s="510">
        <v>40701.599999999999</v>
      </c>
      <c r="CG218" s="1011">
        <v>0</v>
      </c>
      <c r="CH218" s="510">
        <v>0</v>
      </c>
      <c r="CI218" s="1011">
        <v>0</v>
      </c>
    </row>
    <row r="219" spans="1:87" x14ac:dyDescent="0.2">
      <c r="A219" s="449">
        <v>92</v>
      </c>
      <c r="B219" s="453">
        <v>19248</v>
      </c>
      <c r="C219" s="454" t="s">
        <v>3113</v>
      </c>
      <c r="D219" s="454" t="s">
        <v>1390</v>
      </c>
      <c r="E219" s="454" t="s">
        <v>3114</v>
      </c>
      <c r="F219" s="454" t="s">
        <v>523</v>
      </c>
      <c r="G219" s="454" t="s">
        <v>12684</v>
      </c>
      <c r="H219" s="455">
        <v>7286491000128</v>
      </c>
      <c r="I219" s="462">
        <v>38261</v>
      </c>
      <c r="J219" s="457">
        <v>37621319</v>
      </c>
      <c r="K219" s="454" t="s">
        <v>3116</v>
      </c>
      <c r="L219" s="458" t="s">
        <v>3117</v>
      </c>
      <c r="M219" s="454" t="s">
        <v>3118</v>
      </c>
      <c r="N219" s="459">
        <v>8142430</v>
      </c>
      <c r="O219" s="460">
        <v>29638426</v>
      </c>
      <c r="P219" s="462">
        <v>261230</v>
      </c>
      <c r="Q219" s="462">
        <v>92</v>
      </c>
      <c r="R219" s="462">
        <v>43921</v>
      </c>
      <c r="S219" s="463">
        <v>616</v>
      </c>
      <c r="T219" s="464">
        <v>3.6</v>
      </c>
      <c r="U219" s="465">
        <v>2217.6</v>
      </c>
      <c r="V219" s="465">
        <v>18000</v>
      </c>
      <c r="W219" s="466">
        <v>0</v>
      </c>
      <c r="X219" s="467">
        <v>1</v>
      </c>
      <c r="Y219" s="466">
        <v>30326.400000000001</v>
      </c>
      <c r="Z219" s="468" t="s">
        <v>516</v>
      </c>
      <c r="AA219" s="466">
        <v>112701.6</v>
      </c>
      <c r="AB219" s="466">
        <v>112701.6</v>
      </c>
      <c r="AC219" s="467">
        <v>0</v>
      </c>
      <c r="AD219" s="466">
        <v>0</v>
      </c>
      <c r="AE219" s="468" t="s">
        <v>516</v>
      </c>
      <c r="AF219" s="466">
        <v>0</v>
      </c>
      <c r="AG219" s="466">
        <v>0</v>
      </c>
      <c r="AH219" s="466">
        <v>21619.08</v>
      </c>
      <c r="AI219" s="466">
        <v>2021.76</v>
      </c>
      <c r="AJ219" s="469" t="s">
        <v>1395</v>
      </c>
      <c r="AK219" s="470" t="s">
        <v>523</v>
      </c>
      <c r="AL219" s="471" t="s">
        <v>3119</v>
      </c>
      <c r="AM219" s="470" t="s">
        <v>3120</v>
      </c>
      <c r="AN219" s="470" t="s">
        <v>3115</v>
      </c>
      <c r="AO219" s="470" t="s">
        <v>3121</v>
      </c>
      <c r="AP219" s="470" t="s">
        <v>3122</v>
      </c>
      <c r="AQ219" s="470" t="s">
        <v>3113</v>
      </c>
      <c r="AR219" s="472" t="s">
        <v>515</v>
      </c>
      <c r="AS219" s="473" t="s">
        <v>1385</v>
      </c>
      <c r="AT219" s="472" t="s">
        <v>1390</v>
      </c>
      <c r="AU219" s="472" t="s">
        <v>420</v>
      </c>
      <c r="AV219" s="472">
        <v>2020</v>
      </c>
      <c r="AW219" s="474" t="s">
        <v>15078</v>
      </c>
      <c r="AX219" s="475" t="s">
        <v>15079</v>
      </c>
      <c r="AY219" s="515">
        <v>1</v>
      </c>
      <c r="AZ219" s="474" t="s">
        <v>15079</v>
      </c>
      <c r="BA219" s="472" t="s">
        <v>1390</v>
      </c>
      <c r="BB219" s="472" t="s">
        <v>1385</v>
      </c>
      <c r="BC219" s="472" t="s">
        <v>1385</v>
      </c>
      <c r="BD219" s="472" t="s">
        <v>1385</v>
      </c>
      <c r="BE219" s="472" t="s">
        <v>1385</v>
      </c>
      <c r="BF219" s="472">
        <v>30326.400000000001</v>
      </c>
      <c r="BG219" s="472">
        <v>0</v>
      </c>
      <c r="BH219" s="472" t="s">
        <v>1385</v>
      </c>
      <c r="BI219" s="510">
        <v>0</v>
      </c>
      <c r="BJ219" s="510">
        <v>0</v>
      </c>
      <c r="BK219" s="510">
        <v>0</v>
      </c>
      <c r="BL219" s="510">
        <v>0</v>
      </c>
      <c r="BM219" s="510">
        <v>0</v>
      </c>
      <c r="BN219" s="510">
        <v>5000</v>
      </c>
      <c r="BO219" s="510">
        <v>0</v>
      </c>
      <c r="BP219" s="510">
        <v>0</v>
      </c>
      <c r="BQ219" s="510">
        <v>0</v>
      </c>
      <c r="BR219" s="510">
        <v>0</v>
      </c>
      <c r="BS219" s="510">
        <v>0</v>
      </c>
      <c r="BT219" s="510">
        <v>0</v>
      </c>
      <c r="BU219" s="510">
        <v>0</v>
      </c>
      <c r="BV219" s="510">
        <v>0</v>
      </c>
      <c r="BW219" s="510">
        <v>0</v>
      </c>
      <c r="BX219" s="510">
        <v>30000</v>
      </c>
      <c r="BY219" s="1011">
        <v>0</v>
      </c>
      <c r="BZ219" s="510">
        <v>0</v>
      </c>
      <c r="CA219" s="1011">
        <v>0</v>
      </c>
      <c r="CB219" s="510">
        <v>0</v>
      </c>
      <c r="CC219" s="1011">
        <v>0</v>
      </c>
      <c r="CD219" s="510">
        <v>0</v>
      </c>
      <c r="CE219" s="1011">
        <v>0</v>
      </c>
      <c r="CF219" s="510">
        <v>52375.199999999997</v>
      </c>
      <c r="CG219" s="1011">
        <v>0</v>
      </c>
      <c r="CH219" s="510">
        <v>0</v>
      </c>
      <c r="CI219" s="1011">
        <v>0</v>
      </c>
    </row>
    <row r="220" spans="1:87" x14ac:dyDescent="0.2">
      <c r="A220" s="449">
        <v>26</v>
      </c>
      <c r="B220" s="453">
        <v>19249</v>
      </c>
      <c r="C220" s="454" t="s">
        <v>3123</v>
      </c>
      <c r="D220" s="454" t="s">
        <v>517</v>
      </c>
      <c r="E220" s="454" t="s">
        <v>3124</v>
      </c>
      <c r="F220" s="454" t="s">
        <v>519</v>
      </c>
      <c r="G220" s="454" t="s">
        <v>12685</v>
      </c>
      <c r="H220" s="455">
        <v>6224191000151</v>
      </c>
      <c r="I220" s="462">
        <v>38049</v>
      </c>
      <c r="J220" s="457">
        <v>37354787</v>
      </c>
      <c r="K220" s="454" t="s">
        <v>3126</v>
      </c>
      <c r="L220" s="458">
        <v>141</v>
      </c>
      <c r="M220" s="454" t="s">
        <v>3127</v>
      </c>
      <c r="N220" s="459">
        <v>5565090</v>
      </c>
      <c r="O220" s="460">
        <v>37820977</v>
      </c>
      <c r="P220" s="462">
        <v>122036</v>
      </c>
      <c r="Q220" s="462">
        <v>10</v>
      </c>
      <c r="R220" s="462">
        <v>43881</v>
      </c>
      <c r="S220" s="463">
        <v>827</v>
      </c>
      <c r="T220" s="464">
        <v>5.4</v>
      </c>
      <c r="U220" s="465">
        <v>4465.8</v>
      </c>
      <c r="V220" s="465">
        <v>18720</v>
      </c>
      <c r="W220" s="466">
        <v>0</v>
      </c>
      <c r="X220" s="467">
        <v>1</v>
      </c>
      <c r="Y220" s="466">
        <v>0</v>
      </c>
      <c r="Z220" s="468" t="s">
        <v>514</v>
      </c>
      <c r="AA220" s="466">
        <v>0</v>
      </c>
      <c r="AB220" s="466">
        <v>0</v>
      </c>
      <c r="AC220" s="467">
        <v>0</v>
      </c>
      <c r="AD220" s="466">
        <v>0</v>
      </c>
      <c r="AE220" s="468" t="s">
        <v>516</v>
      </c>
      <c r="AF220" s="466">
        <v>0</v>
      </c>
      <c r="AG220" s="466">
        <v>0</v>
      </c>
      <c r="AH220" s="466">
        <v>0</v>
      </c>
      <c r="AI220" s="466">
        <v>0</v>
      </c>
      <c r="AJ220" s="469" t="s">
        <v>2690</v>
      </c>
      <c r="AK220" s="470" t="s">
        <v>2691</v>
      </c>
      <c r="AL220" s="471" t="s">
        <v>3128</v>
      </c>
      <c r="AM220" s="470" t="s">
        <v>3129</v>
      </c>
      <c r="AN220" s="470" t="s">
        <v>3125</v>
      </c>
      <c r="AO220" s="470" t="s">
        <v>3130</v>
      </c>
      <c r="AP220" s="470" t="s">
        <v>3131</v>
      </c>
      <c r="AQ220" s="470" t="s">
        <v>3123</v>
      </c>
      <c r="AR220" s="472" t="s">
        <v>515</v>
      </c>
      <c r="AS220" s="473" t="s">
        <v>1385</v>
      </c>
      <c r="AT220" s="472" t="s">
        <v>517</v>
      </c>
      <c r="AU220" s="472" t="s">
        <v>420</v>
      </c>
      <c r="AV220" s="472">
        <v>2020</v>
      </c>
      <c r="AW220" s="474" t="s">
        <v>15078</v>
      </c>
      <c r="AX220" s="475" t="s">
        <v>15079</v>
      </c>
      <c r="AY220" s="515">
        <v>1</v>
      </c>
      <c r="AZ220" s="474" t="s">
        <v>15079</v>
      </c>
      <c r="BA220" s="472" t="s">
        <v>1385</v>
      </c>
      <c r="BB220" s="472" t="s">
        <v>1385</v>
      </c>
      <c r="BC220" s="472" t="s">
        <v>1385</v>
      </c>
      <c r="BD220" s="472" t="s">
        <v>1385</v>
      </c>
      <c r="BE220" s="472" t="s">
        <v>1385</v>
      </c>
      <c r="BF220" s="472">
        <v>34778.699999999997</v>
      </c>
      <c r="BG220" s="472">
        <v>0</v>
      </c>
      <c r="BH220" s="472" t="s">
        <v>516</v>
      </c>
      <c r="BI220" s="510">
        <v>0</v>
      </c>
      <c r="BJ220" s="510">
        <v>0</v>
      </c>
      <c r="BK220" s="510">
        <v>0</v>
      </c>
      <c r="BL220" s="510">
        <v>0</v>
      </c>
      <c r="BM220" s="510">
        <v>0</v>
      </c>
      <c r="BN220" s="510">
        <v>0</v>
      </c>
      <c r="BO220" s="510">
        <v>0</v>
      </c>
      <c r="BP220" s="510">
        <v>0</v>
      </c>
      <c r="BQ220" s="510">
        <v>0</v>
      </c>
      <c r="BR220" s="510">
        <v>0</v>
      </c>
      <c r="BS220" s="510">
        <v>0</v>
      </c>
      <c r="BT220" s="510">
        <v>0</v>
      </c>
      <c r="BU220" s="510">
        <v>0</v>
      </c>
      <c r="BV220" s="510">
        <v>0</v>
      </c>
      <c r="BW220" s="510">
        <v>0</v>
      </c>
      <c r="BX220" s="510">
        <v>0</v>
      </c>
      <c r="BY220" s="1011">
        <v>0</v>
      </c>
      <c r="BZ220" s="510">
        <v>0</v>
      </c>
      <c r="CA220" s="1011">
        <v>0</v>
      </c>
      <c r="CB220" s="510">
        <v>0</v>
      </c>
      <c r="CC220" s="1011">
        <v>0</v>
      </c>
      <c r="CD220" s="510">
        <v>0</v>
      </c>
      <c r="CE220" s="1011">
        <v>0</v>
      </c>
      <c r="CF220" s="510">
        <v>0</v>
      </c>
      <c r="CG220" s="1011">
        <v>0</v>
      </c>
      <c r="CH220" s="510">
        <v>0</v>
      </c>
      <c r="CI220" s="1011">
        <v>0</v>
      </c>
    </row>
    <row r="221" spans="1:87" x14ac:dyDescent="0.2">
      <c r="A221" s="449">
        <v>109</v>
      </c>
      <c r="B221" s="453">
        <v>19250</v>
      </c>
      <c r="C221" s="454" t="s">
        <v>3132</v>
      </c>
      <c r="D221" s="454" t="s">
        <v>1390</v>
      </c>
      <c r="E221" s="454" t="s">
        <v>3133</v>
      </c>
      <c r="F221" s="454" t="s">
        <v>526</v>
      </c>
      <c r="G221" s="454" t="s">
        <v>12686</v>
      </c>
      <c r="H221" s="455">
        <v>7010547000117</v>
      </c>
      <c r="I221" s="462">
        <v>38145</v>
      </c>
      <c r="J221" s="457">
        <v>37476904</v>
      </c>
      <c r="K221" s="454" t="s">
        <v>3134</v>
      </c>
      <c r="L221" s="458">
        <v>131</v>
      </c>
      <c r="M221" s="454" t="s">
        <v>1838</v>
      </c>
      <c r="N221" s="459">
        <v>8142230</v>
      </c>
      <c r="O221" s="460">
        <v>25615553</v>
      </c>
      <c r="P221" s="462">
        <v>145818</v>
      </c>
      <c r="Q221" s="462">
        <v>109</v>
      </c>
      <c r="R221" s="462">
        <v>43928</v>
      </c>
      <c r="S221" s="463">
        <v>509</v>
      </c>
      <c r="T221" s="464">
        <v>3.6</v>
      </c>
      <c r="U221" s="465">
        <v>1832.4</v>
      </c>
      <c r="V221" s="465">
        <v>16560</v>
      </c>
      <c r="W221" s="466">
        <v>0</v>
      </c>
      <c r="X221" s="467">
        <v>1</v>
      </c>
      <c r="Y221" s="466">
        <v>27588.6</v>
      </c>
      <c r="Z221" s="468" t="s">
        <v>516</v>
      </c>
      <c r="AA221" s="466">
        <v>109488.6</v>
      </c>
      <c r="AB221" s="466">
        <v>109488.6</v>
      </c>
      <c r="AC221" s="467">
        <v>0</v>
      </c>
      <c r="AD221" s="466">
        <v>0</v>
      </c>
      <c r="AE221" s="468" t="s">
        <v>516</v>
      </c>
      <c r="AF221" s="466">
        <v>0</v>
      </c>
      <c r="AG221" s="466">
        <v>0</v>
      </c>
      <c r="AH221" s="466">
        <v>25262.47</v>
      </c>
      <c r="AI221" s="466">
        <v>5199.72</v>
      </c>
      <c r="AJ221" s="469" t="s">
        <v>1839</v>
      </c>
      <c r="AK221" s="470" t="s">
        <v>526</v>
      </c>
      <c r="AL221" s="471" t="s">
        <v>3135</v>
      </c>
      <c r="AM221" s="470" t="s">
        <v>3136</v>
      </c>
      <c r="AN221" s="470" t="s">
        <v>1385</v>
      </c>
      <c r="AO221" s="470" t="s">
        <v>3137</v>
      </c>
      <c r="AP221" s="470" t="s">
        <v>3138</v>
      </c>
      <c r="AQ221" s="470" t="s">
        <v>3132</v>
      </c>
      <c r="AR221" s="472" t="s">
        <v>515</v>
      </c>
      <c r="AS221" s="473" t="s">
        <v>1385</v>
      </c>
      <c r="AT221" s="472" t="s">
        <v>1390</v>
      </c>
      <c r="AU221" s="472" t="s">
        <v>420</v>
      </c>
      <c r="AV221" s="472">
        <v>2020</v>
      </c>
      <c r="AW221" s="474" t="s">
        <v>15078</v>
      </c>
      <c r="AX221" s="475" t="s">
        <v>15079</v>
      </c>
      <c r="AY221" s="515">
        <v>1</v>
      </c>
      <c r="AZ221" s="474" t="s">
        <v>15079</v>
      </c>
      <c r="BA221" s="472" t="s">
        <v>1390</v>
      </c>
      <c r="BB221" s="472" t="s">
        <v>1385</v>
      </c>
      <c r="BC221" s="472" t="s">
        <v>1385</v>
      </c>
      <c r="BD221" s="472" t="s">
        <v>1385</v>
      </c>
      <c r="BE221" s="472" t="s">
        <v>1385</v>
      </c>
      <c r="BF221" s="472">
        <v>27588.6</v>
      </c>
      <c r="BG221" s="472">
        <v>0</v>
      </c>
      <c r="BH221" s="472" t="s">
        <v>1385</v>
      </c>
      <c r="BI221" s="510">
        <v>0</v>
      </c>
      <c r="BJ221" s="510">
        <v>6123.5</v>
      </c>
      <c r="BK221" s="510">
        <v>0</v>
      </c>
      <c r="BL221" s="510">
        <v>0</v>
      </c>
      <c r="BM221" s="510">
        <v>0</v>
      </c>
      <c r="BN221" s="510">
        <v>4000</v>
      </c>
      <c r="BO221" s="510">
        <v>0</v>
      </c>
      <c r="BP221" s="510">
        <v>0</v>
      </c>
      <c r="BQ221" s="510">
        <v>0</v>
      </c>
      <c r="BR221" s="510">
        <v>0</v>
      </c>
      <c r="BS221" s="510">
        <v>0</v>
      </c>
      <c r="BT221" s="510">
        <v>0</v>
      </c>
      <c r="BU221" s="510">
        <v>0</v>
      </c>
      <c r="BV221" s="510">
        <v>0</v>
      </c>
      <c r="BW221" s="510">
        <v>0</v>
      </c>
      <c r="BX221" s="510">
        <v>30000</v>
      </c>
      <c r="BY221" s="1011">
        <v>0</v>
      </c>
      <c r="BZ221" s="510">
        <v>0</v>
      </c>
      <c r="CA221" s="1011">
        <v>0</v>
      </c>
      <c r="CB221" s="510">
        <v>0</v>
      </c>
      <c r="CC221" s="1011">
        <v>0</v>
      </c>
      <c r="CD221" s="510">
        <v>0</v>
      </c>
      <c r="CE221" s="1011">
        <v>0</v>
      </c>
      <c r="CF221" s="510">
        <v>51900</v>
      </c>
      <c r="CG221" s="1011">
        <v>0</v>
      </c>
      <c r="CH221" s="510">
        <v>0</v>
      </c>
      <c r="CI221" s="1011">
        <v>0</v>
      </c>
    </row>
    <row r="222" spans="1:87" x14ac:dyDescent="0.2">
      <c r="A222" s="449">
        <v>74</v>
      </c>
      <c r="B222" s="453">
        <v>19252</v>
      </c>
      <c r="C222" s="454" t="s">
        <v>3140</v>
      </c>
      <c r="D222" s="454" t="s">
        <v>1390</v>
      </c>
      <c r="E222" s="454" t="s">
        <v>3141</v>
      </c>
      <c r="F222" s="454" t="s">
        <v>522</v>
      </c>
      <c r="G222" s="454" t="s">
        <v>12687</v>
      </c>
      <c r="H222" s="455">
        <v>7697621000115</v>
      </c>
      <c r="I222" s="462">
        <v>38665</v>
      </c>
      <c r="J222" s="457">
        <v>37586602</v>
      </c>
      <c r="K222" s="454" t="s">
        <v>3142</v>
      </c>
      <c r="L222" s="458" t="s">
        <v>1446</v>
      </c>
      <c r="M222" s="454" t="s">
        <v>3143</v>
      </c>
      <c r="N222" s="459">
        <v>2762100</v>
      </c>
      <c r="O222" s="460">
        <v>39833434</v>
      </c>
      <c r="P222" s="462">
        <v>73353</v>
      </c>
      <c r="Q222" s="462">
        <v>19</v>
      </c>
      <c r="R222" s="462">
        <v>43911</v>
      </c>
      <c r="S222" s="463">
        <v>481</v>
      </c>
      <c r="T222" s="464">
        <v>3.6</v>
      </c>
      <c r="U222" s="465">
        <v>1731.6</v>
      </c>
      <c r="V222" s="465">
        <v>15120</v>
      </c>
      <c r="W222" s="466">
        <v>0</v>
      </c>
      <c r="X222" s="467">
        <v>1</v>
      </c>
      <c r="Y222" s="466">
        <v>25277.4</v>
      </c>
      <c r="Z222" s="468" t="s">
        <v>516</v>
      </c>
      <c r="AA222" s="466">
        <v>107069.4</v>
      </c>
      <c r="AB222" s="466">
        <v>107069.4</v>
      </c>
      <c r="AC222" s="467">
        <v>0</v>
      </c>
      <c r="AD222" s="466">
        <v>0</v>
      </c>
      <c r="AE222" s="468" t="s">
        <v>516</v>
      </c>
      <c r="AF222" s="466">
        <v>0</v>
      </c>
      <c r="AG222" s="466">
        <v>0</v>
      </c>
      <c r="AH222" s="466">
        <v>14977.37</v>
      </c>
      <c r="AI222" s="466">
        <v>1826.9</v>
      </c>
      <c r="AJ222" s="469" t="s">
        <v>1438</v>
      </c>
      <c r="AK222" s="470" t="s">
        <v>12345</v>
      </c>
      <c r="AL222" s="471" t="s">
        <v>3144</v>
      </c>
      <c r="AM222" s="470" t="s">
        <v>3145</v>
      </c>
      <c r="AN222" s="470" t="s">
        <v>1385</v>
      </c>
      <c r="AO222" s="470" t="s">
        <v>12688</v>
      </c>
      <c r="AP222" s="470" t="s">
        <v>3146</v>
      </c>
      <c r="AQ222" s="470" t="s">
        <v>3140</v>
      </c>
      <c r="AR222" s="472" t="s">
        <v>515</v>
      </c>
      <c r="AS222" s="473" t="s">
        <v>1385</v>
      </c>
      <c r="AT222" s="472" t="s">
        <v>1390</v>
      </c>
      <c r="AU222" s="472" t="s">
        <v>420</v>
      </c>
      <c r="AV222" s="472">
        <v>2020</v>
      </c>
      <c r="AW222" s="474" t="s">
        <v>15078</v>
      </c>
      <c r="AX222" s="475" t="s">
        <v>15079</v>
      </c>
      <c r="AY222" s="515">
        <v>1</v>
      </c>
      <c r="AZ222" s="474" t="s">
        <v>15079</v>
      </c>
      <c r="BA222" s="472" t="s">
        <v>1390</v>
      </c>
      <c r="BB222" s="472" t="s">
        <v>1385</v>
      </c>
      <c r="BC222" s="472" t="s">
        <v>1385</v>
      </c>
      <c r="BD222" s="472" t="s">
        <v>1385</v>
      </c>
      <c r="BE222" s="472" t="s">
        <v>1385</v>
      </c>
      <c r="BF222" s="472">
        <v>25277.4</v>
      </c>
      <c r="BG222" s="472">
        <v>0</v>
      </c>
      <c r="BH222" s="472" t="s">
        <v>1385</v>
      </c>
      <c r="BI222" s="510">
        <v>0</v>
      </c>
      <c r="BJ222" s="510">
        <v>0</v>
      </c>
      <c r="BK222" s="510">
        <v>0</v>
      </c>
      <c r="BL222" s="510">
        <v>0</v>
      </c>
      <c r="BM222" s="510">
        <v>0</v>
      </c>
      <c r="BN222" s="510">
        <v>100</v>
      </c>
      <c r="BO222" s="510">
        <v>0</v>
      </c>
      <c r="BP222" s="510">
        <v>0</v>
      </c>
      <c r="BQ222" s="510">
        <v>0</v>
      </c>
      <c r="BR222" s="510">
        <v>0</v>
      </c>
      <c r="BS222" s="510">
        <v>0</v>
      </c>
      <c r="BT222" s="510">
        <v>0</v>
      </c>
      <c r="BU222" s="510">
        <v>0</v>
      </c>
      <c r="BV222" s="510">
        <v>0</v>
      </c>
      <c r="BW222" s="510">
        <v>0</v>
      </c>
      <c r="BX222" s="510">
        <v>30000</v>
      </c>
      <c r="BY222" s="1011">
        <v>0</v>
      </c>
      <c r="BZ222" s="510">
        <v>0</v>
      </c>
      <c r="CA222" s="1011">
        <v>0</v>
      </c>
      <c r="CB222" s="510">
        <v>0</v>
      </c>
      <c r="CC222" s="1011">
        <v>0</v>
      </c>
      <c r="CD222" s="510">
        <v>0</v>
      </c>
      <c r="CE222" s="1011">
        <v>0</v>
      </c>
      <c r="CF222" s="510">
        <v>51792</v>
      </c>
      <c r="CG222" s="1011">
        <v>0</v>
      </c>
      <c r="CH222" s="510">
        <v>0</v>
      </c>
      <c r="CI222" s="1011">
        <v>0</v>
      </c>
    </row>
    <row r="223" spans="1:87" x14ac:dyDescent="0.2">
      <c r="A223" s="449">
        <v>108</v>
      </c>
      <c r="B223" s="453">
        <v>19253</v>
      </c>
      <c r="C223" s="454" t="s">
        <v>3147</v>
      </c>
      <c r="D223" s="454" t="s">
        <v>1390</v>
      </c>
      <c r="E223" s="454" t="s">
        <v>3148</v>
      </c>
      <c r="F223" s="454" t="s">
        <v>528</v>
      </c>
      <c r="G223" s="454" t="s">
        <v>12689</v>
      </c>
      <c r="H223" s="455">
        <v>7716346000130</v>
      </c>
      <c r="I223" s="462">
        <v>38565</v>
      </c>
      <c r="J223" s="457">
        <v>37382667</v>
      </c>
      <c r="K223" s="454" t="s">
        <v>3150</v>
      </c>
      <c r="L223" s="458">
        <v>870</v>
      </c>
      <c r="M223" s="454" t="s">
        <v>3151</v>
      </c>
      <c r="N223" s="459">
        <v>2998140</v>
      </c>
      <c r="O223" s="460">
        <v>39496814</v>
      </c>
      <c r="P223" s="462">
        <v>256555</v>
      </c>
      <c r="Q223" s="462">
        <v>108</v>
      </c>
      <c r="R223" s="462">
        <v>43938</v>
      </c>
      <c r="S223" s="463">
        <v>401</v>
      </c>
      <c r="T223" s="464">
        <v>3.6</v>
      </c>
      <c r="U223" s="465">
        <v>1443.6</v>
      </c>
      <c r="V223" s="465">
        <v>15120</v>
      </c>
      <c r="W223" s="466">
        <v>0</v>
      </c>
      <c r="X223" s="467">
        <v>1</v>
      </c>
      <c r="Y223" s="466">
        <v>24845.4</v>
      </c>
      <c r="Z223" s="468" t="s">
        <v>516</v>
      </c>
      <c r="AA223" s="466">
        <v>103138.2</v>
      </c>
      <c r="AB223" s="466">
        <v>103138.2</v>
      </c>
      <c r="AC223" s="467">
        <v>0</v>
      </c>
      <c r="AD223" s="466">
        <v>0</v>
      </c>
      <c r="AE223" s="468" t="s">
        <v>516</v>
      </c>
      <c r="AF223" s="466">
        <v>0</v>
      </c>
      <c r="AG223" s="466">
        <v>0</v>
      </c>
      <c r="AH223" s="466">
        <v>13331.15</v>
      </c>
      <c r="AI223" s="466">
        <v>11374.14</v>
      </c>
      <c r="AJ223" s="469" t="s">
        <v>1588</v>
      </c>
      <c r="AK223" s="470" t="s">
        <v>2225</v>
      </c>
      <c r="AL223" s="471" t="s">
        <v>3152</v>
      </c>
      <c r="AM223" s="470" t="s">
        <v>3153</v>
      </c>
      <c r="AN223" s="470" t="s">
        <v>3149</v>
      </c>
      <c r="AO223" s="470" t="s">
        <v>12690</v>
      </c>
      <c r="AP223" s="470" t="s">
        <v>3154</v>
      </c>
      <c r="AQ223" s="470" t="s">
        <v>3147</v>
      </c>
      <c r="AR223" s="472" t="s">
        <v>515</v>
      </c>
      <c r="AS223" s="473" t="s">
        <v>1385</v>
      </c>
      <c r="AT223" s="472" t="s">
        <v>1390</v>
      </c>
      <c r="AU223" s="472" t="s">
        <v>420</v>
      </c>
      <c r="AV223" s="472">
        <v>2020</v>
      </c>
      <c r="AW223" s="474" t="s">
        <v>15078</v>
      </c>
      <c r="AX223" s="475" t="s">
        <v>15079</v>
      </c>
      <c r="AY223" s="515">
        <v>1</v>
      </c>
      <c r="AZ223" s="474" t="s">
        <v>15079</v>
      </c>
      <c r="BA223" s="472" t="s">
        <v>1390</v>
      </c>
      <c r="BB223" s="472" t="s">
        <v>1385</v>
      </c>
      <c r="BC223" s="472" t="s">
        <v>1385</v>
      </c>
      <c r="BD223" s="472" t="s">
        <v>1385</v>
      </c>
      <c r="BE223" s="472" t="s">
        <v>1385</v>
      </c>
      <c r="BF223" s="472">
        <v>24845.4</v>
      </c>
      <c r="BG223" s="472">
        <v>0</v>
      </c>
      <c r="BH223" s="472" t="s">
        <v>1385</v>
      </c>
      <c r="BI223" s="510">
        <v>0</v>
      </c>
      <c r="BJ223" s="510">
        <v>2250.54</v>
      </c>
      <c r="BK223" s="510">
        <v>0</v>
      </c>
      <c r="BL223" s="510">
        <v>0</v>
      </c>
      <c r="BM223" s="510">
        <v>0</v>
      </c>
      <c r="BN223" s="510">
        <v>4000</v>
      </c>
      <c r="BO223" s="510">
        <v>0</v>
      </c>
      <c r="BP223" s="510">
        <v>0</v>
      </c>
      <c r="BQ223" s="510">
        <v>0</v>
      </c>
      <c r="BR223" s="510">
        <v>0</v>
      </c>
      <c r="BS223" s="510">
        <v>0</v>
      </c>
      <c r="BT223" s="510">
        <v>0</v>
      </c>
      <c r="BU223" s="510">
        <v>0</v>
      </c>
      <c r="BV223" s="510">
        <v>0</v>
      </c>
      <c r="BW223" s="510">
        <v>0</v>
      </c>
      <c r="BX223" s="510">
        <v>30000</v>
      </c>
      <c r="BY223" s="1011">
        <v>0</v>
      </c>
      <c r="BZ223" s="510">
        <v>0</v>
      </c>
      <c r="CA223" s="1011">
        <v>0</v>
      </c>
      <c r="CB223" s="510">
        <v>0</v>
      </c>
      <c r="CC223" s="1011">
        <v>0</v>
      </c>
      <c r="CD223" s="510">
        <v>0</v>
      </c>
      <c r="CE223" s="1011">
        <v>0</v>
      </c>
      <c r="CF223" s="510">
        <v>48292.800000000003</v>
      </c>
      <c r="CG223" s="1011">
        <v>0</v>
      </c>
      <c r="CH223" s="510">
        <v>0</v>
      </c>
      <c r="CI223" s="1011">
        <v>0</v>
      </c>
    </row>
    <row r="224" spans="1:87" x14ac:dyDescent="0.2">
      <c r="A224" s="449">
        <v>36</v>
      </c>
      <c r="B224" s="453">
        <v>19254</v>
      </c>
      <c r="C224" s="454" t="s">
        <v>3155</v>
      </c>
      <c r="D224" s="454" t="s">
        <v>517</v>
      </c>
      <c r="E224" s="454" t="s">
        <v>3156</v>
      </c>
      <c r="F224" s="454" t="s">
        <v>521</v>
      </c>
      <c r="G224" s="454" t="s">
        <v>12691</v>
      </c>
      <c r="H224" s="455">
        <v>6329351000127</v>
      </c>
      <c r="I224" s="462">
        <v>38049</v>
      </c>
      <c r="J224" s="457">
        <v>37550098</v>
      </c>
      <c r="K224" s="454" t="s">
        <v>3157</v>
      </c>
      <c r="L224" s="458">
        <v>200</v>
      </c>
      <c r="M224" s="454" t="s">
        <v>3158</v>
      </c>
      <c r="N224" s="459">
        <v>4859100</v>
      </c>
      <c r="O224" s="460">
        <v>55275634</v>
      </c>
      <c r="P224" s="462">
        <v>94121</v>
      </c>
      <c r="Q224" s="462">
        <v>64</v>
      </c>
      <c r="R224" s="462">
        <v>43934</v>
      </c>
      <c r="S224" s="463">
        <v>733</v>
      </c>
      <c r="T224" s="464">
        <v>5.4</v>
      </c>
      <c r="U224" s="465">
        <v>3958.2</v>
      </c>
      <c r="V224" s="465">
        <v>18720</v>
      </c>
      <c r="W224" s="466">
        <v>0</v>
      </c>
      <c r="X224" s="467">
        <v>1</v>
      </c>
      <c r="Y224" s="466">
        <v>34017.300000000003</v>
      </c>
      <c r="Z224" s="468" t="s">
        <v>516</v>
      </c>
      <c r="AA224" s="466">
        <v>131298.1</v>
      </c>
      <c r="AB224" s="466">
        <v>131298.1</v>
      </c>
      <c r="AC224" s="467">
        <v>0</v>
      </c>
      <c r="AD224" s="466">
        <v>0</v>
      </c>
      <c r="AE224" s="468" t="s">
        <v>516</v>
      </c>
      <c r="AF224" s="466">
        <v>2000</v>
      </c>
      <c r="AG224" s="466">
        <v>2000</v>
      </c>
      <c r="AH224" s="466">
        <v>23050.720000000001</v>
      </c>
      <c r="AI224" s="466">
        <v>9071.2800000000007</v>
      </c>
      <c r="AJ224" s="469" t="s">
        <v>1624</v>
      </c>
      <c r="AK224" s="470" t="s">
        <v>1625</v>
      </c>
      <c r="AL224" s="471" t="s">
        <v>3159</v>
      </c>
      <c r="AM224" s="470" t="s">
        <v>3160</v>
      </c>
      <c r="AN224" s="470" t="s">
        <v>1385</v>
      </c>
      <c r="AO224" s="470" t="s">
        <v>3161</v>
      </c>
      <c r="AP224" s="470" t="s">
        <v>3162</v>
      </c>
      <c r="AQ224" s="470" t="s">
        <v>3155</v>
      </c>
      <c r="AR224" s="472" t="s">
        <v>515</v>
      </c>
      <c r="AS224" s="473" t="s">
        <v>1385</v>
      </c>
      <c r="AT224" s="472" t="s">
        <v>517</v>
      </c>
      <c r="AU224" s="472" t="s">
        <v>420</v>
      </c>
      <c r="AV224" s="472">
        <v>2020</v>
      </c>
      <c r="AW224" s="474" t="s">
        <v>15078</v>
      </c>
      <c r="AX224" s="475" t="s">
        <v>15079</v>
      </c>
      <c r="AY224" s="515">
        <v>1</v>
      </c>
      <c r="AZ224" s="474" t="s">
        <v>15079</v>
      </c>
      <c r="BA224" s="472" t="s">
        <v>517</v>
      </c>
      <c r="BB224" s="472" t="s">
        <v>1385</v>
      </c>
      <c r="BC224" s="472" t="s">
        <v>1385</v>
      </c>
      <c r="BD224" s="472" t="s">
        <v>1385</v>
      </c>
      <c r="BE224" s="472" t="s">
        <v>1385</v>
      </c>
      <c r="BF224" s="472">
        <v>34017.300000000003</v>
      </c>
      <c r="BG224" s="472">
        <v>0</v>
      </c>
      <c r="BH224" s="472" t="s">
        <v>1385</v>
      </c>
      <c r="BI224" s="510">
        <v>0</v>
      </c>
      <c r="BJ224" s="510">
        <v>0</v>
      </c>
      <c r="BK224" s="510">
        <v>0</v>
      </c>
      <c r="BL224" s="510">
        <v>102.4</v>
      </c>
      <c r="BM224" s="510">
        <v>0</v>
      </c>
      <c r="BN224" s="510">
        <v>5000</v>
      </c>
      <c r="BO224" s="510">
        <v>0</v>
      </c>
      <c r="BP224" s="510">
        <v>2000</v>
      </c>
      <c r="BQ224" s="510">
        <v>0</v>
      </c>
      <c r="BR224" s="510">
        <v>0</v>
      </c>
      <c r="BS224" s="510">
        <v>0</v>
      </c>
      <c r="BT224" s="510">
        <v>0</v>
      </c>
      <c r="BU224" s="510">
        <v>2500</v>
      </c>
      <c r="BV224" s="510">
        <v>2500</v>
      </c>
      <c r="BW224" s="510">
        <v>0</v>
      </c>
      <c r="BX224" s="510">
        <v>30000</v>
      </c>
      <c r="BY224" s="1011">
        <v>0</v>
      </c>
      <c r="BZ224" s="510">
        <v>0</v>
      </c>
      <c r="CA224" s="1011">
        <v>0</v>
      </c>
      <c r="CB224" s="510">
        <v>22000</v>
      </c>
      <c r="CC224" s="1011">
        <v>0</v>
      </c>
      <c r="CD224" s="510">
        <v>0</v>
      </c>
      <c r="CE224" s="1011">
        <v>0</v>
      </c>
      <c r="CF224" s="510">
        <v>45280.800000000003</v>
      </c>
      <c r="CG224" s="1011">
        <v>0</v>
      </c>
      <c r="CH224" s="510">
        <v>0</v>
      </c>
      <c r="CI224" s="1011">
        <v>0</v>
      </c>
    </row>
    <row r="225" spans="1:87" x14ac:dyDescent="0.2">
      <c r="A225" s="449">
        <v>131</v>
      </c>
      <c r="B225" s="453">
        <v>19255</v>
      </c>
      <c r="C225" s="454" t="s">
        <v>3163</v>
      </c>
      <c r="D225" s="454" t="s">
        <v>1390</v>
      </c>
      <c r="E225" s="454" t="s">
        <v>3164</v>
      </c>
      <c r="F225" s="454" t="s">
        <v>528</v>
      </c>
      <c r="G225" s="454" t="s">
        <v>12692</v>
      </c>
      <c r="H225" s="455">
        <v>7718644000169</v>
      </c>
      <c r="I225" s="462">
        <v>38266</v>
      </c>
      <c r="J225" s="457">
        <v>37374907</v>
      </c>
      <c r="K225" s="454" t="s">
        <v>3165</v>
      </c>
      <c r="L225" s="458">
        <v>21</v>
      </c>
      <c r="M225" s="454" t="s">
        <v>3151</v>
      </c>
      <c r="N225" s="459">
        <v>2998260</v>
      </c>
      <c r="O225" s="460">
        <v>39497600</v>
      </c>
      <c r="P225" s="462">
        <v>258647</v>
      </c>
      <c r="Q225" s="462">
        <v>131</v>
      </c>
      <c r="R225" s="462">
        <v>43938</v>
      </c>
      <c r="S225" s="463">
        <v>383</v>
      </c>
      <c r="T225" s="464">
        <v>3.6</v>
      </c>
      <c r="U225" s="465">
        <v>1378.8</v>
      </c>
      <c r="V225" s="465">
        <v>13680</v>
      </c>
      <c r="W225" s="466">
        <v>0</v>
      </c>
      <c r="X225" s="467">
        <v>1</v>
      </c>
      <c r="Y225" s="466">
        <v>22588.2</v>
      </c>
      <c r="Z225" s="468" t="s">
        <v>516</v>
      </c>
      <c r="AA225" s="466">
        <v>97813.8</v>
      </c>
      <c r="AB225" s="466">
        <v>97813.8</v>
      </c>
      <c r="AC225" s="467">
        <v>0</v>
      </c>
      <c r="AD225" s="466">
        <v>0</v>
      </c>
      <c r="AE225" s="468" t="s">
        <v>516</v>
      </c>
      <c r="AF225" s="466">
        <v>0</v>
      </c>
      <c r="AG225" s="466">
        <v>0</v>
      </c>
      <c r="AH225" s="466">
        <v>17314.07</v>
      </c>
      <c r="AI225" s="466">
        <v>1505.88</v>
      </c>
      <c r="AJ225" s="469" t="s">
        <v>1571</v>
      </c>
      <c r="AK225" s="470" t="s">
        <v>528</v>
      </c>
      <c r="AL225" s="471" t="s">
        <v>3166</v>
      </c>
      <c r="AM225" s="470" t="s">
        <v>12693</v>
      </c>
      <c r="AN225" s="470" t="s">
        <v>3167</v>
      </c>
      <c r="AO225" s="470" t="s">
        <v>12694</v>
      </c>
      <c r="AP225" s="470" t="s">
        <v>3168</v>
      </c>
      <c r="AQ225" s="470" t="s">
        <v>3163</v>
      </c>
      <c r="AR225" s="472" t="s">
        <v>515</v>
      </c>
      <c r="AS225" s="473" t="s">
        <v>1385</v>
      </c>
      <c r="AT225" s="472" t="s">
        <v>1390</v>
      </c>
      <c r="AU225" s="472" t="s">
        <v>420</v>
      </c>
      <c r="AV225" s="472">
        <v>2020</v>
      </c>
      <c r="AW225" s="474" t="s">
        <v>15078</v>
      </c>
      <c r="AX225" s="475" t="s">
        <v>15079</v>
      </c>
      <c r="AY225" s="515">
        <v>1</v>
      </c>
      <c r="AZ225" s="474" t="s">
        <v>15079</v>
      </c>
      <c r="BA225" s="472" t="s">
        <v>1390</v>
      </c>
      <c r="BB225" s="472" t="s">
        <v>1385</v>
      </c>
      <c r="BC225" s="472" t="s">
        <v>1385</v>
      </c>
      <c r="BD225" s="472" t="s">
        <v>1385</v>
      </c>
      <c r="BE225" s="472" t="s">
        <v>1385</v>
      </c>
      <c r="BF225" s="509">
        <v>22588.2</v>
      </c>
      <c r="BG225" s="472">
        <v>0</v>
      </c>
      <c r="BH225" s="472" t="s">
        <v>1385</v>
      </c>
      <c r="BI225" s="510">
        <v>0</v>
      </c>
      <c r="BJ225" s="510">
        <v>0</v>
      </c>
      <c r="BK225" s="510">
        <v>0</v>
      </c>
      <c r="BL225" s="510">
        <v>0</v>
      </c>
      <c r="BM225" s="510">
        <v>0</v>
      </c>
      <c r="BN225" s="510">
        <v>3500</v>
      </c>
      <c r="BO225" s="510">
        <v>0</v>
      </c>
      <c r="BP225" s="510">
        <v>0</v>
      </c>
      <c r="BQ225" s="510">
        <v>0</v>
      </c>
      <c r="BR225" s="510">
        <v>0</v>
      </c>
      <c r="BS225" s="510">
        <v>0</v>
      </c>
      <c r="BT225" s="510">
        <v>0</v>
      </c>
      <c r="BU225" s="510">
        <v>0</v>
      </c>
      <c r="BV225" s="510">
        <v>0</v>
      </c>
      <c r="BW225" s="510">
        <v>0</v>
      </c>
      <c r="BX225" s="510">
        <v>30000</v>
      </c>
      <c r="BY225" s="1011">
        <v>0</v>
      </c>
      <c r="BZ225" s="510">
        <v>0</v>
      </c>
      <c r="CA225" s="1011">
        <v>0</v>
      </c>
      <c r="CB225" s="510">
        <v>0</v>
      </c>
      <c r="CC225" s="1011">
        <v>0</v>
      </c>
      <c r="CD225" s="510">
        <v>0</v>
      </c>
      <c r="CE225" s="1011">
        <v>0</v>
      </c>
      <c r="CF225" s="510">
        <v>45225.599999999999</v>
      </c>
      <c r="CG225" s="1011">
        <v>0</v>
      </c>
      <c r="CH225" s="510">
        <v>0</v>
      </c>
      <c r="CI225" s="1011">
        <v>0</v>
      </c>
    </row>
    <row r="226" spans="1:87" x14ac:dyDescent="0.2">
      <c r="A226" s="449">
        <v>140</v>
      </c>
      <c r="B226" s="453">
        <v>19256</v>
      </c>
      <c r="C226" s="454" t="s">
        <v>3169</v>
      </c>
      <c r="D226" s="454" t="s">
        <v>1390</v>
      </c>
      <c r="E226" s="454" t="s">
        <v>3169</v>
      </c>
      <c r="F226" s="454" t="s">
        <v>520</v>
      </c>
      <c r="G226" s="454" t="s">
        <v>12695</v>
      </c>
      <c r="H226" s="455">
        <v>7941939000108</v>
      </c>
      <c r="I226" s="462">
        <v>38414</v>
      </c>
      <c r="J226" s="457">
        <v>37620878</v>
      </c>
      <c r="K226" s="454" t="s">
        <v>3170</v>
      </c>
      <c r="L226" s="458">
        <v>400</v>
      </c>
      <c r="M226" s="454" t="s">
        <v>3171</v>
      </c>
      <c r="N226" s="459">
        <v>5857210</v>
      </c>
      <c r="O226" s="460">
        <v>58241029</v>
      </c>
      <c r="P226" s="462">
        <v>305475</v>
      </c>
      <c r="Q226" s="462">
        <v>75</v>
      </c>
      <c r="R226" s="462">
        <v>43969</v>
      </c>
      <c r="S226" s="463">
        <v>482</v>
      </c>
      <c r="T226" s="464">
        <v>3.6</v>
      </c>
      <c r="U226" s="465">
        <v>1735.2</v>
      </c>
      <c r="V226" s="465">
        <v>15120</v>
      </c>
      <c r="W226" s="466">
        <v>0</v>
      </c>
      <c r="X226" s="467">
        <v>1</v>
      </c>
      <c r="Y226" s="466">
        <v>25282.799999999999</v>
      </c>
      <c r="Z226" s="468" t="s">
        <v>516</v>
      </c>
      <c r="AA226" s="466">
        <v>104014.8</v>
      </c>
      <c r="AB226" s="466">
        <v>104014.8</v>
      </c>
      <c r="AC226" s="467">
        <v>0</v>
      </c>
      <c r="AD226" s="466">
        <v>0</v>
      </c>
      <c r="AE226" s="468" t="s">
        <v>516</v>
      </c>
      <c r="AF226" s="466">
        <v>0</v>
      </c>
      <c r="AG226" s="466">
        <v>0</v>
      </c>
      <c r="AH226" s="466">
        <v>15038.21</v>
      </c>
      <c r="AI226" s="466">
        <v>6933.59</v>
      </c>
      <c r="AJ226" s="469" t="s">
        <v>1515</v>
      </c>
      <c r="AK226" s="470" t="s">
        <v>1516</v>
      </c>
      <c r="AL226" s="471" t="s">
        <v>3172</v>
      </c>
      <c r="AM226" s="470" t="s">
        <v>3173</v>
      </c>
      <c r="AN226" s="470" t="s">
        <v>3174</v>
      </c>
      <c r="AO226" s="470" t="s">
        <v>3175</v>
      </c>
      <c r="AP226" s="470" t="s">
        <v>3176</v>
      </c>
      <c r="AQ226" s="470" t="s">
        <v>3169</v>
      </c>
      <c r="AR226" s="472" t="s">
        <v>515</v>
      </c>
      <c r="AS226" s="473" t="s">
        <v>1385</v>
      </c>
      <c r="AT226" s="472" t="s">
        <v>1390</v>
      </c>
      <c r="AU226" s="472" t="s">
        <v>420</v>
      </c>
      <c r="AV226" s="472">
        <v>2020</v>
      </c>
      <c r="AW226" s="474" t="s">
        <v>15078</v>
      </c>
      <c r="AX226" s="475" t="s">
        <v>15079</v>
      </c>
      <c r="AY226" s="515">
        <v>1</v>
      </c>
      <c r="AZ226" s="474" t="s">
        <v>15079</v>
      </c>
      <c r="BA226" s="472" t="s">
        <v>1390</v>
      </c>
      <c r="BB226" s="472" t="s">
        <v>1385</v>
      </c>
      <c r="BC226" s="472" t="s">
        <v>1385</v>
      </c>
      <c r="BD226" s="472" t="s">
        <v>1385</v>
      </c>
      <c r="BE226" s="472" t="s">
        <v>1385</v>
      </c>
      <c r="BF226" s="472">
        <v>25282.799999999999</v>
      </c>
      <c r="BG226" s="472">
        <v>0</v>
      </c>
      <c r="BH226" s="472" t="s">
        <v>1385</v>
      </c>
      <c r="BI226" s="510">
        <v>0</v>
      </c>
      <c r="BJ226" s="510">
        <v>93.6</v>
      </c>
      <c r="BK226" s="510">
        <v>0</v>
      </c>
      <c r="BL226" s="510">
        <v>0</v>
      </c>
      <c r="BM226" s="510">
        <v>0</v>
      </c>
      <c r="BN226" s="510">
        <v>4000</v>
      </c>
      <c r="BO226" s="510">
        <v>0</v>
      </c>
      <c r="BP226" s="510">
        <v>0</v>
      </c>
      <c r="BQ226" s="510">
        <v>0</v>
      </c>
      <c r="BR226" s="510">
        <v>0</v>
      </c>
      <c r="BS226" s="510">
        <v>0</v>
      </c>
      <c r="BT226" s="510">
        <v>0</v>
      </c>
      <c r="BU226" s="510">
        <v>0</v>
      </c>
      <c r="BV226" s="510">
        <v>0</v>
      </c>
      <c r="BW226" s="510">
        <v>0</v>
      </c>
      <c r="BX226" s="510">
        <v>30000</v>
      </c>
      <c r="BY226" s="1011">
        <v>0</v>
      </c>
      <c r="BZ226" s="510">
        <v>0</v>
      </c>
      <c r="CA226" s="1011">
        <v>0</v>
      </c>
      <c r="CB226" s="510">
        <v>0</v>
      </c>
      <c r="CC226" s="1011">
        <v>0</v>
      </c>
      <c r="CD226" s="510">
        <v>0</v>
      </c>
      <c r="CE226" s="1011">
        <v>0</v>
      </c>
      <c r="CF226" s="510">
        <v>48732</v>
      </c>
      <c r="CG226" s="1011">
        <v>0</v>
      </c>
      <c r="CH226" s="510">
        <v>0</v>
      </c>
      <c r="CI226" s="1011">
        <v>0</v>
      </c>
    </row>
    <row r="227" spans="1:87" x14ac:dyDescent="0.2">
      <c r="A227" s="449">
        <v>21</v>
      </c>
      <c r="B227" s="453">
        <v>19257</v>
      </c>
      <c r="C227" s="454" t="s">
        <v>3177</v>
      </c>
      <c r="D227" s="454" t="s">
        <v>517</v>
      </c>
      <c r="E227" s="454" t="s">
        <v>3178</v>
      </c>
      <c r="F227" s="454" t="s">
        <v>529</v>
      </c>
      <c r="G227" s="454" t="s">
        <v>12696</v>
      </c>
      <c r="H227" s="455">
        <v>7123525000163</v>
      </c>
      <c r="I227" s="462">
        <v>38106</v>
      </c>
      <c r="J227" s="457">
        <v>37524216</v>
      </c>
      <c r="K227" s="454" t="s">
        <v>3179</v>
      </c>
      <c r="L227" s="458">
        <v>167</v>
      </c>
      <c r="M227" s="454" t="s">
        <v>1480</v>
      </c>
      <c r="N227" s="459">
        <v>4474240</v>
      </c>
      <c r="O227" s="460">
        <v>56736117</v>
      </c>
      <c r="P227" s="462">
        <v>563563</v>
      </c>
      <c r="Q227" s="462">
        <v>43</v>
      </c>
      <c r="R227" s="462">
        <v>43921</v>
      </c>
      <c r="S227" s="463">
        <v>1179</v>
      </c>
      <c r="T227" s="464">
        <v>5.4</v>
      </c>
      <c r="U227" s="465">
        <v>6366.6</v>
      </c>
      <c r="V227" s="465">
        <v>20340</v>
      </c>
      <c r="W227" s="466">
        <v>0</v>
      </c>
      <c r="X227" s="467">
        <v>1</v>
      </c>
      <c r="Y227" s="466">
        <v>40059.9</v>
      </c>
      <c r="Z227" s="468" t="s">
        <v>516</v>
      </c>
      <c r="AA227" s="466">
        <v>145354.29999999999</v>
      </c>
      <c r="AB227" s="466">
        <v>145354.29999999999</v>
      </c>
      <c r="AC227" s="467">
        <v>0</v>
      </c>
      <c r="AD227" s="466">
        <v>0</v>
      </c>
      <c r="AE227" s="468" t="s">
        <v>516</v>
      </c>
      <c r="AF227" s="466">
        <v>2000</v>
      </c>
      <c r="AG227" s="466">
        <v>2000</v>
      </c>
      <c r="AH227" s="466">
        <v>21080.85</v>
      </c>
      <c r="AI227" s="466">
        <v>9916.84</v>
      </c>
      <c r="AJ227" s="469" t="s">
        <v>1544</v>
      </c>
      <c r="AK227" s="470" t="s">
        <v>1545</v>
      </c>
      <c r="AL227" s="471" t="s">
        <v>3180</v>
      </c>
      <c r="AM227" s="470" t="s">
        <v>12697</v>
      </c>
      <c r="AN227" s="470" t="s">
        <v>12696</v>
      </c>
      <c r="AO227" s="470" t="s">
        <v>3181</v>
      </c>
      <c r="AP227" s="470" t="s">
        <v>3182</v>
      </c>
      <c r="AQ227" s="470" t="s">
        <v>3177</v>
      </c>
      <c r="AR227" s="472" t="s">
        <v>515</v>
      </c>
      <c r="AS227" s="473" t="s">
        <v>1385</v>
      </c>
      <c r="AT227" s="472" t="s">
        <v>517</v>
      </c>
      <c r="AU227" s="472" t="s">
        <v>420</v>
      </c>
      <c r="AV227" s="472">
        <v>2020</v>
      </c>
      <c r="AW227" s="474" t="s">
        <v>15078</v>
      </c>
      <c r="AX227" s="475" t="s">
        <v>15079</v>
      </c>
      <c r="AY227" s="515">
        <v>1</v>
      </c>
      <c r="AZ227" s="474" t="s">
        <v>15079</v>
      </c>
      <c r="BA227" s="472" t="s">
        <v>517</v>
      </c>
      <c r="BB227" s="472" t="s">
        <v>1385</v>
      </c>
      <c r="BC227" s="472" t="s">
        <v>1385</v>
      </c>
      <c r="BD227" s="472" t="s">
        <v>1385</v>
      </c>
      <c r="BE227" s="472" t="s">
        <v>1385</v>
      </c>
      <c r="BF227" s="472">
        <v>40059.9</v>
      </c>
      <c r="BG227" s="472">
        <v>0</v>
      </c>
      <c r="BH227" s="472" t="s">
        <v>1385</v>
      </c>
      <c r="BI227" s="510">
        <v>0</v>
      </c>
      <c r="BJ227" s="510">
        <v>0</v>
      </c>
      <c r="BK227" s="510">
        <v>0</v>
      </c>
      <c r="BL227" s="510">
        <v>3500</v>
      </c>
      <c r="BM227" s="510">
        <v>0</v>
      </c>
      <c r="BN227" s="510">
        <v>5000</v>
      </c>
      <c r="BO227" s="510">
        <v>0</v>
      </c>
      <c r="BP227" s="510">
        <v>2000</v>
      </c>
      <c r="BQ227" s="510">
        <v>0</v>
      </c>
      <c r="BR227" s="510">
        <v>0</v>
      </c>
      <c r="BS227" s="510">
        <v>0</v>
      </c>
      <c r="BT227" s="510">
        <v>0</v>
      </c>
      <c r="BU227" s="510">
        <v>0</v>
      </c>
      <c r="BV227" s="510">
        <v>0</v>
      </c>
      <c r="BW227" s="510">
        <v>0</v>
      </c>
      <c r="BX227" s="510">
        <v>30000</v>
      </c>
      <c r="BY227" s="1011">
        <v>0</v>
      </c>
      <c r="BZ227" s="510">
        <v>0</v>
      </c>
      <c r="CA227" s="1011">
        <v>0</v>
      </c>
      <c r="CB227" s="510">
        <v>22000</v>
      </c>
      <c r="CC227" s="1011">
        <v>0</v>
      </c>
      <c r="CD227" s="510">
        <v>0</v>
      </c>
      <c r="CE227" s="1011">
        <v>0</v>
      </c>
      <c r="CF227" s="510">
        <v>53294.400000000001</v>
      </c>
      <c r="CG227" s="1011">
        <v>0</v>
      </c>
      <c r="CH227" s="510">
        <v>0</v>
      </c>
      <c r="CI227" s="1011">
        <v>0</v>
      </c>
    </row>
    <row r="228" spans="1:87" x14ac:dyDescent="0.2">
      <c r="A228" s="449">
        <v>76</v>
      </c>
      <c r="B228" s="453">
        <v>19258</v>
      </c>
      <c r="C228" s="454" t="s">
        <v>3183</v>
      </c>
      <c r="D228" s="454" t="s">
        <v>1390</v>
      </c>
      <c r="E228" s="454" t="s">
        <v>3184</v>
      </c>
      <c r="F228" s="454" t="s">
        <v>521</v>
      </c>
      <c r="G228" s="454" t="s">
        <v>12698</v>
      </c>
      <c r="H228" s="455">
        <v>7084875000168</v>
      </c>
      <c r="I228" s="462">
        <v>38124</v>
      </c>
      <c r="J228" s="457">
        <v>37550071</v>
      </c>
      <c r="K228" s="454" t="s">
        <v>3185</v>
      </c>
      <c r="L228" s="458">
        <v>101</v>
      </c>
      <c r="M228" s="454" t="s">
        <v>3186</v>
      </c>
      <c r="N228" s="459">
        <v>4845200</v>
      </c>
      <c r="O228" s="460">
        <v>59291534</v>
      </c>
      <c r="P228" s="462">
        <v>94679</v>
      </c>
      <c r="Q228" s="462">
        <v>44</v>
      </c>
      <c r="R228" s="462">
        <v>43934</v>
      </c>
      <c r="S228" s="463">
        <v>474</v>
      </c>
      <c r="T228" s="464">
        <v>3.6</v>
      </c>
      <c r="U228" s="465">
        <v>1706.4</v>
      </c>
      <c r="V228" s="465">
        <v>15120</v>
      </c>
      <c r="W228" s="466">
        <v>0</v>
      </c>
      <c r="X228" s="467">
        <v>1</v>
      </c>
      <c r="Y228" s="466">
        <v>25239.599999999999</v>
      </c>
      <c r="Z228" s="468" t="s">
        <v>516</v>
      </c>
      <c r="AA228" s="466">
        <v>103986</v>
      </c>
      <c r="AB228" s="466">
        <v>103986</v>
      </c>
      <c r="AC228" s="467">
        <v>0</v>
      </c>
      <c r="AD228" s="466">
        <v>0</v>
      </c>
      <c r="AE228" s="468" t="s">
        <v>516</v>
      </c>
      <c r="AF228" s="466">
        <v>0</v>
      </c>
      <c r="AG228" s="466">
        <v>0</v>
      </c>
      <c r="AH228" s="466">
        <v>32143.22</v>
      </c>
      <c r="AI228" s="466">
        <v>6644</v>
      </c>
      <c r="AJ228" s="469" t="s">
        <v>1624</v>
      </c>
      <c r="AK228" s="470" t="s">
        <v>1625</v>
      </c>
      <c r="AL228" s="471" t="s">
        <v>3187</v>
      </c>
      <c r="AM228" s="470" t="s">
        <v>12699</v>
      </c>
      <c r="AN228" s="470" t="s">
        <v>1385</v>
      </c>
      <c r="AO228" s="470" t="s">
        <v>14925</v>
      </c>
      <c r="AP228" s="470" t="s">
        <v>3188</v>
      </c>
      <c r="AQ228" s="470" t="s">
        <v>3183</v>
      </c>
      <c r="AR228" s="472" t="s">
        <v>515</v>
      </c>
      <c r="AS228" s="473" t="s">
        <v>1385</v>
      </c>
      <c r="AT228" s="472" t="s">
        <v>1390</v>
      </c>
      <c r="AU228" s="472" t="s">
        <v>420</v>
      </c>
      <c r="AV228" s="472">
        <v>2020</v>
      </c>
      <c r="AW228" s="474" t="s">
        <v>15078</v>
      </c>
      <c r="AX228" s="475" t="s">
        <v>15079</v>
      </c>
      <c r="AY228" s="515">
        <v>1</v>
      </c>
      <c r="AZ228" s="474" t="s">
        <v>15079</v>
      </c>
      <c r="BA228" s="472" t="s">
        <v>1390</v>
      </c>
      <c r="BB228" s="472" t="s">
        <v>1385</v>
      </c>
      <c r="BC228" s="472" t="s">
        <v>1385</v>
      </c>
      <c r="BD228" s="472" t="s">
        <v>1385</v>
      </c>
      <c r="BE228" s="472" t="s">
        <v>1385</v>
      </c>
      <c r="BF228" s="472">
        <v>25239.599999999999</v>
      </c>
      <c r="BG228" s="472">
        <v>0</v>
      </c>
      <c r="BH228" s="472" t="s">
        <v>1385</v>
      </c>
      <c r="BI228" s="510">
        <v>0</v>
      </c>
      <c r="BJ228" s="510">
        <v>0</v>
      </c>
      <c r="BK228" s="510">
        <v>0</v>
      </c>
      <c r="BL228" s="510">
        <v>0</v>
      </c>
      <c r="BM228" s="510">
        <v>0</v>
      </c>
      <c r="BN228" s="510">
        <v>4000</v>
      </c>
      <c r="BO228" s="510">
        <v>0</v>
      </c>
      <c r="BP228" s="510">
        <v>0</v>
      </c>
      <c r="BQ228" s="510">
        <v>0</v>
      </c>
      <c r="BR228" s="510">
        <v>0</v>
      </c>
      <c r="BS228" s="510">
        <v>0</v>
      </c>
      <c r="BT228" s="510">
        <v>0</v>
      </c>
      <c r="BU228" s="510">
        <v>0</v>
      </c>
      <c r="BV228" s="510">
        <v>0</v>
      </c>
      <c r="BW228" s="510">
        <v>0</v>
      </c>
      <c r="BX228" s="510">
        <v>30000</v>
      </c>
      <c r="BY228" s="1011">
        <v>0</v>
      </c>
      <c r="BZ228" s="510">
        <v>0</v>
      </c>
      <c r="CA228" s="1011">
        <v>0</v>
      </c>
      <c r="CB228" s="510">
        <v>0</v>
      </c>
      <c r="CC228" s="1011">
        <v>0</v>
      </c>
      <c r="CD228" s="510">
        <v>0</v>
      </c>
      <c r="CE228" s="1011">
        <v>0</v>
      </c>
      <c r="CF228" s="510">
        <v>48746.400000000001</v>
      </c>
      <c r="CG228" s="1011">
        <v>0</v>
      </c>
      <c r="CH228" s="510">
        <v>0</v>
      </c>
      <c r="CI228" s="1011">
        <v>0</v>
      </c>
    </row>
    <row r="229" spans="1:87" x14ac:dyDescent="0.2">
      <c r="A229" s="449">
        <v>72</v>
      </c>
      <c r="B229" s="453">
        <v>19259</v>
      </c>
      <c r="C229" s="454" t="s">
        <v>3189</v>
      </c>
      <c r="D229" s="454" t="s">
        <v>1390</v>
      </c>
      <c r="E229" s="454" t="s">
        <v>3190</v>
      </c>
      <c r="F229" s="454" t="s">
        <v>524</v>
      </c>
      <c r="G229" s="454" t="s">
        <v>12700</v>
      </c>
      <c r="H229" s="455">
        <v>3953727000181</v>
      </c>
      <c r="I229" s="462">
        <v>36710</v>
      </c>
      <c r="J229" s="457">
        <v>37499769</v>
      </c>
      <c r="K229" s="454" t="s">
        <v>3191</v>
      </c>
      <c r="L229" s="458">
        <v>107</v>
      </c>
      <c r="M229" s="454" t="s">
        <v>3192</v>
      </c>
      <c r="N229" s="459">
        <v>4293000</v>
      </c>
      <c r="O229" s="460">
        <v>50734333</v>
      </c>
      <c r="P229" s="462">
        <v>204830</v>
      </c>
      <c r="Q229" s="462">
        <v>78</v>
      </c>
      <c r="R229" s="462">
        <v>43906</v>
      </c>
      <c r="S229" s="463">
        <v>382</v>
      </c>
      <c r="T229" s="464">
        <v>3.6</v>
      </c>
      <c r="U229" s="465">
        <v>1375.2</v>
      </c>
      <c r="V229" s="465">
        <v>13680</v>
      </c>
      <c r="W229" s="466">
        <v>0</v>
      </c>
      <c r="X229" s="467">
        <v>1</v>
      </c>
      <c r="Y229" s="466">
        <v>22582.799999999999</v>
      </c>
      <c r="Z229" s="468" t="s">
        <v>516</v>
      </c>
      <c r="AA229" s="466">
        <v>97779.6</v>
      </c>
      <c r="AB229" s="466">
        <v>97779.6</v>
      </c>
      <c r="AC229" s="467">
        <v>0</v>
      </c>
      <c r="AD229" s="466">
        <v>0</v>
      </c>
      <c r="AE229" s="468" t="s">
        <v>516</v>
      </c>
      <c r="AF229" s="466">
        <v>0</v>
      </c>
      <c r="AG229" s="466">
        <v>0</v>
      </c>
      <c r="AH229" s="466">
        <v>12053.93</v>
      </c>
      <c r="AI229" s="466">
        <v>4716.6000000000004</v>
      </c>
      <c r="AJ229" s="469" t="s">
        <v>2511</v>
      </c>
      <c r="AK229" s="470" t="s">
        <v>3193</v>
      </c>
      <c r="AL229" s="471" t="s">
        <v>3194</v>
      </c>
      <c r="AM229" s="470" t="s">
        <v>15158</v>
      </c>
      <c r="AN229" s="470" t="s">
        <v>3195</v>
      </c>
      <c r="AO229" s="470" t="s">
        <v>3196</v>
      </c>
      <c r="AP229" s="470" t="s">
        <v>3197</v>
      </c>
      <c r="AQ229" s="470" t="s">
        <v>3189</v>
      </c>
      <c r="AR229" s="472" t="s">
        <v>515</v>
      </c>
      <c r="AS229" s="473" t="s">
        <v>1385</v>
      </c>
      <c r="AT229" s="472" t="s">
        <v>1390</v>
      </c>
      <c r="AU229" s="472" t="s">
        <v>420</v>
      </c>
      <c r="AV229" s="472">
        <v>2020</v>
      </c>
      <c r="AW229" s="474" t="s">
        <v>15078</v>
      </c>
      <c r="AX229" s="475" t="s">
        <v>15079</v>
      </c>
      <c r="AY229" s="515">
        <v>1</v>
      </c>
      <c r="AZ229" s="474" t="s">
        <v>15079</v>
      </c>
      <c r="BA229" s="472" t="s">
        <v>1390</v>
      </c>
      <c r="BB229" s="472" t="s">
        <v>1385</v>
      </c>
      <c r="BC229" s="472" t="s">
        <v>1385</v>
      </c>
      <c r="BD229" s="472" t="s">
        <v>1385</v>
      </c>
      <c r="BE229" s="472" t="s">
        <v>1385</v>
      </c>
      <c r="BF229" s="509">
        <v>22582.799999999999</v>
      </c>
      <c r="BG229" s="509">
        <v>0</v>
      </c>
      <c r="BH229" s="472" t="s">
        <v>1385</v>
      </c>
      <c r="BI229" s="510">
        <v>0</v>
      </c>
      <c r="BJ229" s="510">
        <v>0</v>
      </c>
      <c r="BK229" s="510">
        <v>0</v>
      </c>
      <c r="BL229" s="510">
        <v>0</v>
      </c>
      <c r="BM229" s="510">
        <v>0</v>
      </c>
      <c r="BN229" s="510">
        <v>3500</v>
      </c>
      <c r="BO229" s="510">
        <v>0</v>
      </c>
      <c r="BP229" s="510">
        <v>0</v>
      </c>
      <c r="BQ229" s="510">
        <v>0</v>
      </c>
      <c r="BR229" s="510">
        <v>0</v>
      </c>
      <c r="BS229" s="510">
        <v>0</v>
      </c>
      <c r="BT229" s="510">
        <v>0</v>
      </c>
      <c r="BU229" s="510">
        <v>0</v>
      </c>
      <c r="BV229" s="510">
        <v>0</v>
      </c>
      <c r="BW229" s="510">
        <v>0</v>
      </c>
      <c r="BX229" s="510">
        <v>30000</v>
      </c>
      <c r="BY229" s="1011">
        <v>0</v>
      </c>
      <c r="BZ229" s="510">
        <v>0</v>
      </c>
      <c r="CA229" s="1011">
        <v>0</v>
      </c>
      <c r="CB229" s="510">
        <v>0</v>
      </c>
      <c r="CC229" s="1011">
        <v>0</v>
      </c>
      <c r="CD229" s="510">
        <v>0</v>
      </c>
      <c r="CE229" s="1011">
        <v>0</v>
      </c>
      <c r="CF229" s="510">
        <v>45196.800000000003</v>
      </c>
      <c r="CG229" s="1011">
        <v>0</v>
      </c>
      <c r="CH229" s="510">
        <v>0</v>
      </c>
      <c r="CI229" s="1011">
        <v>0</v>
      </c>
    </row>
    <row r="230" spans="1:87" x14ac:dyDescent="0.2">
      <c r="A230" s="449">
        <v>53</v>
      </c>
      <c r="B230" s="453">
        <v>19260</v>
      </c>
      <c r="C230" s="454" t="s">
        <v>3198</v>
      </c>
      <c r="D230" s="454" t="s">
        <v>2950</v>
      </c>
      <c r="E230" s="454" t="s">
        <v>3199</v>
      </c>
      <c r="F230" s="454" t="s">
        <v>529</v>
      </c>
      <c r="G230" s="454" t="s">
        <v>12701</v>
      </c>
      <c r="H230" s="455">
        <v>7180154000151</v>
      </c>
      <c r="I230" s="462">
        <v>38229</v>
      </c>
      <c r="J230" s="457">
        <v>37524194</v>
      </c>
      <c r="K230" s="454" t="s">
        <v>3200</v>
      </c>
      <c r="L230" s="458">
        <v>3752</v>
      </c>
      <c r="M230" s="454" t="s">
        <v>1480</v>
      </c>
      <c r="N230" s="459">
        <v>4474340</v>
      </c>
      <c r="O230" s="460">
        <v>56722516</v>
      </c>
      <c r="P230" s="462">
        <v>563733</v>
      </c>
      <c r="Q230" s="462">
        <v>56</v>
      </c>
      <c r="R230" s="462">
        <v>43921</v>
      </c>
      <c r="S230" s="463">
        <v>776</v>
      </c>
      <c r="T230" s="464">
        <v>5.4</v>
      </c>
      <c r="U230" s="465">
        <v>4190.3999999999996</v>
      </c>
      <c r="V230" s="465">
        <v>18720</v>
      </c>
      <c r="W230" s="466">
        <v>0</v>
      </c>
      <c r="X230" s="467">
        <v>1</v>
      </c>
      <c r="Y230" s="466">
        <v>42789.599999999999</v>
      </c>
      <c r="Z230" s="468" t="s">
        <v>516</v>
      </c>
      <c r="AA230" s="466">
        <v>156820.79999999999</v>
      </c>
      <c r="AB230" s="466">
        <v>156820.79999999999</v>
      </c>
      <c r="AC230" s="467">
        <v>0</v>
      </c>
      <c r="AD230" s="466">
        <v>0</v>
      </c>
      <c r="AE230" s="468" t="s">
        <v>516</v>
      </c>
      <c r="AF230" s="466">
        <v>2000</v>
      </c>
      <c r="AG230" s="466">
        <v>2000</v>
      </c>
      <c r="AH230" s="466">
        <v>27726.400000000001</v>
      </c>
      <c r="AI230" s="466">
        <v>0</v>
      </c>
      <c r="AJ230" s="469" t="s">
        <v>1790</v>
      </c>
      <c r="AK230" s="470" t="s">
        <v>1791</v>
      </c>
      <c r="AL230" s="471" t="s">
        <v>3201</v>
      </c>
      <c r="AM230" s="470" t="s">
        <v>3202</v>
      </c>
      <c r="AN230" s="470" t="s">
        <v>14910</v>
      </c>
      <c r="AO230" s="470" t="s">
        <v>3203</v>
      </c>
      <c r="AP230" s="470" t="s">
        <v>3204</v>
      </c>
      <c r="AQ230" s="470" t="s">
        <v>3198</v>
      </c>
      <c r="AR230" s="472" t="s">
        <v>515</v>
      </c>
      <c r="AS230" s="473" t="s">
        <v>1385</v>
      </c>
      <c r="AT230" s="472" t="s">
        <v>2950</v>
      </c>
      <c r="AU230" s="472" t="s">
        <v>420</v>
      </c>
      <c r="AV230" s="472">
        <v>2020</v>
      </c>
      <c r="AW230" s="474" t="s">
        <v>15078</v>
      </c>
      <c r="AX230" s="475" t="s">
        <v>15079</v>
      </c>
      <c r="AY230" s="515">
        <v>1</v>
      </c>
      <c r="AZ230" s="474" t="s">
        <v>15079</v>
      </c>
      <c r="BA230" s="472" t="s">
        <v>2950</v>
      </c>
      <c r="BB230" s="472" t="s">
        <v>516</v>
      </c>
      <c r="BC230" s="472">
        <v>5</v>
      </c>
      <c r="BD230" s="472">
        <v>5616</v>
      </c>
      <c r="BE230" s="472">
        <v>0</v>
      </c>
      <c r="BF230" s="472">
        <v>42789.599999999999</v>
      </c>
      <c r="BG230" s="472">
        <v>0</v>
      </c>
      <c r="BH230" s="472" t="s">
        <v>1385</v>
      </c>
      <c r="BI230" s="510">
        <v>0</v>
      </c>
      <c r="BJ230" s="510">
        <v>0</v>
      </c>
      <c r="BK230" s="510">
        <v>0</v>
      </c>
      <c r="BL230" s="510">
        <v>3247.71</v>
      </c>
      <c r="BM230" s="510">
        <v>0</v>
      </c>
      <c r="BN230" s="510">
        <v>5000</v>
      </c>
      <c r="BO230" s="510">
        <v>0</v>
      </c>
      <c r="BP230" s="510">
        <v>2000</v>
      </c>
      <c r="BQ230" s="510">
        <v>0</v>
      </c>
      <c r="BR230" s="510">
        <v>0</v>
      </c>
      <c r="BS230" s="510">
        <v>0</v>
      </c>
      <c r="BT230" s="510">
        <v>0</v>
      </c>
      <c r="BU230" s="510">
        <v>2500</v>
      </c>
      <c r="BV230" s="510">
        <v>2500</v>
      </c>
      <c r="BW230" s="510">
        <v>0</v>
      </c>
      <c r="BX230" s="510">
        <v>30000</v>
      </c>
      <c r="BY230" s="1011">
        <v>0</v>
      </c>
      <c r="BZ230" s="510">
        <v>0</v>
      </c>
      <c r="CA230" s="1011">
        <v>0</v>
      </c>
      <c r="CB230" s="510">
        <v>22000</v>
      </c>
      <c r="CC230" s="1011">
        <v>0</v>
      </c>
      <c r="CD230" s="510">
        <v>0</v>
      </c>
      <c r="CE230" s="1011">
        <v>0</v>
      </c>
      <c r="CF230" s="510">
        <v>62031.199999999997</v>
      </c>
      <c r="CG230" s="1011">
        <v>0</v>
      </c>
      <c r="CH230" s="510">
        <v>0</v>
      </c>
      <c r="CI230" s="1011">
        <v>0</v>
      </c>
    </row>
    <row r="231" spans="1:87" x14ac:dyDescent="0.2">
      <c r="A231" s="449">
        <v>55</v>
      </c>
      <c r="B231" s="453">
        <v>19261</v>
      </c>
      <c r="C231" s="454" t="s">
        <v>3205</v>
      </c>
      <c r="D231" s="454" t="s">
        <v>2950</v>
      </c>
      <c r="E231" s="454" t="s">
        <v>3206</v>
      </c>
      <c r="F231" s="454" t="s">
        <v>518</v>
      </c>
      <c r="G231" s="454" t="s">
        <v>12702</v>
      </c>
      <c r="H231" s="455">
        <v>7486128000156</v>
      </c>
      <c r="I231" s="462">
        <v>38540</v>
      </c>
      <c r="J231" s="457">
        <v>37469150</v>
      </c>
      <c r="K231" s="454" t="s">
        <v>3208</v>
      </c>
      <c r="L231" s="458" t="s">
        <v>1446</v>
      </c>
      <c r="M231" s="454" t="s">
        <v>3209</v>
      </c>
      <c r="N231" s="459">
        <v>3570020</v>
      </c>
      <c r="O231" s="460">
        <v>27237530</v>
      </c>
      <c r="P231" s="462">
        <v>50230</v>
      </c>
      <c r="Q231" s="462">
        <v>100</v>
      </c>
      <c r="R231" s="462">
        <v>43934</v>
      </c>
      <c r="S231" s="463">
        <v>880</v>
      </c>
      <c r="T231" s="464">
        <v>5.4</v>
      </c>
      <c r="U231" s="465">
        <v>4752</v>
      </c>
      <c r="V231" s="465">
        <v>18720</v>
      </c>
      <c r="W231" s="466">
        <v>0</v>
      </c>
      <c r="X231" s="467">
        <v>1</v>
      </c>
      <c r="Y231" s="466">
        <v>35208</v>
      </c>
      <c r="Z231" s="468" t="s">
        <v>516</v>
      </c>
      <c r="AA231" s="466">
        <v>149206.79999999999</v>
      </c>
      <c r="AB231" s="466">
        <v>149206.79999999999</v>
      </c>
      <c r="AC231" s="467">
        <v>0</v>
      </c>
      <c r="AD231" s="466">
        <v>0</v>
      </c>
      <c r="AE231" s="468" t="s">
        <v>516</v>
      </c>
      <c r="AF231" s="466">
        <v>0</v>
      </c>
      <c r="AG231" s="466">
        <v>0</v>
      </c>
      <c r="AH231" s="466">
        <v>2276.67</v>
      </c>
      <c r="AI231" s="466">
        <v>5100.97</v>
      </c>
      <c r="AJ231" s="469" t="s">
        <v>1560</v>
      </c>
      <c r="AK231" s="470" t="s">
        <v>1776</v>
      </c>
      <c r="AL231" s="471" t="s">
        <v>3210</v>
      </c>
      <c r="AM231" s="470" t="s">
        <v>3211</v>
      </c>
      <c r="AN231" s="470" t="s">
        <v>3207</v>
      </c>
      <c r="AO231" s="470" t="s">
        <v>14980</v>
      </c>
      <c r="AP231" s="470" t="s">
        <v>3212</v>
      </c>
      <c r="AQ231" s="470" t="s">
        <v>3205</v>
      </c>
      <c r="AR231" s="472" t="s">
        <v>515</v>
      </c>
      <c r="AS231" s="473" t="s">
        <v>1385</v>
      </c>
      <c r="AT231" s="472" t="s">
        <v>2950</v>
      </c>
      <c r="AU231" s="472" t="s">
        <v>420</v>
      </c>
      <c r="AV231" s="472">
        <v>2020</v>
      </c>
      <c r="AW231" s="474" t="s">
        <v>15078</v>
      </c>
      <c r="AX231" s="475" t="s">
        <v>15079</v>
      </c>
      <c r="AY231" s="515">
        <v>1</v>
      </c>
      <c r="AZ231" s="474" t="s">
        <v>15079</v>
      </c>
      <c r="BA231" s="472" t="s">
        <v>2950</v>
      </c>
      <c r="BB231" s="472" t="s">
        <v>1385</v>
      </c>
      <c r="BC231" s="472" t="s">
        <v>1385</v>
      </c>
      <c r="BD231" s="472" t="s">
        <v>1385</v>
      </c>
      <c r="BE231" s="472" t="s">
        <v>1385</v>
      </c>
      <c r="BF231" s="472">
        <v>35208</v>
      </c>
      <c r="BG231" s="472">
        <v>0</v>
      </c>
      <c r="BH231" s="472" t="s">
        <v>1385</v>
      </c>
      <c r="BI231" s="510">
        <v>0</v>
      </c>
      <c r="BJ231" s="510">
        <v>0</v>
      </c>
      <c r="BK231" s="510">
        <v>0</v>
      </c>
      <c r="BL231" s="510">
        <v>0</v>
      </c>
      <c r="BM231" s="510">
        <v>0</v>
      </c>
      <c r="BN231" s="510">
        <v>3700</v>
      </c>
      <c r="BO231" s="510">
        <v>0</v>
      </c>
      <c r="BP231" s="510">
        <v>0</v>
      </c>
      <c r="BQ231" s="510">
        <v>0</v>
      </c>
      <c r="BR231" s="510">
        <v>0</v>
      </c>
      <c r="BS231" s="510">
        <v>0</v>
      </c>
      <c r="BT231" s="510">
        <v>0</v>
      </c>
      <c r="BU231" s="510">
        <v>2500</v>
      </c>
      <c r="BV231" s="510">
        <v>2500</v>
      </c>
      <c r="BW231" s="510">
        <v>0</v>
      </c>
      <c r="BX231" s="510">
        <v>30000</v>
      </c>
      <c r="BY231" s="1011">
        <v>0</v>
      </c>
      <c r="BZ231" s="510">
        <v>0</v>
      </c>
      <c r="CA231" s="1011">
        <v>0</v>
      </c>
      <c r="CB231" s="510">
        <v>22000</v>
      </c>
      <c r="CC231" s="1011">
        <v>0</v>
      </c>
      <c r="CD231" s="510">
        <v>0</v>
      </c>
      <c r="CE231" s="1011">
        <v>0</v>
      </c>
      <c r="CF231" s="510">
        <v>61998.8</v>
      </c>
      <c r="CG231" s="1011">
        <v>0</v>
      </c>
      <c r="CH231" s="510">
        <v>0</v>
      </c>
      <c r="CI231" s="1011">
        <v>0</v>
      </c>
    </row>
    <row r="232" spans="1:87" x14ac:dyDescent="0.2">
      <c r="A232" s="449">
        <v>50</v>
      </c>
      <c r="B232" s="453">
        <v>19262</v>
      </c>
      <c r="C232" s="454" t="s">
        <v>3213</v>
      </c>
      <c r="D232" s="454" t="s">
        <v>2950</v>
      </c>
      <c r="E232" s="454" t="s">
        <v>3214</v>
      </c>
      <c r="F232" s="454" t="s">
        <v>519</v>
      </c>
      <c r="G232" s="454" t="s">
        <v>12703</v>
      </c>
      <c r="H232" s="455">
        <v>7281441000158</v>
      </c>
      <c r="I232" s="462">
        <v>38404</v>
      </c>
      <c r="J232" s="457">
        <v>37354760</v>
      </c>
      <c r="K232" s="454" t="s">
        <v>3216</v>
      </c>
      <c r="L232" s="458">
        <v>1870</v>
      </c>
      <c r="M232" s="454" t="s">
        <v>3217</v>
      </c>
      <c r="N232" s="459">
        <v>5588001</v>
      </c>
      <c r="O232" s="460">
        <v>37324521</v>
      </c>
      <c r="P232" s="462">
        <v>122052</v>
      </c>
      <c r="Q232" s="462">
        <v>8</v>
      </c>
      <c r="R232" s="462">
        <v>43881</v>
      </c>
      <c r="S232" s="463">
        <v>606</v>
      </c>
      <c r="T232" s="464">
        <v>5.4</v>
      </c>
      <c r="U232" s="465">
        <v>3272.4</v>
      </c>
      <c r="V232" s="465">
        <v>17100</v>
      </c>
      <c r="W232" s="466">
        <v>0</v>
      </c>
      <c r="X232" s="467">
        <v>1</v>
      </c>
      <c r="Y232" s="466">
        <v>0</v>
      </c>
      <c r="Z232" s="468" t="s">
        <v>514</v>
      </c>
      <c r="AA232" s="466">
        <v>0</v>
      </c>
      <c r="AB232" s="466">
        <v>0</v>
      </c>
      <c r="AC232" s="467">
        <v>0</v>
      </c>
      <c r="AD232" s="466">
        <v>0</v>
      </c>
      <c r="AE232" s="468" t="s">
        <v>516</v>
      </c>
      <c r="AF232" s="466">
        <v>0</v>
      </c>
      <c r="AG232" s="466">
        <v>0</v>
      </c>
      <c r="AH232" s="466">
        <v>1199.6099999999999</v>
      </c>
      <c r="AI232" s="466">
        <v>6278.97</v>
      </c>
      <c r="AJ232" s="469" t="s">
        <v>1940</v>
      </c>
      <c r="AK232" s="470" t="s">
        <v>1941</v>
      </c>
      <c r="AL232" s="471" t="s">
        <v>3218</v>
      </c>
      <c r="AM232" s="470" t="s">
        <v>3219</v>
      </c>
      <c r="AN232" s="470" t="s">
        <v>3215</v>
      </c>
      <c r="AO232" s="470" t="s">
        <v>3220</v>
      </c>
      <c r="AP232" s="470" t="s">
        <v>3221</v>
      </c>
      <c r="AQ232" s="470" t="s">
        <v>3213</v>
      </c>
      <c r="AR232" s="472" t="s">
        <v>515</v>
      </c>
      <c r="AS232" s="473" t="s">
        <v>1385</v>
      </c>
      <c r="AT232" s="472" t="s">
        <v>2950</v>
      </c>
      <c r="AU232" s="472" t="s">
        <v>420</v>
      </c>
      <c r="AV232" s="472">
        <v>2020</v>
      </c>
      <c r="AW232" s="474" t="s">
        <v>15078</v>
      </c>
      <c r="AX232" s="475" t="s">
        <v>15079</v>
      </c>
      <c r="AY232" s="515">
        <v>1</v>
      </c>
      <c r="AZ232" s="474" t="s">
        <v>15079</v>
      </c>
      <c r="BA232" s="472" t="s">
        <v>1385</v>
      </c>
      <c r="BB232" s="472" t="s">
        <v>516</v>
      </c>
      <c r="BC232" s="472">
        <v>6</v>
      </c>
      <c r="BD232" s="472">
        <v>5130</v>
      </c>
      <c r="BE232" s="472">
        <v>0</v>
      </c>
      <c r="BF232" s="472">
        <v>38253.599999999999</v>
      </c>
      <c r="BG232" s="472">
        <v>0</v>
      </c>
      <c r="BH232" s="472" t="s">
        <v>516</v>
      </c>
      <c r="BI232" s="510">
        <v>0</v>
      </c>
      <c r="BJ232" s="510">
        <v>0</v>
      </c>
      <c r="BK232" s="510">
        <v>0</v>
      </c>
      <c r="BL232" s="510">
        <v>3500</v>
      </c>
      <c r="BM232" s="510">
        <v>0</v>
      </c>
      <c r="BN232" s="510">
        <v>0</v>
      </c>
      <c r="BO232" s="510">
        <v>0</v>
      </c>
      <c r="BP232" s="510">
        <v>0</v>
      </c>
      <c r="BQ232" s="510">
        <v>0</v>
      </c>
      <c r="BR232" s="510">
        <v>0</v>
      </c>
      <c r="BS232" s="510">
        <v>0</v>
      </c>
      <c r="BT232" s="510">
        <v>0</v>
      </c>
      <c r="BU232" s="510">
        <v>0</v>
      </c>
      <c r="BV232" s="510">
        <v>0</v>
      </c>
      <c r="BW232" s="510">
        <v>0</v>
      </c>
      <c r="BX232" s="510">
        <v>0</v>
      </c>
      <c r="BY232" s="1011">
        <v>0</v>
      </c>
      <c r="BZ232" s="510">
        <v>0</v>
      </c>
      <c r="CA232" s="1011">
        <v>0</v>
      </c>
      <c r="CB232" s="510">
        <v>0</v>
      </c>
      <c r="CC232" s="1011">
        <v>0</v>
      </c>
      <c r="CD232" s="510">
        <v>0</v>
      </c>
      <c r="CE232" s="1011">
        <v>0</v>
      </c>
      <c r="CF232" s="510">
        <v>0</v>
      </c>
      <c r="CG232" s="1011">
        <v>0</v>
      </c>
      <c r="CH232" s="510">
        <v>0</v>
      </c>
      <c r="CI232" s="1011">
        <v>0</v>
      </c>
    </row>
    <row r="233" spans="1:87" x14ac:dyDescent="0.2">
      <c r="A233" s="449">
        <v>64</v>
      </c>
      <c r="B233" s="453">
        <v>19263</v>
      </c>
      <c r="C233" s="454" t="s">
        <v>3222</v>
      </c>
      <c r="D233" s="454" t="s">
        <v>2950</v>
      </c>
      <c r="E233" s="454" t="s">
        <v>3223</v>
      </c>
      <c r="F233" s="454" t="s">
        <v>521</v>
      </c>
      <c r="G233" s="454" t="s">
        <v>12704</v>
      </c>
      <c r="H233" s="455">
        <v>7033999000114</v>
      </c>
      <c r="I233" s="462">
        <v>38139</v>
      </c>
      <c r="J233" s="457">
        <v>37551795</v>
      </c>
      <c r="K233" s="454" t="s">
        <v>2741</v>
      </c>
      <c r="L233" s="458">
        <v>7350</v>
      </c>
      <c r="M233" s="454" t="s">
        <v>1625</v>
      </c>
      <c r="N233" s="459">
        <v>4777010</v>
      </c>
      <c r="O233" s="460">
        <v>56681929</v>
      </c>
      <c r="P233" s="462">
        <v>96728</v>
      </c>
      <c r="Q233" s="462">
        <v>56</v>
      </c>
      <c r="R233" s="462">
        <v>43934</v>
      </c>
      <c r="S233" s="463">
        <v>707</v>
      </c>
      <c r="T233" s="464">
        <v>5.4</v>
      </c>
      <c r="U233" s="465">
        <v>3817.8</v>
      </c>
      <c r="V233" s="465">
        <v>18720</v>
      </c>
      <c r="W233" s="466">
        <v>0</v>
      </c>
      <c r="X233" s="467">
        <v>1</v>
      </c>
      <c r="Y233" s="466">
        <v>33806.699999999997</v>
      </c>
      <c r="Z233" s="468" t="s">
        <v>516</v>
      </c>
      <c r="AA233" s="466">
        <v>144733.9</v>
      </c>
      <c r="AB233" s="466">
        <v>144733.9</v>
      </c>
      <c r="AC233" s="467">
        <v>0</v>
      </c>
      <c r="AD233" s="466">
        <v>0</v>
      </c>
      <c r="AE233" s="468" t="s">
        <v>516</v>
      </c>
      <c r="AF233" s="466">
        <v>1500</v>
      </c>
      <c r="AG233" s="466">
        <v>1500</v>
      </c>
      <c r="AH233" s="466">
        <v>14556.61</v>
      </c>
      <c r="AI233" s="466">
        <v>4512.04</v>
      </c>
      <c r="AJ233" s="469" t="s">
        <v>1624</v>
      </c>
      <c r="AK233" s="470" t="s">
        <v>1625</v>
      </c>
      <c r="AL233" s="471" t="s">
        <v>3224</v>
      </c>
      <c r="AM233" s="470" t="s">
        <v>3225</v>
      </c>
      <c r="AN233" s="470" t="s">
        <v>1385</v>
      </c>
      <c r="AO233" s="470" t="s">
        <v>12705</v>
      </c>
      <c r="AP233" s="470" t="s">
        <v>3226</v>
      </c>
      <c r="AQ233" s="470" t="s">
        <v>3222</v>
      </c>
      <c r="AR233" s="472" t="s">
        <v>515</v>
      </c>
      <c r="AS233" s="473" t="s">
        <v>1385</v>
      </c>
      <c r="AT233" s="472" t="s">
        <v>2950</v>
      </c>
      <c r="AU233" s="472" t="s">
        <v>420</v>
      </c>
      <c r="AV233" s="472">
        <v>2020</v>
      </c>
      <c r="AW233" s="474" t="s">
        <v>15078</v>
      </c>
      <c r="AX233" s="475" t="s">
        <v>15079</v>
      </c>
      <c r="AY233" s="515">
        <v>1</v>
      </c>
      <c r="AZ233" s="474" t="s">
        <v>15079</v>
      </c>
      <c r="BA233" s="472" t="s">
        <v>2950</v>
      </c>
      <c r="BB233" s="472" t="s">
        <v>1385</v>
      </c>
      <c r="BC233" s="472" t="s">
        <v>1385</v>
      </c>
      <c r="BD233" s="472" t="s">
        <v>1385</v>
      </c>
      <c r="BE233" s="472" t="s">
        <v>1385</v>
      </c>
      <c r="BF233" s="472">
        <v>33806.699999999997</v>
      </c>
      <c r="BG233" s="472">
        <v>0</v>
      </c>
      <c r="BH233" s="472" t="s">
        <v>1385</v>
      </c>
      <c r="BI233" s="510">
        <v>0</v>
      </c>
      <c r="BJ233" s="510">
        <v>0</v>
      </c>
      <c r="BK233" s="510">
        <v>0</v>
      </c>
      <c r="BL233" s="510">
        <v>787.97</v>
      </c>
      <c r="BM233" s="510">
        <v>0</v>
      </c>
      <c r="BN233" s="510">
        <v>5000</v>
      </c>
      <c r="BO233" s="510">
        <v>500</v>
      </c>
      <c r="BP233" s="510">
        <v>1500</v>
      </c>
      <c r="BQ233" s="510">
        <v>0</v>
      </c>
      <c r="BR233" s="510">
        <v>0</v>
      </c>
      <c r="BS233" s="510">
        <v>0</v>
      </c>
      <c r="BT233" s="510">
        <v>0</v>
      </c>
      <c r="BU233" s="510">
        <v>0</v>
      </c>
      <c r="BV233" s="510">
        <v>0</v>
      </c>
      <c r="BW233" s="510">
        <v>0</v>
      </c>
      <c r="BX233" s="510">
        <v>30000</v>
      </c>
      <c r="BY233" s="1011">
        <v>0</v>
      </c>
      <c r="BZ233" s="510">
        <v>0</v>
      </c>
      <c r="CA233" s="1011">
        <v>0</v>
      </c>
      <c r="CB233" s="510">
        <v>22000</v>
      </c>
      <c r="CC233" s="1011">
        <v>0</v>
      </c>
      <c r="CD233" s="510">
        <v>0</v>
      </c>
      <c r="CE233" s="1011">
        <v>0</v>
      </c>
      <c r="CF233" s="510">
        <v>58427.199999999997</v>
      </c>
      <c r="CG233" s="1011">
        <v>0</v>
      </c>
      <c r="CH233" s="510">
        <v>0</v>
      </c>
      <c r="CI233" s="1011">
        <v>0</v>
      </c>
    </row>
    <row r="234" spans="1:87" x14ac:dyDescent="0.2">
      <c r="A234" s="449">
        <v>61</v>
      </c>
      <c r="B234" s="453">
        <v>19264</v>
      </c>
      <c r="C234" s="454" t="s">
        <v>3227</v>
      </c>
      <c r="D234" s="454" t="s">
        <v>2950</v>
      </c>
      <c r="E234" s="454" t="s">
        <v>3228</v>
      </c>
      <c r="F234" s="454" t="s">
        <v>523</v>
      </c>
      <c r="G234" s="454" t="s">
        <v>12706</v>
      </c>
      <c r="H234" s="455">
        <v>7483824000109</v>
      </c>
      <c r="I234" s="462">
        <v>38331</v>
      </c>
      <c r="J234" s="457">
        <v>37621548</v>
      </c>
      <c r="K234" s="454" t="s">
        <v>3229</v>
      </c>
      <c r="L234" s="458" t="s">
        <v>1446</v>
      </c>
      <c r="M234" s="454" t="s">
        <v>1699</v>
      </c>
      <c r="N234" s="459">
        <v>8472721</v>
      </c>
      <c r="O234" s="460">
        <v>25189020</v>
      </c>
      <c r="P234" s="462">
        <v>261702</v>
      </c>
      <c r="Q234" s="462">
        <v>61</v>
      </c>
      <c r="R234" s="462">
        <v>43921</v>
      </c>
      <c r="S234" s="463">
        <v>873</v>
      </c>
      <c r="T234" s="464">
        <v>5.4</v>
      </c>
      <c r="U234" s="465">
        <v>4714.2</v>
      </c>
      <c r="V234" s="465">
        <v>18720</v>
      </c>
      <c r="W234" s="466">
        <v>0</v>
      </c>
      <c r="X234" s="467">
        <v>1</v>
      </c>
      <c r="Y234" s="466">
        <v>40767.300000000003</v>
      </c>
      <c r="Z234" s="468" t="s">
        <v>516</v>
      </c>
      <c r="AA234" s="466">
        <v>152102.1</v>
      </c>
      <c r="AB234" s="466">
        <v>152102.1</v>
      </c>
      <c r="AC234" s="467">
        <v>0</v>
      </c>
      <c r="AD234" s="466">
        <v>0</v>
      </c>
      <c r="AE234" s="468" t="s">
        <v>516</v>
      </c>
      <c r="AF234" s="466">
        <v>2000</v>
      </c>
      <c r="AG234" s="466">
        <v>2000</v>
      </c>
      <c r="AH234" s="466">
        <v>21566.45</v>
      </c>
      <c r="AI234" s="466">
        <v>16849.080000000002</v>
      </c>
      <c r="AJ234" s="469" t="s">
        <v>1674</v>
      </c>
      <c r="AK234" s="470" t="s">
        <v>518</v>
      </c>
      <c r="AL234" s="471" t="s">
        <v>3230</v>
      </c>
      <c r="AM234" s="470" t="s">
        <v>3231</v>
      </c>
      <c r="AN234" s="470" t="s">
        <v>1385</v>
      </c>
      <c r="AO234" s="470" t="s">
        <v>3232</v>
      </c>
      <c r="AP234" s="470" t="s">
        <v>3233</v>
      </c>
      <c r="AQ234" s="470" t="s">
        <v>3227</v>
      </c>
      <c r="AR234" s="472" t="s">
        <v>515</v>
      </c>
      <c r="AS234" s="473" t="s">
        <v>1385</v>
      </c>
      <c r="AT234" s="472" t="s">
        <v>2950</v>
      </c>
      <c r="AU234" s="472" t="s">
        <v>420</v>
      </c>
      <c r="AV234" s="472">
        <v>2020</v>
      </c>
      <c r="AW234" s="474" t="s">
        <v>15078</v>
      </c>
      <c r="AX234" s="475" t="s">
        <v>15079</v>
      </c>
      <c r="AY234" s="515">
        <v>1</v>
      </c>
      <c r="AZ234" s="474" t="s">
        <v>15079</v>
      </c>
      <c r="BA234" s="472" t="s">
        <v>2950</v>
      </c>
      <c r="BB234" s="472" t="s">
        <v>516</v>
      </c>
      <c r="BC234" s="472">
        <v>3</v>
      </c>
      <c r="BD234" s="472">
        <v>3744</v>
      </c>
      <c r="BE234" s="472">
        <v>0</v>
      </c>
      <c r="BF234" s="472">
        <v>40767.300000000003</v>
      </c>
      <c r="BG234" s="472">
        <v>0</v>
      </c>
      <c r="BH234" s="472" t="s">
        <v>1385</v>
      </c>
      <c r="BI234" s="510">
        <v>0</v>
      </c>
      <c r="BJ234" s="510">
        <v>0</v>
      </c>
      <c r="BK234" s="510">
        <v>0</v>
      </c>
      <c r="BL234" s="510">
        <v>3500</v>
      </c>
      <c r="BM234" s="510">
        <v>0</v>
      </c>
      <c r="BN234" s="510">
        <v>1660</v>
      </c>
      <c r="BO234" s="510">
        <v>0</v>
      </c>
      <c r="BP234" s="510">
        <v>2000</v>
      </c>
      <c r="BQ234" s="510">
        <v>0</v>
      </c>
      <c r="BR234" s="510">
        <v>0</v>
      </c>
      <c r="BS234" s="510">
        <v>0</v>
      </c>
      <c r="BT234" s="510">
        <v>0</v>
      </c>
      <c r="BU234" s="510">
        <v>0</v>
      </c>
      <c r="BV234" s="510">
        <v>0</v>
      </c>
      <c r="BW234" s="510">
        <v>0</v>
      </c>
      <c r="BX234" s="510">
        <v>30000</v>
      </c>
      <c r="BY234" s="1011">
        <v>0</v>
      </c>
      <c r="BZ234" s="510">
        <v>0</v>
      </c>
      <c r="CA234" s="1011">
        <v>0</v>
      </c>
      <c r="CB234" s="510">
        <v>22000</v>
      </c>
      <c r="CC234" s="1011">
        <v>0</v>
      </c>
      <c r="CD234" s="510">
        <v>0</v>
      </c>
      <c r="CE234" s="1011">
        <v>0</v>
      </c>
      <c r="CF234" s="510">
        <v>59334.8</v>
      </c>
      <c r="CG234" s="1011">
        <v>0</v>
      </c>
      <c r="CH234" s="510">
        <v>0</v>
      </c>
      <c r="CI234" s="1011">
        <v>0</v>
      </c>
    </row>
    <row r="235" spans="1:87" x14ac:dyDescent="0.2">
      <c r="A235" s="449">
        <v>62</v>
      </c>
      <c r="B235" s="453">
        <v>19265</v>
      </c>
      <c r="C235" s="454" t="s">
        <v>3234</v>
      </c>
      <c r="D235" s="454" t="s">
        <v>2950</v>
      </c>
      <c r="E235" s="454" t="s">
        <v>3235</v>
      </c>
      <c r="F235" s="454" t="s">
        <v>523</v>
      </c>
      <c r="G235" s="454" t="s">
        <v>12707</v>
      </c>
      <c r="H235" s="455">
        <v>7492245000122</v>
      </c>
      <c r="I235" s="462">
        <v>38055</v>
      </c>
      <c r="J235" s="457">
        <v>34744673</v>
      </c>
      <c r="K235" s="454" t="s">
        <v>3236</v>
      </c>
      <c r="L235" s="458">
        <v>60</v>
      </c>
      <c r="M235" s="454" t="s">
        <v>3237</v>
      </c>
      <c r="N235" s="459">
        <v>8430810</v>
      </c>
      <c r="O235" s="460">
        <v>29602039</v>
      </c>
      <c r="P235" s="462">
        <v>261699</v>
      </c>
      <c r="Q235" s="462">
        <v>62</v>
      </c>
      <c r="R235" s="462">
        <v>43921</v>
      </c>
      <c r="S235" s="463">
        <v>1021</v>
      </c>
      <c r="T235" s="464">
        <v>5.4</v>
      </c>
      <c r="U235" s="465">
        <v>5513.4</v>
      </c>
      <c r="V235" s="465">
        <v>20340</v>
      </c>
      <c r="W235" s="466">
        <v>0</v>
      </c>
      <c r="X235" s="467">
        <v>1</v>
      </c>
      <c r="Y235" s="466">
        <v>44882.1</v>
      </c>
      <c r="Z235" s="468" t="s">
        <v>516</v>
      </c>
      <c r="AA235" s="466">
        <v>165885.29999999999</v>
      </c>
      <c r="AB235" s="466">
        <v>165885.29999999999</v>
      </c>
      <c r="AC235" s="467">
        <v>0</v>
      </c>
      <c r="AD235" s="466">
        <v>0</v>
      </c>
      <c r="AE235" s="468" t="s">
        <v>516</v>
      </c>
      <c r="AF235" s="466">
        <v>1400</v>
      </c>
      <c r="AG235" s="466">
        <v>1400</v>
      </c>
      <c r="AH235" s="466">
        <v>23650.82</v>
      </c>
      <c r="AI235" s="466">
        <v>8247.09</v>
      </c>
      <c r="AJ235" s="469" t="s">
        <v>1395</v>
      </c>
      <c r="AK235" s="470" t="s">
        <v>523</v>
      </c>
      <c r="AL235" s="471" t="s">
        <v>3238</v>
      </c>
      <c r="AM235" s="470" t="s">
        <v>12708</v>
      </c>
      <c r="AN235" s="470" t="s">
        <v>1385</v>
      </c>
      <c r="AO235" s="470" t="s">
        <v>3239</v>
      </c>
      <c r="AP235" s="470" t="s">
        <v>3240</v>
      </c>
      <c r="AQ235" s="470" t="s">
        <v>3234</v>
      </c>
      <c r="AR235" s="472" t="s">
        <v>515</v>
      </c>
      <c r="AS235" s="473" t="s">
        <v>1385</v>
      </c>
      <c r="AT235" s="472" t="s">
        <v>2950</v>
      </c>
      <c r="AU235" s="472" t="s">
        <v>420</v>
      </c>
      <c r="AV235" s="472">
        <v>2020</v>
      </c>
      <c r="AW235" s="474" t="s">
        <v>15078</v>
      </c>
      <c r="AX235" s="475" t="s">
        <v>15079</v>
      </c>
      <c r="AY235" s="515">
        <v>1</v>
      </c>
      <c r="AZ235" s="474" t="s">
        <v>15079</v>
      </c>
      <c r="BA235" s="472" t="s">
        <v>2950</v>
      </c>
      <c r="BB235" s="472" t="s">
        <v>516</v>
      </c>
      <c r="BC235" s="472">
        <v>3</v>
      </c>
      <c r="BD235" s="472">
        <v>4068</v>
      </c>
      <c r="BE235" s="472">
        <v>0</v>
      </c>
      <c r="BF235" s="472">
        <v>44882.1</v>
      </c>
      <c r="BG235" s="472">
        <v>0</v>
      </c>
      <c r="BH235" s="472" t="s">
        <v>1385</v>
      </c>
      <c r="BI235" s="510">
        <v>0</v>
      </c>
      <c r="BJ235" s="510">
        <v>0</v>
      </c>
      <c r="BK235" s="510">
        <v>0</v>
      </c>
      <c r="BL235" s="510">
        <v>0</v>
      </c>
      <c r="BM235" s="510">
        <v>0</v>
      </c>
      <c r="BN235" s="510">
        <v>5000</v>
      </c>
      <c r="BO235" s="510">
        <v>600</v>
      </c>
      <c r="BP235" s="510">
        <v>1400</v>
      </c>
      <c r="BQ235" s="510">
        <v>0</v>
      </c>
      <c r="BR235" s="510">
        <v>0</v>
      </c>
      <c r="BS235" s="510">
        <v>0</v>
      </c>
      <c r="BT235" s="510">
        <v>0</v>
      </c>
      <c r="BU235" s="510">
        <v>0</v>
      </c>
      <c r="BV235" s="510">
        <v>0</v>
      </c>
      <c r="BW235" s="510">
        <v>0</v>
      </c>
      <c r="BX235" s="510">
        <v>30000</v>
      </c>
      <c r="BY235" s="1011">
        <v>0</v>
      </c>
      <c r="BZ235" s="510">
        <v>0</v>
      </c>
      <c r="CA235" s="1011">
        <v>0</v>
      </c>
      <c r="CB235" s="510">
        <v>22000</v>
      </c>
      <c r="CC235" s="1011">
        <v>0</v>
      </c>
      <c r="CD235" s="510">
        <v>0</v>
      </c>
      <c r="CE235" s="1011">
        <v>0</v>
      </c>
      <c r="CF235" s="510">
        <v>68403.199999999997</v>
      </c>
      <c r="CG235" s="1011">
        <v>0</v>
      </c>
      <c r="CH235" s="510">
        <v>0</v>
      </c>
      <c r="CI235" s="1011">
        <v>0</v>
      </c>
    </row>
    <row r="236" spans="1:87" x14ac:dyDescent="0.2">
      <c r="A236" s="449">
        <v>58</v>
      </c>
      <c r="B236" s="453">
        <v>19266</v>
      </c>
      <c r="C236" s="454" t="s">
        <v>3241</v>
      </c>
      <c r="D236" s="454" t="s">
        <v>2950</v>
      </c>
      <c r="E236" s="454" t="s">
        <v>3242</v>
      </c>
      <c r="F236" s="454" t="s">
        <v>524</v>
      </c>
      <c r="G236" s="454" t="s">
        <v>12709</v>
      </c>
      <c r="H236" s="455">
        <v>7130715000108</v>
      </c>
      <c r="I236" s="462">
        <v>38161</v>
      </c>
      <c r="J236" s="457">
        <v>37499718</v>
      </c>
      <c r="K236" s="454" t="s">
        <v>3244</v>
      </c>
      <c r="L236" s="458">
        <v>111</v>
      </c>
      <c r="M236" s="454" t="s">
        <v>3245</v>
      </c>
      <c r="N236" s="459">
        <v>4240110</v>
      </c>
      <c r="O236" s="460">
        <v>29452535</v>
      </c>
      <c r="P236" s="462">
        <v>201122</v>
      </c>
      <c r="Q236" s="462">
        <v>65</v>
      </c>
      <c r="R236" s="462">
        <v>43906</v>
      </c>
      <c r="S236" s="463">
        <v>745</v>
      </c>
      <c r="T236" s="464">
        <v>5.4</v>
      </c>
      <c r="U236" s="465">
        <v>4023</v>
      </c>
      <c r="V236" s="465">
        <v>18720</v>
      </c>
      <c r="W236" s="466">
        <v>0</v>
      </c>
      <c r="X236" s="467">
        <v>1</v>
      </c>
      <c r="Y236" s="466">
        <v>34114.5</v>
      </c>
      <c r="Z236" s="468" t="s">
        <v>516</v>
      </c>
      <c r="AA236" s="466">
        <v>148980.5</v>
      </c>
      <c r="AB236" s="466">
        <v>148980.5</v>
      </c>
      <c r="AC236" s="467">
        <v>0</v>
      </c>
      <c r="AD236" s="466">
        <v>0</v>
      </c>
      <c r="AE236" s="468" t="s">
        <v>516</v>
      </c>
      <c r="AF236" s="466">
        <v>2000</v>
      </c>
      <c r="AG236" s="466">
        <v>2000</v>
      </c>
      <c r="AH236" s="466">
        <v>33464.9</v>
      </c>
      <c r="AI236" s="466">
        <v>4823.37</v>
      </c>
      <c r="AJ236" s="469" t="s">
        <v>1759</v>
      </c>
      <c r="AK236" s="470" t="s">
        <v>1760</v>
      </c>
      <c r="AL236" s="471" t="s">
        <v>3246</v>
      </c>
      <c r="AM236" s="470" t="s">
        <v>15146</v>
      </c>
      <c r="AN236" s="470" t="s">
        <v>3243</v>
      </c>
      <c r="AO236" s="470" t="s">
        <v>12710</v>
      </c>
      <c r="AP236" s="470" t="s">
        <v>3247</v>
      </c>
      <c r="AQ236" s="470" t="s">
        <v>3241</v>
      </c>
      <c r="AR236" s="472" t="s">
        <v>515</v>
      </c>
      <c r="AS236" s="473" t="s">
        <v>1385</v>
      </c>
      <c r="AT236" s="472" t="s">
        <v>2950</v>
      </c>
      <c r="AU236" s="472" t="s">
        <v>420</v>
      </c>
      <c r="AV236" s="472">
        <v>2020</v>
      </c>
      <c r="AW236" s="474" t="s">
        <v>15078</v>
      </c>
      <c r="AX236" s="475" t="s">
        <v>15079</v>
      </c>
      <c r="AY236" s="515">
        <v>1</v>
      </c>
      <c r="AZ236" s="474" t="s">
        <v>15079</v>
      </c>
      <c r="BA236" s="472" t="s">
        <v>2950</v>
      </c>
      <c r="BB236" s="472" t="s">
        <v>1385</v>
      </c>
      <c r="BC236" s="472" t="s">
        <v>1385</v>
      </c>
      <c r="BD236" s="472" t="s">
        <v>1385</v>
      </c>
      <c r="BE236" s="472" t="s">
        <v>1385</v>
      </c>
      <c r="BF236" s="472">
        <v>34114.5</v>
      </c>
      <c r="BG236" s="472">
        <v>0</v>
      </c>
      <c r="BH236" s="472" t="s">
        <v>1385</v>
      </c>
      <c r="BI236" s="510">
        <v>0</v>
      </c>
      <c r="BJ236" s="510">
        <v>0</v>
      </c>
      <c r="BK236" s="510">
        <v>0</v>
      </c>
      <c r="BL236" s="510">
        <v>0</v>
      </c>
      <c r="BM236" s="510">
        <v>0</v>
      </c>
      <c r="BN236" s="510">
        <v>5000</v>
      </c>
      <c r="BO236" s="510">
        <v>0</v>
      </c>
      <c r="BP236" s="510">
        <v>2000</v>
      </c>
      <c r="BQ236" s="510">
        <v>0</v>
      </c>
      <c r="BR236" s="510">
        <v>0</v>
      </c>
      <c r="BS236" s="510">
        <v>0</v>
      </c>
      <c r="BT236" s="510">
        <v>0</v>
      </c>
      <c r="BU236" s="510">
        <v>2500</v>
      </c>
      <c r="BV236" s="510">
        <v>2500</v>
      </c>
      <c r="BW236" s="510">
        <v>0</v>
      </c>
      <c r="BX236" s="510">
        <v>30000</v>
      </c>
      <c r="BY236" s="1011">
        <v>0</v>
      </c>
      <c r="BZ236" s="510">
        <v>0</v>
      </c>
      <c r="CA236" s="1011">
        <v>0</v>
      </c>
      <c r="CB236" s="510">
        <v>22000</v>
      </c>
      <c r="CC236" s="1011">
        <v>0</v>
      </c>
      <c r="CD236" s="510">
        <v>0</v>
      </c>
      <c r="CE236" s="1011">
        <v>0</v>
      </c>
      <c r="CF236" s="510">
        <v>62866</v>
      </c>
      <c r="CG236" s="1011">
        <v>0</v>
      </c>
      <c r="CH236" s="510">
        <v>0</v>
      </c>
      <c r="CI236" s="1011">
        <v>0</v>
      </c>
    </row>
    <row r="237" spans="1:87" x14ac:dyDescent="0.2">
      <c r="A237" s="449">
        <v>85</v>
      </c>
      <c r="B237" s="453">
        <v>19267</v>
      </c>
      <c r="C237" s="454" t="s">
        <v>3248</v>
      </c>
      <c r="D237" s="454" t="s">
        <v>517</v>
      </c>
      <c r="E237" s="454" t="s">
        <v>3249</v>
      </c>
      <c r="F237" s="454" t="s">
        <v>520</v>
      </c>
      <c r="G237" s="454" t="s">
        <v>12711</v>
      </c>
      <c r="H237" s="455">
        <v>3089104000102</v>
      </c>
      <c r="I237" s="462">
        <v>36231</v>
      </c>
      <c r="J237" s="457">
        <v>37627775</v>
      </c>
      <c r="K237" s="454" t="s">
        <v>3251</v>
      </c>
      <c r="L237" s="458">
        <v>30</v>
      </c>
      <c r="M237" s="454" t="s">
        <v>3252</v>
      </c>
      <c r="N237" s="459">
        <v>5857530</v>
      </c>
      <c r="O237" s="460">
        <v>58214104</v>
      </c>
      <c r="P237" s="462">
        <v>301690</v>
      </c>
      <c r="Q237" s="462">
        <v>150</v>
      </c>
      <c r="R237" s="462">
        <v>43979</v>
      </c>
      <c r="S237" s="463">
        <v>1072</v>
      </c>
      <c r="T237" s="464">
        <v>5.4</v>
      </c>
      <c r="U237" s="465">
        <v>5788.8</v>
      </c>
      <c r="V237" s="465">
        <v>20340</v>
      </c>
      <c r="W237" s="466">
        <v>0</v>
      </c>
      <c r="X237" s="467">
        <v>1</v>
      </c>
      <c r="Y237" s="466">
        <v>39193.199999999997</v>
      </c>
      <c r="Z237" s="468" t="s">
        <v>516</v>
      </c>
      <c r="AA237" s="466">
        <v>143375.6</v>
      </c>
      <c r="AB237" s="466">
        <v>143375.6</v>
      </c>
      <c r="AC237" s="467">
        <v>0</v>
      </c>
      <c r="AD237" s="466">
        <v>0</v>
      </c>
      <c r="AE237" s="468" t="s">
        <v>516</v>
      </c>
      <c r="AF237" s="466">
        <v>1600</v>
      </c>
      <c r="AG237" s="466">
        <v>1600</v>
      </c>
      <c r="AH237" s="466">
        <v>24490.32</v>
      </c>
      <c r="AI237" s="466">
        <v>11025.74</v>
      </c>
      <c r="AJ237" s="469" t="s">
        <v>1470</v>
      </c>
      <c r="AK237" s="470" t="s">
        <v>1471</v>
      </c>
      <c r="AL237" s="471" t="s">
        <v>3253</v>
      </c>
      <c r="AM237" s="470" t="s">
        <v>3254</v>
      </c>
      <c r="AN237" s="470" t="s">
        <v>3250</v>
      </c>
      <c r="AO237" s="470" t="s">
        <v>3255</v>
      </c>
      <c r="AP237" s="470" t="s">
        <v>3256</v>
      </c>
      <c r="AQ237" s="470" t="s">
        <v>3248</v>
      </c>
      <c r="AR237" s="472" t="s">
        <v>515</v>
      </c>
      <c r="AS237" s="473" t="s">
        <v>1385</v>
      </c>
      <c r="AT237" s="472" t="s">
        <v>517</v>
      </c>
      <c r="AU237" s="472" t="s">
        <v>420</v>
      </c>
      <c r="AV237" s="472">
        <v>2020</v>
      </c>
      <c r="AW237" s="474" t="s">
        <v>15078</v>
      </c>
      <c r="AX237" s="475" t="s">
        <v>15079</v>
      </c>
      <c r="AY237" s="515">
        <v>1</v>
      </c>
      <c r="AZ237" s="474" t="s">
        <v>15079</v>
      </c>
      <c r="BA237" s="472" t="s">
        <v>517</v>
      </c>
      <c r="BB237" s="472" t="s">
        <v>1385</v>
      </c>
      <c r="BC237" s="472" t="s">
        <v>1385</v>
      </c>
      <c r="BD237" s="472" t="s">
        <v>1385</v>
      </c>
      <c r="BE237" s="472" t="s">
        <v>1385</v>
      </c>
      <c r="BF237" s="472">
        <v>39193.199999999997</v>
      </c>
      <c r="BG237" s="472">
        <v>0</v>
      </c>
      <c r="BH237" s="472" t="s">
        <v>1385</v>
      </c>
      <c r="BI237" s="510">
        <v>0</v>
      </c>
      <c r="BJ237" s="510">
        <v>0</v>
      </c>
      <c r="BK237" s="510">
        <v>0</v>
      </c>
      <c r="BL237" s="510">
        <v>3500</v>
      </c>
      <c r="BM237" s="510">
        <v>0</v>
      </c>
      <c r="BN237" s="510">
        <v>5000</v>
      </c>
      <c r="BO237" s="510">
        <v>400</v>
      </c>
      <c r="BP237" s="510">
        <v>1600</v>
      </c>
      <c r="BQ237" s="510">
        <v>0</v>
      </c>
      <c r="BR237" s="510">
        <v>0</v>
      </c>
      <c r="BS237" s="510">
        <v>0</v>
      </c>
      <c r="BT237" s="510">
        <v>0</v>
      </c>
      <c r="BU237" s="510">
        <v>2500</v>
      </c>
      <c r="BV237" s="510">
        <v>2500</v>
      </c>
      <c r="BW237" s="510">
        <v>0</v>
      </c>
      <c r="BX237" s="510">
        <v>30000</v>
      </c>
      <c r="BY237" s="1011">
        <v>0</v>
      </c>
      <c r="BZ237" s="510">
        <v>0</v>
      </c>
      <c r="CA237" s="1011">
        <v>0</v>
      </c>
      <c r="CB237" s="510">
        <v>22000</v>
      </c>
      <c r="CC237" s="1011">
        <v>0</v>
      </c>
      <c r="CD237" s="510">
        <v>0</v>
      </c>
      <c r="CE237" s="1011">
        <v>0</v>
      </c>
      <c r="CF237" s="510">
        <v>51782.400000000001</v>
      </c>
      <c r="CG237" s="1011">
        <v>0</v>
      </c>
      <c r="CH237" s="510">
        <v>0</v>
      </c>
      <c r="CI237" s="1011">
        <v>0</v>
      </c>
    </row>
    <row r="238" spans="1:87" x14ac:dyDescent="0.2">
      <c r="A238" s="449">
        <v>84</v>
      </c>
      <c r="B238" s="453">
        <v>19269</v>
      </c>
      <c r="C238" s="454" t="s">
        <v>3257</v>
      </c>
      <c r="D238" s="454" t="s">
        <v>2950</v>
      </c>
      <c r="E238" s="454" t="s">
        <v>3258</v>
      </c>
      <c r="F238" s="454" t="s">
        <v>526</v>
      </c>
      <c r="G238" s="454" t="s">
        <v>12712</v>
      </c>
      <c r="H238" s="455">
        <v>7457055000174</v>
      </c>
      <c r="I238" s="462">
        <v>38525</v>
      </c>
      <c r="J238" s="457">
        <v>37476980</v>
      </c>
      <c r="K238" s="454" t="s">
        <v>2002</v>
      </c>
      <c r="L238" s="458">
        <v>141</v>
      </c>
      <c r="M238" s="454" t="s">
        <v>2003</v>
      </c>
      <c r="N238" s="459">
        <v>8062590</v>
      </c>
      <c r="O238" s="460">
        <v>20454224</v>
      </c>
      <c r="P238" s="462">
        <v>204300</v>
      </c>
      <c r="Q238" s="462">
        <v>84</v>
      </c>
      <c r="R238" s="462">
        <v>43928</v>
      </c>
      <c r="S238" s="463">
        <v>594</v>
      </c>
      <c r="T238" s="464">
        <v>5.4</v>
      </c>
      <c r="U238" s="465">
        <v>3207.6</v>
      </c>
      <c r="V238" s="465">
        <v>17100</v>
      </c>
      <c r="W238" s="466">
        <v>0</v>
      </c>
      <c r="X238" s="467">
        <v>1</v>
      </c>
      <c r="Y238" s="466">
        <v>30461.4</v>
      </c>
      <c r="Z238" s="468" t="s">
        <v>516</v>
      </c>
      <c r="AA238" s="466">
        <v>139571</v>
      </c>
      <c r="AB238" s="466">
        <v>139571</v>
      </c>
      <c r="AC238" s="467">
        <v>0</v>
      </c>
      <c r="AD238" s="466">
        <v>0</v>
      </c>
      <c r="AE238" s="468" t="s">
        <v>516</v>
      </c>
      <c r="AF238" s="466">
        <v>0</v>
      </c>
      <c r="AG238" s="466">
        <v>0</v>
      </c>
      <c r="AH238" s="466">
        <v>14188.14</v>
      </c>
      <c r="AI238" s="466">
        <v>11918.25</v>
      </c>
      <c r="AJ238" s="469" t="s">
        <v>2004</v>
      </c>
      <c r="AK238" s="470" t="s">
        <v>2005</v>
      </c>
      <c r="AL238" s="471" t="s">
        <v>3259</v>
      </c>
      <c r="AM238" s="470" t="s">
        <v>12713</v>
      </c>
      <c r="AN238" s="470" t="s">
        <v>1385</v>
      </c>
      <c r="AO238" s="470" t="s">
        <v>12714</v>
      </c>
      <c r="AP238" s="470" t="s">
        <v>3260</v>
      </c>
      <c r="AQ238" s="470" t="s">
        <v>3257</v>
      </c>
      <c r="AR238" s="472" t="s">
        <v>515</v>
      </c>
      <c r="AS238" s="473" t="s">
        <v>1385</v>
      </c>
      <c r="AT238" s="472" t="s">
        <v>2950</v>
      </c>
      <c r="AU238" s="472" t="s">
        <v>420</v>
      </c>
      <c r="AV238" s="472">
        <v>2020</v>
      </c>
      <c r="AW238" s="474" t="s">
        <v>15078</v>
      </c>
      <c r="AX238" s="475" t="s">
        <v>15079</v>
      </c>
      <c r="AY238" s="515">
        <v>1</v>
      </c>
      <c r="AZ238" s="474" t="s">
        <v>15079</v>
      </c>
      <c r="BA238" s="472" t="s">
        <v>2950</v>
      </c>
      <c r="BB238" s="472" t="s">
        <v>1385</v>
      </c>
      <c r="BC238" s="472" t="s">
        <v>1385</v>
      </c>
      <c r="BD238" s="472" t="s">
        <v>1385</v>
      </c>
      <c r="BE238" s="472" t="s">
        <v>1385</v>
      </c>
      <c r="BF238" s="472">
        <v>30461.4</v>
      </c>
      <c r="BG238" s="472">
        <v>0</v>
      </c>
      <c r="BH238" s="472" t="s">
        <v>1385</v>
      </c>
      <c r="BI238" s="510">
        <v>0</v>
      </c>
      <c r="BJ238" s="510">
        <v>0</v>
      </c>
      <c r="BK238" s="510">
        <v>0</v>
      </c>
      <c r="BL238" s="510">
        <v>574</v>
      </c>
      <c r="BM238" s="510">
        <v>0</v>
      </c>
      <c r="BN238" s="510">
        <v>3500</v>
      </c>
      <c r="BO238" s="510">
        <v>0</v>
      </c>
      <c r="BP238" s="510">
        <v>0</v>
      </c>
      <c r="BQ238" s="510">
        <v>0</v>
      </c>
      <c r="BR238" s="510">
        <v>0</v>
      </c>
      <c r="BS238" s="510">
        <v>0</v>
      </c>
      <c r="BT238" s="510">
        <v>0</v>
      </c>
      <c r="BU238" s="510">
        <v>2500</v>
      </c>
      <c r="BV238" s="510">
        <v>2500</v>
      </c>
      <c r="BW238" s="510">
        <v>0</v>
      </c>
      <c r="BX238" s="510">
        <v>30000</v>
      </c>
      <c r="BY238" s="1011">
        <v>0</v>
      </c>
      <c r="BZ238" s="510">
        <v>0</v>
      </c>
      <c r="CA238" s="1011">
        <v>0</v>
      </c>
      <c r="CB238" s="510">
        <v>22000</v>
      </c>
      <c r="CC238" s="1011">
        <v>0</v>
      </c>
      <c r="CD238" s="510">
        <v>0</v>
      </c>
      <c r="CE238" s="1011">
        <v>0</v>
      </c>
      <c r="CF238" s="510">
        <v>57109.599999999999</v>
      </c>
      <c r="CG238" s="1011">
        <v>0</v>
      </c>
      <c r="CH238" s="510">
        <v>0</v>
      </c>
      <c r="CI238" s="1011">
        <v>0</v>
      </c>
    </row>
    <row r="239" spans="1:87" x14ac:dyDescent="0.2">
      <c r="A239" s="449">
        <v>84</v>
      </c>
      <c r="B239" s="453">
        <v>19271</v>
      </c>
      <c r="C239" s="454" t="s">
        <v>3261</v>
      </c>
      <c r="D239" s="454" t="s">
        <v>2950</v>
      </c>
      <c r="E239" s="454" t="s">
        <v>3262</v>
      </c>
      <c r="F239" s="454" t="s">
        <v>528</v>
      </c>
      <c r="G239" s="454" t="s">
        <v>12715</v>
      </c>
      <c r="H239" s="455">
        <v>7452751000198</v>
      </c>
      <c r="I239" s="462">
        <v>38485</v>
      </c>
      <c r="J239" s="457">
        <v>37375288</v>
      </c>
      <c r="K239" s="454" t="s">
        <v>3263</v>
      </c>
      <c r="L239" s="458">
        <v>226</v>
      </c>
      <c r="M239" s="454" t="s">
        <v>1728</v>
      </c>
      <c r="N239" s="459">
        <v>5185420</v>
      </c>
      <c r="O239" s="460">
        <v>38483950</v>
      </c>
      <c r="P239" s="462">
        <v>237933</v>
      </c>
      <c r="Q239" s="462">
        <v>84</v>
      </c>
      <c r="R239" s="462">
        <v>43938</v>
      </c>
      <c r="S239" s="463">
        <v>988</v>
      </c>
      <c r="T239" s="464">
        <v>5.4</v>
      </c>
      <c r="U239" s="465">
        <v>5335.2</v>
      </c>
      <c r="V239" s="465">
        <v>20340</v>
      </c>
      <c r="W239" s="466">
        <v>0</v>
      </c>
      <c r="X239" s="467">
        <v>1</v>
      </c>
      <c r="Y239" s="466">
        <v>38512.800000000003</v>
      </c>
      <c r="Z239" s="468" t="s">
        <v>516</v>
      </c>
      <c r="AA239" s="466">
        <v>160442</v>
      </c>
      <c r="AB239" s="466">
        <v>160442</v>
      </c>
      <c r="AC239" s="467">
        <v>0</v>
      </c>
      <c r="AD239" s="466">
        <v>0</v>
      </c>
      <c r="AE239" s="468" t="s">
        <v>516</v>
      </c>
      <c r="AF239" s="466">
        <v>0</v>
      </c>
      <c r="AG239" s="466">
        <v>0</v>
      </c>
      <c r="AH239" s="466">
        <v>23851.24</v>
      </c>
      <c r="AI239" s="466">
        <v>13340.98</v>
      </c>
      <c r="AJ239" s="469" t="s">
        <v>1571</v>
      </c>
      <c r="AK239" s="470" t="s">
        <v>528</v>
      </c>
      <c r="AL239" s="471" t="s">
        <v>3264</v>
      </c>
      <c r="AM239" s="470" t="s">
        <v>3265</v>
      </c>
      <c r="AN239" s="470" t="s">
        <v>3266</v>
      </c>
      <c r="AO239" s="470" t="s">
        <v>12716</v>
      </c>
      <c r="AP239" s="470" t="s">
        <v>3267</v>
      </c>
      <c r="AQ239" s="470" t="s">
        <v>3261</v>
      </c>
      <c r="AR239" s="472" t="s">
        <v>515</v>
      </c>
      <c r="AS239" s="473" t="s">
        <v>1385</v>
      </c>
      <c r="AT239" s="472" t="s">
        <v>2950</v>
      </c>
      <c r="AU239" s="472" t="s">
        <v>420</v>
      </c>
      <c r="AV239" s="472">
        <v>2020</v>
      </c>
      <c r="AW239" s="474" t="s">
        <v>15078</v>
      </c>
      <c r="AX239" s="475" t="s">
        <v>15079</v>
      </c>
      <c r="AY239" s="515">
        <v>1</v>
      </c>
      <c r="AZ239" s="474" t="s">
        <v>15079</v>
      </c>
      <c r="BA239" s="472" t="s">
        <v>2950</v>
      </c>
      <c r="BB239" s="472" t="s">
        <v>1385</v>
      </c>
      <c r="BC239" s="472" t="s">
        <v>1385</v>
      </c>
      <c r="BD239" s="472" t="s">
        <v>1385</v>
      </c>
      <c r="BE239" s="472" t="s">
        <v>1385</v>
      </c>
      <c r="BF239" s="472">
        <v>38512.800000000003</v>
      </c>
      <c r="BG239" s="472">
        <v>0</v>
      </c>
      <c r="BH239" s="472" t="s">
        <v>1385</v>
      </c>
      <c r="BI239" s="510">
        <v>0</v>
      </c>
      <c r="BJ239" s="510">
        <v>0</v>
      </c>
      <c r="BK239" s="510">
        <v>0</v>
      </c>
      <c r="BL239" s="510">
        <v>2229.16</v>
      </c>
      <c r="BM239" s="510">
        <v>0</v>
      </c>
      <c r="BN239" s="510">
        <v>5000</v>
      </c>
      <c r="BO239" s="510">
        <v>0</v>
      </c>
      <c r="BP239" s="510">
        <v>0</v>
      </c>
      <c r="BQ239" s="510">
        <v>0</v>
      </c>
      <c r="BR239" s="510">
        <v>0</v>
      </c>
      <c r="BS239" s="510">
        <v>0</v>
      </c>
      <c r="BT239" s="510">
        <v>0</v>
      </c>
      <c r="BU239" s="510">
        <v>2500</v>
      </c>
      <c r="BV239" s="510">
        <v>2500</v>
      </c>
      <c r="BW239" s="510">
        <v>0</v>
      </c>
      <c r="BX239" s="510">
        <v>30000</v>
      </c>
      <c r="BY239" s="1011">
        <v>0</v>
      </c>
      <c r="BZ239" s="510">
        <v>0</v>
      </c>
      <c r="CA239" s="1011">
        <v>0</v>
      </c>
      <c r="CB239" s="510">
        <v>22000</v>
      </c>
      <c r="CC239" s="1011">
        <v>0</v>
      </c>
      <c r="CD239" s="510">
        <v>0</v>
      </c>
      <c r="CE239" s="1011">
        <v>0</v>
      </c>
      <c r="CF239" s="510">
        <v>69929.2</v>
      </c>
      <c r="CG239" s="1011">
        <v>0</v>
      </c>
      <c r="CH239" s="510">
        <v>0</v>
      </c>
      <c r="CI239" s="1011">
        <v>0</v>
      </c>
    </row>
    <row r="240" spans="1:87" x14ac:dyDescent="0.2">
      <c r="A240" s="449">
        <v>85</v>
      </c>
      <c r="B240" s="453">
        <v>19272</v>
      </c>
      <c r="C240" s="454" t="s">
        <v>3268</v>
      </c>
      <c r="D240" s="454" t="s">
        <v>2950</v>
      </c>
      <c r="E240" s="454" t="s">
        <v>3269</v>
      </c>
      <c r="F240" s="454" t="s">
        <v>528</v>
      </c>
      <c r="G240" s="454" t="s">
        <v>12717</v>
      </c>
      <c r="H240" s="455">
        <v>7034828000100</v>
      </c>
      <c r="I240" s="462">
        <v>38170</v>
      </c>
      <c r="J240" s="457">
        <v>37373188</v>
      </c>
      <c r="K240" s="454" t="s">
        <v>3270</v>
      </c>
      <c r="L240" s="458" t="s">
        <v>1446</v>
      </c>
      <c r="M240" s="454" t="s">
        <v>3271</v>
      </c>
      <c r="N240" s="459">
        <v>5203200</v>
      </c>
      <c r="O240" s="460">
        <v>39158732</v>
      </c>
      <c r="P240" s="462">
        <v>258809</v>
      </c>
      <c r="Q240" s="462">
        <v>85</v>
      </c>
      <c r="R240" s="462">
        <v>43938</v>
      </c>
      <c r="S240" s="463">
        <v>823</v>
      </c>
      <c r="T240" s="464">
        <v>5.4</v>
      </c>
      <c r="U240" s="465">
        <v>4444.2</v>
      </c>
      <c r="V240" s="465">
        <v>18720</v>
      </c>
      <c r="W240" s="466">
        <v>0</v>
      </c>
      <c r="X240" s="467">
        <v>1</v>
      </c>
      <c r="Y240" s="466">
        <v>34746.300000000003</v>
      </c>
      <c r="Z240" s="468" t="s">
        <v>516</v>
      </c>
      <c r="AA240" s="466">
        <v>152305.1</v>
      </c>
      <c r="AB240" s="466">
        <v>152305.1</v>
      </c>
      <c r="AC240" s="467">
        <v>0</v>
      </c>
      <c r="AD240" s="466">
        <v>0</v>
      </c>
      <c r="AE240" s="468" t="s">
        <v>516</v>
      </c>
      <c r="AF240" s="466">
        <v>0</v>
      </c>
      <c r="AG240" s="466">
        <v>0</v>
      </c>
      <c r="AH240" s="466">
        <v>29674.959999999999</v>
      </c>
      <c r="AI240" s="466">
        <v>12523.45</v>
      </c>
      <c r="AJ240" s="469" t="s">
        <v>1571</v>
      </c>
      <c r="AK240" s="470" t="s">
        <v>528</v>
      </c>
      <c r="AL240" s="471" t="s">
        <v>3272</v>
      </c>
      <c r="AM240" s="470" t="s">
        <v>12718</v>
      </c>
      <c r="AN240" s="470" t="s">
        <v>1385</v>
      </c>
      <c r="AO240" s="470" t="s">
        <v>3273</v>
      </c>
      <c r="AP240" s="470" t="s">
        <v>2241</v>
      </c>
      <c r="AQ240" s="470" t="s">
        <v>3268</v>
      </c>
      <c r="AR240" s="472" t="s">
        <v>515</v>
      </c>
      <c r="AS240" s="473" t="s">
        <v>1385</v>
      </c>
      <c r="AT240" s="472" t="s">
        <v>2950</v>
      </c>
      <c r="AU240" s="472" t="s">
        <v>420</v>
      </c>
      <c r="AV240" s="472">
        <v>2020</v>
      </c>
      <c r="AW240" s="474" t="s">
        <v>15078</v>
      </c>
      <c r="AX240" s="475" t="s">
        <v>15079</v>
      </c>
      <c r="AY240" s="515">
        <v>1</v>
      </c>
      <c r="AZ240" s="474" t="s">
        <v>15079</v>
      </c>
      <c r="BA240" s="472" t="s">
        <v>2950</v>
      </c>
      <c r="BB240" s="472" t="s">
        <v>1385</v>
      </c>
      <c r="BC240" s="472" t="s">
        <v>1385</v>
      </c>
      <c r="BD240" s="472" t="s">
        <v>1385</v>
      </c>
      <c r="BE240" s="472" t="s">
        <v>1385</v>
      </c>
      <c r="BF240" s="472">
        <v>34746.300000000003</v>
      </c>
      <c r="BG240" s="472">
        <v>0</v>
      </c>
      <c r="BH240" s="472" t="s">
        <v>1385</v>
      </c>
      <c r="BI240" s="510">
        <v>0</v>
      </c>
      <c r="BJ240" s="510">
        <v>0</v>
      </c>
      <c r="BK240" s="510">
        <v>0</v>
      </c>
      <c r="BL240" s="510">
        <v>1846.5</v>
      </c>
      <c r="BM240" s="510">
        <v>0</v>
      </c>
      <c r="BN240" s="510">
        <v>5000</v>
      </c>
      <c r="BO240" s="510">
        <v>0</v>
      </c>
      <c r="BP240" s="510">
        <v>0</v>
      </c>
      <c r="BQ240" s="510">
        <v>0</v>
      </c>
      <c r="BR240" s="510">
        <v>0</v>
      </c>
      <c r="BS240" s="510">
        <v>0</v>
      </c>
      <c r="BT240" s="510">
        <v>0</v>
      </c>
      <c r="BU240" s="510">
        <v>2500</v>
      </c>
      <c r="BV240" s="510">
        <v>2500</v>
      </c>
      <c r="BW240" s="510">
        <v>0</v>
      </c>
      <c r="BX240" s="510">
        <v>30000</v>
      </c>
      <c r="BY240" s="1011">
        <v>0</v>
      </c>
      <c r="BZ240" s="510">
        <v>0</v>
      </c>
      <c r="CA240" s="1011">
        <v>0</v>
      </c>
      <c r="CB240" s="510">
        <v>22000</v>
      </c>
      <c r="CC240" s="1011">
        <v>0</v>
      </c>
      <c r="CD240" s="510">
        <v>0</v>
      </c>
      <c r="CE240" s="1011">
        <v>0</v>
      </c>
      <c r="CF240" s="510">
        <v>65558.8</v>
      </c>
      <c r="CG240" s="1011">
        <v>0</v>
      </c>
      <c r="CH240" s="510">
        <v>0</v>
      </c>
      <c r="CI240" s="1011">
        <v>0</v>
      </c>
    </row>
    <row r="241" spans="1:87" x14ac:dyDescent="0.2">
      <c r="A241" s="449">
        <v>81</v>
      </c>
      <c r="B241" s="453">
        <v>19274</v>
      </c>
      <c r="C241" s="454" t="s">
        <v>3274</v>
      </c>
      <c r="D241" s="454" t="s">
        <v>2950</v>
      </c>
      <c r="E241" s="454" t="s">
        <v>3275</v>
      </c>
      <c r="F241" s="454" t="s">
        <v>513</v>
      </c>
      <c r="G241" s="454" t="s">
        <v>12719</v>
      </c>
      <c r="H241" s="455">
        <v>7481009000100</v>
      </c>
      <c r="I241" s="462">
        <v>38537</v>
      </c>
      <c r="J241" s="457">
        <v>37532529</v>
      </c>
      <c r="K241" s="454" t="s">
        <v>3276</v>
      </c>
      <c r="L241" s="458">
        <v>100</v>
      </c>
      <c r="M241" s="454" t="s">
        <v>3277</v>
      </c>
      <c r="N241" s="459">
        <v>8390000</v>
      </c>
      <c r="O241" s="460">
        <v>27511004</v>
      </c>
      <c r="P241" s="462">
        <v>150960</v>
      </c>
      <c r="Q241" s="462">
        <v>81</v>
      </c>
      <c r="R241" s="462">
        <v>43937</v>
      </c>
      <c r="S241" s="463">
        <v>952</v>
      </c>
      <c r="T241" s="464">
        <v>5.4</v>
      </c>
      <c r="U241" s="465">
        <v>5140.8</v>
      </c>
      <c r="V241" s="465">
        <v>20340</v>
      </c>
      <c r="W241" s="466">
        <v>0</v>
      </c>
      <c r="X241" s="467">
        <v>1</v>
      </c>
      <c r="Y241" s="466">
        <v>38221.199999999997</v>
      </c>
      <c r="Z241" s="468" t="s">
        <v>516</v>
      </c>
      <c r="AA241" s="466">
        <v>140794</v>
      </c>
      <c r="AB241" s="466">
        <v>140794</v>
      </c>
      <c r="AC241" s="467">
        <v>0</v>
      </c>
      <c r="AD241" s="466">
        <v>0</v>
      </c>
      <c r="AE241" s="468" t="s">
        <v>516</v>
      </c>
      <c r="AF241" s="466">
        <v>2000</v>
      </c>
      <c r="AG241" s="466">
        <v>2000</v>
      </c>
      <c r="AH241" s="466">
        <v>14340.13</v>
      </c>
      <c r="AI241" s="466">
        <v>11722.78</v>
      </c>
      <c r="AJ241" s="469" t="s">
        <v>2030</v>
      </c>
      <c r="AK241" s="470" t="s">
        <v>513</v>
      </c>
      <c r="AL241" s="471" t="s">
        <v>3278</v>
      </c>
      <c r="AM241" s="470" t="s">
        <v>3279</v>
      </c>
      <c r="AN241" s="470" t="s">
        <v>3280</v>
      </c>
      <c r="AO241" s="470" t="s">
        <v>3281</v>
      </c>
      <c r="AP241" s="470" t="s">
        <v>3282</v>
      </c>
      <c r="AQ241" s="470" t="s">
        <v>3274</v>
      </c>
      <c r="AR241" s="472" t="s">
        <v>515</v>
      </c>
      <c r="AS241" s="473" t="s">
        <v>1385</v>
      </c>
      <c r="AT241" s="472" t="s">
        <v>2950</v>
      </c>
      <c r="AU241" s="472" t="s">
        <v>420</v>
      </c>
      <c r="AV241" s="472">
        <v>2020</v>
      </c>
      <c r="AW241" s="474" t="s">
        <v>15078</v>
      </c>
      <c r="AX241" s="475" t="s">
        <v>15079</v>
      </c>
      <c r="AY241" s="515">
        <v>1</v>
      </c>
      <c r="AZ241" s="474" t="s">
        <v>15079</v>
      </c>
      <c r="BA241" s="472" t="s">
        <v>2950</v>
      </c>
      <c r="BB241" s="472" t="s">
        <v>1385</v>
      </c>
      <c r="BC241" s="472" t="s">
        <v>1385</v>
      </c>
      <c r="BD241" s="472" t="s">
        <v>1385</v>
      </c>
      <c r="BE241" s="472" t="s">
        <v>1385</v>
      </c>
      <c r="BF241" s="472">
        <v>38221.199999999997</v>
      </c>
      <c r="BG241" s="472">
        <v>0</v>
      </c>
      <c r="BH241" s="472" t="s">
        <v>1385</v>
      </c>
      <c r="BI241" s="510">
        <v>0</v>
      </c>
      <c r="BJ241" s="510">
        <v>0</v>
      </c>
      <c r="BK241" s="510">
        <v>0</v>
      </c>
      <c r="BL241" s="510">
        <v>3500</v>
      </c>
      <c r="BM241" s="510">
        <v>0</v>
      </c>
      <c r="BN241" s="510">
        <v>5000</v>
      </c>
      <c r="BO241" s="510">
        <v>0</v>
      </c>
      <c r="BP241" s="510">
        <v>2000</v>
      </c>
      <c r="BQ241" s="510">
        <v>0</v>
      </c>
      <c r="BR241" s="510">
        <v>0</v>
      </c>
      <c r="BS241" s="510">
        <v>0</v>
      </c>
      <c r="BT241" s="510">
        <v>0</v>
      </c>
      <c r="BU241" s="510">
        <v>2500</v>
      </c>
      <c r="BV241" s="510">
        <v>2500</v>
      </c>
      <c r="BW241" s="510">
        <v>0</v>
      </c>
      <c r="BX241" s="510">
        <v>30000</v>
      </c>
      <c r="BY241" s="1011">
        <v>0</v>
      </c>
      <c r="BZ241" s="510">
        <v>0</v>
      </c>
      <c r="CA241" s="1011">
        <v>0</v>
      </c>
      <c r="CB241" s="510">
        <v>22000</v>
      </c>
      <c r="CC241" s="1011">
        <v>0</v>
      </c>
      <c r="CD241" s="510">
        <v>0</v>
      </c>
      <c r="CE241" s="1011">
        <v>0</v>
      </c>
      <c r="CF241" s="510">
        <v>50572.800000000003</v>
      </c>
      <c r="CG241" s="1011">
        <v>0</v>
      </c>
      <c r="CH241" s="510">
        <v>0</v>
      </c>
      <c r="CI241" s="1011">
        <v>0</v>
      </c>
    </row>
    <row r="242" spans="1:87" x14ac:dyDescent="0.2">
      <c r="A242" s="449">
        <v>71</v>
      </c>
      <c r="B242" s="453">
        <v>19275</v>
      </c>
      <c r="C242" s="454" t="s">
        <v>3283</v>
      </c>
      <c r="D242" s="454" t="s">
        <v>517</v>
      </c>
      <c r="E242" s="454" t="s">
        <v>3283</v>
      </c>
      <c r="F242" s="454" t="s">
        <v>520</v>
      </c>
      <c r="G242" s="454" t="s">
        <v>12720</v>
      </c>
      <c r="H242" s="455">
        <v>3794768000172</v>
      </c>
      <c r="I242" s="462">
        <v>36609</v>
      </c>
      <c r="J242" s="457">
        <v>37620010</v>
      </c>
      <c r="K242" s="454" t="s">
        <v>3284</v>
      </c>
      <c r="L242" s="458">
        <v>200</v>
      </c>
      <c r="M242" s="454" t="s">
        <v>3285</v>
      </c>
      <c r="N242" s="459">
        <v>5728050</v>
      </c>
      <c r="O242" s="460">
        <v>37442024</v>
      </c>
      <c r="P242" s="462">
        <v>300937</v>
      </c>
      <c r="Q242" s="462">
        <v>136</v>
      </c>
      <c r="R242" s="462">
        <v>43979</v>
      </c>
      <c r="S242" s="463">
        <v>758</v>
      </c>
      <c r="T242" s="464">
        <v>5.4</v>
      </c>
      <c r="U242" s="465">
        <v>4093.2</v>
      </c>
      <c r="V242" s="465">
        <v>18720</v>
      </c>
      <c r="W242" s="466">
        <v>0</v>
      </c>
      <c r="X242" s="467">
        <v>1</v>
      </c>
      <c r="Y242" s="466">
        <v>34219.800000000003</v>
      </c>
      <c r="Z242" s="468" t="s">
        <v>516</v>
      </c>
      <c r="AA242" s="466">
        <v>132700.6</v>
      </c>
      <c r="AB242" s="466">
        <v>132700.6</v>
      </c>
      <c r="AC242" s="467">
        <v>0</v>
      </c>
      <c r="AD242" s="466">
        <v>0</v>
      </c>
      <c r="AE242" s="468" t="s">
        <v>516</v>
      </c>
      <c r="AF242" s="466">
        <v>800</v>
      </c>
      <c r="AG242" s="466">
        <v>800</v>
      </c>
      <c r="AH242" s="466">
        <v>24167.72</v>
      </c>
      <c r="AI242" s="466">
        <v>10052.790000000001</v>
      </c>
      <c r="AJ242" s="469" t="s">
        <v>1470</v>
      </c>
      <c r="AK242" s="470" t="s">
        <v>1471</v>
      </c>
      <c r="AL242" s="471" t="s">
        <v>3286</v>
      </c>
      <c r="AM242" s="470" t="s">
        <v>3287</v>
      </c>
      <c r="AN242" s="470" t="s">
        <v>3288</v>
      </c>
      <c r="AO242" s="470" t="s">
        <v>3289</v>
      </c>
      <c r="AP242" s="470" t="s">
        <v>3290</v>
      </c>
      <c r="AQ242" s="470" t="s">
        <v>3283</v>
      </c>
      <c r="AR242" s="472" t="s">
        <v>515</v>
      </c>
      <c r="AS242" s="473" t="s">
        <v>1385</v>
      </c>
      <c r="AT242" s="472" t="s">
        <v>517</v>
      </c>
      <c r="AU242" s="472" t="s">
        <v>420</v>
      </c>
      <c r="AV242" s="472">
        <v>2020</v>
      </c>
      <c r="AW242" s="474" t="s">
        <v>15078</v>
      </c>
      <c r="AX242" s="475" t="s">
        <v>15079</v>
      </c>
      <c r="AY242" s="515">
        <v>1</v>
      </c>
      <c r="AZ242" s="474" t="s">
        <v>15079</v>
      </c>
      <c r="BA242" s="472" t="s">
        <v>517</v>
      </c>
      <c r="BB242" s="472" t="s">
        <v>1385</v>
      </c>
      <c r="BC242" s="472" t="s">
        <v>1385</v>
      </c>
      <c r="BD242" s="472" t="s">
        <v>1385</v>
      </c>
      <c r="BE242" s="472" t="s">
        <v>1385</v>
      </c>
      <c r="BF242" s="472">
        <v>34219.800000000003</v>
      </c>
      <c r="BG242" s="472">
        <v>0</v>
      </c>
      <c r="BH242" s="472" t="s">
        <v>1385</v>
      </c>
      <c r="BI242" s="510">
        <v>0</v>
      </c>
      <c r="BJ242" s="510">
        <v>0</v>
      </c>
      <c r="BK242" s="510">
        <v>0</v>
      </c>
      <c r="BL242" s="510">
        <v>0</v>
      </c>
      <c r="BM242" s="510">
        <v>0</v>
      </c>
      <c r="BN242" s="510">
        <v>5000</v>
      </c>
      <c r="BO242" s="510">
        <v>1200</v>
      </c>
      <c r="BP242" s="510">
        <v>800</v>
      </c>
      <c r="BQ242" s="510">
        <v>0</v>
      </c>
      <c r="BR242" s="510">
        <v>0</v>
      </c>
      <c r="BS242" s="510">
        <v>0</v>
      </c>
      <c r="BT242" s="510">
        <v>0</v>
      </c>
      <c r="BU242" s="510">
        <v>2500</v>
      </c>
      <c r="BV242" s="510">
        <v>2500</v>
      </c>
      <c r="BW242" s="510">
        <v>0</v>
      </c>
      <c r="BX242" s="510">
        <v>30000</v>
      </c>
      <c r="BY242" s="1011">
        <v>0</v>
      </c>
      <c r="BZ242" s="510">
        <v>0</v>
      </c>
      <c r="CA242" s="1011">
        <v>0</v>
      </c>
      <c r="CB242" s="510">
        <v>22000</v>
      </c>
      <c r="CC242" s="1011">
        <v>0</v>
      </c>
      <c r="CD242" s="510">
        <v>0</v>
      </c>
      <c r="CE242" s="1011">
        <v>0</v>
      </c>
      <c r="CF242" s="510">
        <v>45280.800000000003</v>
      </c>
      <c r="CG242" s="1011">
        <v>0</v>
      </c>
      <c r="CH242" s="510">
        <v>0</v>
      </c>
      <c r="CI242" s="1011">
        <v>0</v>
      </c>
    </row>
    <row r="243" spans="1:87" x14ac:dyDescent="0.2">
      <c r="A243" s="449">
        <v>67</v>
      </c>
      <c r="B243" s="453">
        <v>19276</v>
      </c>
      <c r="C243" s="454" t="s">
        <v>3291</v>
      </c>
      <c r="D243" s="454" t="s">
        <v>2950</v>
      </c>
      <c r="E243" s="454" t="s">
        <v>3292</v>
      </c>
      <c r="F243" s="454" t="s">
        <v>521</v>
      </c>
      <c r="G243" s="454" t="s">
        <v>12721</v>
      </c>
      <c r="H243" s="455">
        <v>7347509000154</v>
      </c>
      <c r="I243" s="462">
        <v>38163</v>
      </c>
      <c r="J243" s="457">
        <v>37552155</v>
      </c>
      <c r="K243" s="454" t="s">
        <v>3293</v>
      </c>
      <c r="L243" s="458" t="s">
        <v>1446</v>
      </c>
      <c r="M243" s="454" t="s">
        <v>3294</v>
      </c>
      <c r="N243" s="459">
        <v>4853015</v>
      </c>
      <c r="O243" s="460">
        <v>59765632</v>
      </c>
      <c r="P243" s="462">
        <v>995420</v>
      </c>
      <c r="Q243" s="462">
        <v>71</v>
      </c>
      <c r="R243" s="462">
        <v>43934</v>
      </c>
      <c r="S243" s="463">
        <v>1080</v>
      </c>
      <c r="T243" s="464">
        <v>5.4</v>
      </c>
      <c r="U243" s="465">
        <v>5832</v>
      </c>
      <c r="V243" s="465">
        <v>20340</v>
      </c>
      <c r="W243" s="466">
        <v>0</v>
      </c>
      <c r="X243" s="467">
        <v>1</v>
      </c>
      <c r="Y243" s="466">
        <v>39258</v>
      </c>
      <c r="Z243" s="468" t="s">
        <v>516</v>
      </c>
      <c r="AA243" s="466">
        <v>162272.79999999999</v>
      </c>
      <c r="AB243" s="466">
        <v>162272.79999999999</v>
      </c>
      <c r="AC243" s="467">
        <v>0</v>
      </c>
      <c r="AD243" s="466">
        <v>0</v>
      </c>
      <c r="AE243" s="468" t="s">
        <v>516</v>
      </c>
      <c r="AF243" s="466">
        <v>1800</v>
      </c>
      <c r="AG243" s="466">
        <v>1800</v>
      </c>
      <c r="AH243" s="466">
        <v>19707.349999999999</v>
      </c>
      <c r="AI243" s="466">
        <v>18071.419999999998</v>
      </c>
      <c r="AJ243" s="469" t="s">
        <v>1624</v>
      </c>
      <c r="AK243" s="470" t="s">
        <v>1625</v>
      </c>
      <c r="AL243" s="471" t="s">
        <v>3295</v>
      </c>
      <c r="AM243" s="470" t="s">
        <v>12722</v>
      </c>
      <c r="AN243" s="470" t="s">
        <v>1385</v>
      </c>
      <c r="AO243" s="470" t="s">
        <v>14918</v>
      </c>
      <c r="AP243" s="470" t="s">
        <v>3296</v>
      </c>
      <c r="AQ243" s="470" t="s">
        <v>3291</v>
      </c>
      <c r="AR243" s="472" t="s">
        <v>515</v>
      </c>
      <c r="AS243" s="473" t="s">
        <v>1385</v>
      </c>
      <c r="AT243" s="472" t="s">
        <v>2950</v>
      </c>
      <c r="AU243" s="472" t="s">
        <v>420</v>
      </c>
      <c r="AV243" s="472">
        <v>2020</v>
      </c>
      <c r="AW243" s="474" t="s">
        <v>15078</v>
      </c>
      <c r="AX243" s="475" t="s">
        <v>15079</v>
      </c>
      <c r="AY243" s="515">
        <v>1</v>
      </c>
      <c r="AZ243" s="474" t="s">
        <v>15079</v>
      </c>
      <c r="BA243" s="472" t="s">
        <v>2950</v>
      </c>
      <c r="BB243" s="472" t="s">
        <v>1385</v>
      </c>
      <c r="BC243" s="472" t="s">
        <v>1385</v>
      </c>
      <c r="BD243" s="472" t="s">
        <v>1385</v>
      </c>
      <c r="BE243" s="472" t="s">
        <v>1385</v>
      </c>
      <c r="BF243" s="472">
        <v>39258</v>
      </c>
      <c r="BG243" s="472">
        <v>0</v>
      </c>
      <c r="BH243" s="472" t="s">
        <v>1385</v>
      </c>
      <c r="BI243" s="510">
        <v>0</v>
      </c>
      <c r="BJ243" s="510">
        <v>0</v>
      </c>
      <c r="BK243" s="510">
        <v>0</v>
      </c>
      <c r="BL243" s="510">
        <v>3500</v>
      </c>
      <c r="BM243" s="510">
        <v>0</v>
      </c>
      <c r="BN243" s="510">
        <v>5000</v>
      </c>
      <c r="BO243" s="510">
        <v>200</v>
      </c>
      <c r="BP243" s="510">
        <v>1800</v>
      </c>
      <c r="BQ243" s="510">
        <v>0</v>
      </c>
      <c r="BR243" s="510">
        <v>0</v>
      </c>
      <c r="BS243" s="510">
        <v>0</v>
      </c>
      <c r="BT243" s="510">
        <v>0</v>
      </c>
      <c r="BU243" s="510">
        <v>0</v>
      </c>
      <c r="BV243" s="510">
        <v>0</v>
      </c>
      <c r="BW243" s="510">
        <v>0</v>
      </c>
      <c r="BX243" s="510">
        <v>30000</v>
      </c>
      <c r="BY243" s="1011">
        <v>0</v>
      </c>
      <c r="BZ243" s="510">
        <v>0</v>
      </c>
      <c r="CA243" s="1011">
        <v>0</v>
      </c>
      <c r="CB243" s="510">
        <v>22000</v>
      </c>
      <c r="CC243" s="1011">
        <v>0</v>
      </c>
      <c r="CD243" s="510">
        <v>0</v>
      </c>
      <c r="CE243" s="1011">
        <v>0</v>
      </c>
      <c r="CF243" s="510">
        <v>70814.8</v>
      </c>
      <c r="CG243" s="1011">
        <v>0</v>
      </c>
      <c r="CH243" s="510">
        <v>0</v>
      </c>
      <c r="CI243" s="1011">
        <v>0</v>
      </c>
    </row>
    <row r="244" spans="1:87" x14ac:dyDescent="0.2">
      <c r="A244" s="449">
        <v>86</v>
      </c>
      <c r="B244" s="453">
        <v>19277</v>
      </c>
      <c r="C244" s="454" t="s">
        <v>3297</v>
      </c>
      <c r="D244" s="454" t="s">
        <v>2950</v>
      </c>
      <c r="E244" s="454" t="s">
        <v>3298</v>
      </c>
      <c r="F244" s="454" t="s">
        <v>528</v>
      </c>
      <c r="G244" s="454" t="s">
        <v>12723</v>
      </c>
      <c r="H244" s="455">
        <v>7451010000192</v>
      </c>
      <c r="I244" s="462">
        <v>38513</v>
      </c>
      <c r="J244" s="457">
        <v>37374508</v>
      </c>
      <c r="K244" s="454" t="s">
        <v>3299</v>
      </c>
      <c r="L244" s="458">
        <v>840</v>
      </c>
      <c r="M244" s="454" t="s">
        <v>3300</v>
      </c>
      <c r="N244" s="459">
        <v>5160030</v>
      </c>
      <c r="O244" s="460">
        <v>39018728</v>
      </c>
      <c r="P244" s="462">
        <v>351558</v>
      </c>
      <c r="Q244" s="462">
        <v>86</v>
      </c>
      <c r="R244" s="462">
        <v>43938</v>
      </c>
      <c r="S244" s="463">
        <v>1016</v>
      </c>
      <c r="T244" s="464">
        <v>5.4</v>
      </c>
      <c r="U244" s="465">
        <v>5486.4</v>
      </c>
      <c r="V244" s="465">
        <v>20340</v>
      </c>
      <c r="W244" s="466">
        <v>0</v>
      </c>
      <c r="X244" s="467">
        <v>1</v>
      </c>
      <c r="Y244" s="466">
        <v>44841.599999999999</v>
      </c>
      <c r="Z244" s="468" t="s">
        <v>516</v>
      </c>
      <c r="AA244" s="466">
        <v>161716.79999999999</v>
      </c>
      <c r="AB244" s="466">
        <v>161716.79999999999</v>
      </c>
      <c r="AC244" s="467">
        <v>0</v>
      </c>
      <c r="AD244" s="466">
        <v>0</v>
      </c>
      <c r="AE244" s="468" t="s">
        <v>516</v>
      </c>
      <c r="AF244" s="466">
        <v>0</v>
      </c>
      <c r="AG244" s="466">
        <v>0</v>
      </c>
      <c r="AH244" s="466">
        <v>47405.37</v>
      </c>
      <c r="AI244" s="466">
        <v>24208.48</v>
      </c>
      <c r="AJ244" s="469" t="s">
        <v>1571</v>
      </c>
      <c r="AK244" s="470" t="s">
        <v>528</v>
      </c>
      <c r="AL244" s="471" t="s">
        <v>3301</v>
      </c>
      <c r="AM244" s="470" t="s">
        <v>3302</v>
      </c>
      <c r="AN244" s="470" t="s">
        <v>3303</v>
      </c>
      <c r="AO244" s="470" t="s">
        <v>12724</v>
      </c>
      <c r="AP244" s="470" t="s">
        <v>3304</v>
      </c>
      <c r="AQ244" s="470" t="s">
        <v>3297</v>
      </c>
      <c r="AR244" s="472" t="s">
        <v>515</v>
      </c>
      <c r="AS244" s="473" t="s">
        <v>1385</v>
      </c>
      <c r="AT244" s="472" t="s">
        <v>2950</v>
      </c>
      <c r="AU244" s="472" t="s">
        <v>420</v>
      </c>
      <c r="AV244" s="472">
        <v>2020</v>
      </c>
      <c r="AW244" s="474" t="s">
        <v>15078</v>
      </c>
      <c r="AX244" s="475" t="s">
        <v>15079</v>
      </c>
      <c r="AY244" s="515">
        <v>1</v>
      </c>
      <c r="AZ244" s="474" t="s">
        <v>15079</v>
      </c>
      <c r="BA244" s="472" t="s">
        <v>2950</v>
      </c>
      <c r="BB244" s="472" t="s">
        <v>516</v>
      </c>
      <c r="BC244" s="472">
        <v>3</v>
      </c>
      <c r="BD244" s="472">
        <v>4068</v>
      </c>
      <c r="BE244" s="472">
        <v>0</v>
      </c>
      <c r="BF244" s="472">
        <v>44841.599999999999</v>
      </c>
      <c r="BG244" s="472">
        <v>0</v>
      </c>
      <c r="BH244" s="472" t="s">
        <v>1385</v>
      </c>
      <c r="BI244" s="510">
        <v>0</v>
      </c>
      <c r="BJ244" s="510">
        <v>29.6</v>
      </c>
      <c r="BK244" s="510">
        <v>0</v>
      </c>
      <c r="BL244" s="510">
        <v>3500</v>
      </c>
      <c r="BM244" s="510">
        <v>0</v>
      </c>
      <c r="BN244" s="510">
        <v>5000</v>
      </c>
      <c r="BO244" s="510">
        <v>0</v>
      </c>
      <c r="BP244" s="510">
        <v>0</v>
      </c>
      <c r="BQ244" s="510">
        <v>0</v>
      </c>
      <c r="BR244" s="510">
        <v>0</v>
      </c>
      <c r="BS244" s="510">
        <v>0</v>
      </c>
      <c r="BT244" s="510">
        <v>0</v>
      </c>
      <c r="BU244" s="510">
        <v>2500</v>
      </c>
      <c r="BV244" s="510">
        <v>2500</v>
      </c>
      <c r="BW244" s="510">
        <v>0</v>
      </c>
      <c r="BX244" s="510">
        <v>30000</v>
      </c>
      <c r="BY244" s="1011">
        <v>0</v>
      </c>
      <c r="BZ244" s="510">
        <v>0</v>
      </c>
      <c r="CA244" s="1011">
        <v>0</v>
      </c>
      <c r="CB244" s="510">
        <v>22000</v>
      </c>
      <c r="CC244" s="1011">
        <v>0</v>
      </c>
      <c r="CD244" s="510">
        <v>0</v>
      </c>
      <c r="CE244" s="1011">
        <v>0</v>
      </c>
      <c r="CF244" s="510">
        <v>64875.199999999997</v>
      </c>
      <c r="CG244" s="1011">
        <v>0</v>
      </c>
      <c r="CH244" s="510">
        <v>0</v>
      </c>
      <c r="CI244" s="1011">
        <v>0</v>
      </c>
    </row>
    <row r="245" spans="1:87" x14ac:dyDescent="0.2">
      <c r="A245" s="449">
        <v>86</v>
      </c>
      <c r="B245" s="453">
        <v>19278</v>
      </c>
      <c r="C245" s="454" t="s">
        <v>3305</v>
      </c>
      <c r="D245" s="454" t="s">
        <v>2950</v>
      </c>
      <c r="E245" s="454" t="s">
        <v>3306</v>
      </c>
      <c r="F245" s="454" t="s">
        <v>526</v>
      </c>
      <c r="G245" s="454" t="s">
        <v>12725</v>
      </c>
      <c r="H245" s="455">
        <v>6273808000129</v>
      </c>
      <c r="I245" s="462">
        <v>38077</v>
      </c>
      <c r="J245" s="457">
        <v>37475363</v>
      </c>
      <c r="K245" s="454" t="s">
        <v>2765</v>
      </c>
      <c r="L245" s="458">
        <v>3400</v>
      </c>
      <c r="M245" s="454" t="s">
        <v>1411</v>
      </c>
      <c r="N245" s="459">
        <v>8115000</v>
      </c>
      <c r="O245" s="460">
        <v>25636112</v>
      </c>
      <c r="P245" s="462">
        <v>137092</v>
      </c>
      <c r="Q245" s="462">
        <v>86</v>
      </c>
      <c r="R245" s="462">
        <v>43928</v>
      </c>
      <c r="S245" s="463">
        <v>1118</v>
      </c>
      <c r="T245" s="464">
        <v>5.4</v>
      </c>
      <c r="U245" s="465">
        <v>6037.2</v>
      </c>
      <c r="V245" s="465">
        <v>20340</v>
      </c>
      <c r="W245" s="466">
        <v>0</v>
      </c>
      <c r="X245" s="467">
        <v>1</v>
      </c>
      <c r="Y245" s="466">
        <v>39565.800000000003</v>
      </c>
      <c r="Z245" s="468" t="s">
        <v>516</v>
      </c>
      <c r="AA245" s="466">
        <v>158704.6</v>
      </c>
      <c r="AB245" s="466">
        <v>158704.6</v>
      </c>
      <c r="AC245" s="467">
        <v>0</v>
      </c>
      <c r="AD245" s="466">
        <v>0</v>
      </c>
      <c r="AE245" s="468" t="s">
        <v>516</v>
      </c>
      <c r="AF245" s="466">
        <v>1000</v>
      </c>
      <c r="AG245" s="466">
        <v>1000</v>
      </c>
      <c r="AH245" s="466">
        <v>23739.48</v>
      </c>
      <c r="AI245" s="466">
        <v>0.9</v>
      </c>
      <c r="AJ245" s="469" t="s">
        <v>1410</v>
      </c>
      <c r="AK245" s="470" t="s">
        <v>1411</v>
      </c>
      <c r="AL245" s="471" t="s">
        <v>3307</v>
      </c>
      <c r="AM245" s="470" t="s">
        <v>3308</v>
      </c>
      <c r="AN245" s="470" t="s">
        <v>1385</v>
      </c>
      <c r="AO245" s="470" t="s">
        <v>3309</v>
      </c>
      <c r="AP245" s="470" t="s">
        <v>3310</v>
      </c>
      <c r="AQ245" s="470" t="s">
        <v>3305</v>
      </c>
      <c r="AR245" s="472" t="s">
        <v>515</v>
      </c>
      <c r="AS245" s="473" t="s">
        <v>1385</v>
      </c>
      <c r="AT245" s="472" t="s">
        <v>2950</v>
      </c>
      <c r="AU245" s="472" t="s">
        <v>420</v>
      </c>
      <c r="AV245" s="472">
        <v>2020</v>
      </c>
      <c r="AW245" s="474" t="s">
        <v>15078</v>
      </c>
      <c r="AX245" s="475" t="s">
        <v>15079</v>
      </c>
      <c r="AY245" s="515">
        <v>1</v>
      </c>
      <c r="AZ245" s="474" t="s">
        <v>15079</v>
      </c>
      <c r="BA245" s="472" t="s">
        <v>2950</v>
      </c>
      <c r="BB245" s="472" t="s">
        <v>1385</v>
      </c>
      <c r="BC245" s="472" t="s">
        <v>1385</v>
      </c>
      <c r="BD245" s="472" t="s">
        <v>1385</v>
      </c>
      <c r="BE245" s="472" t="s">
        <v>1385</v>
      </c>
      <c r="BF245" s="472">
        <v>39565.800000000003</v>
      </c>
      <c r="BG245" s="472">
        <v>0</v>
      </c>
      <c r="BH245" s="472" t="s">
        <v>1385</v>
      </c>
      <c r="BI245" s="510">
        <v>0</v>
      </c>
      <c r="BJ245" s="510">
        <v>0</v>
      </c>
      <c r="BK245" s="510">
        <v>0</v>
      </c>
      <c r="BL245" s="510">
        <v>0</v>
      </c>
      <c r="BM245" s="510">
        <v>0</v>
      </c>
      <c r="BN245" s="510">
        <v>3400</v>
      </c>
      <c r="BO245" s="510">
        <v>1000</v>
      </c>
      <c r="BP245" s="510">
        <v>1000</v>
      </c>
      <c r="BQ245" s="510">
        <v>0</v>
      </c>
      <c r="BR245" s="510">
        <v>0</v>
      </c>
      <c r="BS245" s="510">
        <v>0</v>
      </c>
      <c r="BT245" s="510">
        <v>0</v>
      </c>
      <c r="BU245" s="510">
        <v>2500</v>
      </c>
      <c r="BV245" s="510">
        <v>2500</v>
      </c>
      <c r="BW245" s="510">
        <v>0</v>
      </c>
      <c r="BX245" s="510">
        <v>30000</v>
      </c>
      <c r="BY245" s="1011">
        <v>0</v>
      </c>
      <c r="BZ245" s="510">
        <v>0</v>
      </c>
      <c r="CA245" s="1011">
        <v>0</v>
      </c>
      <c r="CB245" s="510">
        <v>22000</v>
      </c>
      <c r="CC245" s="1011">
        <v>0</v>
      </c>
      <c r="CD245" s="510">
        <v>0</v>
      </c>
      <c r="CE245" s="1011">
        <v>0</v>
      </c>
      <c r="CF245" s="510">
        <v>66138.8</v>
      </c>
      <c r="CG245" s="1011">
        <v>0</v>
      </c>
      <c r="CH245" s="510">
        <v>0</v>
      </c>
      <c r="CI245" s="1011">
        <v>0</v>
      </c>
    </row>
    <row r="246" spans="1:87" x14ac:dyDescent="0.2">
      <c r="A246" s="449">
        <v>77</v>
      </c>
      <c r="B246" s="453">
        <v>19279</v>
      </c>
      <c r="C246" s="454" t="s">
        <v>3311</v>
      </c>
      <c r="D246" s="454" t="s">
        <v>2000</v>
      </c>
      <c r="E246" s="454" t="s">
        <v>3312</v>
      </c>
      <c r="F246" s="454" t="s">
        <v>529</v>
      </c>
      <c r="G246" s="454" t="s">
        <v>12726</v>
      </c>
      <c r="H246" s="455">
        <v>7740979000183</v>
      </c>
      <c r="I246" s="462">
        <v>38250</v>
      </c>
      <c r="J246" s="457">
        <v>37524119</v>
      </c>
      <c r="K246" s="454" t="s">
        <v>3313</v>
      </c>
      <c r="L246" s="458">
        <v>3752</v>
      </c>
      <c r="M246" s="454" t="s">
        <v>3314</v>
      </c>
      <c r="N246" s="459">
        <v>4474340</v>
      </c>
      <c r="O246" s="460">
        <v>56722515</v>
      </c>
      <c r="P246" s="462">
        <v>563318</v>
      </c>
      <c r="Q246" s="462">
        <v>26</v>
      </c>
      <c r="R246" s="462">
        <v>43921</v>
      </c>
      <c r="S246" s="463">
        <v>679</v>
      </c>
      <c r="T246" s="464">
        <v>3.6</v>
      </c>
      <c r="U246" s="465">
        <v>2444.4</v>
      </c>
      <c r="V246" s="465">
        <v>18000</v>
      </c>
      <c r="W246" s="466">
        <v>0</v>
      </c>
      <c r="X246" s="467">
        <v>1</v>
      </c>
      <c r="Y246" s="466">
        <v>30666.6</v>
      </c>
      <c r="Z246" s="468" t="s">
        <v>516</v>
      </c>
      <c r="AA246" s="466">
        <v>116087.4</v>
      </c>
      <c r="AB246" s="466">
        <v>116087.4</v>
      </c>
      <c r="AC246" s="467">
        <v>0</v>
      </c>
      <c r="AD246" s="466">
        <v>0</v>
      </c>
      <c r="AE246" s="468" t="s">
        <v>516</v>
      </c>
      <c r="AF246" s="466">
        <v>0</v>
      </c>
      <c r="AG246" s="466">
        <v>0</v>
      </c>
      <c r="AH246" s="466">
        <v>33498.42</v>
      </c>
      <c r="AI246" s="466">
        <v>16949.21</v>
      </c>
      <c r="AJ246" s="469" t="s">
        <v>1544</v>
      </c>
      <c r="AK246" s="470" t="s">
        <v>1545</v>
      </c>
      <c r="AL246" s="471" t="s">
        <v>3315</v>
      </c>
      <c r="AM246" s="470" t="s">
        <v>3316</v>
      </c>
      <c r="AN246" s="470" t="s">
        <v>12726</v>
      </c>
      <c r="AO246" s="470" t="s">
        <v>12727</v>
      </c>
      <c r="AP246" s="470" t="s">
        <v>3317</v>
      </c>
      <c r="AQ246" s="470" t="s">
        <v>3311</v>
      </c>
      <c r="AR246" s="472" t="s">
        <v>515</v>
      </c>
      <c r="AS246" s="473" t="s">
        <v>1385</v>
      </c>
      <c r="AT246" s="472" t="s">
        <v>2000</v>
      </c>
      <c r="AU246" s="472" t="s">
        <v>420</v>
      </c>
      <c r="AV246" s="472">
        <v>2020</v>
      </c>
      <c r="AW246" s="474" t="s">
        <v>15078</v>
      </c>
      <c r="AX246" s="475" t="s">
        <v>15079</v>
      </c>
      <c r="AY246" s="515">
        <v>1</v>
      </c>
      <c r="AZ246" s="474" t="s">
        <v>15079</v>
      </c>
      <c r="BA246" s="472" t="s">
        <v>2000</v>
      </c>
      <c r="BB246" s="472" t="s">
        <v>1385</v>
      </c>
      <c r="BC246" s="472" t="s">
        <v>1385</v>
      </c>
      <c r="BD246" s="472" t="s">
        <v>1385</v>
      </c>
      <c r="BE246" s="472" t="s">
        <v>1385</v>
      </c>
      <c r="BF246" s="472">
        <v>30666.6</v>
      </c>
      <c r="BG246" s="472">
        <v>0</v>
      </c>
      <c r="BH246" s="472" t="s">
        <v>1385</v>
      </c>
      <c r="BI246" s="510">
        <v>0</v>
      </c>
      <c r="BJ246" s="510">
        <v>0</v>
      </c>
      <c r="BK246" s="510">
        <v>0</v>
      </c>
      <c r="BL246" s="510">
        <v>0</v>
      </c>
      <c r="BM246" s="510">
        <v>0</v>
      </c>
      <c r="BN246" s="510">
        <v>5000</v>
      </c>
      <c r="BO246" s="510">
        <v>0</v>
      </c>
      <c r="BP246" s="510">
        <v>0</v>
      </c>
      <c r="BQ246" s="510">
        <v>0</v>
      </c>
      <c r="BR246" s="510">
        <v>0</v>
      </c>
      <c r="BS246" s="510">
        <v>0</v>
      </c>
      <c r="BT246" s="510">
        <v>0</v>
      </c>
      <c r="BU246" s="510">
        <v>0</v>
      </c>
      <c r="BV246" s="510">
        <v>0</v>
      </c>
      <c r="BW246" s="510">
        <v>0</v>
      </c>
      <c r="BX246" s="510">
        <v>30000</v>
      </c>
      <c r="BY246" s="1011">
        <v>0</v>
      </c>
      <c r="BZ246" s="510">
        <v>0</v>
      </c>
      <c r="CA246" s="1011">
        <v>0</v>
      </c>
      <c r="CB246" s="510">
        <v>0</v>
      </c>
      <c r="CC246" s="1011">
        <v>0</v>
      </c>
      <c r="CD246" s="510">
        <v>0</v>
      </c>
      <c r="CE246" s="1011">
        <v>0</v>
      </c>
      <c r="CF246" s="510">
        <v>55420.800000000003</v>
      </c>
      <c r="CG246" s="1011">
        <v>0</v>
      </c>
      <c r="CH246" s="510">
        <v>0</v>
      </c>
      <c r="CI246" s="1011">
        <v>0</v>
      </c>
    </row>
    <row r="247" spans="1:87" x14ac:dyDescent="0.2">
      <c r="A247" s="449">
        <v>95</v>
      </c>
      <c r="B247" s="453">
        <v>19280</v>
      </c>
      <c r="C247" s="454" t="s">
        <v>3318</v>
      </c>
      <c r="D247" s="454" t="s">
        <v>2000</v>
      </c>
      <c r="E247" s="454" t="s">
        <v>3319</v>
      </c>
      <c r="F247" s="454" t="s">
        <v>518</v>
      </c>
      <c r="G247" s="454" t="s">
        <v>12728</v>
      </c>
      <c r="H247" s="455">
        <v>8297000000107</v>
      </c>
      <c r="I247" s="462">
        <v>38966</v>
      </c>
      <c r="J247" s="457">
        <v>37469215</v>
      </c>
      <c r="K247" s="454" t="s">
        <v>3321</v>
      </c>
      <c r="L247" s="458" t="s">
        <v>1446</v>
      </c>
      <c r="M247" s="454" t="s">
        <v>3209</v>
      </c>
      <c r="N247" s="459">
        <v>3572020</v>
      </c>
      <c r="O247" s="460">
        <v>27211097</v>
      </c>
      <c r="P247" s="462">
        <v>49673</v>
      </c>
      <c r="Q247" s="462">
        <v>64</v>
      </c>
      <c r="R247" s="462">
        <v>43970</v>
      </c>
      <c r="S247" s="463">
        <v>254</v>
      </c>
      <c r="T247" s="464">
        <v>3.6</v>
      </c>
      <c r="U247" s="465">
        <v>914.4</v>
      </c>
      <c r="V247" s="465">
        <v>12240</v>
      </c>
      <c r="W247" s="466">
        <v>0</v>
      </c>
      <c r="X247" s="467">
        <v>1</v>
      </c>
      <c r="Y247" s="466">
        <v>25239.599999999999</v>
      </c>
      <c r="Z247" s="468" t="s">
        <v>516</v>
      </c>
      <c r="AA247" s="466">
        <v>108834.8</v>
      </c>
      <c r="AB247" s="466">
        <v>108834.8</v>
      </c>
      <c r="AC247" s="467">
        <v>0</v>
      </c>
      <c r="AD247" s="466">
        <v>0</v>
      </c>
      <c r="AE247" s="468" t="s">
        <v>516</v>
      </c>
      <c r="AF247" s="466">
        <v>0</v>
      </c>
      <c r="AG247" s="466">
        <v>0</v>
      </c>
      <c r="AH247" s="466">
        <v>7416.69</v>
      </c>
      <c r="AI247" s="466">
        <v>0</v>
      </c>
      <c r="AJ247" s="469" t="s">
        <v>1560</v>
      </c>
      <c r="AK247" s="470" t="s">
        <v>1776</v>
      </c>
      <c r="AL247" s="471" t="s">
        <v>3322</v>
      </c>
      <c r="AM247" s="470" t="s">
        <v>3323</v>
      </c>
      <c r="AN247" s="470" t="s">
        <v>3320</v>
      </c>
      <c r="AO247" s="470" t="s">
        <v>14981</v>
      </c>
      <c r="AP247" s="470" t="s">
        <v>1615</v>
      </c>
      <c r="AQ247" s="470" t="s">
        <v>3318</v>
      </c>
      <c r="AR247" s="472" t="s">
        <v>515</v>
      </c>
      <c r="AS247" s="473" t="s">
        <v>1385</v>
      </c>
      <c r="AT247" s="472" t="s">
        <v>2000</v>
      </c>
      <c r="AU247" s="472" t="s">
        <v>420</v>
      </c>
      <c r="AV247" s="472">
        <v>2020</v>
      </c>
      <c r="AW247" s="474" t="s">
        <v>15078</v>
      </c>
      <c r="AX247" s="475" t="s">
        <v>15079</v>
      </c>
      <c r="AY247" s="515">
        <v>1</v>
      </c>
      <c r="AZ247" s="474" t="s">
        <v>15079</v>
      </c>
      <c r="BA247" s="472" t="s">
        <v>2000</v>
      </c>
      <c r="BB247" s="472" t="s">
        <v>516</v>
      </c>
      <c r="BC247" s="472">
        <v>8</v>
      </c>
      <c r="BD247" s="472">
        <v>3672</v>
      </c>
      <c r="BE247" s="472">
        <v>0</v>
      </c>
      <c r="BF247" s="472">
        <v>25239.599999999999</v>
      </c>
      <c r="BG247" s="472">
        <v>0</v>
      </c>
      <c r="BH247" s="472" t="s">
        <v>1385</v>
      </c>
      <c r="BI247" s="510">
        <v>0</v>
      </c>
      <c r="BJ247" s="510">
        <v>0</v>
      </c>
      <c r="BK247" s="510">
        <v>0</v>
      </c>
      <c r="BL247" s="510">
        <v>0</v>
      </c>
      <c r="BM247" s="510">
        <v>0</v>
      </c>
      <c r="BN247" s="510">
        <v>3500</v>
      </c>
      <c r="BO247" s="510">
        <v>0</v>
      </c>
      <c r="BP247" s="510">
        <v>0</v>
      </c>
      <c r="BQ247" s="510">
        <v>0</v>
      </c>
      <c r="BR247" s="510">
        <v>0</v>
      </c>
      <c r="BS247" s="510">
        <v>0</v>
      </c>
      <c r="BT247" s="510">
        <v>0</v>
      </c>
      <c r="BU247" s="510">
        <v>0</v>
      </c>
      <c r="BV247" s="510">
        <v>0</v>
      </c>
      <c r="BW247" s="510">
        <v>0</v>
      </c>
      <c r="BX247" s="510">
        <v>30000</v>
      </c>
      <c r="BY247" s="1011">
        <v>0</v>
      </c>
      <c r="BZ247" s="510">
        <v>0</v>
      </c>
      <c r="CA247" s="1011">
        <v>0</v>
      </c>
      <c r="CB247" s="510">
        <v>0</v>
      </c>
      <c r="CC247" s="1011">
        <v>0</v>
      </c>
      <c r="CD247" s="510">
        <v>0</v>
      </c>
      <c r="CE247" s="1011">
        <v>0</v>
      </c>
      <c r="CF247" s="510">
        <v>53595.199999999997</v>
      </c>
      <c r="CG247" s="1011">
        <v>0</v>
      </c>
      <c r="CH247" s="510">
        <v>0</v>
      </c>
      <c r="CI247" s="1011">
        <v>0</v>
      </c>
    </row>
    <row r="248" spans="1:87" x14ac:dyDescent="0.2">
      <c r="A248" s="449">
        <v>80</v>
      </c>
      <c r="B248" s="453">
        <v>19281</v>
      </c>
      <c r="C248" s="454" t="s">
        <v>3324</v>
      </c>
      <c r="D248" s="454" t="s">
        <v>2000</v>
      </c>
      <c r="E248" s="454" t="s">
        <v>3325</v>
      </c>
      <c r="F248" s="454" t="s">
        <v>519</v>
      </c>
      <c r="G248" s="454" t="s">
        <v>12729</v>
      </c>
      <c r="H248" s="455">
        <v>7211834000195</v>
      </c>
      <c r="I248" s="462">
        <v>38320</v>
      </c>
      <c r="J248" s="457">
        <v>37373161</v>
      </c>
      <c r="K248" s="454" t="s">
        <v>3216</v>
      </c>
      <c r="L248" s="458">
        <v>1870</v>
      </c>
      <c r="M248" s="454" t="s">
        <v>1941</v>
      </c>
      <c r="N248" s="459">
        <v>5588001</v>
      </c>
      <c r="O248" s="460">
        <v>37324528</v>
      </c>
      <c r="P248" s="462">
        <v>124217</v>
      </c>
      <c r="Q248" s="462">
        <v>43</v>
      </c>
      <c r="R248" s="462">
        <v>43881</v>
      </c>
      <c r="S248" s="463">
        <v>358</v>
      </c>
      <c r="T248" s="464">
        <v>3.6</v>
      </c>
      <c r="U248" s="465">
        <v>1288.8</v>
      </c>
      <c r="V248" s="465">
        <v>13680</v>
      </c>
      <c r="W248" s="466">
        <v>0</v>
      </c>
      <c r="X248" s="467">
        <v>1</v>
      </c>
      <c r="Y248" s="466">
        <v>0</v>
      </c>
      <c r="Z248" s="468" t="s">
        <v>514</v>
      </c>
      <c r="AA248" s="466">
        <v>0</v>
      </c>
      <c r="AB248" s="466">
        <v>0</v>
      </c>
      <c r="AC248" s="467">
        <v>0</v>
      </c>
      <c r="AD248" s="466">
        <v>0</v>
      </c>
      <c r="AE248" s="468" t="s">
        <v>516</v>
      </c>
      <c r="AF248" s="466">
        <v>0</v>
      </c>
      <c r="AG248" s="466">
        <v>0</v>
      </c>
      <c r="AH248" s="466">
        <v>166.53</v>
      </c>
      <c r="AI248" s="466">
        <v>324.60000000000002</v>
      </c>
      <c r="AJ248" s="469" t="s">
        <v>1940</v>
      </c>
      <c r="AK248" s="470" t="s">
        <v>1941</v>
      </c>
      <c r="AL248" s="471" t="s">
        <v>3327</v>
      </c>
      <c r="AM248" s="470" t="s">
        <v>3328</v>
      </c>
      <c r="AN248" s="470" t="s">
        <v>3326</v>
      </c>
      <c r="AO248" s="470" t="s">
        <v>3329</v>
      </c>
      <c r="AP248" s="470" t="s">
        <v>3221</v>
      </c>
      <c r="AQ248" s="470" t="s">
        <v>3324</v>
      </c>
      <c r="AR248" s="472" t="s">
        <v>515</v>
      </c>
      <c r="AS248" s="473" t="s">
        <v>1385</v>
      </c>
      <c r="AT248" s="472" t="s">
        <v>2000</v>
      </c>
      <c r="AU248" s="472" t="s">
        <v>420</v>
      </c>
      <c r="AV248" s="472">
        <v>2020</v>
      </c>
      <c r="AW248" s="474" t="s">
        <v>15078</v>
      </c>
      <c r="AX248" s="475" t="s">
        <v>15079</v>
      </c>
      <c r="AY248" s="515">
        <v>1</v>
      </c>
      <c r="AZ248" s="474" t="s">
        <v>15079</v>
      </c>
      <c r="BA248" s="472" t="s">
        <v>1385</v>
      </c>
      <c r="BB248" s="472" t="s">
        <v>1385</v>
      </c>
      <c r="BC248" s="472" t="s">
        <v>1385</v>
      </c>
      <c r="BD248" s="472" t="s">
        <v>1385</v>
      </c>
      <c r="BE248" s="472" t="s">
        <v>1385</v>
      </c>
      <c r="BF248" s="472">
        <v>22453.200000000001</v>
      </c>
      <c r="BG248" s="472">
        <v>0</v>
      </c>
      <c r="BH248" s="472" t="s">
        <v>516</v>
      </c>
      <c r="BI248" s="510">
        <v>0</v>
      </c>
      <c r="BJ248" s="510">
        <v>0</v>
      </c>
      <c r="BK248" s="510">
        <v>0</v>
      </c>
      <c r="BL248" s="510">
        <v>0</v>
      </c>
      <c r="BM248" s="510">
        <v>0</v>
      </c>
      <c r="BN248" s="510">
        <v>0</v>
      </c>
      <c r="BO248" s="510">
        <v>0</v>
      </c>
      <c r="BP248" s="510">
        <v>0</v>
      </c>
      <c r="BQ248" s="510">
        <v>0</v>
      </c>
      <c r="BR248" s="510">
        <v>0</v>
      </c>
      <c r="BS248" s="510">
        <v>0</v>
      </c>
      <c r="BT248" s="510">
        <v>0</v>
      </c>
      <c r="BU248" s="510">
        <v>0</v>
      </c>
      <c r="BV248" s="510">
        <v>0</v>
      </c>
      <c r="BW248" s="510">
        <v>0</v>
      </c>
      <c r="BX248" s="510">
        <v>0</v>
      </c>
      <c r="BY248" s="1011">
        <v>0</v>
      </c>
      <c r="BZ248" s="510">
        <v>0</v>
      </c>
      <c r="CA248" s="1011">
        <v>0</v>
      </c>
      <c r="CB248" s="510">
        <v>0</v>
      </c>
      <c r="CC248" s="1011">
        <v>0</v>
      </c>
      <c r="CD248" s="510">
        <v>0</v>
      </c>
      <c r="CE248" s="1011">
        <v>0</v>
      </c>
      <c r="CF248" s="510">
        <v>0</v>
      </c>
      <c r="CG248" s="1011">
        <v>0</v>
      </c>
      <c r="CH248" s="510">
        <v>0</v>
      </c>
      <c r="CI248" s="1011">
        <v>0</v>
      </c>
    </row>
    <row r="249" spans="1:87" x14ac:dyDescent="0.2">
      <c r="A249" s="449">
        <v>78</v>
      </c>
      <c r="B249" s="453">
        <v>19283</v>
      </c>
      <c r="C249" s="454" t="s">
        <v>3330</v>
      </c>
      <c r="D249" s="454" t="s">
        <v>517</v>
      </c>
      <c r="E249" s="454" t="s">
        <v>3330</v>
      </c>
      <c r="F249" s="454" t="s">
        <v>520</v>
      </c>
      <c r="G249" s="454" t="s">
        <v>12730</v>
      </c>
      <c r="H249" s="455">
        <v>3909946000163</v>
      </c>
      <c r="I249" s="462">
        <v>36707</v>
      </c>
      <c r="J249" s="457">
        <v>37619888</v>
      </c>
      <c r="K249" s="454" t="s">
        <v>2753</v>
      </c>
      <c r="L249" s="458">
        <v>601</v>
      </c>
      <c r="M249" s="454" t="s">
        <v>3331</v>
      </c>
      <c r="N249" s="459">
        <v>4963160</v>
      </c>
      <c r="O249" s="460">
        <v>58965577</v>
      </c>
      <c r="P249" s="462">
        <v>301259</v>
      </c>
      <c r="Q249" s="462">
        <v>143</v>
      </c>
      <c r="R249" s="462">
        <v>43983</v>
      </c>
      <c r="S249" s="463">
        <v>1203</v>
      </c>
      <c r="T249" s="464">
        <v>5.4</v>
      </c>
      <c r="U249" s="465">
        <v>6496.2</v>
      </c>
      <c r="V249" s="465">
        <v>21960</v>
      </c>
      <c r="W249" s="466">
        <v>0</v>
      </c>
      <c r="X249" s="467">
        <v>1</v>
      </c>
      <c r="Y249" s="466">
        <v>50919.3</v>
      </c>
      <c r="Z249" s="468" t="s">
        <v>516</v>
      </c>
      <c r="AA249" s="466">
        <v>172964.1</v>
      </c>
      <c r="AB249" s="466">
        <v>172964.1</v>
      </c>
      <c r="AC249" s="467">
        <v>0</v>
      </c>
      <c r="AD249" s="466">
        <v>0</v>
      </c>
      <c r="AE249" s="468" t="s">
        <v>516</v>
      </c>
      <c r="AF249" s="466">
        <v>2000</v>
      </c>
      <c r="AG249" s="466">
        <v>2000</v>
      </c>
      <c r="AH249" s="466">
        <v>26949.84</v>
      </c>
      <c r="AI249" s="466">
        <v>6789.24</v>
      </c>
      <c r="AJ249" s="469" t="s">
        <v>1657</v>
      </c>
      <c r="AK249" s="470" t="s">
        <v>521</v>
      </c>
      <c r="AL249" s="471" t="s">
        <v>3332</v>
      </c>
      <c r="AM249" s="470" t="s">
        <v>3333</v>
      </c>
      <c r="AN249" s="470" t="s">
        <v>3334</v>
      </c>
      <c r="AO249" s="470" t="s">
        <v>3335</v>
      </c>
      <c r="AP249" s="470" t="s">
        <v>3336</v>
      </c>
      <c r="AQ249" s="470" t="s">
        <v>3330</v>
      </c>
      <c r="AR249" s="472" t="s">
        <v>515</v>
      </c>
      <c r="AS249" s="473" t="s">
        <v>1385</v>
      </c>
      <c r="AT249" s="472" t="s">
        <v>517</v>
      </c>
      <c r="AU249" s="472" t="s">
        <v>420</v>
      </c>
      <c r="AV249" s="472">
        <v>2020</v>
      </c>
      <c r="AW249" s="474" t="s">
        <v>15078</v>
      </c>
      <c r="AX249" s="475" t="s">
        <v>15079</v>
      </c>
      <c r="AY249" s="515">
        <v>1</v>
      </c>
      <c r="AZ249" s="474" t="s">
        <v>15079</v>
      </c>
      <c r="BA249" s="472" t="s">
        <v>517</v>
      </c>
      <c r="BB249" s="472" t="s">
        <v>516</v>
      </c>
      <c r="BC249" s="472">
        <v>4</v>
      </c>
      <c r="BD249" s="472">
        <v>5490</v>
      </c>
      <c r="BE249" s="472">
        <v>0</v>
      </c>
      <c r="BF249" s="472">
        <v>50919.3</v>
      </c>
      <c r="BG249" s="472">
        <v>0</v>
      </c>
      <c r="BH249" s="472" t="s">
        <v>1385</v>
      </c>
      <c r="BI249" s="510">
        <v>0</v>
      </c>
      <c r="BJ249" s="510">
        <v>0</v>
      </c>
      <c r="BK249" s="510">
        <v>0</v>
      </c>
      <c r="BL249" s="510">
        <v>3500</v>
      </c>
      <c r="BM249" s="510">
        <v>0</v>
      </c>
      <c r="BN249" s="510">
        <v>6000</v>
      </c>
      <c r="BO249" s="510">
        <v>0</v>
      </c>
      <c r="BP249" s="510">
        <v>2000</v>
      </c>
      <c r="BQ249" s="510">
        <v>0</v>
      </c>
      <c r="BR249" s="510">
        <v>0</v>
      </c>
      <c r="BS249" s="510">
        <v>0</v>
      </c>
      <c r="BT249" s="510">
        <v>0</v>
      </c>
      <c r="BU249" s="510">
        <v>2500</v>
      </c>
      <c r="BV249" s="510">
        <v>2500</v>
      </c>
      <c r="BW249" s="510">
        <v>0</v>
      </c>
      <c r="BX249" s="510">
        <v>30000</v>
      </c>
      <c r="BY249" s="1011">
        <v>0</v>
      </c>
      <c r="BZ249" s="510">
        <v>0</v>
      </c>
      <c r="CA249" s="1011">
        <v>0</v>
      </c>
      <c r="CB249" s="510">
        <v>22000</v>
      </c>
      <c r="CC249" s="1011">
        <v>0</v>
      </c>
      <c r="CD249" s="510">
        <v>0</v>
      </c>
      <c r="CE249" s="1011">
        <v>0</v>
      </c>
      <c r="CF249" s="510">
        <v>70044.800000000003</v>
      </c>
      <c r="CG249" s="1011">
        <v>0</v>
      </c>
      <c r="CH249" s="510">
        <v>0</v>
      </c>
      <c r="CI249" s="1011">
        <v>0</v>
      </c>
    </row>
    <row r="250" spans="1:87" x14ac:dyDescent="0.2">
      <c r="A250" s="449">
        <v>95</v>
      </c>
      <c r="B250" s="453">
        <v>19284</v>
      </c>
      <c r="C250" s="454" t="s">
        <v>3337</v>
      </c>
      <c r="D250" s="454" t="s">
        <v>2000</v>
      </c>
      <c r="E250" s="454" t="s">
        <v>3338</v>
      </c>
      <c r="F250" s="454" t="s">
        <v>523</v>
      </c>
      <c r="G250" s="454" t="s">
        <v>12731</v>
      </c>
      <c r="H250" s="455">
        <v>7835391000103</v>
      </c>
      <c r="I250" s="462">
        <v>38673</v>
      </c>
      <c r="J250" s="457">
        <v>34912126</v>
      </c>
      <c r="K250" s="454" t="s">
        <v>3340</v>
      </c>
      <c r="L250" s="458" t="s">
        <v>1446</v>
      </c>
      <c r="M250" s="454" t="s">
        <v>1950</v>
      </c>
      <c r="N250" s="459">
        <v>8472725</v>
      </c>
      <c r="O250" s="460">
        <v>25189030</v>
      </c>
      <c r="P250" s="462">
        <v>261206</v>
      </c>
      <c r="Q250" s="462">
        <v>95</v>
      </c>
      <c r="R250" s="462">
        <v>43921</v>
      </c>
      <c r="S250" s="463">
        <v>413</v>
      </c>
      <c r="T250" s="464">
        <v>3.6</v>
      </c>
      <c r="U250" s="465">
        <v>1486.8</v>
      </c>
      <c r="V250" s="465">
        <v>15120</v>
      </c>
      <c r="W250" s="466">
        <v>0</v>
      </c>
      <c r="X250" s="467">
        <v>1</v>
      </c>
      <c r="Y250" s="466">
        <v>24910.2</v>
      </c>
      <c r="Z250" s="468" t="s">
        <v>516</v>
      </c>
      <c r="AA250" s="466">
        <v>100114.2</v>
      </c>
      <c r="AB250" s="466">
        <v>100114.2</v>
      </c>
      <c r="AC250" s="467">
        <v>0</v>
      </c>
      <c r="AD250" s="466">
        <v>0</v>
      </c>
      <c r="AE250" s="468" t="s">
        <v>516</v>
      </c>
      <c r="AF250" s="466">
        <v>0</v>
      </c>
      <c r="AG250" s="466">
        <v>0</v>
      </c>
      <c r="AH250" s="466">
        <v>16786.919999999998</v>
      </c>
      <c r="AI250" s="466">
        <v>5166.88</v>
      </c>
      <c r="AJ250" s="469" t="s">
        <v>1395</v>
      </c>
      <c r="AK250" s="470" t="s">
        <v>523</v>
      </c>
      <c r="AL250" s="471" t="s">
        <v>3341</v>
      </c>
      <c r="AM250" s="470" t="s">
        <v>3342</v>
      </c>
      <c r="AN250" s="470" t="s">
        <v>3339</v>
      </c>
      <c r="AO250" s="470" t="s">
        <v>12732</v>
      </c>
      <c r="AP250" s="470" t="s">
        <v>3233</v>
      </c>
      <c r="AQ250" s="470" t="s">
        <v>3337</v>
      </c>
      <c r="AR250" s="472" t="s">
        <v>515</v>
      </c>
      <c r="AS250" s="473" t="s">
        <v>1385</v>
      </c>
      <c r="AT250" s="472" t="s">
        <v>2000</v>
      </c>
      <c r="AU250" s="472" t="s">
        <v>420</v>
      </c>
      <c r="AV250" s="472">
        <v>2020</v>
      </c>
      <c r="AW250" s="474" t="s">
        <v>15078</v>
      </c>
      <c r="AX250" s="475" t="s">
        <v>15079</v>
      </c>
      <c r="AY250" s="515">
        <v>1</v>
      </c>
      <c r="AZ250" s="474" t="s">
        <v>15079</v>
      </c>
      <c r="BA250" s="472" t="s">
        <v>2000</v>
      </c>
      <c r="BB250" s="472" t="s">
        <v>1385</v>
      </c>
      <c r="BC250" s="472" t="s">
        <v>1385</v>
      </c>
      <c r="BD250" s="472" t="s">
        <v>1385</v>
      </c>
      <c r="BE250" s="472" t="s">
        <v>1385</v>
      </c>
      <c r="BF250" s="472">
        <v>24910.2</v>
      </c>
      <c r="BG250" s="472">
        <v>0</v>
      </c>
      <c r="BH250" s="472" t="s">
        <v>1385</v>
      </c>
      <c r="BI250" s="510">
        <v>0</v>
      </c>
      <c r="BJ250" s="510">
        <v>0</v>
      </c>
      <c r="BK250" s="510">
        <v>0</v>
      </c>
      <c r="BL250" s="510">
        <v>0</v>
      </c>
      <c r="BM250" s="510">
        <v>0</v>
      </c>
      <c r="BN250" s="510">
        <v>4000</v>
      </c>
      <c r="BO250" s="510">
        <v>0</v>
      </c>
      <c r="BP250" s="510">
        <v>0</v>
      </c>
      <c r="BQ250" s="510">
        <v>0</v>
      </c>
      <c r="BR250" s="510">
        <v>0</v>
      </c>
      <c r="BS250" s="510">
        <v>0</v>
      </c>
      <c r="BT250" s="510">
        <v>0</v>
      </c>
      <c r="BU250" s="510">
        <v>0</v>
      </c>
      <c r="BV250" s="510">
        <v>0</v>
      </c>
      <c r="BW250" s="510">
        <v>0</v>
      </c>
      <c r="BX250" s="510">
        <v>30000</v>
      </c>
      <c r="BY250" s="1011">
        <v>0</v>
      </c>
      <c r="BZ250" s="510">
        <v>0</v>
      </c>
      <c r="CA250" s="1011">
        <v>0</v>
      </c>
      <c r="CB250" s="510">
        <v>0</v>
      </c>
      <c r="CC250" s="1011">
        <v>0</v>
      </c>
      <c r="CD250" s="510">
        <v>0</v>
      </c>
      <c r="CE250" s="1011">
        <v>0</v>
      </c>
      <c r="CF250" s="510">
        <v>45204</v>
      </c>
      <c r="CG250" s="1011">
        <v>0</v>
      </c>
      <c r="CH250" s="510">
        <v>0</v>
      </c>
      <c r="CI250" s="1011">
        <v>0</v>
      </c>
    </row>
    <row r="251" spans="1:87" x14ac:dyDescent="0.2">
      <c r="A251" s="449">
        <v>96</v>
      </c>
      <c r="B251" s="453">
        <v>19285</v>
      </c>
      <c r="C251" s="454" t="s">
        <v>3343</v>
      </c>
      <c r="D251" s="454" t="s">
        <v>2000</v>
      </c>
      <c r="E251" s="454" t="s">
        <v>3344</v>
      </c>
      <c r="F251" s="454" t="s">
        <v>523</v>
      </c>
      <c r="G251" s="454" t="s">
        <v>12733</v>
      </c>
      <c r="H251" s="455">
        <v>7000413000115</v>
      </c>
      <c r="I251" s="462">
        <v>38174</v>
      </c>
      <c r="J251" s="457">
        <v>37620339</v>
      </c>
      <c r="K251" s="454" t="s">
        <v>3346</v>
      </c>
      <c r="L251" s="458">
        <v>251</v>
      </c>
      <c r="M251" s="454" t="s">
        <v>518</v>
      </c>
      <c r="N251" s="459">
        <v>8250650</v>
      </c>
      <c r="O251" s="460">
        <v>29602021</v>
      </c>
      <c r="P251" s="462">
        <v>261290</v>
      </c>
      <c r="Q251" s="462">
        <v>96</v>
      </c>
      <c r="R251" s="462">
        <v>43921</v>
      </c>
      <c r="S251" s="463">
        <v>649</v>
      </c>
      <c r="T251" s="464">
        <v>3.6</v>
      </c>
      <c r="U251" s="465">
        <v>2336.4</v>
      </c>
      <c r="V251" s="465">
        <v>18000</v>
      </c>
      <c r="W251" s="466">
        <v>0</v>
      </c>
      <c r="X251" s="467">
        <v>1</v>
      </c>
      <c r="Y251" s="466">
        <v>30504.6</v>
      </c>
      <c r="Z251" s="468" t="s">
        <v>516</v>
      </c>
      <c r="AA251" s="466">
        <v>112829.4</v>
      </c>
      <c r="AB251" s="466">
        <v>112829.4</v>
      </c>
      <c r="AC251" s="467">
        <v>0</v>
      </c>
      <c r="AD251" s="466">
        <v>0</v>
      </c>
      <c r="AE251" s="468" t="s">
        <v>516</v>
      </c>
      <c r="AF251" s="466">
        <v>2000</v>
      </c>
      <c r="AG251" s="466">
        <v>2000</v>
      </c>
      <c r="AH251" s="466">
        <v>13894.25</v>
      </c>
      <c r="AI251" s="466">
        <v>9776.24</v>
      </c>
      <c r="AJ251" s="469" t="s">
        <v>1395</v>
      </c>
      <c r="AK251" s="470" t="s">
        <v>523</v>
      </c>
      <c r="AL251" s="471" t="s">
        <v>3347</v>
      </c>
      <c r="AM251" s="470" t="s">
        <v>3348</v>
      </c>
      <c r="AN251" s="470" t="s">
        <v>3345</v>
      </c>
      <c r="AO251" s="470" t="s">
        <v>12734</v>
      </c>
      <c r="AP251" s="470" t="s">
        <v>3349</v>
      </c>
      <c r="AQ251" s="470" t="s">
        <v>3343</v>
      </c>
      <c r="AR251" s="472" t="s">
        <v>515</v>
      </c>
      <c r="AS251" s="473" t="s">
        <v>1385</v>
      </c>
      <c r="AT251" s="472" t="s">
        <v>2000</v>
      </c>
      <c r="AU251" s="472" t="s">
        <v>420</v>
      </c>
      <c r="AV251" s="472">
        <v>2020</v>
      </c>
      <c r="AW251" s="474" t="s">
        <v>15078</v>
      </c>
      <c r="AX251" s="475" t="s">
        <v>15079</v>
      </c>
      <c r="AY251" s="515">
        <v>1</v>
      </c>
      <c r="AZ251" s="474" t="s">
        <v>15079</v>
      </c>
      <c r="BA251" s="472" t="s">
        <v>2000</v>
      </c>
      <c r="BB251" s="472" t="s">
        <v>1385</v>
      </c>
      <c r="BC251" s="472" t="s">
        <v>1385</v>
      </c>
      <c r="BD251" s="472" t="s">
        <v>1385</v>
      </c>
      <c r="BE251" s="472" t="s">
        <v>1385</v>
      </c>
      <c r="BF251" s="472">
        <v>30504.6</v>
      </c>
      <c r="BG251" s="472">
        <v>0</v>
      </c>
      <c r="BH251" s="472" t="s">
        <v>1385</v>
      </c>
      <c r="BI251" s="510">
        <v>0</v>
      </c>
      <c r="BJ251" s="510">
        <v>0</v>
      </c>
      <c r="BK251" s="510">
        <v>0</v>
      </c>
      <c r="BL251" s="510">
        <v>0</v>
      </c>
      <c r="BM251" s="510">
        <v>0</v>
      </c>
      <c r="BN251" s="510">
        <v>5000</v>
      </c>
      <c r="BO251" s="510">
        <v>0</v>
      </c>
      <c r="BP251" s="510">
        <v>2000</v>
      </c>
      <c r="BQ251" s="510">
        <v>0</v>
      </c>
      <c r="BR251" s="510">
        <v>0</v>
      </c>
      <c r="BS251" s="510">
        <v>0</v>
      </c>
      <c r="BT251" s="510">
        <v>0</v>
      </c>
      <c r="BU251" s="510">
        <v>0</v>
      </c>
      <c r="BV251" s="510">
        <v>0</v>
      </c>
      <c r="BW251" s="510">
        <v>0</v>
      </c>
      <c r="BX251" s="510">
        <v>30000</v>
      </c>
      <c r="BY251" s="1011">
        <v>0</v>
      </c>
      <c r="BZ251" s="510">
        <v>0</v>
      </c>
      <c r="CA251" s="1011">
        <v>0</v>
      </c>
      <c r="CB251" s="510">
        <v>0</v>
      </c>
      <c r="CC251" s="1011">
        <v>0</v>
      </c>
      <c r="CD251" s="510">
        <v>0</v>
      </c>
      <c r="CE251" s="1011">
        <v>0</v>
      </c>
      <c r="CF251" s="510">
        <v>52324.800000000003</v>
      </c>
      <c r="CG251" s="1011">
        <v>0</v>
      </c>
      <c r="CH251" s="510">
        <v>0</v>
      </c>
      <c r="CI251" s="1011">
        <v>0</v>
      </c>
    </row>
    <row r="252" spans="1:87" x14ac:dyDescent="0.2">
      <c r="A252" s="449">
        <v>96</v>
      </c>
      <c r="B252" s="453">
        <v>19287</v>
      </c>
      <c r="C252" s="454" t="s">
        <v>3350</v>
      </c>
      <c r="D252" s="454" t="s">
        <v>2000</v>
      </c>
      <c r="E252" s="454" t="s">
        <v>3351</v>
      </c>
      <c r="F252" s="454" t="s">
        <v>521</v>
      </c>
      <c r="G252" s="454" t="s">
        <v>12735</v>
      </c>
      <c r="H252" s="455">
        <v>7088134000155</v>
      </c>
      <c r="I252" s="462">
        <v>38132</v>
      </c>
      <c r="J252" s="457">
        <v>37551817</v>
      </c>
      <c r="K252" s="454" t="s">
        <v>3352</v>
      </c>
      <c r="L252" s="458" t="s">
        <v>1446</v>
      </c>
      <c r="M252" s="454" t="s">
        <v>3353</v>
      </c>
      <c r="N252" s="459">
        <v>4849503</v>
      </c>
      <c r="O252" s="460">
        <v>59765507</v>
      </c>
      <c r="P252" s="462">
        <v>92340</v>
      </c>
      <c r="Q252" s="462">
        <v>25</v>
      </c>
      <c r="R252" s="462">
        <v>43934</v>
      </c>
      <c r="S252" s="463">
        <v>686</v>
      </c>
      <c r="T252" s="464">
        <v>3.6</v>
      </c>
      <c r="U252" s="465">
        <v>2469.6</v>
      </c>
      <c r="V252" s="465">
        <v>18000</v>
      </c>
      <c r="W252" s="466">
        <v>0</v>
      </c>
      <c r="X252" s="467">
        <v>1</v>
      </c>
      <c r="Y252" s="466">
        <v>30704.400000000001</v>
      </c>
      <c r="Z252" s="468" t="s">
        <v>516</v>
      </c>
      <c r="AA252" s="466">
        <v>116586</v>
      </c>
      <c r="AB252" s="466">
        <v>116586</v>
      </c>
      <c r="AC252" s="467">
        <v>0</v>
      </c>
      <c r="AD252" s="466">
        <v>0</v>
      </c>
      <c r="AE252" s="468" t="s">
        <v>516</v>
      </c>
      <c r="AF252" s="466">
        <v>0</v>
      </c>
      <c r="AG252" s="466">
        <v>0</v>
      </c>
      <c r="AH252" s="466">
        <v>18802.150000000001</v>
      </c>
      <c r="AI252" s="466">
        <v>16697.53</v>
      </c>
      <c r="AJ252" s="469" t="s">
        <v>1624</v>
      </c>
      <c r="AK252" s="470" t="s">
        <v>1625</v>
      </c>
      <c r="AL252" s="471" t="s">
        <v>3354</v>
      </c>
      <c r="AM252" s="470" t="s">
        <v>12736</v>
      </c>
      <c r="AN252" s="470" t="s">
        <v>1385</v>
      </c>
      <c r="AO252" s="470" t="s">
        <v>14949</v>
      </c>
      <c r="AP252" s="470" t="s">
        <v>3355</v>
      </c>
      <c r="AQ252" s="470" t="s">
        <v>3350</v>
      </c>
      <c r="AR252" s="472" t="s">
        <v>515</v>
      </c>
      <c r="AS252" s="473" t="s">
        <v>1385</v>
      </c>
      <c r="AT252" s="472" t="s">
        <v>2000</v>
      </c>
      <c r="AU252" s="472" t="s">
        <v>420</v>
      </c>
      <c r="AV252" s="472">
        <v>2020</v>
      </c>
      <c r="AW252" s="474" t="s">
        <v>15078</v>
      </c>
      <c r="AX252" s="475" t="s">
        <v>15079</v>
      </c>
      <c r="AY252" s="515">
        <v>1</v>
      </c>
      <c r="AZ252" s="474" t="s">
        <v>15079</v>
      </c>
      <c r="BA252" s="472" t="s">
        <v>2000</v>
      </c>
      <c r="BB252" s="472" t="s">
        <v>1385</v>
      </c>
      <c r="BC252" s="472" t="s">
        <v>1385</v>
      </c>
      <c r="BD252" s="472" t="s">
        <v>1385</v>
      </c>
      <c r="BE252" s="472" t="s">
        <v>1385</v>
      </c>
      <c r="BF252" s="472">
        <v>30704.400000000001</v>
      </c>
      <c r="BG252" s="472">
        <v>0</v>
      </c>
      <c r="BH252" s="472" t="s">
        <v>1385</v>
      </c>
      <c r="BI252" s="510">
        <v>0</v>
      </c>
      <c r="BJ252" s="510">
        <v>0</v>
      </c>
      <c r="BK252" s="510">
        <v>0</v>
      </c>
      <c r="BL252" s="510">
        <v>0</v>
      </c>
      <c r="BM252" s="510">
        <v>0</v>
      </c>
      <c r="BN252" s="510">
        <v>5000</v>
      </c>
      <c r="BO252" s="510">
        <v>0</v>
      </c>
      <c r="BP252" s="510">
        <v>0</v>
      </c>
      <c r="BQ252" s="510">
        <v>0</v>
      </c>
      <c r="BR252" s="510">
        <v>0</v>
      </c>
      <c r="BS252" s="510">
        <v>0</v>
      </c>
      <c r="BT252" s="510">
        <v>0</v>
      </c>
      <c r="BU252" s="510">
        <v>0</v>
      </c>
      <c r="BV252" s="510">
        <v>0</v>
      </c>
      <c r="BW252" s="510">
        <v>0</v>
      </c>
      <c r="BX252" s="510">
        <v>30000</v>
      </c>
      <c r="BY252" s="1011">
        <v>0</v>
      </c>
      <c r="BZ252" s="510">
        <v>0</v>
      </c>
      <c r="CA252" s="1011">
        <v>0</v>
      </c>
      <c r="CB252" s="510">
        <v>0</v>
      </c>
      <c r="CC252" s="1011">
        <v>0</v>
      </c>
      <c r="CD252" s="510">
        <v>0</v>
      </c>
      <c r="CE252" s="1011">
        <v>0</v>
      </c>
      <c r="CF252" s="510">
        <v>55881.599999999999</v>
      </c>
      <c r="CG252" s="1011">
        <v>0</v>
      </c>
      <c r="CH252" s="510">
        <v>0</v>
      </c>
      <c r="CI252" s="1011">
        <v>0</v>
      </c>
    </row>
    <row r="253" spans="1:87" x14ac:dyDescent="0.2">
      <c r="A253" s="449">
        <v>124</v>
      </c>
      <c r="B253" s="453">
        <v>19289</v>
      </c>
      <c r="C253" s="454" t="s">
        <v>3356</v>
      </c>
      <c r="D253" s="454" t="s">
        <v>2000</v>
      </c>
      <c r="E253" s="454" t="s">
        <v>3357</v>
      </c>
      <c r="F253" s="454" t="s">
        <v>526</v>
      </c>
      <c r="G253" s="454" t="s">
        <v>12737</v>
      </c>
      <c r="H253" s="455">
        <v>7494157000160</v>
      </c>
      <c r="I253" s="462">
        <v>38518</v>
      </c>
      <c r="J253" s="457">
        <v>37585363</v>
      </c>
      <c r="K253" s="454" t="s">
        <v>2952</v>
      </c>
      <c r="L253" s="458">
        <v>347</v>
      </c>
      <c r="M253" s="454" t="s">
        <v>1838</v>
      </c>
      <c r="N253" s="459">
        <v>8141290</v>
      </c>
      <c r="O253" s="460">
        <v>25636224</v>
      </c>
      <c r="P253" s="462">
        <v>137033</v>
      </c>
      <c r="Q253" s="462">
        <v>124</v>
      </c>
      <c r="R253" s="462">
        <v>43928</v>
      </c>
      <c r="S253" s="463">
        <v>711</v>
      </c>
      <c r="T253" s="464">
        <v>3.6</v>
      </c>
      <c r="U253" s="465">
        <v>2559.6</v>
      </c>
      <c r="V253" s="465">
        <v>21240</v>
      </c>
      <c r="W253" s="466">
        <v>0</v>
      </c>
      <c r="X253" s="467">
        <v>1</v>
      </c>
      <c r="Y253" s="466">
        <v>35699.4</v>
      </c>
      <c r="Z253" s="468" t="s">
        <v>516</v>
      </c>
      <c r="AA253" s="466">
        <v>121120.2</v>
      </c>
      <c r="AB253" s="466">
        <v>121120.2</v>
      </c>
      <c r="AC253" s="467">
        <v>0</v>
      </c>
      <c r="AD253" s="466">
        <v>0</v>
      </c>
      <c r="AE253" s="468" t="s">
        <v>516</v>
      </c>
      <c r="AF253" s="466">
        <v>0</v>
      </c>
      <c r="AG253" s="466">
        <v>0</v>
      </c>
      <c r="AH253" s="466">
        <v>18005.38</v>
      </c>
      <c r="AI253" s="466">
        <v>1628.38</v>
      </c>
      <c r="AJ253" s="469" t="s">
        <v>1410</v>
      </c>
      <c r="AK253" s="470" t="s">
        <v>1411</v>
      </c>
      <c r="AL253" s="471" t="s">
        <v>3358</v>
      </c>
      <c r="AM253" s="470" t="s">
        <v>12738</v>
      </c>
      <c r="AN253" s="470" t="s">
        <v>1385</v>
      </c>
      <c r="AO253" s="470" t="s">
        <v>12739</v>
      </c>
      <c r="AP253" s="470" t="s">
        <v>3359</v>
      </c>
      <c r="AQ253" s="470" t="s">
        <v>3356</v>
      </c>
      <c r="AR253" s="472" t="s">
        <v>515</v>
      </c>
      <c r="AS253" s="473" t="s">
        <v>1385</v>
      </c>
      <c r="AT253" s="472" t="s">
        <v>2000</v>
      </c>
      <c r="AU253" s="472" t="s">
        <v>420</v>
      </c>
      <c r="AV253" s="472">
        <v>2020</v>
      </c>
      <c r="AW253" s="474" t="s">
        <v>15078</v>
      </c>
      <c r="AX253" s="475" t="s">
        <v>15079</v>
      </c>
      <c r="AY253" s="515">
        <v>1</v>
      </c>
      <c r="AZ253" s="474" t="s">
        <v>15079</v>
      </c>
      <c r="BA253" s="472" t="s">
        <v>2000</v>
      </c>
      <c r="BB253" s="472" t="s">
        <v>1385</v>
      </c>
      <c r="BC253" s="472" t="s">
        <v>1385</v>
      </c>
      <c r="BD253" s="472" t="s">
        <v>1385</v>
      </c>
      <c r="BE253" s="472" t="s">
        <v>1385</v>
      </c>
      <c r="BF253" s="472">
        <v>35699.4</v>
      </c>
      <c r="BG253" s="472">
        <v>0</v>
      </c>
      <c r="BH253" s="472" t="s">
        <v>1385</v>
      </c>
      <c r="BI253" s="510">
        <v>0</v>
      </c>
      <c r="BJ253" s="510">
        <v>0</v>
      </c>
      <c r="BK253" s="510">
        <v>0</v>
      </c>
      <c r="BL253" s="510">
        <v>0</v>
      </c>
      <c r="BM253" s="510">
        <v>0</v>
      </c>
      <c r="BN253" s="510">
        <v>3200</v>
      </c>
      <c r="BO253" s="510">
        <v>0</v>
      </c>
      <c r="BP253" s="510">
        <v>0</v>
      </c>
      <c r="BQ253" s="510">
        <v>0</v>
      </c>
      <c r="BR253" s="510">
        <v>0</v>
      </c>
      <c r="BS253" s="510">
        <v>0</v>
      </c>
      <c r="BT253" s="510">
        <v>0</v>
      </c>
      <c r="BU253" s="510">
        <v>0</v>
      </c>
      <c r="BV253" s="510">
        <v>0</v>
      </c>
      <c r="BW253" s="510">
        <v>0</v>
      </c>
      <c r="BX253" s="510">
        <v>30000</v>
      </c>
      <c r="BY253" s="1011">
        <v>0</v>
      </c>
      <c r="BZ253" s="510">
        <v>0</v>
      </c>
      <c r="CA253" s="1011">
        <v>0</v>
      </c>
      <c r="CB253" s="510">
        <v>0</v>
      </c>
      <c r="CC253" s="1011">
        <v>0</v>
      </c>
      <c r="CD253" s="510">
        <v>0</v>
      </c>
      <c r="CE253" s="1011">
        <v>0</v>
      </c>
      <c r="CF253" s="510">
        <v>55420.800000000003</v>
      </c>
      <c r="CG253" s="1011">
        <v>0</v>
      </c>
      <c r="CH253" s="510">
        <v>0</v>
      </c>
      <c r="CI253" s="1011">
        <v>0</v>
      </c>
    </row>
    <row r="254" spans="1:87" x14ac:dyDescent="0.2">
      <c r="A254" s="449">
        <v>135</v>
      </c>
      <c r="B254" s="453">
        <v>19290</v>
      </c>
      <c r="C254" s="454" t="s">
        <v>3360</v>
      </c>
      <c r="D254" s="454" t="s">
        <v>2000</v>
      </c>
      <c r="E254" s="454" t="s">
        <v>3361</v>
      </c>
      <c r="F254" s="454" t="s">
        <v>528</v>
      </c>
      <c r="G254" s="454" t="s">
        <v>12740</v>
      </c>
      <c r="H254" s="455">
        <v>7660860000109</v>
      </c>
      <c r="I254" s="462">
        <v>38516</v>
      </c>
      <c r="J254" s="457">
        <v>37375792</v>
      </c>
      <c r="K254" s="454" t="s">
        <v>3263</v>
      </c>
      <c r="L254" s="458">
        <v>226</v>
      </c>
      <c r="M254" s="454" t="s">
        <v>2120</v>
      </c>
      <c r="N254" s="459">
        <v>5185420</v>
      </c>
      <c r="O254" s="460">
        <v>39483923</v>
      </c>
      <c r="P254" s="462">
        <v>254790</v>
      </c>
      <c r="Q254" s="462">
        <v>135</v>
      </c>
      <c r="R254" s="462">
        <v>43938</v>
      </c>
      <c r="S254" s="463">
        <v>516</v>
      </c>
      <c r="T254" s="464">
        <v>3.6</v>
      </c>
      <c r="U254" s="465">
        <v>1857.6</v>
      </c>
      <c r="V254" s="465">
        <v>16560</v>
      </c>
      <c r="W254" s="466">
        <v>0</v>
      </c>
      <c r="X254" s="467">
        <v>1</v>
      </c>
      <c r="Y254" s="466">
        <v>27626.400000000001</v>
      </c>
      <c r="Z254" s="468" t="s">
        <v>516</v>
      </c>
      <c r="AA254" s="466">
        <v>109605.6</v>
      </c>
      <c r="AB254" s="466">
        <v>109605.6</v>
      </c>
      <c r="AC254" s="467">
        <v>0</v>
      </c>
      <c r="AD254" s="466">
        <v>0</v>
      </c>
      <c r="AE254" s="468" t="s">
        <v>516</v>
      </c>
      <c r="AF254" s="466">
        <v>2000</v>
      </c>
      <c r="AG254" s="466">
        <v>2000</v>
      </c>
      <c r="AH254" s="466">
        <v>4697.09</v>
      </c>
      <c r="AI254" s="466">
        <v>22716.240000000002</v>
      </c>
      <c r="AJ254" s="469" t="s">
        <v>1422</v>
      </c>
      <c r="AK254" s="470" t="s">
        <v>1423</v>
      </c>
      <c r="AL254" s="471" t="s">
        <v>3362</v>
      </c>
      <c r="AM254" s="470" t="s">
        <v>3363</v>
      </c>
      <c r="AN254" s="470" t="s">
        <v>3364</v>
      </c>
      <c r="AO254" s="470" t="s">
        <v>12741</v>
      </c>
      <c r="AP254" s="470" t="s">
        <v>3267</v>
      </c>
      <c r="AQ254" s="470" t="s">
        <v>3360</v>
      </c>
      <c r="AR254" s="472" t="s">
        <v>515</v>
      </c>
      <c r="AS254" s="473" t="s">
        <v>1385</v>
      </c>
      <c r="AT254" s="472" t="s">
        <v>2000</v>
      </c>
      <c r="AU254" s="472" t="s">
        <v>420</v>
      </c>
      <c r="AV254" s="472">
        <v>2020</v>
      </c>
      <c r="AW254" s="474" t="s">
        <v>15078</v>
      </c>
      <c r="AX254" s="475" t="s">
        <v>15079</v>
      </c>
      <c r="AY254" s="515">
        <v>1</v>
      </c>
      <c r="AZ254" s="474" t="s">
        <v>15079</v>
      </c>
      <c r="BA254" s="472" t="s">
        <v>2000</v>
      </c>
      <c r="BB254" s="472" t="s">
        <v>1385</v>
      </c>
      <c r="BC254" s="472" t="s">
        <v>1385</v>
      </c>
      <c r="BD254" s="472" t="s">
        <v>1385</v>
      </c>
      <c r="BE254" s="472" t="s">
        <v>1385</v>
      </c>
      <c r="BF254" s="472">
        <v>27626.400000000001</v>
      </c>
      <c r="BG254" s="472">
        <v>0</v>
      </c>
      <c r="BH254" s="472" t="s">
        <v>1385</v>
      </c>
      <c r="BI254" s="510">
        <v>0</v>
      </c>
      <c r="BJ254" s="510">
        <v>19370.2</v>
      </c>
      <c r="BK254" s="510">
        <v>0</v>
      </c>
      <c r="BL254" s="510">
        <v>0</v>
      </c>
      <c r="BM254" s="510">
        <v>0</v>
      </c>
      <c r="BN254" s="510">
        <v>4000</v>
      </c>
      <c r="BO254" s="510">
        <v>0</v>
      </c>
      <c r="BP254" s="510">
        <v>2000</v>
      </c>
      <c r="BQ254" s="510">
        <v>0</v>
      </c>
      <c r="BR254" s="510">
        <v>0</v>
      </c>
      <c r="BS254" s="510">
        <v>0</v>
      </c>
      <c r="BT254" s="510">
        <v>0</v>
      </c>
      <c r="BU254" s="510">
        <v>0</v>
      </c>
      <c r="BV254" s="510">
        <v>0</v>
      </c>
      <c r="BW254" s="510">
        <v>0</v>
      </c>
      <c r="BX254" s="510">
        <v>30000</v>
      </c>
      <c r="BY254" s="1011">
        <v>0</v>
      </c>
      <c r="BZ254" s="510">
        <v>0</v>
      </c>
      <c r="CA254" s="1011">
        <v>0</v>
      </c>
      <c r="CB254" s="510">
        <v>0</v>
      </c>
      <c r="CC254" s="1011">
        <v>0</v>
      </c>
      <c r="CD254" s="510">
        <v>0</v>
      </c>
      <c r="CE254" s="1011">
        <v>0</v>
      </c>
      <c r="CF254" s="510">
        <v>51979.199999999997</v>
      </c>
      <c r="CG254" s="1011">
        <v>0</v>
      </c>
      <c r="CH254" s="510">
        <v>0</v>
      </c>
      <c r="CI254" s="1011">
        <v>0</v>
      </c>
    </row>
    <row r="255" spans="1:87" x14ac:dyDescent="0.2">
      <c r="A255" s="449">
        <v>61</v>
      </c>
      <c r="B255" s="453">
        <v>19291</v>
      </c>
      <c r="C255" s="454" t="s">
        <v>3365</v>
      </c>
      <c r="D255" s="454" t="s">
        <v>517</v>
      </c>
      <c r="E255" s="454" t="s">
        <v>3366</v>
      </c>
      <c r="F255" s="454" t="s">
        <v>521</v>
      </c>
      <c r="G255" s="454" t="s">
        <v>12742</v>
      </c>
      <c r="H255" s="455">
        <v>3724295000137</v>
      </c>
      <c r="I255" s="462">
        <v>36462</v>
      </c>
      <c r="J255" s="457">
        <v>37588893</v>
      </c>
      <c r="K255" s="454" t="s">
        <v>3367</v>
      </c>
      <c r="L255" s="458">
        <v>1</v>
      </c>
      <c r="M255" s="454" t="s">
        <v>3368</v>
      </c>
      <c r="N255" s="459">
        <v>4892000</v>
      </c>
      <c r="O255" s="460">
        <v>59204003</v>
      </c>
      <c r="P255" s="462">
        <v>99115</v>
      </c>
      <c r="Q255" s="462">
        <v>83</v>
      </c>
      <c r="R255" s="462">
        <v>43934</v>
      </c>
      <c r="S255" s="463">
        <v>1095</v>
      </c>
      <c r="T255" s="464">
        <v>5.4</v>
      </c>
      <c r="U255" s="465">
        <v>5913</v>
      </c>
      <c r="V255" s="465">
        <v>20340</v>
      </c>
      <c r="W255" s="466">
        <v>0</v>
      </c>
      <c r="X255" s="467">
        <v>1</v>
      </c>
      <c r="Y255" s="466">
        <v>39379.5</v>
      </c>
      <c r="Z255" s="468" t="s">
        <v>516</v>
      </c>
      <c r="AA255" s="466">
        <v>143529.1</v>
      </c>
      <c r="AB255" s="466">
        <v>143529.1</v>
      </c>
      <c r="AC255" s="467">
        <v>0</v>
      </c>
      <c r="AD255" s="466">
        <v>0</v>
      </c>
      <c r="AE255" s="468" t="s">
        <v>516</v>
      </c>
      <c r="AF255" s="466">
        <v>2000</v>
      </c>
      <c r="AG255" s="466">
        <v>2000</v>
      </c>
      <c r="AH255" s="466">
        <v>35611.17</v>
      </c>
      <c r="AI255" s="466">
        <v>10066.6</v>
      </c>
      <c r="AJ255" s="469" t="s">
        <v>1657</v>
      </c>
      <c r="AK255" s="470" t="s">
        <v>1632</v>
      </c>
      <c r="AL255" s="471" t="s">
        <v>3369</v>
      </c>
      <c r="AM255" s="470" t="s">
        <v>12743</v>
      </c>
      <c r="AN255" s="470" t="s">
        <v>1385</v>
      </c>
      <c r="AO255" s="470" t="s">
        <v>12744</v>
      </c>
      <c r="AP255" s="470" t="s">
        <v>3368</v>
      </c>
      <c r="AQ255" s="470" t="s">
        <v>3365</v>
      </c>
      <c r="AR255" s="472" t="s">
        <v>515</v>
      </c>
      <c r="AS255" s="473" t="s">
        <v>1385</v>
      </c>
      <c r="AT255" s="472" t="s">
        <v>517</v>
      </c>
      <c r="AU255" s="472" t="s">
        <v>420</v>
      </c>
      <c r="AV255" s="472">
        <v>2020</v>
      </c>
      <c r="AW255" s="474" t="s">
        <v>15078</v>
      </c>
      <c r="AX255" s="475" t="s">
        <v>15079</v>
      </c>
      <c r="AY255" s="515">
        <v>1</v>
      </c>
      <c r="AZ255" s="474" t="s">
        <v>15079</v>
      </c>
      <c r="BA255" s="472" t="s">
        <v>517</v>
      </c>
      <c r="BB255" s="472" t="s">
        <v>1385</v>
      </c>
      <c r="BC255" s="472" t="s">
        <v>1385</v>
      </c>
      <c r="BD255" s="472" t="s">
        <v>1385</v>
      </c>
      <c r="BE255" s="472" t="s">
        <v>1385</v>
      </c>
      <c r="BF255" s="472">
        <v>39379.5</v>
      </c>
      <c r="BG255" s="472">
        <v>0</v>
      </c>
      <c r="BH255" s="472" t="s">
        <v>1385</v>
      </c>
      <c r="BI255" s="510">
        <v>0</v>
      </c>
      <c r="BJ255" s="510">
        <v>0</v>
      </c>
      <c r="BK255" s="510">
        <v>0</v>
      </c>
      <c r="BL255" s="510">
        <v>492.51</v>
      </c>
      <c r="BM255" s="510">
        <v>0</v>
      </c>
      <c r="BN255" s="510">
        <v>5000</v>
      </c>
      <c r="BO255" s="510">
        <v>0</v>
      </c>
      <c r="BP255" s="510">
        <v>2000</v>
      </c>
      <c r="BQ255" s="510">
        <v>0</v>
      </c>
      <c r="BR255" s="510">
        <v>0</v>
      </c>
      <c r="BS255" s="510">
        <v>0</v>
      </c>
      <c r="BT255" s="510">
        <v>0</v>
      </c>
      <c r="BU255" s="510">
        <v>0</v>
      </c>
      <c r="BV255" s="510">
        <v>0</v>
      </c>
      <c r="BW255" s="510">
        <v>0</v>
      </c>
      <c r="BX255" s="510">
        <v>30000</v>
      </c>
      <c r="BY255" s="1011">
        <v>0</v>
      </c>
      <c r="BZ255" s="510">
        <v>0</v>
      </c>
      <c r="CA255" s="1011">
        <v>0</v>
      </c>
      <c r="CB255" s="510">
        <v>22000</v>
      </c>
      <c r="CC255" s="1011">
        <v>0</v>
      </c>
      <c r="CD255" s="510">
        <v>0</v>
      </c>
      <c r="CE255" s="1011">
        <v>0</v>
      </c>
      <c r="CF255" s="510">
        <v>52149.599999999999</v>
      </c>
      <c r="CG255" s="1011">
        <v>0</v>
      </c>
      <c r="CH255" s="510">
        <v>0</v>
      </c>
      <c r="CI255" s="1011">
        <v>0</v>
      </c>
    </row>
    <row r="256" spans="1:87" x14ac:dyDescent="0.2">
      <c r="A256" s="449">
        <v>132</v>
      </c>
      <c r="B256" s="453">
        <v>19293</v>
      </c>
      <c r="C256" s="454" t="s">
        <v>3370</v>
      </c>
      <c r="D256" s="454" t="s">
        <v>2000</v>
      </c>
      <c r="E256" s="454" t="s">
        <v>3371</v>
      </c>
      <c r="F256" s="454" t="s">
        <v>513</v>
      </c>
      <c r="G256" s="454" t="s">
        <v>12745</v>
      </c>
      <c r="H256" s="455">
        <v>7751321000177</v>
      </c>
      <c r="I256" s="462">
        <v>38656</v>
      </c>
      <c r="J256" s="457">
        <v>37531395</v>
      </c>
      <c r="K256" s="454" t="s">
        <v>3372</v>
      </c>
      <c r="L256" s="458">
        <v>201</v>
      </c>
      <c r="M256" s="454" t="s">
        <v>3373</v>
      </c>
      <c r="N256" s="459">
        <v>8341240</v>
      </c>
      <c r="O256" s="460">
        <v>27328129</v>
      </c>
      <c r="P256" s="462">
        <v>154760</v>
      </c>
      <c r="Q256" s="462">
        <v>132</v>
      </c>
      <c r="R256" s="462">
        <v>43937</v>
      </c>
      <c r="S256" s="463">
        <v>482</v>
      </c>
      <c r="T256" s="464">
        <v>3.6</v>
      </c>
      <c r="U256" s="465">
        <v>1735.2</v>
      </c>
      <c r="V256" s="465">
        <v>15120</v>
      </c>
      <c r="W256" s="466">
        <v>0</v>
      </c>
      <c r="X256" s="467">
        <v>1</v>
      </c>
      <c r="Y256" s="466">
        <v>25282.799999999999</v>
      </c>
      <c r="Z256" s="468" t="s">
        <v>516</v>
      </c>
      <c r="AA256" s="466">
        <v>107146.8</v>
      </c>
      <c r="AB256" s="466">
        <v>107146.8</v>
      </c>
      <c r="AC256" s="467">
        <v>0</v>
      </c>
      <c r="AD256" s="466">
        <v>0</v>
      </c>
      <c r="AE256" s="468" t="s">
        <v>516</v>
      </c>
      <c r="AF256" s="466">
        <v>0</v>
      </c>
      <c r="AG256" s="466">
        <v>0</v>
      </c>
      <c r="AH256" s="466">
        <v>27465.74</v>
      </c>
      <c r="AI256" s="466">
        <v>2608.3200000000002</v>
      </c>
      <c r="AJ256" s="469" t="s">
        <v>2520</v>
      </c>
      <c r="AK256" s="470" t="s">
        <v>2521</v>
      </c>
      <c r="AL256" s="471" t="s">
        <v>3374</v>
      </c>
      <c r="AM256" s="470" t="s">
        <v>12746</v>
      </c>
      <c r="AN256" s="470" t="s">
        <v>3375</v>
      </c>
      <c r="AO256" s="470" t="s">
        <v>3376</v>
      </c>
      <c r="AP256" s="470" t="s">
        <v>3377</v>
      </c>
      <c r="AQ256" s="470" t="s">
        <v>3370</v>
      </c>
      <c r="AR256" s="472" t="s">
        <v>515</v>
      </c>
      <c r="AS256" s="473" t="s">
        <v>1385</v>
      </c>
      <c r="AT256" s="472" t="s">
        <v>2000</v>
      </c>
      <c r="AU256" s="472" t="s">
        <v>420</v>
      </c>
      <c r="AV256" s="472">
        <v>2020</v>
      </c>
      <c r="AW256" s="474" t="s">
        <v>15078</v>
      </c>
      <c r="AX256" s="475" t="s">
        <v>15079</v>
      </c>
      <c r="AY256" s="515">
        <v>1</v>
      </c>
      <c r="AZ256" s="474" t="s">
        <v>15079</v>
      </c>
      <c r="BA256" s="472" t="s">
        <v>2000</v>
      </c>
      <c r="BB256" s="472" t="s">
        <v>1385</v>
      </c>
      <c r="BC256" s="472" t="s">
        <v>1385</v>
      </c>
      <c r="BD256" s="472" t="s">
        <v>1385</v>
      </c>
      <c r="BE256" s="472" t="s">
        <v>1385</v>
      </c>
      <c r="BF256" s="472">
        <v>25282.799999999999</v>
      </c>
      <c r="BG256" s="472">
        <v>0</v>
      </c>
      <c r="BH256" s="472" t="s">
        <v>1385</v>
      </c>
      <c r="BI256" s="510">
        <v>0</v>
      </c>
      <c r="BJ256" s="510">
        <v>0</v>
      </c>
      <c r="BK256" s="510">
        <v>0</v>
      </c>
      <c r="BL256" s="510">
        <v>0</v>
      </c>
      <c r="BM256" s="510">
        <v>0</v>
      </c>
      <c r="BN256" s="510">
        <v>4000</v>
      </c>
      <c r="BO256" s="510">
        <v>0</v>
      </c>
      <c r="BP256" s="510">
        <v>0</v>
      </c>
      <c r="BQ256" s="510">
        <v>0</v>
      </c>
      <c r="BR256" s="510">
        <v>0</v>
      </c>
      <c r="BS256" s="510">
        <v>0</v>
      </c>
      <c r="BT256" s="510">
        <v>0</v>
      </c>
      <c r="BU256" s="510">
        <v>0</v>
      </c>
      <c r="BV256" s="510">
        <v>0</v>
      </c>
      <c r="BW256" s="510">
        <v>0</v>
      </c>
      <c r="BX256" s="510">
        <v>30000</v>
      </c>
      <c r="BY256" s="1011">
        <v>0</v>
      </c>
      <c r="BZ256" s="510">
        <v>0</v>
      </c>
      <c r="CA256" s="1011">
        <v>0</v>
      </c>
      <c r="CB256" s="510">
        <v>0</v>
      </c>
      <c r="CC256" s="1011">
        <v>0</v>
      </c>
      <c r="CD256" s="510">
        <v>0</v>
      </c>
      <c r="CE256" s="1011">
        <v>0</v>
      </c>
      <c r="CF256" s="510">
        <v>51864</v>
      </c>
      <c r="CG256" s="1011">
        <v>0</v>
      </c>
      <c r="CH256" s="510">
        <v>0</v>
      </c>
      <c r="CI256" s="1011">
        <v>0</v>
      </c>
    </row>
    <row r="257" spans="1:87" x14ac:dyDescent="0.2">
      <c r="A257" s="449">
        <v>98</v>
      </c>
      <c r="B257" s="453">
        <v>19295</v>
      </c>
      <c r="C257" s="454" t="s">
        <v>3378</v>
      </c>
      <c r="D257" s="454" t="s">
        <v>2000</v>
      </c>
      <c r="E257" s="454" t="s">
        <v>3379</v>
      </c>
      <c r="F257" s="454" t="s">
        <v>521</v>
      </c>
      <c r="G257" s="454" t="s">
        <v>12747</v>
      </c>
      <c r="H257" s="455">
        <v>7290080000106</v>
      </c>
      <c r="I257" s="462">
        <v>38247</v>
      </c>
      <c r="J257" s="457">
        <v>37551850</v>
      </c>
      <c r="K257" s="454" t="s">
        <v>3293</v>
      </c>
      <c r="L257" s="458" t="s">
        <v>1446</v>
      </c>
      <c r="M257" s="454" t="s">
        <v>3294</v>
      </c>
      <c r="N257" s="459">
        <v>4853015</v>
      </c>
      <c r="O257" s="460">
        <v>59765621</v>
      </c>
      <c r="P257" s="462">
        <v>99875</v>
      </c>
      <c r="Q257" s="462">
        <v>22</v>
      </c>
      <c r="R257" s="462">
        <v>43934</v>
      </c>
      <c r="S257" s="463">
        <v>694</v>
      </c>
      <c r="T257" s="464">
        <v>3.6</v>
      </c>
      <c r="U257" s="465">
        <v>2498.4</v>
      </c>
      <c r="V257" s="465">
        <v>18000</v>
      </c>
      <c r="W257" s="466">
        <v>0</v>
      </c>
      <c r="X257" s="467">
        <v>1</v>
      </c>
      <c r="Y257" s="466">
        <v>30747.599999999999</v>
      </c>
      <c r="Z257" s="468" t="s">
        <v>516</v>
      </c>
      <c r="AA257" s="466">
        <v>116744.4</v>
      </c>
      <c r="AB257" s="466">
        <v>116744.4</v>
      </c>
      <c r="AC257" s="467">
        <v>0</v>
      </c>
      <c r="AD257" s="466">
        <v>0</v>
      </c>
      <c r="AE257" s="468" t="s">
        <v>516</v>
      </c>
      <c r="AF257" s="466">
        <v>0</v>
      </c>
      <c r="AG257" s="466">
        <v>0</v>
      </c>
      <c r="AH257" s="466">
        <v>21091.8</v>
      </c>
      <c r="AI257" s="466">
        <v>0</v>
      </c>
      <c r="AJ257" s="469" t="s">
        <v>1624</v>
      </c>
      <c r="AK257" s="470" t="s">
        <v>1625</v>
      </c>
      <c r="AL257" s="471" t="s">
        <v>3380</v>
      </c>
      <c r="AM257" s="470" t="s">
        <v>12748</v>
      </c>
      <c r="AN257" s="470" t="s">
        <v>1385</v>
      </c>
      <c r="AO257" s="470" t="s">
        <v>14951</v>
      </c>
      <c r="AP257" s="470" t="s">
        <v>3296</v>
      </c>
      <c r="AQ257" s="470" t="s">
        <v>3378</v>
      </c>
      <c r="AR257" s="472" t="s">
        <v>515</v>
      </c>
      <c r="AS257" s="473" t="s">
        <v>1385</v>
      </c>
      <c r="AT257" s="472" t="s">
        <v>2000</v>
      </c>
      <c r="AU257" s="472" t="s">
        <v>420</v>
      </c>
      <c r="AV257" s="472">
        <v>2020</v>
      </c>
      <c r="AW257" s="474" t="s">
        <v>15078</v>
      </c>
      <c r="AX257" s="475" t="s">
        <v>15079</v>
      </c>
      <c r="AY257" s="515">
        <v>1</v>
      </c>
      <c r="AZ257" s="474" t="s">
        <v>15079</v>
      </c>
      <c r="BA257" s="472" t="s">
        <v>2000</v>
      </c>
      <c r="BB257" s="472" t="s">
        <v>1385</v>
      </c>
      <c r="BC257" s="472" t="s">
        <v>1385</v>
      </c>
      <c r="BD257" s="472" t="s">
        <v>1385</v>
      </c>
      <c r="BE257" s="472" t="s">
        <v>1385</v>
      </c>
      <c r="BF257" s="472">
        <v>30747.599999999999</v>
      </c>
      <c r="BG257" s="472">
        <v>0</v>
      </c>
      <c r="BH257" s="472" t="s">
        <v>1385</v>
      </c>
      <c r="BI257" s="510">
        <v>0</v>
      </c>
      <c r="BJ257" s="510">
        <v>3851.98</v>
      </c>
      <c r="BK257" s="510">
        <v>0</v>
      </c>
      <c r="BL257" s="510">
        <v>0</v>
      </c>
      <c r="BM257" s="510">
        <v>0</v>
      </c>
      <c r="BN257" s="510">
        <v>5000</v>
      </c>
      <c r="BO257" s="510">
        <v>0</v>
      </c>
      <c r="BP257" s="510">
        <v>0</v>
      </c>
      <c r="BQ257" s="510">
        <v>0</v>
      </c>
      <c r="BR257" s="510">
        <v>0</v>
      </c>
      <c r="BS257" s="510">
        <v>0</v>
      </c>
      <c r="BT257" s="510">
        <v>0</v>
      </c>
      <c r="BU257" s="510">
        <v>0</v>
      </c>
      <c r="BV257" s="510">
        <v>0</v>
      </c>
      <c r="BW257" s="510">
        <v>0</v>
      </c>
      <c r="BX257" s="510">
        <v>30000</v>
      </c>
      <c r="BY257" s="1011">
        <v>0</v>
      </c>
      <c r="BZ257" s="510">
        <v>0</v>
      </c>
      <c r="CA257" s="1011">
        <v>0</v>
      </c>
      <c r="CB257" s="510">
        <v>0</v>
      </c>
      <c r="CC257" s="1011">
        <v>0</v>
      </c>
      <c r="CD257" s="510">
        <v>0</v>
      </c>
      <c r="CE257" s="1011">
        <v>0</v>
      </c>
      <c r="CF257" s="510">
        <v>55996.800000000003</v>
      </c>
      <c r="CG257" s="1011">
        <v>0</v>
      </c>
      <c r="CH257" s="510">
        <v>0</v>
      </c>
      <c r="CI257" s="1011">
        <v>0</v>
      </c>
    </row>
    <row r="258" spans="1:87" x14ac:dyDescent="0.2">
      <c r="A258" s="449">
        <v>136</v>
      </c>
      <c r="B258" s="453">
        <v>19296</v>
      </c>
      <c r="C258" s="454" t="s">
        <v>3382</v>
      </c>
      <c r="D258" s="454" t="s">
        <v>2000</v>
      </c>
      <c r="E258" s="454" t="s">
        <v>3383</v>
      </c>
      <c r="F258" s="454" t="s">
        <v>528</v>
      </c>
      <c r="G258" s="454" t="s">
        <v>12749</v>
      </c>
      <c r="H258" s="455">
        <v>7583020000181</v>
      </c>
      <c r="I258" s="462">
        <v>38561</v>
      </c>
      <c r="J258" s="457">
        <v>37375830</v>
      </c>
      <c r="K258" s="454" t="s">
        <v>3385</v>
      </c>
      <c r="L258" s="458">
        <v>840</v>
      </c>
      <c r="M258" s="454" t="s">
        <v>3300</v>
      </c>
      <c r="N258" s="459">
        <v>5160030</v>
      </c>
      <c r="O258" s="460">
        <v>39018732</v>
      </c>
      <c r="P258" s="462">
        <v>270272</v>
      </c>
      <c r="Q258" s="462">
        <v>136</v>
      </c>
      <c r="R258" s="462">
        <v>43938</v>
      </c>
      <c r="S258" s="463">
        <v>480</v>
      </c>
      <c r="T258" s="464">
        <v>3.6</v>
      </c>
      <c r="U258" s="465">
        <v>1728</v>
      </c>
      <c r="V258" s="465">
        <v>15120</v>
      </c>
      <c r="W258" s="466">
        <v>0</v>
      </c>
      <c r="X258" s="467">
        <v>1</v>
      </c>
      <c r="Y258" s="466">
        <v>25272</v>
      </c>
      <c r="Z258" s="468" t="s">
        <v>516</v>
      </c>
      <c r="AA258" s="466">
        <v>104068.8</v>
      </c>
      <c r="AB258" s="466">
        <v>104068.8</v>
      </c>
      <c r="AC258" s="467">
        <v>0</v>
      </c>
      <c r="AD258" s="466">
        <v>0</v>
      </c>
      <c r="AE258" s="468" t="s">
        <v>516</v>
      </c>
      <c r="AF258" s="466">
        <v>0</v>
      </c>
      <c r="AG258" s="466">
        <v>0</v>
      </c>
      <c r="AH258" s="466">
        <v>39220.17</v>
      </c>
      <c r="AI258" s="466">
        <v>11941.45</v>
      </c>
      <c r="AJ258" s="469" t="s">
        <v>1422</v>
      </c>
      <c r="AK258" s="470" t="s">
        <v>1423</v>
      </c>
      <c r="AL258" s="471" t="s">
        <v>3386</v>
      </c>
      <c r="AM258" s="470" t="s">
        <v>3387</v>
      </c>
      <c r="AN258" s="470" t="s">
        <v>3384</v>
      </c>
      <c r="AO258" s="470" t="s">
        <v>12750</v>
      </c>
      <c r="AP258" s="470" t="s">
        <v>3304</v>
      </c>
      <c r="AQ258" s="470" t="s">
        <v>3382</v>
      </c>
      <c r="AR258" s="472" t="s">
        <v>515</v>
      </c>
      <c r="AS258" s="473" t="s">
        <v>1385</v>
      </c>
      <c r="AT258" s="472" t="s">
        <v>2000</v>
      </c>
      <c r="AU258" s="472" t="s">
        <v>420</v>
      </c>
      <c r="AV258" s="472">
        <v>2020</v>
      </c>
      <c r="AW258" s="474" t="s">
        <v>15078</v>
      </c>
      <c r="AX258" s="475" t="s">
        <v>15079</v>
      </c>
      <c r="AY258" s="515">
        <v>1</v>
      </c>
      <c r="AZ258" s="474" t="s">
        <v>15079</v>
      </c>
      <c r="BA258" s="472" t="s">
        <v>2000</v>
      </c>
      <c r="BB258" s="472" t="s">
        <v>1385</v>
      </c>
      <c r="BC258" s="472" t="s">
        <v>1385</v>
      </c>
      <c r="BD258" s="472" t="s">
        <v>1385</v>
      </c>
      <c r="BE258" s="472" t="s">
        <v>1385</v>
      </c>
      <c r="BF258" s="472">
        <v>25272</v>
      </c>
      <c r="BG258" s="472">
        <v>0</v>
      </c>
      <c r="BH258" s="472" t="s">
        <v>1385</v>
      </c>
      <c r="BI258" s="510">
        <v>0</v>
      </c>
      <c r="BJ258" s="510">
        <v>664.2</v>
      </c>
      <c r="BK258" s="510">
        <v>0</v>
      </c>
      <c r="BL258" s="510">
        <v>0</v>
      </c>
      <c r="BM258" s="510">
        <v>0</v>
      </c>
      <c r="BN258" s="510">
        <v>4000</v>
      </c>
      <c r="BO258" s="510">
        <v>0</v>
      </c>
      <c r="BP258" s="510">
        <v>0</v>
      </c>
      <c r="BQ258" s="510">
        <v>0</v>
      </c>
      <c r="BR258" s="510">
        <v>0</v>
      </c>
      <c r="BS258" s="510">
        <v>0</v>
      </c>
      <c r="BT258" s="510">
        <v>0</v>
      </c>
      <c r="BU258" s="510">
        <v>0</v>
      </c>
      <c r="BV258" s="510">
        <v>0</v>
      </c>
      <c r="BW258" s="510">
        <v>0</v>
      </c>
      <c r="BX258" s="510">
        <v>30000</v>
      </c>
      <c r="BY258" s="1011">
        <v>0</v>
      </c>
      <c r="BZ258" s="510">
        <v>0</v>
      </c>
      <c r="CA258" s="1011">
        <v>0</v>
      </c>
      <c r="CB258" s="510">
        <v>0</v>
      </c>
      <c r="CC258" s="1011">
        <v>0</v>
      </c>
      <c r="CD258" s="510">
        <v>0</v>
      </c>
      <c r="CE258" s="1011">
        <v>0</v>
      </c>
      <c r="CF258" s="510">
        <v>48796.800000000003</v>
      </c>
      <c r="CG258" s="1011">
        <v>0</v>
      </c>
      <c r="CH258" s="510">
        <v>0</v>
      </c>
      <c r="CI258" s="1011">
        <v>0</v>
      </c>
    </row>
    <row r="259" spans="1:87" x14ac:dyDescent="0.2">
      <c r="A259" s="449">
        <v>127</v>
      </c>
      <c r="B259" s="453">
        <v>19297</v>
      </c>
      <c r="C259" s="454" t="s">
        <v>3388</v>
      </c>
      <c r="D259" s="454" t="s">
        <v>2000</v>
      </c>
      <c r="E259" s="454" t="s">
        <v>3389</v>
      </c>
      <c r="F259" s="454" t="s">
        <v>526</v>
      </c>
      <c r="G259" s="454" t="s">
        <v>12751</v>
      </c>
      <c r="H259" s="455">
        <v>7078049000106</v>
      </c>
      <c r="I259" s="462">
        <v>38176</v>
      </c>
      <c r="J259" s="457">
        <v>37590286</v>
      </c>
      <c r="K259" s="454" t="s">
        <v>3390</v>
      </c>
      <c r="L259" s="458">
        <v>3400</v>
      </c>
      <c r="M259" s="454" t="s">
        <v>3391</v>
      </c>
      <c r="N259" s="459">
        <v>8115000</v>
      </c>
      <c r="O259" s="460">
        <v>25636132</v>
      </c>
      <c r="P259" s="462">
        <v>141774</v>
      </c>
      <c r="Q259" s="462">
        <v>127</v>
      </c>
      <c r="R259" s="462">
        <v>43928</v>
      </c>
      <c r="S259" s="463">
        <v>522</v>
      </c>
      <c r="T259" s="464">
        <v>3.6</v>
      </c>
      <c r="U259" s="465">
        <v>1879.2</v>
      </c>
      <c r="V259" s="465">
        <v>16560</v>
      </c>
      <c r="W259" s="466">
        <v>0</v>
      </c>
      <c r="X259" s="467">
        <v>1</v>
      </c>
      <c r="Y259" s="466">
        <v>27658.799999999999</v>
      </c>
      <c r="Z259" s="468" t="s">
        <v>516</v>
      </c>
      <c r="AA259" s="466">
        <v>113122.8</v>
      </c>
      <c r="AB259" s="466">
        <v>113122.8</v>
      </c>
      <c r="AC259" s="467">
        <v>0</v>
      </c>
      <c r="AD259" s="466">
        <v>0</v>
      </c>
      <c r="AE259" s="468" t="s">
        <v>516</v>
      </c>
      <c r="AF259" s="466">
        <v>0</v>
      </c>
      <c r="AG259" s="466">
        <v>0</v>
      </c>
      <c r="AH259" s="466">
        <v>4878.53</v>
      </c>
      <c r="AI259" s="466">
        <v>12123.21</v>
      </c>
      <c r="AJ259" s="469" t="s">
        <v>3392</v>
      </c>
      <c r="AK259" s="470" t="s">
        <v>526</v>
      </c>
      <c r="AL259" s="471" t="s">
        <v>3393</v>
      </c>
      <c r="AM259" s="470" t="s">
        <v>3394</v>
      </c>
      <c r="AN259" s="470" t="s">
        <v>1385</v>
      </c>
      <c r="AO259" s="470" t="s">
        <v>3395</v>
      </c>
      <c r="AP259" s="470" t="s">
        <v>3396</v>
      </c>
      <c r="AQ259" s="470" t="s">
        <v>3388</v>
      </c>
      <c r="AR259" s="472" t="s">
        <v>515</v>
      </c>
      <c r="AS259" s="473" t="s">
        <v>1385</v>
      </c>
      <c r="AT259" s="472" t="s">
        <v>2000</v>
      </c>
      <c r="AU259" s="472" t="s">
        <v>420</v>
      </c>
      <c r="AV259" s="472">
        <v>2020</v>
      </c>
      <c r="AW259" s="474" t="s">
        <v>15078</v>
      </c>
      <c r="AX259" s="475" t="s">
        <v>15079</v>
      </c>
      <c r="AY259" s="515">
        <v>1</v>
      </c>
      <c r="AZ259" s="474" t="s">
        <v>15079</v>
      </c>
      <c r="BA259" s="472" t="s">
        <v>2000</v>
      </c>
      <c r="BB259" s="472" t="s">
        <v>1385</v>
      </c>
      <c r="BC259" s="472" t="s">
        <v>1385</v>
      </c>
      <c r="BD259" s="472" t="s">
        <v>1385</v>
      </c>
      <c r="BE259" s="472" t="s">
        <v>1385</v>
      </c>
      <c r="BF259" s="472">
        <v>27658.799999999999</v>
      </c>
      <c r="BG259" s="472">
        <v>0</v>
      </c>
      <c r="BH259" s="472" t="s">
        <v>1385</v>
      </c>
      <c r="BI259" s="510">
        <v>0</v>
      </c>
      <c r="BJ259" s="510">
        <v>0</v>
      </c>
      <c r="BK259" s="510">
        <v>0</v>
      </c>
      <c r="BL259" s="510">
        <v>0</v>
      </c>
      <c r="BM259" s="510">
        <v>0</v>
      </c>
      <c r="BN259" s="510">
        <v>4000</v>
      </c>
      <c r="BO259" s="510">
        <v>0</v>
      </c>
      <c r="BP259" s="510">
        <v>0</v>
      </c>
      <c r="BQ259" s="510">
        <v>0</v>
      </c>
      <c r="BR259" s="510">
        <v>0</v>
      </c>
      <c r="BS259" s="510">
        <v>0</v>
      </c>
      <c r="BT259" s="510">
        <v>0</v>
      </c>
      <c r="BU259" s="510">
        <v>0</v>
      </c>
      <c r="BV259" s="510">
        <v>0</v>
      </c>
      <c r="BW259" s="510">
        <v>0</v>
      </c>
      <c r="BX259" s="510">
        <v>30000</v>
      </c>
      <c r="BY259" s="1011">
        <v>0</v>
      </c>
      <c r="BZ259" s="510">
        <v>0</v>
      </c>
      <c r="CA259" s="1011">
        <v>0</v>
      </c>
      <c r="CB259" s="510">
        <v>0</v>
      </c>
      <c r="CC259" s="1011">
        <v>0</v>
      </c>
      <c r="CD259" s="510">
        <v>0</v>
      </c>
      <c r="CE259" s="1011">
        <v>0</v>
      </c>
      <c r="CF259" s="510">
        <v>55464</v>
      </c>
      <c r="CG259" s="1011">
        <v>0</v>
      </c>
      <c r="CH259" s="510">
        <v>0</v>
      </c>
      <c r="CI259" s="1011">
        <v>0</v>
      </c>
    </row>
    <row r="260" spans="1:87" x14ac:dyDescent="0.2">
      <c r="A260" s="449">
        <v>131</v>
      </c>
      <c r="B260" s="453">
        <v>19299</v>
      </c>
      <c r="C260" s="454" t="s">
        <v>3397</v>
      </c>
      <c r="D260" s="454" t="s">
        <v>2000</v>
      </c>
      <c r="E260" s="454" t="s">
        <v>3398</v>
      </c>
      <c r="F260" s="454" t="s">
        <v>513</v>
      </c>
      <c r="G260" s="454" t="s">
        <v>12752</v>
      </c>
      <c r="H260" s="455">
        <v>7755104000155</v>
      </c>
      <c r="I260" s="462">
        <v>38667</v>
      </c>
      <c r="J260" s="457">
        <v>37411535</v>
      </c>
      <c r="K260" s="454" t="s">
        <v>3399</v>
      </c>
      <c r="L260" s="458">
        <v>113</v>
      </c>
      <c r="M260" s="454" t="s">
        <v>3400</v>
      </c>
      <c r="N260" s="459">
        <v>3978500</v>
      </c>
      <c r="O260" s="460">
        <v>27012333</v>
      </c>
      <c r="P260" s="462">
        <v>154710</v>
      </c>
      <c r="Q260" s="462">
        <v>131</v>
      </c>
      <c r="R260" s="462">
        <v>43937</v>
      </c>
      <c r="S260" s="463">
        <v>342</v>
      </c>
      <c r="T260" s="464">
        <v>3.6</v>
      </c>
      <c r="U260" s="465">
        <v>1231.2</v>
      </c>
      <c r="V260" s="465">
        <v>13680</v>
      </c>
      <c r="W260" s="466">
        <v>0</v>
      </c>
      <c r="X260" s="467">
        <v>1</v>
      </c>
      <c r="Y260" s="466">
        <v>22366.799999999999</v>
      </c>
      <c r="Z260" s="468" t="s">
        <v>516</v>
      </c>
      <c r="AA260" s="466">
        <v>111185.2</v>
      </c>
      <c r="AB260" s="466">
        <v>111185.2</v>
      </c>
      <c r="AC260" s="467">
        <v>0</v>
      </c>
      <c r="AD260" s="466">
        <v>0</v>
      </c>
      <c r="AE260" s="468" t="s">
        <v>516</v>
      </c>
      <c r="AF260" s="466">
        <v>0</v>
      </c>
      <c r="AG260" s="466">
        <v>0</v>
      </c>
      <c r="AH260" s="466">
        <v>12354.06</v>
      </c>
      <c r="AI260" s="466">
        <v>5964.48</v>
      </c>
      <c r="AJ260" s="469" t="s">
        <v>2491</v>
      </c>
      <c r="AK260" s="470" t="s">
        <v>2492</v>
      </c>
      <c r="AL260" s="471" t="s">
        <v>3401</v>
      </c>
      <c r="AM260" s="470" t="s">
        <v>12753</v>
      </c>
      <c r="AN260" s="470" t="s">
        <v>3402</v>
      </c>
      <c r="AO260" s="470" t="s">
        <v>3403</v>
      </c>
      <c r="AP260" s="470" t="s">
        <v>3404</v>
      </c>
      <c r="AQ260" s="470" t="s">
        <v>3397</v>
      </c>
      <c r="AR260" s="472" t="s">
        <v>515</v>
      </c>
      <c r="AS260" s="473" t="s">
        <v>1385</v>
      </c>
      <c r="AT260" s="472" t="s">
        <v>2000</v>
      </c>
      <c r="AU260" s="472" t="s">
        <v>420</v>
      </c>
      <c r="AV260" s="472">
        <v>2020</v>
      </c>
      <c r="AW260" s="474" t="s">
        <v>15078</v>
      </c>
      <c r="AX260" s="475" t="s">
        <v>15079</v>
      </c>
      <c r="AY260" s="515">
        <v>1</v>
      </c>
      <c r="AZ260" s="474" t="s">
        <v>15079</v>
      </c>
      <c r="BA260" s="472" t="s">
        <v>2000</v>
      </c>
      <c r="BB260" s="472" t="s">
        <v>1385</v>
      </c>
      <c r="BC260" s="472" t="s">
        <v>1385</v>
      </c>
      <c r="BD260" s="472" t="s">
        <v>1385</v>
      </c>
      <c r="BE260" s="472" t="s">
        <v>1385</v>
      </c>
      <c r="BF260" s="472">
        <v>22366.799999999999</v>
      </c>
      <c r="BG260" s="472">
        <v>0</v>
      </c>
      <c r="BH260" s="472" t="s">
        <v>1385</v>
      </c>
      <c r="BI260" s="510">
        <v>0</v>
      </c>
      <c r="BJ260" s="510">
        <v>0</v>
      </c>
      <c r="BK260" s="510">
        <v>0</v>
      </c>
      <c r="BL260" s="510">
        <v>0</v>
      </c>
      <c r="BM260" s="510">
        <v>0</v>
      </c>
      <c r="BN260" s="510">
        <v>3500</v>
      </c>
      <c r="BO260" s="510">
        <v>0</v>
      </c>
      <c r="BP260" s="510">
        <v>0</v>
      </c>
      <c r="BQ260" s="510">
        <v>0</v>
      </c>
      <c r="BR260" s="510">
        <v>0</v>
      </c>
      <c r="BS260" s="510">
        <v>0</v>
      </c>
      <c r="BT260" s="510">
        <v>0</v>
      </c>
      <c r="BU260" s="510">
        <v>0</v>
      </c>
      <c r="BV260" s="510">
        <v>0</v>
      </c>
      <c r="BW260" s="510">
        <v>0</v>
      </c>
      <c r="BX260" s="510">
        <v>30000</v>
      </c>
      <c r="BY260" s="1011">
        <v>0</v>
      </c>
      <c r="BZ260" s="510">
        <v>0</v>
      </c>
      <c r="CA260" s="1011">
        <v>0</v>
      </c>
      <c r="CB260" s="510">
        <v>0</v>
      </c>
      <c r="CC260" s="1011">
        <v>0</v>
      </c>
      <c r="CD260" s="510">
        <v>0</v>
      </c>
      <c r="CE260" s="1011">
        <v>0</v>
      </c>
      <c r="CF260" s="510">
        <v>58818.400000000001</v>
      </c>
      <c r="CG260" s="1011">
        <v>0</v>
      </c>
      <c r="CH260" s="510">
        <v>0</v>
      </c>
      <c r="CI260" s="1011">
        <v>0</v>
      </c>
    </row>
    <row r="261" spans="1:87" x14ac:dyDescent="0.2">
      <c r="A261" s="449">
        <v>79</v>
      </c>
      <c r="B261" s="453">
        <v>19300</v>
      </c>
      <c r="C261" s="454" t="s">
        <v>3405</v>
      </c>
      <c r="D261" s="454" t="s">
        <v>1390</v>
      </c>
      <c r="E261" s="454" t="s">
        <v>3406</v>
      </c>
      <c r="F261" s="454" t="s">
        <v>521</v>
      </c>
      <c r="G261" s="454" t="s">
        <v>12754</v>
      </c>
      <c r="H261" s="455">
        <v>7749853000170</v>
      </c>
      <c r="I261" s="462">
        <v>38461</v>
      </c>
      <c r="J261" s="457">
        <v>37553127</v>
      </c>
      <c r="K261" s="454" t="s">
        <v>3407</v>
      </c>
      <c r="L261" s="458">
        <v>161</v>
      </c>
      <c r="M261" s="454" t="s">
        <v>3408</v>
      </c>
      <c r="N261" s="459">
        <v>4883210</v>
      </c>
      <c r="O261" s="460">
        <v>59208156</v>
      </c>
      <c r="P261" s="462">
        <v>88970</v>
      </c>
      <c r="Q261" s="462">
        <v>75</v>
      </c>
      <c r="R261" s="462">
        <v>43934</v>
      </c>
      <c r="S261" s="463">
        <v>405</v>
      </c>
      <c r="T261" s="464">
        <v>3.6</v>
      </c>
      <c r="U261" s="465">
        <v>1458</v>
      </c>
      <c r="V261" s="465">
        <v>15120</v>
      </c>
      <c r="W261" s="466">
        <v>0</v>
      </c>
      <c r="X261" s="467">
        <v>1</v>
      </c>
      <c r="Y261" s="466">
        <v>24867</v>
      </c>
      <c r="Z261" s="468" t="s">
        <v>516</v>
      </c>
      <c r="AA261" s="466">
        <v>99948.6</v>
      </c>
      <c r="AB261" s="466">
        <v>99948.6</v>
      </c>
      <c r="AC261" s="467">
        <v>0</v>
      </c>
      <c r="AD261" s="466">
        <v>0</v>
      </c>
      <c r="AE261" s="468" t="s">
        <v>516</v>
      </c>
      <c r="AF261" s="466">
        <v>0</v>
      </c>
      <c r="AG261" s="466">
        <v>0</v>
      </c>
      <c r="AH261" s="466">
        <v>30804.45</v>
      </c>
      <c r="AI261" s="466">
        <v>403.37</v>
      </c>
      <c r="AJ261" s="469" t="s">
        <v>1481</v>
      </c>
      <c r="AK261" s="470" t="s">
        <v>1632</v>
      </c>
      <c r="AL261" s="471" t="s">
        <v>3409</v>
      </c>
      <c r="AM261" s="470" t="s">
        <v>3410</v>
      </c>
      <c r="AN261" s="470" t="s">
        <v>1385</v>
      </c>
      <c r="AO261" s="470" t="s">
        <v>14927</v>
      </c>
      <c r="AP261" s="470" t="s">
        <v>3411</v>
      </c>
      <c r="AQ261" s="470" t="s">
        <v>3405</v>
      </c>
      <c r="AR261" s="472" t="s">
        <v>515</v>
      </c>
      <c r="AS261" s="473" t="s">
        <v>1385</v>
      </c>
      <c r="AT261" s="472" t="s">
        <v>1390</v>
      </c>
      <c r="AU261" s="472" t="s">
        <v>420</v>
      </c>
      <c r="AV261" s="472">
        <v>2020</v>
      </c>
      <c r="AW261" s="474" t="s">
        <v>15078</v>
      </c>
      <c r="AX261" s="475" t="s">
        <v>15079</v>
      </c>
      <c r="AY261" s="515">
        <v>1</v>
      </c>
      <c r="AZ261" s="474" t="s">
        <v>15079</v>
      </c>
      <c r="BA261" s="472" t="s">
        <v>1390</v>
      </c>
      <c r="BB261" s="472" t="s">
        <v>1385</v>
      </c>
      <c r="BC261" s="472" t="s">
        <v>1385</v>
      </c>
      <c r="BD261" s="472" t="s">
        <v>1385</v>
      </c>
      <c r="BE261" s="472" t="s">
        <v>1385</v>
      </c>
      <c r="BF261" s="472">
        <v>24867</v>
      </c>
      <c r="BG261" s="472">
        <v>0</v>
      </c>
      <c r="BH261" s="472" t="s">
        <v>1385</v>
      </c>
      <c r="BI261" s="510">
        <v>0</v>
      </c>
      <c r="BJ261" s="510">
        <v>0</v>
      </c>
      <c r="BK261" s="510">
        <v>0</v>
      </c>
      <c r="BL261" s="510">
        <v>0</v>
      </c>
      <c r="BM261" s="510">
        <v>0</v>
      </c>
      <c r="BN261" s="510">
        <v>4000</v>
      </c>
      <c r="BO261" s="510">
        <v>0</v>
      </c>
      <c r="BP261" s="510">
        <v>0</v>
      </c>
      <c r="BQ261" s="510">
        <v>0</v>
      </c>
      <c r="BR261" s="510">
        <v>0</v>
      </c>
      <c r="BS261" s="510">
        <v>0</v>
      </c>
      <c r="BT261" s="510">
        <v>0</v>
      </c>
      <c r="BU261" s="510">
        <v>0</v>
      </c>
      <c r="BV261" s="510">
        <v>0</v>
      </c>
      <c r="BW261" s="510">
        <v>0</v>
      </c>
      <c r="BX261" s="510">
        <v>30000</v>
      </c>
      <c r="BY261" s="1011">
        <v>0</v>
      </c>
      <c r="BZ261" s="510">
        <v>0</v>
      </c>
      <c r="CA261" s="1011">
        <v>0</v>
      </c>
      <c r="CB261" s="510">
        <v>0</v>
      </c>
      <c r="CC261" s="1011">
        <v>0</v>
      </c>
      <c r="CD261" s="510">
        <v>0</v>
      </c>
      <c r="CE261" s="1011">
        <v>0</v>
      </c>
      <c r="CF261" s="510">
        <v>45081.599999999999</v>
      </c>
      <c r="CG261" s="1011">
        <v>0</v>
      </c>
      <c r="CH261" s="510">
        <v>0</v>
      </c>
      <c r="CI261" s="1011">
        <v>0</v>
      </c>
    </row>
    <row r="262" spans="1:87" x14ac:dyDescent="0.2">
      <c r="A262" s="449">
        <v>82</v>
      </c>
      <c r="B262" s="453">
        <v>19301</v>
      </c>
      <c r="C262" s="454" t="s">
        <v>3412</v>
      </c>
      <c r="D262" s="454" t="s">
        <v>1390</v>
      </c>
      <c r="E262" s="454" t="s">
        <v>3413</v>
      </c>
      <c r="F262" s="454" t="s">
        <v>523</v>
      </c>
      <c r="G262" s="454" t="s">
        <v>12755</v>
      </c>
      <c r="H262" s="455">
        <v>7837191000190</v>
      </c>
      <c r="I262" s="462">
        <v>38639</v>
      </c>
      <c r="J262" s="457">
        <v>35363363</v>
      </c>
      <c r="K262" s="454" t="s">
        <v>3414</v>
      </c>
      <c r="L262" s="458" t="s">
        <v>1446</v>
      </c>
      <c r="M262" s="454" t="s">
        <v>523</v>
      </c>
      <c r="N262" s="459">
        <v>8411330</v>
      </c>
      <c r="O262" s="460">
        <v>20165605</v>
      </c>
      <c r="P262" s="462">
        <v>261354</v>
      </c>
      <c r="Q262" s="462">
        <v>82</v>
      </c>
      <c r="R262" s="462">
        <v>43921</v>
      </c>
      <c r="S262" s="463">
        <v>546</v>
      </c>
      <c r="T262" s="464">
        <v>3.6</v>
      </c>
      <c r="U262" s="465">
        <v>1965.6</v>
      </c>
      <c r="V262" s="465">
        <v>16560</v>
      </c>
      <c r="W262" s="466">
        <v>0</v>
      </c>
      <c r="X262" s="467">
        <v>1</v>
      </c>
      <c r="Y262" s="466">
        <v>27788.400000000001</v>
      </c>
      <c r="Z262" s="468" t="s">
        <v>516</v>
      </c>
      <c r="AA262" s="466">
        <v>109659.6</v>
      </c>
      <c r="AB262" s="466">
        <v>109659.6</v>
      </c>
      <c r="AC262" s="467">
        <v>0</v>
      </c>
      <c r="AD262" s="466">
        <v>0</v>
      </c>
      <c r="AE262" s="468" t="s">
        <v>516</v>
      </c>
      <c r="AF262" s="466">
        <v>0</v>
      </c>
      <c r="AG262" s="466">
        <v>0</v>
      </c>
      <c r="AH262" s="466">
        <v>16420.39</v>
      </c>
      <c r="AI262" s="466">
        <v>0.46</v>
      </c>
      <c r="AJ262" s="469" t="s">
        <v>1395</v>
      </c>
      <c r="AK262" s="470" t="s">
        <v>523</v>
      </c>
      <c r="AL262" s="471" t="s">
        <v>3415</v>
      </c>
      <c r="AM262" s="470" t="s">
        <v>12756</v>
      </c>
      <c r="AN262" s="470" t="s">
        <v>3416</v>
      </c>
      <c r="AO262" s="470" t="s">
        <v>12757</v>
      </c>
      <c r="AP262" s="470" t="s">
        <v>3417</v>
      </c>
      <c r="AQ262" s="470" t="s">
        <v>3412</v>
      </c>
      <c r="AR262" s="472" t="s">
        <v>515</v>
      </c>
      <c r="AS262" s="473" t="s">
        <v>1385</v>
      </c>
      <c r="AT262" s="472" t="s">
        <v>1390</v>
      </c>
      <c r="AU262" s="472" t="s">
        <v>420</v>
      </c>
      <c r="AV262" s="472">
        <v>2020</v>
      </c>
      <c r="AW262" s="474" t="s">
        <v>15078</v>
      </c>
      <c r="AX262" s="475" t="s">
        <v>15079</v>
      </c>
      <c r="AY262" s="515">
        <v>1</v>
      </c>
      <c r="AZ262" s="474" t="s">
        <v>15079</v>
      </c>
      <c r="BA262" s="472" t="s">
        <v>1390</v>
      </c>
      <c r="BB262" s="472" t="s">
        <v>1385</v>
      </c>
      <c r="BC262" s="472" t="s">
        <v>1385</v>
      </c>
      <c r="BD262" s="472" t="s">
        <v>1385</v>
      </c>
      <c r="BE262" s="472" t="s">
        <v>1385</v>
      </c>
      <c r="BF262" s="472">
        <v>27788.400000000001</v>
      </c>
      <c r="BG262" s="472">
        <v>0</v>
      </c>
      <c r="BH262" s="472" t="s">
        <v>1385</v>
      </c>
      <c r="BI262" s="510">
        <v>0</v>
      </c>
      <c r="BJ262" s="510">
        <v>0</v>
      </c>
      <c r="BK262" s="510">
        <v>0</v>
      </c>
      <c r="BL262" s="510">
        <v>0</v>
      </c>
      <c r="BM262" s="510">
        <v>0</v>
      </c>
      <c r="BN262" s="510">
        <v>4000</v>
      </c>
      <c r="BO262" s="510">
        <v>0</v>
      </c>
      <c r="BP262" s="510">
        <v>0</v>
      </c>
      <c r="BQ262" s="510">
        <v>0</v>
      </c>
      <c r="BR262" s="510">
        <v>0</v>
      </c>
      <c r="BS262" s="510">
        <v>0</v>
      </c>
      <c r="BT262" s="510">
        <v>0</v>
      </c>
      <c r="BU262" s="510">
        <v>0</v>
      </c>
      <c r="BV262" s="510">
        <v>0</v>
      </c>
      <c r="BW262" s="510">
        <v>0</v>
      </c>
      <c r="BX262" s="510">
        <v>30000</v>
      </c>
      <c r="BY262" s="1011">
        <v>0</v>
      </c>
      <c r="BZ262" s="510">
        <v>0</v>
      </c>
      <c r="CA262" s="1011">
        <v>0</v>
      </c>
      <c r="CB262" s="510">
        <v>0</v>
      </c>
      <c r="CC262" s="1011">
        <v>0</v>
      </c>
      <c r="CD262" s="510">
        <v>0</v>
      </c>
      <c r="CE262" s="1011">
        <v>0</v>
      </c>
      <c r="CF262" s="510">
        <v>51871.199999999997</v>
      </c>
      <c r="CG262" s="1011">
        <v>0</v>
      </c>
      <c r="CH262" s="510">
        <v>0</v>
      </c>
      <c r="CI262" s="1011">
        <v>0</v>
      </c>
    </row>
    <row r="263" spans="1:87" x14ac:dyDescent="0.2">
      <c r="A263" s="449">
        <v>164</v>
      </c>
      <c r="B263" s="453">
        <v>19302</v>
      </c>
      <c r="C263" s="454" t="s">
        <v>3418</v>
      </c>
      <c r="D263" s="454" t="s">
        <v>2000</v>
      </c>
      <c r="E263" s="454" t="s">
        <v>3419</v>
      </c>
      <c r="F263" s="454" t="s">
        <v>520</v>
      </c>
      <c r="G263" s="454" t="s">
        <v>12758</v>
      </c>
      <c r="H263" s="455">
        <v>7316588000136</v>
      </c>
      <c r="I263" s="462">
        <v>38435</v>
      </c>
      <c r="J263" s="457">
        <v>44754221</v>
      </c>
      <c r="K263" s="454" t="s">
        <v>3420</v>
      </c>
      <c r="L263" s="458">
        <v>85</v>
      </c>
      <c r="M263" s="454" t="s">
        <v>3421</v>
      </c>
      <c r="N263" s="459">
        <v>5841160</v>
      </c>
      <c r="O263" s="460">
        <v>55195235</v>
      </c>
      <c r="P263" s="462">
        <v>308172</v>
      </c>
      <c r="Q263" s="462">
        <v>110</v>
      </c>
      <c r="R263" s="462">
        <v>43969</v>
      </c>
      <c r="S263" s="463">
        <v>810</v>
      </c>
      <c r="T263" s="464">
        <v>3.6</v>
      </c>
      <c r="U263" s="465">
        <v>2916</v>
      </c>
      <c r="V263" s="465">
        <v>21240</v>
      </c>
      <c r="W263" s="466">
        <v>0</v>
      </c>
      <c r="X263" s="467">
        <v>1</v>
      </c>
      <c r="Y263" s="466">
        <v>36234</v>
      </c>
      <c r="Z263" s="468" t="s">
        <v>516</v>
      </c>
      <c r="AA263" s="466">
        <v>129459.6</v>
      </c>
      <c r="AB263" s="466">
        <v>129459.6</v>
      </c>
      <c r="AC263" s="467">
        <v>0</v>
      </c>
      <c r="AD263" s="466">
        <v>0</v>
      </c>
      <c r="AE263" s="468" t="s">
        <v>516</v>
      </c>
      <c r="AF263" s="466">
        <v>0</v>
      </c>
      <c r="AG263" s="466">
        <v>0</v>
      </c>
      <c r="AH263" s="466">
        <v>25174.92</v>
      </c>
      <c r="AI263" s="466">
        <v>4832.5600000000004</v>
      </c>
      <c r="AJ263" s="469" t="s">
        <v>1470</v>
      </c>
      <c r="AK263" s="470" t="s">
        <v>1471</v>
      </c>
      <c r="AL263" s="471" t="s">
        <v>3422</v>
      </c>
      <c r="AM263" s="470" t="s">
        <v>12759</v>
      </c>
      <c r="AN263" s="470" t="s">
        <v>3424</v>
      </c>
      <c r="AO263" s="470" t="s">
        <v>3425</v>
      </c>
      <c r="AP263" s="470" t="s">
        <v>3426</v>
      </c>
      <c r="AQ263" s="470" t="s">
        <v>3418</v>
      </c>
      <c r="AR263" s="472" t="s">
        <v>515</v>
      </c>
      <c r="AS263" s="473" t="s">
        <v>1385</v>
      </c>
      <c r="AT263" s="472" t="s">
        <v>2000</v>
      </c>
      <c r="AU263" s="472" t="s">
        <v>420</v>
      </c>
      <c r="AV263" s="472">
        <v>2020</v>
      </c>
      <c r="AW263" s="474" t="s">
        <v>15078</v>
      </c>
      <c r="AX263" s="475" t="s">
        <v>15079</v>
      </c>
      <c r="AY263" s="515">
        <v>1</v>
      </c>
      <c r="AZ263" s="474" t="s">
        <v>15079</v>
      </c>
      <c r="BA263" s="472" t="s">
        <v>2000</v>
      </c>
      <c r="BB263" s="472" t="s">
        <v>1385</v>
      </c>
      <c r="BC263" s="472" t="s">
        <v>1385</v>
      </c>
      <c r="BD263" s="472" t="s">
        <v>1385</v>
      </c>
      <c r="BE263" s="472" t="s">
        <v>1385</v>
      </c>
      <c r="BF263" s="472">
        <v>36234</v>
      </c>
      <c r="BG263" s="472">
        <v>0</v>
      </c>
      <c r="BH263" s="472" t="s">
        <v>1385</v>
      </c>
      <c r="BI263" s="510">
        <v>0</v>
      </c>
      <c r="BJ263" s="510">
        <v>8222.9500000000007</v>
      </c>
      <c r="BK263" s="510">
        <v>0</v>
      </c>
      <c r="BL263" s="510">
        <v>0</v>
      </c>
      <c r="BM263" s="510">
        <v>0</v>
      </c>
      <c r="BN263" s="510">
        <v>5000</v>
      </c>
      <c r="BO263" s="510">
        <v>0</v>
      </c>
      <c r="BP263" s="510">
        <v>0</v>
      </c>
      <c r="BQ263" s="510">
        <v>0</v>
      </c>
      <c r="BR263" s="510">
        <v>0</v>
      </c>
      <c r="BS263" s="510">
        <v>0</v>
      </c>
      <c r="BT263" s="510">
        <v>0</v>
      </c>
      <c r="BU263" s="510">
        <v>0</v>
      </c>
      <c r="BV263" s="510">
        <v>0</v>
      </c>
      <c r="BW263" s="510">
        <v>0</v>
      </c>
      <c r="BX263" s="510">
        <v>30000</v>
      </c>
      <c r="BY263" s="1011">
        <v>0</v>
      </c>
      <c r="BZ263" s="510">
        <v>0</v>
      </c>
      <c r="CA263" s="1011">
        <v>0</v>
      </c>
      <c r="CB263" s="510">
        <v>0</v>
      </c>
      <c r="CC263" s="1011">
        <v>0</v>
      </c>
      <c r="CD263" s="510">
        <v>0</v>
      </c>
      <c r="CE263" s="1011">
        <v>0</v>
      </c>
      <c r="CF263" s="510">
        <v>63225.599999999999</v>
      </c>
      <c r="CG263" s="1011">
        <v>0</v>
      </c>
      <c r="CH263" s="510">
        <v>0</v>
      </c>
      <c r="CI263" s="1011">
        <v>0</v>
      </c>
    </row>
    <row r="264" spans="1:87" x14ac:dyDescent="0.2">
      <c r="A264" s="449">
        <v>116</v>
      </c>
      <c r="B264" s="453">
        <v>19303</v>
      </c>
      <c r="C264" s="454" t="s">
        <v>3427</v>
      </c>
      <c r="D264" s="454" t="s">
        <v>2950</v>
      </c>
      <c r="E264" s="454" t="s">
        <v>3428</v>
      </c>
      <c r="F264" s="454" t="s">
        <v>520</v>
      </c>
      <c r="G264" s="454" t="s">
        <v>12760</v>
      </c>
      <c r="H264" s="455">
        <v>7546952000154</v>
      </c>
      <c r="I264" s="462">
        <v>38537</v>
      </c>
      <c r="J264" s="457">
        <v>37622617</v>
      </c>
      <c r="K264" s="454" t="s">
        <v>3420</v>
      </c>
      <c r="L264" s="458">
        <v>85</v>
      </c>
      <c r="M264" s="454" t="s">
        <v>3421</v>
      </c>
      <c r="N264" s="459">
        <v>5841160</v>
      </c>
      <c r="O264" s="460">
        <v>55195225</v>
      </c>
      <c r="P264" s="462">
        <v>304177</v>
      </c>
      <c r="Q264" s="462">
        <v>182</v>
      </c>
      <c r="R264" s="462">
        <v>43983</v>
      </c>
      <c r="S264" s="463">
        <v>830</v>
      </c>
      <c r="T264" s="464">
        <v>5.4</v>
      </c>
      <c r="U264" s="465">
        <v>4482</v>
      </c>
      <c r="V264" s="465">
        <v>18720</v>
      </c>
      <c r="W264" s="466">
        <v>0</v>
      </c>
      <c r="X264" s="467">
        <v>1</v>
      </c>
      <c r="Y264" s="466">
        <v>41823</v>
      </c>
      <c r="Z264" s="468" t="s">
        <v>516</v>
      </c>
      <c r="AA264" s="466">
        <v>156491.4</v>
      </c>
      <c r="AB264" s="466">
        <v>156491.4</v>
      </c>
      <c r="AC264" s="467">
        <v>0</v>
      </c>
      <c r="AD264" s="466">
        <v>0</v>
      </c>
      <c r="AE264" s="468" t="s">
        <v>516</v>
      </c>
      <c r="AF264" s="466">
        <v>2000</v>
      </c>
      <c r="AG264" s="466">
        <v>2000</v>
      </c>
      <c r="AH264" s="466">
        <v>38080.089999999997</v>
      </c>
      <c r="AI264" s="466">
        <v>15999.49</v>
      </c>
      <c r="AJ264" s="469" t="s">
        <v>1470</v>
      </c>
      <c r="AK264" s="470" t="s">
        <v>1471</v>
      </c>
      <c r="AL264" s="471" t="s">
        <v>3429</v>
      </c>
      <c r="AM264" s="470" t="s">
        <v>12761</v>
      </c>
      <c r="AN264" s="470" t="s">
        <v>3430</v>
      </c>
      <c r="AO264" s="470" t="s">
        <v>3431</v>
      </c>
      <c r="AP264" s="470" t="s">
        <v>3426</v>
      </c>
      <c r="AQ264" s="470" t="s">
        <v>3427</v>
      </c>
      <c r="AR264" s="472" t="s">
        <v>515</v>
      </c>
      <c r="AS264" s="473" t="s">
        <v>1385</v>
      </c>
      <c r="AT264" s="472" t="s">
        <v>2950</v>
      </c>
      <c r="AU264" s="472" t="s">
        <v>420</v>
      </c>
      <c r="AV264" s="472">
        <v>2020</v>
      </c>
      <c r="AW264" s="474" t="s">
        <v>15078</v>
      </c>
      <c r="AX264" s="475" t="s">
        <v>15079</v>
      </c>
      <c r="AY264" s="515">
        <v>1</v>
      </c>
      <c r="AZ264" s="474" t="s">
        <v>15079</v>
      </c>
      <c r="BA264" s="472" t="s">
        <v>2950</v>
      </c>
      <c r="BB264" s="472" t="s">
        <v>516</v>
      </c>
      <c r="BC264" s="472">
        <v>4</v>
      </c>
      <c r="BD264" s="472">
        <v>4680</v>
      </c>
      <c r="BE264" s="472">
        <v>0</v>
      </c>
      <c r="BF264" s="472">
        <v>41823</v>
      </c>
      <c r="BG264" s="472">
        <v>0</v>
      </c>
      <c r="BH264" s="472" t="s">
        <v>1385</v>
      </c>
      <c r="BI264" s="510">
        <v>0</v>
      </c>
      <c r="BJ264" s="510">
        <v>1802.5</v>
      </c>
      <c r="BK264" s="510">
        <v>0</v>
      </c>
      <c r="BL264" s="510">
        <v>3500</v>
      </c>
      <c r="BM264" s="510">
        <v>0</v>
      </c>
      <c r="BN264" s="510">
        <v>5000</v>
      </c>
      <c r="BO264" s="510">
        <v>0</v>
      </c>
      <c r="BP264" s="510">
        <v>2000</v>
      </c>
      <c r="BQ264" s="510">
        <v>0</v>
      </c>
      <c r="BR264" s="510">
        <v>0</v>
      </c>
      <c r="BS264" s="510">
        <v>0</v>
      </c>
      <c r="BT264" s="510">
        <v>0</v>
      </c>
      <c r="BU264" s="510">
        <v>0</v>
      </c>
      <c r="BV264" s="510">
        <v>0</v>
      </c>
      <c r="BW264" s="510">
        <v>0</v>
      </c>
      <c r="BX264" s="510">
        <v>30000</v>
      </c>
      <c r="BY264" s="1011">
        <v>0</v>
      </c>
      <c r="BZ264" s="510">
        <v>0</v>
      </c>
      <c r="CA264" s="1011">
        <v>0</v>
      </c>
      <c r="CB264" s="510">
        <v>22000</v>
      </c>
      <c r="CC264" s="1011">
        <v>0</v>
      </c>
      <c r="CD264" s="510">
        <v>0</v>
      </c>
      <c r="CE264" s="1011">
        <v>0</v>
      </c>
      <c r="CF264" s="510">
        <v>62668.4</v>
      </c>
      <c r="CG264" s="1011">
        <v>0</v>
      </c>
      <c r="CH264" s="510">
        <v>0</v>
      </c>
      <c r="CI264" s="1011">
        <v>0</v>
      </c>
    </row>
    <row r="265" spans="1:87" x14ac:dyDescent="0.2">
      <c r="A265" s="449">
        <v>88</v>
      </c>
      <c r="B265" s="453">
        <v>19304</v>
      </c>
      <c r="C265" s="454" t="s">
        <v>3432</v>
      </c>
      <c r="D265" s="454" t="s">
        <v>2000</v>
      </c>
      <c r="E265" s="454" t="s">
        <v>3433</v>
      </c>
      <c r="F265" s="454" t="s">
        <v>522</v>
      </c>
      <c r="G265" s="454" t="s">
        <v>12762</v>
      </c>
      <c r="H265" s="455">
        <v>8631928000186</v>
      </c>
      <c r="I265" s="462">
        <v>38408</v>
      </c>
      <c r="J265" s="457">
        <v>37586637</v>
      </c>
      <c r="K265" s="454" t="s">
        <v>3434</v>
      </c>
      <c r="L265" s="458" t="s">
        <v>1446</v>
      </c>
      <c r="M265" s="454" t="s">
        <v>3435</v>
      </c>
      <c r="N265" s="459">
        <v>2878990</v>
      </c>
      <c r="O265" s="460">
        <v>39863418</v>
      </c>
      <c r="P265" s="462">
        <v>75194</v>
      </c>
      <c r="Q265" s="462">
        <v>33</v>
      </c>
      <c r="R265" s="462">
        <v>43911</v>
      </c>
      <c r="S265" s="463">
        <v>542</v>
      </c>
      <c r="T265" s="464">
        <v>3.6</v>
      </c>
      <c r="U265" s="465">
        <v>1951.2</v>
      </c>
      <c r="V265" s="465">
        <v>16560</v>
      </c>
      <c r="W265" s="466">
        <v>0</v>
      </c>
      <c r="X265" s="467">
        <v>1</v>
      </c>
      <c r="Y265" s="466">
        <v>27766.799999999999</v>
      </c>
      <c r="Z265" s="468" t="s">
        <v>516</v>
      </c>
      <c r="AA265" s="466">
        <v>109774.8</v>
      </c>
      <c r="AB265" s="466">
        <v>109774.8</v>
      </c>
      <c r="AC265" s="467">
        <v>0</v>
      </c>
      <c r="AD265" s="466">
        <v>0</v>
      </c>
      <c r="AE265" s="468" t="s">
        <v>516</v>
      </c>
      <c r="AF265" s="466">
        <v>0</v>
      </c>
      <c r="AG265" s="466">
        <v>0</v>
      </c>
      <c r="AH265" s="466">
        <v>24647.81</v>
      </c>
      <c r="AI265" s="466">
        <v>11106.72</v>
      </c>
      <c r="AJ265" s="469" t="s">
        <v>1403</v>
      </c>
      <c r="AK265" s="470" t="s">
        <v>6341</v>
      </c>
      <c r="AL265" s="471" t="s">
        <v>12763</v>
      </c>
      <c r="AM265" s="470" t="s">
        <v>3437</v>
      </c>
      <c r="AN265" s="470" t="s">
        <v>1385</v>
      </c>
      <c r="AO265" s="470" t="s">
        <v>12764</v>
      </c>
      <c r="AP265" s="470" t="s">
        <v>3438</v>
      </c>
      <c r="AQ265" s="470" t="s">
        <v>3432</v>
      </c>
      <c r="AR265" s="472" t="s">
        <v>515</v>
      </c>
      <c r="AS265" s="473" t="s">
        <v>1385</v>
      </c>
      <c r="AT265" s="472" t="s">
        <v>2000</v>
      </c>
      <c r="AU265" s="472" t="s">
        <v>420</v>
      </c>
      <c r="AV265" s="472">
        <v>2020</v>
      </c>
      <c r="AW265" s="474" t="s">
        <v>15078</v>
      </c>
      <c r="AX265" s="475" t="s">
        <v>15079</v>
      </c>
      <c r="AY265" s="515">
        <v>1</v>
      </c>
      <c r="AZ265" s="474" t="s">
        <v>15079</v>
      </c>
      <c r="BA265" s="472" t="s">
        <v>2000</v>
      </c>
      <c r="BB265" s="472" t="s">
        <v>1385</v>
      </c>
      <c r="BC265" s="472" t="s">
        <v>1385</v>
      </c>
      <c r="BD265" s="472" t="s">
        <v>1385</v>
      </c>
      <c r="BE265" s="472" t="s">
        <v>1385</v>
      </c>
      <c r="BF265" s="472">
        <v>27766.799999999999</v>
      </c>
      <c r="BG265" s="472">
        <v>0</v>
      </c>
      <c r="BH265" s="472" t="s">
        <v>1385</v>
      </c>
      <c r="BI265" s="510">
        <v>0</v>
      </c>
      <c r="BJ265" s="510">
        <v>0</v>
      </c>
      <c r="BK265" s="510">
        <v>0</v>
      </c>
      <c r="BL265" s="510">
        <v>0</v>
      </c>
      <c r="BM265" s="510">
        <v>0</v>
      </c>
      <c r="BN265" s="510">
        <v>4000</v>
      </c>
      <c r="BO265" s="510">
        <v>0</v>
      </c>
      <c r="BP265" s="510">
        <v>0</v>
      </c>
      <c r="BQ265" s="510">
        <v>0</v>
      </c>
      <c r="BR265" s="510">
        <v>0</v>
      </c>
      <c r="BS265" s="510">
        <v>0</v>
      </c>
      <c r="BT265" s="510">
        <v>0</v>
      </c>
      <c r="BU265" s="510">
        <v>0</v>
      </c>
      <c r="BV265" s="510">
        <v>0</v>
      </c>
      <c r="BW265" s="510">
        <v>0</v>
      </c>
      <c r="BX265" s="510">
        <v>30000</v>
      </c>
      <c r="BY265" s="1011">
        <v>0</v>
      </c>
      <c r="BZ265" s="510">
        <v>0</v>
      </c>
      <c r="CA265" s="1011">
        <v>0</v>
      </c>
      <c r="CB265" s="510">
        <v>0</v>
      </c>
      <c r="CC265" s="1011">
        <v>0</v>
      </c>
      <c r="CD265" s="510">
        <v>0</v>
      </c>
      <c r="CE265" s="1011">
        <v>0</v>
      </c>
      <c r="CF265" s="510">
        <v>52008</v>
      </c>
      <c r="CG265" s="1011">
        <v>0</v>
      </c>
      <c r="CH265" s="510">
        <v>0</v>
      </c>
      <c r="CI265" s="1011">
        <v>0</v>
      </c>
    </row>
    <row r="266" spans="1:87" x14ac:dyDescent="0.2">
      <c r="A266" s="449">
        <v>43</v>
      </c>
      <c r="B266" s="453">
        <v>19305</v>
      </c>
      <c r="C266" s="454" t="s">
        <v>3439</v>
      </c>
      <c r="D266" s="454" t="s">
        <v>517</v>
      </c>
      <c r="E266" s="454" t="s">
        <v>3440</v>
      </c>
      <c r="F266" s="454" t="s">
        <v>521</v>
      </c>
      <c r="G266" s="454" t="s">
        <v>12765</v>
      </c>
      <c r="H266" s="455">
        <v>4442788000147</v>
      </c>
      <c r="I266" s="462">
        <v>37026</v>
      </c>
      <c r="J266" s="457">
        <v>37549740</v>
      </c>
      <c r="K266" s="454" t="s">
        <v>3441</v>
      </c>
      <c r="L266" s="458" t="s">
        <v>1446</v>
      </c>
      <c r="M266" s="454" t="s">
        <v>3442</v>
      </c>
      <c r="N266" s="459">
        <v>4846550</v>
      </c>
      <c r="O266" s="460">
        <v>59312828</v>
      </c>
      <c r="P266" s="462">
        <v>99352</v>
      </c>
      <c r="Q266" s="462">
        <v>67</v>
      </c>
      <c r="R266" s="462">
        <v>43934</v>
      </c>
      <c r="S266" s="463">
        <v>981</v>
      </c>
      <c r="T266" s="464">
        <v>5.4</v>
      </c>
      <c r="U266" s="465">
        <v>5297.4</v>
      </c>
      <c r="V266" s="465">
        <v>20340</v>
      </c>
      <c r="W266" s="466">
        <v>0</v>
      </c>
      <c r="X266" s="467">
        <v>1</v>
      </c>
      <c r="Y266" s="466">
        <v>38456.1</v>
      </c>
      <c r="Z266" s="468" t="s">
        <v>516</v>
      </c>
      <c r="AA266" s="466">
        <v>141147.70000000001</v>
      </c>
      <c r="AB266" s="466">
        <v>141147.70000000001</v>
      </c>
      <c r="AC266" s="467">
        <v>0</v>
      </c>
      <c r="AD266" s="466">
        <v>0</v>
      </c>
      <c r="AE266" s="468" t="s">
        <v>516</v>
      </c>
      <c r="AF266" s="466">
        <v>2000</v>
      </c>
      <c r="AG266" s="466">
        <v>2000</v>
      </c>
      <c r="AH266" s="466">
        <v>70622.600000000006</v>
      </c>
      <c r="AI266" s="466">
        <v>7904.48</v>
      </c>
      <c r="AJ266" s="469" t="s">
        <v>1624</v>
      </c>
      <c r="AK266" s="470" t="s">
        <v>1625</v>
      </c>
      <c r="AL266" s="471" t="s">
        <v>3443</v>
      </c>
      <c r="AM266" s="470" t="s">
        <v>3444</v>
      </c>
      <c r="AN266" s="470" t="s">
        <v>1385</v>
      </c>
      <c r="AO266" s="470" t="s">
        <v>14906</v>
      </c>
      <c r="AP266" s="470" t="s">
        <v>3445</v>
      </c>
      <c r="AQ266" s="470" t="s">
        <v>3439</v>
      </c>
      <c r="AR266" s="472" t="s">
        <v>515</v>
      </c>
      <c r="AS266" s="473" t="s">
        <v>1385</v>
      </c>
      <c r="AT266" s="472" t="s">
        <v>517</v>
      </c>
      <c r="AU266" s="472" t="s">
        <v>420</v>
      </c>
      <c r="AV266" s="472">
        <v>2020</v>
      </c>
      <c r="AW266" s="474" t="s">
        <v>15078</v>
      </c>
      <c r="AX266" s="475" t="s">
        <v>15079</v>
      </c>
      <c r="AY266" s="515">
        <v>1</v>
      </c>
      <c r="AZ266" s="474" t="s">
        <v>15079</v>
      </c>
      <c r="BA266" s="472" t="s">
        <v>517</v>
      </c>
      <c r="BB266" s="472" t="s">
        <v>1385</v>
      </c>
      <c r="BC266" s="472" t="s">
        <v>1385</v>
      </c>
      <c r="BD266" s="472" t="s">
        <v>1385</v>
      </c>
      <c r="BE266" s="472" t="s">
        <v>1385</v>
      </c>
      <c r="BF266" s="472">
        <v>38456.1</v>
      </c>
      <c r="BG266" s="472">
        <v>0</v>
      </c>
      <c r="BH266" s="472" t="s">
        <v>1385</v>
      </c>
      <c r="BI266" s="510">
        <v>0</v>
      </c>
      <c r="BJ266" s="510">
        <v>0</v>
      </c>
      <c r="BK266" s="510">
        <v>0</v>
      </c>
      <c r="BL266" s="510">
        <v>3500</v>
      </c>
      <c r="BM266" s="510">
        <v>0</v>
      </c>
      <c r="BN266" s="510">
        <v>5000</v>
      </c>
      <c r="BO266" s="510">
        <v>0</v>
      </c>
      <c r="BP266" s="510">
        <v>2000</v>
      </c>
      <c r="BQ266" s="510">
        <v>0</v>
      </c>
      <c r="BR266" s="510">
        <v>0</v>
      </c>
      <c r="BS266" s="510">
        <v>0</v>
      </c>
      <c r="BT266" s="510">
        <v>0</v>
      </c>
      <c r="BU266" s="510">
        <v>2500</v>
      </c>
      <c r="BV266" s="510">
        <v>2500</v>
      </c>
      <c r="BW266" s="510">
        <v>0</v>
      </c>
      <c r="BX266" s="510">
        <v>30000</v>
      </c>
      <c r="BY266" s="1011">
        <v>0</v>
      </c>
      <c r="BZ266" s="510">
        <v>0</v>
      </c>
      <c r="CA266" s="1011">
        <v>0</v>
      </c>
      <c r="CB266" s="510">
        <v>22000</v>
      </c>
      <c r="CC266" s="1011">
        <v>0</v>
      </c>
      <c r="CD266" s="510">
        <v>0</v>
      </c>
      <c r="CE266" s="1011">
        <v>0</v>
      </c>
      <c r="CF266" s="510">
        <v>50691.6</v>
      </c>
      <c r="CG266" s="1011">
        <v>0</v>
      </c>
      <c r="CH266" s="510">
        <v>0</v>
      </c>
      <c r="CI266" s="1011">
        <v>0</v>
      </c>
    </row>
    <row r="267" spans="1:87" x14ac:dyDescent="0.2">
      <c r="A267" s="449">
        <v>167</v>
      </c>
      <c r="B267" s="453">
        <v>19307</v>
      </c>
      <c r="C267" s="454" t="s">
        <v>3446</v>
      </c>
      <c r="D267" s="454" t="s">
        <v>2000</v>
      </c>
      <c r="E267" s="454" t="s">
        <v>3447</v>
      </c>
      <c r="F267" s="454" t="s">
        <v>520</v>
      </c>
      <c r="G267" s="454" t="s">
        <v>12766</v>
      </c>
      <c r="H267" s="455">
        <v>8242999000197</v>
      </c>
      <c r="I267" s="462">
        <v>38665</v>
      </c>
      <c r="J267" s="457">
        <v>37621114</v>
      </c>
      <c r="K267" s="454" t="s">
        <v>3449</v>
      </c>
      <c r="L267" s="458">
        <v>678</v>
      </c>
      <c r="M267" s="454" t="s">
        <v>3450</v>
      </c>
      <c r="N267" s="459">
        <v>5789000</v>
      </c>
      <c r="O267" s="460">
        <v>58434818</v>
      </c>
      <c r="P267" s="462">
        <v>308733</v>
      </c>
      <c r="Q267" s="462">
        <v>113</v>
      </c>
      <c r="R267" s="462">
        <v>43983</v>
      </c>
      <c r="S267" s="463">
        <v>678</v>
      </c>
      <c r="T267" s="464">
        <v>3.6</v>
      </c>
      <c r="U267" s="465">
        <v>2440.8000000000002</v>
      </c>
      <c r="V267" s="465">
        <v>18000</v>
      </c>
      <c r="W267" s="466">
        <v>0</v>
      </c>
      <c r="X267" s="467">
        <v>1</v>
      </c>
      <c r="Y267" s="466">
        <v>30661.200000000001</v>
      </c>
      <c r="Z267" s="468" t="s">
        <v>516</v>
      </c>
      <c r="AA267" s="466">
        <v>116434.8</v>
      </c>
      <c r="AB267" s="466">
        <v>116434.8</v>
      </c>
      <c r="AC267" s="467">
        <v>0</v>
      </c>
      <c r="AD267" s="466">
        <v>0</v>
      </c>
      <c r="AE267" s="468" t="s">
        <v>516</v>
      </c>
      <c r="AF267" s="466">
        <v>0</v>
      </c>
      <c r="AG267" s="466">
        <v>0</v>
      </c>
      <c r="AH267" s="466">
        <v>17036.939999999999</v>
      </c>
      <c r="AI267" s="466">
        <v>98.32</v>
      </c>
      <c r="AJ267" s="469" t="s">
        <v>1515</v>
      </c>
      <c r="AK267" s="470" t="s">
        <v>1516</v>
      </c>
      <c r="AL267" s="471" t="s">
        <v>3451</v>
      </c>
      <c r="AM267" s="470" t="s">
        <v>12767</v>
      </c>
      <c r="AN267" s="470" t="s">
        <v>3448</v>
      </c>
      <c r="AO267" s="470" t="s">
        <v>3453</v>
      </c>
      <c r="AP267" s="470" t="s">
        <v>3454</v>
      </c>
      <c r="AQ267" s="470" t="s">
        <v>3446</v>
      </c>
      <c r="AR267" s="472" t="s">
        <v>515</v>
      </c>
      <c r="AS267" s="473" t="s">
        <v>1385</v>
      </c>
      <c r="AT267" s="472" t="s">
        <v>2000</v>
      </c>
      <c r="AU267" s="472" t="s">
        <v>420</v>
      </c>
      <c r="AV267" s="472">
        <v>2020</v>
      </c>
      <c r="AW267" s="474" t="s">
        <v>15078</v>
      </c>
      <c r="AX267" s="475" t="s">
        <v>15079</v>
      </c>
      <c r="AY267" s="515">
        <v>1</v>
      </c>
      <c r="AZ267" s="474" t="s">
        <v>15079</v>
      </c>
      <c r="BA267" s="472" t="s">
        <v>2000</v>
      </c>
      <c r="BB267" s="472" t="s">
        <v>1385</v>
      </c>
      <c r="BC267" s="472" t="s">
        <v>1385</v>
      </c>
      <c r="BD267" s="472" t="s">
        <v>1385</v>
      </c>
      <c r="BE267" s="472" t="s">
        <v>1385</v>
      </c>
      <c r="BF267" s="472">
        <v>30661.200000000001</v>
      </c>
      <c r="BG267" s="472">
        <v>0</v>
      </c>
      <c r="BH267" s="472" t="s">
        <v>1385</v>
      </c>
      <c r="BI267" s="510">
        <v>0</v>
      </c>
      <c r="BJ267" s="510">
        <v>0</v>
      </c>
      <c r="BK267" s="510">
        <v>0</v>
      </c>
      <c r="BL267" s="510">
        <v>0</v>
      </c>
      <c r="BM267" s="510">
        <v>0</v>
      </c>
      <c r="BN267" s="510">
        <v>5000</v>
      </c>
      <c r="BO267" s="510">
        <v>0</v>
      </c>
      <c r="BP267" s="510">
        <v>0</v>
      </c>
      <c r="BQ267" s="510">
        <v>0</v>
      </c>
      <c r="BR267" s="510">
        <v>0</v>
      </c>
      <c r="BS267" s="510">
        <v>0</v>
      </c>
      <c r="BT267" s="510">
        <v>0</v>
      </c>
      <c r="BU267" s="510">
        <v>0</v>
      </c>
      <c r="BV267" s="510">
        <v>0</v>
      </c>
      <c r="BW267" s="510">
        <v>0</v>
      </c>
      <c r="BX267" s="510">
        <v>30000</v>
      </c>
      <c r="BY267" s="1011">
        <v>0</v>
      </c>
      <c r="BZ267" s="510">
        <v>0</v>
      </c>
      <c r="CA267" s="1011">
        <v>0</v>
      </c>
      <c r="CB267" s="510">
        <v>0</v>
      </c>
      <c r="CC267" s="1011">
        <v>0</v>
      </c>
      <c r="CD267" s="510">
        <v>0</v>
      </c>
      <c r="CE267" s="1011">
        <v>0</v>
      </c>
      <c r="CF267" s="510">
        <v>55773.599999999999</v>
      </c>
      <c r="CG267" s="1011">
        <v>0</v>
      </c>
      <c r="CH267" s="510">
        <v>0</v>
      </c>
      <c r="CI267" s="1011">
        <v>0</v>
      </c>
    </row>
    <row r="268" spans="1:87" x14ac:dyDescent="0.2">
      <c r="A268" s="449">
        <v>118</v>
      </c>
      <c r="B268" s="453">
        <v>19308</v>
      </c>
      <c r="C268" s="454" t="s">
        <v>3455</v>
      </c>
      <c r="D268" s="454" t="s">
        <v>2950</v>
      </c>
      <c r="E268" s="454" t="s">
        <v>3456</v>
      </c>
      <c r="F268" s="454" t="s">
        <v>520</v>
      </c>
      <c r="G268" s="454" t="s">
        <v>12768</v>
      </c>
      <c r="H268" s="455">
        <v>7540682000174</v>
      </c>
      <c r="I268" s="462">
        <v>38538</v>
      </c>
      <c r="J268" s="457">
        <v>37621173</v>
      </c>
      <c r="K268" s="454" t="s">
        <v>3449</v>
      </c>
      <c r="L268" s="458">
        <v>678</v>
      </c>
      <c r="M268" s="454" t="s">
        <v>3450</v>
      </c>
      <c r="N268" s="459">
        <v>5789000</v>
      </c>
      <c r="O268" s="460">
        <v>58434833</v>
      </c>
      <c r="P268" s="462">
        <v>304207</v>
      </c>
      <c r="Q268" s="462">
        <v>184</v>
      </c>
      <c r="R268" s="462">
        <v>43983</v>
      </c>
      <c r="S268" s="463">
        <v>1039</v>
      </c>
      <c r="T268" s="464">
        <v>5.4</v>
      </c>
      <c r="U268" s="465">
        <v>5610.6</v>
      </c>
      <c r="V268" s="465">
        <v>20340</v>
      </c>
      <c r="W268" s="466">
        <v>0</v>
      </c>
      <c r="X268" s="467">
        <v>1</v>
      </c>
      <c r="Y268" s="466">
        <v>48078.9</v>
      </c>
      <c r="Z268" s="468" t="s">
        <v>516</v>
      </c>
      <c r="AA268" s="466">
        <v>168914.1</v>
      </c>
      <c r="AB268" s="466">
        <v>168914.1</v>
      </c>
      <c r="AC268" s="467">
        <v>0</v>
      </c>
      <c r="AD268" s="466">
        <v>0</v>
      </c>
      <c r="AE268" s="468" t="s">
        <v>516</v>
      </c>
      <c r="AF268" s="466">
        <v>2000</v>
      </c>
      <c r="AG268" s="466">
        <v>2000</v>
      </c>
      <c r="AH268" s="466">
        <v>9534.1</v>
      </c>
      <c r="AI268" s="466">
        <v>15255.97</v>
      </c>
      <c r="AJ268" s="469" t="s">
        <v>1515</v>
      </c>
      <c r="AK268" s="470" t="s">
        <v>1516</v>
      </c>
      <c r="AL268" s="471" t="s">
        <v>3458</v>
      </c>
      <c r="AM268" s="470" t="s">
        <v>3459</v>
      </c>
      <c r="AN268" s="470" t="s">
        <v>3457</v>
      </c>
      <c r="AO268" s="470" t="s">
        <v>3460</v>
      </c>
      <c r="AP268" s="470" t="s">
        <v>3461</v>
      </c>
      <c r="AQ268" s="470" t="s">
        <v>3455</v>
      </c>
      <c r="AR268" s="472" t="s">
        <v>515</v>
      </c>
      <c r="AS268" s="473" t="s">
        <v>1385</v>
      </c>
      <c r="AT268" s="472" t="s">
        <v>2950</v>
      </c>
      <c r="AU268" s="472" t="s">
        <v>420</v>
      </c>
      <c r="AV268" s="472">
        <v>2020</v>
      </c>
      <c r="AW268" s="474" t="s">
        <v>15078</v>
      </c>
      <c r="AX268" s="475" t="s">
        <v>15079</v>
      </c>
      <c r="AY268" s="515">
        <v>1</v>
      </c>
      <c r="AZ268" s="474" t="s">
        <v>15079</v>
      </c>
      <c r="BA268" s="472" t="s">
        <v>2950</v>
      </c>
      <c r="BB268" s="472" t="s">
        <v>516</v>
      </c>
      <c r="BC268" s="472">
        <v>9</v>
      </c>
      <c r="BD268" s="472">
        <v>6102</v>
      </c>
      <c r="BE268" s="472">
        <v>0</v>
      </c>
      <c r="BF268" s="472">
        <v>48078.9</v>
      </c>
      <c r="BG268" s="472">
        <v>0</v>
      </c>
      <c r="BH268" s="472" t="s">
        <v>1385</v>
      </c>
      <c r="BI268" s="510">
        <v>0</v>
      </c>
      <c r="BJ268" s="510">
        <v>0</v>
      </c>
      <c r="BK268" s="510">
        <v>0</v>
      </c>
      <c r="BL268" s="510">
        <v>0</v>
      </c>
      <c r="BM268" s="510">
        <v>0</v>
      </c>
      <c r="BN268" s="510">
        <v>5000</v>
      </c>
      <c r="BO268" s="510">
        <v>0</v>
      </c>
      <c r="BP268" s="510">
        <v>2000</v>
      </c>
      <c r="BQ268" s="510">
        <v>0</v>
      </c>
      <c r="BR268" s="510">
        <v>0</v>
      </c>
      <c r="BS268" s="510">
        <v>0</v>
      </c>
      <c r="BT268" s="510">
        <v>0</v>
      </c>
      <c r="BU268" s="510">
        <v>2500</v>
      </c>
      <c r="BV268" s="510">
        <v>2500</v>
      </c>
      <c r="BW268" s="510">
        <v>0</v>
      </c>
      <c r="BX268" s="510">
        <v>30000</v>
      </c>
      <c r="BY268" s="1011">
        <v>0</v>
      </c>
      <c r="BZ268" s="510">
        <v>0</v>
      </c>
      <c r="CA268" s="1011">
        <v>0</v>
      </c>
      <c r="CB268" s="510">
        <v>22000</v>
      </c>
      <c r="CC268" s="1011">
        <v>0</v>
      </c>
      <c r="CD268" s="510">
        <v>0</v>
      </c>
      <c r="CE268" s="1011">
        <v>0</v>
      </c>
      <c r="CF268" s="510">
        <v>68835.199999999997</v>
      </c>
      <c r="CG268" s="1011">
        <v>0</v>
      </c>
      <c r="CH268" s="510">
        <v>0</v>
      </c>
      <c r="CI268" s="1011">
        <v>0</v>
      </c>
    </row>
    <row r="269" spans="1:87" x14ac:dyDescent="0.2">
      <c r="A269" s="449">
        <v>87</v>
      </c>
      <c r="B269" s="453">
        <v>19309</v>
      </c>
      <c r="C269" s="454" t="s">
        <v>3462</v>
      </c>
      <c r="D269" s="454" t="s">
        <v>1390</v>
      </c>
      <c r="E269" s="454" t="s">
        <v>3463</v>
      </c>
      <c r="F269" s="454" t="s">
        <v>527</v>
      </c>
      <c r="G269" s="454" t="s">
        <v>12769</v>
      </c>
      <c r="H269" s="455">
        <v>7929043000103</v>
      </c>
      <c r="I269" s="462">
        <v>38289</v>
      </c>
      <c r="J269" s="457">
        <v>37585975</v>
      </c>
      <c r="K269" s="454" t="s">
        <v>3464</v>
      </c>
      <c r="L269" s="458">
        <v>290</v>
      </c>
      <c r="M269" s="454" t="s">
        <v>3465</v>
      </c>
      <c r="N269" s="459">
        <v>3820000</v>
      </c>
      <c r="O269" s="460">
        <v>25470113</v>
      </c>
      <c r="P269" s="462">
        <v>184856</v>
      </c>
      <c r="Q269" s="462">
        <v>48</v>
      </c>
      <c r="R269" s="462">
        <v>43917</v>
      </c>
      <c r="S269" s="463">
        <v>492</v>
      </c>
      <c r="T269" s="464">
        <v>3.6</v>
      </c>
      <c r="U269" s="465">
        <v>1771.2</v>
      </c>
      <c r="V269" s="465">
        <v>15120</v>
      </c>
      <c r="W269" s="466">
        <v>0</v>
      </c>
      <c r="X269" s="467">
        <v>1</v>
      </c>
      <c r="Y269" s="466">
        <v>25336.799999999999</v>
      </c>
      <c r="Z269" s="468" t="s">
        <v>516</v>
      </c>
      <c r="AA269" s="466">
        <v>107164.8</v>
      </c>
      <c r="AB269" s="466">
        <v>107164.8</v>
      </c>
      <c r="AC269" s="467">
        <v>0</v>
      </c>
      <c r="AD269" s="466">
        <v>0</v>
      </c>
      <c r="AE269" s="468" t="s">
        <v>516</v>
      </c>
      <c r="AF269" s="466">
        <v>0</v>
      </c>
      <c r="AG269" s="466">
        <v>0</v>
      </c>
      <c r="AH269" s="466">
        <v>8602.76</v>
      </c>
      <c r="AI269" s="466">
        <v>3378.24</v>
      </c>
      <c r="AJ269" s="469" t="s">
        <v>2004</v>
      </c>
      <c r="AK269" s="470" t="s">
        <v>2005</v>
      </c>
      <c r="AL269" s="471" t="s">
        <v>3466</v>
      </c>
      <c r="AM269" s="470" t="s">
        <v>12770</v>
      </c>
      <c r="AN269" s="470" t="s">
        <v>12771</v>
      </c>
      <c r="AO269" s="470" t="s">
        <v>12772</v>
      </c>
      <c r="AP269" s="470" t="s">
        <v>3467</v>
      </c>
      <c r="AQ269" s="470" t="s">
        <v>3462</v>
      </c>
      <c r="AR269" s="472" t="s">
        <v>515</v>
      </c>
      <c r="AS269" s="473" t="s">
        <v>1385</v>
      </c>
      <c r="AT269" s="472" t="s">
        <v>1390</v>
      </c>
      <c r="AU269" s="472" t="s">
        <v>420</v>
      </c>
      <c r="AV269" s="472">
        <v>2020</v>
      </c>
      <c r="AW269" s="474" t="s">
        <v>15078</v>
      </c>
      <c r="AX269" s="475" t="s">
        <v>15079</v>
      </c>
      <c r="AY269" s="515">
        <v>1</v>
      </c>
      <c r="AZ269" s="474" t="s">
        <v>15079</v>
      </c>
      <c r="BA269" s="472" t="s">
        <v>1390</v>
      </c>
      <c r="BB269" s="472" t="s">
        <v>1385</v>
      </c>
      <c r="BC269" s="472" t="s">
        <v>1385</v>
      </c>
      <c r="BD269" s="472" t="s">
        <v>1385</v>
      </c>
      <c r="BE269" s="472" t="s">
        <v>1385</v>
      </c>
      <c r="BF269" s="472">
        <v>25336.799999999999</v>
      </c>
      <c r="BG269" s="472">
        <v>0</v>
      </c>
      <c r="BH269" s="472" t="s">
        <v>1385</v>
      </c>
      <c r="BI269" s="510">
        <v>0</v>
      </c>
      <c r="BJ269" s="510">
        <v>0</v>
      </c>
      <c r="BK269" s="510">
        <v>0</v>
      </c>
      <c r="BL269" s="510">
        <v>0</v>
      </c>
      <c r="BM269" s="510">
        <v>0</v>
      </c>
      <c r="BN269" s="510">
        <v>4000</v>
      </c>
      <c r="BO269" s="510">
        <v>0</v>
      </c>
      <c r="BP269" s="510">
        <v>0</v>
      </c>
      <c r="BQ269" s="510">
        <v>0</v>
      </c>
      <c r="BR269" s="510">
        <v>0</v>
      </c>
      <c r="BS269" s="510">
        <v>0</v>
      </c>
      <c r="BT269" s="510">
        <v>0</v>
      </c>
      <c r="BU269" s="510">
        <v>0</v>
      </c>
      <c r="BV269" s="510">
        <v>0</v>
      </c>
      <c r="BW269" s="510">
        <v>0</v>
      </c>
      <c r="BX269" s="510">
        <v>30000</v>
      </c>
      <c r="BY269" s="1011">
        <v>0</v>
      </c>
      <c r="BZ269" s="510">
        <v>0</v>
      </c>
      <c r="CA269" s="1011">
        <v>0</v>
      </c>
      <c r="CB269" s="510">
        <v>0</v>
      </c>
      <c r="CC269" s="1011">
        <v>0</v>
      </c>
      <c r="CD269" s="510">
        <v>0</v>
      </c>
      <c r="CE269" s="1011">
        <v>0</v>
      </c>
      <c r="CF269" s="510">
        <v>51828</v>
      </c>
      <c r="CG269" s="1011">
        <v>0</v>
      </c>
      <c r="CH269" s="510">
        <v>0</v>
      </c>
      <c r="CI269" s="1011">
        <v>0</v>
      </c>
    </row>
    <row r="270" spans="1:87" x14ac:dyDescent="0.2">
      <c r="A270" s="449">
        <v>28</v>
      </c>
      <c r="B270" s="453">
        <v>19310</v>
      </c>
      <c r="C270" s="454" t="s">
        <v>3468</v>
      </c>
      <c r="D270" s="454" t="s">
        <v>3469</v>
      </c>
      <c r="E270" s="454" t="s">
        <v>3470</v>
      </c>
      <c r="F270" s="454" t="s">
        <v>523</v>
      </c>
      <c r="G270" s="454" t="s">
        <v>12773</v>
      </c>
      <c r="H270" s="455">
        <v>9587337000111</v>
      </c>
      <c r="I270" s="462">
        <v>38531</v>
      </c>
      <c r="J270" s="457">
        <v>37745522</v>
      </c>
      <c r="K270" s="454" t="s">
        <v>3471</v>
      </c>
      <c r="L270" s="458">
        <v>293</v>
      </c>
      <c r="M270" s="454" t="s">
        <v>3472</v>
      </c>
      <c r="N270" s="459">
        <v>8451420</v>
      </c>
      <c r="O270" s="460">
        <v>21539852</v>
      </c>
      <c r="P270" s="462">
        <v>264884</v>
      </c>
      <c r="Q270" s="462">
        <v>28</v>
      </c>
      <c r="R270" s="462">
        <v>43921</v>
      </c>
      <c r="S270" s="463">
        <v>162</v>
      </c>
      <c r="T270" s="464">
        <v>3.6</v>
      </c>
      <c r="U270" s="465">
        <v>583.20000000000005</v>
      </c>
      <c r="V270" s="465">
        <v>10800</v>
      </c>
      <c r="W270" s="466">
        <v>0</v>
      </c>
      <c r="X270" s="467">
        <v>1</v>
      </c>
      <c r="Y270" s="466">
        <v>17074.8</v>
      </c>
      <c r="Z270" s="468" t="s">
        <v>516</v>
      </c>
      <c r="AA270" s="466">
        <v>84790.8</v>
      </c>
      <c r="AB270" s="466">
        <v>84790.8</v>
      </c>
      <c r="AC270" s="467">
        <v>0</v>
      </c>
      <c r="AD270" s="466">
        <v>0</v>
      </c>
      <c r="AE270" s="468" t="s">
        <v>516</v>
      </c>
      <c r="AF270" s="466">
        <v>0</v>
      </c>
      <c r="AG270" s="466">
        <v>0</v>
      </c>
      <c r="AH270" s="466">
        <v>15166.42</v>
      </c>
      <c r="AI270" s="466">
        <v>0</v>
      </c>
      <c r="AJ270" s="469" t="s">
        <v>1395</v>
      </c>
      <c r="AK270" s="470" t="s">
        <v>523</v>
      </c>
      <c r="AL270" s="471" t="s">
        <v>3473</v>
      </c>
      <c r="AM270" s="470" t="s">
        <v>3474</v>
      </c>
      <c r="AN270" s="470" t="s">
        <v>1385</v>
      </c>
      <c r="AO270" s="470" t="s">
        <v>3475</v>
      </c>
      <c r="AP270" s="470" t="s">
        <v>3476</v>
      </c>
      <c r="AQ270" s="470" t="s">
        <v>3468</v>
      </c>
      <c r="AR270" s="472" t="s">
        <v>515</v>
      </c>
      <c r="AS270" s="473">
        <v>3.6</v>
      </c>
      <c r="AT270" s="472" t="s">
        <v>3469</v>
      </c>
      <c r="AU270" s="472" t="s">
        <v>420</v>
      </c>
      <c r="AV270" s="472">
        <v>2020</v>
      </c>
      <c r="AW270" s="474" t="s">
        <v>15078</v>
      </c>
      <c r="AX270" s="475" t="s">
        <v>15079</v>
      </c>
      <c r="AY270" s="515">
        <v>1</v>
      </c>
      <c r="AZ270" s="474" t="s">
        <v>15079</v>
      </c>
      <c r="BA270" s="472" t="s">
        <v>3469</v>
      </c>
      <c r="BB270" s="472" t="s">
        <v>1385</v>
      </c>
      <c r="BC270" s="472" t="s">
        <v>1385</v>
      </c>
      <c r="BD270" s="472" t="s">
        <v>1385</v>
      </c>
      <c r="BE270" s="472" t="s">
        <v>1385</v>
      </c>
      <c r="BF270" s="472">
        <v>17074.8</v>
      </c>
      <c r="BG270" s="472">
        <v>0</v>
      </c>
      <c r="BH270" s="472" t="s">
        <v>1385</v>
      </c>
      <c r="BI270" s="510">
        <v>0</v>
      </c>
      <c r="BJ270" s="510">
        <v>0</v>
      </c>
      <c r="BK270" s="510">
        <v>0</v>
      </c>
      <c r="BL270" s="510">
        <v>0</v>
      </c>
      <c r="BM270" s="510">
        <v>0</v>
      </c>
      <c r="BN270" s="510">
        <v>2000</v>
      </c>
      <c r="BO270" s="510">
        <v>0</v>
      </c>
      <c r="BP270" s="510">
        <v>0</v>
      </c>
      <c r="BQ270" s="510">
        <v>0</v>
      </c>
      <c r="BR270" s="510">
        <v>0</v>
      </c>
      <c r="BS270" s="510">
        <v>0</v>
      </c>
      <c r="BT270" s="510">
        <v>0</v>
      </c>
      <c r="BU270" s="510">
        <v>0</v>
      </c>
      <c r="BV270" s="510">
        <v>0</v>
      </c>
      <c r="BW270" s="510">
        <v>0</v>
      </c>
      <c r="BX270" s="510">
        <v>30000</v>
      </c>
      <c r="BY270" s="1011">
        <v>0</v>
      </c>
      <c r="BZ270" s="510">
        <v>0</v>
      </c>
      <c r="CA270" s="1011">
        <v>0</v>
      </c>
      <c r="CB270" s="510">
        <v>0</v>
      </c>
      <c r="CC270" s="1011">
        <v>0</v>
      </c>
      <c r="CD270" s="510">
        <v>0</v>
      </c>
      <c r="CE270" s="1011">
        <v>0</v>
      </c>
      <c r="CF270" s="510">
        <v>37716</v>
      </c>
      <c r="CG270" s="1011">
        <v>0</v>
      </c>
      <c r="CH270" s="510">
        <v>0</v>
      </c>
      <c r="CI270" s="1011">
        <v>0</v>
      </c>
    </row>
    <row r="271" spans="1:87" x14ac:dyDescent="0.2">
      <c r="A271" s="449">
        <v>110</v>
      </c>
      <c r="B271" s="453">
        <v>19311</v>
      </c>
      <c r="C271" s="454" t="s">
        <v>3477</v>
      </c>
      <c r="D271" s="454" t="s">
        <v>1390</v>
      </c>
      <c r="E271" s="454" t="s">
        <v>3478</v>
      </c>
      <c r="F271" s="454" t="s">
        <v>513</v>
      </c>
      <c r="G271" s="454" t="s">
        <v>12774</v>
      </c>
      <c r="H271" s="455">
        <v>7899199000180</v>
      </c>
      <c r="I271" s="462">
        <v>38611</v>
      </c>
      <c r="J271" s="457">
        <v>37531239</v>
      </c>
      <c r="K271" s="454" t="s">
        <v>3479</v>
      </c>
      <c r="L271" s="458" t="s">
        <v>1446</v>
      </c>
      <c r="M271" s="454" t="s">
        <v>3480</v>
      </c>
      <c r="N271" s="459">
        <v>3934090</v>
      </c>
      <c r="O271" s="460">
        <v>27216917</v>
      </c>
      <c r="P271" s="462">
        <v>151788</v>
      </c>
      <c r="Q271" s="462">
        <v>110</v>
      </c>
      <c r="R271" s="462">
        <v>43937</v>
      </c>
      <c r="S271" s="463">
        <v>383</v>
      </c>
      <c r="T271" s="464">
        <v>3.6</v>
      </c>
      <c r="U271" s="465">
        <v>1378.8</v>
      </c>
      <c r="V271" s="465">
        <v>13680</v>
      </c>
      <c r="W271" s="466">
        <v>0</v>
      </c>
      <c r="X271" s="467">
        <v>1</v>
      </c>
      <c r="Y271" s="466">
        <v>22588.2</v>
      </c>
      <c r="Z271" s="468" t="s">
        <v>516</v>
      </c>
      <c r="AA271" s="466">
        <v>97734.6</v>
      </c>
      <c r="AB271" s="466">
        <v>97734.6</v>
      </c>
      <c r="AC271" s="467">
        <v>0</v>
      </c>
      <c r="AD271" s="466">
        <v>0</v>
      </c>
      <c r="AE271" s="468" t="s">
        <v>516</v>
      </c>
      <c r="AF271" s="466">
        <v>0</v>
      </c>
      <c r="AG271" s="466">
        <v>0</v>
      </c>
      <c r="AH271" s="466">
        <v>19330.72</v>
      </c>
      <c r="AI271" s="466">
        <v>8026.8</v>
      </c>
      <c r="AJ271" s="469" t="s">
        <v>2030</v>
      </c>
      <c r="AK271" s="470" t="s">
        <v>513</v>
      </c>
      <c r="AL271" s="471" t="s">
        <v>3481</v>
      </c>
      <c r="AM271" s="470" t="s">
        <v>3482</v>
      </c>
      <c r="AN271" s="470" t="s">
        <v>3483</v>
      </c>
      <c r="AO271" s="470" t="s">
        <v>3484</v>
      </c>
      <c r="AP271" s="470" t="s">
        <v>3480</v>
      </c>
      <c r="AQ271" s="470" t="s">
        <v>3477</v>
      </c>
      <c r="AR271" s="472" t="s">
        <v>515</v>
      </c>
      <c r="AS271" s="473" t="s">
        <v>1385</v>
      </c>
      <c r="AT271" s="472" t="s">
        <v>1390</v>
      </c>
      <c r="AU271" s="472" t="s">
        <v>420</v>
      </c>
      <c r="AV271" s="472">
        <v>2020</v>
      </c>
      <c r="AW271" s="474" t="s">
        <v>15078</v>
      </c>
      <c r="AX271" s="475" t="s">
        <v>15079</v>
      </c>
      <c r="AY271" s="515">
        <v>1</v>
      </c>
      <c r="AZ271" s="474" t="s">
        <v>15079</v>
      </c>
      <c r="BA271" s="472" t="s">
        <v>1390</v>
      </c>
      <c r="BB271" s="472" t="s">
        <v>1385</v>
      </c>
      <c r="BC271" s="472" t="s">
        <v>1385</v>
      </c>
      <c r="BD271" s="472" t="s">
        <v>1385</v>
      </c>
      <c r="BE271" s="472" t="s">
        <v>1385</v>
      </c>
      <c r="BF271" s="509">
        <v>22588.2</v>
      </c>
      <c r="BG271" s="509">
        <v>0</v>
      </c>
      <c r="BH271" s="472" t="s">
        <v>1385</v>
      </c>
      <c r="BI271" s="510">
        <v>0</v>
      </c>
      <c r="BJ271" s="510">
        <v>0</v>
      </c>
      <c r="BK271" s="510">
        <v>0</v>
      </c>
      <c r="BL271" s="510">
        <v>0</v>
      </c>
      <c r="BM271" s="510">
        <v>0</v>
      </c>
      <c r="BN271" s="510">
        <v>580</v>
      </c>
      <c r="BO271" s="510">
        <v>0</v>
      </c>
      <c r="BP271" s="510">
        <v>0</v>
      </c>
      <c r="BQ271" s="510">
        <v>0</v>
      </c>
      <c r="BR271" s="510">
        <v>0</v>
      </c>
      <c r="BS271" s="510">
        <v>0</v>
      </c>
      <c r="BT271" s="510">
        <v>0</v>
      </c>
      <c r="BU271" s="510">
        <v>0</v>
      </c>
      <c r="BV271" s="510">
        <v>0</v>
      </c>
      <c r="BW271" s="510">
        <v>0</v>
      </c>
      <c r="BX271" s="510">
        <v>30000</v>
      </c>
      <c r="BY271" s="1011">
        <v>0</v>
      </c>
      <c r="BZ271" s="510">
        <v>0</v>
      </c>
      <c r="CA271" s="1011">
        <v>0</v>
      </c>
      <c r="CB271" s="510">
        <v>0</v>
      </c>
      <c r="CC271" s="1011">
        <v>0</v>
      </c>
      <c r="CD271" s="510">
        <v>0</v>
      </c>
      <c r="CE271" s="1011">
        <v>0</v>
      </c>
      <c r="CF271" s="510">
        <v>45146.400000000001</v>
      </c>
      <c r="CG271" s="1011">
        <v>0</v>
      </c>
      <c r="CH271" s="510">
        <v>0</v>
      </c>
      <c r="CI271" s="1011">
        <v>0</v>
      </c>
    </row>
    <row r="272" spans="1:87" x14ac:dyDescent="0.2">
      <c r="A272" s="449">
        <v>104</v>
      </c>
      <c r="B272" s="453">
        <v>19312</v>
      </c>
      <c r="C272" s="454" t="s">
        <v>3485</v>
      </c>
      <c r="D272" s="454" t="s">
        <v>1390</v>
      </c>
      <c r="E272" s="454" t="s">
        <v>3486</v>
      </c>
      <c r="F272" s="454" t="s">
        <v>528</v>
      </c>
      <c r="G272" s="454" t="s">
        <v>12775</v>
      </c>
      <c r="H272" s="455">
        <v>7573345000183</v>
      </c>
      <c r="I272" s="462">
        <v>38619</v>
      </c>
      <c r="J272" s="457">
        <v>37382659</v>
      </c>
      <c r="K272" s="454" t="s">
        <v>2577</v>
      </c>
      <c r="L272" s="458">
        <v>278</v>
      </c>
      <c r="M272" s="454" t="s">
        <v>2241</v>
      </c>
      <c r="N272" s="459">
        <v>5209000</v>
      </c>
      <c r="O272" s="460">
        <v>39178297</v>
      </c>
      <c r="P272" s="462">
        <v>330216</v>
      </c>
      <c r="Q272" s="462">
        <v>104</v>
      </c>
      <c r="R272" s="462">
        <v>43938</v>
      </c>
      <c r="S272" s="463">
        <v>385</v>
      </c>
      <c r="T272" s="464">
        <v>3.6</v>
      </c>
      <c r="U272" s="465">
        <v>1386</v>
      </c>
      <c r="V272" s="465">
        <v>13680</v>
      </c>
      <c r="W272" s="466">
        <v>0</v>
      </c>
      <c r="X272" s="467">
        <v>1</v>
      </c>
      <c r="Y272" s="466">
        <v>22599</v>
      </c>
      <c r="Z272" s="468" t="s">
        <v>516</v>
      </c>
      <c r="AA272" s="466">
        <v>100791</v>
      </c>
      <c r="AB272" s="466">
        <v>100791</v>
      </c>
      <c r="AC272" s="467">
        <v>0</v>
      </c>
      <c r="AD272" s="466">
        <v>0</v>
      </c>
      <c r="AE272" s="468" t="s">
        <v>516</v>
      </c>
      <c r="AF272" s="466">
        <v>0</v>
      </c>
      <c r="AG272" s="466">
        <v>0</v>
      </c>
      <c r="AH272" s="466">
        <v>12920.82</v>
      </c>
      <c r="AI272" s="466">
        <v>3599.2</v>
      </c>
      <c r="AJ272" s="469" t="s">
        <v>2242</v>
      </c>
      <c r="AK272" s="470" t="s">
        <v>2241</v>
      </c>
      <c r="AL272" s="471" t="s">
        <v>3488</v>
      </c>
      <c r="AM272" s="470" t="s">
        <v>3489</v>
      </c>
      <c r="AN272" s="470" t="s">
        <v>3487</v>
      </c>
      <c r="AO272" s="470" t="s">
        <v>3490</v>
      </c>
      <c r="AP272" s="470" t="s">
        <v>2519</v>
      </c>
      <c r="AQ272" s="470" t="s">
        <v>3485</v>
      </c>
      <c r="AR272" s="472" t="s">
        <v>515</v>
      </c>
      <c r="AS272" s="473" t="s">
        <v>1385</v>
      </c>
      <c r="AT272" s="472" t="s">
        <v>1390</v>
      </c>
      <c r="AU272" s="472" t="s">
        <v>420</v>
      </c>
      <c r="AV272" s="472">
        <v>2020</v>
      </c>
      <c r="AW272" s="474" t="s">
        <v>15078</v>
      </c>
      <c r="AX272" s="475" t="s">
        <v>15079</v>
      </c>
      <c r="AY272" s="515">
        <v>1</v>
      </c>
      <c r="AZ272" s="474" t="s">
        <v>15079</v>
      </c>
      <c r="BA272" s="472" t="s">
        <v>1390</v>
      </c>
      <c r="BB272" s="472" t="s">
        <v>1385</v>
      </c>
      <c r="BC272" s="472" t="s">
        <v>1385</v>
      </c>
      <c r="BD272" s="472" t="s">
        <v>1385</v>
      </c>
      <c r="BE272" s="472" t="s">
        <v>1385</v>
      </c>
      <c r="BF272" s="472">
        <v>22599</v>
      </c>
      <c r="BG272" s="472">
        <v>0</v>
      </c>
      <c r="BH272" s="472" t="s">
        <v>1385</v>
      </c>
      <c r="BI272" s="510">
        <v>0</v>
      </c>
      <c r="BJ272" s="510">
        <v>0</v>
      </c>
      <c r="BK272" s="510">
        <v>0</v>
      </c>
      <c r="BL272" s="510">
        <v>0</v>
      </c>
      <c r="BM272" s="510">
        <v>0</v>
      </c>
      <c r="BN272" s="510">
        <v>3500</v>
      </c>
      <c r="BO272" s="510">
        <v>0</v>
      </c>
      <c r="BP272" s="510">
        <v>0</v>
      </c>
      <c r="BQ272" s="510">
        <v>0</v>
      </c>
      <c r="BR272" s="510">
        <v>0</v>
      </c>
      <c r="BS272" s="510">
        <v>0</v>
      </c>
      <c r="BT272" s="510">
        <v>0</v>
      </c>
      <c r="BU272" s="510">
        <v>0</v>
      </c>
      <c r="BV272" s="510">
        <v>0</v>
      </c>
      <c r="BW272" s="510">
        <v>0</v>
      </c>
      <c r="BX272" s="510">
        <v>30000</v>
      </c>
      <c r="BY272" s="1011">
        <v>0</v>
      </c>
      <c r="BZ272" s="510">
        <v>0</v>
      </c>
      <c r="CA272" s="1011">
        <v>0</v>
      </c>
      <c r="CB272" s="510">
        <v>0</v>
      </c>
      <c r="CC272" s="1011">
        <v>0</v>
      </c>
      <c r="CD272" s="510">
        <v>0</v>
      </c>
      <c r="CE272" s="1011">
        <v>0</v>
      </c>
      <c r="CF272" s="510">
        <v>48192</v>
      </c>
      <c r="CG272" s="1011">
        <v>0</v>
      </c>
      <c r="CH272" s="510">
        <v>0</v>
      </c>
      <c r="CI272" s="1011">
        <v>0</v>
      </c>
    </row>
    <row r="273" spans="1:87" x14ac:dyDescent="0.2">
      <c r="A273" s="449">
        <v>66</v>
      </c>
      <c r="B273" s="453">
        <v>19313</v>
      </c>
      <c r="C273" s="454" t="s">
        <v>3491</v>
      </c>
      <c r="D273" s="454" t="s">
        <v>2950</v>
      </c>
      <c r="E273" s="454" t="s">
        <v>3492</v>
      </c>
      <c r="F273" s="454" t="s">
        <v>521</v>
      </c>
      <c r="G273" s="454" t="s">
        <v>12776</v>
      </c>
      <c r="H273" s="455">
        <v>4113531000141</v>
      </c>
      <c r="I273" s="462">
        <v>36767</v>
      </c>
      <c r="J273" s="457">
        <v>37550322</v>
      </c>
      <c r="K273" s="454" t="s">
        <v>3493</v>
      </c>
      <c r="L273" s="458">
        <v>20</v>
      </c>
      <c r="M273" s="454" t="s">
        <v>3494</v>
      </c>
      <c r="N273" s="459">
        <v>4890090</v>
      </c>
      <c r="O273" s="460">
        <v>59216106</v>
      </c>
      <c r="P273" s="462">
        <v>90541</v>
      </c>
      <c r="Q273" s="462">
        <v>73</v>
      </c>
      <c r="R273" s="462">
        <v>43934</v>
      </c>
      <c r="S273" s="463">
        <v>1492</v>
      </c>
      <c r="T273" s="464">
        <v>5.4</v>
      </c>
      <c r="U273" s="465">
        <v>8056.8</v>
      </c>
      <c r="V273" s="465">
        <v>21960</v>
      </c>
      <c r="W273" s="466">
        <v>0</v>
      </c>
      <c r="X273" s="467">
        <v>1</v>
      </c>
      <c r="Y273" s="466">
        <v>45025.2</v>
      </c>
      <c r="Z273" s="468" t="s">
        <v>516</v>
      </c>
      <c r="AA273" s="466">
        <v>170297.60000000001</v>
      </c>
      <c r="AB273" s="466">
        <v>170297.60000000001</v>
      </c>
      <c r="AC273" s="467">
        <v>0</v>
      </c>
      <c r="AD273" s="466">
        <v>0</v>
      </c>
      <c r="AE273" s="468" t="s">
        <v>516</v>
      </c>
      <c r="AF273" s="466">
        <v>1800</v>
      </c>
      <c r="AG273" s="466">
        <v>1800</v>
      </c>
      <c r="AH273" s="466">
        <v>27803.71</v>
      </c>
      <c r="AI273" s="466">
        <v>9546.4</v>
      </c>
      <c r="AJ273" s="469" t="s">
        <v>1657</v>
      </c>
      <c r="AK273" s="470" t="s">
        <v>3495</v>
      </c>
      <c r="AL273" s="471" t="s">
        <v>3496</v>
      </c>
      <c r="AM273" s="470" t="s">
        <v>3497</v>
      </c>
      <c r="AN273" s="470" t="s">
        <v>1385</v>
      </c>
      <c r="AO273" s="470" t="s">
        <v>14917</v>
      </c>
      <c r="AP273" s="470" t="s">
        <v>3498</v>
      </c>
      <c r="AQ273" s="470" t="s">
        <v>3491</v>
      </c>
      <c r="AR273" s="472" t="s">
        <v>515</v>
      </c>
      <c r="AS273" s="473" t="s">
        <v>1385</v>
      </c>
      <c r="AT273" s="472" t="s">
        <v>2950</v>
      </c>
      <c r="AU273" s="472" t="s">
        <v>420</v>
      </c>
      <c r="AV273" s="472">
        <v>2020</v>
      </c>
      <c r="AW273" s="474" t="s">
        <v>15078</v>
      </c>
      <c r="AX273" s="475" t="s">
        <v>15079</v>
      </c>
      <c r="AY273" s="515">
        <v>1</v>
      </c>
      <c r="AZ273" s="474" t="s">
        <v>15079</v>
      </c>
      <c r="BA273" s="472" t="s">
        <v>2950</v>
      </c>
      <c r="BB273" s="472" t="s">
        <v>1385</v>
      </c>
      <c r="BC273" s="472" t="s">
        <v>1385</v>
      </c>
      <c r="BD273" s="472" t="s">
        <v>1385</v>
      </c>
      <c r="BE273" s="472" t="s">
        <v>1385</v>
      </c>
      <c r="BF273" s="472">
        <v>45025.2</v>
      </c>
      <c r="BG273" s="472">
        <v>0</v>
      </c>
      <c r="BH273" s="472" t="s">
        <v>1385</v>
      </c>
      <c r="BI273" s="510">
        <v>0</v>
      </c>
      <c r="BJ273" s="510">
        <v>578</v>
      </c>
      <c r="BK273" s="510">
        <v>0</v>
      </c>
      <c r="BL273" s="510">
        <v>3500</v>
      </c>
      <c r="BM273" s="510">
        <v>0</v>
      </c>
      <c r="BN273" s="510">
        <v>6000</v>
      </c>
      <c r="BO273" s="510">
        <v>200</v>
      </c>
      <c r="BP273" s="510">
        <v>1800</v>
      </c>
      <c r="BQ273" s="510">
        <v>0</v>
      </c>
      <c r="BR273" s="510">
        <v>0</v>
      </c>
      <c r="BS273" s="510">
        <v>0</v>
      </c>
      <c r="BT273" s="510">
        <v>0</v>
      </c>
      <c r="BU273" s="510">
        <v>0</v>
      </c>
      <c r="BV273" s="510">
        <v>0</v>
      </c>
      <c r="BW273" s="510">
        <v>0</v>
      </c>
      <c r="BX273" s="510">
        <v>30000</v>
      </c>
      <c r="BY273" s="1011">
        <v>0</v>
      </c>
      <c r="BZ273" s="510">
        <v>0</v>
      </c>
      <c r="CA273" s="1011">
        <v>0</v>
      </c>
      <c r="CB273" s="510">
        <v>22000</v>
      </c>
      <c r="CC273" s="1011">
        <v>0</v>
      </c>
      <c r="CD273" s="510">
        <v>0</v>
      </c>
      <c r="CE273" s="1011">
        <v>0</v>
      </c>
      <c r="CF273" s="510">
        <v>73072.399999999994</v>
      </c>
      <c r="CG273" s="1011">
        <v>0</v>
      </c>
      <c r="CH273" s="510">
        <v>0</v>
      </c>
      <c r="CI273" s="1011">
        <v>0</v>
      </c>
    </row>
    <row r="274" spans="1:87" x14ac:dyDescent="0.2">
      <c r="A274" s="449">
        <v>71</v>
      </c>
      <c r="B274" s="453">
        <v>19314</v>
      </c>
      <c r="C274" s="454" t="s">
        <v>3499</v>
      </c>
      <c r="D274" s="454" t="s">
        <v>517</v>
      </c>
      <c r="E274" s="454" t="s">
        <v>3500</v>
      </c>
      <c r="F274" s="454" t="s">
        <v>528</v>
      </c>
      <c r="G274" s="454" t="s">
        <v>12777</v>
      </c>
      <c r="H274" s="455">
        <v>8696297000183</v>
      </c>
      <c r="I274" s="462">
        <v>39079</v>
      </c>
      <c r="J274" s="457">
        <v>37372424</v>
      </c>
      <c r="K274" s="454" t="s">
        <v>3501</v>
      </c>
      <c r="L274" s="458" t="s">
        <v>1446</v>
      </c>
      <c r="M274" s="454" t="s">
        <v>2241</v>
      </c>
      <c r="N274" s="459">
        <v>5202260</v>
      </c>
      <c r="O274" s="460">
        <v>39190454</v>
      </c>
      <c r="P274" s="462">
        <v>256725</v>
      </c>
      <c r="Q274" s="462">
        <v>71</v>
      </c>
      <c r="R274" s="462">
        <v>43938</v>
      </c>
      <c r="S274" s="463">
        <v>808</v>
      </c>
      <c r="T274" s="464">
        <v>5.4</v>
      </c>
      <c r="U274" s="465">
        <v>4363.2</v>
      </c>
      <c r="V274" s="465">
        <v>18720</v>
      </c>
      <c r="W274" s="466">
        <v>0</v>
      </c>
      <c r="X274" s="467">
        <v>1</v>
      </c>
      <c r="Y274" s="466">
        <v>34624.800000000003</v>
      </c>
      <c r="Z274" s="468" t="s">
        <v>516</v>
      </c>
      <c r="AA274" s="466">
        <v>132607.6</v>
      </c>
      <c r="AB274" s="466">
        <v>132607.6</v>
      </c>
      <c r="AC274" s="467">
        <v>0</v>
      </c>
      <c r="AD274" s="466">
        <v>0</v>
      </c>
      <c r="AE274" s="468" t="s">
        <v>516</v>
      </c>
      <c r="AF274" s="466">
        <v>2000</v>
      </c>
      <c r="AG274" s="466">
        <v>2000</v>
      </c>
      <c r="AH274" s="466">
        <v>14346.59</v>
      </c>
      <c r="AI274" s="466">
        <v>1768.18</v>
      </c>
      <c r="AJ274" s="469" t="s">
        <v>3502</v>
      </c>
      <c r="AK274" s="470" t="s">
        <v>2241</v>
      </c>
      <c r="AL274" s="471" t="s">
        <v>3503</v>
      </c>
      <c r="AM274" s="470" t="s">
        <v>3504</v>
      </c>
      <c r="AN274" s="470" t="s">
        <v>3505</v>
      </c>
      <c r="AO274" s="470" t="s">
        <v>12778</v>
      </c>
      <c r="AP274" s="470" t="s">
        <v>3506</v>
      </c>
      <c r="AQ274" s="470" t="s">
        <v>3499</v>
      </c>
      <c r="AR274" s="472" t="s">
        <v>515</v>
      </c>
      <c r="AS274" s="473" t="s">
        <v>1385</v>
      </c>
      <c r="AT274" s="472" t="s">
        <v>517</v>
      </c>
      <c r="AU274" s="472" t="s">
        <v>420</v>
      </c>
      <c r="AV274" s="472">
        <v>2020</v>
      </c>
      <c r="AW274" s="474" t="s">
        <v>15078</v>
      </c>
      <c r="AX274" s="475" t="s">
        <v>15079</v>
      </c>
      <c r="AY274" s="515">
        <v>1</v>
      </c>
      <c r="AZ274" s="474" t="s">
        <v>15079</v>
      </c>
      <c r="BA274" s="472" t="s">
        <v>517</v>
      </c>
      <c r="BB274" s="472" t="s">
        <v>1385</v>
      </c>
      <c r="BC274" s="472" t="s">
        <v>1385</v>
      </c>
      <c r="BD274" s="472" t="s">
        <v>1385</v>
      </c>
      <c r="BE274" s="472" t="s">
        <v>1385</v>
      </c>
      <c r="BF274" s="472">
        <v>34624.800000000003</v>
      </c>
      <c r="BG274" s="472">
        <v>0</v>
      </c>
      <c r="BH274" s="472" t="s">
        <v>1385</v>
      </c>
      <c r="BI274" s="510">
        <v>0</v>
      </c>
      <c r="BJ274" s="510">
        <v>0</v>
      </c>
      <c r="BK274" s="510">
        <v>0</v>
      </c>
      <c r="BL274" s="510">
        <v>1134.22</v>
      </c>
      <c r="BM274" s="510">
        <v>0</v>
      </c>
      <c r="BN274" s="510">
        <v>5000</v>
      </c>
      <c r="BO274" s="510">
        <v>0</v>
      </c>
      <c r="BP274" s="510">
        <v>2000</v>
      </c>
      <c r="BQ274" s="510">
        <v>0</v>
      </c>
      <c r="BR274" s="510">
        <v>0</v>
      </c>
      <c r="BS274" s="510">
        <v>0</v>
      </c>
      <c r="BT274" s="510">
        <v>0</v>
      </c>
      <c r="BU274" s="510">
        <v>2500</v>
      </c>
      <c r="BV274" s="510">
        <v>2500</v>
      </c>
      <c r="BW274" s="510">
        <v>0</v>
      </c>
      <c r="BX274" s="510">
        <v>30000</v>
      </c>
      <c r="BY274" s="1011">
        <v>0</v>
      </c>
      <c r="BZ274" s="510">
        <v>0</v>
      </c>
      <c r="CA274" s="1011">
        <v>0</v>
      </c>
      <c r="CB274" s="510">
        <v>22000</v>
      </c>
      <c r="CC274" s="1011">
        <v>0</v>
      </c>
      <c r="CD274" s="510">
        <v>0</v>
      </c>
      <c r="CE274" s="1011">
        <v>0</v>
      </c>
      <c r="CF274" s="510">
        <v>45982.8</v>
      </c>
      <c r="CG274" s="1011">
        <v>0</v>
      </c>
      <c r="CH274" s="510">
        <v>0</v>
      </c>
      <c r="CI274" s="1011">
        <v>0</v>
      </c>
    </row>
    <row r="275" spans="1:87" x14ac:dyDescent="0.2">
      <c r="A275" s="449">
        <v>94</v>
      </c>
      <c r="B275" s="453">
        <v>19315</v>
      </c>
      <c r="C275" s="454" t="s">
        <v>3507</v>
      </c>
      <c r="D275" s="454" t="s">
        <v>2000</v>
      </c>
      <c r="E275" s="454" t="s">
        <v>3508</v>
      </c>
      <c r="F275" s="454" t="s">
        <v>523</v>
      </c>
      <c r="G275" s="454" t="s">
        <v>12779</v>
      </c>
      <c r="H275" s="455">
        <v>7821835000151</v>
      </c>
      <c r="I275" s="462">
        <v>38533</v>
      </c>
      <c r="J275" s="457">
        <v>34912150</v>
      </c>
      <c r="K275" s="454" t="s">
        <v>3471</v>
      </c>
      <c r="L275" s="458">
        <v>293</v>
      </c>
      <c r="M275" s="454" t="s">
        <v>3510</v>
      </c>
      <c r="N275" s="459">
        <v>8451420</v>
      </c>
      <c r="O275" s="460">
        <v>21539562</v>
      </c>
      <c r="P275" s="462">
        <v>261214</v>
      </c>
      <c r="Q275" s="462">
        <v>94</v>
      </c>
      <c r="R275" s="462">
        <v>43921</v>
      </c>
      <c r="S275" s="463">
        <v>639</v>
      </c>
      <c r="T275" s="464">
        <v>3.6</v>
      </c>
      <c r="U275" s="465">
        <v>2300.4</v>
      </c>
      <c r="V275" s="465">
        <v>18000</v>
      </c>
      <c r="W275" s="466">
        <v>0</v>
      </c>
      <c r="X275" s="467">
        <v>1</v>
      </c>
      <c r="Y275" s="466">
        <v>30450.6</v>
      </c>
      <c r="Z275" s="468" t="s">
        <v>516</v>
      </c>
      <c r="AA275" s="466">
        <v>109290.6</v>
      </c>
      <c r="AB275" s="466">
        <v>109290.6</v>
      </c>
      <c r="AC275" s="467">
        <v>0</v>
      </c>
      <c r="AD275" s="466">
        <v>0</v>
      </c>
      <c r="AE275" s="468" t="s">
        <v>516</v>
      </c>
      <c r="AF275" s="466">
        <v>0</v>
      </c>
      <c r="AG275" s="466">
        <v>0</v>
      </c>
      <c r="AH275" s="466">
        <v>21796.89</v>
      </c>
      <c r="AI275" s="466">
        <v>2.27</v>
      </c>
      <c r="AJ275" s="469" t="s">
        <v>1395</v>
      </c>
      <c r="AK275" s="470" t="s">
        <v>523</v>
      </c>
      <c r="AL275" s="471" t="s">
        <v>3511</v>
      </c>
      <c r="AM275" s="470" t="s">
        <v>3512</v>
      </c>
      <c r="AN275" s="470" t="s">
        <v>3509</v>
      </c>
      <c r="AO275" s="470" t="s">
        <v>3513</v>
      </c>
      <c r="AP275" s="470" t="s">
        <v>3514</v>
      </c>
      <c r="AQ275" s="470" t="s">
        <v>3507</v>
      </c>
      <c r="AR275" s="472" t="s">
        <v>515</v>
      </c>
      <c r="AS275" s="473" t="s">
        <v>1385</v>
      </c>
      <c r="AT275" s="472" t="s">
        <v>2000</v>
      </c>
      <c r="AU275" s="472" t="s">
        <v>420</v>
      </c>
      <c r="AV275" s="472">
        <v>2020</v>
      </c>
      <c r="AW275" s="474" t="s">
        <v>15078</v>
      </c>
      <c r="AX275" s="475" t="s">
        <v>15079</v>
      </c>
      <c r="AY275" s="515">
        <v>1</v>
      </c>
      <c r="AZ275" s="474" t="s">
        <v>15079</v>
      </c>
      <c r="BA275" s="472" t="s">
        <v>2000</v>
      </c>
      <c r="BB275" s="472" t="s">
        <v>1385</v>
      </c>
      <c r="BC275" s="472" t="s">
        <v>1385</v>
      </c>
      <c r="BD275" s="472" t="s">
        <v>1385</v>
      </c>
      <c r="BE275" s="472" t="s">
        <v>1385</v>
      </c>
      <c r="BF275" s="472">
        <v>30450.6</v>
      </c>
      <c r="BG275" s="472">
        <v>0</v>
      </c>
      <c r="BH275" s="472" t="s">
        <v>1385</v>
      </c>
      <c r="BI275" s="510">
        <v>0</v>
      </c>
      <c r="BJ275" s="510">
        <v>0</v>
      </c>
      <c r="BK275" s="510">
        <v>0</v>
      </c>
      <c r="BL275" s="510">
        <v>0</v>
      </c>
      <c r="BM275" s="510">
        <v>0</v>
      </c>
      <c r="BN275" s="510">
        <v>5000</v>
      </c>
      <c r="BO275" s="510">
        <v>0</v>
      </c>
      <c r="BP275" s="510">
        <v>0</v>
      </c>
      <c r="BQ275" s="510">
        <v>0</v>
      </c>
      <c r="BR275" s="510">
        <v>0</v>
      </c>
      <c r="BS275" s="510">
        <v>0</v>
      </c>
      <c r="BT275" s="510">
        <v>0</v>
      </c>
      <c r="BU275" s="510">
        <v>0</v>
      </c>
      <c r="BV275" s="510">
        <v>0</v>
      </c>
      <c r="BW275" s="510">
        <v>0</v>
      </c>
      <c r="BX275" s="510">
        <v>30000</v>
      </c>
      <c r="BY275" s="1011">
        <v>0</v>
      </c>
      <c r="BZ275" s="510">
        <v>0</v>
      </c>
      <c r="CA275" s="1011">
        <v>0</v>
      </c>
      <c r="CB275" s="510">
        <v>0</v>
      </c>
      <c r="CC275" s="1011">
        <v>0</v>
      </c>
      <c r="CD275" s="510">
        <v>0</v>
      </c>
      <c r="CE275" s="1011">
        <v>0</v>
      </c>
      <c r="CF275" s="510">
        <v>48840</v>
      </c>
      <c r="CG275" s="1011">
        <v>0</v>
      </c>
      <c r="CH275" s="510">
        <v>0</v>
      </c>
      <c r="CI275" s="1011">
        <v>0</v>
      </c>
    </row>
    <row r="276" spans="1:87" x14ac:dyDescent="0.2">
      <c r="A276" s="449">
        <v>95</v>
      </c>
      <c r="B276" s="453">
        <v>19316</v>
      </c>
      <c r="C276" s="454" t="s">
        <v>3515</v>
      </c>
      <c r="D276" s="454" t="s">
        <v>1390</v>
      </c>
      <c r="E276" s="454" t="s">
        <v>3516</v>
      </c>
      <c r="F276" s="454" t="s">
        <v>526</v>
      </c>
      <c r="G276" s="454" t="s">
        <v>12780</v>
      </c>
      <c r="H276" s="455">
        <v>7914006000113</v>
      </c>
      <c r="I276" s="462">
        <v>38649</v>
      </c>
      <c r="J276" s="457">
        <v>37476963</v>
      </c>
      <c r="K276" s="454" t="s">
        <v>3517</v>
      </c>
      <c r="L276" s="458" t="s">
        <v>1446</v>
      </c>
      <c r="M276" s="454" t="s">
        <v>2799</v>
      </c>
      <c r="N276" s="459">
        <v>8090590</v>
      </c>
      <c r="O276" s="460">
        <v>25813605</v>
      </c>
      <c r="P276" s="462">
        <v>143475</v>
      </c>
      <c r="Q276" s="462">
        <v>95</v>
      </c>
      <c r="R276" s="462">
        <v>43928</v>
      </c>
      <c r="S276" s="463">
        <v>487</v>
      </c>
      <c r="T276" s="464">
        <v>3.6</v>
      </c>
      <c r="U276" s="465">
        <v>1753.2</v>
      </c>
      <c r="V276" s="465">
        <v>15120</v>
      </c>
      <c r="W276" s="466">
        <v>0</v>
      </c>
      <c r="X276" s="467">
        <v>1</v>
      </c>
      <c r="Y276" s="466">
        <v>25309.8</v>
      </c>
      <c r="Z276" s="468" t="s">
        <v>516</v>
      </c>
      <c r="AA276" s="466">
        <v>104013</v>
      </c>
      <c r="AB276" s="466">
        <v>104013</v>
      </c>
      <c r="AC276" s="467">
        <v>0</v>
      </c>
      <c r="AD276" s="466">
        <v>0</v>
      </c>
      <c r="AE276" s="468" t="s">
        <v>516</v>
      </c>
      <c r="AF276" s="466">
        <v>0</v>
      </c>
      <c r="AG276" s="466">
        <v>0</v>
      </c>
      <c r="AH276" s="466">
        <v>10691.49</v>
      </c>
      <c r="AI276" s="466">
        <v>10040.58</v>
      </c>
      <c r="AJ276" s="469" t="s">
        <v>2764</v>
      </c>
      <c r="AK276" s="470" t="s">
        <v>2765</v>
      </c>
      <c r="AL276" s="471" t="s">
        <v>3518</v>
      </c>
      <c r="AM276" s="470" t="s">
        <v>3519</v>
      </c>
      <c r="AN276" s="470" t="s">
        <v>1385</v>
      </c>
      <c r="AO276" s="470" t="s">
        <v>3520</v>
      </c>
      <c r="AP276" s="470" t="s">
        <v>3521</v>
      </c>
      <c r="AQ276" s="470" t="s">
        <v>3515</v>
      </c>
      <c r="AR276" s="472" t="s">
        <v>515</v>
      </c>
      <c r="AS276" s="473" t="s">
        <v>1385</v>
      </c>
      <c r="AT276" s="472" t="s">
        <v>1390</v>
      </c>
      <c r="AU276" s="472" t="s">
        <v>420</v>
      </c>
      <c r="AV276" s="472">
        <v>2020</v>
      </c>
      <c r="AW276" s="474" t="s">
        <v>15078</v>
      </c>
      <c r="AX276" s="475" t="s">
        <v>15079</v>
      </c>
      <c r="AY276" s="515">
        <v>1</v>
      </c>
      <c r="AZ276" s="474" t="s">
        <v>15079</v>
      </c>
      <c r="BA276" s="472" t="s">
        <v>1390</v>
      </c>
      <c r="BB276" s="472" t="s">
        <v>1385</v>
      </c>
      <c r="BC276" s="472" t="s">
        <v>1385</v>
      </c>
      <c r="BD276" s="472" t="s">
        <v>1385</v>
      </c>
      <c r="BE276" s="472" t="s">
        <v>1385</v>
      </c>
      <c r="BF276" s="472">
        <v>25309.8</v>
      </c>
      <c r="BG276" s="472">
        <v>0</v>
      </c>
      <c r="BH276" s="472" t="s">
        <v>1385</v>
      </c>
      <c r="BI276" s="510">
        <v>0</v>
      </c>
      <c r="BJ276" s="510">
        <v>0</v>
      </c>
      <c r="BK276" s="510">
        <v>0</v>
      </c>
      <c r="BL276" s="510">
        <v>0</v>
      </c>
      <c r="BM276" s="510">
        <v>0</v>
      </c>
      <c r="BN276" s="510">
        <v>4000</v>
      </c>
      <c r="BO276" s="510">
        <v>0</v>
      </c>
      <c r="BP276" s="510">
        <v>0</v>
      </c>
      <c r="BQ276" s="510">
        <v>0</v>
      </c>
      <c r="BR276" s="510">
        <v>0</v>
      </c>
      <c r="BS276" s="510">
        <v>0</v>
      </c>
      <c r="BT276" s="510">
        <v>0</v>
      </c>
      <c r="BU276" s="510">
        <v>0</v>
      </c>
      <c r="BV276" s="510">
        <v>0</v>
      </c>
      <c r="BW276" s="510">
        <v>0</v>
      </c>
      <c r="BX276" s="510">
        <v>30000</v>
      </c>
      <c r="BY276" s="1011">
        <v>0</v>
      </c>
      <c r="BZ276" s="510">
        <v>0</v>
      </c>
      <c r="CA276" s="1011">
        <v>0</v>
      </c>
      <c r="CB276" s="510">
        <v>0</v>
      </c>
      <c r="CC276" s="1011">
        <v>0</v>
      </c>
      <c r="CD276" s="510">
        <v>0</v>
      </c>
      <c r="CE276" s="1011">
        <v>0</v>
      </c>
      <c r="CF276" s="510">
        <v>48703.199999999997</v>
      </c>
      <c r="CG276" s="1011">
        <v>0</v>
      </c>
      <c r="CH276" s="510">
        <v>0</v>
      </c>
      <c r="CI276" s="1011">
        <v>0</v>
      </c>
    </row>
    <row r="277" spans="1:87" x14ac:dyDescent="0.2">
      <c r="A277" s="449">
        <v>96</v>
      </c>
      <c r="B277" s="453">
        <v>19318</v>
      </c>
      <c r="C277" s="454" t="s">
        <v>3522</v>
      </c>
      <c r="D277" s="454" t="s">
        <v>1390</v>
      </c>
      <c r="E277" s="454" t="s">
        <v>3523</v>
      </c>
      <c r="F277" s="454" t="s">
        <v>526</v>
      </c>
      <c r="G277" s="454" t="s">
        <v>12781</v>
      </c>
      <c r="H277" s="455">
        <v>8698840000181</v>
      </c>
      <c r="I277" s="462">
        <v>39035</v>
      </c>
      <c r="J277" s="457">
        <v>37476939</v>
      </c>
      <c r="K277" s="454" t="s">
        <v>3524</v>
      </c>
      <c r="L277" s="458">
        <v>650</v>
      </c>
      <c r="M277" s="454" t="s">
        <v>1838</v>
      </c>
      <c r="N277" s="459">
        <v>8130110</v>
      </c>
      <c r="O277" s="460">
        <v>25720822</v>
      </c>
      <c r="P277" s="462">
        <v>134379</v>
      </c>
      <c r="Q277" s="462">
        <v>96</v>
      </c>
      <c r="R277" s="462">
        <v>43928</v>
      </c>
      <c r="S277" s="463">
        <v>349</v>
      </c>
      <c r="T277" s="464">
        <v>3.6</v>
      </c>
      <c r="U277" s="465">
        <v>1256.4000000000001</v>
      </c>
      <c r="V277" s="465">
        <v>13680</v>
      </c>
      <c r="W277" s="466">
        <v>0</v>
      </c>
      <c r="X277" s="467">
        <v>1</v>
      </c>
      <c r="Y277" s="466">
        <v>22404.6</v>
      </c>
      <c r="Z277" s="468" t="s">
        <v>516</v>
      </c>
      <c r="AA277" s="466">
        <v>97385.4</v>
      </c>
      <c r="AB277" s="466">
        <v>97385.4</v>
      </c>
      <c r="AC277" s="467">
        <v>0</v>
      </c>
      <c r="AD277" s="466">
        <v>0</v>
      </c>
      <c r="AE277" s="468" t="s">
        <v>516</v>
      </c>
      <c r="AF277" s="466">
        <v>0</v>
      </c>
      <c r="AG277" s="466">
        <v>0</v>
      </c>
      <c r="AH277" s="466">
        <v>5555.47</v>
      </c>
      <c r="AI277" s="466">
        <v>2987.28</v>
      </c>
      <c r="AJ277" s="469" t="s">
        <v>2004</v>
      </c>
      <c r="AK277" s="470" t="s">
        <v>2005</v>
      </c>
      <c r="AL277" s="471" t="s">
        <v>2006</v>
      </c>
      <c r="AM277" s="470" t="s">
        <v>3525</v>
      </c>
      <c r="AN277" s="470" t="s">
        <v>1385</v>
      </c>
      <c r="AO277" s="470" t="s">
        <v>12782</v>
      </c>
      <c r="AP277" s="470" t="s">
        <v>3526</v>
      </c>
      <c r="AQ277" s="470" t="s">
        <v>3522</v>
      </c>
      <c r="AR277" s="472" t="s">
        <v>515</v>
      </c>
      <c r="AS277" s="473" t="s">
        <v>1385</v>
      </c>
      <c r="AT277" s="472" t="s">
        <v>1390</v>
      </c>
      <c r="AU277" s="472" t="s">
        <v>420</v>
      </c>
      <c r="AV277" s="472">
        <v>2020</v>
      </c>
      <c r="AW277" s="474" t="s">
        <v>15078</v>
      </c>
      <c r="AX277" s="475" t="s">
        <v>15079</v>
      </c>
      <c r="AY277" s="515">
        <v>1</v>
      </c>
      <c r="AZ277" s="474" t="s">
        <v>15079</v>
      </c>
      <c r="BA277" s="472" t="s">
        <v>1390</v>
      </c>
      <c r="BB277" s="472" t="s">
        <v>1385</v>
      </c>
      <c r="BC277" s="472" t="s">
        <v>1385</v>
      </c>
      <c r="BD277" s="472" t="s">
        <v>1385</v>
      </c>
      <c r="BE277" s="472" t="s">
        <v>1385</v>
      </c>
      <c r="BF277" s="472">
        <v>22404.6</v>
      </c>
      <c r="BG277" s="472">
        <v>0</v>
      </c>
      <c r="BH277" s="472" t="s">
        <v>1385</v>
      </c>
      <c r="BI277" s="510">
        <v>0</v>
      </c>
      <c r="BJ277" s="510">
        <v>0</v>
      </c>
      <c r="BK277" s="510">
        <v>0</v>
      </c>
      <c r="BL277" s="510">
        <v>0</v>
      </c>
      <c r="BM277" s="510">
        <v>0</v>
      </c>
      <c r="BN277" s="510">
        <v>3500</v>
      </c>
      <c r="BO277" s="510">
        <v>0</v>
      </c>
      <c r="BP277" s="510">
        <v>0</v>
      </c>
      <c r="BQ277" s="510">
        <v>0</v>
      </c>
      <c r="BR277" s="510">
        <v>0</v>
      </c>
      <c r="BS277" s="510">
        <v>0</v>
      </c>
      <c r="BT277" s="510">
        <v>0</v>
      </c>
      <c r="BU277" s="510">
        <v>0</v>
      </c>
      <c r="BV277" s="510">
        <v>0</v>
      </c>
      <c r="BW277" s="510">
        <v>0</v>
      </c>
      <c r="BX277" s="510">
        <v>30000</v>
      </c>
      <c r="BY277" s="1011">
        <v>0</v>
      </c>
      <c r="BZ277" s="510">
        <v>0</v>
      </c>
      <c r="CA277" s="1011">
        <v>0</v>
      </c>
      <c r="CB277" s="510">
        <v>0</v>
      </c>
      <c r="CC277" s="1011">
        <v>0</v>
      </c>
      <c r="CD277" s="510">
        <v>0</v>
      </c>
      <c r="CE277" s="1011">
        <v>0</v>
      </c>
      <c r="CF277" s="510">
        <v>44980.800000000003</v>
      </c>
      <c r="CG277" s="1011">
        <v>0</v>
      </c>
      <c r="CH277" s="510">
        <v>0</v>
      </c>
      <c r="CI277" s="1011">
        <v>0</v>
      </c>
    </row>
    <row r="278" spans="1:87" x14ac:dyDescent="0.2">
      <c r="A278" s="449">
        <v>76</v>
      </c>
      <c r="B278" s="453">
        <v>19319</v>
      </c>
      <c r="C278" s="454" t="s">
        <v>3527</v>
      </c>
      <c r="D278" s="454" t="s">
        <v>1390</v>
      </c>
      <c r="E278" s="454" t="s">
        <v>3528</v>
      </c>
      <c r="F278" s="454" t="s">
        <v>524</v>
      </c>
      <c r="G278" s="454" t="s">
        <v>12783</v>
      </c>
      <c r="H278" s="455">
        <v>8529811000196</v>
      </c>
      <c r="I278" s="462">
        <v>39003</v>
      </c>
      <c r="J278" s="457">
        <v>37500660</v>
      </c>
      <c r="K278" s="454" t="s">
        <v>3529</v>
      </c>
      <c r="L278" s="458">
        <v>15</v>
      </c>
      <c r="M278" s="454" t="s">
        <v>3530</v>
      </c>
      <c r="N278" s="459">
        <v>4194260</v>
      </c>
      <c r="O278" s="460">
        <v>23345368</v>
      </c>
      <c r="P278" s="462">
        <v>204350</v>
      </c>
      <c r="Q278" s="462">
        <v>82</v>
      </c>
      <c r="R278" s="462">
        <v>43906</v>
      </c>
      <c r="S278" s="463">
        <v>464</v>
      </c>
      <c r="T278" s="464">
        <v>3.6</v>
      </c>
      <c r="U278" s="465">
        <v>1670.4</v>
      </c>
      <c r="V278" s="465">
        <v>15120</v>
      </c>
      <c r="W278" s="466">
        <v>0</v>
      </c>
      <c r="X278" s="467">
        <v>1</v>
      </c>
      <c r="Y278" s="466">
        <v>25185.599999999999</v>
      </c>
      <c r="Z278" s="468" t="s">
        <v>516</v>
      </c>
      <c r="AA278" s="466">
        <v>107294.39999999999</v>
      </c>
      <c r="AB278" s="466">
        <v>107294.39999999999</v>
      </c>
      <c r="AC278" s="467">
        <v>0</v>
      </c>
      <c r="AD278" s="466">
        <v>0</v>
      </c>
      <c r="AE278" s="468" t="s">
        <v>516</v>
      </c>
      <c r="AF278" s="466">
        <v>0</v>
      </c>
      <c r="AG278" s="466">
        <v>0</v>
      </c>
      <c r="AH278" s="466">
        <v>6982.5</v>
      </c>
      <c r="AI278" s="466">
        <v>4408.3999999999996</v>
      </c>
      <c r="AJ278" s="469" t="s">
        <v>2511</v>
      </c>
      <c r="AK278" s="470" t="s">
        <v>2512</v>
      </c>
      <c r="AL278" s="471" t="s">
        <v>3531</v>
      </c>
      <c r="AM278" s="470" t="s">
        <v>15162</v>
      </c>
      <c r="AN278" s="470" t="s">
        <v>3532</v>
      </c>
      <c r="AO278" s="470" t="s">
        <v>12784</v>
      </c>
      <c r="AP278" s="470" t="s">
        <v>3533</v>
      </c>
      <c r="AQ278" s="470" t="s">
        <v>3527</v>
      </c>
      <c r="AR278" s="472" t="s">
        <v>515</v>
      </c>
      <c r="AS278" s="473" t="s">
        <v>1385</v>
      </c>
      <c r="AT278" s="472" t="s">
        <v>1390</v>
      </c>
      <c r="AU278" s="472" t="s">
        <v>420</v>
      </c>
      <c r="AV278" s="472">
        <v>2020</v>
      </c>
      <c r="AW278" s="474" t="s">
        <v>15078</v>
      </c>
      <c r="AX278" s="475" t="s">
        <v>15079</v>
      </c>
      <c r="AY278" s="515">
        <v>1</v>
      </c>
      <c r="AZ278" s="474" t="s">
        <v>15079</v>
      </c>
      <c r="BA278" s="472" t="s">
        <v>1390</v>
      </c>
      <c r="BB278" s="472" t="s">
        <v>1385</v>
      </c>
      <c r="BC278" s="472" t="s">
        <v>1385</v>
      </c>
      <c r="BD278" s="472" t="s">
        <v>1385</v>
      </c>
      <c r="BE278" s="472" t="s">
        <v>1385</v>
      </c>
      <c r="BF278" s="472">
        <v>25185.599999999999</v>
      </c>
      <c r="BG278" s="472">
        <v>0</v>
      </c>
      <c r="BH278" s="472" t="s">
        <v>1385</v>
      </c>
      <c r="BI278" s="510">
        <v>0</v>
      </c>
      <c r="BJ278" s="510">
        <v>0</v>
      </c>
      <c r="BK278" s="510">
        <v>0</v>
      </c>
      <c r="BL278" s="510">
        <v>0</v>
      </c>
      <c r="BM278" s="510">
        <v>0</v>
      </c>
      <c r="BN278" s="510">
        <v>4000</v>
      </c>
      <c r="BO278" s="510">
        <v>0</v>
      </c>
      <c r="BP278" s="510">
        <v>0</v>
      </c>
      <c r="BQ278" s="510">
        <v>0</v>
      </c>
      <c r="BR278" s="510">
        <v>0</v>
      </c>
      <c r="BS278" s="510">
        <v>0</v>
      </c>
      <c r="BT278" s="510">
        <v>0</v>
      </c>
      <c r="BU278" s="510">
        <v>0</v>
      </c>
      <c r="BV278" s="510">
        <v>0</v>
      </c>
      <c r="BW278" s="510">
        <v>0</v>
      </c>
      <c r="BX278" s="510">
        <v>30000</v>
      </c>
      <c r="BY278" s="1011">
        <v>0</v>
      </c>
      <c r="BZ278" s="510">
        <v>0</v>
      </c>
      <c r="CA278" s="1011">
        <v>0</v>
      </c>
      <c r="CB278" s="510">
        <v>0</v>
      </c>
      <c r="CC278" s="1011">
        <v>0</v>
      </c>
      <c r="CD278" s="510">
        <v>0</v>
      </c>
      <c r="CE278" s="1011">
        <v>0</v>
      </c>
      <c r="CF278" s="510">
        <v>52108.800000000003</v>
      </c>
      <c r="CG278" s="1011">
        <v>0</v>
      </c>
      <c r="CH278" s="510">
        <v>0</v>
      </c>
      <c r="CI278" s="1011">
        <v>0</v>
      </c>
    </row>
    <row r="279" spans="1:87" x14ac:dyDescent="0.2">
      <c r="A279" s="449">
        <v>109</v>
      </c>
      <c r="B279" s="453">
        <v>19320</v>
      </c>
      <c r="C279" s="454" t="s">
        <v>3534</v>
      </c>
      <c r="D279" s="454" t="s">
        <v>1390</v>
      </c>
      <c r="E279" s="454" t="s">
        <v>3535</v>
      </c>
      <c r="F279" s="454" t="s">
        <v>513</v>
      </c>
      <c r="G279" s="454" t="s">
        <v>12785</v>
      </c>
      <c r="H279" s="455">
        <v>8254735000153</v>
      </c>
      <c r="I279" s="462">
        <v>38890</v>
      </c>
      <c r="J279" s="457">
        <v>37531212</v>
      </c>
      <c r="K279" s="454" t="s">
        <v>3536</v>
      </c>
      <c r="L279" s="458">
        <v>49</v>
      </c>
      <c r="M279" s="454" t="s">
        <v>2519</v>
      </c>
      <c r="N279" s="459">
        <v>8344220</v>
      </c>
      <c r="O279" s="460">
        <v>27348754</v>
      </c>
      <c r="P279" s="462">
        <v>151761</v>
      </c>
      <c r="Q279" s="462">
        <v>109</v>
      </c>
      <c r="R279" s="462">
        <v>43937</v>
      </c>
      <c r="S279" s="463">
        <v>542</v>
      </c>
      <c r="T279" s="464">
        <v>3.6</v>
      </c>
      <c r="U279" s="465">
        <v>1951.2</v>
      </c>
      <c r="V279" s="465">
        <v>16560</v>
      </c>
      <c r="W279" s="466">
        <v>0</v>
      </c>
      <c r="X279" s="467">
        <v>1</v>
      </c>
      <c r="Y279" s="466">
        <v>27766.799999999999</v>
      </c>
      <c r="Z279" s="468" t="s">
        <v>516</v>
      </c>
      <c r="AA279" s="466">
        <v>109702.8</v>
      </c>
      <c r="AB279" s="466">
        <v>109702.8</v>
      </c>
      <c r="AC279" s="467">
        <v>0</v>
      </c>
      <c r="AD279" s="466">
        <v>0</v>
      </c>
      <c r="AE279" s="468" t="s">
        <v>516</v>
      </c>
      <c r="AF279" s="466">
        <v>0</v>
      </c>
      <c r="AG279" s="466">
        <v>0</v>
      </c>
      <c r="AH279" s="466">
        <v>12083.01</v>
      </c>
      <c r="AI279" s="466">
        <v>6665.86</v>
      </c>
      <c r="AJ279" s="469" t="s">
        <v>2520</v>
      </c>
      <c r="AK279" s="470" t="s">
        <v>2521</v>
      </c>
      <c r="AL279" s="471" t="s">
        <v>3537</v>
      </c>
      <c r="AM279" s="470" t="s">
        <v>3538</v>
      </c>
      <c r="AN279" s="470" t="s">
        <v>3539</v>
      </c>
      <c r="AO279" s="470" t="s">
        <v>3540</v>
      </c>
      <c r="AP279" s="470" t="s">
        <v>3541</v>
      </c>
      <c r="AQ279" s="470" t="s">
        <v>3534</v>
      </c>
      <c r="AR279" s="472" t="s">
        <v>515</v>
      </c>
      <c r="AS279" s="473" t="s">
        <v>1385</v>
      </c>
      <c r="AT279" s="472" t="s">
        <v>1390</v>
      </c>
      <c r="AU279" s="472" t="s">
        <v>420</v>
      </c>
      <c r="AV279" s="472">
        <v>2020</v>
      </c>
      <c r="AW279" s="474" t="s">
        <v>15078</v>
      </c>
      <c r="AX279" s="475" t="s">
        <v>15079</v>
      </c>
      <c r="AY279" s="515">
        <v>1</v>
      </c>
      <c r="AZ279" s="474" t="s">
        <v>15079</v>
      </c>
      <c r="BA279" s="472" t="s">
        <v>1390</v>
      </c>
      <c r="BB279" s="472" t="s">
        <v>1385</v>
      </c>
      <c r="BC279" s="472" t="s">
        <v>1385</v>
      </c>
      <c r="BD279" s="472" t="s">
        <v>1385</v>
      </c>
      <c r="BE279" s="472" t="s">
        <v>1385</v>
      </c>
      <c r="BF279" s="472">
        <v>27766.799999999999</v>
      </c>
      <c r="BG279" s="472">
        <v>0</v>
      </c>
      <c r="BH279" s="472" t="s">
        <v>1385</v>
      </c>
      <c r="BI279" s="510">
        <v>0</v>
      </c>
      <c r="BJ279" s="510">
        <v>0</v>
      </c>
      <c r="BK279" s="510">
        <v>0</v>
      </c>
      <c r="BL279" s="510">
        <v>0</v>
      </c>
      <c r="BM279" s="510">
        <v>0</v>
      </c>
      <c r="BN279" s="510">
        <v>0</v>
      </c>
      <c r="BO279" s="510">
        <v>0</v>
      </c>
      <c r="BP279" s="510">
        <v>0</v>
      </c>
      <c r="BQ279" s="510">
        <v>0</v>
      </c>
      <c r="BR279" s="510">
        <v>0</v>
      </c>
      <c r="BS279" s="510">
        <v>0</v>
      </c>
      <c r="BT279" s="510">
        <v>0</v>
      </c>
      <c r="BU279" s="510">
        <v>0</v>
      </c>
      <c r="BV279" s="510">
        <v>0</v>
      </c>
      <c r="BW279" s="510">
        <v>0</v>
      </c>
      <c r="BX279" s="510">
        <v>30000</v>
      </c>
      <c r="BY279" s="1011">
        <v>0</v>
      </c>
      <c r="BZ279" s="510">
        <v>0</v>
      </c>
      <c r="CA279" s="1011">
        <v>0</v>
      </c>
      <c r="CB279" s="510">
        <v>0</v>
      </c>
      <c r="CC279" s="1011">
        <v>0</v>
      </c>
      <c r="CD279" s="510">
        <v>0</v>
      </c>
      <c r="CE279" s="1011">
        <v>0</v>
      </c>
      <c r="CF279" s="510">
        <v>51936</v>
      </c>
      <c r="CG279" s="1011">
        <v>0</v>
      </c>
      <c r="CH279" s="510">
        <v>0</v>
      </c>
      <c r="CI279" s="1011">
        <v>0</v>
      </c>
    </row>
    <row r="280" spans="1:87" x14ac:dyDescent="0.2">
      <c r="A280" s="449">
        <v>48</v>
      </c>
      <c r="B280" s="453">
        <v>19321</v>
      </c>
      <c r="C280" s="454" t="s">
        <v>3542</v>
      </c>
      <c r="D280" s="454" t="s">
        <v>517</v>
      </c>
      <c r="E280" s="454" t="s">
        <v>3543</v>
      </c>
      <c r="F280" s="454" t="s">
        <v>521</v>
      </c>
      <c r="G280" s="454" t="s">
        <v>12786</v>
      </c>
      <c r="H280" s="455">
        <v>4422775000106</v>
      </c>
      <c r="I280" s="462">
        <v>37001</v>
      </c>
      <c r="J280" s="457">
        <v>37550284</v>
      </c>
      <c r="K280" s="454" t="s">
        <v>3185</v>
      </c>
      <c r="L280" s="458">
        <v>5</v>
      </c>
      <c r="M280" s="454" t="s">
        <v>3186</v>
      </c>
      <c r="N280" s="459">
        <v>4845200</v>
      </c>
      <c r="O280" s="460">
        <v>59729482</v>
      </c>
      <c r="P280" s="462">
        <v>89789</v>
      </c>
      <c r="Q280" s="462">
        <v>51</v>
      </c>
      <c r="R280" s="462">
        <v>43934</v>
      </c>
      <c r="S280" s="463">
        <v>344</v>
      </c>
      <c r="T280" s="464">
        <v>5.4</v>
      </c>
      <c r="U280" s="465">
        <v>1857.6</v>
      </c>
      <c r="V280" s="465">
        <v>15480</v>
      </c>
      <c r="W280" s="466">
        <v>0</v>
      </c>
      <c r="X280" s="467">
        <v>1</v>
      </c>
      <c r="Y280" s="466">
        <v>26006.400000000001</v>
      </c>
      <c r="Z280" s="468" t="s">
        <v>516</v>
      </c>
      <c r="AA280" s="466">
        <v>113449.2</v>
      </c>
      <c r="AB280" s="466">
        <v>113449.2</v>
      </c>
      <c r="AC280" s="467">
        <v>0</v>
      </c>
      <c r="AD280" s="466">
        <v>0</v>
      </c>
      <c r="AE280" s="468" t="s">
        <v>516</v>
      </c>
      <c r="AF280" s="466">
        <v>1200</v>
      </c>
      <c r="AG280" s="466">
        <v>1200</v>
      </c>
      <c r="AH280" s="466">
        <v>36640.1</v>
      </c>
      <c r="AI280" s="466">
        <v>11956.79</v>
      </c>
      <c r="AJ280" s="469" t="s">
        <v>1624</v>
      </c>
      <c r="AK280" s="470" t="s">
        <v>1625</v>
      </c>
      <c r="AL280" s="471" t="s">
        <v>3544</v>
      </c>
      <c r="AM280" s="470" t="s">
        <v>3545</v>
      </c>
      <c r="AN280" s="470" t="s">
        <v>1385</v>
      </c>
      <c r="AO280" s="470" t="s">
        <v>3546</v>
      </c>
      <c r="AP280" s="470" t="s">
        <v>3547</v>
      </c>
      <c r="AQ280" s="470" t="s">
        <v>3542</v>
      </c>
      <c r="AR280" s="472" t="s">
        <v>515</v>
      </c>
      <c r="AS280" s="473" t="s">
        <v>1385</v>
      </c>
      <c r="AT280" s="472" t="s">
        <v>517</v>
      </c>
      <c r="AU280" s="472" t="s">
        <v>420</v>
      </c>
      <c r="AV280" s="472">
        <v>2020</v>
      </c>
      <c r="AW280" s="474" t="s">
        <v>15078</v>
      </c>
      <c r="AX280" s="475" t="s">
        <v>15079</v>
      </c>
      <c r="AY280" s="515">
        <v>1</v>
      </c>
      <c r="AZ280" s="474" t="s">
        <v>15079</v>
      </c>
      <c r="BA280" s="472" t="s">
        <v>517</v>
      </c>
      <c r="BB280" s="472" t="s">
        <v>1385</v>
      </c>
      <c r="BC280" s="472" t="s">
        <v>1385</v>
      </c>
      <c r="BD280" s="472" t="s">
        <v>1385</v>
      </c>
      <c r="BE280" s="472" t="s">
        <v>1385</v>
      </c>
      <c r="BF280" s="472">
        <v>26006.400000000001</v>
      </c>
      <c r="BG280" s="472">
        <v>0</v>
      </c>
      <c r="BH280" s="472" t="s">
        <v>1385</v>
      </c>
      <c r="BI280" s="510">
        <v>0</v>
      </c>
      <c r="BJ280" s="510">
        <v>13174.6</v>
      </c>
      <c r="BK280" s="510">
        <v>0</v>
      </c>
      <c r="BL280" s="510">
        <v>3500</v>
      </c>
      <c r="BM280" s="510">
        <v>0</v>
      </c>
      <c r="BN280" s="510">
        <v>1450</v>
      </c>
      <c r="BO280" s="510">
        <v>800</v>
      </c>
      <c r="BP280" s="510">
        <v>1200</v>
      </c>
      <c r="BQ280" s="510">
        <v>0</v>
      </c>
      <c r="BR280" s="510">
        <v>0</v>
      </c>
      <c r="BS280" s="510">
        <v>0</v>
      </c>
      <c r="BT280" s="510">
        <v>0</v>
      </c>
      <c r="BU280" s="510">
        <v>0</v>
      </c>
      <c r="BV280" s="510">
        <v>0</v>
      </c>
      <c r="BW280" s="510">
        <v>0</v>
      </c>
      <c r="BX280" s="510">
        <v>30000</v>
      </c>
      <c r="BY280" s="1011">
        <v>0</v>
      </c>
      <c r="BZ280" s="510">
        <v>0</v>
      </c>
      <c r="CA280" s="1011">
        <v>0</v>
      </c>
      <c r="CB280" s="510">
        <v>22000</v>
      </c>
      <c r="CC280" s="1011">
        <v>0</v>
      </c>
      <c r="CD280" s="510">
        <v>0</v>
      </c>
      <c r="CE280" s="1011">
        <v>0</v>
      </c>
      <c r="CF280" s="510">
        <v>34642.800000000003</v>
      </c>
      <c r="CG280" s="1011">
        <v>0</v>
      </c>
      <c r="CH280" s="510">
        <v>0</v>
      </c>
      <c r="CI280" s="1011">
        <v>0</v>
      </c>
    </row>
    <row r="281" spans="1:87" x14ac:dyDescent="0.2">
      <c r="A281" s="449">
        <v>37</v>
      </c>
      <c r="B281" s="453">
        <v>19322</v>
      </c>
      <c r="C281" s="454" t="s">
        <v>3548</v>
      </c>
      <c r="D281" s="454" t="s">
        <v>517</v>
      </c>
      <c r="E281" s="454" t="s">
        <v>3549</v>
      </c>
      <c r="F281" s="454" t="s">
        <v>528</v>
      </c>
      <c r="G281" s="454" t="s">
        <v>12787</v>
      </c>
      <c r="H281" s="455">
        <v>9639866000111</v>
      </c>
      <c r="I281" s="462">
        <v>39605</v>
      </c>
      <c r="J281" s="457">
        <v>38089858</v>
      </c>
      <c r="K281" s="454" t="s">
        <v>3550</v>
      </c>
      <c r="L281" s="458">
        <v>23</v>
      </c>
      <c r="M281" s="454" t="s">
        <v>3551</v>
      </c>
      <c r="N281" s="459">
        <v>2998260</v>
      </c>
      <c r="O281" s="460">
        <v>39452033</v>
      </c>
      <c r="P281" s="462">
        <v>292519</v>
      </c>
      <c r="Q281" s="462">
        <v>37</v>
      </c>
      <c r="R281" s="462">
        <v>43938</v>
      </c>
      <c r="S281" s="463">
        <v>728</v>
      </c>
      <c r="T281" s="464">
        <v>5.4</v>
      </c>
      <c r="U281" s="465">
        <v>3931.2</v>
      </c>
      <c r="V281" s="465">
        <v>18720</v>
      </c>
      <c r="W281" s="466">
        <v>0</v>
      </c>
      <c r="X281" s="467">
        <v>1</v>
      </c>
      <c r="Y281" s="466">
        <v>33976.800000000003</v>
      </c>
      <c r="Z281" s="468" t="s">
        <v>516</v>
      </c>
      <c r="AA281" s="466">
        <v>131030.8</v>
      </c>
      <c r="AB281" s="466">
        <v>131030.8</v>
      </c>
      <c r="AC281" s="467">
        <v>0</v>
      </c>
      <c r="AD281" s="466">
        <v>0</v>
      </c>
      <c r="AE281" s="468" t="s">
        <v>516</v>
      </c>
      <c r="AF281" s="466">
        <v>2000</v>
      </c>
      <c r="AG281" s="466">
        <v>2000</v>
      </c>
      <c r="AH281" s="466">
        <v>4230.6099999999997</v>
      </c>
      <c r="AI281" s="466">
        <v>6260.48</v>
      </c>
      <c r="AJ281" s="469" t="s">
        <v>1422</v>
      </c>
      <c r="AK281" s="470" t="s">
        <v>1423</v>
      </c>
      <c r="AL281" s="471" t="s">
        <v>3552</v>
      </c>
      <c r="AM281" s="470" t="s">
        <v>12788</v>
      </c>
      <c r="AN281" s="470" t="s">
        <v>1385</v>
      </c>
      <c r="AO281" s="470" t="s">
        <v>3553</v>
      </c>
      <c r="AP281" s="470" t="s">
        <v>3554</v>
      </c>
      <c r="AQ281" s="470" t="s">
        <v>3548</v>
      </c>
      <c r="AR281" s="472" t="s">
        <v>515</v>
      </c>
      <c r="AS281" s="473" t="s">
        <v>1385</v>
      </c>
      <c r="AT281" s="472" t="s">
        <v>517</v>
      </c>
      <c r="AU281" s="472" t="s">
        <v>420</v>
      </c>
      <c r="AV281" s="472">
        <v>2020</v>
      </c>
      <c r="AW281" s="474" t="s">
        <v>15078</v>
      </c>
      <c r="AX281" s="475" t="s">
        <v>15079</v>
      </c>
      <c r="AY281" s="515">
        <v>1</v>
      </c>
      <c r="AZ281" s="474" t="s">
        <v>15079</v>
      </c>
      <c r="BA281" s="472" t="s">
        <v>517</v>
      </c>
      <c r="BB281" s="472" t="s">
        <v>1385</v>
      </c>
      <c r="BC281" s="472" t="s">
        <v>1385</v>
      </c>
      <c r="BD281" s="472" t="s">
        <v>1385</v>
      </c>
      <c r="BE281" s="472" t="s">
        <v>1385</v>
      </c>
      <c r="BF281" s="509">
        <v>33976.800000000003</v>
      </c>
      <c r="BG281" s="509">
        <v>0</v>
      </c>
      <c r="BH281" s="472" t="s">
        <v>1385</v>
      </c>
      <c r="BI281" s="510">
        <v>0</v>
      </c>
      <c r="BJ281" s="510">
        <v>275.81</v>
      </c>
      <c r="BK281" s="510">
        <v>0</v>
      </c>
      <c r="BL281" s="510">
        <v>2310</v>
      </c>
      <c r="BM281" s="510">
        <v>0</v>
      </c>
      <c r="BN281" s="510">
        <v>5000</v>
      </c>
      <c r="BO281" s="510">
        <v>0</v>
      </c>
      <c r="BP281" s="510">
        <v>2000</v>
      </c>
      <c r="BQ281" s="510">
        <v>0</v>
      </c>
      <c r="BR281" s="510">
        <v>0</v>
      </c>
      <c r="BS281" s="510">
        <v>0</v>
      </c>
      <c r="BT281" s="510">
        <v>0</v>
      </c>
      <c r="BU281" s="510">
        <v>2500</v>
      </c>
      <c r="BV281" s="510">
        <v>2500</v>
      </c>
      <c r="BW281" s="510">
        <v>0</v>
      </c>
      <c r="BX281" s="510">
        <v>30000</v>
      </c>
      <c r="BY281" s="1011">
        <v>0</v>
      </c>
      <c r="BZ281" s="510">
        <v>0</v>
      </c>
      <c r="CA281" s="1011">
        <v>0</v>
      </c>
      <c r="CB281" s="510">
        <v>22000</v>
      </c>
      <c r="CC281" s="1011">
        <v>0</v>
      </c>
      <c r="CD281" s="510">
        <v>0</v>
      </c>
      <c r="CE281" s="1011">
        <v>0</v>
      </c>
      <c r="CF281" s="510">
        <v>45054</v>
      </c>
      <c r="CG281" s="1011">
        <v>0</v>
      </c>
      <c r="CH281" s="510">
        <v>0</v>
      </c>
      <c r="CI281" s="1011">
        <v>0</v>
      </c>
    </row>
    <row r="282" spans="1:87" x14ac:dyDescent="0.2">
      <c r="A282" s="449">
        <v>85</v>
      </c>
      <c r="B282" s="453">
        <v>19323</v>
      </c>
      <c r="C282" s="454" t="s">
        <v>3555</v>
      </c>
      <c r="D282" s="454" t="s">
        <v>1390</v>
      </c>
      <c r="E282" s="454" t="s">
        <v>3556</v>
      </c>
      <c r="F282" s="454" t="s">
        <v>521</v>
      </c>
      <c r="G282" s="454" t="s">
        <v>12789</v>
      </c>
      <c r="H282" s="455">
        <v>8432625000134</v>
      </c>
      <c r="I282" s="462">
        <v>39027</v>
      </c>
      <c r="J282" s="457">
        <v>37551825</v>
      </c>
      <c r="K282" s="454" t="s">
        <v>3557</v>
      </c>
      <c r="L282" s="458">
        <v>181</v>
      </c>
      <c r="M282" s="454" t="s">
        <v>3558</v>
      </c>
      <c r="N282" s="459">
        <v>4836110</v>
      </c>
      <c r="O282" s="460">
        <v>59249326</v>
      </c>
      <c r="P282" s="462">
        <v>95390</v>
      </c>
      <c r="Q282" s="462">
        <v>82</v>
      </c>
      <c r="R282" s="462">
        <v>43934</v>
      </c>
      <c r="S282" s="463">
        <v>537</v>
      </c>
      <c r="T282" s="464">
        <v>3.6</v>
      </c>
      <c r="U282" s="465">
        <v>1933.2</v>
      </c>
      <c r="V282" s="465">
        <v>16560</v>
      </c>
      <c r="W282" s="466">
        <v>0</v>
      </c>
      <c r="X282" s="467">
        <v>1</v>
      </c>
      <c r="Y282" s="466">
        <v>27739.8</v>
      </c>
      <c r="Z282" s="468" t="s">
        <v>516</v>
      </c>
      <c r="AA282" s="466">
        <v>109611</v>
      </c>
      <c r="AB282" s="466">
        <v>109611</v>
      </c>
      <c r="AC282" s="467">
        <v>0</v>
      </c>
      <c r="AD282" s="466">
        <v>0</v>
      </c>
      <c r="AE282" s="468" t="s">
        <v>516</v>
      </c>
      <c r="AF282" s="466">
        <v>0</v>
      </c>
      <c r="AG282" s="466">
        <v>0</v>
      </c>
      <c r="AH282" s="466">
        <v>22789.91</v>
      </c>
      <c r="AI282" s="466">
        <v>19127.7</v>
      </c>
      <c r="AJ282" s="469" t="s">
        <v>1624</v>
      </c>
      <c r="AK282" s="470" t="s">
        <v>1625</v>
      </c>
      <c r="AL282" s="471" t="s">
        <v>3559</v>
      </c>
      <c r="AM282" s="470" t="s">
        <v>3560</v>
      </c>
      <c r="AN282" s="470" t="s">
        <v>1385</v>
      </c>
      <c r="AO282" s="470" t="s">
        <v>3561</v>
      </c>
      <c r="AP282" s="470" t="s">
        <v>3562</v>
      </c>
      <c r="AQ282" s="470" t="s">
        <v>3555</v>
      </c>
      <c r="AR282" s="472" t="s">
        <v>515</v>
      </c>
      <c r="AS282" s="473" t="s">
        <v>1385</v>
      </c>
      <c r="AT282" s="472" t="s">
        <v>1390</v>
      </c>
      <c r="AU282" s="472" t="s">
        <v>420</v>
      </c>
      <c r="AV282" s="472">
        <v>2020</v>
      </c>
      <c r="AW282" s="474" t="s">
        <v>15078</v>
      </c>
      <c r="AX282" s="475" t="s">
        <v>15079</v>
      </c>
      <c r="AY282" s="515">
        <v>1</v>
      </c>
      <c r="AZ282" s="474" t="s">
        <v>15079</v>
      </c>
      <c r="BA282" s="472" t="s">
        <v>1390</v>
      </c>
      <c r="BB282" s="472" t="s">
        <v>1385</v>
      </c>
      <c r="BC282" s="472" t="s">
        <v>1385</v>
      </c>
      <c r="BD282" s="472" t="s">
        <v>1385</v>
      </c>
      <c r="BE282" s="472" t="s">
        <v>1385</v>
      </c>
      <c r="BF282" s="472">
        <v>27739.8</v>
      </c>
      <c r="BG282" s="472">
        <v>0</v>
      </c>
      <c r="BH282" s="472" t="s">
        <v>1385</v>
      </c>
      <c r="BI282" s="510">
        <v>0</v>
      </c>
      <c r="BJ282" s="510">
        <v>0</v>
      </c>
      <c r="BK282" s="510">
        <v>0</v>
      </c>
      <c r="BL282" s="510">
        <v>0</v>
      </c>
      <c r="BM282" s="510">
        <v>0</v>
      </c>
      <c r="BN282" s="510">
        <v>4000</v>
      </c>
      <c r="BO282" s="510">
        <v>0</v>
      </c>
      <c r="BP282" s="510">
        <v>0</v>
      </c>
      <c r="BQ282" s="510">
        <v>0</v>
      </c>
      <c r="BR282" s="510">
        <v>0</v>
      </c>
      <c r="BS282" s="510">
        <v>0</v>
      </c>
      <c r="BT282" s="510">
        <v>0</v>
      </c>
      <c r="BU282" s="510">
        <v>0</v>
      </c>
      <c r="BV282" s="510">
        <v>0</v>
      </c>
      <c r="BW282" s="510">
        <v>0</v>
      </c>
      <c r="BX282" s="510">
        <v>30000</v>
      </c>
      <c r="BY282" s="1011">
        <v>0</v>
      </c>
      <c r="BZ282" s="510">
        <v>0</v>
      </c>
      <c r="CA282" s="1011">
        <v>0</v>
      </c>
      <c r="CB282" s="510">
        <v>0</v>
      </c>
      <c r="CC282" s="1011">
        <v>0</v>
      </c>
      <c r="CD282" s="510">
        <v>0</v>
      </c>
      <c r="CE282" s="1011">
        <v>0</v>
      </c>
      <c r="CF282" s="510">
        <v>51871.199999999997</v>
      </c>
      <c r="CG282" s="1011">
        <v>0</v>
      </c>
      <c r="CH282" s="510">
        <v>0</v>
      </c>
      <c r="CI282" s="1011">
        <v>0</v>
      </c>
    </row>
    <row r="283" spans="1:87" x14ac:dyDescent="0.2">
      <c r="A283" s="449">
        <v>123</v>
      </c>
      <c r="B283" s="453">
        <v>19324</v>
      </c>
      <c r="C283" s="454" t="s">
        <v>3563</v>
      </c>
      <c r="D283" s="454" t="s">
        <v>1390</v>
      </c>
      <c r="E283" s="454" t="s">
        <v>3564</v>
      </c>
      <c r="F283" s="454" t="s">
        <v>520</v>
      </c>
      <c r="G283" s="454" t="s">
        <v>12790</v>
      </c>
      <c r="H283" s="455">
        <v>8543222000162</v>
      </c>
      <c r="I283" s="462">
        <v>39042</v>
      </c>
      <c r="J283" s="457">
        <v>37629620</v>
      </c>
      <c r="K283" s="454" t="s">
        <v>3566</v>
      </c>
      <c r="L283" s="458">
        <v>298</v>
      </c>
      <c r="M283" s="454" t="s">
        <v>3567</v>
      </c>
      <c r="N283" s="459">
        <v>5819060</v>
      </c>
      <c r="O283" s="460">
        <v>58910287</v>
      </c>
      <c r="P283" s="462">
        <v>305661</v>
      </c>
      <c r="Q283" s="462">
        <v>58</v>
      </c>
      <c r="R283" s="462">
        <v>43969</v>
      </c>
      <c r="S283" s="463">
        <v>434</v>
      </c>
      <c r="T283" s="464">
        <v>3.6</v>
      </c>
      <c r="U283" s="465">
        <v>1562.4</v>
      </c>
      <c r="V283" s="465">
        <v>15120</v>
      </c>
      <c r="W283" s="466">
        <v>0</v>
      </c>
      <c r="X283" s="467">
        <v>1</v>
      </c>
      <c r="Y283" s="466">
        <v>25023.599999999999</v>
      </c>
      <c r="Z283" s="468" t="s">
        <v>516</v>
      </c>
      <c r="AA283" s="466">
        <v>103417.2</v>
      </c>
      <c r="AB283" s="466">
        <v>103417.2</v>
      </c>
      <c r="AC283" s="467">
        <v>0</v>
      </c>
      <c r="AD283" s="466">
        <v>0</v>
      </c>
      <c r="AE283" s="468" t="s">
        <v>516</v>
      </c>
      <c r="AF283" s="466">
        <v>0</v>
      </c>
      <c r="AG283" s="466">
        <v>0</v>
      </c>
      <c r="AH283" s="466">
        <v>32476.6</v>
      </c>
      <c r="AI283" s="466">
        <v>0</v>
      </c>
      <c r="AJ283" s="469" t="s">
        <v>1813</v>
      </c>
      <c r="AK283" s="470" t="s">
        <v>1814</v>
      </c>
      <c r="AL283" s="471" t="s">
        <v>3568</v>
      </c>
      <c r="AM283" s="470" t="s">
        <v>3569</v>
      </c>
      <c r="AN283" s="470" t="s">
        <v>3565</v>
      </c>
      <c r="AO283" s="470" t="s">
        <v>3570</v>
      </c>
      <c r="AP283" s="470" t="s">
        <v>3571</v>
      </c>
      <c r="AQ283" s="470" t="s">
        <v>3563</v>
      </c>
      <c r="AR283" s="472" t="s">
        <v>515</v>
      </c>
      <c r="AS283" s="473" t="s">
        <v>1385</v>
      </c>
      <c r="AT283" s="472" t="s">
        <v>1390</v>
      </c>
      <c r="AU283" s="472" t="s">
        <v>420</v>
      </c>
      <c r="AV283" s="472">
        <v>2020</v>
      </c>
      <c r="AW283" s="474" t="s">
        <v>15078</v>
      </c>
      <c r="AX283" s="475" t="s">
        <v>15079</v>
      </c>
      <c r="AY283" s="515">
        <v>1</v>
      </c>
      <c r="AZ283" s="474" t="s">
        <v>15079</v>
      </c>
      <c r="BA283" s="472" t="s">
        <v>1390</v>
      </c>
      <c r="BB283" s="472" t="s">
        <v>1385</v>
      </c>
      <c r="BC283" s="472" t="s">
        <v>1385</v>
      </c>
      <c r="BD283" s="472" t="s">
        <v>1385</v>
      </c>
      <c r="BE283" s="472" t="s">
        <v>1385</v>
      </c>
      <c r="BF283" s="472">
        <v>25023.599999999999</v>
      </c>
      <c r="BG283" s="472">
        <v>0</v>
      </c>
      <c r="BH283" s="472" t="s">
        <v>1385</v>
      </c>
      <c r="BI283" s="510">
        <v>0</v>
      </c>
      <c r="BJ283" s="510">
        <v>786.2</v>
      </c>
      <c r="BK283" s="510">
        <v>0</v>
      </c>
      <c r="BL283" s="510">
        <v>0</v>
      </c>
      <c r="BM283" s="510">
        <v>0</v>
      </c>
      <c r="BN283" s="510">
        <v>4000</v>
      </c>
      <c r="BO283" s="510">
        <v>0</v>
      </c>
      <c r="BP283" s="510">
        <v>0</v>
      </c>
      <c r="BQ283" s="510">
        <v>0</v>
      </c>
      <c r="BR283" s="510">
        <v>0</v>
      </c>
      <c r="BS283" s="510">
        <v>0</v>
      </c>
      <c r="BT283" s="510">
        <v>0</v>
      </c>
      <c r="BU283" s="510">
        <v>0</v>
      </c>
      <c r="BV283" s="510">
        <v>0</v>
      </c>
      <c r="BW283" s="510">
        <v>0</v>
      </c>
      <c r="BX283" s="510">
        <v>30000</v>
      </c>
      <c r="BY283" s="1011">
        <v>0</v>
      </c>
      <c r="BZ283" s="510">
        <v>0</v>
      </c>
      <c r="CA283" s="1011">
        <v>0</v>
      </c>
      <c r="CB283" s="510">
        <v>0</v>
      </c>
      <c r="CC283" s="1011">
        <v>0</v>
      </c>
      <c r="CD283" s="510">
        <v>0</v>
      </c>
      <c r="CE283" s="1011">
        <v>0</v>
      </c>
      <c r="CF283" s="510">
        <v>48393.599999999999</v>
      </c>
      <c r="CG283" s="1011">
        <v>0</v>
      </c>
      <c r="CH283" s="510">
        <v>0</v>
      </c>
      <c r="CI283" s="1011">
        <v>0</v>
      </c>
    </row>
    <row r="284" spans="1:87" x14ac:dyDescent="0.2">
      <c r="A284" s="449">
        <v>116</v>
      </c>
      <c r="B284" s="453">
        <v>19325</v>
      </c>
      <c r="C284" s="454" t="s">
        <v>3572</v>
      </c>
      <c r="D284" s="454" t="s">
        <v>1390</v>
      </c>
      <c r="E284" s="454" t="s">
        <v>3573</v>
      </c>
      <c r="F284" s="454" t="s">
        <v>513</v>
      </c>
      <c r="G284" s="454" t="s">
        <v>12791</v>
      </c>
      <c r="H284" s="455">
        <v>9271622000129</v>
      </c>
      <c r="I284" s="462">
        <v>39038</v>
      </c>
      <c r="J284" s="457">
        <v>37531263</v>
      </c>
      <c r="K284" s="454" t="s">
        <v>3574</v>
      </c>
      <c r="L284" s="458">
        <v>58</v>
      </c>
      <c r="M284" s="454" t="s">
        <v>3575</v>
      </c>
      <c r="N284" s="459">
        <v>8390324</v>
      </c>
      <c r="O284" s="460">
        <v>27530830</v>
      </c>
      <c r="P284" s="462">
        <v>152091</v>
      </c>
      <c r="Q284" s="462">
        <v>116</v>
      </c>
      <c r="R284" s="462">
        <v>43937</v>
      </c>
      <c r="S284" s="463">
        <v>306</v>
      </c>
      <c r="T284" s="464">
        <v>3.6</v>
      </c>
      <c r="U284" s="465">
        <v>1101.5999999999999</v>
      </c>
      <c r="V284" s="465">
        <v>13680</v>
      </c>
      <c r="W284" s="466">
        <v>0</v>
      </c>
      <c r="X284" s="467">
        <v>1</v>
      </c>
      <c r="Y284" s="466">
        <v>22172.400000000001</v>
      </c>
      <c r="Z284" s="468" t="s">
        <v>516</v>
      </c>
      <c r="AA284" s="466">
        <v>100321.2</v>
      </c>
      <c r="AB284" s="466">
        <v>100321.2</v>
      </c>
      <c r="AC284" s="467">
        <v>0</v>
      </c>
      <c r="AD284" s="466">
        <v>0</v>
      </c>
      <c r="AE284" s="468" t="s">
        <v>516</v>
      </c>
      <c r="AF284" s="466">
        <v>0</v>
      </c>
      <c r="AG284" s="466">
        <v>0</v>
      </c>
      <c r="AH284" s="466">
        <v>15932.36</v>
      </c>
      <c r="AI284" s="466">
        <v>8740.11</v>
      </c>
      <c r="AJ284" s="469" t="s">
        <v>1972</v>
      </c>
      <c r="AK284" s="470" t="s">
        <v>1973</v>
      </c>
      <c r="AL284" s="471" t="s">
        <v>3576</v>
      </c>
      <c r="AM284" s="470" t="s">
        <v>3577</v>
      </c>
      <c r="AN284" s="470" t="s">
        <v>3578</v>
      </c>
      <c r="AO284" s="470" t="s">
        <v>3579</v>
      </c>
      <c r="AP284" s="470" t="s">
        <v>3580</v>
      </c>
      <c r="AQ284" s="470" t="s">
        <v>3572</v>
      </c>
      <c r="AR284" s="472" t="s">
        <v>515</v>
      </c>
      <c r="AS284" s="473" t="s">
        <v>1385</v>
      </c>
      <c r="AT284" s="472" t="s">
        <v>1390</v>
      </c>
      <c r="AU284" s="472" t="s">
        <v>420</v>
      </c>
      <c r="AV284" s="472">
        <v>2020</v>
      </c>
      <c r="AW284" s="474" t="s">
        <v>15078</v>
      </c>
      <c r="AX284" s="475" t="s">
        <v>15079</v>
      </c>
      <c r="AY284" s="515">
        <v>1</v>
      </c>
      <c r="AZ284" s="474" t="s">
        <v>15079</v>
      </c>
      <c r="BA284" s="472" t="s">
        <v>1390</v>
      </c>
      <c r="BB284" s="472" t="s">
        <v>1385</v>
      </c>
      <c r="BC284" s="472" t="s">
        <v>1385</v>
      </c>
      <c r="BD284" s="472" t="s">
        <v>1385</v>
      </c>
      <c r="BE284" s="472" t="s">
        <v>1385</v>
      </c>
      <c r="BF284" s="472">
        <v>22172.400000000001</v>
      </c>
      <c r="BG284" s="472">
        <v>0</v>
      </c>
      <c r="BH284" s="472" t="s">
        <v>1385</v>
      </c>
      <c r="BI284" s="510">
        <v>0</v>
      </c>
      <c r="BJ284" s="510">
        <v>0</v>
      </c>
      <c r="BK284" s="510">
        <v>0</v>
      </c>
      <c r="BL284" s="510">
        <v>0</v>
      </c>
      <c r="BM284" s="510">
        <v>0</v>
      </c>
      <c r="BN284" s="510">
        <v>3500</v>
      </c>
      <c r="BO284" s="510">
        <v>0</v>
      </c>
      <c r="BP284" s="510">
        <v>0</v>
      </c>
      <c r="BQ284" s="510">
        <v>0</v>
      </c>
      <c r="BR284" s="510">
        <v>0</v>
      </c>
      <c r="BS284" s="510">
        <v>0</v>
      </c>
      <c r="BT284" s="510">
        <v>0</v>
      </c>
      <c r="BU284" s="510">
        <v>0</v>
      </c>
      <c r="BV284" s="510">
        <v>0</v>
      </c>
      <c r="BW284" s="510">
        <v>0</v>
      </c>
      <c r="BX284" s="510">
        <v>30000</v>
      </c>
      <c r="BY284" s="1011">
        <v>0</v>
      </c>
      <c r="BZ284" s="510">
        <v>0</v>
      </c>
      <c r="CA284" s="1011">
        <v>0</v>
      </c>
      <c r="CB284" s="510">
        <v>0</v>
      </c>
      <c r="CC284" s="1011">
        <v>0</v>
      </c>
      <c r="CD284" s="510">
        <v>0</v>
      </c>
      <c r="CE284" s="1011">
        <v>0</v>
      </c>
      <c r="CF284" s="510">
        <v>48148.800000000003</v>
      </c>
      <c r="CG284" s="1011">
        <v>0</v>
      </c>
      <c r="CH284" s="510">
        <v>0</v>
      </c>
      <c r="CI284" s="1011">
        <v>0</v>
      </c>
    </row>
    <row r="285" spans="1:87" x14ac:dyDescent="0.2">
      <c r="A285" s="449">
        <v>103</v>
      </c>
      <c r="B285" s="453">
        <v>19326</v>
      </c>
      <c r="C285" s="454" t="s">
        <v>3581</v>
      </c>
      <c r="D285" s="454" t="s">
        <v>1390</v>
      </c>
      <c r="E285" s="454" t="s">
        <v>3582</v>
      </c>
      <c r="F285" s="454" t="s">
        <v>528</v>
      </c>
      <c r="G285" s="454" t="s">
        <v>12792</v>
      </c>
      <c r="H285" s="455">
        <v>10248685000143</v>
      </c>
      <c r="I285" s="462">
        <v>36785</v>
      </c>
      <c r="J285" s="457">
        <v>38089866</v>
      </c>
      <c r="K285" s="454" t="s">
        <v>3583</v>
      </c>
      <c r="L285" s="458" t="s">
        <v>1446</v>
      </c>
      <c r="M285" s="454" t="s">
        <v>3584</v>
      </c>
      <c r="N285" s="459">
        <v>5323000</v>
      </c>
      <c r="O285" s="460">
        <v>37662907</v>
      </c>
      <c r="P285" s="462">
        <v>26249</v>
      </c>
      <c r="Q285" s="462">
        <v>103</v>
      </c>
      <c r="R285" s="462">
        <v>43938</v>
      </c>
      <c r="S285" s="463">
        <v>457</v>
      </c>
      <c r="T285" s="464">
        <v>3.6</v>
      </c>
      <c r="U285" s="465">
        <v>1645.2</v>
      </c>
      <c r="V285" s="465">
        <v>15120</v>
      </c>
      <c r="W285" s="466">
        <v>0</v>
      </c>
      <c r="X285" s="467">
        <v>1</v>
      </c>
      <c r="Y285" s="466">
        <v>25147.8</v>
      </c>
      <c r="Z285" s="468" t="s">
        <v>516</v>
      </c>
      <c r="AA285" s="466">
        <v>103872.6</v>
      </c>
      <c r="AB285" s="466">
        <v>103872.6</v>
      </c>
      <c r="AC285" s="467">
        <v>0</v>
      </c>
      <c r="AD285" s="466">
        <v>0</v>
      </c>
      <c r="AE285" s="468" t="s">
        <v>516</v>
      </c>
      <c r="AF285" s="466">
        <v>0</v>
      </c>
      <c r="AG285" s="466">
        <v>0</v>
      </c>
      <c r="AH285" s="466">
        <v>21988.12</v>
      </c>
      <c r="AI285" s="466">
        <v>14236.53</v>
      </c>
      <c r="AJ285" s="469" t="s">
        <v>3585</v>
      </c>
      <c r="AK285" s="470" t="s">
        <v>3584</v>
      </c>
      <c r="AL285" s="471" t="s">
        <v>3586</v>
      </c>
      <c r="AM285" s="470" t="s">
        <v>3587</v>
      </c>
      <c r="AN285" s="470" t="s">
        <v>3588</v>
      </c>
      <c r="AO285" s="470" t="s">
        <v>12793</v>
      </c>
      <c r="AP285" s="470" t="s">
        <v>3584</v>
      </c>
      <c r="AQ285" s="470" t="s">
        <v>3581</v>
      </c>
      <c r="AR285" s="472" t="s">
        <v>515</v>
      </c>
      <c r="AS285" s="473" t="s">
        <v>1385</v>
      </c>
      <c r="AT285" s="472" t="s">
        <v>1390</v>
      </c>
      <c r="AU285" s="472" t="s">
        <v>420</v>
      </c>
      <c r="AV285" s="472">
        <v>2020</v>
      </c>
      <c r="AW285" s="474" t="s">
        <v>15078</v>
      </c>
      <c r="AX285" s="475" t="s">
        <v>15079</v>
      </c>
      <c r="AY285" s="515">
        <v>1</v>
      </c>
      <c r="AZ285" s="474" t="s">
        <v>15079</v>
      </c>
      <c r="BA285" s="472" t="s">
        <v>1390</v>
      </c>
      <c r="BB285" s="472" t="s">
        <v>1385</v>
      </c>
      <c r="BC285" s="472" t="s">
        <v>1385</v>
      </c>
      <c r="BD285" s="472" t="s">
        <v>1385</v>
      </c>
      <c r="BE285" s="472" t="s">
        <v>1385</v>
      </c>
      <c r="BF285" s="472">
        <v>25147.8</v>
      </c>
      <c r="BG285" s="472">
        <v>0</v>
      </c>
      <c r="BH285" s="472" t="s">
        <v>1385</v>
      </c>
      <c r="BI285" s="510">
        <v>0</v>
      </c>
      <c r="BJ285" s="510">
        <v>0</v>
      </c>
      <c r="BK285" s="510">
        <v>0</v>
      </c>
      <c r="BL285" s="510">
        <v>0</v>
      </c>
      <c r="BM285" s="510">
        <v>0</v>
      </c>
      <c r="BN285" s="510">
        <v>4000</v>
      </c>
      <c r="BO285" s="510">
        <v>0</v>
      </c>
      <c r="BP285" s="510">
        <v>0</v>
      </c>
      <c r="BQ285" s="510">
        <v>0</v>
      </c>
      <c r="BR285" s="510">
        <v>0</v>
      </c>
      <c r="BS285" s="510">
        <v>0</v>
      </c>
      <c r="BT285" s="510">
        <v>0</v>
      </c>
      <c r="BU285" s="510">
        <v>0</v>
      </c>
      <c r="BV285" s="510">
        <v>0</v>
      </c>
      <c r="BW285" s="510">
        <v>0</v>
      </c>
      <c r="BX285" s="510">
        <v>30000</v>
      </c>
      <c r="BY285" s="1011">
        <v>0</v>
      </c>
      <c r="BZ285" s="510">
        <v>0</v>
      </c>
      <c r="CA285" s="1011">
        <v>0</v>
      </c>
      <c r="CB285" s="510">
        <v>0</v>
      </c>
      <c r="CC285" s="1011">
        <v>0</v>
      </c>
      <c r="CD285" s="510">
        <v>0</v>
      </c>
      <c r="CE285" s="1011">
        <v>0</v>
      </c>
      <c r="CF285" s="510">
        <v>48724.800000000003</v>
      </c>
      <c r="CG285" s="1011">
        <v>0</v>
      </c>
      <c r="CH285" s="510">
        <v>0</v>
      </c>
      <c r="CI285" s="1011">
        <v>0</v>
      </c>
    </row>
    <row r="286" spans="1:87" x14ac:dyDescent="0.2">
      <c r="A286" s="449">
        <v>76</v>
      </c>
      <c r="B286" s="453">
        <v>19327</v>
      </c>
      <c r="C286" s="454" t="s">
        <v>3589</v>
      </c>
      <c r="D286" s="454" t="s">
        <v>1390</v>
      </c>
      <c r="E286" s="454" t="s">
        <v>3590</v>
      </c>
      <c r="F286" s="454" t="s">
        <v>519</v>
      </c>
      <c r="G286" s="454" t="s">
        <v>12794</v>
      </c>
      <c r="H286" s="455">
        <v>9254138000191</v>
      </c>
      <c r="I286" s="462">
        <v>39374</v>
      </c>
      <c r="J286" s="457">
        <v>37358510</v>
      </c>
      <c r="K286" s="454" t="s">
        <v>3592</v>
      </c>
      <c r="L286" s="458">
        <v>407</v>
      </c>
      <c r="M286" s="454" t="s">
        <v>2691</v>
      </c>
      <c r="N286" s="459">
        <v>5376020</v>
      </c>
      <c r="O286" s="460">
        <v>37662170</v>
      </c>
      <c r="P286" s="462">
        <v>122346</v>
      </c>
      <c r="Q286" s="462">
        <v>62</v>
      </c>
      <c r="R286" s="462">
        <v>43881</v>
      </c>
      <c r="S286" s="463">
        <v>150</v>
      </c>
      <c r="T286" s="464">
        <v>3.6</v>
      </c>
      <c r="U286" s="465">
        <v>540</v>
      </c>
      <c r="V286" s="465">
        <v>10800</v>
      </c>
      <c r="W286" s="466">
        <v>0</v>
      </c>
      <c r="X286" s="467">
        <v>1</v>
      </c>
      <c r="Y286" s="466">
        <v>0</v>
      </c>
      <c r="Z286" s="468" t="s">
        <v>514</v>
      </c>
      <c r="AA286" s="466">
        <v>0</v>
      </c>
      <c r="AB286" s="466">
        <v>0</v>
      </c>
      <c r="AC286" s="467">
        <v>0</v>
      </c>
      <c r="AD286" s="466">
        <v>0</v>
      </c>
      <c r="AE286" s="468" t="s">
        <v>516</v>
      </c>
      <c r="AF286" s="466">
        <v>0</v>
      </c>
      <c r="AG286" s="466">
        <v>0</v>
      </c>
      <c r="AH286" s="466">
        <v>4481.8</v>
      </c>
      <c r="AI286" s="466">
        <v>0</v>
      </c>
      <c r="AJ286" s="469" t="s">
        <v>2443</v>
      </c>
      <c r="AK286" s="470" t="s">
        <v>2444</v>
      </c>
      <c r="AL286" s="471" t="s">
        <v>3593</v>
      </c>
      <c r="AM286" s="470" t="s">
        <v>3594</v>
      </c>
      <c r="AN286" s="470" t="s">
        <v>3591</v>
      </c>
      <c r="AO286" s="470" t="s">
        <v>3595</v>
      </c>
      <c r="AP286" s="470" t="s">
        <v>3596</v>
      </c>
      <c r="AQ286" s="470" t="s">
        <v>3589</v>
      </c>
      <c r="AR286" s="472" t="s">
        <v>515</v>
      </c>
      <c r="AS286" s="473" t="s">
        <v>1385</v>
      </c>
      <c r="AT286" s="472" t="s">
        <v>1390</v>
      </c>
      <c r="AU286" s="472" t="s">
        <v>420</v>
      </c>
      <c r="AV286" s="472">
        <v>2020</v>
      </c>
      <c r="AW286" s="474" t="s">
        <v>15078</v>
      </c>
      <c r="AX286" s="475" t="s">
        <v>15079</v>
      </c>
      <c r="AY286" s="515">
        <v>1</v>
      </c>
      <c r="AZ286" s="474" t="s">
        <v>15079</v>
      </c>
      <c r="BA286" s="472" t="s">
        <v>1385</v>
      </c>
      <c r="BB286" s="472" t="s">
        <v>516</v>
      </c>
      <c r="BC286" s="472">
        <v>6</v>
      </c>
      <c r="BD286" s="472">
        <v>3240</v>
      </c>
      <c r="BE286" s="472">
        <v>0</v>
      </c>
      <c r="BF286" s="472">
        <v>21870</v>
      </c>
      <c r="BG286" s="472">
        <v>0</v>
      </c>
      <c r="BH286" s="472" t="s">
        <v>516</v>
      </c>
      <c r="BI286" s="510">
        <v>0</v>
      </c>
      <c r="BJ286" s="510">
        <v>0</v>
      </c>
      <c r="BK286" s="510">
        <v>0</v>
      </c>
      <c r="BL286" s="510">
        <v>0</v>
      </c>
      <c r="BM286" s="510">
        <v>0</v>
      </c>
      <c r="BN286" s="510">
        <v>0</v>
      </c>
      <c r="BO286" s="510">
        <v>0</v>
      </c>
      <c r="BP286" s="510">
        <v>0</v>
      </c>
      <c r="BQ286" s="510">
        <v>0</v>
      </c>
      <c r="BR286" s="510">
        <v>0</v>
      </c>
      <c r="BS286" s="510">
        <v>0</v>
      </c>
      <c r="BT286" s="510">
        <v>0</v>
      </c>
      <c r="BU286" s="510">
        <v>0</v>
      </c>
      <c r="BV286" s="510">
        <v>0</v>
      </c>
      <c r="BW286" s="510">
        <v>0</v>
      </c>
      <c r="BX286" s="510">
        <v>0</v>
      </c>
      <c r="BY286" s="1011">
        <v>0</v>
      </c>
      <c r="BZ286" s="510">
        <v>0</v>
      </c>
      <c r="CA286" s="1011">
        <v>0</v>
      </c>
      <c r="CB286" s="510">
        <v>0</v>
      </c>
      <c r="CC286" s="1011">
        <v>0</v>
      </c>
      <c r="CD286" s="510">
        <v>0</v>
      </c>
      <c r="CE286" s="1011">
        <v>0</v>
      </c>
      <c r="CF286" s="510">
        <v>0</v>
      </c>
      <c r="CG286" s="1011">
        <v>0</v>
      </c>
      <c r="CH286" s="510">
        <v>0</v>
      </c>
      <c r="CI286" s="1011">
        <v>0</v>
      </c>
    </row>
    <row r="287" spans="1:87" x14ac:dyDescent="0.2">
      <c r="A287" s="449">
        <v>93</v>
      </c>
      <c r="B287" s="453">
        <v>19328</v>
      </c>
      <c r="C287" s="454" t="s">
        <v>3597</v>
      </c>
      <c r="D287" s="454" t="s">
        <v>2000</v>
      </c>
      <c r="E287" s="454" t="s">
        <v>3598</v>
      </c>
      <c r="F287" s="454" t="s">
        <v>523</v>
      </c>
      <c r="G287" s="454" t="s">
        <v>12795</v>
      </c>
      <c r="H287" s="455">
        <v>9114171000116</v>
      </c>
      <c r="I287" s="462">
        <v>39666</v>
      </c>
      <c r="J287" s="457">
        <v>37620312</v>
      </c>
      <c r="K287" s="454" t="s">
        <v>3599</v>
      </c>
      <c r="L287" s="458">
        <v>1262</v>
      </c>
      <c r="M287" s="454" t="s">
        <v>1950</v>
      </c>
      <c r="N287" s="459">
        <v>8471000</v>
      </c>
      <c r="O287" s="460">
        <v>22827569</v>
      </c>
      <c r="P287" s="462">
        <v>261281</v>
      </c>
      <c r="Q287" s="462">
        <v>93</v>
      </c>
      <c r="R287" s="462">
        <v>43921</v>
      </c>
      <c r="S287" s="463">
        <v>318</v>
      </c>
      <c r="T287" s="464">
        <v>3.6</v>
      </c>
      <c r="U287" s="465">
        <v>1144.8</v>
      </c>
      <c r="V287" s="465">
        <v>13680</v>
      </c>
      <c r="W287" s="466">
        <v>0</v>
      </c>
      <c r="X287" s="467">
        <v>1</v>
      </c>
      <c r="Y287" s="466">
        <v>22237.200000000001</v>
      </c>
      <c r="Z287" s="468" t="s">
        <v>516</v>
      </c>
      <c r="AA287" s="466">
        <v>93848.4</v>
      </c>
      <c r="AB287" s="466">
        <v>93848.4</v>
      </c>
      <c r="AC287" s="467">
        <v>0</v>
      </c>
      <c r="AD287" s="466">
        <v>0</v>
      </c>
      <c r="AE287" s="468" t="s">
        <v>516</v>
      </c>
      <c r="AF287" s="466">
        <v>0</v>
      </c>
      <c r="AG287" s="466">
        <v>0</v>
      </c>
      <c r="AH287" s="466">
        <v>9569.76</v>
      </c>
      <c r="AI287" s="466">
        <v>3930.92</v>
      </c>
      <c r="AJ287" s="469" t="s">
        <v>1395</v>
      </c>
      <c r="AK287" s="470" t="s">
        <v>523</v>
      </c>
      <c r="AL287" s="471" t="s">
        <v>3600</v>
      </c>
      <c r="AM287" s="470" t="s">
        <v>12796</v>
      </c>
      <c r="AN287" s="470" t="s">
        <v>3601</v>
      </c>
      <c r="AO287" s="470" t="s">
        <v>12797</v>
      </c>
      <c r="AP287" s="470" t="s">
        <v>3602</v>
      </c>
      <c r="AQ287" s="470" t="s">
        <v>3597</v>
      </c>
      <c r="AR287" s="472" t="s">
        <v>515</v>
      </c>
      <c r="AS287" s="473" t="s">
        <v>1385</v>
      </c>
      <c r="AT287" s="472" t="s">
        <v>2000</v>
      </c>
      <c r="AU287" s="472" t="s">
        <v>420</v>
      </c>
      <c r="AV287" s="472">
        <v>2020</v>
      </c>
      <c r="AW287" s="474" t="s">
        <v>15078</v>
      </c>
      <c r="AX287" s="475" t="s">
        <v>15079</v>
      </c>
      <c r="AY287" s="515">
        <v>1</v>
      </c>
      <c r="AZ287" s="474" t="s">
        <v>15079</v>
      </c>
      <c r="BA287" s="472" t="s">
        <v>2000</v>
      </c>
      <c r="BB287" s="472" t="s">
        <v>1385</v>
      </c>
      <c r="BC287" s="472" t="s">
        <v>1385</v>
      </c>
      <c r="BD287" s="472" t="s">
        <v>1385</v>
      </c>
      <c r="BE287" s="472" t="s">
        <v>1385</v>
      </c>
      <c r="BF287" s="472">
        <v>22237.200000000001</v>
      </c>
      <c r="BG287" s="472">
        <v>0</v>
      </c>
      <c r="BH287" s="472" t="s">
        <v>1385</v>
      </c>
      <c r="BI287" s="510">
        <v>0</v>
      </c>
      <c r="BJ287" s="510">
        <v>0</v>
      </c>
      <c r="BK287" s="510">
        <v>0</v>
      </c>
      <c r="BL287" s="510">
        <v>0</v>
      </c>
      <c r="BM287" s="510">
        <v>0</v>
      </c>
      <c r="BN287" s="510">
        <v>3500</v>
      </c>
      <c r="BO287" s="510">
        <v>0</v>
      </c>
      <c r="BP287" s="510">
        <v>0</v>
      </c>
      <c r="BQ287" s="510">
        <v>0</v>
      </c>
      <c r="BR287" s="510">
        <v>0</v>
      </c>
      <c r="BS287" s="510">
        <v>0</v>
      </c>
      <c r="BT287" s="510">
        <v>0</v>
      </c>
      <c r="BU287" s="510">
        <v>0</v>
      </c>
      <c r="BV287" s="510">
        <v>0</v>
      </c>
      <c r="BW287" s="510">
        <v>0</v>
      </c>
      <c r="BX287" s="510">
        <v>30000</v>
      </c>
      <c r="BY287" s="1011">
        <v>0</v>
      </c>
      <c r="BZ287" s="510">
        <v>0</v>
      </c>
      <c r="CA287" s="1011">
        <v>0</v>
      </c>
      <c r="CB287" s="510">
        <v>0</v>
      </c>
      <c r="CC287" s="1011">
        <v>0</v>
      </c>
      <c r="CD287" s="510">
        <v>0</v>
      </c>
      <c r="CE287" s="1011">
        <v>0</v>
      </c>
      <c r="CF287" s="510">
        <v>41611.199999999997</v>
      </c>
      <c r="CG287" s="1011">
        <v>0</v>
      </c>
      <c r="CH287" s="510">
        <v>0</v>
      </c>
      <c r="CI287" s="1011">
        <v>0</v>
      </c>
    </row>
    <row r="288" spans="1:87" x14ac:dyDescent="0.2">
      <c r="A288" s="449">
        <v>133</v>
      </c>
      <c r="B288" s="453">
        <v>19330</v>
      </c>
      <c r="C288" s="454" t="s">
        <v>3603</v>
      </c>
      <c r="D288" s="454" t="s">
        <v>2000</v>
      </c>
      <c r="E288" s="454" t="s">
        <v>3604</v>
      </c>
      <c r="F288" s="454" t="s">
        <v>528</v>
      </c>
      <c r="G288" s="454" t="s">
        <v>12798</v>
      </c>
      <c r="H288" s="455">
        <v>3966110000109</v>
      </c>
      <c r="I288" s="462">
        <v>36692</v>
      </c>
      <c r="J288" s="457">
        <v>37380265</v>
      </c>
      <c r="K288" s="454" t="s">
        <v>3270</v>
      </c>
      <c r="L288" s="458" t="s">
        <v>1446</v>
      </c>
      <c r="M288" s="454" t="s">
        <v>3605</v>
      </c>
      <c r="N288" s="459">
        <v>5203200</v>
      </c>
      <c r="O288" s="460">
        <v>39158725</v>
      </c>
      <c r="P288" s="462">
        <v>258477</v>
      </c>
      <c r="Q288" s="462">
        <v>133</v>
      </c>
      <c r="R288" s="462">
        <v>43938</v>
      </c>
      <c r="S288" s="463">
        <v>460</v>
      </c>
      <c r="T288" s="464">
        <v>3.6</v>
      </c>
      <c r="U288" s="465">
        <v>1656</v>
      </c>
      <c r="V288" s="465">
        <v>15120</v>
      </c>
      <c r="W288" s="466">
        <v>0</v>
      </c>
      <c r="X288" s="467">
        <v>1</v>
      </c>
      <c r="Y288" s="466">
        <v>25164</v>
      </c>
      <c r="Z288" s="468" t="s">
        <v>516</v>
      </c>
      <c r="AA288" s="466">
        <v>103888.8</v>
      </c>
      <c r="AB288" s="466">
        <v>103888.8</v>
      </c>
      <c r="AC288" s="467">
        <v>0</v>
      </c>
      <c r="AD288" s="466">
        <v>0</v>
      </c>
      <c r="AE288" s="468" t="s">
        <v>516</v>
      </c>
      <c r="AF288" s="466">
        <v>0</v>
      </c>
      <c r="AG288" s="466">
        <v>0</v>
      </c>
      <c r="AH288" s="466">
        <v>13739.88</v>
      </c>
      <c r="AI288" s="466">
        <v>4024.05</v>
      </c>
      <c r="AJ288" s="469" t="s">
        <v>2242</v>
      </c>
      <c r="AK288" s="470" t="s">
        <v>2241</v>
      </c>
      <c r="AL288" s="471" t="s">
        <v>3606</v>
      </c>
      <c r="AM288" s="470" t="s">
        <v>3607</v>
      </c>
      <c r="AN288" s="470" t="s">
        <v>3608</v>
      </c>
      <c r="AO288" s="470" t="s">
        <v>12799</v>
      </c>
      <c r="AP288" s="470" t="s">
        <v>3609</v>
      </c>
      <c r="AQ288" s="470" t="s">
        <v>3603</v>
      </c>
      <c r="AR288" s="472" t="s">
        <v>515</v>
      </c>
      <c r="AS288" s="473" t="s">
        <v>1385</v>
      </c>
      <c r="AT288" s="472" t="s">
        <v>2000</v>
      </c>
      <c r="AU288" s="472" t="s">
        <v>420</v>
      </c>
      <c r="AV288" s="472">
        <v>2020</v>
      </c>
      <c r="AW288" s="474" t="s">
        <v>15078</v>
      </c>
      <c r="AX288" s="475" t="s">
        <v>15079</v>
      </c>
      <c r="AY288" s="515">
        <v>1</v>
      </c>
      <c r="AZ288" s="474" t="s">
        <v>15079</v>
      </c>
      <c r="BA288" s="472" t="s">
        <v>2000</v>
      </c>
      <c r="BB288" s="472" t="s">
        <v>1385</v>
      </c>
      <c r="BC288" s="472" t="s">
        <v>1385</v>
      </c>
      <c r="BD288" s="472" t="s">
        <v>1385</v>
      </c>
      <c r="BE288" s="472" t="s">
        <v>1385</v>
      </c>
      <c r="BF288" s="472">
        <v>25164</v>
      </c>
      <c r="BG288" s="472">
        <v>0</v>
      </c>
      <c r="BH288" s="472" t="s">
        <v>1385</v>
      </c>
      <c r="BI288" s="510">
        <v>0</v>
      </c>
      <c r="BJ288" s="510">
        <v>50</v>
      </c>
      <c r="BK288" s="510">
        <v>0</v>
      </c>
      <c r="BL288" s="510">
        <v>0</v>
      </c>
      <c r="BM288" s="510">
        <v>0</v>
      </c>
      <c r="BN288" s="510">
        <v>4000</v>
      </c>
      <c r="BO288" s="510">
        <v>0</v>
      </c>
      <c r="BP288" s="510">
        <v>0</v>
      </c>
      <c r="BQ288" s="510">
        <v>0</v>
      </c>
      <c r="BR288" s="510">
        <v>0</v>
      </c>
      <c r="BS288" s="510">
        <v>0</v>
      </c>
      <c r="BT288" s="510">
        <v>0</v>
      </c>
      <c r="BU288" s="510">
        <v>0</v>
      </c>
      <c r="BV288" s="510">
        <v>0</v>
      </c>
      <c r="BW288" s="510">
        <v>0</v>
      </c>
      <c r="BX288" s="510">
        <v>30000</v>
      </c>
      <c r="BY288" s="1011">
        <v>0</v>
      </c>
      <c r="BZ288" s="510">
        <v>0</v>
      </c>
      <c r="CA288" s="1011">
        <v>0</v>
      </c>
      <c r="CB288" s="510">
        <v>0</v>
      </c>
      <c r="CC288" s="1011">
        <v>0</v>
      </c>
      <c r="CD288" s="510">
        <v>0</v>
      </c>
      <c r="CE288" s="1011">
        <v>0</v>
      </c>
      <c r="CF288" s="510">
        <v>48724.800000000003</v>
      </c>
      <c r="CG288" s="1011">
        <v>0</v>
      </c>
      <c r="CH288" s="510">
        <v>0</v>
      </c>
      <c r="CI288" s="1011">
        <v>0</v>
      </c>
    </row>
    <row r="289" spans="1:87" x14ac:dyDescent="0.2">
      <c r="A289" s="449">
        <v>99</v>
      </c>
      <c r="B289" s="453">
        <v>19331</v>
      </c>
      <c r="C289" s="454" t="s">
        <v>3610</v>
      </c>
      <c r="D289" s="454" t="s">
        <v>2000</v>
      </c>
      <c r="E289" s="454" t="s">
        <v>3611</v>
      </c>
      <c r="F289" s="454" t="s">
        <v>521</v>
      </c>
      <c r="G289" s="454" t="s">
        <v>12800</v>
      </c>
      <c r="H289" s="455">
        <v>8834363000134</v>
      </c>
      <c r="I289" s="462">
        <v>39216</v>
      </c>
      <c r="J289" s="457">
        <v>37551841</v>
      </c>
      <c r="K289" s="454" t="s">
        <v>3612</v>
      </c>
      <c r="L289" s="458">
        <v>101</v>
      </c>
      <c r="M289" s="454" t="s">
        <v>3613</v>
      </c>
      <c r="N289" s="459">
        <v>4823090</v>
      </c>
      <c r="O289" s="460">
        <v>56612915</v>
      </c>
      <c r="P289" s="462">
        <v>92161</v>
      </c>
      <c r="Q289" s="462">
        <v>85</v>
      </c>
      <c r="R289" s="462">
        <v>43934</v>
      </c>
      <c r="S289" s="463">
        <v>602</v>
      </c>
      <c r="T289" s="464">
        <v>3.6</v>
      </c>
      <c r="U289" s="465">
        <v>2167.1999999999998</v>
      </c>
      <c r="V289" s="465">
        <v>18000</v>
      </c>
      <c r="W289" s="466">
        <v>0</v>
      </c>
      <c r="X289" s="467">
        <v>1</v>
      </c>
      <c r="Y289" s="466">
        <v>30250.799999999999</v>
      </c>
      <c r="Z289" s="468" t="s">
        <v>516</v>
      </c>
      <c r="AA289" s="466">
        <v>112604.4</v>
      </c>
      <c r="AB289" s="466">
        <v>112604.4</v>
      </c>
      <c r="AC289" s="467">
        <v>0</v>
      </c>
      <c r="AD289" s="466">
        <v>0</v>
      </c>
      <c r="AE289" s="468" t="s">
        <v>516</v>
      </c>
      <c r="AF289" s="466">
        <v>0</v>
      </c>
      <c r="AG289" s="466">
        <v>0</v>
      </c>
      <c r="AH289" s="466">
        <v>26129.88</v>
      </c>
      <c r="AI289" s="466">
        <v>17409.240000000002</v>
      </c>
      <c r="AJ289" s="469" t="s">
        <v>2546</v>
      </c>
      <c r="AK289" s="470" t="s">
        <v>2966</v>
      </c>
      <c r="AL289" s="471" t="s">
        <v>3614</v>
      </c>
      <c r="AM289" s="470" t="s">
        <v>3615</v>
      </c>
      <c r="AN289" s="470" t="s">
        <v>1385</v>
      </c>
      <c r="AO289" s="470" t="s">
        <v>3616</v>
      </c>
      <c r="AP289" s="470" t="s">
        <v>3613</v>
      </c>
      <c r="AQ289" s="470" t="s">
        <v>3610</v>
      </c>
      <c r="AR289" s="472" t="s">
        <v>515</v>
      </c>
      <c r="AS289" s="473" t="s">
        <v>1385</v>
      </c>
      <c r="AT289" s="472" t="s">
        <v>2000</v>
      </c>
      <c r="AU289" s="472" t="s">
        <v>420</v>
      </c>
      <c r="AV289" s="472">
        <v>2020</v>
      </c>
      <c r="AW289" s="474" t="s">
        <v>15078</v>
      </c>
      <c r="AX289" s="475" t="s">
        <v>15079</v>
      </c>
      <c r="AY289" s="515">
        <v>1</v>
      </c>
      <c r="AZ289" s="474" t="s">
        <v>15079</v>
      </c>
      <c r="BA289" s="472" t="s">
        <v>2000</v>
      </c>
      <c r="BB289" s="472" t="s">
        <v>1385</v>
      </c>
      <c r="BC289" s="472" t="s">
        <v>1385</v>
      </c>
      <c r="BD289" s="472" t="s">
        <v>1385</v>
      </c>
      <c r="BE289" s="472" t="s">
        <v>1385</v>
      </c>
      <c r="BF289" s="472">
        <v>30250.799999999999</v>
      </c>
      <c r="BG289" s="472">
        <v>0</v>
      </c>
      <c r="BH289" s="472" t="s">
        <v>1385</v>
      </c>
      <c r="BI289" s="510">
        <v>0</v>
      </c>
      <c r="BJ289" s="510">
        <v>0</v>
      </c>
      <c r="BK289" s="510">
        <v>0</v>
      </c>
      <c r="BL289" s="510">
        <v>0</v>
      </c>
      <c r="BM289" s="510">
        <v>0</v>
      </c>
      <c r="BN289" s="510">
        <v>5000</v>
      </c>
      <c r="BO289" s="510">
        <v>0</v>
      </c>
      <c r="BP289" s="510">
        <v>0</v>
      </c>
      <c r="BQ289" s="510">
        <v>0</v>
      </c>
      <c r="BR289" s="510">
        <v>0</v>
      </c>
      <c r="BS289" s="510">
        <v>0</v>
      </c>
      <c r="BT289" s="510">
        <v>0</v>
      </c>
      <c r="BU289" s="510">
        <v>0</v>
      </c>
      <c r="BV289" s="510">
        <v>0</v>
      </c>
      <c r="BW289" s="510">
        <v>0</v>
      </c>
      <c r="BX289" s="510">
        <v>30000</v>
      </c>
      <c r="BY289" s="1011">
        <v>0</v>
      </c>
      <c r="BZ289" s="510">
        <v>0</v>
      </c>
      <c r="CA289" s="1011">
        <v>0</v>
      </c>
      <c r="CB289" s="510">
        <v>0</v>
      </c>
      <c r="CC289" s="1011">
        <v>0</v>
      </c>
      <c r="CD289" s="510">
        <v>0</v>
      </c>
      <c r="CE289" s="1011">
        <v>0</v>
      </c>
      <c r="CF289" s="510">
        <v>52353.599999999999</v>
      </c>
      <c r="CG289" s="1011">
        <v>0</v>
      </c>
      <c r="CH289" s="510">
        <v>0</v>
      </c>
      <c r="CI289" s="1011">
        <v>0</v>
      </c>
    </row>
    <row r="290" spans="1:87" x14ac:dyDescent="0.2">
      <c r="A290" s="449">
        <v>103</v>
      </c>
      <c r="B290" s="453">
        <v>19332</v>
      </c>
      <c r="C290" s="454" t="s">
        <v>3617</v>
      </c>
      <c r="D290" s="454" t="s">
        <v>2000</v>
      </c>
      <c r="E290" s="454" t="s">
        <v>3618</v>
      </c>
      <c r="F290" s="454" t="s">
        <v>525</v>
      </c>
      <c r="G290" s="454" t="s">
        <v>12801</v>
      </c>
      <c r="H290" s="455">
        <v>9525855000100</v>
      </c>
      <c r="I290" s="462">
        <v>39359</v>
      </c>
      <c r="J290" s="457">
        <v>38470160</v>
      </c>
      <c r="K290" s="454" t="s">
        <v>3619</v>
      </c>
      <c r="L290" s="458">
        <v>105</v>
      </c>
      <c r="M290" s="454" t="s">
        <v>3620</v>
      </c>
      <c r="N290" s="459">
        <v>2276000</v>
      </c>
      <c r="O290" s="460">
        <v>22435651</v>
      </c>
      <c r="P290" s="462">
        <v>336460</v>
      </c>
      <c r="Q290" s="462">
        <v>103</v>
      </c>
      <c r="R290" s="462">
        <v>43950</v>
      </c>
      <c r="S290" s="463">
        <v>669</v>
      </c>
      <c r="T290" s="464">
        <v>3.6</v>
      </c>
      <c r="U290" s="465">
        <v>2408.4</v>
      </c>
      <c r="V290" s="465">
        <v>18000</v>
      </c>
      <c r="W290" s="466">
        <v>0</v>
      </c>
      <c r="X290" s="467">
        <v>1</v>
      </c>
      <c r="Y290" s="466">
        <v>30612.6</v>
      </c>
      <c r="Z290" s="468" t="s">
        <v>516</v>
      </c>
      <c r="AA290" s="466">
        <v>116047.8</v>
      </c>
      <c r="AB290" s="466">
        <v>116047.8</v>
      </c>
      <c r="AC290" s="467">
        <v>0</v>
      </c>
      <c r="AD290" s="466">
        <v>0</v>
      </c>
      <c r="AE290" s="468" t="s">
        <v>516</v>
      </c>
      <c r="AF290" s="466">
        <v>0</v>
      </c>
      <c r="AG290" s="466">
        <v>0</v>
      </c>
      <c r="AH290" s="466">
        <v>27200.47</v>
      </c>
      <c r="AI290" s="466">
        <v>1503.73</v>
      </c>
      <c r="AJ290" s="469" t="s">
        <v>1448</v>
      </c>
      <c r="AK290" s="470" t="s">
        <v>1449</v>
      </c>
      <c r="AL290" s="471" t="s">
        <v>3621</v>
      </c>
      <c r="AM290" s="470" t="s">
        <v>3622</v>
      </c>
      <c r="AN290" s="470" t="s">
        <v>3623</v>
      </c>
      <c r="AO290" s="470" t="s">
        <v>3624</v>
      </c>
      <c r="AP290" s="470" t="s">
        <v>3625</v>
      </c>
      <c r="AQ290" s="470" t="s">
        <v>3617</v>
      </c>
      <c r="AR290" s="472" t="s">
        <v>515</v>
      </c>
      <c r="AS290" s="473" t="s">
        <v>1385</v>
      </c>
      <c r="AT290" s="472" t="s">
        <v>2000</v>
      </c>
      <c r="AU290" s="472" t="s">
        <v>420</v>
      </c>
      <c r="AV290" s="472">
        <v>2020</v>
      </c>
      <c r="AW290" s="474" t="s">
        <v>15078</v>
      </c>
      <c r="AX290" s="475" t="s">
        <v>15079</v>
      </c>
      <c r="AY290" s="515">
        <v>1</v>
      </c>
      <c r="AZ290" s="474" t="s">
        <v>15079</v>
      </c>
      <c r="BA290" s="472" t="s">
        <v>2000</v>
      </c>
      <c r="BB290" s="472" t="s">
        <v>1385</v>
      </c>
      <c r="BC290" s="472" t="s">
        <v>1385</v>
      </c>
      <c r="BD290" s="472" t="s">
        <v>1385</v>
      </c>
      <c r="BE290" s="472" t="s">
        <v>1385</v>
      </c>
      <c r="BF290" s="472">
        <v>30612.6</v>
      </c>
      <c r="BG290" s="472">
        <v>0</v>
      </c>
      <c r="BH290" s="472" t="s">
        <v>1385</v>
      </c>
      <c r="BI290" s="510">
        <v>0</v>
      </c>
      <c r="BJ290" s="510">
        <v>0</v>
      </c>
      <c r="BK290" s="510">
        <v>0</v>
      </c>
      <c r="BL290" s="510">
        <v>0</v>
      </c>
      <c r="BM290" s="510">
        <v>0</v>
      </c>
      <c r="BN290" s="510">
        <v>5000</v>
      </c>
      <c r="BO290" s="510">
        <v>0</v>
      </c>
      <c r="BP290" s="510">
        <v>0</v>
      </c>
      <c r="BQ290" s="510">
        <v>0</v>
      </c>
      <c r="BR290" s="510">
        <v>0</v>
      </c>
      <c r="BS290" s="510">
        <v>0</v>
      </c>
      <c r="BT290" s="510">
        <v>0</v>
      </c>
      <c r="BU290" s="510">
        <v>0</v>
      </c>
      <c r="BV290" s="510">
        <v>0</v>
      </c>
      <c r="BW290" s="510">
        <v>0</v>
      </c>
      <c r="BX290" s="510">
        <v>30000</v>
      </c>
      <c r="BY290" s="1011">
        <v>0</v>
      </c>
      <c r="BZ290" s="510">
        <v>0</v>
      </c>
      <c r="CA290" s="1011">
        <v>0</v>
      </c>
      <c r="CB290" s="510">
        <v>0</v>
      </c>
      <c r="CC290" s="1011">
        <v>0</v>
      </c>
      <c r="CD290" s="510">
        <v>0</v>
      </c>
      <c r="CE290" s="1011">
        <v>0</v>
      </c>
      <c r="CF290" s="510">
        <v>55435.199999999997</v>
      </c>
      <c r="CG290" s="1011">
        <v>0</v>
      </c>
      <c r="CH290" s="510">
        <v>0</v>
      </c>
      <c r="CI290" s="1011">
        <v>0</v>
      </c>
    </row>
    <row r="291" spans="1:87" x14ac:dyDescent="0.2">
      <c r="A291" s="449">
        <v>60</v>
      </c>
      <c r="B291" s="453">
        <v>19333</v>
      </c>
      <c r="C291" s="454" t="s">
        <v>3626</v>
      </c>
      <c r="D291" s="454" t="s">
        <v>2950</v>
      </c>
      <c r="E291" s="454" t="s">
        <v>3627</v>
      </c>
      <c r="F291" s="454" t="s">
        <v>523</v>
      </c>
      <c r="G291" s="454" t="s">
        <v>12802</v>
      </c>
      <c r="H291" s="455">
        <v>9510825000120</v>
      </c>
      <c r="I291" s="462">
        <v>39366</v>
      </c>
      <c r="J291" s="457">
        <v>38092689</v>
      </c>
      <c r="K291" s="454" t="s">
        <v>3599</v>
      </c>
      <c r="L291" s="458">
        <v>1262</v>
      </c>
      <c r="M291" s="454" t="s">
        <v>1950</v>
      </c>
      <c r="N291" s="459">
        <v>8471000</v>
      </c>
      <c r="O291" s="460">
        <v>22850335</v>
      </c>
      <c r="P291" s="462">
        <v>261710</v>
      </c>
      <c r="Q291" s="462">
        <v>60</v>
      </c>
      <c r="R291" s="462">
        <v>43921</v>
      </c>
      <c r="S291" s="463">
        <v>1397</v>
      </c>
      <c r="T291" s="464">
        <v>5.4</v>
      </c>
      <c r="U291" s="465">
        <v>7543.8</v>
      </c>
      <c r="V291" s="465">
        <v>21960</v>
      </c>
      <c r="W291" s="466">
        <v>0</v>
      </c>
      <c r="X291" s="467">
        <v>1</v>
      </c>
      <c r="Y291" s="466">
        <v>52490.7</v>
      </c>
      <c r="Z291" s="468" t="s">
        <v>516</v>
      </c>
      <c r="AA291" s="466">
        <v>181544.7</v>
      </c>
      <c r="AB291" s="466">
        <v>181544.7</v>
      </c>
      <c r="AC291" s="467">
        <v>0</v>
      </c>
      <c r="AD291" s="466">
        <v>0</v>
      </c>
      <c r="AE291" s="468" t="s">
        <v>516</v>
      </c>
      <c r="AF291" s="466">
        <v>2000</v>
      </c>
      <c r="AG291" s="466">
        <v>2000</v>
      </c>
      <c r="AH291" s="466">
        <v>51128.75</v>
      </c>
      <c r="AI291" s="466">
        <v>15280.24</v>
      </c>
      <c r="AJ291" s="469" t="s">
        <v>1674</v>
      </c>
      <c r="AK291" s="470" t="s">
        <v>518</v>
      </c>
      <c r="AL291" s="471" t="s">
        <v>12803</v>
      </c>
      <c r="AM291" s="470" t="s">
        <v>3630</v>
      </c>
      <c r="AN291" s="470" t="s">
        <v>3628</v>
      </c>
      <c r="AO291" s="470" t="s">
        <v>3631</v>
      </c>
      <c r="AP291" s="470" t="s">
        <v>3632</v>
      </c>
      <c r="AQ291" s="470" t="s">
        <v>3626</v>
      </c>
      <c r="AR291" s="472" t="s">
        <v>515</v>
      </c>
      <c r="AS291" s="473" t="s">
        <v>1385</v>
      </c>
      <c r="AT291" s="472" t="s">
        <v>2950</v>
      </c>
      <c r="AU291" s="472" t="s">
        <v>420</v>
      </c>
      <c r="AV291" s="472">
        <v>2020</v>
      </c>
      <c r="AW291" s="474" t="s">
        <v>15078</v>
      </c>
      <c r="AX291" s="475" t="s">
        <v>15079</v>
      </c>
      <c r="AY291" s="515">
        <v>1</v>
      </c>
      <c r="AZ291" s="474" t="s">
        <v>15079</v>
      </c>
      <c r="BA291" s="472" t="s">
        <v>2950</v>
      </c>
      <c r="BB291" s="472" t="s">
        <v>516</v>
      </c>
      <c r="BC291" s="472">
        <v>4</v>
      </c>
      <c r="BD291" s="472">
        <v>5490</v>
      </c>
      <c r="BE291" s="472">
        <v>0</v>
      </c>
      <c r="BF291" s="472">
        <v>52490.7</v>
      </c>
      <c r="BG291" s="472">
        <v>0</v>
      </c>
      <c r="BH291" s="472" t="s">
        <v>1385</v>
      </c>
      <c r="BI291" s="510">
        <v>0</v>
      </c>
      <c r="BJ291" s="510">
        <v>0</v>
      </c>
      <c r="BK291" s="510">
        <v>0</v>
      </c>
      <c r="BL291" s="510">
        <v>0</v>
      </c>
      <c r="BM291" s="510">
        <v>0</v>
      </c>
      <c r="BN291" s="510">
        <v>6000</v>
      </c>
      <c r="BO291" s="510">
        <v>0</v>
      </c>
      <c r="BP291" s="510">
        <v>2000</v>
      </c>
      <c r="BQ291" s="510">
        <v>0</v>
      </c>
      <c r="BR291" s="510">
        <v>0</v>
      </c>
      <c r="BS291" s="510">
        <v>0</v>
      </c>
      <c r="BT291" s="510">
        <v>0</v>
      </c>
      <c r="BU291" s="510">
        <v>0</v>
      </c>
      <c r="BV291" s="510">
        <v>0</v>
      </c>
      <c r="BW291" s="510">
        <v>0</v>
      </c>
      <c r="BX291" s="510">
        <v>30000</v>
      </c>
      <c r="BY291" s="1011">
        <v>0</v>
      </c>
      <c r="BZ291" s="510">
        <v>0</v>
      </c>
      <c r="CA291" s="1011">
        <v>0</v>
      </c>
      <c r="CB291" s="510">
        <v>22000</v>
      </c>
      <c r="CC291" s="1011">
        <v>0</v>
      </c>
      <c r="CD291" s="510">
        <v>0</v>
      </c>
      <c r="CE291" s="1011">
        <v>0</v>
      </c>
      <c r="CF291" s="510">
        <v>77054</v>
      </c>
      <c r="CG291" s="1011">
        <v>0</v>
      </c>
      <c r="CH291" s="510">
        <v>0</v>
      </c>
      <c r="CI291" s="1011">
        <v>0</v>
      </c>
    </row>
    <row r="292" spans="1:87" x14ac:dyDescent="0.2">
      <c r="A292" s="449">
        <v>117</v>
      </c>
      <c r="B292" s="453">
        <v>19335</v>
      </c>
      <c r="C292" s="454" t="s">
        <v>3633</v>
      </c>
      <c r="D292" s="454" t="s">
        <v>2950</v>
      </c>
      <c r="E292" s="454" t="s">
        <v>3634</v>
      </c>
      <c r="F292" s="454" t="s">
        <v>520</v>
      </c>
      <c r="G292" s="454" t="s">
        <v>12804</v>
      </c>
      <c r="H292" s="455">
        <v>11051821000173</v>
      </c>
      <c r="I292" s="462">
        <v>40002</v>
      </c>
      <c r="J292" s="457">
        <v>41751329</v>
      </c>
      <c r="K292" s="454" t="s">
        <v>3636</v>
      </c>
      <c r="L292" s="458">
        <v>399</v>
      </c>
      <c r="M292" s="454" t="s">
        <v>3637</v>
      </c>
      <c r="N292" s="459">
        <v>5879000</v>
      </c>
      <c r="O292" s="460">
        <v>58722332</v>
      </c>
      <c r="P292" s="462">
        <v>304193</v>
      </c>
      <c r="Q292" s="462">
        <v>183</v>
      </c>
      <c r="R292" s="462">
        <v>43969</v>
      </c>
      <c r="S292" s="463">
        <v>1161</v>
      </c>
      <c r="T292" s="464">
        <v>5.4</v>
      </c>
      <c r="U292" s="465">
        <v>6269.4</v>
      </c>
      <c r="V292" s="465">
        <v>20340</v>
      </c>
      <c r="W292" s="466">
        <v>0</v>
      </c>
      <c r="X292" s="467">
        <v>1</v>
      </c>
      <c r="Y292" s="466">
        <v>46016.1</v>
      </c>
      <c r="Z292" s="468" t="s">
        <v>516</v>
      </c>
      <c r="AA292" s="466">
        <v>166728.9</v>
      </c>
      <c r="AB292" s="466">
        <v>166728.9</v>
      </c>
      <c r="AC292" s="467">
        <v>0</v>
      </c>
      <c r="AD292" s="466">
        <v>0</v>
      </c>
      <c r="AE292" s="468" t="s">
        <v>516</v>
      </c>
      <c r="AF292" s="466">
        <v>0</v>
      </c>
      <c r="AG292" s="466">
        <v>0</v>
      </c>
      <c r="AH292" s="466">
        <v>22791.919999999998</v>
      </c>
      <c r="AI292" s="466">
        <v>3321.32</v>
      </c>
      <c r="AJ292" s="469" t="s">
        <v>1515</v>
      </c>
      <c r="AK292" s="470" t="s">
        <v>1516</v>
      </c>
      <c r="AL292" s="471" t="s">
        <v>3638</v>
      </c>
      <c r="AM292" s="470" t="s">
        <v>12805</v>
      </c>
      <c r="AN292" s="470" t="s">
        <v>3635</v>
      </c>
      <c r="AO292" s="470" t="s">
        <v>3639</v>
      </c>
      <c r="AP292" s="470" t="s">
        <v>3636</v>
      </c>
      <c r="AQ292" s="470" t="s">
        <v>3633</v>
      </c>
      <c r="AR292" s="472" t="s">
        <v>515</v>
      </c>
      <c r="AS292" s="473" t="s">
        <v>1385</v>
      </c>
      <c r="AT292" s="472" t="s">
        <v>2950</v>
      </c>
      <c r="AU292" s="472" t="s">
        <v>420</v>
      </c>
      <c r="AV292" s="472">
        <v>2020</v>
      </c>
      <c r="AW292" s="474" t="s">
        <v>15078</v>
      </c>
      <c r="AX292" s="475" t="s">
        <v>15079</v>
      </c>
      <c r="AY292" s="515">
        <v>1</v>
      </c>
      <c r="AZ292" s="474" t="s">
        <v>15079</v>
      </c>
      <c r="BA292" s="472" t="s">
        <v>2950</v>
      </c>
      <c r="BB292" s="472" t="s">
        <v>516</v>
      </c>
      <c r="BC292" s="472">
        <v>3</v>
      </c>
      <c r="BD292" s="472">
        <v>4068</v>
      </c>
      <c r="BE292" s="472">
        <v>0</v>
      </c>
      <c r="BF292" s="472">
        <v>46016.1</v>
      </c>
      <c r="BG292" s="472">
        <v>0</v>
      </c>
      <c r="BH292" s="472" t="s">
        <v>1385</v>
      </c>
      <c r="BI292" s="510">
        <v>0</v>
      </c>
      <c r="BJ292" s="510">
        <v>0</v>
      </c>
      <c r="BK292" s="510">
        <v>0</v>
      </c>
      <c r="BL292" s="510">
        <v>3500</v>
      </c>
      <c r="BM292" s="510">
        <v>0</v>
      </c>
      <c r="BN292" s="510">
        <v>5000</v>
      </c>
      <c r="BO292" s="510">
        <v>0</v>
      </c>
      <c r="BP292" s="510">
        <v>0</v>
      </c>
      <c r="BQ292" s="510">
        <v>0</v>
      </c>
      <c r="BR292" s="510">
        <v>0</v>
      </c>
      <c r="BS292" s="510">
        <v>0</v>
      </c>
      <c r="BT292" s="510">
        <v>0</v>
      </c>
      <c r="BU292" s="510">
        <v>2500</v>
      </c>
      <c r="BV292" s="510">
        <v>2500</v>
      </c>
      <c r="BW292" s="510">
        <v>0</v>
      </c>
      <c r="BX292" s="510">
        <v>30000</v>
      </c>
      <c r="BY292" s="1011">
        <v>0</v>
      </c>
      <c r="BZ292" s="510">
        <v>0</v>
      </c>
      <c r="CA292" s="1011">
        <v>0</v>
      </c>
      <c r="CB292" s="510">
        <v>22000</v>
      </c>
      <c r="CC292" s="1011">
        <v>0</v>
      </c>
      <c r="CD292" s="510">
        <v>0</v>
      </c>
      <c r="CE292" s="1011">
        <v>0</v>
      </c>
      <c r="CF292" s="510">
        <v>68712.800000000003</v>
      </c>
      <c r="CG292" s="1011">
        <v>0</v>
      </c>
      <c r="CH292" s="510">
        <v>0</v>
      </c>
      <c r="CI292" s="1011">
        <v>0</v>
      </c>
    </row>
    <row r="293" spans="1:87" x14ac:dyDescent="0.2">
      <c r="A293" s="449">
        <v>68</v>
      </c>
      <c r="B293" s="453">
        <v>19336</v>
      </c>
      <c r="C293" s="454" t="s">
        <v>3640</v>
      </c>
      <c r="D293" s="454" t="s">
        <v>2950</v>
      </c>
      <c r="E293" s="454" t="s">
        <v>3641</v>
      </c>
      <c r="F293" s="454" t="s">
        <v>521</v>
      </c>
      <c r="G293" s="454" t="s">
        <v>12806</v>
      </c>
      <c r="H293" s="455">
        <v>8857973000153</v>
      </c>
      <c r="I293" s="462">
        <v>39211</v>
      </c>
      <c r="J293" s="457">
        <v>37586076</v>
      </c>
      <c r="K293" s="454" t="s">
        <v>3642</v>
      </c>
      <c r="L293" s="458">
        <v>101</v>
      </c>
      <c r="M293" s="454" t="s">
        <v>3613</v>
      </c>
      <c r="N293" s="459">
        <v>4823090</v>
      </c>
      <c r="O293" s="460">
        <v>56613183</v>
      </c>
      <c r="P293" s="462">
        <v>92420</v>
      </c>
      <c r="Q293" s="462">
        <v>84</v>
      </c>
      <c r="R293" s="462">
        <v>43934</v>
      </c>
      <c r="S293" s="463">
        <v>848</v>
      </c>
      <c r="T293" s="464">
        <v>5.4</v>
      </c>
      <c r="U293" s="465">
        <v>4579.2</v>
      </c>
      <c r="V293" s="465">
        <v>18720</v>
      </c>
      <c r="W293" s="466">
        <v>0</v>
      </c>
      <c r="X293" s="467">
        <v>1</v>
      </c>
      <c r="Y293" s="466">
        <v>34948.800000000003</v>
      </c>
      <c r="Z293" s="468" t="s">
        <v>516</v>
      </c>
      <c r="AA293" s="466">
        <v>150894.79999999999</v>
      </c>
      <c r="AB293" s="466">
        <v>150894.79999999999</v>
      </c>
      <c r="AC293" s="467">
        <v>0</v>
      </c>
      <c r="AD293" s="466">
        <v>0</v>
      </c>
      <c r="AE293" s="468" t="s">
        <v>516</v>
      </c>
      <c r="AF293" s="466">
        <v>2000</v>
      </c>
      <c r="AG293" s="466">
        <v>2000</v>
      </c>
      <c r="AH293" s="466">
        <v>27781.56</v>
      </c>
      <c r="AI293" s="466">
        <v>11714.66</v>
      </c>
      <c r="AJ293" s="469" t="s">
        <v>1624</v>
      </c>
      <c r="AK293" s="470" t="s">
        <v>1625</v>
      </c>
      <c r="AL293" s="471" t="s">
        <v>3643</v>
      </c>
      <c r="AM293" s="470" t="s">
        <v>3644</v>
      </c>
      <c r="AN293" s="470" t="s">
        <v>1385</v>
      </c>
      <c r="AO293" s="470" t="s">
        <v>12807</v>
      </c>
      <c r="AP293" s="470" t="s">
        <v>3613</v>
      </c>
      <c r="AQ293" s="470" t="s">
        <v>3640</v>
      </c>
      <c r="AR293" s="472" t="s">
        <v>515</v>
      </c>
      <c r="AS293" s="473" t="s">
        <v>1385</v>
      </c>
      <c r="AT293" s="472" t="s">
        <v>2950</v>
      </c>
      <c r="AU293" s="472" t="s">
        <v>420</v>
      </c>
      <c r="AV293" s="472">
        <v>2020</v>
      </c>
      <c r="AW293" s="474" t="s">
        <v>15078</v>
      </c>
      <c r="AX293" s="475" t="s">
        <v>15079</v>
      </c>
      <c r="AY293" s="515">
        <v>1</v>
      </c>
      <c r="AZ293" s="474" t="s">
        <v>15079</v>
      </c>
      <c r="BA293" s="472" t="s">
        <v>2950</v>
      </c>
      <c r="BB293" s="472" t="s">
        <v>1385</v>
      </c>
      <c r="BC293" s="472" t="s">
        <v>1385</v>
      </c>
      <c r="BD293" s="472" t="s">
        <v>1385</v>
      </c>
      <c r="BE293" s="472" t="s">
        <v>1385</v>
      </c>
      <c r="BF293" s="472">
        <v>34948.800000000003</v>
      </c>
      <c r="BG293" s="472">
        <v>0</v>
      </c>
      <c r="BH293" s="472" t="s">
        <v>1385</v>
      </c>
      <c r="BI293" s="510">
        <v>0</v>
      </c>
      <c r="BJ293" s="510">
        <v>1600</v>
      </c>
      <c r="BK293" s="510">
        <v>0</v>
      </c>
      <c r="BL293" s="510">
        <v>3500</v>
      </c>
      <c r="BM293" s="510">
        <v>0</v>
      </c>
      <c r="BN293" s="510">
        <v>5000</v>
      </c>
      <c r="BO293" s="510">
        <v>0</v>
      </c>
      <c r="BP293" s="510">
        <v>2000</v>
      </c>
      <c r="BQ293" s="510">
        <v>0</v>
      </c>
      <c r="BR293" s="510">
        <v>0</v>
      </c>
      <c r="BS293" s="510">
        <v>0</v>
      </c>
      <c r="BT293" s="510">
        <v>0</v>
      </c>
      <c r="BU293" s="510">
        <v>0</v>
      </c>
      <c r="BV293" s="510">
        <v>0</v>
      </c>
      <c r="BW293" s="510">
        <v>0</v>
      </c>
      <c r="BX293" s="510">
        <v>30000</v>
      </c>
      <c r="BY293" s="1011">
        <v>0</v>
      </c>
      <c r="BZ293" s="510">
        <v>0</v>
      </c>
      <c r="CA293" s="1011">
        <v>0</v>
      </c>
      <c r="CB293" s="510">
        <v>22000</v>
      </c>
      <c r="CC293" s="1011">
        <v>0</v>
      </c>
      <c r="CD293" s="510">
        <v>0</v>
      </c>
      <c r="CE293" s="1011">
        <v>0</v>
      </c>
      <c r="CF293" s="510">
        <v>63946</v>
      </c>
      <c r="CG293" s="1011">
        <v>0</v>
      </c>
      <c r="CH293" s="510">
        <v>0</v>
      </c>
      <c r="CI293" s="1011">
        <v>0</v>
      </c>
    </row>
    <row r="294" spans="1:87" x14ac:dyDescent="0.2">
      <c r="A294" s="449">
        <v>63</v>
      </c>
      <c r="B294" s="453">
        <v>19337</v>
      </c>
      <c r="C294" s="454" t="s">
        <v>3645</v>
      </c>
      <c r="D294" s="454" t="s">
        <v>2950</v>
      </c>
      <c r="E294" s="454" t="s">
        <v>3646</v>
      </c>
      <c r="F294" s="454" t="s">
        <v>525</v>
      </c>
      <c r="G294" s="454" t="s">
        <v>12808</v>
      </c>
      <c r="H294" s="455">
        <v>8921378000130</v>
      </c>
      <c r="I294" s="462">
        <v>39252</v>
      </c>
      <c r="J294" s="457">
        <v>37382756</v>
      </c>
      <c r="K294" s="454" t="s">
        <v>3648</v>
      </c>
      <c r="L294" s="458" t="s">
        <v>1446</v>
      </c>
      <c r="M294" s="454" t="s">
        <v>3649</v>
      </c>
      <c r="N294" s="459">
        <v>2276000</v>
      </c>
      <c r="O294" s="460">
        <v>22410494</v>
      </c>
      <c r="P294" s="462">
        <v>334157</v>
      </c>
      <c r="Q294" s="462">
        <v>63</v>
      </c>
      <c r="R294" s="462">
        <v>43950</v>
      </c>
      <c r="S294" s="463">
        <v>1123</v>
      </c>
      <c r="T294" s="464">
        <v>5.4</v>
      </c>
      <c r="U294" s="465">
        <v>6064.2</v>
      </c>
      <c r="V294" s="465">
        <v>20340</v>
      </c>
      <c r="W294" s="466">
        <v>0</v>
      </c>
      <c r="X294" s="467">
        <v>1</v>
      </c>
      <c r="Y294" s="466">
        <v>45708.3</v>
      </c>
      <c r="Z294" s="468" t="s">
        <v>516</v>
      </c>
      <c r="AA294" s="466">
        <v>163469.5</v>
      </c>
      <c r="AB294" s="466">
        <v>163469.5</v>
      </c>
      <c r="AC294" s="467">
        <v>0</v>
      </c>
      <c r="AD294" s="466">
        <v>0</v>
      </c>
      <c r="AE294" s="468" t="s">
        <v>516</v>
      </c>
      <c r="AF294" s="466">
        <v>1600</v>
      </c>
      <c r="AG294" s="466">
        <v>1600</v>
      </c>
      <c r="AH294" s="466">
        <v>26990.34</v>
      </c>
      <c r="AI294" s="466">
        <v>3478.92</v>
      </c>
      <c r="AJ294" s="469" t="s">
        <v>1460</v>
      </c>
      <c r="AK294" s="470" t="s">
        <v>1461</v>
      </c>
      <c r="AL294" s="471" t="s">
        <v>3650</v>
      </c>
      <c r="AM294" s="470" t="s">
        <v>3651</v>
      </c>
      <c r="AN294" s="470" t="s">
        <v>3647</v>
      </c>
      <c r="AO294" s="470" t="s">
        <v>12809</v>
      </c>
      <c r="AP294" s="470" t="s">
        <v>3625</v>
      </c>
      <c r="AQ294" s="470" t="s">
        <v>3645</v>
      </c>
      <c r="AR294" s="472" t="s">
        <v>515</v>
      </c>
      <c r="AS294" s="473" t="s">
        <v>1385</v>
      </c>
      <c r="AT294" s="472" t="s">
        <v>2950</v>
      </c>
      <c r="AU294" s="472" t="s">
        <v>420</v>
      </c>
      <c r="AV294" s="472">
        <v>2020</v>
      </c>
      <c r="AW294" s="474" t="s">
        <v>15078</v>
      </c>
      <c r="AX294" s="475" t="s">
        <v>15079</v>
      </c>
      <c r="AY294" s="515">
        <v>1</v>
      </c>
      <c r="AZ294" s="474" t="s">
        <v>15079</v>
      </c>
      <c r="BA294" s="472" t="s">
        <v>2950</v>
      </c>
      <c r="BB294" s="472" t="s">
        <v>516</v>
      </c>
      <c r="BC294" s="472">
        <v>3</v>
      </c>
      <c r="BD294" s="472">
        <v>4068</v>
      </c>
      <c r="BE294" s="472">
        <v>0</v>
      </c>
      <c r="BF294" s="472">
        <v>45708.3</v>
      </c>
      <c r="BG294" s="472">
        <v>0</v>
      </c>
      <c r="BH294" s="472" t="s">
        <v>1385</v>
      </c>
      <c r="BI294" s="510">
        <v>0</v>
      </c>
      <c r="BJ294" s="510">
        <v>0</v>
      </c>
      <c r="BK294" s="510">
        <v>0</v>
      </c>
      <c r="BL294" s="510">
        <v>2821.6</v>
      </c>
      <c r="BM294" s="510">
        <v>0</v>
      </c>
      <c r="BN294" s="510">
        <v>5000</v>
      </c>
      <c r="BO294" s="510">
        <v>400</v>
      </c>
      <c r="BP294" s="510">
        <v>1600</v>
      </c>
      <c r="BQ294" s="510">
        <v>0</v>
      </c>
      <c r="BR294" s="510">
        <v>0</v>
      </c>
      <c r="BS294" s="510">
        <v>0</v>
      </c>
      <c r="BT294" s="510">
        <v>0</v>
      </c>
      <c r="BU294" s="510">
        <v>2500</v>
      </c>
      <c r="BV294" s="510">
        <v>2500</v>
      </c>
      <c r="BW294" s="510">
        <v>0</v>
      </c>
      <c r="BX294" s="510">
        <v>30000</v>
      </c>
      <c r="BY294" s="1011">
        <v>0</v>
      </c>
      <c r="BZ294" s="510">
        <v>0</v>
      </c>
      <c r="CA294" s="1011">
        <v>0</v>
      </c>
      <c r="CB294" s="510">
        <v>22000</v>
      </c>
      <c r="CC294" s="1011">
        <v>0</v>
      </c>
      <c r="CD294" s="510">
        <v>0</v>
      </c>
      <c r="CE294" s="1011">
        <v>0</v>
      </c>
      <c r="CF294" s="510">
        <v>65361.2</v>
      </c>
      <c r="CG294" s="1011">
        <v>0</v>
      </c>
      <c r="CH294" s="510">
        <v>0</v>
      </c>
      <c r="CI294" s="1011">
        <v>0</v>
      </c>
    </row>
    <row r="295" spans="1:87" x14ac:dyDescent="0.2">
      <c r="A295" s="449">
        <v>165</v>
      </c>
      <c r="B295" s="453">
        <v>19338</v>
      </c>
      <c r="C295" s="454" t="s">
        <v>3652</v>
      </c>
      <c r="D295" s="454" t="s">
        <v>2000</v>
      </c>
      <c r="E295" s="454" t="s">
        <v>3653</v>
      </c>
      <c r="F295" s="454" t="s">
        <v>520</v>
      </c>
      <c r="G295" s="454" t="s">
        <v>12810</v>
      </c>
      <c r="H295" s="455">
        <v>9385339000128</v>
      </c>
      <c r="I295" s="462">
        <v>38166</v>
      </c>
      <c r="J295" s="457">
        <v>44754183</v>
      </c>
      <c r="K295" s="454" t="s">
        <v>3636</v>
      </c>
      <c r="L295" s="458">
        <v>399</v>
      </c>
      <c r="M295" s="454" t="s">
        <v>3637</v>
      </c>
      <c r="N295" s="459">
        <v>5879000</v>
      </c>
      <c r="O295" s="460">
        <v>58744241</v>
      </c>
      <c r="P295" s="462">
        <v>308237</v>
      </c>
      <c r="Q295" s="462">
        <v>111</v>
      </c>
      <c r="R295" s="462">
        <v>43983</v>
      </c>
      <c r="S295" s="463">
        <v>554</v>
      </c>
      <c r="T295" s="464">
        <v>3.6</v>
      </c>
      <c r="U295" s="465">
        <v>1994.4</v>
      </c>
      <c r="V295" s="465">
        <v>16560</v>
      </c>
      <c r="W295" s="466">
        <v>0</v>
      </c>
      <c r="X295" s="467">
        <v>1</v>
      </c>
      <c r="Y295" s="466">
        <v>27831.599999999999</v>
      </c>
      <c r="Z295" s="468" t="s">
        <v>516</v>
      </c>
      <c r="AA295" s="466">
        <v>106506</v>
      </c>
      <c r="AB295" s="466">
        <v>106506</v>
      </c>
      <c r="AC295" s="467">
        <v>0</v>
      </c>
      <c r="AD295" s="466">
        <v>0</v>
      </c>
      <c r="AE295" s="468" t="s">
        <v>516</v>
      </c>
      <c r="AF295" s="466">
        <v>0</v>
      </c>
      <c r="AG295" s="466">
        <v>0</v>
      </c>
      <c r="AH295" s="466">
        <v>12337.11</v>
      </c>
      <c r="AI295" s="466">
        <v>3883.76</v>
      </c>
      <c r="AJ295" s="469" t="s">
        <v>1515</v>
      </c>
      <c r="AK295" s="470" t="s">
        <v>1516</v>
      </c>
      <c r="AL295" s="471" t="s">
        <v>3654</v>
      </c>
      <c r="AM295" s="470" t="s">
        <v>3655</v>
      </c>
      <c r="AN295" s="470" t="s">
        <v>3656</v>
      </c>
      <c r="AO295" s="470" t="s">
        <v>3657</v>
      </c>
      <c r="AP295" s="470" t="s">
        <v>3636</v>
      </c>
      <c r="AQ295" s="470" t="s">
        <v>3652</v>
      </c>
      <c r="AR295" s="472" t="s">
        <v>515</v>
      </c>
      <c r="AS295" s="473" t="s">
        <v>1385</v>
      </c>
      <c r="AT295" s="472" t="s">
        <v>2000</v>
      </c>
      <c r="AU295" s="472" t="s">
        <v>420</v>
      </c>
      <c r="AV295" s="472">
        <v>2020</v>
      </c>
      <c r="AW295" s="474" t="s">
        <v>15078</v>
      </c>
      <c r="AX295" s="475" t="s">
        <v>15079</v>
      </c>
      <c r="AY295" s="515">
        <v>1</v>
      </c>
      <c r="AZ295" s="474" t="s">
        <v>15079</v>
      </c>
      <c r="BA295" s="472" t="s">
        <v>2000</v>
      </c>
      <c r="BB295" s="472" t="s">
        <v>1385</v>
      </c>
      <c r="BC295" s="472" t="s">
        <v>1385</v>
      </c>
      <c r="BD295" s="472" t="s">
        <v>1385</v>
      </c>
      <c r="BE295" s="472" t="s">
        <v>1385</v>
      </c>
      <c r="BF295" s="509">
        <v>27831.599999999999</v>
      </c>
      <c r="BG295" s="509">
        <v>0</v>
      </c>
      <c r="BH295" s="472" t="s">
        <v>1385</v>
      </c>
      <c r="BI295" s="510">
        <v>0</v>
      </c>
      <c r="BJ295" s="510">
        <v>0</v>
      </c>
      <c r="BK295" s="510">
        <v>0</v>
      </c>
      <c r="BL295" s="510">
        <v>0</v>
      </c>
      <c r="BM295" s="510">
        <v>0</v>
      </c>
      <c r="BN295" s="510">
        <v>5000</v>
      </c>
      <c r="BO295" s="510">
        <v>0</v>
      </c>
      <c r="BP295" s="510">
        <v>0</v>
      </c>
      <c r="BQ295" s="510">
        <v>0</v>
      </c>
      <c r="BR295" s="510">
        <v>0</v>
      </c>
      <c r="BS295" s="510">
        <v>0</v>
      </c>
      <c r="BT295" s="510">
        <v>0</v>
      </c>
      <c r="BU295" s="510">
        <v>0</v>
      </c>
      <c r="BV295" s="510">
        <v>0</v>
      </c>
      <c r="BW295" s="510">
        <v>0</v>
      </c>
      <c r="BX295" s="510">
        <v>30000</v>
      </c>
      <c r="BY295" s="1011">
        <v>0</v>
      </c>
      <c r="BZ295" s="510">
        <v>0</v>
      </c>
      <c r="CA295" s="1011">
        <v>0</v>
      </c>
      <c r="CB295" s="510">
        <v>0</v>
      </c>
      <c r="CC295" s="1011">
        <v>0</v>
      </c>
      <c r="CD295" s="510">
        <v>0</v>
      </c>
      <c r="CE295" s="1011">
        <v>0</v>
      </c>
      <c r="CF295" s="510">
        <v>48674.400000000001</v>
      </c>
      <c r="CG295" s="1011">
        <v>0</v>
      </c>
      <c r="CH295" s="510">
        <v>0</v>
      </c>
      <c r="CI295" s="1011">
        <v>0</v>
      </c>
    </row>
    <row r="296" spans="1:87" x14ac:dyDescent="0.2">
      <c r="A296" s="449">
        <v>62</v>
      </c>
      <c r="B296" s="453">
        <v>19339</v>
      </c>
      <c r="C296" s="454" t="s">
        <v>3658</v>
      </c>
      <c r="D296" s="454" t="s">
        <v>1390</v>
      </c>
      <c r="E296" s="454" t="s">
        <v>3659</v>
      </c>
      <c r="F296" s="454" t="s">
        <v>518</v>
      </c>
      <c r="G296" s="454" t="s">
        <v>12811</v>
      </c>
      <c r="H296" s="455">
        <v>8975253000192</v>
      </c>
      <c r="I296" s="462">
        <v>39267</v>
      </c>
      <c r="J296" s="457">
        <v>37470400</v>
      </c>
      <c r="K296" s="454" t="s">
        <v>3661</v>
      </c>
      <c r="L296" s="458" t="s">
        <v>1446</v>
      </c>
      <c r="M296" s="454" t="s">
        <v>2858</v>
      </c>
      <c r="N296" s="459">
        <v>8225390</v>
      </c>
      <c r="O296" s="460">
        <v>20469633</v>
      </c>
      <c r="P296" s="462">
        <v>46879</v>
      </c>
      <c r="Q296" s="462">
        <v>31</v>
      </c>
      <c r="R296" s="462">
        <v>43934</v>
      </c>
      <c r="S296" s="463">
        <v>491</v>
      </c>
      <c r="T296" s="464">
        <v>3.6</v>
      </c>
      <c r="U296" s="465">
        <v>1767.6</v>
      </c>
      <c r="V296" s="465">
        <v>15120</v>
      </c>
      <c r="W296" s="466">
        <v>0</v>
      </c>
      <c r="X296" s="467">
        <v>1</v>
      </c>
      <c r="Y296" s="466">
        <v>25331.4</v>
      </c>
      <c r="Z296" s="468" t="s">
        <v>516</v>
      </c>
      <c r="AA296" s="466">
        <v>103897.8</v>
      </c>
      <c r="AB296" s="466">
        <v>103897.8</v>
      </c>
      <c r="AC296" s="467">
        <v>0</v>
      </c>
      <c r="AD296" s="466">
        <v>0</v>
      </c>
      <c r="AE296" s="468" t="s">
        <v>516</v>
      </c>
      <c r="AF296" s="466">
        <v>0</v>
      </c>
      <c r="AG296" s="466">
        <v>0</v>
      </c>
      <c r="AH296" s="466">
        <v>16323.65</v>
      </c>
      <c r="AI296" s="466">
        <v>4017.52</v>
      </c>
      <c r="AJ296" s="469" t="s">
        <v>2196</v>
      </c>
      <c r="AK296" s="470" t="s">
        <v>2859</v>
      </c>
      <c r="AL296" s="471" t="s">
        <v>3662</v>
      </c>
      <c r="AM296" s="470" t="s">
        <v>12812</v>
      </c>
      <c r="AN296" s="470" t="s">
        <v>3660</v>
      </c>
      <c r="AO296" s="470" t="s">
        <v>14982</v>
      </c>
      <c r="AP296" s="470" t="s">
        <v>3663</v>
      </c>
      <c r="AQ296" s="470" t="s">
        <v>3658</v>
      </c>
      <c r="AR296" s="472" t="s">
        <v>515</v>
      </c>
      <c r="AS296" s="473" t="s">
        <v>1385</v>
      </c>
      <c r="AT296" s="472" t="s">
        <v>1390</v>
      </c>
      <c r="AU296" s="472" t="s">
        <v>420</v>
      </c>
      <c r="AV296" s="472">
        <v>2020</v>
      </c>
      <c r="AW296" s="474" t="s">
        <v>15078</v>
      </c>
      <c r="AX296" s="475" t="s">
        <v>15079</v>
      </c>
      <c r="AY296" s="515">
        <v>1</v>
      </c>
      <c r="AZ296" s="474" t="s">
        <v>15079</v>
      </c>
      <c r="BA296" s="472" t="s">
        <v>1390</v>
      </c>
      <c r="BB296" s="472" t="s">
        <v>1385</v>
      </c>
      <c r="BC296" s="472" t="s">
        <v>1385</v>
      </c>
      <c r="BD296" s="472" t="s">
        <v>1385</v>
      </c>
      <c r="BE296" s="472" t="s">
        <v>1385</v>
      </c>
      <c r="BF296" s="472">
        <v>25331.4</v>
      </c>
      <c r="BG296" s="472">
        <v>0</v>
      </c>
      <c r="BH296" s="472" t="s">
        <v>1385</v>
      </c>
      <c r="BI296" s="510">
        <v>0</v>
      </c>
      <c r="BJ296" s="510">
        <v>0</v>
      </c>
      <c r="BK296" s="510">
        <v>0</v>
      </c>
      <c r="BL296" s="510">
        <v>0</v>
      </c>
      <c r="BM296" s="510">
        <v>0</v>
      </c>
      <c r="BN296" s="510">
        <v>4000</v>
      </c>
      <c r="BO296" s="510">
        <v>0</v>
      </c>
      <c r="BP296" s="510">
        <v>0</v>
      </c>
      <c r="BQ296" s="510">
        <v>0</v>
      </c>
      <c r="BR296" s="510">
        <v>0</v>
      </c>
      <c r="BS296" s="510">
        <v>0</v>
      </c>
      <c r="BT296" s="510">
        <v>0</v>
      </c>
      <c r="BU296" s="510">
        <v>0</v>
      </c>
      <c r="BV296" s="510">
        <v>0</v>
      </c>
      <c r="BW296" s="510">
        <v>0</v>
      </c>
      <c r="BX296" s="510">
        <v>30000</v>
      </c>
      <c r="BY296" s="1011">
        <v>0</v>
      </c>
      <c r="BZ296" s="510">
        <v>0</v>
      </c>
      <c r="CA296" s="1011">
        <v>0</v>
      </c>
      <c r="CB296" s="510">
        <v>0</v>
      </c>
      <c r="CC296" s="1011">
        <v>0</v>
      </c>
      <c r="CD296" s="510">
        <v>0</v>
      </c>
      <c r="CE296" s="1011">
        <v>0</v>
      </c>
      <c r="CF296" s="510">
        <v>48566.400000000001</v>
      </c>
      <c r="CG296" s="1011">
        <v>0</v>
      </c>
      <c r="CH296" s="510">
        <v>0</v>
      </c>
      <c r="CI296" s="1011">
        <v>0</v>
      </c>
    </row>
    <row r="297" spans="1:87" x14ac:dyDescent="0.2">
      <c r="A297" s="449">
        <v>155</v>
      </c>
      <c r="B297" s="453">
        <v>19340</v>
      </c>
      <c r="C297" s="454" t="s">
        <v>3664</v>
      </c>
      <c r="D297" s="454" t="s">
        <v>1390</v>
      </c>
      <c r="E297" s="454" t="s">
        <v>3664</v>
      </c>
      <c r="F297" s="454" t="s">
        <v>520</v>
      </c>
      <c r="G297" s="454" t="s">
        <v>12813</v>
      </c>
      <c r="H297" s="455">
        <v>10241398000101</v>
      </c>
      <c r="I297" s="462">
        <v>39644</v>
      </c>
      <c r="J297" s="457">
        <v>45817677</v>
      </c>
      <c r="K297" s="454" t="s">
        <v>3666</v>
      </c>
      <c r="L297" s="458">
        <v>150</v>
      </c>
      <c r="M297" s="454" t="s">
        <v>3667</v>
      </c>
      <c r="N297" s="459">
        <v>5706300</v>
      </c>
      <c r="O297" s="460">
        <v>37421007</v>
      </c>
      <c r="P297" s="462">
        <v>307346</v>
      </c>
      <c r="Q297" s="462">
        <v>90</v>
      </c>
      <c r="R297" s="462">
        <v>43979</v>
      </c>
      <c r="S297" s="463">
        <v>537</v>
      </c>
      <c r="T297" s="464">
        <v>3.6</v>
      </c>
      <c r="U297" s="465">
        <v>1933.2</v>
      </c>
      <c r="V297" s="465">
        <v>16560</v>
      </c>
      <c r="W297" s="466">
        <v>0</v>
      </c>
      <c r="X297" s="467">
        <v>1</v>
      </c>
      <c r="Y297" s="466">
        <v>27739.8</v>
      </c>
      <c r="Z297" s="468" t="s">
        <v>516</v>
      </c>
      <c r="AA297" s="466">
        <v>106522.2</v>
      </c>
      <c r="AB297" s="466">
        <v>106522.2</v>
      </c>
      <c r="AC297" s="467">
        <v>0</v>
      </c>
      <c r="AD297" s="466">
        <v>0</v>
      </c>
      <c r="AE297" s="468" t="s">
        <v>516</v>
      </c>
      <c r="AF297" s="466">
        <v>0</v>
      </c>
      <c r="AG297" s="466">
        <v>0</v>
      </c>
      <c r="AH297" s="466">
        <v>34511.61</v>
      </c>
      <c r="AI297" s="466">
        <v>7387.92</v>
      </c>
      <c r="AJ297" s="469" t="s">
        <v>3668</v>
      </c>
      <c r="AK297" s="470" t="s">
        <v>3669</v>
      </c>
      <c r="AL297" s="471" t="s">
        <v>3670</v>
      </c>
      <c r="AM297" s="470" t="s">
        <v>12814</v>
      </c>
      <c r="AN297" s="470" t="s">
        <v>3665</v>
      </c>
      <c r="AO297" s="470" t="s">
        <v>3671</v>
      </c>
      <c r="AP297" s="470" t="s">
        <v>3672</v>
      </c>
      <c r="AQ297" s="470" t="s">
        <v>3664</v>
      </c>
      <c r="AR297" s="472" t="s">
        <v>515</v>
      </c>
      <c r="AS297" s="473" t="s">
        <v>1385</v>
      </c>
      <c r="AT297" s="472" t="s">
        <v>1390</v>
      </c>
      <c r="AU297" s="472" t="s">
        <v>420</v>
      </c>
      <c r="AV297" s="472">
        <v>2020</v>
      </c>
      <c r="AW297" s="474" t="s">
        <v>15078</v>
      </c>
      <c r="AX297" s="475" t="s">
        <v>15079</v>
      </c>
      <c r="AY297" s="515">
        <v>1</v>
      </c>
      <c r="AZ297" s="474" t="s">
        <v>15079</v>
      </c>
      <c r="BA297" s="472" t="s">
        <v>1390</v>
      </c>
      <c r="BB297" s="472" t="s">
        <v>1385</v>
      </c>
      <c r="BC297" s="472" t="s">
        <v>1385</v>
      </c>
      <c r="BD297" s="472" t="s">
        <v>1385</v>
      </c>
      <c r="BE297" s="472" t="s">
        <v>1385</v>
      </c>
      <c r="BF297" s="472">
        <v>27739.8</v>
      </c>
      <c r="BG297" s="472">
        <v>0</v>
      </c>
      <c r="BH297" s="472" t="s">
        <v>1385</v>
      </c>
      <c r="BI297" s="510">
        <v>0</v>
      </c>
      <c r="BJ297" s="510">
        <v>0</v>
      </c>
      <c r="BK297" s="510">
        <v>0</v>
      </c>
      <c r="BL297" s="510">
        <v>0</v>
      </c>
      <c r="BM297" s="510">
        <v>0</v>
      </c>
      <c r="BN297" s="510">
        <v>4000</v>
      </c>
      <c r="BO297" s="510">
        <v>0</v>
      </c>
      <c r="BP297" s="510">
        <v>0</v>
      </c>
      <c r="BQ297" s="510">
        <v>0</v>
      </c>
      <c r="BR297" s="510">
        <v>0</v>
      </c>
      <c r="BS297" s="510">
        <v>0</v>
      </c>
      <c r="BT297" s="510">
        <v>0</v>
      </c>
      <c r="BU297" s="510">
        <v>0</v>
      </c>
      <c r="BV297" s="510">
        <v>0</v>
      </c>
      <c r="BW297" s="510">
        <v>0</v>
      </c>
      <c r="BX297" s="510">
        <v>30000</v>
      </c>
      <c r="BY297" s="1011">
        <v>0</v>
      </c>
      <c r="BZ297" s="510">
        <v>0</v>
      </c>
      <c r="CA297" s="1011">
        <v>0</v>
      </c>
      <c r="CB297" s="510">
        <v>0</v>
      </c>
      <c r="CC297" s="1011">
        <v>0</v>
      </c>
      <c r="CD297" s="510">
        <v>0</v>
      </c>
      <c r="CE297" s="1011">
        <v>0</v>
      </c>
      <c r="CF297" s="510">
        <v>48782.400000000001</v>
      </c>
      <c r="CG297" s="1011">
        <v>0</v>
      </c>
      <c r="CH297" s="510">
        <v>0</v>
      </c>
      <c r="CI297" s="1011">
        <v>0</v>
      </c>
    </row>
    <row r="298" spans="1:87" x14ac:dyDescent="0.2">
      <c r="A298" s="449">
        <v>35</v>
      </c>
      <c r="B298" s="453">
        <v>19341</v>
      </c>
      <c r="C298" s="454" t="s">
        <v>3673</v>
      </c>
      <c r="D298" s="454" t="s">
        <v>517</v>
      </c>
      <c r="E298" s="454" t="s">
        <v>3674</v>
      </c>
      <c r="F298" s="454" t="s">
        <v>522</v>
      </c>
      <c r="G298" s="454" t="s">
        <v>12815</v>
      </c>
      <c r="H298" s="455">
        <v>9599293000140</v>
      </c>
      <c r="I298" s="462">
        <v>39601</v>
      </c>
      <c r="J298" s="457">
        <v>39395634</v>
      </c>
      <c r="K298" s="454" t="s">
        <v>2473</v>
      </c>
      <c r="L298" s="458">
        <v>190</v>
      </c>
      <c r="M298" s="454" t="s">
        <v>2474</v>
      </c>
      <c r="N298" s="459">
        <v>2849130</v>
      </c>
      <c r="O298" s="460">
        <v>93245062</v>
      </c>
      <c r="P298" s="462">
        <v>77154</v>
      </c>
      <c r="Q298" s="462">
        <v>68</v>
      </c>
      <c r="R298" s="462">
        <v>43911</v>
      </c>
      <c r="S298" s="463">
        <v>1061</v>
      </c>
      <c r="T298" s="464">
        <v>5.4</v>
      </c>
      <c r="U298" s="465">
        <v>5729.4</v>
      </c>
      <c r="V298" s="465">
        <v>20340</v>
      </c>
      <c r="W298" s="466">
        <v>0</v>
      </c>
      <c r="X298" s="467">
        <v>1</v>
      </c>
      <c r="Y298" s="466">
        <v>39104.1</v>
      </c>
      <c r="Z298" s="468" t="s">
        <v>516</v>
      </c>
      <c r="AA298" s="466">
        <v>142983.70000000001</v>
      </c>
      <c r="AB298" s="466">
        <v>142983.70000000001</v>
      </c>
      <c r="AC298" s="467">
        <v>0</v>
      </c>
      <c r="AD298" s="466">
        <v>0</v>
      </c>
      <c r="AE298" s="468" t="s">
        <v>516</v>
      </c>
      <c r="AF298" s="466">
        <v>0</v>
      </c>
      <c r="AG298" s="466">
        <v>0</v>
      </c>
      <c r="AH298" s="466">
        <v>21077.77</v>
      </c>
      <c r="AI298" s="466">
        <v>5370</v>
      </c>
      <c r="AJ298" s="469" t="s">
        <v>1438</v>
      </c>
      <c r="AK298" s="470" t="s">
        <v>12345</v>
      </c>
      <c r="AL298" s="471" t="s">
        <v>3676</v>
      </c>
      <c r="AM298" s="470" t="s">
        <v>12816</v>
      </c>
      <c r="AN298" s="470" t="s">
        <v>1385</v>
      </c>
      <c r="AO298" s="470" t="s">
        <v>12817</v>
      </c>
      <c r="AP298" s="470" t="s">
        <v>3677</v>
      </c>
      <c r="AQ298" s="470" t="s">
        <v>3673</v>
      </c>
      <c r="AR298" s="472" t="s">
        <v>515</v>
      </c>
      <c r="AS298" s="473" t="s">
        <v>1385</v>
      </c>
      <c r="AT298" s="472" t="s">
        <v>517</v>
      </c>
      <c r="AU298" s="472" t="s">
        <v>420</v>
      </c>
      <c r="AV298" s="472">
        <v>2020</v>
      </c>
      <c r="AW298" s="474" t="s">
        <v>15078</v>
      </c>
      <c r="AX298" s="475" t="s">
        <v>15079</v>
      </c>
      <c r="AY298" s="515">
        <v>1</v>
      </c>
      <c r="AZ298" s="474" t="s">
        <v>15079</v>
      </c>
      <c r="BA298" s="472" t="s">
        <v>517</v>
      </c>
      <c r="BB298" s="472" t="s">
        <v>1385</v>
      </c>
      <c r="BC298" s="472" t="s">
        <v>1385</v>
      </c>
      <c r="BD298" s="472" t="s">
        <v>1385</v>
      </c>
      <c r="BE298" s="472" t="s">
        <v>1385</v>
      </c>
      <c r="BF298" s="509">
        <v>39104.1</v>
      </c>
      <c r="BG298" s="472">
        <v>0</v>
      </c>
      <c r="BH298" s="472" t="s">
        <v>1385</v>
      </c>
      <c r="BI298" s="510">
        <v>0</v>
      </c>
      <c r="BJ298" s="510">
        <v>0</v>
      </c>
      <c r="BK298" s="510">
        <v>0</v>
      </c>
      <c r="BL298" s="510">
        <v>0</v>
      </c>
      <c r="BM298" s="510">
        <v>0</v>
      </c>
      <c r="BN298" s="510">
        <v>0</v>
      </c>
      <c r="BO298" s="510">
        <v>0</v>
      </c>
      <c r="BP298" s="510">
        <v>0</v>
      </c>
      <c r="BQ298" s="510">
        <v>0</v>
      </c>
      <c r="BR298" s="510">
        <v>0</v>
      </c>
      <c r="BS298" s="510">
        <v>0</v>
      </c>
      <c r="BT298" s="510">
        <v>0</v>
      </c>
      <c r="BU298" s="510">
        <v>2500</v>
      </c>
      <c r="BV298" s="510">
        <v>2500</v>
      </c>
      <c r="BW298" s="510">
        <v>0</v>
      </c>
      <c r="BX298" s="510">
        <v>30000</v>
      </c>
      <c r="BY298" s="1011">
        <v>0</v>
      </c>
      <c r="BZ298" s="510">
        <v>0</v>
      </c>
      <c r="CA298" s="1011">
        <v>0</v>
      </c>
      <c r="CB298" s="510">
        <v>22000</v>
      </c>
      <c r="CC298" s="1011">
        <v>0</v>
      </c>
      <c r="CD298" s="510">
        <v>0</v>
      </c>
      <c r="CE298" s="1011">
        <v>0</v>
      </c>
      <c r="CF298" s="510">
        <v>51879.6</v>
      </c>
      <c r="CG298" s="1011">
        <v>0</v>
      </c>
      <c r="CH298" s="510">
        <v>0</v>
      </c>
      <c r="CI298" s="1011">
        <v>0</v>
      </c>
    </row>
    <row r="299" spans="1:87" x14ac:dyDescent="0.2">
      <c r="A299" s="449">
        <v>94</v>
      </c>
      <c r="B299" s="453">
        <v>19342</v>
      </c>
      <c r="C299" s="454" t="s">
        <v>3678</v>
      </c>
      <c r="D299" s="454" t="s">
        <v>1390</v>
      </c>
      <c r="E299" s="454" t="s">
        <v>3679</v>
      </c>
      <c r="F299" s="454" t="s">
        <v>527</v>
      </c>
      <c r="G299" s="454" t="s">
        <v>12818</v>
      </c>
      <c r="H299" s="455">
        <v>10833393000178</v>
      </c>
      <c r="I299" s="462">
        <v>39941</v>
      </c>
      <c r="J299" s="457">
        <v>39637000</v>
      </c>
      <c r="K299" s="454" t="s">
        <v>3680</v>
      </c>
      <c r="L299" s="458">
        <v>47</v>
      </c>
      <c r="M299" s="454" t="s">
        <v>3681</v>
      </c>
      <c r="N299" s="459">
        <v>3828110</v>
      </c>
      <c r="O299" s="460">
        <v>22143501</v>
      </c>
      <c r="P299" s="462">
        <v>214402</v>
      </c>
      <c r="Q299" s="462">
        <v>58</v>
      </c>
      <c r="R299" s="462">
        <v>43969</v>
      </c>
      <c r="S299" s="463">
        <v>339</v>
      </c>
      <c r="T299" s="464">
        <v>3.6</v>
      </c>
      <c r="U299" s="465">
        <v>1220.4000000000001</v>
      </c>
      <c r="V299" s="465">
        <v>13680</v>
      </c>
      <c r="W299" s="466">
        <v>0</v>
      </c>
      <c r="X299" s="467">
        <v>1</v>
      </c>
      <c r="Y299" s="466">
        <v>22350.6</v>
      </c>
      <c r="Z299" s="468" t="s">
        <v>516</v>
      </c>
      <c r="AA299" s="466">
        <v>97281</v>
      </c>
      <c r="AB299" s="466">
        <v>97281</v>
      </c>
      <c r="AC299" s="467">
        <v>0</v>
      </c>
      <c r="AD299" s="466">
        <v>0</v>
      </c>
      <c r="AE299" s="468" t="s">
        <v>516</v>
      </c>
      <c r="AF299" s="466">
        <v>0</v>
      </c>
      <c r="AG299" s="466">
        <v>0</v>
      </c>
      <c r="AH299" s="466">
        <v>21452.2</v>
      </c>
      <c r="AI299" s="466">
        <v>1968.03</v>
      </c>
      <c r="AJ299" s="469" t="s">
        <v>2315</v>
      </c>
      <c r="AK299" s="470" t="s">
        <v>2316</v>
      </c>
      <c r="AL299" s="471" t="s">
        <v>3682</v>
      </c>
      <c r="AM299" s="470" t="s">
        <v>3683</v>
      </c>
      <c r="AN299" s="470" t="s">
        <v>12819</v>
      </c>
      <c r="AO299" s="470" t="s">
        <v>12820</v>
      </c>
      <c r="AP299" s="470" t="s">
        <v>3684</v>
      </c>
      <c r="AQ299" s="470" t="s">
        <v>3678</v>
      </c>
      <c r="AR299" s="472" t="s">
        <v>515</v>
      </c>
      <c r="AS299" s="473" t="s">
        <v>1385</v>
      </c>
      <c r="AT299" s="472" t="s">
        <v>1390</v>
      </c>
      <c r="AU299" s="472" t="s">
        <v>420</v>
      </c>
      <c r="AV299" s="472">
        <v>2020</v>
      </c>
      <c r="AW299" s="474" t="s">
        <v>15078</v>
      </c>
      <c r="AX299" s="475" t="s">
        <v>15079</v>
      </c>
      <c r="AY299" s="515">
        <v>1</v>
      </c>
      <c r="AZ299" s="474" t="s">
        <v>15079</v>
      </c>
      <c r="BA299" s="472" t="s">
        <v>1390</v>
      </c>
      <c r="BB299" s="472" t="s">
        <v>1385</v>
      </c>
      <c r="BC299" s="472" t="s">
        <v>1385</v>
      </c>
      <c r="BD299" s="472" t="s">
        <v>1385</v>
      </c>
      <c r="BE299" s="472" t="s">
        <v>1385</v>
      </c>
      <c r="BF299" s="472">
        <v>22350.6</v>
      </c>
      <c r="BG299" s="472">
        <v>0</v>
      </c>
      <c r="BH299" s="472" t="s">
        <v>1385</v>
      </c>
      <c r="BI299" s="510">
        <v>0</v>
      </c>
      <c r="BJ299" s="510">
        <v>957.8</v>
      </c>
      <c r="BK299" s="510">
        <v>0</v>
      </c>
      <c r="BL299" s="510">
        <v>0</v>
      </c>
      <c r="BM299" s="510">
        <v>0</v>
      </c>
      <c r="BN299" s="510">
        <v>3500</v>
      </c>
      <c r="BO299" s="510">
        <v>0</v>
      </c>
      <c r="BP299" s="510">
        <v>0</v>
      </c>
      <c r="BQ299" s="510">
        <v>0</v>
      </c>
      <c r="BR299" s="510">
        <v>0</v>
      </c>
      <c r="BS299" s="510">
        <v>0</v>
      </c>
      <c r="BT299" s="510">
        <v>0</v>
      </c>
      <c r="BU299" s="510">
        <v>0</v>
      </c>
      <c r="BV299" s="510">
        <v>0</v>
      </c>
      <c r="BW299" s="510">
        <v>0</v>
      </c>
      <c r="BX299" s="510">
        <v>30000</v>
      </c>
      <c r="BY299" s="1011">
        <v>0</v>
      </c>
      <c r="BZ299" s="510">
        <v>0</v>
      </c>
      <c r="CA299" s="1011">
        <v>0</v>
      </c>
      <c r="CB299" s="510">
        <v>0</v>
      </c>
      <c r="CC299" s="1011">
        <v>0</v>
      </c>
      <c r="CD299" s="510">
        <v>0</v>
      </c>
      <c r="CE299" s="1011">
        <v>0</v>
      </c>
      <c r="CF299" s="510">
        <v>44930.400000000001</v>
      </c>
      <c r="CG299" s="1011">
        <v>0</v>
      </c>
      <c r="CH299" s="510">
        <v>0</v>
      </c>
      <c r="CI299" s="1011">
        <v>0</v>
      </c>
    </row>
    <row r="300" spans="1:87" x14ac:dyDescent="0.2">
      <c r="A300" s="449">
        <v>73</v>
      </c>
      <c r="B300" s="453">
        <v>19344</v>
      </c>
      <c r="C300" s="454" t="s">
        <v>3685</v>
      </c>
      <c r="D300" s="454" t="s">
        <v>1390</v>
      </c>
      <c r="E300" s="454" t="s">
        <v>3686</v>
      </c>
      <c r="F300" s="454" t="s">
        <v>523</v>
      </c>
      <c r="G300" s="454" t="s">
        <v>12821</v>
      </c>
      <c r="H300" s="455">
        <v>9405856000111</v>
      </c>
      <c r="I300" s="462">
        <v>39454</v>
      </c>
      <c r="J300" s="457">
        <v>37381725</v>
      </c>
      <c r="K300" s="454" t="s">
        <v>3688</v>
      </c>
      <c r="L300" s="458" t="s">
        <v>1446</v>
      </c>
      <c r="M300" s="454" t="s">
        <v>3510</v>
      </c>
      <c r="N300" s="459">
        <v>8430027</v>
      </c>
      <c r="O300" s="460">
        <v>25137684</v>
      </c>
      <c r="P300" s="462">
        <v>261443</v>
      </c>
      <c r="Q300" s="462">
        <v>73</v>
      </c>
      <c r="R300" s="462">
        <v>43921</v>
      </c>
      <c r="S300" s="463">
        <v>410</v>
      </c>
      <c r="T300" s="464">
        <v>3.6</v>
      </c>
      <c r="U300" s="465">
        <v>1476</v>
      </c>
      <c r="V300" s="465">
        <v>15120</v>
      </c>
      <c r="W300" s="466">
        <v>0</v>
      </c>
      <c r="X300" s="467">
        <v>1</v>
      </c>
      <c r="Y300" s="466">
        <v>24894</v>
      </c>
      <c r="Z300" s="468" t="s">
        <v>516</v>
      </c>
      <c r="AA300" s="466">
        <v>103093.2</v>
      </c>
      <c r="AB300" s="466">
        <v>103093.2</v>
      </c>
      <c r="AC300" s="467">
        <v>0</v>
      </c>
      <c r="AD300" s="466">
        <v>0</v>
      </c>
      <c r="AE300" s="468" t="s">
        <v>516</v>
      </c>
      <c r="AF300" s="466">
        <v>0</v>
      </c>
      <c r="AG300" s="466">
        <v>0</v>
      </c>
      <c r="AH300" s="466">
        <v>20336.419999999998</v>
      </c>
      <c r="AI300" s="466">
        <v>8098.01</v>
      </c>
      <c r="AJ300" s="469" t="s">
        <v>1560</v>
      </c>
      <c r="AK300" s="470" t="s">
        <v>1615</v>
      </c>
      <c r="AL300" s="471" t="s">
        <v>3689</v>
      </c>
      <c r="AM300" s="470" t="s">
        <v>12822</v>
      </c>
      <c r="AN300" s="470" t="s">
        <v>3687</v>
      </c>
      <c r="AO300" s="470" t="s">
        <v>3690</v>
      </c>
      <c r="AP300" s="470" t="s">
        <v>3691</v>
      </c>
      <c r="AQ300" s="470" t="s">
        <v>3685</v>
      </c>
      <c r="AR300" s="472" t="s">
        <v>515</v>
      </c>
      <c r="AS300" s="473" t="s">
        <v>1385</v>
      </c>
      <c r="AT300" s="472" t="s">
        <v>1390</v>
      </c>
      <c r="AU300" s="472" t="s">
        <v>420</v>
      </c>
      <c r="AV300" s="472">
        <v>2020</v>
      </c>
      <c r="AW300" s="474" t="s">
        <v>15078</v>
      </c>
      <c r="AX300" s="475" t="s">
        <v>15079</v>
      </c>
      <c r="AY300" s="515">
        <v>1</v>
      </c>
      <c r="AZ300" s="474" t="s">
        <v>15079</v>
      </c>
      <c r="BA300" s="472" t="s">
        <v>1390</v>
      </c>
      <c r="BB300" s="472" t="s">
        <v>1385</v>
      </c>
      <c r="BC300" s="472" t="s">
        <v>1385</v>
      </c>
      <c r="BD300" s="472" t="s">
        <v>1385</v>
      </c>
      <c r="BE300" s="472" t="s">
        <v>1385</v>
      </c>
      <c r="BF300" s="472">
        <v>24894</v>
      </c>
      <c r="BG300" s="472">
        <v>0</v>
      </c>
      <c r="BH300" s="472" t="s">
        <v>1385</v>
      </c>
      <c r="BI300" s="510">
        <v>0</v>
      </c>
      <c r="BJ300" s="510">
        <v>0</v>
      </c>
      <c r="BK300" s="510">
        <v>0</v>
      </c>
      <c r="BL300" s="510">
        <v>0</v>
      </c>
      <c r="BM300" s="510">
        <v>0</v>
      </c>
      <c r="BN300" s="510">
        <v>4000</v>
      </c>
      <c r="BO300" s="510">
        <v>0</v>
      </c>
      <c r="BP300" s="510">
        <v>0</v>
      </c>
      <c r="BQ300" s="510">
        <v>0</v>
      </c>
      <c r="BR300" s="510">
        <v>0</v>
      </c>
      <c r="BS300" s="510">
        <v>0</v>
      </c>
      <c r="BT300" s="510">
        <v>0</v>
      </c>
      <c r="BU300" s="510">
        <v>0</v>
      </c>
      <c r="BV300" s="510">
        <v>0</v>
      </c>
      <c r="BW300" s="510">
        <v>0</v>
      </c>
      <c r="BX300" s="510">
        <v>30000</v>
      </c>
      <c r="BY300" s="1011">
        <v>0</v>
      </c>
      <c r="BZ300" s="510">
        <v>0</v>
      </c>
      <c r="CA300" s="1011">
        <v>0</v>
      </c>
      <c r="CB300" s="510">
        <v>0</v>
      </c>
      <c r="CC300" s="1011">
        <v>0</v>
      </c>
      <c r="CD300" s="510">
        <v>0</v>
      </c>
      <c r="CE300" s="1011">
        <v>0</v>
      </c>
      <c r="CF300" s="510">
        <v>48199.199999999997</v>
      </c>
      <c r="CG300" s="1011">
        <v>0</v>
      </c>
      <c r="CH300" s="510">
        <v>0</v>
      </c>
      <c r="CI300" s="1011">
        <v>0</v>
      </c>
    </row>
    <row r="301" spans="1:87" x14ac:dyDescent="0.2">
      <c r="A301" s="449">
        <v>99</v>
      </c>
      <c r="B301" s="453">
        <v>19345</v>
      </c>
      <c r="C301" s="454" t="s">
        <v>3692</v>
      </c>
      <c r="D301" s="454" t="s">
        <v>1390</v>
      </c>
      <c r="E301" s="454" t="s">
        <v>3693</v>
      </c>
      <c r="F301" s="454" t="s">
        <v>528</v>
      </c>
      <c r="G301" s="454" t="s">
        <v>12823</v>
      </c>
      <c r="H301" s="455">
        <v>10469703000117</v>
      </c>
      <c r="I301" s="462">
        <v>39672</v>
      </c>
      <c r="J301" s="457">
        <v>39113884</v>
      </c>
      <c r="K301" s="454" t="s">
        <v>3694</v>
      </c>
      <c r="L301" s="458">
        <v>75</v>
      </c>
      <c r="M301" s="454" t="s">
        <v>528</v>
      </c>
      <c r="N301" s="459">
        <v>5164015</v>
      </c>
      <c r="O301" s="460">
        <v>39066614</v>
      </c>
      <c r="P301" s="462">
        <v>212540</v>
      </c>
      <c r="Q301" s="462">
        <v>99</v>
      </c>
      <c r="R301" s="462">
        <v>43938</v>
      </c>
      <c r="S301" s="463">
        <v>289</v>
      </c>
      <c r="T301" s="464">
        <v>3.6</v>
      </c>
      <c r="U301" s="465">
        <v>1040.4000000000001</v>
      </c>
      <c r="V301" s="465">
        <v>12240</v>
      </c>
      <c r="W301" s="466">
        <v>0</v>
      </c>
      <c r="X301" s="467">
        <v>1</v>
      </c>
      <c r="Y301" s="466">
        <v>19920.599999999999</v>
      </c>
      <c r="Z301" s="468" t="s">
        <v>516</v>
      </c>
      <c r="AA301" s="466">
        <v>94469.4</v>
      </c>
      <c r="AB301" s="466">
        <v>94469.4</v>
      </c>
      <c r="AC301" s="467">
        <v>0</v>
      </c>
      <c r="AD301" s="466">
        <v>0</v>
      </c>
      <c r="AE301" s="468" t="s">
        <v>516</v>
      </c>
      <c r="AF301" s="466">
        <v>0</v>
      </c>
      <c r="AG301" s="466">
        <v>0</v>
      </c>
      <c r="AH301" s="466">
        <v>16617.23</v>
      </c>
      <c r="AI301" s="466">
        <v>0</v>
      </c>
      <c r="AJ301" s="469" t="s">
        <v>1571</v>
      </c>
      <c r="AK301" s="470" t="s">
        <v>528</v>
      </c>
      <c r="AL301" s="471" t="s">
        <v>3695</v>
      </c>
      <c r="AM301" s="470" t="s">
        <v>3696</v>
      </c>
      <c r="AN301" s="470" t="s">
        <v>3697</v>
      </c>
      <c r="AO301" s="470" t="s">
        <v>12824</v>
      </c>
      <c r="AP301" s="470" t="s">
        <v>3698</v>
      </c>
      <c r="AQ301" s="470" t="s">
        <v>3692</v>
      </c>
      <c r="AR301" s="472" t="s">
        <v>515</v>
      </c>
      <c r="AS301" s="473" t="s">
        <v>1385</v>
      </c>
      <c r="AT301" s="472" t="s">
        <v>1390</v>
      </c>
      <c r="AU301" s="472" t="s">
        <v>420</v>
      </c>
      <c r="AV301" s="472">
        <v>2020</v>
      </c>
      <c r="AW301" s="474" t="s">
        <v>15078</v>
      </c>
      <c r="AX301" s="475" t="s">
        <v>15079</v>
      </c>
      <c r="AY301" s="515">
        <v>1</v>
      </c>
      <c r="AZ301" s="474" t="s">
        <v>15079</v>
      </c>
      <c r="BA301" s="472" t="s">
        <v>1390</v>
      </c>
      <c r="BB301" s="472" t="s">
        <v>1385</v>
      </c>
      <c r="BC301" s="472" t="s">
        <v>1385</v>
      </c>
      <c r="BD301" s="472" t="s">
        <v>1385</v>
      </c>
      <c r="BE301" s="472" t="s">
        <v>1385</v>
      </c>
      <c r="BF301" s="472">
        <v>19920.599999999999</v>
      </c>
      <c r="BG301" s="472">
        <v>0</v>
      </c>
      <c r="BH301" s="472" t="s">
        <v>1385</v>
      </c>
      <c r="BI301" s="510">
        <v>0</v>
      </c>
      <c r="BJ301" s="510">
        <v>952</v>
      </c>
      <c r="BK301" s="510">
        <v>0</v>
      </c>
      <c r="BL301" s="510">
        <v>0</v>
      </c>
      <c r="BM301" s="510">
        <v>0</v>
      </c>
      <c r="BN301" s="510">
        <v>3500</v>
      </c>
      <c r="BO301" s="510">
        <v>0</v>
      </c>
      <c r="BP301" s="510">
        <v>0</v>
      </c>
      <c r="BQ301" s="510">
        <v>0</v>
      </c>
      <c r="BR301" s="510">
        <v>0</v>
      </c>
      <c r="BS301" s="510">
        <v>0</v>
      </c>
      <c r="BT301" s="510">
        <v>0</v>
      </c>
      <c r="BU301" s="510">
        <v>0</v>
      </c>
      <c r="BV301" s="510">
        <v>0</v>
      </c>
      <c r="BW301" s="510">
        <v>0</v>
      </c>
      <c r="BX301" s="510">
        <v>30000</v>
      </c>
      <c r="BY301" s="1011">
        <v>0</v>
      </c>
      <c r="BZ301" s="510">
        <v>0</v>
      </c>
      <c r="CA301" s="1011">
        <v>0</v>
      </c>
      <c r="CB301" s="510">
        <v>0</v>
      </c>
      <c r="CC301" s="1011">
        <v>0</v>
      </c>
      <c r="CD301" s="510">
        <v>0</v>
      </c>
      <c r="CE301" s="1011">
        <v>0</v>
      </c>
      <c r="CF301" s="510">
        <v>44548.800000000003</v>
      </c>
      <c r="CG301" s="1011">
        <v>0</v>
      </c>
      <c r="CH301" s="510">
        <v>0</v>
      </c>
      <c r="CI301" s="1011">
        <v>0</v>
      </c>
    </row>
    <row r="302" spans="1:87" x14ac:dyDescent="0.2">
      <c r="A302" s="449">
        <v>83</v>
      </c>
      <c r="B302" s="453">
        <v>19346</v>
      </c>
      <c r="C302" s="454" t="s">
        <v>3699</v>
      </c>
      <c r="D302" s="454" t="s">
        <v>1390</v>
      </c>
      <c r="E302" s="454" t="s">
        <v>3700</v>
      </c>
      <c r="F302" s="454" t="s">
        <v>518</v>
      </c>
      <c r="G302" s="454" t="s">
        <v>12825</v>
      </c>
      <c r="H302" s="455">
        <v>10348631000150</v>
      </c>
      <c r="I302" s="462">
        <v>39686</v>
      </c>
      <c r="J302" s="457">
        <v>40951120</v>
      </c>
      <c r="K302" s="454" t="s">
        <v>3702</v>
      </c>
      <c r="L302" s="458">
        <v>53</v>
      </c>
      <c r="M302" s="454" t="s">
        <v>3703</v>
      </c>
      <c r="N302" s="459">
        <v>8421520</v>
      </c>
      <c r="O302" s="460">
        <v>21534191</v>
      </c>
      <c r="P302" s="462">
        <v>47140</v>
      </c>
      <c r="Q302" s="462">
        <v>52</v>
      </c>
      <c r="R302" s="462">
        <v>43934</v>
      </c>
      <c r="S302" s="463">
        <v>620</v>
      </c>
      <c r="T302" s="464">
        <v>3.6</v>
      </c>
      <c r="U302" s="465">
        <v>2232</v>
      </c>
      <c r="V302" s="465">
        <v>18000</v>
      </c>
      <c r="W302" s="466">
        <v>0</v>
      </c>
      <c r="X302" s="467">
        <v>1</v>
      </c>
      <c r="Y302" s="466">
        <v>30348</v>
      </c>
      <c r="Z302" s="468" t="s">
        <v>516</v>
      </c>
      <c r="AA302" s="466">
        <v>115776</v>
      </c>
      <c r="AB302" s="466">
        <v>115776</v>
      </c>
      <c r="AC302" s="467">
        <v>0</v>
      </c>
      <c r="AD302" s="466">
        <v>0</v>
      </c>
      <c r="AE302" s="468" t="s">
        <v>516</v>
      </c>
      <c r="AF302" s="466">
        <v>0</v>
      </c>
      <c r="AG302" s="466">
        <v>0</v>
      </c>
      <c r="AH302" s="466">
        <v>24510.62</v>
      </c>
      <c r="AI302" s="466">
        <v>11022.93</v>
      </c>
      <c r="AJ302" s="469" t="s">
        <v>1674</v>
      </c>
      <c r="AK302" s="470" t="s">
        <v>518</v>
      </c>
      <c r="AL302" s="471" t="s">
        <v>3704</v>
      </c>
      <c r="AM302" s="470" t="s">
        <v>12826</v>
      </c>
      <c r="AN302" s="470" t="s">
        <v>3701</v>
      </c>
      <c r="AO302" s="470" t="s">
        <v>14983</v>
      </c>
      <c r="AP302" s="470" t="s">
        <v>3705</v>
      </c>
      <c r="AQ302" s="470" t="s">
        <v>3699</v>
      </c>
      <c r="AR302" s="472" t="s">
        <v>515</v>
      </c>
      <c r="AS302" s="473" t="s">
        <v>1385</v>
      </c>
      <c r="AT302" s="472" t="s">
        <v>1390</v>
      </c>
      <c r="AU302" s="472" t="s">
        <v>420</v>
      </c>
      <c r="AV302" s="472">
        <v>2020</v>
      </c>
      <c r="AW302" s="474" t="s">
        <v>15078</v>
      </c>
      <c r="AX302" s="475" t="s">
        <v>15079</v>
      </c>
      <c r="AY302" s="515">
        <v>1</v>
      </c>
      <c r="AZ302" s="474" t="s">
        <v>15079</v>
      </c>
      <c r="BA302" s="472" t="s">
        <v>1390</v>
      </c>
      <c r="BB302" s="472" t="s">
        <v>1385</v>
      </c>
      <c r="BC302" s="472" t="s">
        <v>1385</v>
      </c>
      <c r="BD302" s="472" t="s">
        <v>1385</v>
      </c>
      <c r="BE302" s="472" t="s">
        <v>1385</v>
      </c>
      <c r="BF302" s="472">
        <v>30348</v>
      </c>
      <c r="BG302" s="472">
        <v>0</v>
      </c>
      <c r="BH302" s="472" t="s">
        <v>1385</v>
      </c>
      <c r="BI302" s="510">
        <v>0</v>
      </c>
      <c r="BJ302" s="510">
        <v>1731.2</v>
      </c>
      <c r="BK302" s="510">
        <v>0</v>
      </c>
      <c r="BL302" s="510">
        <v>0</v>
      </c>
      <c r="BM302" s="510">
        <v>0</v>
      </c>
      <c r="BN302" s="510">
        <v>5000</v>
      </c>
      <c r="BO302" s="510">
        <v>0</v>
      </c>
      <c r="BP302" s="510">
        <v>0</v>
      </c>
      <c r="BQ302" s="510">
        <v>0</v>
      </c>
      <c r="BR302" s="510">
        <v>0</v>
      </c>
      <c r="BS302" s="510">
        <v>0</v>
      </c>
      <c r="BT302" s="510">
        <v>0</v>
      </c>
      <c r="BU302" s="510">
        <v>0</v>
      </c>
      <c r="BV302" s="510">
        <v>0</v>
      </c>
      <c r="BW302" s="510">
        <v>0</v>
      </c>
      <c r="BX302" s="510">
        <v>30000</v>
      </c>
      <c r="BY302" s="1011">
        <v>0</v>
      </c>
      <c r="BZ302" s="510">
        <v>0</v>
      </c>
      <c r="CA302" s="1011">
        <v>0</v>
      </c>
      <c r="CB302" s="510">
        <v>0</v>
      </c>
      <c r="CC302" s="1011">
        <v>0</v>
      </c>
      <c r="CD302" s="510">
        <v>0</v>
      </c>
      <c r="CE302" s="1011">
        <v>0</v>
      </c>
      <c r="CF302" s="510">
        <v>55428</v>
      </c>
      <c r="CG302" s="1011">
        <v>0</v>
      </c>
      <c r="CH302" s="510">
        <v>0</v>
      </c>
      <c r="CI302" s="1011">
        <v>0</v>
      </c>
    </row>
    <row r="303" spans="1:87" x14ac:dyDescent="0.2">
      <c r="A303" s="449">
        <v>54</v>
      </c>
      <c r="B303" s="453">
        <v>19347</v>
      </c>
      <c r="C303" s="454" t="s">
        <v>3706</v>
      </c>
      <c r="D303" s="454" t="s">
        <v>517</v>
      </c>
      <c r="E303" s="454" t="s">
        <v>3707</v>
      </c>
      <c r="F303" s="454" t="s">
        <v>528</v>
      </c>
      <c r="G303" s="454" t="s">
        <v>12827</v>
      </c>
      <c r="H303" s="455">
        <v>10644858000142</v>
      </c>
      <c r="I303" s="462">
        <v>39666</v>
      </c>
      <c r="J303" s="457">
        <v>39464474</v>
      </c>
      <c r="K303" s="454" t="s">
        <v>3708</v>
      </c>
      <c r="L303" s="458" t="s">
        <v>1446</v>
      </c>
      <c r="M303" s="454" t="s">
        <v>2241</v>
      </c>
      <c r="N303" s="459">
        <v>5208110</v>
      </c>
      <c r="O303" s="460">
        <v>39173440</v>
      </c>
      <c r="P303" s="462">
        <v>270531</v>
      </c>
      <c r="Q303" s="462">
        <v>54</v>
      </c>
      <c r="R303" s="462">
        <v>43938</v>
      </c>
      <c r="S303" s="463">
        <v>498</v>
      </c>
      <c r="T303" s="464">
        <v>5.4</v>
      </c>
      <c r="U303" s="465">
        <v>2689.2</v>
      </c>
      <c r="V303" s="465">
        <v>15480</v>
      </c>
      <c r="W303" s="466">
        <v>0</v>
      </c>
      <c r="X303" s="467">
        <v>1</v>
      </c>
      <c r="Y303" s="466">
        <v>27253.8</v>
      </c>
      <c r="Z303" s="468" t="s">
        <v>516</v>
      </c>
      <c r="AA303" s="466">
        <v>118864.6</v>
      </c>
      <c r="AB303" s="466">
        <v>118864.6</v>
      </c>
      <c r="AC303" s="467">
        <v>0</v>
      </c>
      <c r="AD303" s="466">
        <v>0</v>
      </c>
      <c r="AE303" s="468" t="s">
        <v>516</v>
      </c>
      <c r="AF303" s="466">
        <v>2000</v>
      </c>
      <c r="AG303" s="466">
        <v>2000</v>
      </c>
      <c r="AH303" s="466">
        <v>23148.46</v>
      </c>
      <c r="AI303" s="466">
        <v>6000.58</v>
      </c>
      <c r="AJ303" s="469" t="s">
        <v>2242</v>
      </c>
      <c r="AK303" s="470" t="s">
        <v>2241</v>
      </c>
      <c r="AL303" s="471" t="s">
        <v>3709</v>
      </c>
      <c r="AM303" s="470" t="s">
        <v>3710</v>
      </c>
      <c r="AN303" s="470" t="s">
        <v>3711</v>
      </c>
      <c r="AO303" s="470" t="s">
        <v>3712</v>
      </c>
      <c r="AP303" s="470" t="s">
        <v>2519</v>
      </c>
      <c r="AQ303" s="470" t="s">
        <v>3706</v>
      </c>
      <c r="AR303" s="472" t="s">
        <v>515</v>
      </c>
      <c r="AS303" s="473" t="s">
        <v>1385</v>
      </c>
      <c r="AT303" s="472" t="s">
        <v>517</v>
      </c>
      <c r="AU303" s="472" t="s">
        <v>420</v>
      </c>
      <c r="AV303" s="472">
        <v>2020</v>
      </c>
      <c r="AW303" s="474" t="s">
        <v>15078</v>
      </c>
      <c r="AX303" s="475" t="s">
        <v>15079</v>
      </c>
      <c r="AY303" s="515">
        <v>1</v>
      </c>
      <c r="AZ303" s="474" t="s">
        <v>15079</v>
      </c>
      <c r="BA303" s="472" t="s">
        <v>517</v>
      </c>
      <c r="BB303" s="472" t="s">
        <v>1385</v>
      </c>
      <c r="BC303" s="472" t="s">
        <v>1385</v>
      </c>
      <c r="BD303" s="472" t="s">
        <v>1385</v>
      </c>
      <c r="BE303" s="472" t="s">
        <v>1385</v>
      </c>
      <c r="BF303" s="472">
        <v>27253.8</v>
      </c>
      <c r="BG303" s="472">
        <v>0</v>
      </c>
      <c r="BH303" s="472" t="s">
        <v>1385</v>
      </c>
      <c r="BI303" s="510">
        <v>0</v>
      </c>
      <c r="BJ303" s="510">
        <v>0</v>
      </c>
      <c r="BK303" s="510">
        <v>0</v>
      </c>
      <c r="BL303" s="510">
        <v>0</v>
      </c>
      <c r="BM303" s="510">
        <v>0</v>
      </c>
      <c r="BN303" s="510">
        <v>3500</v>
      </c>
      <c r="BO303" s="510">
        <v>0</v>
      </c>
      <c r="BP303" s="510">
        <v>2000</v>
      </c>
      <c r="BQ303" s="510">
        <v>0</v>
      </c>
      <c r="BR303" s="510">
        <v>0</v>
      </c>
      <c r="BS303" s="510">
        <v>0</v>
      </c>
      <c r="BT303" s="510">
        <v>0</v>
      </c>
      <c r="BU303" s="510">
        <v>2500</v>
      </c>
      <c r="BV303" s="510">
        <v>2500</v>
      </c>
      <c r="BW303" s="510">
        <v>0</v>
      </c>
      <c r="BX303" s="510">
        <v>30000</v>
      </c>
      <c r="BY303" s="1011">
        <v>0</v>
      </c>
      <c r="BZ303" s="510">
        <v>0</v>
      </c>
      <c r="CA303" s="1011">
        <v>0</v>
      </c>
      <c r="CB303" s="510">
        <v>22000</v>
      </c>
      <c r="CC303" s="1011">
        <v>0</v>
      </c>
      <c r="CD303" s="510">
        <v>0</v>
      </c>
      <c r="CE303" s="1011">
        <v>0</v>
      </c>
      <c r="CF303" s="510">
        <v>39610.800000000003</v>
      </c>
      <c r="CG303" s="1011">
        <v>0</v>
      </c>
      <c r="CH303" s="510">
        <v>0</v>
      </c>
      <c r="CI303" s="1011">
        <v>0</v>
      </c>
    </row>
    <row r="304" spans="1:87" x14ac:dyDescent="0.2">
      <c r="A304" s="449">
        <v>72</v>
      </c>
      <c r="B304" s="453">
        <v>19348</v>
      </c>
      <c r="C304" s="454" t="s">
        <v>3713</v>
      </c>
      <c r="D304" s="454" t="s">
        <v>517</v>
      </c>
      <c r="E304" s="454" t="s">
        <v>3713</v>
      </c>
      <c r="F304" s="454" t="s">
        <v>520</v>
      </c>
      <c r="G304" s="454" t="s">
        <v>12828</v>
      </c>
      <c r="H304" s="455">
        <v>3778499000150</v>
      </c>
      <c r="I304" s="462">
        <v>36640</v>
      </c>
      <c r="J304" s="457">
        <v>37620045</v>
      </c>
      <c r="K304" s="454" t="s">
        <v>3715</v>
      </c>
      <c r="L304" s="458" t="s">
        <v>1446</v>
      </c>
      <c r="M304" s="454" t="s">
        <v>3716</v>
      </c>
      <c r="N304" s="459">
        <v>5854080</v>
      </c>
      <c r="O304" s="460">
        <v>58127374</v>
      </c>
      <c r="P304" s="462">
        <v>300988</v>
      </c>
      <c r="Q304" s="462">
        <v>137</v>
      </c>
      <c r="R304" s="462">
        <v>43969</v>
      </c>
      <c r="S304" s="463">
        <v>606</v>
      </c>
      <c r="T304" s="464">
        <v>5.4</v>
      </c>
      <c r="U304" s="465">
        <v>3272.4</v>
      </c>
      <c r="V304" s="465">
        <v>17100</v>
      </c>
      <c r="W304" s="466">
        <v>0</v>
      </c>
      <c r="X304" s="467">
        <v>1</v>
      </c>
      <c r="Y304" s="466">
        <v>30558.6</v>
      </c>
      <c r="Z304" s="468" t="s">
        <v>516</v>
      </c>
      <c r="AA304" s="466">
        <v>123768.6</v>
      </c>
      <c r="AB304" s="466">
        <v>123768.6</v>
      </c>
      <c r="AC304" s="467">
        <v>0</v>
      </c>
      <c r="AD304" s="466">
        <v>0</v>
      </c>
      <c r="AE304" s="468" t="s">
        <v>516</v>
      </c>
      <c r="AF304" s="466">
        <v>1200</v>
      </c>
      <c r="AG304" s="466">
        <v>1200</v>
      </c>
      <c r="AH304" s="466">
        <v>16297.92</v>
      </c>
      <c r="AI304" s="466">
        <v>8055.69</v>
      </c>
      <c r="AJ304" s="469" t="s">
        <v>1515</v>
      </c>
      <c r="AK304" s="470" t="s">
        <v>1516</v>
      </c>
      <c r="AL304" s="471" t="s">
        <v>3717</v>
      </c>
      <c r="AM304" s="470" t="s">
        <v>3718</v>
      </c>
      <c r="AN304" s="470" t="s">
        <v>3714</v>
      </c>
      <c r="AO304" s="470" t="s">
        <v>3719</v>
      </c>
      <c r="AP304" s="470" t="s">
        <v>3720</v>
      </c>
      <c r="AQ304" s="470" t="s">
        <v>3713</v>
      </c>
      <c r="AR304" s="472" t="s">
        <v>515</v>
      </c>
      <c r="AS304" s="473" t="s">
        <v>1385</v>
      </c>
      <c r="AT304" s="472" t="s">
        <v>517</v>
      </c>
      <c r="AU304" s="472" t="s">
        <v>420</v>
      </c>
      <c r="AV304" s="472">
        <v>2020</v>
      </c>
      <c r="AW304" s="474" t="s">
        <v>15078</v>
      </c>
      <c r="AX304" s="475" t="s">
        <v>15079</v>
      </c>
      <c r="AY304" s="515">
        <v>1</v>
      </c>
      <c r="AZ304" s="474" t="s">
        <v>15079</v>
      </c>
      <c r="BA304" s="472" t="s">
        <v>517</v>
      </c>
      <c r="BB304" s="472" t="s">
        <v>1385</v>
      </c>
      <c r="BC304" s="472" t="s">
        <v>1385</v>
      </c>
      <c r="BD304" s="472" t="s">
        <v>1385</v>
      </c>
      <c r="BE304" s="472" t="s">
        <v>1385</v>
      </c>
      <c r="BF304" s="472">
        <v>30558.6</v>
      </c>
      <c r="BG304" s="472">
        <v>0</v>
      </c>
      <c r="BH304" s="472" t="s">
        <v>1385</v>
      </c>
      <c r="BI304" s="510">
        <v>0</v>
      </c>
      <c r="BJ304" s="510">
        <v>0</v>
      </c>
      <c r="BK304" s="510">
        <v>0</v>
      </c>
      <c r="BL304" s="510">
        <v>3500</v>
      </c>
      <c r="BM304" s="510">
        <v>0</v>
      </c>
      <c r="BN304" s="510">
        <v>3500</v>
      </c>
      <c r="BO304" s="510">
        <v>800</v>
      </c>
      <c r="BP304" s="510">
        <v>1200</v>
      </c>
      <c r="BQ304" s="510">
        <v>0</v>
      </c>
      <c r="BR304" s="510">
        <v>0</v>
      </c>
      <c r="BS304" s="510">
        <v>0</v>
      </c>
      <c r="BT304" s="510">
        <v>0</v>
      </c>
      <c r="BU304" s="510">
        <v>2500</v>
      </c>
      <c r="BV304" s="510">
        <v>2500</v>
      </c>
      <c r="BW304" s="510">
        <v>0</v>
      </c>
      <c r="BX304" s="510">
        <v>30000</v>
      </c>
      <c r="BY304" s="1011">
        <v>0</v>
      </c>
      <c r="BZ304" s="510">
        <v>0</v>
      </c>
      <c r="CA304" s="1011">
        <v>0</v>
      </c>
      <c r="CB304" s="510">
        <v>22000</v>
      </c>
      <c r="CC304" s="1011">
        <v>0</v>
      </c>
      <c r="CD304" s="510">
        <v>0</v>
      </c>
      <c r="CE304" s="1011">
        <v>0</v>
      </c>
      <c r="CF304" s="510">
        <v>40410</v>
      </c>
      <c r="CG304" s="1011">
        <v>0</v>
      </c>
      <c r="CH304" s="510">
        <v>0</v>
      </c>
      <c r="CI304" s="1011">
        <v>0</v>
      </c>
    </row>
    <row r="305" spans="1:87" x14ac:dyDescent="0.2">
      <c r="A305" s="449">
        <v>34</v>
      </c>
      <c r="B305" s="453">
        <v>19349</v>
      </c>
      <c r="C305" s="454" t="s">
        <v>3721</v>
      </c>
      <c r="D305" s="454" t="s">
        <v>517</v>
      </c>
      <c r="E305" s="454" t="s">
        <v>3722</v>
      </c>
      <c r="F305" s="454" t="s">
        <v>522</v>
      </c>
      <c r="G305" s="454" t="s">
        <v>12829</v>
      </c>
      <c r="H305" s="455">
        <v>10861711000104</v>
      </c>
      <c r="I305" s="462">
        <v>39955</v>
      </c>
      <c r="J305" s="457">
        <v>39395650</v>
      </c>
      <c r="K305" s="454" t="s">
        <v>3723</v>
      </c>
      <c r="L305" s="458">
        <v>4798</v>
      </c>
      <c r="M305" s="454" t="s">
        <v>3724</v>
      </c>
      <c r="N305" s="459">
        <v>2860001</v>
      </c>
      <c r="O305" s="460">
        <v>39796127</v>
      </c>
      <c r="P305" s="462">
        <v>97252</v>
      </c>
      <c r="Q305" s="462">
        <v>67</v>
      </c>
      <c r="R305" s="462">
        <v>43911</v>
      </c>
      <c r="S305" s="463">
        <v>673</v>
      </c>
      <c r="T305" s="464">
        <v>5.4</v>
      </c>
      <c r="U305" s="465">
        <v>3634.2</v>
      </c>
      <c r="V305" s="465">
        <v>17100</v>
      </c>
      <c r="W305" s="466">
        <v>0</v>
      </c>
      <c r="X305" s="467">
        <v>1</v>
      </c>
      <c r="Y305" s="466">
        <v>31101.3</v>
      </c>
      <c r="Z305" s="468" t="s">
        <v>516</v>
      </c>
      <c r="AA305" s="466">
        <v>124645.3</v>
      </c>
      <c r="AB305" s="466">
        <v>124645.3</v>
      </c>
      <c r="AC305" s="467">
        <v>0</v>
      </c>
      <c r="AD305" s="466">
        <v>0</v>
      </c>
      <c r="AE305" s="468" t="s">
        <v>516</v>
      </c>
      <c r="AF305" s="466">
        <v>0</v>
      </c>
      <c r="AG305" s="466">
        <v>0</v>
      </c>
      <c r="AH305" s="466">
        <v>403.38</v>
      </c>
      <c r="AI305" s="466">
        <v>47.56</v>
      </c>
      <c r="AJ305" s="469" t="s">
        <v>1438</v>
      </c>
      <c r="AK305" s="470" t="s">
        <v>12345</v>
      </c>
      <c r="AL305" s="471" t="s">
        <v>3725</v>
      </c>
      <c r="AM305" s="470" t="s">
        <v>3726</v>
      </c>
      <c r="AN305" s="470" t="s">
        <v>1385</v>
      </c>
      <c r="AO305" s="470" t="s">
        <v>12830</v>
      </c>
      <c r="AP305" s="470" t="s">
        <v>3727</v>
      </c>
      <c r="AQ305" s="470" t="s">
        <v>3721</v>
      </c>
      <c r="AR305" s="472" t="s">
        <v>515</v>
      </c>
      <c r="AS305" s="473" t="s">
        <v>1385</v>
      </c>
      <c r="AT305" s="472" t="s">
        <v>517</v>
      </c>
      <c r="AU305" s="472" t="s">
        <v>420</v>
      </c>
      <c r="AV305" s="472">
        <v>2020</v>
      </c>
      <c r="AW305" s="474" t="s">
        <v>15078</v>
      </c>
      <c r="AX305" s="475" t="s">
        <v>15079</v>
      </c>
      <c r="AY305" s="515">
        <v>1</v>
      </c>
      <c r="AZ305" s="474" t="s">
        <v>15079</v>
      </c>
      <c r="BA305" s="472" t="s">
        <v>517</v>
      </c>
      <c r="BB305" s="472" t="s">
        <v>1385</v>
      </c>
      <c r="BC305" s="472" t="s">
        <v>1385</v>
      </c>
      <c r="BD305" s="472" t="s">
        <v>1385</v>
      </c>
      <c r="BE305" s="472" t="s">
        <v>1385</v>
      </c>
      <c r="BF305" s="472">
        <v>31101.3</v>
      </c>
      <c r="BG305" s="472">
        <v>0</v>
      </c>
      <c r="BH305" s="472" t="s">
        <v>1385</v>
      </c>
      <c r="BI305" s="510">
        <v>0</v>
      </c>
      <c r="BJ305" s="510">
        <v>0</v>
      </c>
      <c r="BK305" s="510">
        <v>0</v>
      </c>
      <c r="BL305" s="510">
        <v>0</v>
      </c>
      <c r="BM305" s="510">
        <v>0</v>
      </c>
      <c r="BN305" s="510">
        <v>0</v>
      </c>
      <c r="BO305" s="510">
        <v>0</v>
      </c>
      <c r="BP305" s="510">
        <v>0</v>
      </c>
      <c r="BQ305" s="510">
        <v>0</v>
      </c>
      <c r="BR305" s="510">
        <v>0</v>
      </c>
      <c r="BS305" s="510">
        <v>0</v>
      </c>
      <c r="BT305" s="510">
        <v>0</v>
      </c>
      <c r="BU305" s="510">
        <v>2500</v>
      </c>
      <c r="BV305" s="510">
        <v>2500</v>
      </c>
      <c r="BW305" s="510">
        <v>0</v>
      </c>
      <c r="BX305" s="510">
        <v>30000</v>
      </c>
      <c r="BY305" s="1011">
        <v>0</v>
      </c>
      <c r="BZ305" s="510">
        <v>0</v>
      </c>
      <c r="CA305" s="1011">
        <v>0</v>
      </c>
      <c r="CB305" s="510">
        <v>22000</v>
      </c>
      <c r="CC305" s="1011">
        <v>0</v>
      </c>
      <c r="CD305" s="510">
        <v>0</v>
      </c>
      <c r="CE305" s="1011">
        <v>0</v>
      </c>
      <c r="CF305" s="510">
        <v>41544</v>
      </c>
      <c r="CG305" s="1011">
        <v>0</v>
      </c>
      <c r="CH305" s="510">
        <v>0</v>
      </c>
      <c r="CI305" s="1011">
        <v>0</v>
      </c>
    </row>
    <row r="306" spans="1:87" x14ac:dyDescent="0.2">
      <c r="A306" s="449">
        <v>38</v>
      </c>
      <c r="B306" s="453">
        <v>19350</v>
      </c>
      <c r="C306" s="454" t="s">
        <v>3728</v>
      </c>
      <c r="D306" s="454" t="s">
        <v>517</v>
      </c>
      <c r="E306" s="454" t="s">
        <v>3729</v>
      </c>
      <c r="F306" s="454" t="s">
        <v>522</v>
      </c>
      <c r="G306" s="454" t="s">
        <v>12831</v>
      </c>
      <c r="H306" s="455">
        <v>10555881000160</v>
      </c>
      <c r="I306" s="462">
        <v>39805</v>
      </c>
      <c r="J306" s="457">
        <v>38527243</v>
      </c>
      <c r="K306" s="454" t="s">
        <v>1988</v>
      </c>
      <c r="L306" s="458" t="s">
        <v>1446</v>
      </c>
      <c r="M306" s="454" t="s">
        <v>3730</v>
      </c>
      <c r="N306" s="459">
        <v>2875020</v>
      </c>
      <c r="O306" s="460">
        <v>39834735</v>
      </c>
      <c r="P306" s="462">
        <v>77162</v>
      </c>
      <c r="Q306" s="462">
        <v>71</v>
      </c>
      <c r="R306" s="462">
        <v>43936</v>
      </c>
      <c r="S306" s="463">
        <v>959</v>
      </c>
      <c r="T306" s="464">
        <v>5.4</v>
      </c>
      <c r="U306" s="465">
        <v>5178.6000000000004</v>
      </c>
      <c r="V306" s="465">
        <v>20340</v>
      </c>
      <c r="W306" s="466">
        <v>0</v>
      </c>
      <c r="X306" s="467">
        <v>1</v>
      </c>
      <c r="Y306" s="466">
        <v>38277.9</v>
      </c>
      <c r="Z306" s="468" t="s">
        <v>516</v>
      </c>
      <c r="AA306" s="466">
        <v>141174.70000000001</v>
      </c>
      <c r="AB306" s="466">
        <v>141174.70000000001</v>
      </c>
      <c r="AC306" s="467">
        <v>0</v>
      </c>
      <c r="AD306" s="466">
        <v>0</v>
      </c>
      <c r="AE306" s="468" t="s">
        <v>516</v>
      </c>
      <c r="AF306" s="466">
        <v>2000</v>
      </c>
      <c r="AG306" s="466">
        <v>2000</v>
      </c>
      <c r="AH306" s="466">
        <v>9348.75</v>
      </c>
      <c r="AI306" s="466">
        <v>13851.98</v>
      </c>
      <c r="AJ306" s="469" t="s">
        <v>1438</v>
      </c>
      <c r="AK306" s="470" t="s">
        <v>12345</v>
      </c>
      <c r="AL306" s="471" t="s">
        <v>12832</v>
      </c>
      <c r="AM306" s="470" t="s">
        <v>3731</v>
      </c>
      <c r="AN306" s="470" t="s">
        <v>1385</v>
      </c>
      <c r="AO306" s="470" t="s">
        <v>3732</v>
      </c>
      <c r="AP306" s="470" t="s">
        <v>3733</v>
      </c>
      <c r="AQ306" s="470" t="s">
        <v>3728</v>
      </c>
      <c r="AR306" s="472" t="s">
        <v>515</v>
      </c>
      <c r="AS306" s="473" t="s">
        <v>1385</v>
      </c>
      <c r="AT306" s="472" t="s">
        <v>517</v>
      </c>
      <c r="AU306" s="472" t="s">
        <v>420</v>
      </c>
      <c r="AV306" s="472">
        <v>2020</v>
      </c>
      <c r="AW306" s="474" t="s">
        <v>15078</v>
      </c>
      <c r="AX306" s="475" t="s">
        <v>15079</v>
      </c>
      <c r="AY306" s="515">
        <v>1</v>
      </c>
      <c r="AZ306" s="474" t="s">
        <v>15079</v>
      </c>
      <c r="BA306" s="472" t="s">
        <v>517</v>
      </c>
      <c r="BB306" s="472" t="s">
        <v>1385</v>
      </c>
      <c r="BC306" s="472" t="s">
        <v>1385</v>
      </c>
      <c r="BD306" s="472" t="s">
        <v>1385</v>
      </c>
      <c r="BE306" s="472" t="s">
        <v>1385</v>
      </c>
      <c r="BF306" s="472">
        <v>38277.9</v>
      </c>
      <c r="BG306" s="472">
        <v>0</v>
      </c>
      <c r="BH306" s="472" t="s">
        <v>1385</v>
      </c>
      <c r="BI306" s="510">
        <v>0</v>
      </c>
      <c r="BJ306" s="510">
        <v>0</v>
      </c>
      <c r="BK306" s="510">
        <v>0</v>
      </c>
      <c r="BL306" s="510">
        <v>0</v>
      </c>
      <c r="BM306" s="510">
        <v>0</v>
      </c>
      <c r="BN306" s="510">
        <v>5000</v>
      </c>
      <c r="BO306" s="510">
        <v>0</v>
      </c>
      <c r="BP306" s="510">
        <v>2000</v>
      </c>
      <c r="BQ306" s="510">
        <v>0</v>
      </c>
      <c r="BR306" s="510">
        <v>0</v>
      </c>
      <c r="BS306" s="510">
        <v>0</v>
      </c>
      <c r="BT306" s="510">
        <v>0</v>
      </c>
      <c r="BU306" s="510">
        <v>2500</v>
      </c>
      <c r="BV306" s="510">
        <v>2500</v>
      </c>
      <c r="BW306" s="510">
        <v>0</v>
      </c>
      <c r="BX306" s="510">
        <v>30000</v>
      </c>
      <c r="BY306" s="1011">
        <v>0</v>
      </c>
      <c r="BZ306" s="510">
        <v>0</v>
      </c>
      <c r="CA306" s="1011">
        <v>0</v>
      </c>
      <c r="CB306" s="510">
        <v>22000</v>
      </c>
      <c r="CC306" s="1011">
        <v>0</v>
      </c>
      <c r="CD306" s="510">
        <v>0</v>
      </c>
      <c r="CE306" s="1011">
        <v>0</v>
      </c>
      <c r="CF306" s="510">
        <v>50896.800000000003</v>
      </c>
      <c r="CG306" s="1011">
        <v>0</v>
      </c>
      <c r="CH306" s="510">
        <v>0</v>
      </c>
      <c r="CI306" s="1011">
        <v>0</v>
      </c>
    </row>
    <row r="307" spans="1:87" x14ac:dyDescent="0.2">
      <c r="A307" s="449">
        <v>65</v>
      </c>
      <c r="B307" s="453">
        <v>19351</v>
      </c>
      <c r="C307" s="454" t="s">
        <v>3734</v>
      </c>
      <c r="D307" s="454" t="s">
        <v>517</v>
      </c>
      <c r="E307" s="454" t="s">
        <v>3735</v>
      </c>
      <c r="F307" s="454" t="s">
        <v>528</v>
      </c>
      <c r="G307" s="454" t="s">
        <v>12833</v>
      </c>
      <c r="H307" s="455">
        <v>10757949000194</v>
      </c>
      <c r="I307" s="462">
        <v>39911</v>
      </c>
      <c r="J307" s="457">
        <v>41777603</v>
      </c>
      <c r="K307" s="454" t="s">
        <v>3737</v>
      </c>
      <c r="L307" s="458">
        <v>1</v>
      </c>
      <c r="M307" s="454" t="s">
        <v>3738</v>
      </c>
      <c r="N307" s="459">
        <v>5273140</v>
      </c>
      <c r="O307" s="460">
        <v>39163375</v>
      </c>
      <c r="P307" s="462">
        <v>263993</v>
      </c>
      <c r="Q307" s="462">
        <v>65</v>
      </c>
      <c r="R307" s="462">
        <v>43938</v>
      </c>
      <c r="S307" s="463">
        <v>945</v>
      </c>
      <c r="T307" s="464">
        <v>5.4</v>
      </c>
      <c r="U307" s="465">
        <v>5103</v>
      </c>
      <c r="V307" s="465">
        <v>20340</v>
      </c>
      <c r="W307" s="466">
        <v>0</v>
      </c>
      <c r="X307" s="467">
        <v>1</v>
      </c>
      <c r="Y307" s="466">
        <v>38164.5</v>
      </c>
      <c r="Z307" s="468" t="s">
        <v>516</v>
      </c>
      <c r="AA307" s="466">
        <v>141223.29999999999</v>
      </c>
      <c r="AB307" s="466">
        <v>141223.29999999999</v>
      </c>
      <c r="AC307" s="467">
        <v>0</v>
      </c>
      <c r="AD307" s="466">
        <v>0</v>
      </c>
      <c r="AE307" s="468" t="s">
        <v>516</v>
      </c>
      <c r="AF307" s="466">
        <v>2000</v>
      </c>
      <c r="AG307" s="466">
        <v>2000</v>
      </c>
      <c r="AH307" s="466">
        <v>20761.009999999998</v>
      </c>
      <c r="AI307" s="466">
        <v>6247.48</v>
      </c>
      <c r="AJ307" s="469" t="s">
        <v>3502</v>
      </c>
      <c r="AK307" s="470" t="s">
        <v>2241</v>
      </c>
      <c r="AL307" s="471" t="s">
        <v>3739</v>
      </c>
      <c r="AM307" s="470" t="s">
        <v>3740</v>
      </c>
      <c r="AN307" s="470" t="s">
        <v>3736</v>
      </c>
      <c r="AO307" s="470" t="s">
        <v>3741</v>
      </c>
      <c r="AP307" s="470" t="s">
        <v>3742</v>
      </c>
      <c r="AQ307" s="470" t="s">
        <v>3734</v>
      </c>
      <c r="AR307" s="472" t="s">
        <v>515</v>
      </c>
      <c r="AS307" s="473" t="s">
        <v>1385</v>
      </c>
      <c r="AT307" s="472" t="s">
        <v>517</v>
      </c>
      <c r="AU307" s="472" t="s">
        <v>420</v>
      </c>
      <c r="AV307" s="472">
        <v>2020</v>
      </c>
      <c r="AW307" s="474" t="s">
        <v>15078</v>
      </c>
      <c r="AX307" s="475" t="s">
        <v>15079</v>
      </c>
      <c r="AY307" s="515">
        <v>1</v>
      </c>
      <c r="AZ307" s="474" t="s">
        <v>15079</v>
      </c>
      <c r="BA307" s="472" t="s">
        <v>517</v>
      </c>
      <c r="BB307" s="472" t="s">
        <v>1385</v>
      </c>
      <c r="BC307" s="472" t="s">
        <v>1385</v>
      </c>
      <c r="BD307" s="472" t="s">
        <v>1385</v>
      </c>
      <c r="BE307" s="472" t="s">
        <v>1385</v>
      </c>
      <c r="BF307" s="472">
        <v>38164.5</v>
      </c>
      <c r="BG307" s="472">
        <v>0</v>
      </c>
      <c r="BH307" s="472" t="s">
        <v>1385</v>
      </c>
      <c r="BI307" s="510">
        <v>0</v>
      </c>
      <c r="BJ307" s="510">
        <v>0</v>
      </c>
      <c r="BK307" s="510">
        <v>0</v>
      </c>
      <c r="BL307" s="510">
        <v>0</v>
      </c>
      <c r="BM307" s="510">
        <v>0</v>
      </c>
      <c r="BN307" s="510">
        <v>5000</v>
      </c>
      <c r="BO307" s="510">
        <v>0</v>
      </c>
      <c r="BP307" s="510">
        <v>2000</v>
      </c>
      <c r="BQ307" s="510">
        <v>0</v>
      </c>
      <c r="BR307" s="510">
        <v>0</v>
      </c>
      <c r="BS307" s="510">
        <v>0</v>
      </c>
      <c r="BT307" s="510">
        <v>0</v>
      </c>
      <c r="BU307" s="510">
        <v>2500</v>
      </c>
      <c r="BV307" s="510">
        <v>2500</v>
      </c>
      <c r="BW307" s="510">
        <v>0</v>
      </c>
      <c r="BX307" s="510">
        <v>30000</v>
      </c>
      <c r="BY307" s="1011">
        <v>0</v>
      </c>
      <c r="BZ307" s="510">
        <v>0</v>
      </c>
      <c r="CA307" s="1011">
        <v>0</v>
      </c>
      <c r="CB307" s="510">
        <v>22000</v>
      </c>
      <c r="CC307" s="1011">
        <v>0</v>
      </c>
      <c r="CD307" s="510">
        <v>0</v>
      </c>
      <c r="CE307" s="1011">
        <v>0</v>
      </c>
      <c r="CF307" s="510">
        <v>51058.8</v>
      </c>
      <c r="CG307" s="1011">
        <v>0</v>
      </c>
      <c r="CH307" s="510">
        <v>0</v>
      </c>
      <c r="CI307" s="1011">
        <v>0</v>
      </c>
    </row>
    <row r="308" spans="1:87" x14ac:dyDescent="0.2">
      <c r="A308" s="449">
        <v>166</v>
      </c>
      <c r="B308" s="453">
        <v>19352</v>
      </c>
      <c r="C308" s="454" t="s">
        <v>3743</v>
      </c>
      <c r="D308" s="454" t="s">
        <v>2000</v>
      </c>
      <c r="E308" s="454" t="s">
        <v>3744</v>
      </c>
      <c r="F308" s="454" t="s">
        <v>520</v>
      </c>
      <c r="G308" s="454" t="s">
        <v>12834</v>
      </c>
      <c r="H308" s="455">
        <v>10440379000104</v>
      </c>
      <c r="I308" s="462">
        <v>39644</v>
      </c>
      <c r="J308" s="457">
        <v>45307717</v>
      </c>
      <c r="K308" s="454" t="s">
        <v>3746</v>
      </c>
      <c r="L308" s="458">
        <v>1120</v>
      </c>
      <c r="M308" s="454" t="s">
        <v>3747</v>
      </c>
      <c r="N308" s="459">
        <v>4941175</v>
      </c>
      <c r="O308" s="460">
        <v>33979652</v>
      </c>
      <c r="P308" s="462">
        <v>578447</v>
      </c>
      <c r="Q308" s="462">
        <v>112</v>
      </c>
      <c r="R308" s="462">
        <v>43983</v>
      </c>
      <c r="S308" s="463">
        <v>486</v>
      </c>
      <c r="T308" s="464">
        <v>3.6</v>
      </c>
      <c r="U308" s="465">
        <v>1749.6</v>
      </c>
      <c r="V308" s="465">
        <v>15120</v>
      </c>
      <c r="W308" s="466">
        <v>0</v>
      </c>
      <c r="X308" s="467">
        <v>1</v>
      </c>
      <c r="Y308" s="466">
        <v>25304.400000000001</v>
      </c>
      <c r="Z308" s="468" t="s">
        <v>516</v>
      </c>
      <c r="AA308" s="466">
        <v>104014.8</v>
      </c>
      <c r="AB308" s="466">
        <v>104014.8</v>
      </c>
      <c r="AC308" s="467">
        <v>0</v>
      </c>
      <c r="AD308" s="466">
        <v>0</v>
      </c>
      <c r="AE308" s="468" t="s">
        <v>516</v>
      </c>
      <c r="AF308" s="466">
        <v>0</v>
      </c>
      <c r="AG308" s="466">
        <v>0</v>
      </c>
      <c r="AH308" s="466">
        <v>19043.18</v>
      </c>
      <c r="AI308" s="466">
        <v>20401.919999999998</v>
      </c>
      <c r="AJ308" s="469" t="s">
        <v>2755</v>
      </c>
      <c r="AK308" s="470" t="s">
        <v>3748</v>
      </c>
      <c r="AL308" s="471" t="s">
        <v>3749</v>
      </c>
      <c r="AM308" s="470" t="s">
        <v>12835</v>
      </c>
      <c r="AN308" s="470" t="s">
        <v>3745</v>
      </c>
      <c r="AO308" s="470" t="s">
        <v>3750</v>
      </c>
      <c r="AP308" s="470" t="s">
        <v>3751</v>
      </c>
      <c r="AQ308" s="470" t="s">
        <v>3743</v>
      </c>
      <c r="AR308" s="472" t="s">
        <v>515</v>
      </c>
      <c r="AS308" s="473" t="s">
        <v>1385</v>
      </c>
      <c r="AT308" s="472" t="s">
        <v>2000</v>
      </c>
      <c r="AU308" s="472" t="s">
        <v>420</v>
      </c>
      <c r="AV308" s="472">
        <v>2020</v>
      </c>
      <c r="AW308" s="474" t="s">
        <v>15078</v>
      </c>
      <c r="AX308" s="475" t="s">
        <v>15079</v>
      </c>
      <c r="AY308" s="515">
        <v>1</v>
      </c>
      <c r="AZ308" s="474" t="s">
        <v>15079</v>
      </c>
      <c r="BA308" s="472" t="s">
        <v>2000</v>
      </c>
      <c r="BB308" s="472" t="s">
        <v>1385</v>
      </c>
      <c r="BC308" s="472" t="s">
        <v>1385</v>
      </c>
      <c r="BD308" s="472" t="s">
        <v>1385</v>
      </c>
      <c r="BE308" s="472" t="s">
        <v>1385</v>
      </c>
      <c r="BF308" s="472">
        <v>25304.400000000001</v>
      </c>
      <c r="BG308" s="472">
        <v>0</v>
      </c>
      <c r="BH308" s="472" t="s">
        <v>1385</v>
      </c>
      <c r="BI308" s="510">
        <v>0</v>
      </c>
      <c r="BJ308" s="510">
        <v>0</v>
      </c>
      <c r="BK308" s="510">
        <v>0</v>
      </c>
      <c r="BL308" s="510">
        <v>0</v>
      </c>
      <c r="BM308" s="510">
        <v>0</v>
      </c>
      <c r="BN308" s="510">
        <v>4000</v>
      </c>
      <c r="BO308" s="510">
        <v>0</v>
      </c>
      <c r="BP308" s="510">
        <v>0</v>
      </c>
      <c r="BQ308" s="510">
        <v>0</v>
      </c>
      <c r="BR308" s="510">
        <v>0</v>
      </c>
      <c r="BS308" s="510">
        <v>0</v>
      </c>
      <c r="BT308" s="510">
        <v>0</v>
      </c>
      <c r="BU308" s="510">
        <v>0</v>
      </c>
      <c r="BV308" s="510">
        <v>0</v>
      </c>
      <c r="BW308" s="510">
        <v>0</v>
      </c>
      <c r="BX308" s="510">
        <v>30000</v>
      </c>
      <c r="BY308" s="1011">
        <v>0</v>
      </c>
      <c r="BZ308" s="510">
        <v>0</v>
      </c>
      <c r="CA308" s="1011">
        <v>0</v>
      </c>
      <c r="CB308" s="510">
        <v>0</v>
      </c>
      <c r="CC308" s="1011">
        <v>0</v>
      </c>
      <c r="CD308" s="510">
        <v>0</v>
      </c>
      <c r="CE308" s="1011">
        <v>0</v>
      </c>
      <c r="CF308" s="510">
        <v>48710.400000000001</v>
      </c>
      <c r="CG308" s="1011">
        <v>0</v>
      </c>
      <c r="CH308" s="510">
        <v>0</v>
      </c>
      <c r="CI308" s="1011">
        <v>0</v>
      </c>
    </row>
    <row r="309" spans="1:87" x14ac:dyDescent="0.2">
      <c r="A309" s="449">
        <v>162</v>
      </c>
      <c r="B309" s="453">
        <v>19353</v>
      </c>
      <c r="C309" s="454" t="s">
        <v>3752</v>
      </c>
      <c r="D309" s="454" t="s">
        <v>2000</v>
      </c>
      <c r="E309" s="454" t="s">
        <v>3753</v>
      </c>
      <c r="F309" s="454" t="s">
        <v>520</v>
      </c>
      <c r="G309" s="454" t="s">
        <v>12836</v>
      </c>
      <c r="H309" s="455">
        <v>10767231000189</v>
      </c>
      <c r="I309" s="462">
        <v>39910</v>
      </c>
      <c r="J309" s="457">
        <v>45307687</v>
      </c>
      <c r="K309" s="454" t="s">
        <v>3755</v>
      </c>
      <c r="L309" s="458" t="s">
        <v>1446</v>
      </c>
      <c r="M309" s="454" t="s">
        <v>3756</v>
      </c>
      <c r="N309" s="459">
        <v>5856020</v>
      </c>
      <c r="O309" s="460">
        <v>33979737</v>
      </c>
      <c r="P309" s="462">
        <v>308121</v>
      </c>
      <c r="Q309" s="462">
        <v>108</v>
      </c>
      <c r="R309" s="462">
        <v>43979</v>
      </c>
      <c r="S309" s="463">
        <v>551</v>
      </c>
      <c r="T309" s="464">
        <v>3.6</v>
      </c>
      <c r="U309" s="465">
        <v>1983.6</v>
      </c>
      <c r="V309" s="465">
        <v>16560</v>
      </c>
      <c r="W309" s="466">
        <v>0</v>
      </c>
      <c r="X309" s="467">
        <v>1</v>
      </c>
      <c r="Y309" s="466">
        <v>27815.4</v>
      </c>
      <c r="Z309" s="468" t="s">
        <v>516</v>
      </c>
      <c r="AA309" s="466">
        <v>109909.8</v>
      </c>
      <c r="AB309" s="466">
        <v>109909.8</v>
      </c>
      <c r="AC309" s="467">
        <v>0</v>
      </c>
      <c r="AD309" s="466">
        <v>0</v>
      </c>
      <c r="AE309" s="468" t="s">
        <v>516</v>
      </c>
      <c r="AF309" s="466">
        <v>0</v>
      </c>
      <c r="AG309" s="466">
        <v>0</v>
      </c>
      <c r="AH309" s="466">
        <v>29435.39</v>
      </c>
      <c r="AI309" s="466">
        <v>1920.39</v>
      </c>
      <c r="AJ309" s="469" t="s">
        <v>1515</v>
      </c>
      <c r="AK309" s="470" t="s">
        <v>1516</v>
      </c>
      <c r="AL309" s="471" t="s">
        <v>3757</v>
      </c>
      <c r="AM309" s="470" t="s">
        <v>3758</v>
      </c>
      <c r="AN309" s="470" t="s">
        <v>3754</v>
      </c>
      <c r="AO309" s="470" t="s">
        <v>3759</v>
      </c>
      <c r="AP309" s="470" t="s">
        <v>3760</v>
      </c>
      <c r="AQ309" s="470" t="s">
        <v>3752</v>
      </c>
      <c r="AR309" s="472" t="s">
        <v>515</v>
      </c>
      <c r="AS309" s="473" t="s">
        <v>1385</v>
      </c>
      <c r="AT309" s="472" t="s">
        <v>2000</v>
      </c>
      <c r="AU309" s="472" t="s">
        <v>420</v>
      </c>
      <c r="AV309" s="472">
        <v>2020</v>
      </c>
      <c r="AW309" s="474" t="s">
        <v>15078</v>
      </c>
      <c r="AX309" s="475" t="s">
        <v>15079</v>
      </c>
      <c r="AY309" s="515">
        <v>1</v>
      </c>
      <c r="AZ309" s="474" t="s">
        <v>15079</v>
      </c>
      <c r="BA309" s="472" t="s">
        <v>2000</v>
      </c>
      <c r="BB309" s="472" t="s">
        <v>1385</v>
      </c>
      <c r="BC309" s="472" t="s">
        <v>1385</v>
      </c>
      <c r="BD309" s="472" t="s">
        <v>1385</v>
      </c>
      <c r="BE309" s="472" t="s">
        <v>1385</v>
      </c>
      <c r="BF309" s="472">
        <v>27815.4</v>
      </c>
      <c r="BG309" s="472">
        <v>0</v>
      </c>
      <c r="BH309" s="472" t="s">
        <v>1385</v>
      </c>
      <c r="BI309" s="510">
        <v>0</v>
      </c>
      <c r="BJ309" s="510">
        <v>0</v>
      </c>
      <c r="BK309" s="510">
        <v>0</v>
      </c>
      <c r="BL309" s="510">
        <v>0</v>
      </c>
      <c r="BM309" s="510">
        <v>0</v>
      </c>
      <c r="BN309" s="510">
        <v>5000</v>
      </c>
      <c r="BO309" s="510">
        <v>0</v>
      </c>
      <c r="BP309" s="510">
        <v>0</v>
      </c>
      <c r="BQ309" s="510">
        <v>0</v>
      </c>
      <c r="BR309" s="510">
        <v>0</v>
      </c>
      <c r="BS309" s="510">
        <v>0</v>
      </c>
      <c r="BT309" s="510">
        <v>0</v>
      </c>
      <c r="BU309" s="510">
        <v>0</v>
      </c>
      <c r="BV309" s="510">
        <v>0</v>
      </c>
      <c r="BW309" s="510">
        <v>0</v>
      </c>
      <c r="BX309" s="510">
        <v>30000</v>
      </c>
      <c r="BY309" s="1011">
        <v>0</v>
      </c>
      <c r="BZ309" s="510">
        <v>0</v>
      </c>
      <c r="CA309" s="1011">
        <v>0</v>
      </c>
      <c r="CB309" s="510">
        <v>0</v>
      </c>
      <c r="CC309" s="1011">
        <v>0</v>
      </c>
      <c r="CD309" s="510">
        <v>0</v>
      </c>
      <c r="CE309" s="1011">
        <v>0</v>
      </c>
      <c r="CF309" s="510">
        <v>52094.400000000001</v>
      </c>
      <c r="CG309" s="1011">
        <v>0</v>
      </c>
      <c r="CH309" s="510">
        <v>0</v>
      </c>
      <c r="CI309" s="1011">
        <v>0</v>
      </c>
    </row>
    <row r="310" spans="1:87" x14ac:dyDescent="0.2">
      <c r="A310" s="449">
        <v>169</v>
      </c>
      <c r="B310" s="453">
        <v>19354</v>
      </c>
      <c r="C310" s="454" t="s">
        <v>3761</v>
      </c>
      <c r="D310" s="454" t="s">
        <v>2000</v>
      </c>
      <c r="E310" s="454" t="s">
        <v>3762</v>
      </c>
      <c r="F310" s="454" t="s">
        <v>520</v>
      </c>
      <c r="G310" s="454" t="s">
        <v>12837</v>
      </c>
      <c r="H310" s="455">
        <v>10221475000161</v>
      </c>
      <c r="I310" s="462">
        <v>39651</v>
      </c>
      <c r="J310" s="457">
        <v>44754043</v>
      </c>
      <c r="K310" s="454" t="s">
        <v>3764</v>
      </c>
      <c r="L310" s="458">
        <v>369</v>
      </c>
      <c r="M310" s="454" t="s">
        <v>3765</v>
      </c>
      <c r="N310" s="459">
        <v>4962000</v>
      </c>
      <c r="O310" s="460">
        <v>58962060</v>
      </c>
      <c r="P310" s="462">
        <v>308830</v>
      </c>
      <c r="Q310" s="462">
        <v>184</v>
      </c>
      <c r="R310" s="462">
        <v>43969</v>
      </c>
      <c r="S310" s="463">
        <v>549</v>
      </c>
      <c r="T310" s="464">
        <v>3.6</v>
      </c>
      <c r="U310" s="465">
        <v>1976.4</v>
      </c>
      <c r="V310" s="465">
        <v>16560</v>
      </c>
      <c r="W310" s="466">
        <v>0</v>
      </c>
      <c r="X310" s="467">
        <v>1</v>
      </c>
      <c r="Y310" s="466">
        <v>27804.6</v>
      </c>
      <c r="Z310" s="468" t="s">
        <v>516</v>
      </c>
      <c r="AA310" s="466">
        <v>109877.4</v>
      </c>
      <c r="AB310" s="466">
        <v>109877.4</v>
      </c>
      <c r="AC310" s="467">
        <v>0</v>
      </c>
      <c r="AD310" s="466">
        <v>0</v>
      </c>
      <c r="AE310" s="468" t="s">
        <v>516</v>
      </c>
      <c r="AF310" s="466">
        <v>0</v>
      </c>
      <c r="AG310" s="466">
        <v>0</v>
      </c>
      <c r="AH310" s="466">
        <v>27965.51</v>
      </c>
      <c r="AI310" s="466">
        <v>3707.28</v>
      </c>
      <c r="AJ310" s="469" t="s">
        <v>1813</v>
      </c>
      <c r="AK310" s="470" t="s">
        <v>1814</v>
      </c>
      <c r="AL310" s="471" t="s">
        <v>3766</v>
      </c>
      <c r="AM310" s="470" t="s">
        <v>3767</v>
      </c>
      <c r="AN310" s="470" t="s">
        <v>3763</v>
      </c>
      <c r="AO310" s="470" t="s">
        <v>3768</v>
      </c>
      <c r="AP310" s="470" t="s">
        <v>3765</v>
      </c>
      <c r="AQ310" s="470" t="s">
        <v>3761</v>
      </c>
      <c r="AR310" s="472" t="s">
        <v>515</v>
      </c>
      <c r="AS310" s="473" t="s">
        <v>1385</v>
      </c>
      <c r="AT310" s="472" t="s">
        <v>2000</v>
      </c>
      <c r="AU310" s="472" t="s">
        <v>420</v>
      </c>
      <c r="AV310" s="472">
        <v>2020</v>
      </c>
      <c r="AW310" s="474" t="s">
        <v>15078</v>
      </c>
      <c r="AX310" s="475" t="s">
        <v>15079</v>
      </c>
      <c r="AY310" s="515">
        <v>1</v>
      </c>
      <c r="AZ310" s="474" t="s">
        <v>15079</v>
      </c>
      <c r="BA310" s="472" t="s">
        <v>2000</v>
      </c>
      <c r="BB310" s="472" t="s">
        <v>1385</v>
      </c>
      <c r="BC310" s="472" t="s">
        <v>1385</v>
      </c>
      <c r="BD310" s="472" t="s">
        <v>1385</v>
      </c>
      <c r="BE310" s="472" t="s">
        <v>1385</v>
      </c>
      <c r="BF310" s="472">
        <v>27804.6</v>
      </c>
      <c r="BG310" s="472">
        <v>0</v>
      </c>
      <c r="BH310" s="472" t="s">
        <v>1385</v>
      </c>
      <c r="BI310" s="510">
        <v>0</v>
      </c>
      <c r="BJ310" s="510">
        <v>0</v>
      </c>
      <c r="BK310" s="510">
        <v>0</v>
      </c>
      <c r="BL310" s="510">
        <v>0</v>
      </c>
      <c r="BM310" s="510">
        <v>0</v>
      </c>
      <c r="BN310" s="510">
        <v>4000</v>
      </c>
      <c r="BO310" s="510">
        <v>0</v>
      </c>
      <c r="BP310" s="510">
        <v>0</v>
      </c>
      <c r="BQ310" s="510">
        <v>0</v>
      </c>
      <c r="BR310" s="510">
        <v>0</v>
      </c>
      <c r="BS310" s="510">
        <v>0</v>
      </c>
      <c r="BT310" s="510">
        <v>0</v>
      </c>
      <c r="BU310" s="510">
        <v>0</v>
      </c>
      <c r="BV310" s="510">
        <v>0</v>
      </c>
      <c r="BW310" s="510">
        <v>0</v>
      </c>
      <c r="BX310" s="510">
        <v>30000</v>
      </c>
      <c r="BY310" s="1011">
        <v>0</v>
      </c>
      <c r="BZ310" s="510">
        <v>0</v>
      </c>
      <c r="CA310" s="1011">
        <v>0</v>
      </c>
      <c r="CB310" s="510">
        <v>0</v>
      </c>
      <c r="CC310" s="1011">
        <v>0</v>
      </c>
      <c r="CD310" s="510">
        <v>0</v>
      </c>
      <c r="CE310" s="1011">
        <v>0</v>
      </c>
      <c r="CF310" s="510">
        <v>52072.800000000003</v>
      </c>
      <c r="CG310" s="1011">
        <v>0</v>
      </c>
      <c r="CH310" s="510">
        <v>0</v>
      </c>
      <c r="CI310" s="1011">
        <v>0</v>
      </c>
    </row>
    <row r="311" spans="1:87" x14ac:dyDescent="0.2">
      <c r="A311" s="449">
        <v>87</v>
      </c>
      <c r="B311" s="453">
        <v>19355</v>
      </c>
      <c r="C311" s="454" t="s">
        <v>3769</v>
      </c>
      <c r="D311" s="454" t="s">
        <v>2000</v>
      </c>
      <c r="E311" s="454" t="s">
        <v>3770</v>
      </c>
      <c r="F311" s="454" t="s">
        <v>522</v>
      </c>
      <c r="G311" s="454" t="s">
        <v>12838</v>
      </c>
      <c r="H311" s="455">
        <v>10902060000153</v>
      </c>
      <c r="I311" s="462">
        <v>39972</v>
      </c>
      <c r="J311" s="457">
        <v>41051890</v>
      </c>
      <c r="K311" s="454" t="s">
        <v>3771</v>
      </c>
      <c r="L311" s="458" t="s">
        <v>1446</v>
      </c>
      <c r="M311" s="454" t="s">
        <v>3772</v>
      </c>
      <c r="N311" s="459">
        <v>2814000</v>
      </c>
      <c r="O311" s="460">
        <v>33975437</v>
      </c>
      <c r="P311" s="462">
        <v>75224</v>
      </c>
      <c r="Q311" s="462">
        <v>32</v>
      </c>
      <c r="R311" s="462">
        <v>43922</v>
      </c>
      <c r="S311" s="463">
        <v>552</v>
      </c>
      <c r="T311" s="464">
        <v>3.6</v>
      </c>
      <c r="U311" s="465">
        <v>1987.2</v>
      </c>
      <c r="V311" s="465">
        <v>16560</v>
      </c>
      <c r="W311" s="466">
        <v>0</v>
      </c>
      <c r="X311" s="467">
        <v>1</v>
      </c>
      <c r="Y311" s="466">
        <v>27820.799999999999</v>
      </c>
      <c r="Z311" s="468" t="s">
        <v>516</v>
      </c>
      <c r="AA311" s="466">
        <v>109872</v>
      </c>
      <c r="AB311" s="466">
        <v>109872</v>
      </c>
      <c r="AC311" s="467">
        <v>0</v>
      </c>
      <c r="AD311" s="466">
        <v>0</v>
      </c>
      <c r="AE311" s="468" t="s">
        <v>516</v>
      </c>
      <c r="AF311" s="466">
        <v>0</v>
      </c>
      <c r="AG311" s="466">
        <v>0</v>
      </c>
      <c r="AH311" s="466">
        <v>9055.67</v>
      </c>
      <c r="AI311" s="466">
        <v>2290.16</v>
      </c>
      <c r="AJ311" s="469" t="s">
        <v>1571</v>
      </c>
      <c r="AK311" s="470" t="s">
        <v>528</v>
      </c>
      <c r="AL311" s="471" t="s">
        <v>3773</v>
      </c>
      <c r="AM311" s="470" t="s">
        <v>12839</v>
      </c>
      <c r="AN311" s="470" t="s">
        <v>1385</v>
      </c>
      <c r="AO311" s="470" t="s">
        <v>3774</v>
      </c>
      <c r="AP311" s="470" t="s">
        <v>3772</v>
      </c>
      <c r="AQ311" s="470" t="s">
        <v>3769</v>
      </c>
      <c r="AR311" s="472" t="s">
        <v>515</v>
      </c>
      <c r="AS311" s="473" t="s">
        <v>1385</v>
      </c>
      <c r="AT311" s="472" t="s">
        <v>2000</v>
      </c>
      <c r="AU311" s="472" t="s">
        <v>420</v>
      </c>
      <c r="AV311" s="472">
        <v>2020</v>
      </c>
      <c r="AW311" s="474" t="s">
        <v>15078</v>
      </c>
      <c r="AX311" s="475" t="s">
        <v>15079</v>
      </c>
      <c r="AY311" s="515">
        <v>1</v>
      </c>
      <c r="AZ311" s="474" t="s">
        <v>15079</v>
      </c>
      <c r="BA311" s="472" t="s">
        <v>2000</v>
      </c>
      <c r="BB311" s="472" t="s">
        <v>1385</v>
      </c>
      <c r="BC311" s="472" t="s">
        <v>1385</v>
      </c>
      <c r="BD311" s="472" t="s">
        <v>1385</v>
      </c>
      <c r="BE311" s="472" t="s">
        <v>1385</v>
      </c>
      <c r="BF311" s="472">
        <v>27820.799999999999</v>
      </c>
      <c r="BG311" s="472">
        <v>0</v>
      </c>
      <c r="BH311" s="472" t="s">
        <v>1385</v>
      </c>
      <c r="BI311" s="510">
        <v>0</v>
      </c>
      <c r="BJ311" s="510">
        <v>0</v>
      </c>
      <c r="BK311" s="510">
        <v>0</v>
      </c>
      <c r="BL311" s="510">
        <v>0</v>
      </c>
      <c r="BM311" s="510">
        <v>0</v>
      </c>
      <c r="BN311" s="510">
        <v>5000</v>
      </c>
      <c r="BO311" s="510">
        <v>0</v>
      </c>
      <c r="BP311" s="510">
        <v>0</v>
      </c>
      <c r="BQ311" s="510">
        <v>0</v>
      </c>
      <c r="BR311" s="510">
        <v>0</v>
      </c>
      <c r="BS311" s="510">
        <v>0</v>
      </c>
      <c r="BT311" s="510">
        <v>0</v>
      </c>
      <c r="BU311" s="510">
        <v>0</v>
      </c>
      <c r="BV311" s="510">
        <v>0</v>
      </c>
      <c r="BW311" s="510">
        <v>0</v>
      </c>
      <c r="BX311" s="510">
        <v>30000</v>
      </c>
      <c r="BY311" s="1011">
        <v>0</v>
      </c>
      <c r="BZ311" s="510">
        <v>0</v>
      </c>
      <c r="CA311" s="1011">
        <v>0</v>
      </c>
      <c r="CB311" s="510">
        <v>0</v>
      </c>
      <c r="CC311" s="1011">
        <v>0</v>
      </c>
      <c r="CD311" s="510">
        <v>0</v>
      </c>
      <c r="CE311" s="1011">
        <v>0</v>
      </c>
      <c r="CF311" s="510">
        <v>52051.199999999997</v>
      </c>
      <c r="CG311" s="1011">
        <v>0</v>
      </c>
      <c r="CH311" s="510">
        <v>0</v>
      </c>
      <c r="CI311" s="1011">
        <v>0</v>
      </c>
    </row>
    <row r="312" spans="1:87" x14ac:dyDescent="0.2">
      <c r="A312" s="449">
        <v>120</v>
      </c>
      <c r="B312" s="453">
        <v>19357</v>
      </c>
      <c r="C312" s="454" t="s">
        <v>3775</v>
      </c>
      <c r="D312" s="454" t="s">
        <v>2000</v>
      </c>
      <c r="E312" s="454" t="s">
        <v>3776</v>
      </c>
      <c r="F312" s="454" t="s">
        <v>527</v>
      </c>
      <c r="G312" s="454" t="s">
        <v>12840</v>
      </c>
      <c r="H312" s="455">
        <v>10748906000142</v>
      </c>
      <c r="I312" s="462">
        <v>39856</v>
      </c>
      <c r="J312" s="457">
        <v>39395707</v>
      </c>
      <c r="K312" s="454" t="s">
        <v>3777</v>
      </c>
      <c r="L312" s="458">
        <v>564</v>
      </c>
      <c r="M312" s="454" t="s">
        <v>2211</v>
      </c>
      <c r="N312" s="459">
        <v>3819160</v>
      </c>
      <c r="O312" s="460">
        <v>33963462</v>
      </c>
      <c r="P312" s="462">
        <v>211853</v>
      </c>
      <c r="Q312" s="462">
        <v>38</v>
      </c>
      <c r="R312" s="462">
        <v>43971</v>
      </c>
      <c r="S312" s="463">
        <v>555</v>
      </c>
      <c r="T312" s="464">
        <v>3.6</v>
      </c>
      <c r="U312" s="465">
        <v>1998</v>
      </c>
      <c r="V312" s="465">
        <v>16560</v>
      </c>
      <c r="W312" s="466">
        <v>0</v>
      </c>
      <c r="X312" s="467">
        <v>1</v>
      </c>
      <c r="Y312" s="466">
        <v>27837</v>
      </c>
      <c r="Z312" s="468" t="s">
        <v>516</v>
      </c>
      <c r="AA312" s="466">
        <v>109917</v>
      </c>
      <c r="AB312" s="466">
        <v>109917</v>
      </c>
      <c r="AC312" s="467">
        <v>0</v>
      </c>
      <c r="AD312" s="466">
        <v>0</v>
      </c>
      <c r="AE312" s="468" t="s">
        <v>516</v>
      </c>
      <c r="AF312" s="466">
        <v>0</v>
      </c>
      <c r="AG312" s="466">
        <v>0</v>
      </c>
      <c r="AH312" s="466">
        <v>42130.73</v>
      </c>
      <c r="AI312" s="466">
        <v>2119.9</v>
      </c>
      <c r="AJ312" s="469" t="s">
        <v>2004</v>
      </c>
      <c r="AK312" s="470" t="s">
        <v>2005</v>
      </c>
      <c r="AL312" s="471" t="s">
        <v>3778</v>
      </c>
      <c r="AM312" s="470" t="s">
        <v>12841</v>
      </c>
      <c r="AN312" s="470" t="s">
        <v>12840</v>
      </c>
      <c r="AO312" s="470" t="s">
        <v>12842</v>
      </c>
      <c r="AP312" s="470" t="s">
        <v>3779</v>
      </c>
      <c r="AQ312" s="470" t="s">
        <v>3775</v>
      </c>
      <c r="AR312" s="472" t="s">
        <v>515</v>
      </c>
      <c r="AS312" s="473" t="s">
        <v>1385</v>
      </c>
      <c r="AT312" s="472" t="s">
        <v>2000</v>
      </c>
      <c r="AU312" s="472" t="s">
        <v>420</v>
      </c>
      <c r="AV312" s="472">
        <v>2020</v>
      </c>
      <c r="AW312" s="474" t="s">
        <v>15078</v>
      </c>
      <c r="AX312" s="475" t="s">
        <v>15079</v>
      </c>
      <c r="AY312" s="515">
        <v>1</v>
      </c>
      <c r="AZ312" s="474" t="s">
        <v>15079</v>
      </c>
      <c r="BA312" s="472" t="s">
        <v>2000</v>
      </c>
      <c r="BB312" s="472" t="s">
        <v>1385</v>
      </c>
      <c r="BC312" s="472" t="s">
        <v>1385</v>
      </c>
      <c r="BD312" s="472" t="s">
        <v>1385</v>
      </c>
      <c r="BE312" s="472" t="s">
        <v>1385</v>
      </c>
      <c r="BF312" s="509">
        <v>27837</v>
      </c>
      <c r="BG312" s="509">
        <v>0</v>
      </c>
      <c r="BH312" s="472" t="s">
        <v>1385</v>
      </c>
      <c r="BI312" s="510">
        <v>0</v>
      </c>
      <c r="BJ312" s="510">
        <v>6502.33</v>
      </c>
      <c r="BK312" s="510">
        <v>0</v>
      </c>
      <c r="BL312" s="510">
        <v>0</v>
      </c>
      <c r="BM312" s="510">
        <v>0</v>
      </c>
      <c r="BN312" s="510">
        <v>100</v>
      </c>
      <c r="BO312" s="510">
        <v>0</v>
      </c>
      <c r="BP312" s="510">
        <v>0</v>
      </c>
      <c r="BQ312" s="510">
        <v>0</v>
      </c>
      <c r="BR312" s="510">
        <v>0</v>
      </c>
      <c r="BS312" s="510">
        <v>0</v>
      </c>
      <c r="BT312" s="510">
        <v>0</v>
      </c>
      <c r="BU312" s="510">
        <v>0</v>
      </c>
      <c r="BV312" s="510">
        <v>0</v>
      </c>
      <c r="BW312" s="510">
        <v>0</v>
      </c>
      <c r="BX312" s="510">
        <v>30000</v>
      </c>
      <c r="BY312" s="1011">
        <v>0</v>
      </c>
      <c r="BZ312" s="510">
        <v>0</v>
      </c>
      <c r="CA312" s="1011">
        <v>0</v>
      </c>
      <c r="CB312" s="510">
        <v>0</v>
      </c>
      <c r="CC312" s="1011">
        <v>0</v>
      </c>
      <c r="CD312" s="510">
        <v>0</v>
      </c>
      <c r="CE312" s="1011">
        <v>0</v>
      </c>
      <c r="CF312" s="510">
        <v>52080</v>
      </c>
      <c r="CG312" s="1011">
        <v>0</v>
      </c>
      <c r="CH312" s="510">
        <v>0</v>
      </c>
      <c r="CI312" s="1011">
        <v>0</v>
      </c>
    </row>
    <row r="313" spans="1:87" x14ac:dyDescent="0.2">
      <c r="A313" s="449">
        <v>129</v>
      </c>
      <c r="B313" s="453">
        <v>19358</v>
      </c>
      <c r="C313" s="454" t="s">
        <v>3780</v>
      </c>
      <c r="D313" s="454" t="s">
        <v>2000</v>
      </c>
      <c r="E313" s="454" t="s">
        <v>3781</v>
      </c>
      <c r="F313" s="454" t="s">
        <v>513</v>
      </c>
      <c r="G313" s="454" t="s">
        <v>12843</v>
      </c>
      <c r="H313" s="455">
        <v>10766280000105</v>
      </c>
      <c r="I313" s="462">
        <v>39822</v>
      </c>
      <c r="J313" s="457">
        <v>43308910</v>
      </c>
      <c r="K313" s="454" t="s">
        <v>3782</v>
      </c>
      <c r="L313" s="458" t="s">
        <v>1446</v>
      </c>
      <c r="M313" s="454" t="s">
        <v>3783</v>
      </c>
      <c r="N313" s="459">
        <v>3969000</v>
      </c>
      <c r="O313" s="460">
        <v>37930132</v>
      </c>
      <c r="P313" s="462">
        <v>154698</v>
      </c>
      <c r="Q313" s="462">
        <v>129</v>
      </c>
      <c r="R313" s="462">
        <v>43937</v>
      </c>
      <c r="S313" s="463">
        <v>327</v>
      </c>
      <c r="T313" s="464">
        <v>3.6</v>
      </c>
      <c r="U313" s="465">
        <v>1177.2</v>
      </c>
      <c r="V313" s="465">
        <v>13680</v>
      </c>
      <c r="W313" s="466">
        <v>0</v>
      </c>
      <c r="X313" s="467">
        <v>1</v>
      </c>
      <c r="Y313" s="466">
        <v>22285.8</v>
      </c>
      <c r="Z313" s="468" t="s">
        <v>516</v>
      </c>
      <c r="AA313" s="466">
        <v>93839.4</v>
      </c>
      <c r="AB313" s="466">
        <v>93839.4</v>
      </c>
      <c r="AC313" s="467">
        <v>0</v>
      </c>
      <c r="AD313" s="466">
        <v>0</v>
      </c>
      <c r="AE313" s="468" t="s">
        <v>516</v>
      </c>
      <c r="AF313" s="466">
        <v>0</v>
      </c>
      <c r="AG313" s="466">
        <v>0</v>
      </c>
      <c r="AH313" s="466">
        <v>22632.48</v>
      </c>
      <c r="AI313" s="466">
        <v>5950.33</v>
      </c>
      <c r="AJ313" s="469" t="s">
        <v>1560</v>
      </c>
      <c r="AK313" s="470" t="s">
        <v>1561</v>
      </c>
      <c r="AL313" s="471" t="s">
        <v>3784</v>
      </c>
      <c r="AM313" s="470" t="s">
        <v>3785</v>
      </c>
      <c r="AN313" s="470" t="s">
        <v>3786</v>
      </c>
      <c r="AO313" s="470" t="s">
        <v>3787</v>
      </c>
      <c r="AP313" s="470" t="s">
        <v>3788</v>
      </c>
      <c r="AQ313" s="470" t="s">
        <v>3780</v>
      </c>
      <c r="AR313" s="472" t="s">
        <v>515</v>
      </c>
      <c r="AS313" s="473" t="s">
        <v>1385</v>
      </c>
      <c r="AT313" s="472" t="s">
        <v>2000</v>
      </c>
      <c r="AU313" s="472" t="s">
        <v>420</v>
      </c>
      <c r="AV313" s="472">
        <v>2020</v>
      </c>
      <c r="AW313" s="474" t="s">
        <v>15078</v>
      </c>
      <c r="AX313" s="475" t="s">
        <v>15079</v>
      </c>
      <c r="AY313" s="515">
        <v>1</v>
      </c>
      <c r="AZ313" s="474" t="s">
        <v>15079</v>
      </c>
      <c r="BA313" s="472" t="s">
        <v>2000</v>
      </c>
      <c r="BB313" s="472" t="s">
        <v>1385</v>
      </c>
      <c r="BC313" s="472" t="s">
        <v>1385</v>
      </c>
      <c r="BD313" s="472" t="s">
        <v>1385</v>
      </c>
      <c r="BE313" s="472" t="s">
        <v>1385</v>
      </c>
      <c r="BF313" s="472">
        <v>22285.8</v>
      </c>
      <c r="BG313" s="472">
        <v>0</v>
      </c>
      <c r="BH313" s="472" t="s">
        <v>1385</v>
      </c>
      <c r="BI313" s="510">
        <v>0</v>
      </c>
      <c r="BJ313" s="510">
        <v>0</v>
      </c>
      <c r="BK313" s="510">
        <v>0</v>
      </c>
      <c r="BL313" s="510">
        <v>0</v>
      </c>
      <c r="BM313" s="510">
        <v>0</v>
      </c>
      <c r="BN313" s="510">
        <v>100</v>
      </c>
      <c r="BO313" s="510">
        <v>0</v>
      </c>
      <c r="BP313" s="510">
        <v>0</v>
      </c>
      <c r="BQ313" s="510">
        <v>0</v>
      </c>
      <c r="BR313" s="510">
        <v>0</v>
      </c>
      <c r="BS313" s="510">
        <v>0</v>
      </c>
      <c r="BT313" s="510">
        <v>0</v>
      </c>
      <c r="BU313" s="510">
        <v>0</v>
      </c>
      <c r="BV313" s="510">
        <v>0</v>
      </c>
      <c r="BW313" s="510">
        <v>0</v>
      </c>
      <c r="BX313" s="510">
        <v>30000</v>
      </c>
      <c r="BY313" s="1011">
        <v>0</v>
      </c>
      <c r="BZ313" s="510">
        <v>0</v>
      </c>
      <c r="CA313" s="1011">
        <v>0</v>
      </c>
      <c r="CB313" s="510">
        <v>0</v>
      </c>
      <c r="CC313" s="1011">
        <v>0</v>
      </c>
      <c r="CD313" s="510">
        <v>0</v>
      </c>
      <c r="CE313" s="1011">
        <v>0</v>
      </c>
      <c r="CF313" s="510">
        <v>41553.599999999999</v>
      </c>
      <c r="CG313" s="1011">
        <v>0</v>
      </c>
      <c r="CH313" s="510">
        <v>0</v>
      </c>
      <c r="CI313" s="1011">
        <v>0</v>
      </c>
    </row>
    <row r="314" spans="1:87" x14ac:dyDescent="0.2">
      <c r="A314" s="449">
        <v>126</v>
      </c>
      <c r="B314" s="453">
        <v>19359</v>
      </c>
      <c r="C314" s="454" t="s">
        <v>3789</v>
      </c>
      <c r="D314" s="454" t="s">
        <v>2000</v>
      </c>
      <c r="E314" s="454" t="s">
        <v>3790</v>
      </c>
      <c r="F314" s="454" t="s">
        <v>526</v>
      </c>
      <c r="G314" s="454" t="s">
        <v>12844</v>
      </c>
      <c r="H314" s="455">
        <v>10740214000158</v>
      </c>
      <c r="I314" s="462">
        <v>39897</v>
      </c>
      <c r="J314" s="457">
        <v>39576175</v>
      </c>
      <c r="K314" s="454" t="s">
        <v>3791</v>
      </c>
      <c r="L314" s="458">
        <v>400</v>
      </c>
      <c r="M314" s="454" t="s">
        <v>3792</v>
      </c>
      <c r="N314" s="459">
        <v>8191330</v>
      </c>
      <c r="O314" s="460">
        <v>20258346</v>
      </c>
      <c r="P314" s="462">
        <v>163867</v>
      </c>
      <c r="Q314" s="462">
        <v>126</v>
      </c>
      <c r="R314" s="462">
        <v>43928</v>
      </c>
      <c r="S314" s="463">
        <v>588</v>
      </c>
      <c r="T314" s="464">
        <v>3.6</v>
      </c>
      <c r="U314" s="465">
        <v>2116.8000000000002</v>
      </c>
      <c r="V314" s="465">
        <v>16560</v>
      </c>
      <c r="W314" s="466">
        <v>0</v>
      </c>
      <c r="X314" s="467">
        <v>1</v>
      </c>
      <c r="Y314" s="466">
        <v>28015.200000000001</v>
      </c>
      <c r="Z314" s="468" t="s">
        <v>516</v>
      </c>
      <c r="AA314" s="466">
        <v>113529.60000000001</v>
      </c>
      <c r="AB314" s="466">
        <v>113529.60000000001</v>
      </c>
      <c r="AC314" s="467">
        <v>0</v>
      </c>
      <c r="AD314" s="466">
        <v>0</v>
      </c>
      <c r="AE314" s="468" t="s">
        <v>516</v>
      </c>
      <c r="AF314" s="466">
        <v>0</v>
      </c>
      <c r="AG314" s="466">
        <v>0</v>
      </c>
      <c r="AH314" s="466">
        <v>24756.79</v>
      </c>
      <c r="AI314" s="466">
        <v>14613.2</v>
      </c>
      <c r="AJ314" s="469" t="s">
        <v>1410</v>
      </c>
      <c r="AK314" s="470" t="s">
        <v>1411</v>
      </c>
      <c r="AL314" s="471" t="s">
        <v>3793</v>
      </c>
      <c r="AM314" s="470" t="s">
        <v>12845</v>
      </c>
      <c r="AN314" s="470" t="s">
        <v>1385</v>
      </c>
      <c r="AO314" s="470" t="s">
        <v>12846</v>
      </c>
      <c r="AP314" s="470" t="s">
        <v>3794</v>
      </c>
      <c r="AQ314" s="470" t="s">
        <v>3789</v>
      </c>
      <c r="AR314" s="472" t="s">
        <v>515</v>
      </c>
      <c r="AS314" s="473" t="s">
        <v>1385</v>
      </c>
      <c r="AT314" s="472" t="s">
        <v>2000</v>
      </c>
      <c r="AU314" s="472" t="s">
        <v>420</v>
      </c>
      <c r="AV314" s="472">
        <v>2020</v>
      </c>
      <c r="AW314" s="474" t="s">
        <v>15078</v>
      </c>
      <c r="AX314" s="475" t="s">
        <v>15079</v>
      </c>
      <c r="AY314" s="515">
        <v>1</v>
      </c>
      <c r="AZ314" s="474" t="s">
        <v>15079</v>
      </c>
      <c r="BA314" s="472" t="s">
        <v>2000</v>
      </c>
      <c r="BB314" s="472" t="s">
        <v>1385</v>
      </c>
      <c r="BC314" s="472" t="s">
        <v>1385</v>
      </c>
      <c r="BD314" s="509" t="s">
        <v>1385</v>
      </c>
      <c r="BE314" s="472" t="s">
        <v>1385</v>
      </c>
      <c r="BF314" s="509">
        <v>28015.200000000001</v>
      </c>
      <c r="BG314" s="509">
        <v>0</v>
      </c>
      <c r="BH314" s="472" t="s">
        <v>1385</v>
      </c>
      <c r="BI314" s="510">
        <v>0</v>
      </c>
      <c r="BJ314" s="510">
        <v>108.55</v>
      </c>
      <c r="BK314" s="510">
        <v>0</v>
      </c>
      <c r="BL314" s="510">
        <v>0</v>
      </c>
      <c r="BM314" s="510">
        <v>0</v>
      </c>
      <c r="BN314" s="510">
        <v>5000</v>
      </c>
      <c r="BO314" s="510">
        <v>0</v>
      </c>
      <c r="BP314" s="510">
        <v>0</v>
      </c>
      <c r="BQ314" s="510">
        <v>0</v>
      </c>
      <c r="BR314" s="510">
        <v>0</v>
      </c>
      <c r="BS314" s="510">
        <v>0</v>
      </c>
      <c r="BT314" s="510">
        <v>0</v>
      </c>
      <c r="BU314" s="510">
        <v>0</v>
      </c>
      <c r="BV314" s="510">
        <v>0</v>
      </c>
      <c r="BW314" s="510">
        <v>0</v>
      </c>
      <c r="BX314" s="510">
        <v>30000</v>
      </c>
      <c r="BY314" s="1011">
        <v>0</v>
      </c>
      <c r="BZ314" s="510">
        <v>0</v>
      </c>
      <c r="CA314" s="1011">
        <v>0</v>
      </c>
      <c r="CB314" s="510">
        <v>0</v>
      </c>
      <c r="CC314" s="1011">
        <v>0</v>
      </c>
      <c r="CD314" s="510">
        <v>0</v>
      </c>
      <c r="CE314" s="1011">
        <v>0</v>
      </c>
      <c r="CF314" s="510">
        <v>55514.400000000001</v>
      </c>
      <c r="CG314" s="1011">
        <v>0</v>
      </c>
      <c r="CH314" s="510">
        <v>0</v>
      </c>
      <c r="CI314" s="1011">
        <v>0</v>
      </c>
    </row>
    <row r="315" spans="1:87" x14ac:dyDescent="0.2">
      <c r="A315" s="449">
        <v>119</v>
      </c>
      <c r="B315" s="453">
        <v>19360</v>
      </c>
      <c r="C315" s="454" t="s">
        <v>3795</v>
      </c>
      <c r="D315" s="454" t="s">
        <v>2950</v>
      </c>
      <c r="E315" s="454" t="s">
        <v>3796</v>
      </c>
      <c r="F315" s="454" t="s">
        <v>520</v>
      </c>
      <c r="G315" s="454" t="s">
        <v>12847</v>
      </c>
      <c r="H315" s="455">
        <v>10466617000150</v>
      </c>
      <c r="I315" s="462">
        <v>39640</v>
      </c>
      <c r="J315" s="457">
        <v>44868855</v>
      </c>
      <c r="K315" s="454" t="s">
        <v>3746</v>
      </c>
      <c r="L315" s="458">
        <v>1120</v>
      </c>
      <c r="M315" s="454" t="s">
        <v>3747</v>
      </c>
      <c r="N315" s="459">
        <v>4941175</v>
      </c>
      <c r="O315" s="460">
        <v>33979620</v>
      </c>
      <c r="P315" s="462">
        <v>304240</v>
      </c>
      <c r="Q315" s="462">
        <v>185</v>
      </c>
      <c r="R315" s="462">
        <v>43969</v>
      </c>
      <c r="S315" s="463">
        <v>980</v>
      </c>
      <c r="T315" s="464">
        <v>5.4</v>
      </c>
      <c r="U315" s="465">
        <v>5292</v>
      </c>
      <c r="V315" s="465">
        <v>20340</v>
      </c>
      <c r="W315" s="466">
        <v>0</v>
      </c>
      <c r="X315" s="467">
        <v>1</v>
      </c>
      <c r="Y315" s="466">
        <v>38448</v>
      </c>
      <c r="Z315" s="468" t="s">
        <v>516</v>
      </c>
      <c r="AA315" s="466">
        <v>159816</v>
      </c>
      <c r="AB315" s="466">
        <v>159816</v>
      </c>
      <c r="AC315" s="467">
        <v>0</v>
      </c>
      <c r="AD315" s="466">
        <v>0</v>
      </c>
      <c r="AE315" s="468" t="s">
        <v>516</v>
      </c>
      <c r="AF315" s="466">
        <v>1600</v>
      </c>
      <c r="AG315" s="466">
        <v>1600</v>
      </c>
      <c r="AH315" s="466">
        <v>18849.7</v>
      </c>
      <c r="AI315" s="466">
        <v>10708.59</v>
      </c>
      <c r="AJ315" s="469" t="s">
        <v>2755</v>
      </c>
      <c r="AK315" s="470" t="s">
        <v>3748</v>
      </c>
      <c r="AL315" s="471" t="s">
        <v>3798</v>
      </c>
      <c r="AM315" s="470" t="s">
        <v>3799</v>
      </c>
      <c r="AN315" s="470" t="s">
        <v>3797</v>
      </c>
      <c r="AO315" s="470" t="s">
        <v>3800</v>
      </c>
      <c r="AP315" s="470" t="s">
        <v>3801</v>
      </c>
      <c r="AQ315" s="470" t="s">
        <v>3795</v>
      </c>
      <c r="AR315" s="472" t="s">
        <v>515</v>
      </c>
      <c r="AS315" s="473" t="s">
        <v>1385</v>
      </c>
      <c r="AT315" s="472" t="s">
        <v>2950</v>
      </c>
      <c r="AU315" s="472" t="s">
        <v>420</v>
      </c>
      <c r="AV315" s="472">
        <v>2020</v>
      </c>
      <c r="AW315" s="474" t="s">
        <v>15078</v>
      </c>
      <c r="AX315" s="475" t="s">
        <v>15079</v>
      </c>
      <c r="AY315" s="515">
        <v>1</v>
      </c>
      <c r="AZ315" s="474" t="s">
        <v>15079</v>
      </c>
      <c r="BA315" s="472" t="s">
        <v>2950</v>
      </c>
      <c r="BB315" s="472" t="s">
        <v>1385</v>
      </c>
      <c r="BC315" s="472" t="s">
        <v>1385</v>
      </c>
      <c r="BD315" s="472" t="s">
        <v>1385</v>
      </c>
      <c r="BE315" s="472" t="s">
        <v>1385</v>
      </c>
      <c r="BF315" s="472">
        <v>38448</v>
      </c>
      <c r="BG315" s="472">
        <v>0</v>
      </c>
      <c r="BH315" s="472" t="s">
        <v>1385</v>
      </c>
      <c r="BI315" s="510">
        <v>0</v>
      </c>
      <c r="BJ315" s="510">
        <v>0</v>
      </c>
      <c r="BK315" s="510">
        <v>0</v>
      </c>
      <c r="BL315" s="510">
        <v>3500</v>
      </c>
      <c r="BM315" s="510">
        <v>0</v>
      </c>
      <c r="BN315" s="510">
        <v>5000</v>
      </c>
      <c r="BO315" s="510">
        <v>400</v>
      </c>
      <c r="BP315" s="510">
        <v>1600</v>
      </c>
      <c r="BQ315" s="510">
        <v>0</v>
      </c>
      <c r="BR315" s="510">
        <v>0</v>
      </c>
      <c r="BS315" s="510">
        <v>0</v>
      </c>
      <c r="BT315" s="510">
        <v>0</v>
      </c>
      <c r="BU315" s="510">
        <v>2500</v>
      </c>
      <c r="BV315" s="510">
        <v>2500</v>
      </c>
      <c r="BW315" s="510">
        <v>0</v>
      </c>
      <c r="BX315" s="510">
        <v>30000</v>
      </c>
      <c r="BY315" s="1011">
        <v>0</v>
      </c>
      <c r="BZ315" s="510">
        <v>0</v>
      </c>
      <c r="CA315" s="1011">
        <v>0</v>
      </c>
      <c r="CB315" s="510">
        <v>22000</v>
      </c>
      <c r="CC315" s="1011">
        <v>0</v>
      </c>
      <c r="CD315" s="510">
        <v>0</v>
      </c>
      <c r="CE315" s="1011">
        <v>0</v>
      </c>
      <c r="CF315" s="510">
        <v>68968</v>
      </c>
      <c r="CG315" s="1011">
        <v>0</v>
      </c>
      <c r="CH315" s="510">
        <v>0</v>
      </c>
      <c r="CI315" s="1011">
        <v>0</v>
      </c>
    </row>
    <row r="316" spans="1:87" x14ac:dyDescent="0.2">
      <c r="A316" s="449">
        <v>114</v>
      </c>
      <c r="B316" s="453">
        <v>19361</v>
      </c>
      <c r="C316" s="454" t="s">
        <v>3802</v>
      </c>
      <c r="D316" s="454" t="s">
        <v>2950</v>
      </c>
      <c r="E316" s="454" t="s">
        <v>3803</v>
      </c>
      <c r="F316" s="454" t="s">
        <v>520</v>
      </c>
      <c r="G316" s="454" t="s">
        <v>12848</v>
      </c>
      <c r="H316" s="455">
        <v>10756942000158</v>
      </c>
      <c r="I316" s="462">
        <v>39750</v>
      </c>
      <c r="J316" s="457">
        <v>44459882</v>
      </c>
      <c r="K316" s="454" t="s">
        <v>3755</v>
      </c>
      <c r="L316" s="458" t="s">
        <v>1446</v>
      </c>
      <c r="M316" s="454" t="s">
        <v>3756</v>
      </c>
      <c r="N316" s="459">
        <v>5856020</v>
      </c>
      <c r="O316" s="460">
        <v>33979747</v>
      </c>
      <c r="P316" s="462">
        <v>304134</v>
      </c>
      <c r="Q316" s="462">
        <v>180</v>
      </c>
      <c r="R316" s="462">
        <v>43979</v>
      </c>
      <c r="S316" s="463">
        <v>1388</v>
      </c>
      <c r="T316" s="464">
        <v>5.4</v>
      </c>
      <c r="U316" s="465">
        <v>7495.2</v>
      </c>
      <c r="V316" s="465">
        <v>21960</v>
      </c>
      <c r="W316" s="466">
        <v>0</v>
      </c>
      <c r="X316" s="467">
        <v>1</v>
      </c>
      <c r="Y316" s="466">
        <v>44182.8</v>
      </c>
      <c r="Z316" s="468" t="s">
        <v>516</v>
      </c>
      <c r="AA316" s="466">
        <v>176516</v>
      </c>
      <c r="AB316" s="466">
        <v>176516</v>
      </c>
      <c r="AC316" s="467">
        <v>0</v>
      </c>
      <c r="AD316" s="466">
        <v>0</v>
      </c>
      <c r="AE316" s="468" t="s">
        <v>516</v>
      </c>
      <c r="AF316" s="466">
        <v>2000</v>
      </c>
      <c r="AG316" s="466">
        <v>2000</v>
      </c>
      <c r="AH316" s="466">
        <v>15897.31</v>
      </c>
      <c r="AI316" s="466">
        <v>12899.04</v>
      </c>
      <c r="AJ316" s="469" t="s">
        <v>1489</v>
      </c>
      <c r="AK316" s="470" t="s">
        <v>520</v>
      </c>
      <c r="AL316" s="471" t="s">
        <v>3805</v>
      </c>
      <c r="AM316" s="470" t="s">
        <v>3806</v>
      </c>
      <c r="AN316" s="470" t="s">
        <v>3804</v>
      </c>
      <c r="AO316" s="470" t="s">
        <v>3807</v>
      </c>
      <c r="AP316" s="470" t="s">
        <v>3760</v>
      </c>
      <c r="AQ316" s="470" t="s">
        <v>3802</v>
      </c>
      <c r="AR316" s="472" t="s">
        <v>515</v>
      </c>
      <c r="AS316" s="473" t="s">
        <v>1385</v>
      </c>
      <c r="AT316" s="472" t="s">
        <v>2950</v>
      </c>
      <c r="AU316" s="472" t="s">
        <v>420</v>
      </c>
      <c r="AV316" s="472">
        <v>2020</v>
      </c>
      <c r="AW316" s="474" t="s">
        <v>15078</v>
      </c>
      <c r="AX316" s="475" t="s">
        <v>15079</v>
      </c>
      <c r="AY316" s="515">
        <v>1</v>
      </c>
      <c r="AZ316" s="474" t="s">
        <v>15079</v>
      </c>
      <c r="BA316" s="472" t="s">
        <v>2950</v>
      </c>
      <c r="BB316" s="472" t="s">
        <v>1385</v>
      </c>
      <c r="BC316" s="472" t="s">
        <v>1385</v>
      </c>
      <c r="BD316" s="472" t="s">
        <v>1385</v>
      </c>
      <c r="BE316" s="472" t="s">
        <v>1385</v>
      </c>
      <c r="BF316" s="472">
        <v>44182.8</v>
      </c>
      <c r="BG316" s="472">
        <v>0</v>
      </c>
      <c r="BH316" s="472" t="s">
        <v>1385</v>
      </c>
      <c r="BI316" s="510">
        <v>0</v>
      </c>
      <c r="BJ316" s="510">
        <v>0</v>
      </c>
      <c r="BK316" s="510">
        <v>0</v>
      </c>
      <c r="BL316" s="510">
        <v>0.5</v>
      </c>
      <c r="BM316" s="510">
        <v>0</v>
      </c>
      <c r="BN316" s="510">
        <v>6000</v>
      </c>
      <c r="BO316" s="510">
        <v>0</v>
      </c>
      <c r="BP316" s="510">
        <v>2000</v>
      </c>
      <c r="BQ316" s="510">
        <v>0</v>
      </c>
      <c r="BR316" s="510">
        <v>0</v>
      </c>
      <c r="BS316" s="510">
        <v>0</v>
      </c>
      <c r="BT316" s="510">
        <v>0</v>
      </c>
      <c r="BU316" s="510">
        <v>2500</v>
      </c>
      <c r="BV316" s="510">
        <v>2500</v>
      </c>
      <c r="BW316" s="510">
        <v>0</v>
      </c>
      <c r="BX316" s="510">
        <v>30000</v>
      </c>
      <c r="BY316" s="1011">
        <v>0</v>
      </c>
      <c r="BZ316" s="510">
        <v>0</v>
      </c>
      <c r="CA316" s="1011">
        <v>0</v>
      </c>
      <c r="CB316" s="510">
        <v>22000</v>
      </c>
      <c r="CC316" s="1011">
        <v>0</v>
      </c>
      <c r="CD316" s="510">
        <v>0</v>
      </c>
      <c r="CE316" s="1011">
        <v>0</v>
      </c>
      <c r="CF316" s="510">
        <v>80333.2</v>
      </c>
      <c r="CG316" s="1011">
        <v>0</v>
      </c>
      <c r="CH316" s="510">
        <v>0</v>
      </c>
      <c r="CI316" s="1011">
        <v>0</v>
      </c>
    </row>
    <row r="317" spans="1:87" x14ac:dyDescent="0.2">
      <c r="A317" s="449">
        <v>121</v>
      </c>
      <c r="B317" s="453">
        <v>19362</v>
      </c>
      <c r="C317" s="454" t="s">
        <v>3808</v>
      </c>
      <c r="D317" s="454" t="s">
        <v>2950</v>
      </c>
      <c r="E317" s="454" t="s">
        <v>3809</v>
      </c>
      <c r="F317" s="454" t="s">
        <v>520</v>
      </c>
      <c r="G317" s="454" t="s">
        <v>12849</v>
      </c>
      <c r="H317" s="455">
        <v>11050495000180</v>
      </c>
      <c r="I317" s="462">
        <v>40031</v>
      </c>
      <c r="J317" s="457">
        <v>44754060</v>
      </c>
      <c r="K317" s="454" t="s">
        <v>3764</v>
      </c>
      <c r="L317" s="458">
        <v>369</v>
      </c>
      <c r="M317" s="454" t="s">
        <v>3765</v>
      </c>
      <c r="N317" s="459">
        <v>4962000</v>
      </c>
      <c r="O317" s="460">
        <v>58962064</v>
      </c>
      <c r="P317" s="462">
        <v>304290</v>
      </c>
      <c r="Q317" s="462">
        <v>187</v>
      </c>
      <c r="R317" s="462">
        <v>43969</v>
      </c>
      <c r="S317" s="463">
        <v>1740</v>
      </c>
      <c r="T317" s="464">
        <v>5.4</v>
      </c>
      <c r="U317" s="465">
        <v>9396</v>
      </c>
      <c r="V317" s="465">
        <v>23580</v>
      </c>
      <c r="W317" s="466">
        <v>0</v>
      </c>
      <c r="X317" s="467">
        <v>1</v>
      </c>
      <c r="Y317" s="466">
        <v>49464</v>
      </c>
      <c r="Z317" s="468" t="s">
        <v>516</v>
      </c>
      <c r="AA317" s="466">
        <v>186480.8</v>
      </c>
      <c r="AB317" s="466">
        <v>186480.8</v>
      </c>
      <c r="AC317" s="467">
        <v>0</v>
      </c>
      <c r="AD317" s="466">
        <v>0</v>
      </c>
      <c r="AE317" s="468" t="s">
        <v>516</v>
      </c>
      <c r="AF317" s="466">
        <v>0</v>
      </c>
      <c r="AG317" s="466">
        <v>0</v>
      </c>
      <c r="AH317" s="466">
        <v>38292.28</v>
      </c>
      <c r="AI317" s="466">
        <v>11551.33</v>
      </c>
      <c r="AJ317" s="469" t="s">
        <v>1515</v>
      </c>
      <c r="AK317" s="470" t="s">
        <v>1516</v>
      </c>
      <c r="AL317" s="471" t="s">
        <v>3811</v>
      </c>
      <c r="AM317" s="470" t="s">
        <v>3812</v>
      </c>
      <c r="AN317" s="470" t="s">
        <v>3810</v>
      </c>
      <c r="AO317" s="470" t="s">
        <v>3813</v>
      </c>
      <c r="AP317" s="470" t="s">
        <v>3765</v>
      </c>
      <c r="AQ317" s="470" t="s">
        <v>3808</v>
      </c>
      <c r="AR317" s="472" t="s">
        <v>515</v>
      </c>
      <c r="AS317" s="473" t="s">
        <v>1385</v>
      </c>
      <c r="AT317" s="472" t="s">
        <v>2950</v>
      </c>
      <c r="AU317" s="472" t="s">
        <v>420</v>
      </c>
      <c r="AV317" s="472">
        <v>2020</v>
      </c>
      <c r="AW317" s="474" t="s">
        <v>15078</v>
      </c>
      <c r="AX317" s="475" t="s">
        <v>15079</v>
      </c>
      <c r="AY317" s="515">
        <v>1</v>
      </c>
      <c r="AZ317" s="474" t="s">
        <v>15079</v>
      </c>
      <c r="BA317" s="472" t="s">
        <v>2950</v>
      </c>
      <c r="BB317" s="472" t="s">
        <v>1385</v>
      </c>
      <c r="BC317" s="472" t="s">
        <v>1385</v>
      </c>
      <c r="BD317" s="472" t="s">
        <v>1385</v>
      </c>
      <c r="BE317" s="472" t="s">
        <v>1385</v>
      </c>
      <c r="BF317" s="509">
        <v>49464</v>
      </c>
      <c r="BG317" s="472">
        <v>0</v>
      </c>
      <c r="BH317" s="472" t="s">
        <v>1385</v>
      </c>
      <c r="BI317" s="510">
        <v>0</v>
      </c>
      <c r="BJ317" s="510">
        <v>1310.5</v>
      </c>
      <c r="BK317" s="510">
        <v>0</v>
      </c>
      <c r="BL317" s="510">
        <v>3500</v>
      </c>
      <c r="BM317" s="510">
        <v>0</v>
      </c>
      <c r="BN317" s="510">
        <v>6000</v>
      </c>
      <c r="BO317" s="510">
        <v>0</v>
      </c>
      <c r="BP317" s="510">
        <v>0</v>
      </c>
      <c r="BQ317" s="510">
        <v>0</v>
      </c>
      <c r="BR317" s="510">
        <v>0</v>
      </c>
      <c r="BS317" s="510">
        <v>0</v>
      </c>
      <c r="BT317" s="510">
        <v>0</v>
      </c>
      <c r="BU317" s="510">
        <v>0</v>
      </c>
      <c r="BV317" s="510">
        <v>0</v>
      </c>
      <c r="BW317" s="510">
        <v>0</v>
      </c>
      <c r="BX317" s="510">
        <v>30000</v>
      </c>
      <c r="BY317" s="1011">
        <v>0</v>
      </c>
      <c r="BZ317" s="510">
        <v>0</v>
      </c>
      <c r="CA317" s="1011">
        <v>0</v>
      </c>
      <c r="CB317" s="510">
        <v>22000</v>
      </c>
      <c r="CC317" s="1011">
        <v>0</v>
      </c>
      <c r="CD317" s="510">
        <v>0</v>
      </c>
      <c r="CE317" s="1011">
        <v>0</v>
      </c>
      <c r="CF317" s="510">
        <v>85016.8</v>
      </c>
      <c r="CG317" s="1011">
        <v>0</v>
      </c>
      <c r="CH317" s="510">
        <v>0</v>
      </c>
      <c r="CI317" s="1011">
        <v>0</v>
      </c>
    </row>
    <row r="318" spans="1:87" x14ac:dyDescent="0.2">
      <c r="A318" s="449">
        <v>54</v>
      </c>
      <c r="B318" s="453">
        <v>19363</v>
      </c>
      <c r="C318" s="454" t="s">
        <v>3814</v>
      </c>
      <c r="D318" s="454" t="s">
        <v>2950</v>
      </c>
      <c r="E318" s="454" t="s">
        <v>3815</v>
      </c>
      <c r="F318" s="454" t="s">
        <v>522</v>
      </c>
      <c r="G318" s="454" t="s">
        <v>12850</v>
      </c>
      <c r="H318" s="455">
        <v>10516905000172</v>
      </c>
      <c r="I318" s="462">
        <v>39759</v>
      </c>
      <c r="J318" s="457">
        <v>39395685</v>
      </c>
      <c r="K318" s="454" t="s">
        <v>3816</v>
      </c>
      <c r="L318" s="458" t="s">
        <v>1446</v>
      </c>
      <c r="M318" s="454" t="s">
        <v>3772</v>
      </c>
      <c r="N318" s="459">
        <v>2814000</v>
      </c>
      <c r="O318" s="460">
        <v>33975449</v>
      </c>
      <c r="P318" s="462">
        <v>80228</v>
      </c>
      <c r="Q318" s="462">
        <v>87</v>
      </c>
      <c r="R318" s="462">
        <v>43967</v>
      </c>
      <c r="S318" s="463">
        <v>1254</v>
      </c>
      <c r="T318" s="464">
        <v>5.4</v>
      </c>
      <c r="U318" s="465">
        <v>6771.6</v>
      </c>
      <c r="V318" s="465">
        <v>21960</v>
      </c>
      <c r="W318" s="466">
        <v>0</v>
      </c>
      <c r="X318" s="467">
        <v>1</v>
      </c>
      <c r="Y318" s="466">
        <v>49685.4</v>
      </c>
      <c r="Z318" s="468" t="s">
        <v>516</v>
      </c>
      <c r="AA318" s="466">
        <v>168500.2</v>
      </c>
      <c r="AB318" s="466">
        <v>168500.2</v>
      </c>
      <c r="AC318" s="467">
        <v>0</v>
      </c>
      <c r="AD318" s="466">
        <v>0</v>
      </c>
      <c r="AE318" s="468" t="s">
        <v>516</v>
      </c>
      <c r="AF318" s="466">
        <v>1000</v>
      </c>
      <c r="AG318" s="466">
        <v>1000</v>
      </c>
      <c r="AH318" s="466">
        <v>647.13</v>
      </c>
      <c r="AI318" s="466">
        <v>9412.44</v>
      </c>
      <c r="AJ318" s="469" t="s">
        <v>1571</v>
      </c>
      <c r="AK318" s="470" t="s">
        <v>528</v>
      </c>
      <c r="AL318" s="471" t="s">
        <v>3817</v>
      </c>
      <c r="AM318" s="470" t="s">
        <v>12851</v>
      </c>
      <c r="AN318" s="470" t="s">
        <v>1385</v>
      </c>
      <c r="AO318" s="470" t="s">
        <v>12852</v>
      </c>
      <c r="AP318" s="470" t="s">
        <v>3772</v>
      </c>
      <c r="AQ318" s="470" t="s">
        <v>3814</v>
      </c>
      <c r="AR318" s="472" t="s">
        <v>515</v>
      </c>
      <c r="AS318" s="473" t="s">
        <v>1385</v>
      </c>
      <c r="AT318" s="472" t="s">
        <v>2950</v>
      </c>
      <c r="AU318" s="472" t="s">
        <v>420</v>
      </c>
      <c r="AV318" s="472">
        <v>2020</v>
      </c>
      <c r="AW318" s="474" t="s">
        <v>15078</v>
      </c>
      <c r="AX318" s="475" t="s">
        <v>15079</v>
      </c>
      <c r="AY318" s="515">
        <v>1</v>
      </c>
      <c r="AZ318" s="474" t="s">
        <v>15079</v>
      </c>
      <c r="BA318" s="472" t="s">
        <v>2950</v>
      </c>
      <c r="BB318" s="472" t="s">
        <v>516</v>
      </c>
      <c r="BC318" s="472">
        <v>3</v>
      </c>
      <c r="BD318" s="472">
        <v>4392</v>
      </c>
      <c r="BE318" s="472">
        <v>0</v>
      </c>
      <c r="BF318" s="472">
        <v>49685.4</v>
      </c>
      <c r="BG318" s="472">
        <v>0</v>
      </c>
      <c r="BH318" s="472" t="s">
        <v>1385</v>
      </c>
      <c r="BI318" s="510">
        <v>0</v>
      </c>
      <c r="BJ318" s="510">
        <v>0</v>
      </c>
      <c r="BK318" s="510">
        <v>0</v>
      </c>
      <c r="BL318" s="510">
        <v>3500</v>
      </c>
      <c r="BM318" s="510">
        <v>0</v>
      </c>
      <c r="BN318" s="510">
        <v>6000</v>
      </c>
      <c r="BO318" s="510">
        <v>1000</v>
      </c>
      <c r="BP318" s="510">
        <v>1000</v>
      </c>
      <c r="BQ318" s="510">
        <v>0</v>
      </c>
      <c r="BR318" s="510">
        <v>0</v>
      </c>
      <c r="BS318" s="510">
        <v>0</v>
      </c>
      <c r="BT318" s="510">
        <v>0</v>
      </c>
      <c r="BU318" s="510">
        <v>2500</v>
      </c>
      <c r="BV318" s="510">
        <v>2500</v>
      </c>
      <c r="BW318" s="510">
        <v>0</v>
      </c>
      <c r="BX318" s="510">
        <v>30000</v>
      </c>
      <c r="BY318" s="1011">
        <v>0</v>
      </c>
      <c r="BZ318" s="510">
        <v>0</v>
      </c>
      <c r="CA318" s="1011">
        <v>0</v>
      </c>
      <c r="CB318" s="510">
        <v>22000</v>
      </c>
      <c r="CC318" s="1011">
        <v>0</v>
      </c>
      <c r="CD318" s="510">
        <v>0</v>
      </c>
      <c r="CE318" s="1011">
        <v>0</v>
      </c>
      <c r="CF318" s="510">
        <v>65814.8</v>
      </c>
      <c r="CG318" s="1011">
        <v>0</v>
      </c>
      <c r="CH318" s="510">
        <v>0</v>
      </c>
      <c r="CI318" s="1011">
        <v>0</v>
      </c>
    </row>
    <row r="319" spans="1:87" x14ac:dyDescent="0.2">
      <c r="A319" s="449">
        <v>130</v>
      </c>
      <c r="B319" s="453">
        <v>19364</v>
      </c>
      <c r="C319" s="454" t="s">
        <v>3819</v>
      </c>
      <c r="D319" s="454" t="s">
        <v>2000</v>
      </c>
      <c r="E319" s="454" t="s">
        <v>3820</v>
      </c>
      <c r="F319" s="454" t="s">
        <v>513</v>
      </c>
      <c r="G319" s="454" t="s">
        <v>12853</v>
      </c>
      <c r="H319" s="455">
        <v>3928163000127</v>
      </c>
      <c r="I319" s="462">
        <v>36717</v>
      </c>
      <c r="J319" s="457">
        <v>37531433</v>
      </c>
      <c r="K319" s="454" t="s">
        <v>3276</v>
      </c>
      <c r="L319" s="458">
        <v>80</v>
      </c>
      <c r="M319" s="454" t="s">
        <v>3821</v>
      </c>
      <c r="N319" s="459">
        <v>8395320</v>
      </c>
      <c r="O319" s="460">
        <v>27521015</v>
      </c>
      <c r="P319" s="462">
        <v>154701</v>
      </c>
      <c r="Q319" s="462">
        <v>130</v>
      </c>
      <c r="R319" s="462">
        <v>43937</v>
      </c>
      <c r="S319" s="463">
        <v>547</v>
      </c>
      <c r="T319" s="464">
        <v>3.6</v>
      </c>
      <c r="U319" s="465">
        <v>1969.2</v>
      </c>
      <c r="V319" s="465">
        <v>16560</v>
      </c>
      <c r="W319" s="466">
        <v>0</v>
      </c>
      <c r="X319" s="467">
        <v>1</v>
      </c>
      <c r="Y319" s="466">
        <v>27793.8</v>
      </c>
      <c r="Z319" s="468" t="s">
        <v>516</v>
      </c>
      <c r="AA319" s="466">
        <v>110010.6</v>
      </c>
      <c r="AB319" s="466">
        <v>110010.6</v>
      </c>
      <c r="AC319" s="467">
        <v>0</v>
      </c>
      <c r="AD319" s="466">
        <v>0</v>
      </c>
      <c r="AE319" s="468" t="s">
        <v>516</v>
      </c>
      <c r="AF319" s="466">
        <v>0</v>
      </c>
      <c r="AG319" s="466">
        <v>0</v>
      </c>
      <c r="AH319" s="466">
        <v>21021.040000000001</v>
      </c>
      <c r="AI319" s="466">
        <v>4411.4799999999996</v>
      </c>
      <c r="AJ319" s="469" t="s">
        <v>1560</v>
      </c>
      <c r="AK319" s="470" t="s">
        <v>1561</v>
      </c>
      <c r="AL319" s="471" t="s">
        <v>3822</v>
      </c>
      <c r="AM319" s="470" t="s">
        <v>12854</v>
      </c>
      <c r="AN319" s="470" t="s">
        <v>1385</v>
      </c>
      <c r="AO319" s="470" t="s">
        <v>3823</v>
      </c>
      <c r="AP319" s="470" t="s">
        <v>3824</v>
      </c>
      <c r="AQ319" s="470" t="s">
        <v>3819</v>
      </c>
      <c r="AR319" s="472" t="s">
        <v>515</v>
      </c>
      <c r="AS319" s="473" t="s">
        <v>1385</v>
      </c>
      <c r="AT319" s="472" t="s">
        <v>2000</v>
      </c>
      <c r="AU319" s="472" t="s">
        <v>420</v>
      </c>
      <c r="AV319" s="472">
        <v>2020</v>
      </c>
      <c r="AW319" s="474" t="s">
        <v>15078</v>
      </c>
      <c r="AX319" s="475" t="s">
        <v>15079</v>
      </c>
      <c r="AY319" s="515">
        <v>1</v>
      </c>
      <c r="AZ319" s="474" t="s">
        <v>15079</v>
      </c>
      <c r="BA319" s="472" t="s">
        <v>2000</v>
      </c>
      <c r="BB319" s="472" t="s">
        <v>1385</v>
      </c>
      <c r="BC319" s="472" t="s">
        <v>1385</v>
      </c>
      <c r="BD319" s="472" t="s">
        <v>1385</v>
      </c>
      <c r="BE319" s="472" t="s">
        <v>1385</v>
      </c>
      <c r="BF319" s="509">
        <v>27793.8</v>
      </c>
      <c r="BG319" s="509">
        <v>0</v>
      </c>
      <c r="BH319" s="472" t="s">
        <v>1385</v>
      </c>
      <c r="BI319" s="510">
        <v>0</v>
      </c>
      <c r="BJ319" s="510">
        <v>0</v>
      </c>
      <c r="BK319" s="510">
        <v>0</v>
      </c>
      <c r="BL319" s="510">
        <v>0</v>
      </c>
      <c r="BM319" s="510">
        <v>0</v>
      </c>
      <c r="BN319" s="510">
        <v>4000</v>
      </c>
      <c r="BO319" s="510">
        <v>0</v>
      </c>
      <c r="BP319" s="510">
        <v>0</v>
      </c>
      <c r="BQ319" s="510">
        <v>0</v>
      </c>
      <c r="BR319" s="510">
        <v>0</v>
      </c>
      <c r="BS319" s="510">
        <v>0</v>
      </c>
      <c r="BT319" s="510">
        <v>0</v>
      </c>
      <c r="BU319" s="510">
        <v>0</v>
      </c>
      <c r="BV319" s="510">
        <v>0</v>
      </c>
      <c r="BW319" s="510">
        <v>0</v>
      </c>
      <c r="BX319" s="510">
        <v>30000</v>
      </c>
      <c r="BY319" s="1011">
        <v>0</v>
      </c>
      <c r="BZ319" s="510">
        <v>0</v>
      </c>
      <c r="CA319" s="1011">
        <v>0</v>
      </c>
      <c r="CB319" s="510">
        <v>0</v>
      </c>
      <c r="CC319" s="1011">
        <v>0</v>
      </c>
      <c r="CD319" s="510">
        <v>0</v>
      </c>
      <c r="CE319" s="1011">
        <v>0</v>
      </c>
      <c r="CF319" s="510">
        <v>52216.800000000003</v>
      </c>
      <c r="CG319" s="1011">
        <v>0</v>
      </c>
      <c r="CH319" s="510">
        <v>0</v>
      </c>
      <c r="CI319" s="1011">
        <v>0</v>
      </c>
    </row>
    <row r="320" spans="1:87" x14ac:dyDescent="0.2">
      <c r="A320" s="449">
        <v>73</v>
      </c>
      <c r="B320" s="453">
        <v>19365</v>
      </c>
      <c r="C320" s="454" t="s">
        <v>3825</v>
      </c>
      <c r="D320" s="454" t="s">
        <v>2950</v>
      </c>
      <c r="E320" s="454" t="s">
        <v>3826</v>
      </c>
      <c r="F320" s="454" t="s">
        <v>527</v>
      </c>
      <c r="G320" s="454" t="s">
        <v>12855</v>
      </c>
      <c r="H320" s="455">
        <v>10935891000121</v>
      </c>
      <c r="I320" s="462">
        <v>39678</v>
      </c>
      <c r="J320" s="457">
        <v>39395740</v>
      </c>
      <c r="K320" s="454" t="s">
        <v>3827</v>
      </c>
      <c r="L320" s="458">
        <v>564</v>
      </c>
      <c r="M320" s="454" t="s">
        <v>3828</v>
      </c>
      <c r="N320" s="459">
        <v>3819160</v>
      </c>
      <c r="O320" s="460">
        <v>33963470</v>
      </c>
      <c r="P320" s="462">
        <v>183248</v>
      </c>
      <c r="Q320" s="462">
        <v>117</v>
      </c>
      <c r="R320" s="462">
        <v>43938</v>
      </c>
      <c r="S320" s="463">
        <v>1357</v>
      </c>
      <c r="T320" s="464">
        <v>5.4</v>
      </c>
      <c r="U320" s="465">
        <v>7327.8</v>
      </c>
      <c r="V320" s="465">
        <v>21960</v>
      </c>
      <c r="W320" s="466">
        <v>0</v>
      </c>
      <c r="X320" s="467">
        <v>1</v>
      </c>
      <c r="Y320" s="466">
        <v>43931.7</v>
      </c>
      <c r="Z320" s="468" t="s">
        <v>516</v>
      </c>
      <c r="AA320" s="466">
        <v>172567.7</v>
      </c>
      <c r="AB320" s="466">
        <v>172567.7</v>
      </c>
      <c r="AC320" s="467">
        <v>0</v>
      </c>
      <c r="AD320" s="466">
        <v>0</v>
      </c>
      <c r="AE320" s="468" t="s">
        <v>516</v>
      </c>
      <c r="AF320" s="466">
        <v>0</v>
      </c>
      <c r="AG320" s="466">
        <v>0</v>
      </c>
      <c r="AH320" s="466">
        <v>32649.1</v>
      </c>
      <c r="AI320" s="466">
        <v>31429.19</v>
      </c>
      <c r="AJ320" s="469" t="s">
        <v>3829</v>
      </c>
      <c r="AK320" s="470" t="s">
        <v>3830</v>
      </c>
      <c r="AL320" s="471" t="s">
        <v>3831</v>
      </c>
      <c r="AM320" s="470" t="s">
        <v>12856</v>
      </c>
      <c r="AN320" s="470" t="s">
        <v>12855</v>
      </c>
      <c r="AO320" s="470" t="s">
        <v>3832</v>
      </c>
      <c r="AP320" s="470" t="s">
        <v>3833</v>
      </c>
      <c r="AQ320" s="470" t="s">
        <v>3825</v>
      </c>
      <c r="AR320" s="472" t="s">
        <v>515</v>
      </c>
      <c r="AS320" s="473" t="s">
        <v>1385</v>
      </c>
      <c r="AT320" s="472" t="s">
        <v>2950</v>
      </c>
      <c r="AU320" s="472" t="s">
        <v>420</v>
      </c>
      <c r="AV320" s="472">
        <v>2020</v>
      </c>
      <c r="AW320" s="474" t="s">
        <v>15078</v>
      </c>
      <c r="AX320" s="475" t="s">
        <v>15079</v>
      </c>
      <c r="AY320" s="515">
        <v>1</v>
      </c>
      <c r="AZ320" s="474" t="s">
        <v>15079</v>
      </c>
      <c r="BA320" s="472" t="s">
        <v>2950</v>
      </c>
      <c r="BB320" s="472" t="s">
        <v>1385</v>
      </c>
      <c r="BC320" s="472" t="s">
        <v>1385</v>
      </c>
      <c r="BD320" s="472" t="s">
        <v>1385</v>
      </c>
      <c r="BE320" s="472" t="s">
        <v>1385</v>
      </c>
      <c r="BF320" s="472">
        <v>43931.7</v>
      </c>
      <c r="BG320" s="472">
        <v>0</v>
      </c>
      <c r="BH320" s="472" t="s">
        <v>1385</v>
      </c>
      <c r="BI320" s="510">
        <v>0</v>
      </c>
      <c r="BJ320" s="510">
        <v>7492.5</v>
      </c>
      <c r="BK320" s="510">
        <v>0</v>
      </c>
      <c r="BL320" s="510">
        <v>0</v>
      </c>
      <c r="BM320" s="510">
        <v>0</v>
      </c>
      <c r="BN320" s="510">
        <v>5400</v>
      </c>
      <c r="BO320" s="510">
        <v>0</v>
      </c>
      <c r="BP320" s="510">
        <v>0</v>
      </c>
      <c r="BQ320" s="510">
        <v>0</v>
      </c>
      <c r="BR320" s="510">
        <v>0</v>
      </c>
      <c r="BS320" s="510">
        <v>0</v>
      </c>
      <c r="BT320" s="510">
        <v>0</v>
      </c>
      <c r="BU320" s="510">
        <v>0</v>
      </c>
      <c r="BV320" s="510">
        <v>0</v>
      </c>
      <c r="BW320" s="510">
        <v>0</v>
      </c>
      <c r="BX320" s="510">
        <v>30000</v>
      </c>
      <c r="BY320" s="1011">
        <v>0</v>
      </c>
      <c r="BZ320" s="510">
        <v>0</v>
      </c>
      <c r="CA320" s="1011">
        <v>0</v>
      </c>
      <c r="CB320" s="510">
        <v>22000</v>
      </c>
      <c r="CC320" s="1011">
        <v>0</v>
      </c>
      <c r="CD320" s="510">
        <v>0</v>
      </c>
      <c r="CE320" s="1011">
        <v>0</v>
      </c>
      <c r="CF320" s="510">
        <v>76636</v>
      </c>
      <c r="CG320" s="1011">
        <v>0</v>
      </c>
      <c r="CH320" s="510">
        <v>0</v>
      </c>
      <c r="CI320" s="1011">
        <v>0</v>
      </c>
    </row>
    <row r="321" spans="1:87" x14ac:dyDescent="0.2">
      <c r="A321" s="449">
        <v>84</v>
      </c>
      <c r="B321" s="453">
        <v>19366</v>
      </c>
      <c r="C321" s="454" t="s">
        <v>3834</v>
      </c>
      <c r="D321" s="454" t="s">
        <v>2950</v>
      </c>
      <c r="E321" s="454" t="s">
        <v>3835</v>
      </c>
      <c r="F321" s="454" t="s">
        <v>513</v>
      </c>
      <c r="G321" s="454" t="s">
        <v>12857</v>
      </c>
      <c r="H321" s="455">
        <v>10478853000197</v>
      </c>
      <c r="I321" s="462">
        <v>39759</v>
      </c>
      <c r="J321" s="457">
        <v>44681429</v>
      </c>
      <c r="K321" s="454" t="s">
        <v>3782</v>
      </c>
      <c r="L321" s="458" t="s">
        <v>1446</v>
      </c>
      <c r="M321" s="454" t="s">
        <v>3783</v>
      </c>
      <c r="N321" s="459">
        <v>3969000</v>
      </c>
      <c r="O321" s="460">
        <v>37930063</v>
      </c>
      <c r="P321" s="462">
        <v>151036</v>
      </c>
      <c r="Q321" s="462">
        <v>84</v>
      </c>
      <c r="R321" s="462">
        <v>43937</v>
      </c>
      <c r="S321" s="463">
        <v>940</v>
      </c>
      <c r="T321" s="464">
        <v>5.4</v>
      </c>
      <c r="U321" s="465">
        <v>5076</v>
      </c>
      <c r="V321" s="465">
        <v>20340</v>
      </c>
      <c r="W321" s="466">
        <v>0</v>
      </c>
      <c r="X321" s="467">
        <v>1</v>
      </c>
      <c r="Y321" s="466">
        <v>44226</v>
      </c>
      <c r="Z321" s="468" t="s">
        <v>516</v>
      </c>
      <c r="AA321" s="466">
        <v>160053.6</v>
      </c>
      <c r="AB321" s="466">
        <v>160053.6</v>
      </c>
      <c r="AC321" s="467">
        <v>0</v>
      </c>
      <c r="AD321" s="466">
        <v>0</v>
      </c>
      <c r="AE321" s="468" t="s">
        <v>516</v>
      </c>
      <c r="AF321" s="466">
        <v>2000</v>
      </c>
      <c r="AG321" s="466">
        <v>2000</v>
      </c>
      <c r="AH321" s="466">
        <v>12072.3</v>
      </c>
      <c r="AI321" s="466">
        <v>6409.09</v>
      </c>
      <c r="AJ321" s="469" t="s">
        <v>1972</v>
      </c>
      <c r="AK321" s="470" t="s">
        <v>1973</v>
      </c>
      <c r="AL321" s="471" t="s">
        <v>3836</v>
      </c>
      <c r="AM321" s="470" t="s">
        <v>3837</v>
      </c>
      <c r="AN321" s="470" t="s">
        <v>3838</v>
      </c>
      <c r="AO321" s="470" t="s">
        <v>3839</v>
      </c>
      <c r="AP321" s="470" t="s">
        <v>3840</v>
      </c>
      <c r="AQ321" s="470" t="s">
        <v>3834</v>
      </c>
      <c r="AR321" s="472" t="s">
        <v>515</v>
      </c>
      <c r="AS321" s="473" t="s">
        <v>1385</v>
      </c>
      <c r="AT321" s="472" t="s">
        <v>2950</v>
      </c>
      <c r="AU321" s="472" t="s">
        <v>420</v>
      </c>
      <c r="AV321" s="472">
        <v>2020</v>
      </c>
      <c r="AW321" s="474" t="s">
        <v>15078</v>
      </c>
      <c r="AX321" s="475" t="s">
        <v>15079</v>
      </c>
      <c r="AY321" s="515">
        <v>1</v>
      </c>
      <c r="AZ321" s="474" t="s">
        <v>15079</v>
      </c>
      <c r="BA321" s="472" t="s">
        <v>2950</v>
      </c>
      <c r="BB321" s="472" t="s">
        <v>516</v>
      </c>
      <c r="BC321" s="472">
        <v>3</v>
      </c>
      <c r="BD321" s="472">
        <v>4068</v>
      </c>
      <c r="BE321" s="472">
        <v>0</v>
      </c>
      <c r="BF321" s="472">
        <v>44226</v>
      </c>
      <c r="BG321" s="472">
        <v>0</v>
      </c>
      <c r="BH321" s="472" t="s">
        <v>1385</v>
      </c>
      <c r="BI321" s="510">
        <v>0</v>
      </c>
      <c r="BJ321" s="510">
        <v>0</v>
      </c>
      <c r="BK321" s="510">
        <v>0</v>
      </c>
      <c r="BL321" s="510">
        <v>3140</v>
      </c>
      <c r="BM321" s="510">
        <v>0</v>
      </c>
      <c r="BN321" s="510">
        <v>5000</v>
      </c>
      <c r="BO321" s="510">
        <v>0</v>
      </c>
      <c r="BP321" s="510">
        <v>2000</v>
      </c>
      <c r="BQ321" s="510">
        <v>0</v>
      </c>
      <c r="BR321" s="510">
        <v>0</v>
      </c>
      <c r="BS321" s="510">
        <v>0</v>
      </c>
      <c r="BT321" s="510">
        <v>0</v>
      </c>
      <c r="BU321" s="510">
        <v>2500</v>
      </c>
      <c r="BV321" s="510">
        <v>2500</v>
      </c>
      <c r="BW321" s="510">
        <v>0</v>
      </c>
      <c r="BX321" s="510">
        <v>30000</v>
      </c>
      <c r="BY321" s="1011">
        <v>0</v>
      </c>
      <c r="BZ321" s="510">
        <v>0</v>
      </c>
      <c r="CA321" s="1011">
        <v>0</v>
      </c>
      <c r="CB321" s="510">
        <v>22000</v>
      </c>
      <c r="CC321" s="1011">
        <v>0</v>
      </c>
      <c r="CD321" s="510">
        <v>0</v>
      </c>
      <c r="CE321" s="1011">
        <v>0</v>
      </c>
      <c r="CF321" s="510">
        <v>63827.6</v>
      </c>
      <c r="CG321" s="1011">
        <v>0</v>
      </c>
      <c r="CH321" s="510">
        <v>0</v>
      </c>
      <c r="CI321" s="1011">
        <v>0</v>
      </c>
    </row>
    <row r="322" spans="1:87" x14ac:dyDescent="0.2">
      <c r="A322" s="449">
        <v>85</v>
      </c>
      <c r="B322" s="453">
        <v>19367</v>
      </c>
      <c r="C322" s="454" t="s">
        <v>3841</v>
      </c>
      <c r="D322" s="454" t="s">
        <v>2950</v>
      </c>
      <c r="E322" s="454" t="s">
        <v>3842</v>
      </c>
      <c r="F322" s="454" t="s">
        <v>526</v>
      </c>
      <c r="G322" s="454" t="s">
        <v>12858</v>
      </c>
      <c r="H322" s="455">
        <v>10700999000135</v>
      </c>
      <c r="I322" s="462">
        <v>39875</v>
      </c>
      <c r="J322" s="457">
        <v>39951219</v>
      </c>
      <c r="K322" s="454" t="s">
        <v>3791</v>
      </c>
      <c r="L322" s="458">
        <v>400</v>
      </c>
      <c r="M322" s="454" t="s">
        <v>3792</v>
      </c>
      <c r="N322" s="459">
        <v>8191330</v>
      </c>
      <c r="O322" s="460">
        <v>33976412</v>
      </c>
      <c r="P322" s="462">
        <v>136592</v>
      </c>
      <c r="Q322" s="462">
        <v>85</v>
      </c>
      <c r="R322" s="462">
        <v>43928</v>
      </c>
      <c r="S322" s="463">
        <v>1042</v>
      </c>
      <c r="T322" s="464">
        <v>5.4</v>
      </c>
      <c r="U322" s="465">
        <v>5626.8</v>
      </c>
      <c r="V322" s="465">
        <v>20340</v>
      </c>
      <c r="W322" s="466">
        <v>0</v>
      </c>
      <c r="X322" s="467">
        <v>1</v>
      </c>
      <c r="Y322" s="466">
        <v>38950.199999999997</v>
      </c>
      <c r="Z322" s="468" t="s">
        <v>516</v>
      </c>
      <c r="AA322" s="466">
        <v>155350.20000000001</v>
      </c>
      <c r="AB322" s="466">
        <v>155350.20000000001</v>
      </c>
      <c r="AC322" s="467">
        <v>0</v>
      </c>
      <c r="AD322" s="466">
        <v>0</v>
      </c>
      <c r="AE322" s="468" t="s">
        <v>516</v>
      </c>
      <c r="AF322" s="466">
        <v>2000</v>
      </c>
      <c r="AG322" s="466">
        <v>2000</v>
      </c>
      <c r="AH322" s="466">
        <v>25630.27</v>
      </c>
      <c r="AI322" s="466">
        <v>0</v>
      </c>
      <c r="AJ322" s="469" t="s">
        <v>1410</v>
      </c>
      <c r="AK322" s="470" t="s">
        <v>1411</v>
      </c>
      <c r="AL322" s="471" t="s">
        <v>3843</v>
      </c>
      <c r="AM322" s="470" t="s">
        <v>3844</v>
      </c>
      <c r="AN322" s="470" t="s">
        <v>1385</v>
      </c>
      <c r="AO322" s="470" t="s">
        <v>3845</v>
      </c>
      <c r="AP322" s="470" t="s">
        <v>3794</v>
      </c>
      <c r="AQ322" s="470" t="s">
        <v>3841</v>
      </c>
      <c r="AR322" s="472" t="s">
        <v>515</v>
      </c>
      <c r="AS322" s="473" t="s">
        <v>1385</v>
      </c>
      <c r="AT322" s="472" t="s">
        <v>2950</v>
      </c>
      <c r="AU322" s="472" t="s">
        <v>420</v>
      </c>
      <c r="AV322" s="472">
        <v>2020</v>
      </c>
      <c r="AW322" s="474" t="s">
        <v>15078</v>
      </c>
      <c r="AX322" s="475" t="s">
        <v>15079</v>
      </c>
      <c r="AY322" s="515">
        <v>1</v>
      </c>
      <c r="AZ322" s="474" t="s">
        <v>15079</v>
      </c>
      <c r="BA322" s="472" t="s">
        <v>2950</v>
      </c>
      <c r="BB322" s="472" t="s">
        <v>1385</v>
      </c>
      <c r="BC322" s="472" t="s">
        <v>1385</v>
      </c>
      <c r="BD322" s="472" t="s">
        <v>1385</v>
      </c>
      <c r="BE322" s="472" t="s">
        <v>1385</v>
      </c>
      <c r="BF322" s="472">
        <v>38950.199999999997</v>
      </c>
      <c r="BG322" s="472">
        <v>0</v>
      </c>
      <c r="BH322" s="472" t="s">
        <v>1385</v>
      </c>
      <c r="BI322" s="510">
        <v>0</v>
      </c>
      <c r="BJ322" s="510">
        <v>0</v>
      </c>
      <c r="BK322" s="510">
        <v>0</v>
      </c>
      <c r="BL322" s="510">
        <v>0</v>
      </c>
      <c r="BM322" s="510">
        <v>0</v>
      </c>
      <c r="BN322" s="510">
        <v>5000</v>
      </c>
      <c r="BO322" s="510">
        <v>0</v>
      </c>
      <c r="BP322" s="510">
        <v>2000</v>
      </c>
      <c r="BQ322" s="510">
        <v>0</v>
      </c>
      <c r="BR322" s="510">
        <v>0</v>
      </c>
      <c r="BS322" s="510">
        <v>0</v>
      </c>
      <c r="BT322" s="510">
        <v>0</v>
      </c>
      <c r="BU322" s="510">
        <v>2500</v>
      </c>
      <c r="BV322" s="510">
        <v>2500</v>
      </c>
      <c r="BW322" s="510">
        <v>0</v>
      </c>
      <c r="BX322" s="510">
        <v>30000</v>
      </c>
      <c r="BY322" s="1011">
        <v>0</v>
      </c>
      <c r="BZ322" s="510">
        <v>0</v>
      </c>
      <c r="CA322" s="1011">
        <v>0</v>
      </c>
      <c r="CB322" s="510">
        <v>22000</v>
      </c>
      <c r="CC322" s="1011">
        <v>0</v>
      </c>
      <c r="CD322" s="510">
        <v>0</v>
      </c>
      <c r="CE322" s="1011">
        <v>0</v>
      </c>
      <c r="CF322" s="510">
        <v>64400</v>
      </c>
      <c r="CG322" s="1011">
        <v>0</v>
      </c>
      <c r="CH322" s="510">
        <v>0</v>
      </c>
      <c r="CI322" s="1011">
        <v>0</v>
      </c>
    </row>
    <row r="323" spans="1:87" x14ac:dyDescent="0.2">
      <c r="A323" s="449">
        <v>63</v>
      </c>
      <c r="B323" s="453">
        <v>19369</v>
      </c>
      <c r="C323" s="454" t="s">
        <v>3846</v>
      </c>
      <c r="D323" s="454" t="s">
        <v>2950</v>
      </c>
      <c r="E323" s="454" t="s">
        <v>3847</v>
      </c>
      <c r="F323" s="454" t="s">
        <v>523</v>
      </c>
      <c r="G323" s="454" t="s">
        <v>12859</v>
      </c>
      <c r="H323" s="455">
        <v>10295668000167</v>
      </c>
      <c r="I323" s="462">
        <v>39653</v>
      </c>
      <c r="J323" s="457">
        <v>38089696</v>
      </c>
      <c r="K323" s="454" t="s">
        <v>3471</v>
      </c>
      <c r="L323" s="458">
        <v>293</v>
      </c>
      <c r="M323" s="454" t="s">
        <v>523</v>
      </c>
      <c r="N323" s="459">
        <v>8451420</v>
      </c>
      <c r="O323" s="460">
        <v>21539825</v>
      </c>
      <c r="P323" s="462">
        <v>270396</v>
      </c>
      <c r="Q323" s="462">
        <v>63</v>
      </c>
      <c r="R323" s="462">
        <v>43921</v>
      </c>
      <c r="S323" s="463">
        <v>1118</v>
      </c>
      <c r="T323" s="464">
        <v>5.4</v>
      </c>
      <c r="U323" s="465">
        <v>6037.2</v>
      </c>
      <c r="V323" s="465">
        <v>20340</v>
      </c>
      <c r="W323" s="466">
        <v>0</v>
      </c>
      <c r="X323" s="467">
        <v>1</v>
      </c>
      <c r="Y323" s="466">
        <v>39565.800000000003</v>
      </c>
      <c r="Z323" s="468" t="s">
        <v>516</v>
      </c>
      <c r="AA323" s="466">
        <v>161578.20000000001</v>
      </c>
      <c r="AB323" s="466">
        <v>161578.20000000001</v>
      </c>
      <c r="AC323" s="467">
        <v>0</v>
      </c>
      <c r="AD323" s="466">
        <v>0</v>
      </c>
      <c r="AE323" s="468" t="s">
        <v>516</v>
      </c>
      <c r="AF323" s="466">
        <v>0</v>
      </c>
      <c r="AG323" s="466">
        <v>0</v>
      </c>
      <c r="AH323" s="466">
        <v>60957.04</v>
      </c>
      <c r="AI323" s="466">
        <v>9539.7000000000007</v>
      </c>
      <c r="AJ323" s="469" t="s">
        <v>1395</v>
      </c>
      <c r="AK323" s="470" t="s">
        <v>523</v>
      </c>
      <c r="AL323" s="471" t="s">
        <v>3629</v>
      </c>
      <c r="AM323" s="470" t="s">
        <v>3849</v>
      </c>
      <c r="AN323" s="470" t="s">
        <v>3848</v>
      </c>
      <c r="AO323" s="470" t="s">
        <v>3850</v>
      </c>
      <c r="AP323" s="470" t="s">
        <v>3510</v>
      </c>
      <c r="AQ323" s="470" t="s">
        <v>3846</v>
      </c>
      <c r="AR323" s="472" t="s">
        <v>515</v>
      </c>
      <c r="AS323" s="473" t="s">
        <v>1385</v>
      </c>
      <c r="AT323" s="472" t="s">
        <v>2950</v>
      </c>
      <c r="AU323" s="472" t="s">
        <v>420</v>
      </c>
      <c r="AV323" s="472">
        <v>2020</v>
      </c>
      <c r="AW323" s="474" t="s">
        <v>15078</v>
      </c>
      <c r="AX323" s="475" t="s">
        <v>15079</v>
      </c>
      <c r="AY323" s="515">
        <v>1</v>
      </c>
      <c r="AZ323" s="474" t="s">
        <v>15079</v>
      </c>
      <c r="BA323" s="472" t="s">
        <v>2950</v>
      </c>
      <c r="BB323" s="472" t="s">
        <v>1385</v>
      </c>
      <c r="BC323" s="472" t="s">
        <v>1385</v>
      </c>
      <c r="BD323" s="472" t="s">
        <v>1385</v>
      </c>
      <c r="BE323" s="472" t="s">
        <v>1385</v>
      </c>
      <c r="BF323" s="472">
        <v>39565.800000000003</v>
      </c>
      <c r="BG323" s="472">
        <v>0</v>
      </c>
      <c r="BH323" s="472" t="s">
        <v>1385</v>
      </c>
      <c r="BI323" s="510">
        <v>0</v>
      </c>
      <c r="BJ323" s="510">
        <v>0</v>
      </c>
      <c r="BK323" s="510">
        <v>0</v>
      </c>
      <c r="BL323" s="510">
        <v>0</v>
      </c>
      <c r="BM323" s="510">
        <v>0</v>
      </c>
      <c r="BN323" s="510">
        <v>5000</v>
      </c>
      <c r="BO323" s="510">
        <v>0</v>
      </c>
      <c r="BP323" s="510">
        <v>0</v>
      </c>
      <c r="BQ323" s="510">
        <v>0</v>
      </c>
      <c r="BR323" s="510">
        <v>0</v>
      </c>
      <c r="BS323" s="510">
        <v>0</v>
      </c>
      <c r="BT323" s="510">
        <v>0</v>
      </c>
      <c r="BU323" s="510">
        <v>2500</v>
      </c>
      <c r="BV323" s="510">
        <v>2500</v>
      </c>
      <c r="BW323" s="510">
        <v>0</v>
      </c>
      <c r="BX323" s="510">
        <v>30000</v>
      </c>
      <c r="BY323" s="1011">
        <v>0</v>
      </c>
      <c r="BZ323" s="510">
        <v>0</v>
      </c>
      <c r="CA323" s="1011">
        <v>0</v>
      </c>
      <c r="CB323" s="510">
        <v>22000</v>
      </c>
      <c r="CC323" s="1011">
        <v>0</v>
      </c>
      <c r="CD323" s="510">
        <v>0</v>
      </c>
      <c r="CE323" s="1011">
        <v>0</v>
      </c>
      <c r="CF323" s="510">
        <v>70012.399999999994</v>
      </c>
      <c r="CG323" s="1011">
        <v>0</v>
      </c>
      <c r="CH323" s="510">
        <v>0</v>
      </c>
      <c r="CI323" s="1011">
        <v>0</v>
      </c>
    </row>
    <row r="324" spans="1:87" x14ac:dyDescent="0.2">
      <c r="A324" s="449">
        <v>75</v>
      </c>
      <c r="B324" s="453">
        <v>19370</v>
      </c>
      <c r="C324" s="454" t="s">
        <v>3851</v>
      </c>
      <c r="D324" s="454" t="s">
        <v>517</v>
      </c>
      <c r="E324" s="454" t="s">
        <v>3852</v>
      </c>
      <c r="F324" s="454" t="s">
        <v>520</v>
      </c>
      <c r="G324" s="454" t="s">
        <v>12860</v>
      </c>
      <c r="H324" s="455">
        <v>10896328000191</v>
      </c>
      <c r="I324" s="462">
        <v>39645</v>
      </c>
      <c r="J324" s="457">
        <v>44754124</v>
      </c>
      <c r="K324" s="454" t="s">
        <v>3854</v>
      </c>
      <c r="L324" s="458">
        <v>10</v>
      </c>
      <c r="M324" s="454" t="s">
        <v>3855</v>
      </c>
      <c r="N324" s="459">
        <v>5856590</v>
      </c>
      <c r="O324" s="460">
        <v>58246912</v>
      </c>
      <c r="P324" s="462">
        <v>301089</v>
      </c>
      <c r="Q324" s="462">
        <v>140</v>
      </c>
      <c r="R324" s="462">
        <v>43979</v>
      </c>
      <c r="S324" s="463">
        <v>951</v>
      </c>
      <c r="T324" s="464">
        <v>5.4</v>
      </c>
      <c r="U324" s="465">
        <v>5135.3999999999996</v>
      </c>
      <c r="V324" s="465">
        <v>20340</v>
      </c>
      <c r="W324" s="466">
        <v>0</v>
      </c>
      <c r="X324" s="467">
        <v>1</v>
      </c>
      <c r="Y324" s="466">
        <v>38213.1</v>
      </c>
      <c r="Z324" s="468" t="s">
        <v>516</v>
      </c>
      <c r="AA324" s="466">
        <v>141688.70000000001</v>
      </c>
      <c r="AB324" s="466">
        <v>141688.70000000001</v>
      </c>
      <c r="AC324" s="467">
        <v>0</v>
      </c>
      <c r="AD324" s="466">
        <v>0</v>
      </c>
      <c r="AE324" s="468" t="s">
        <v>516</v>
      </c>
      <c r="AF324" s="466">
        <v>1000</v>
      </c>
      <c r="AG324" s="466">
        <v>1000</v>
      </c>
      <c r="AH324" s="466">
        <v>17293.86</v>
      </c>
      <c r="AI324" s="466">
        <v>7938.17</v>
      </c>
      <c r="AJ324" s="469" t="s">
        <v>1470</v>
      </c>
      <c r="AK324" s="470" t="s">
        <v>3856</v>
      </c>
      <c r="AL324" s="471" t="s">
        <v>3857</v>
      </c>
      <c r="AM324" s="470" t="s">
        <v>3858</v>
      </c>
      <c r="AN324" s="470" t="s">
        <v>3853</v>
      </c>
      <c r="AO324" s="470" t="s">
        <v>3859</v>
      </c>
      <c r="AP324" s="470" t="s">
        <v>3860</v>
      </c>
      <c r="AQ324" s="470" t="s">
        <v>3851</v>
      </c>
      <c r="AR324" s="472" t="s">
        <v>515</v>
      </c>
      <c r="AS324" s="473" t="s">
        <v>1385</v>
      </c>
      <c r="AT324" s="472" t="s">
        <v>517</v>
      </c>
      <c r="AU324" s="472" t="s">
        <v>420</v>
      </c>
      <c r="AV324" s="472">
        <v>2020</v>
      </c>
      <c r="AW324" s="474" t="s">
        <v>15078</v>
      </c>
      <c r="AX324" s="475" t="s">
        <v>15079</v>
      </c>
      <c r="AY324" s="515">
        <v>1</v>
      </c>
      <c r="AZ324" s="474" t="s">
        <v>15079</v>
      </c>
      <c r="BA324" s="472" t="s">
        <v>517</v>
      </c>
      <c r="BB324" s="472" t="s">
        <v>1385</v>
      </c>
      <c r="BC324" s="472" t="s">
        <v>1385</v>
      </c>
      <c r="BD324" s="472" t="s">
        <v>1385</v>
      </c>
      <c r="BE324" s="472" t="s">
        <v>1385</v>
      </c>
      <c r="BF324" s="472">
        <v>38213.1</v>
      </c>
      <c r="BG324" s="472">
        <v>0</v>
      </c>
      <c r="BH324" s="472" t="s">
        <v>1385</v>
      </c>
      <c r="BI324" s="510">
        <v>0</v>
      </c>
      <c r="BJ324" s="510">
        <v>0</v>
      </c>
      <c r="BK324" s="510">
        <v>0</v>
      </c>
      <c r="BL324" s="510">
        <v>0</v>
      </c>
      <c r="BM324" s="510">
        <v>0</v>
      </c>
      <c r="BN324" s="510">
        <v>4040</v>
      </c>
      <c r="BO324" s="510">
        <v>1000</v>
      </c>
      <c r="BP324" s="510">
        <v>1000</v>
      </c>
      <c r="BQ324" s="510">
        <v>0</v>
      </c>
      <c r="BR324" s="510">
        <v>0</v>
      </c>
      <c r="BS324" s="510">
        <v>0</v>
      </c>
      <c r="BT324" s="510">
        <v>0</v>
      </c>
      <c r="BU324" s="510">
        <v>2500</v>
      </c>
      <c r="BV324" s="510">
        <v>2500</v>
      </c>
      <c r="BW324" s="510">
        <v>0</v>
      </c>
      <c r="BX324" s="510">
        <v>30000</v>
      </c>
      <c r="BY324" s="1011">
        <v>0</v>
      </c>
      <c r="BZ324" s="510">
        <v>0</v>
      </c>
      <c r="CA324" s="1011">
        <v>0</v>
      </c>
      <c r="CB324" s="510">
        <v>22000</v>
      </c>
      <c r="CC324" s="1011">
        <v>0</v>
      </c>
      <c r="CD324" s="510">
        <v>0</v>
      </c>
      <c r="CE324" s="1011">
        <v>0</v>
      </c>
      <c r="CF324" s="510">
        <v>50475.6</v>
      </c>
      <c r="CG324" s="1011">
        <v>0</v>
      </c>
      <c r="CH324" s="510">
        <v>0</v>
      </c>
      <c r="CI324" s="1011">
        <v>0</v>
      </c>
    </row>
    <row r="325" spans="1:87" x14ac:dyDescent="0.2">
      <c r="A325" s="449">
        <v>78</v>
      </c>
      <c r="B325" s="453">
        <v>19371</v>
      </c>
      <c r="C325" s="454" t="s">
        <v>3861</v>
      </c>
      <c r="D325" s="454" t="s">
        <v>2000</v>
      </c>
      <c r="E325" s="454" t="s">
        <v>3862</v>
      </c>
      <c r="F325" s="454" t="s">
        <v>529</v>
      </c>
      <c r="G325" s="454" t="s">
        <v>12861</v>
      </c>
      <c r="H325" s="455">
        <v>11187293000184</v>
      </c>
      <c r="I325" s="462">
        <v>40053</v>
      </c>
      <c r="J325" s="457">
        <v>42533570</v>
      </c>
      <c r="K325" s="454" t="s">
        <v>3863</v>
      </c>
      <c r="L325" s="458">
        <v>5241</v>
      </c>
      <c r="M325" s="454" t="s">
        <v>3864</v>
      </c>
      <c r="N325" s="459">
        <v>4309001</v>
      </c>
      <c r="O325" s="460">
        <v>56238665</v>
      </c>
      <c r="P325" s="462">
        <v>563326</v>
      </c>
      <c r="Q325" s="462">
        <v>27</v>
      </c>
      <c r="R325" s="462">
        <v>43921</v>
      </c>
      <c r="S325" s="463">
        <v>627</v>
      </c>
      <c r="T325" s="464">
        <v>3.6</v>
      </c>
      <c r="U325" s="465">
        <v>2257.1999999999998</v>
      </c>
      <c r="V325" s="465">
        <v>18000</v>
      </c>
      <c r="W325" s="466">
        <v>0</v>
      </c>
      <c r="X325" s="467">
        <v>1</v>
      </c>
      <c r="Y325" s="466">
        <v>30385.8</v>
      </c>
      <c r="Z325" s="468" t="s">
        <v>516</v>
      </c>
      <c r="AA325" s="466">
        <v>112523.4</v>
      </c>
      <c r="AB325" s="466">
        <v>112523.4</v>
      </c>
      <c r="AC325" s="467">
        <v>0</v>
      </c>
      <c r="AD325" s="466">
        <v>0</v>
      </c>
      <c r="AE325" s="468" t="s">
        <v>516</v>
      </c>
      <c r="AF325" s="466">
        <v>0</v>
      </c>
      <c r="AG325" s="466">
        <v>0</v>
      </c>
      <c r="AH325" s="466">
        <v>13921.04</v>
      </c>
      <c r="AI325" s="466">
        <v>14804.04</v>
      </c>
      <c r="AJ325" s="469" t="s">
        <v>1750</v>
      </c>
      <c r="AK325" s="470" t="s">
        <v>524</v>
      </c>
      <c r="AL325" s="471" t="s">
        <v>3865</v>
      </c>
      <c r="AM325" s="470" t="s">
        <v>3866</v>
      </c>
      <c r="AN325" s="470" t="s">
        <v>12861</v>
      </c>
      <c r="AO325" s="470" t="s">
        <v>3867</v>
      </c>
      <c r="AP325" s="470" t="s">
        <v>3868</v>
      </c>
      <c r="AQ325" s="470" t="s">
        <v>3861</v>
      </c>
      <c r="AR325" s="472" t="s">
        <v>515</v>
      </c>
      <c r="AS325" s="473" t="s">
        <v>1385</v>
      </c>
      <c r="AT325" s="472" t="s">
        <v>2000</v>
      </c>
      <c r="AU325" s="472" t="s">
        <v>420</v>
      </c>
      <c r="AV325" s="472">
        <v>2020</v>
      </c>
      <c r="AW325" s="474" t="s">
        <v>15078</v>
      </c>
      <c r="AX325" s="475" t="s">
        <v>15079</v>
      </c>
      <c r="AY325" s="515">
        <v>1</v>
      </c>
      <c r="AZ325" s="474" t="s">
        <v>15079</v>
      </c>
      <c r="BA325" s="472" t="s">
        <v>2000</v>
      </c>
      <c r="BB325" s="472" t="s">
        <v>1385</v>
      </c>
      <c r="BC325" s="472" t="s">
        <v>1385</v>
      </c>
      <c r="BD325" s="472" t="s">
        <v>1385</v>
      </c>
      <c r="BE325" s="472" t="s">
        <v>1385</v>
      </c>
      <c r="BF325" s="472">
        <v>30385.8</v>
      </c>
      <c r="BG325" s="472">
        <v>0</v>
      </c>
      <c r="BH325" s="472" t="s">
        <v>1385</v>
      </c>
      <c r="BI325" s="510">
        <v>0</v>
      </c>
      <c r="BJ325" s="510">
        <v>0</v>
      </c>
      <c r="BK325" s="510">
        <v>0</v>
      </c>
      <c r="BL325" s="510">
        <v>0</v>
      </c>
      <c r="BM325" s="510">
        <v>0</v>
      </c>
      <c r="BN325" s="510">
        <v>5000</v>
      </c>
      <c r="BO325" s="510">
        <v>0</v>
      </c>
      <c r="BP325" s="510">
        <v>0</v>
      </c>
      <c r="BQ325" s="510">
        <v>0</v>
      </c>
      <c r="BR325" s="510">
        <v>0</v>
      </c>
      <c r="BS325" s="510">
        <v>0</v>
      </c>
      <c r="BT325" s="510">
        <v>0</v>
      </c>
      <c r="BU325" s="510">
        <v>0</v>
      </c>
      <c r="BV325" s="510">
        <v>0</v>
      </c>
      <c r="BW325" s="510">
        <v>0</v>
      </c>
      <c r="BX325" s="510">
        <v>30000</v>
      </c>
      <c r="BY325" s="1011">
        <v>0</v>
      </c>
      <c r="BZ325" s="510">
        <v>0</v>
      </c>
      <c r="CA325" s="1011">
        <v>0</v>
      </c>
      <c r="CB325" s="510">
        <v>0</v>
      </c>
      <c r="CC325" s="1011">
        <v>0</v>
      </c>
      <c r="CD325" s="510">
        <v>0</v>
      </c>
      <c r="CE325" s="1011">
        <v>0</v>
      </c>
      <c r="CF325" s="510">
        <v>52137.599999999999</v>
      </c>
      <c r="CG325" s="1011">
        <v>0</v>
      </c>
      <c r="CH325" s="510">
        <v>0</v>
      </c>
      <c r="CI325" s="1011">
        <v>0</v>
      </c>
    </row>
    <row r="326" spans="1:87" x14ac:dyDescent="0.2">
      <c r="A326" s="449">
        <v>63</v>
      </c>
      <c r="B326" s="453">
        <v>19372</v>
      </c>
      <c r="C326" s="454" t="s">
        <v>3869</v>
      </c>
      <c r="D326" s="454" t="s">
        <v>517</v>
      </c>
      <c r="E326" s="454" t="s">
        <v>3869</v>
      </c>
      <c r="F326" s="454" t="s">
        <v>520</v>
      </c>
      <c r="G326" s="454" t="s">
        <v>12862</v>
      </c>
      <c r="H326" s="455">
        <v>4407170000146</v>
      </c>
      <c r="I326" s="462">
        <v>36846</v>
      </c>
      <c r="J326" s="457">
        <v>37619659</v>
      </c>
      <c r="K326" s="454" t="s">
        <v>3870</v>
      </c>
      <c r="L326" s="458">
        <v>1205</v>
      </c>
      <c r="M326" s="454" t="s">
        <v>3871</v>
      </c>
      <c r="N326" s="459">
        <v>4960020</v>
      </c>
      <c r="O326" s="460">
        <v>55170228</v>
      </c>
      <c r="P326" s="462">
        <v>300384</v>
      </c>
      <c r="Q326" s="462">
        <v>128</v>
      </c>
      <c r="R326" s="462">
        <v>43983</v>
      </c>
      <c r="S326" s="463">
        <v>757</v>
      </c>
      <c r="T326" s="464">
        <v>5.4</v>
      </c>
      <c r="U326" s="465">
        <v>4087.8</v>
      </c>
      <c r="V326" s="465">
        <v>18720</v>
      </c>
      <c r="W326" s="466">
        <v>0</v>
      </c>
      <c r="X326" s="467">
        <v>1</v>
      </c>
      <c r="Y326" s="466">
        <v>34211.699999999997</v>
      </c>
      <c r="Z326" s="468" t="s">
        <v>516</v>
      </c>
      <c r="AA326" s="466">
        <v>132557.29999999999</v>
      </c>
      <c r="AB326" s="466">
        <v>132557.29999999999</v>
      </c>
      <c r="AC326" s="467">
        <v>0</v>
      </c>
      <c r="AD326" s="466">
        <v>0</v>
      </c>
      <c r="AE326" s="468" t="s">
        <v>516</v>
      </c>
      <c r="AF326" s="466">
        <v>1000</v>
      </c>
      <c r="AG326" s="466">
        <v>1000</v>
      </c>
      <c r="AH326" s="466">
        <v>41643.35</v>
      </c>
      <c r="AI326" s="466">
        <v>7505.44</v>
      </c>
      <c r="AJ326" s="469" t="s">
        <v>1470</v>
      </c>
      <c r="AK326" s="470" t="s">
        <v>1471</v>
      </c>
      <c r="AL326" s="471" t="s">
        <v>3872</v>
      </c>
      <c r="AM326" s="470" t="s">
        <v>3873</v>
      </c>
      <c r="AN326" s="470" t="s">
        <v>3874</v>
      </c>
      <c r="AO326" s="470" t="s">
        <v>3875</v>
      </c>
      <c r="AP326" s="470" t="s">
        <v>2590</v>
      </c>
      <c r="AQ326" s="470" t="s">
        <v>3869</v>
      </c>
      <c r="AR326" s="472" t="s">
        <v>515</v>
      </c>
      <c r="AS326" s="473" t="s">
        <v>1385</v>
      </c>
      <c r="AT326" s="472" t="s">
        <v>517</v>
      </c>
      <c r="AU326" s="472" t="s">
        <v>420</v>
      </c>
      <c r="AV326" s="472">
        <v>2020</v>
      </c>
      <c r="AW326" s="474" t="s">
        <v>15078</v>
      </c>
      <c r="AX326" s="475" t="s">
        <v>15079</v>
      </c>
      <c r="AY326" s="515">
        <v>1</v>
      </c>
      <c r="AZ326" s="474" t="s">
        <v>15079</v>
      </c>
      <c r="BA326" s="472" t="s">
        <v>517</v>
      </c>
      <c r="BB326" s="472" t="s">
        <v>1385</v>
      </c>
      <c r="BC326" s="472" t="s">
        <v>1385</v>
      </c>
      <c r="BD326" s="472" t="s">
        <v>1385</v>
      </c>
      <c r="BE326" s="472" t="s">
        <v>1385</v>
      </c>
      <c r="BF326" s="472">
        <v>34211.699999999997</v>
      </c>
      <c r="BG326" s="472">
        <v>0</v>
      </c>
      <c r="BH326" s="472" t="s">
        <v>1385</v>
      </c>
      <c r="BI326" s="510">
        <v>0</v>
      </c>
      <c r="BJ326" s="510">
        <v>0</v>
      </c>
      <c r="BK326" s="510">
        <v>0</v>
      </c>
      <c r="BL326" s="510">
        <v>3500</v>
      </c>
      <c r="BM326" s="510">
        <v>0</v>
      </c>
      <c r="BN326" s="510">
        <v>5000</v>
      </c>
      <c r="BO326" s="510">
        <v>1000</v>
      </c>
      <c r="BP326" s="510">
        <v>1000</v>
      </c>
      <c r="BQ326" s="510">
        <v>0</v>
      </c>
      <c r="BR326" s="510">
        <v>0</v>
      </c>
      <c r="BS326" s="510">
        <v>0</v>
      </c>
      <c r="BT326" s="510">
        <v>0</v>
      </c>
      <c r="BU326" s="510">
        <v>0</v>
      </c>
      <c r="BV326" s="510">
        <v>0</v>
      </c>
      <c r="BW326" s="510">
        <v>0</v>
      </c>
      <c r="BX326" s="510">
        <v>30000</v>
      </c>
      <c r="BY326" s="1011">
        <v>0</v>
      </c>
      <c r="BZ326" s="510">
        <v>0</v>
      </c>
      <c r="CA326" s="1011">
        <v>0</v>
      </c>
      <c r="CB326" s="510">
        <v>22000</v>
      </c>
      <c r="CC326" s="1011">
        <v>0</v>
      </c>
      <c r="CD326" s="510">
        <v>0</v>
      </c>
      <c r="CE326" s="1011">
        <v>0</v>
      </c>
      <c r="CF326" s="510">
        <v>45345.599999999999</v>
      </c>
      <c r="CG326" s="1011">
        <v>0</v>
      </c>
      <c r="CH326" s="510">
        <v>0</v>
      </c>
      <c r="CI326" s="1011">
        <v>0</v>
      </c>
    </row>
    <row r="327" spans="1:87" x14ac:dyDescent="0.2">
      <c r="A327" s="449">
        <v>54</v>
      </c>
      <c r="B327" s="453">
        <v>19373</v>
      </c>
      <c r="C327" s="454" t="s">
        <v>3876</v>
      </c>
      <c r="D327" s="454" t="s">
        <v>2950</v>
      </c>
      <c r="E327" s="454" t="s">
        <v>3877</v>
      </c>
      <c r="F327" s="454" t="s">
        <v>529</v>
      </c>
      <c r="G327" s="454" t="s">
        <v>12863</v>
      </c>
      <c r="H327" s="455">
        <v>11378468000130</v>
      </c>
      <c r="I327" s="462">
        <v>40060</v>
      </c>
      <c r="J327" s="457">
        <v>42711339</v>
      </c>
      <c r="K327" s="454" t="s">
        <v>3878</v>
      </c>
      <c r="L327" s="458">
        <v>5241</v>
      </c>
      <c r="M327" s="454" t="s">
        <v>3864</v>
      </c>
      <c r="N327" s="459">
        <v>4309001</v>
      </c>
      <c r="O327" s="460">
        <v>33965583</v>
      </c>
      <c r="P327" s="462">
        <v>563822</v>
      </c>
      <c r="Q327" s="462">
        <v>57</v>
      </c>
      <c r="R327" s="462">
        <v>43921</v>
      </c>
      <c r="S327" s="463">
        <v>983</v>
      </c>
      <c r="T327" s="464">
        <v>5.4</v>
      </c>
      <c r="U327" s="465">
        <v>5308.2</v>
      </c>
      <c r="V327" s="465">
        <v>20340</v>
      </c>
      <c r="W327" s="466">
        <v>0</v>
      </c>
      <c r="X327" s="467">
        <v>1</v>
      </c>
      <c r="Y327" s="466">
        <v>38472.300000000003</v>
      </c>
      <c r="Z327" s="468" t="s">
        <v>516</v>
      </c>
      <c r="AA327" s="466">
        <v>162068.29999999999</v>
      </c>
      <c r="AB327" s="466">
        <v>162068.29999999999</v>
      </c>
      <c r="AC327" s="467">
        <v>0</v>
      </c>
      <c r="AD327" s="466">
        <v>0</v>
      </c>
      <c r="AE327" s="468" t="s">
        <v>516</v>
      </c>
      <c r="AF327" s="466">
        <v>2000</v>
      </c>
      <c r="AG327" s="466">
        <v>2000</v>
      </c>
      <c r="AH327" s="466">
        <v>38233.839999999997</v>
      </c>
      <c r="AI327" s="466">
        <v>5257.76</v>
      </c>
      <c r="AJ327" s="469" t="s">
        <v>3879</v>
      </c>
      <c r="AK327" s="470" t="s">
        <v>3864</v>
      </c>
      <c r="AL327" s="471" t="s">
        <v>3880</v>
      </c>
      <c r="AM327" s="470" t="s">
        <v>3881</v>
      </c>
      <c r="AN327" s="470" t="s">
        <v>12863</v>
      </c>
      <c r="AO327" s="470" t="s">
        <v>12864</v>
      </c>
      <c r="AP327" s="470" t="s">
        <v>3882</v>
      </c>
      <c r="AQ327" s="470" t="s">
        <v>3876</v>
      </c>
      <c r="AR327" s="472" t="s">
        <v>515</v>
      </c>
      <c r="AS327" s="473" t="s">
        <v>1385</v>
      </c>
      <c r="AT327" s="472" t="s">
        <v>2950</v>
      </c>
      <c r="AU327" s="472" t="s">
        <v>420</v>
      </c>
      <c r="AV327" s="472">
        <v>2020</v>
      </c>
      <c r="AW327" s="474" t="s">
        <v>15078</v>
      </c>
      <c r="AX327" s="475" t="s">
        <v>15079</v>
      </c>
      <c r="AY327" s="515">
        <v>1</v>
      </c>
      <c r="AZ327" s="474" t="s">
        <v>15079</v>
      </c>
      <c r="BA327" s="472" t="s">
        <v>2950</v>
      </c>
      <c r="BB327" s="472" t="s">
        <v>1385</v>
      </c>
      <c r="BC327" s="472" t="s">
        <v>1385</v>
      </c>
      <c r="BD327" s="472" t="s">
        <v>1385</v>
      </c>
      <c r="BE327" s="472" t="s">
        <v>1385</v>
      </c>
      <c r="BF327" s="472">
        <v>38472.300000000003</v>
      </c>
      <c r="BG327" s="472">
        <v>0</v>
      </c>
      <c r="BH327" s="472" t="s">
        <v>1385</v>
      </c>
      <c r="BI327" s="510">
        <v>0</v>
      </c>
      <c r="BJ327" s="510">
        <v>0</v>
      </c>
      <c r="BK327" s="510">
        <v>0</v>
      </c>
      <c r="BL327" s="510">
        <v>0</v>
      </c>
      <c r="BM327" s="510">
        <v>0</v>
      </c>
      <c r="BN327" s="510">
        <v>5000</v>
      </c>
      <c r="BO327" s="510">
        <v>0</v>
      </c>
      <c r="BP327" s="510">
        <v>2000</v>
      </c>
      <c r="BQ327" s="510">
        <v>0</v>
      </c>
      <c r="BR327" s="510">
        <v>0</v>
      </c>
      <c r="BS327" s="510">
        <v>0</v>
      </c>
      <c r="BT327" s="510">
        <v>0</v>
      </c>
      <c r="BU327" s="510">
        <v>0</v>
      </c>
      <c r="BV327" s="510">
        <v>0</v>
      </c>
      <c r="BW327" s="510">
        <v>0</v>
      </c>
      <c r="BX327" s="510">
        <v>30000</v>
      </c>
      <c r="BY327" s="1011">
        <v>0</v>
      </c>
      <c r="BZ327" s="510">
        <v>0</v>
      </c>
      <c r="CA327" s="1011">
        <v>0</v>
      </c>
      <c r="CB327" s="510">
        <v>22000</v>
      </c>
      <c r="CC327" s="1011">
        <v>0</v>
      </c>
      <c r="CD327" s="510">
        <v>0</v>
      </c>
      <c r="CE327" s="1011">
        <v>0</v>
      </c>
      <c r="CF327" s="510">
        <v>71596</v>
      </c>
      <c r="CG327" s="1011">
        <v>0</v>
      </c>
      <c r="CH327" s="510">
        <v>0</v>
      </c>
      <c r="CI327" s="1011">
        <v>0</v>
      </c>
    </row>
    <row r="328" spans="1:87" x14ac:dyDescent="0.2">
      <c r="A328" s="449">
        <v>163</v>
      </c>
      <c r="B328" s="453">
        <v>19374</v>
      </c>
      <c r="C328" s="454" t="s">
        <v>3883</v>
      </c>
      <c r="D328" s="454" t="s">
        <v>2000</v>
      </c>
      <c r="E328" s="454" t="s">
        <v>3884</v>
      </c>
      <c r="F328" s="454" t="s">
        <v>520</v>
      </c>
      <c r="G328" s="454" t="s">
        <v>12865</v>
      </c>
      <c r="H328" s="455">
        <v>11018747000193</v>
      </c>
      <c r="I328" s="462">
        <v>37622</v>
      </c>
      <c r="J328" s="457">
        <v>44868928</v>
      </c>
      <c r="K328" s="454" t="s">
        <v>3886</v>
      </c>
      <c r="L328" s="458" t="s">
        <v>1446</v>
      </c>
      <c r="M328" s="454" t="s">
        <v>3887</v>
      </c>
      <c r="N328" s="459">
        <v>5867380</v>
      </c>
      <c r="O328" s="460">
        <v>58738090</v>
      </c>
      <c r="P328" s="462">
        <v>308326</v>
      </c>
      <c r="Q328" s="462">
        <v>109</v>
      </c>
      <c r="R328" s="462">
        <v>43979</v>
      </c>
      <c r="S328" s="463">
        <v>547</v>
      </c>
      <c r="T328" s="464">
        <v>3.6</v>
      </c>
      <c r="U328" s="465">
        <v>1969.2</v>
      </c>
      <c r="V328" s="465">
        <v>16560</v>
      </c>
      <c r="W328" s="466">
        <v>0</v>
      </c>
      <c r="X328" s="467">
        <v>1</v>
      </c>
      <c r="Y328" s="466">
        <v>27793.8</v>
      </c>
      <c r="Z328" s="468" t="s">
        <v>516</v>
      </c>
      <c r="AA328" s="466">
        <v>109823.4</v>
      </c>
      <c r="AB328" s="466">
        <v>109823.4</v>
      </c>
      <c r="AC328" s="467">
        <v>0</v>
      </c>
      <c r="AD328" s="466">
        <v>0</v>
      </c>
      <c r="AE328" s="468" t="s">
        <v>516</v>
      </c>
      <c r="AF328" s="466">
        <v>0</v>
      </c>
      <c r="AG328" s="466">
        <v>0</v>
      </c>
      <c r="AH328" s="466">
        <v>25210.15</v>
      </c>
      <c r="AI328" s="466">
        <v>12809.72</v>
      </c>
      <c r="AJ328" s="469" t="s">
        <v>1489</v>
      </c>
      <c r="AK328" s="470" t="s">
        <v>520</v>
      </c>
      <c r="AL328" s="471" t="s">
        <v>3888</v>
      </c>
      <c r="AM328" s="470" t="s">
        <v>12866</v>
      </c>
      <c r="AN328" s="470" t="s">
        <v>3885</v>
      </c>
      <c r="AO328" s="470" t="s">
        <v>3889</v>
      </c>
      <c r="AP328" s="470" t="s">
        <v>3890</v>
      </c>
      <c r="AQ328" s="470" t="s">
        <v>3883</v>
      </c>
      <c r="AR328" s="472" t="s">
        <v>515</v>
      </c>
      <c r="AS328" s="473" t="s">
        <v>1385</v>
      </c>
      <c r="AT328" s="472" t="s">
        <v>2000</v>
      </c>
      <c r="AU328" s="472" t="s">
        <v>420</v>
      </c>
      <c r="AV328" s="472">
        <v>2020</v>
      </c>
      <c r="AW328" s="474" t="s">
        <v>15078</v>
      </c>
      <c r="AX328" s="475" t="s">
        <v>15079</v>
      </c>
      <c r="AY328" s="515">
        <v>1</v>
      </c>
      <c r="AZ328" s="474" t="s">
        <v>15079</v>
      </c>
      <c r="BA328" s="472" t="s">
        <v>2000</v>
      </c>
      <c r="BB328" s="472" t="s">
        <v>1385</v>
      </c>
      <c r="BC328" s="472" t="s">
        <v>1385</v>
      </c>
      <c r="BD328" s="472" t="s">
        <v>1385</v>
      </c>
      <c r="BE328" s="472" t="s">
        <v>1385</v>
      </c>
      <c r="BF328" s="472">
        <v>27793.8</v>
      </c>
      <c r="BG328" s="472">
        <v>0</v>
      </c>
      <c r="BH328" s="472" t="s">
        <v>1385</v>
      </c>
      <c r="BI328" s="510">
        <v>0</v>
      </c>
      <c r="BJ328" s="510">
        <v>0</v>
      </c>
      <c r="BK328" s="510">
        <v>0</v>
      </c>
      <c r="BL328" s="510">
        <v>0</v>
      </c>
      <c r="BM328" s="510">
        <v>0</v>
      </c>
      <c r="BN328" s="510">
        <v>4000</v>
      </c>
      <c r="BO328" s="510">
        <v>0</v>
      </c>
      <c r="BP328" s="510">
        <v>0</v>
      </c>
      <c r="BQ328" s="510">
        <v>0</v>
      </c>
      <c r="BR328" s="510">
        <v>0</v>
      </c>
      <c r="BS328" s="510">
        <v>0</v>
      </c>
      <c r="BT328" s="510">
        <v>0</v>
      </c>
      <c r="BU328" s="510">
        <v>0</v>
      </c>
      <c r="BV328" s="510">
        <v>0</v>
      </c>
      <c r="BW328" s="510">
        <v>0</v>
      </c>
      <c r="BX328" s="510">
        <v>30000</v>
      </c>
      <c r="BY328" s="1011">
        <v>0</v>
      </c>
      <c r="BZ328" s="510">
        <v>0</v>
      </c>
      <c r="CA328" s="1011">
        <v>0</v>
      </c>
      <c r="CB328" s="510">
        <v>0</v>
      </c>
      <c r="CC328" s="1011">
        <v>0</v>
      </c>
      <c r="CD328" s="510">
        <v>0</v>
      </c>
      <c r="CE328" s="1011">
        <v>0</v>
      </c>
      <c r="CF328" s="510">
        <v>52029.599999999999</v>
      </c>
      <c r="CG328" s="1011">
        <v>0</v>
      </c>
      <c r="CH328" s="510">
        <v>0</v>
      </c>
      <c r="CI328" s="1011">
        <v>0</v>
      </c>
    </row>
    <row r="329" spans="1:87" x14ac:dyDescent="0.2">
      <c r="A329" s="449">
        <v>168</v>
      </c>
      <c r="B329" s="453">
        <v>19375</v>
      </c>
      <c r="C329" s="454" t="s">
        <v>3891</v>
      </c>
      <c r="D329" s="454" t="s">
        <v>2000</v>
      </c>
      <c r="E329" s="454" t="s">
        <v>3892</v>
      </c>
      <c r="F329" s="454" t="s">
        <v>520</v>
      </c>
      <c r="G329" s="454" t="s">
        <v>12867</v>
      </c>
      <c r="H329" s="455">
        <v>11018399000154</v>
      </c>
      <c r="I329" s="462">
        <v>40001</v>
      </c>
      <c r="J329" s="457">
        <v>41153952</v>
      </c>
      <c r="K329" s="454" t="s">
        <v>3894</v>
      </c>
      <c r="L329" s="458" t="s">
        <v>1446</v>
      </c>
      <c r="M329" s="454" t="s">
        <v>3895</v>
      </c>
      <c r="N329" s="459">
        <v>5712040</v>
      </c>
      <c r="O329" s="460">
        <v>35015656</v>
      </c>
      <c r="P329" s="462">
        <v>308784</v>
      </c>
      <c r="Q329" s="462">
        <v>114</v>
      </c>
      <c r="R329" s="462">
        <v>43969</v>
      </c>
      <c r="S329" s="463">
        <v>536</v>
      </c>
      <c r="T329" s="464">
        <v>3.6</v>
      </c>
      <c r="U329" s="465">
        <v>1929.6</v>
      </c>
      <c r="V329" s="465">
        <v>16560</v>
      </c>
      <c r="W329" s="466">
        <v>0</v>
      </c>
      <c r="X329" s="467">
        <v>1</v>
      </c>
      <c r="Y329" s="466">
        <v>27734.400000000001</v>
      </c>
      <c r="Z329" s="468" t="s">
        <v>516</v>
      </c>
      <c r="AA329" s="466">
        <v>109612.8</v>
      </c>
      <c r="AB329" s="466">
        <v>109612.8</v>
      </c>
      <c r="AC329" s="467">
        <v>0</v>
      </c>
      <c r="AD329" s="466">
        <v>0</v>
      </c>
      <c r="AE329" s="468" t="s">
        <v>516</v>
      </c>
      <c r="AF329" s="466">
        <v>0</v>
      </c>
      <c r="AG329" s="466">
        <v>0</v>
      </c>
      <c r="AH329" s="466">
        <v>10575.8</v>
      </c>
      <c r="AI329" s="466">
        <v>1978.21</v>
      </c>
      <c r="AJ329" s="469" t="s">
        <v>1470</v>
      </c>
      <c r="AK329" s="470" t="s">
        <v>3856</v>
      </c>
      <c r="AL329" s="471" t="s">
        <v>3896</v>
      </c>
      <c r="AM329" s="470" t="s">
        <v>12868</v>
      </c>
      <c r="AN329" s="470" t="s">
        <v>3893</v>
      </c>
      <c r="AO329" s="470" t="s">
        <v>3897</v>
      </c>
      <c r="AP329" s="470" t="s">
        <v>3139</v>
      </c>
      <c r="AQ329" s="470" t="s">
        <v>3891</v>
      </c>
      <c r="AR329" s="472" t="s">
        <v>515</v>
      </c>
      <c r="AS329" s="473" t="s">
        <v>1385</v>
      </c>
      <c r="AT329" s="472" t="s">
        <v>2000</v>
      </c>
      <c r="AU329" s="472" t="s">
        <v>420</v>
      </c>
      <c r="AV329" s="472">
        <v>2020</v>
      </c>
      <c r="AW329" s="474" t="s">
        <v>15078</v>
      </c>
      <c r="AX329" s="475" t="s">
        <v>15079</v>
      </c>
      <c r="AY329" s="515">
        <v>1</v>
      </c>
      <c r="AZ329" s="474" t="s">
        <v>15079</v>
      </c>
      <c r="BA329" s="472" t="s">
        <v>2000</v>
      </c>
      <c r="BB329" s="472" t="s">
        <v>1385</v>
      </c>
      <c r="BC329" s="472" t="s">
        <v>1385</v>
      </c>
      <c r="BD329" s="472" t="s">
        <v>1385</v>
      </c>
      <c r="BE329" s="472" t="s">
        <v>1385</v>
      </c>
      <c r="BF329" s="472">
        <v>27734.400000000001</v>
      </c>
      <c r="BG329" s="472">
        <v>0</v>
      </c>
      <c r="BH329" s="472" t="s">
        <v>1385</v>
      </c>
      <c r="BI329" s="510">
        <v>0</v>
      </c>
      <c r="BJ329" s="510">
        <v>0</v>
      </c>
      <c r="BK329" s="510">
        <v>0</v>
      </c>
      <c r="BL329" s="510">
        <v>0</v>
      </c>
      <c r="BM329" s="510">
        <v>0</v>
      </c>
      <c r="BN329" s="510">
        <v>4000</v>
      </c>
      <c r="BO329" s="510">
        <v>0</v>
      </c>
      <c r="BP329" s="510">
        <v>0</v>
      </c>
      <c r="BQ329" s="510">
        <v>0</v>
      </c>
      <c r="BR329" s="510">
        <v>0</v>
      </c>
      <c r="BS329" s="510">
        <v>0</v>
      </c>
      <c r="BT329" s="510">
        <v>0</v>
      </c>
      <c r="BU329" s="510">
        <v>0</v>
      </c>
      <c r="BV329" s="510">
        <v>0</v>
      </c>
      <c r="BW329" s="510">
        <v>0</v>
      </c>
      <c r="BX329" s="510">
        <v>30000</v>
      </c>
      <c r="BY329" s="1011">
        <v>0</v>
      </c>
      <c r="BZ329" s="510">
        <v>0</v>
      </c>
      <c r="CA329" s="1011">
        <v>0</v>
      </c>
      <c r="CB329" s="510">
        <v>0</v>
      </c>
      <c r="CC329" s="1011">
        <v>0</v>
      </c>
      <c r="CD329" s="510">
        <v>0</v>
      </c>
      <c r="CE329" s="1011">
        <v>0</v>
      </c>
      <c r="CF329" s="510">
        <v>51878.400000000001</v>
      </c>
      <c r="CG329" s="1011">
        <v>0</v>
      </c>
      <c r="CH329" s="510">
        <v>0</v>
      </c>
      <c r="CI329" s="1011">
        <v>0</v>
      </c>
    </row>
    <row r="330" spans="1:87" x14ac:dyDescent="0.2">
      <c r="A330" s="449">
        <v>108</v>
      </c>
      <c r="B330" s="453">
        <v>19376</v>
      </c>
      <c r="C330" s="454" t="s">
        <v>3898</v>
      </c>
      <c r="D330" s="454" t="s">
        <v>2000</v>
      </c>
      <c r="E330" s="454" t="s">
        <v>3899</v>
      </c>
      <c r="F330" s="454" t="s">
        <v>524</v>
      </c>
      <c r="G330" s="454" t="s">
        <v>12869</v>
      </c>
      <c r="H330" s="455">
        <v>10933073000190</v>
      </c>
      <c r="I330" s="462">
        <v>39983</v>
      </c>
      <c r="J330" s="457">
        <v>41786033</v>
      </c>
      <c r="K330" s="454" t="s">
        <v>3900</v>
      </c>
      <c r="L330" s="458" t="s">
        <v>1446</v>
      </c>
      <c r="M330" s="454" t="s">
        <v>3901</v>
      </c>
      <c r="N330" s="459">
        <v>4177070</v>
      </c>
      <c r="O330" s="460">
        <v>22648831</v>
      </c>
      <c r="P330" s="462">
        <v>206876</v>
      </c>
      <c r="Q330" s="462">
        <v>116</v>
      </c>
      <c r="R330" s="462">
        <v>43906</v>
      </c>
      <c r="S330" s="463">
        <v>542</v>
      </c>
      <c r="T330" s="464">
        <v>3.6</v>
      </c>
      <c r="U330" s="465">
        <v>1951.2</v>
      </c>
      <c r="V330" s="465">
        <v>16560</v>
      </c>
      <c r="W330" s="466">
        <v>0</v>
      </c>
      <c r="X330" s="467">
        <v>1</v>
      </c>
      <c r="Y330" s="466">
        <v>27766.799999999999</v>
      </c>
      <c r="Z330" s="468" t="s">
        <v>516</v>
      </c>
      <c r="AA330" s="466">
        <v>109724.4</v>
      </c>
      <c r="AB330" s="466">
        <v>109724.4</v>
      </c>
      <c r="AC330" s="467">
        <v>0</v>
      </c>
      <c r="AD330" s="466">
        <v>0</v>
      </c>
      <c r="AE330" s="468" t="s">
        <v>516</v>
      </c>
      <c r="AF330" s="466">
        <v>0</v>
      </c>
      <c r="AG330" s="466">
        <v>0</v>
      </c>
      <c r="AH330" s="466">
        <v>29302.04</v>
      </c>
      <c r="AI330" s="466">
        <v>22434.18</v>
      </c>
      <c r="AJ330" s="469" t="s">
        <v>1759</v>
      </c>
      <c r="AK330" s="470" t="s">
        <v>1760</v>
      </c>
      <c r="AL330" s="471" t="s">
        <v>3902</v>
      </c>
      <c r="AM330" s="470" t="s">
        <v>15195</v>
      </c>
      <c r="AN330" s="470" t="s">
        <v>3903</v>
      </c>
      <c r="AO330" s="470" t="s">
        <v>12870</v>
      </c>
      <c r="AP330" s="470" t="s">
        <v>3904</v>
      </c>
      <c r="AQ330" s="470" t="s">
        <v>3898</v>
      </c>
      <c r="AR330" s="472" t="s">
        <v>515</v>
      </c>
      <c r="AS330" s="473" t="s">
        <v>1385</v>
      </c>
      <c r="AT330" s="472" t="s">
        <v>2000</v>
      </c>
      <c r="AU330" s="472" t="s">
        <v>420</v>
      </c>
      <c r="AV330" s="472">
        <v>2020</v>
      </c>
      <c r="AW330" s="474" t="s">
        <v>15078</v>
      </c>
      <c r="AX330" s="475" t="s">
        <v>15079</v>
      </c>
      <c r="AY330" s="515">
        <v>1</v>
      </c>
      <c r="AZ330" s="474" t="s">
        <v>15079</v>
      </c>
      <c r="BA330" s="472" t="s">
        <v>2000</v>
      </c>
      <c r="BB330" s="472" t="s">
        <v>1385</v>
      </c>
      <c r="BC330" s="472" t="s">
        <v>1385</v>
      </c>
      <c r="BD330" s="472" t="s">
        <v>1385</v>
      </c>
      <c r="BE330" s="472" t="s">
        <v>1385</v>
      </c>
      <c r="BF330" s="472">
        <v>27766.799999999999</v>
      </c>
      <c r="BG330" s="472">
        <v>0</v>
      </c>
      <c r="BH330" s="472" t="s">
        <v>1385</v>
      </c>
      <c r="BI330" s="510">
        <v>0</v>
      </c>
      <c r="BJ330" s="510">
        <v>0</v>
      </c>
      <c r="BK330" s="510">
        <v>0</v>
      </c>
      <c r="BL330" s="510">
        <v>0</v>
      </c>
      <c r="BM330" s="510">
        <v>0</v>
      </c>
      <c r="BN330" s="510">
        <v>4000</v>
      </c>
      <c r="BO330" s="510">
        <v>0</v>
      </c>
      <c r="BP330" s="510">
        <v>0</v>
      </c>
      <c r="BQ330" s="510">
        <v>0</v>
      </c>
      <c r="BR330" s="510">
        <v>0</v>
      </c>
      <c r="BS330" s="510">
        <v>0</v>
      </c>
      <c r="BT330" s="510">
        <v>0</v>
      </c>
      <c r="BU330" s="510">
        <v>0</v>
      </c>
      <c r="BV330" s="510">
        <v>0</v>
      </c>
      <c r="BW330" s="510">
        <v>0</v>
      </c>
      <c r="BX330" s="510">
        <v>30000</v>
      </c>
      <c r="BY330" s="1011">
        <v>0</v>
      </c>
      <c r="BZ330" s="510">
        <v>0</v>
      </c>
      <c r="CA330" s="1011">
        <v>0</v>
      </c>
      <c r="CB330" s="510">
        <v>0</v>
      </c>
      <c r="CC330" s="1011">
        <v>0</v>
      </c>
      <c r="CD330" s="510">
        <v>0</v>
      </c>
      <c r="CE330" s="1011">
        <v>0</v>
      </c>
      <c r="CF330" s="510">
        <v>51957.599999999999</v>
      </c>
      <c r="CG330" s="1011">
        <v>0</v>
      </c>
      <c r="CH330" s="510">
        <v>0</v>
      </c>
      <c r="CI330" s="1011">
        <v>0</v>
      </c>
    </row>
    <row r="331" spans="1:87" x14ac:dyDescent="0.2">
      <c r="A331" s="449">
        <v>96</v>
      </c>
      <c r="B331" s="453">
        <v>19377</v>
      </c>
      <c r="C331" s="454" t="s">
        <v>3905</v>
      </c>
      <c r="D331" s="454" t="s">
        <v>2000</v>
      </c>
      <c r="E331" s="454" t="s">
        <v>3906</v>
      </c>
      <c r="F331" s="454" t="s">
        <v>518</v>
      </c>
      <c r="G331" s="454" t="s">
        <v>12871</v>
      </c>
      <c r="H331" s="455">
        <v>11093185000142</v>
      </c>
      <c r="I331" s="462">
        <v>40029</v>
      </c>
      <c r="J331" s="457">
        <v>39603598</v>
      </c>
      <c r="K331" s="454" t="s">
        <v>3907</v>
      </c>
      <c r="L331" s="458" t="s">
        <v>1446</v>
      </c>
      <c r="M331" s="454" t="s">
        <v>3908</v>
      </c>
      <c r="N331" s="459">
        <v>3386090</v>
      </c>
      <c r="O331" s="460">
        <v>22162140</v>
      </c>
      <c r="P331" s="462">
        <v>49690</v>
      </c>
      <c r="Q331" s="462">
        <v>65</v>
      </c>
      <c r="R331" s="462">
        <v>43934</v>
      </c>
      <c r="S331" s="463">
        <v>588</v>
      </c>
      <c r="T331" s="464">
        <v>3.6</v>
      </c>
      <c r="U331" s="465">
        <v>2116.8000000000002</v>
      </c>
      <c r="V331" s="465">
        <v>16560</v>
      </c>
      <c r="W331" s="466">
        <v>0</v>
      </c>
      <c r="X331" s="467">
        <v>1</v>
      </c>
      <c r="Y331" s="466">
        <v>28015.200000000001</v>
      </c>
      <c r="Z331" s="468" t="s">
        <v>516</v>
      </c>
      <c r="AA331" s="466">
        <v>110354.4</v>
      </c>
      <c r="AB331" s="466">
        <v>110354.4</v>
      </c>
      <c r="AC331" s="467">
        <v>0</v>
      </c>
      <c r="AD331" s="466">
        <v>0</v>
      </c>
      <c r="AE331" s="468" t="s">
        <v>516</v>
      </c>
      <c r="AF331" s="466">
        <v>0</v>
      </c>
      <c r="AG331" s="466">
        <v>0</v>
      </c>
      <c r="AH331" s="466">
        <v>12935.14</v>
      </c>
      <c r="AI331" s="466">
        <v>4378.75</v>
      </c>
      <c r="AJ331" s="469" t="s">
        <v>3909</v>
      </c>
      <c r="AK331" s="470" t="s">
        <v>2615</v>
      </c>
      <c r="AL331" s="471" t="s">
        <v>3910</v>
      </c>
      <c r="AM331" s="470" t="s">
        <v>3911</v>
      </c>
      <c r="AN331" s="470" t="s">
        <v>3912</v>
      </c>
      <c r="AO331" s="470" t="s">
        <v>14984</v>
      </c>
      <c r="AP331" s="470" t="s">
        <v>3913</v>
      </c>
      <c r="AQ331" s="470" t="s">
        <v>3905</v>
      </c>
      <c r="AR331" s="472" t="s">
        <v>515</v>
      </c>
      <c r="AS331" s="473" t="s">
        <v>1385</v>
      </c>
      <c r="AT331" s="472" t="s">
        <v>2000</v>
      </c>
      <c r="AU331" s="472" t="s">
        <v>420</v>
      </c>
      <c r="AV331" s="472">
        <v>2020</v>
      </c>
      <c r="AW331" s="474" t="s">
        <v>15078</v>
      </c>
      <c r="AX331" s="475" t="s">
        <v>15079</v>
      </c>
      <c r="AY331" s="515">
        <v>1</v>
      </c>
      <c r="AZ331" s="474" t="s">
        <v>15079</v>
      </c>
      <c r="BA331" s="472" t="s">
        <v>2000</v>
      </c>
      <c r="BB331" s="472" t="s">
        <v>1385</v>
      </c>
      <c r="BC331" s="472" t="s">
        <v>1385</v>
      </c>
      <c r="BD331" s="472" t="s">
        <v>1385</v>
      </c>
      <c r="BE331" s="472" t="s">
        <v>1385</v>
      </c>
      <c r="BF331" s="472">
        <v>28015.200000000001</v>
      </c>
      <c r="BG331" s="472">
        <v>0</v>
      </c>
      <c r="BH331" s="472" t="s">
        <v>1385</v>
      </c>
      <c r="BI331" s="510">
        <v>0</v>
      </c>
      <c r="BJ331" s="510">
        <v>0</v>
      </c>
      <c r="BK331" s="510">
        <v>0</v>
      </c>
      <c r="BL331" s="510">
        <v>0</v>
      </c>
      <c r="BM331" s="510">
        <v>0</v>
      </c>
      <c r="BN331" s="510">
        <v>5000</v>
      </c>
      <c r="BO331" s="510">
        <v>0</v>
      </c>
      <c r="BP331" s="510">
        <v>0</v>
      </c>
      <c r="BQ331" s="510">
        <v>0</v>
      </c>
      <c r="BR331" s="510">
        <v>0</v>
      </c>
      <c r="BS331" s="510">
        <v>0</v>
      </c>
      <c r="BT331" s="510">
        <v>0</v>
      </c>
      <c r="BU331" s="510">
        <v>0</v>
      </c>
      <c r="BV331" s="510">
        <v>0</v>
      </c>
      <c r="BW331" s="510">
        <v>0</v>
      </c>
      <c r="BX331" s="510">
        <v>30000</v>
      </c>
      <c r="BY331" s="1011">
        <v>0</v>
      </c>
      <c r="BZ331" s="510">
        <v>0</v>
      </c>
      <c r="CA331" s="1011">
        <v>0</v>
      </c>
      <c r="CB331" s="510">
        <v>0</v>
      </c>
      <c r="CC331" s="1011">
        <v>0</v>
      </c>
      <c r="CD331" s="510">
        <v>0</v>
      </c>
      <c r="CE331" s="1011">
        <v>0</v>
      </c>
      <c r="CF331" s="510">
        <v>52339.199999999997</v>
      </c>
      <c r="CG331" s="1011">
        <v>0</v>
      </c>
      <c r="CH331" s="510">
        <v>0</v>
      </c>
      <c r="CI331" s="1011">
        <v>0</v>
      </c>
    </row>
    <row r="332" spans="1:87" x14ac:dyDescent="0.2">
      <c r="A332" s="449">
        <v>81</v>
      </c>
      <c r="B332" s="453">
        <v>19378</v>
      </c>
      <c r="C332" s="454" t="s">
        <v>3914</v>
      </c>
      <c r="D332" s="454" t="s">
        <v>2000</v>
      </c>
      <c r="E332" s="454" t="s">
        <v>3915</v>
      </c>
      <c r="F332" s="454" t="s">
        <v>519</v>
      </c>
      <c r="G332" s="454" t="s">
        <v>12872</v>
      </c>
      <c r="H332" s="455">
        <v>10895699000159</v>
      </c>
      <c r="I332" s="462">
        <v>39969</v>
      </c>
      <c r="J332" s="457">
        <v>39276198</v>
      </c>
      <c r="K332" s="454" t="s">
        <v>3917</v>
      </c>
      <c r="L332" s="458">
        <v>849</v>
      </c>
      <c r="M332" s="454" t="s">
        <v>3918</v>
      </c>
      <c r="N332" s="459">
        <v>5570030</v>
      </c>
      <c r="O332" s="460">
        <v>37827722</v>
      </c>
      <c r="P332" s="462">
        <v>117873</v>
      </c>
      <c r="Q332" s="462">
        <v>44</v>
      </c>
      <c r="R332" s="462">
        <v>43881</v>
      </c>
      <c r="S332" s="463">
        <v>509</v>
      </c>
      <c r="T332" s="464">
        <v>3.6</v>
      </c>
      <c r="U332" s="465">
        <v>1832.4</v>
      </c>
      <c r="V332" s="465">
        <v>16560</v>
      </c>
      <c r="W332" s="466">
        <v>0</v>
      </c>
      <c r="X332" s="467">
        <v>1</v>
      </c>
      <c r="Y332" s="466">
        <v>0</v>
      </c>
      <c r="Z332" s="468" t="s">
        <v>514</v>
      </c>
      <c r="AA332" s="466">
        <v>0</v>
      </c>
      <c r="AB332" s="466">
        <v>0</v>
      </c>
      <c r="AC332" s="467">
        <v>0</v>
      </c>
      <c r="AD332" s="466">
        <v>0</v>
      </c>
      <c r="AE332" s="468" t="s">
        <v>516</v>
      </c>
      <c r="AF332" s="466">
        <v>0</v>
      </c>
      <c r="AG332" s="466">
        <v>0</v>
      </c>
      <c r="AH332" s="466">
        <v>3158.31</v>
      </c>
      <c r="AI332" s="466">
        <v>0</v>
      </c>
      <c r="AJ332" s="469" t="s">
        <v>2690</v>
      </c>
      <c r="AK332" s="470" t="s">
        <v>2691</v>
      </c>
      <c r="AL332" s="471" t="s">
        <v>3919</v>
      </c>
      <c r="AM332" s="470" t="s">
        <v>4912</v>
      </c>
      <c r="AN332" s="470" t="s">
        <v>3916</v>
      </c>
      <c r="AO332" s="470" t="s">
        <v>3920</v>
      </c>
      <c r="AP332" s="470" t="s">
        <v>3921</v>
      </c>
      <c r="AQ332" s="470" t="s">
        <v>3914</v>
      </c>
      <c r="AR332" s="472" t="s">
        <v>515</v>
      </c>
      <c r="AS332" s="473" t="s">
        <v>1385</v>
      </c>
      <c r="AT332" s="472" t="s">
        <v>2000</v>
      </c>
      <c r="AU332" s="472" t="s">
        <v>420</v>
      </c>
      <c r="AV332" s="472">
        <v>2020</v>
      </c>
      <c r="AW332" s="474" t="s">
        <v>15078</v>
      </c>
      <c r="AX332" s="475" t="s">
        <v>15079</v>
      </c>
      <c r="AY332" s="515">
        <v>1</v>
      </c>
      <c r="AZ332" s="474" t="s">
        <v>15079</v>
      </c>
      <c r="BA332" s="472" t="s">
        <v>1385</v>
      </c>
      <c r="BB332" s="472" t="s">
        <v>1385</v>
      </c>
      <c r="BC332" s="472" t="s">
        <v>1385</v>
      </c>
      <c r="BD332" s="472" t="s">
        <v>1385</v>
      </c>
      <c r="BE332" s="472" t="s">
        <v>1385</v>
      </c>
      <c r="BF332" s="472">
        <v>27588.6</v>
      </c>
      <c r="BG332" s="472">
        <v>0</v>
      </c>
      <c r="BH332" s="472" t="s">
        <v>516</v>
      </c>
      <c r="BI332" s="510">
        <v>0</v>
      </c>
      <c r="BJ332" s="510">
        <v>0</v>
      </c>
      <c r="BK332" s="510">
        <v>0</v>
      </c>
      <c r="BL332" s="510">
        <v>0</v>
      </c>
      <c r="BM332" s="510">
        <v>0</v>
      </c>
      <c r="BN332" s="510">
        <v>0</v>
      </c>
      <c r="BO332" s="510">
        <v>0</v>
      </c>
      <c r="BP332" s="510">
        <v>0</v>
      </c>
      <c r="BQ332" s="510">
        <v>0</v>
      </c>
      <c r="BR332" s="510">
        <v>0</v>
      </c>
      <c r="BS332" s="510">
        <v>0</v>
      </c>
      <c r="BT332" s="510">
        <v>0</v>
      </c>
      <c r="BU332" s="510">
        <v>0</v>
      </c>
      <c r="BV332" s="510">
        <v>0</v>
      </c>
      <c r="BW332" s="510">
        <v>0</v>
      </c>
      <c r="BX332" s="510">
        <v>0</v>
      </c>
      <c r="BY332" s="1011">
        <v>0</v>
      </c>
      <c r="BZ332" s="510">
        <v>0</v>
      </c>
      <c r="CA332" s="1011">
        <v>0</v>
      </c>
      <c r="CB332" s="510">
        <v>0</v>
      </c>
      <c r="CC332" s="1011">
        <v>0</v>
      </c>
      <c r="CD332" s="510">
        <v>0</v>
      </c>
      <c r="CE332" s="1011">
        <v>0</v>
      </c>
      <c r="CF332" s="510">
        <v>0</v>
      </c>
      <c r="CG332" s="1011">
        <v>0</v>
      </c>
      <c r="CH332" s="510">
        <v>0</v>
      </c>
      <c r="CI332" s="1011">
        <v>0</v>
      </c>
    </row>
    <row r="333" spans="1:87" x14ac:dyDescent="0.2">
      <c r="A333" s="449">
        <v>134</v>
      </c>
      <c r="B333" s="453">
        <v>19380</v>
      </c>
      <c r="C333" s="454" t="s">
        <v>3922</v>
      </c>
      <c r="D333" s="454" t="s">
        <v>2000</v>
      </c>
      <c r="E333" s="454" t="s">
        <v>3923</v>
      </c>
      <c r="F333" s="454" t="s">
        <v>528</v>
      </c>
      <c r="G333" s="454" t="s">
        <v>3928</v>
      </c>
      <c r="H333" s="455">
        <v>11272376000171</v>
      </c>
      <c r="I333" s="462">
        <v>40092</v>
      </c>
      <c r="J333" s="457">
        <v>43396402</v>
      </c>
      <c r="K333" s="454" t="s">
        <v>3924</v>
      </c>
      <c r="L333" s="458">
        <v>1020</v>
      </c>
      <c r="M333" s="454" t="s">
        <v>3925</v>
      </c>
      <c r="N333" s="459">
        <v>5267174</v>
      </c>
      <c r="O333" s="460">
        <v>39114770</v>
      </c>
      <c r="P333" s="462">
        <v>330062</v>
      </c>
      <c r="Q333" s="462">
        <v>134</v>
      </c>
      <c r="R333" s="462">
        <v>43938</v>
      </c>
      <c r="S333" s="463">
        <v>552</v>
      </c>
      <c r="T333" s="464">
        <v>3.6</v>
      </c>
      <c r="U333" s="465">
        <v>1987.2</v>
      </c>
      <c r="V333" s="465">
        <v>16560</v>
      </c>
      <c r="W333" s="466">
        <v>0</v>
      </c>
      <c r="X333" s="467">
        <v>1</v>
      </c>
      <c r="Y333" s="466">
        <v>27820.799999999999</v>
      </c>
      <c r="Z333" s="468" t="s">
        <v>516</v>
      </c>
      <c r="AA333" s="466">
        <v>109836</v>
      </c>
      <c r="AB333" s="466">
        <v>109836</v>
      </c>
      <c r="AC333" s="467">
        <v>0</v>
      </c>
      <c r="AD333" s="466">
        <v>0</v>
      </c>
      <c r="AE333" s="468" t="s">
        <v>516</v>
      </c>
      <c r="AF333" s="466">
        <v>0</v>
      </c>
      <c r="AG333" s="466">
        <v>0</v>
      </c>
      <c r="AH333" s="466">
        <v>28107.89</v>
      </c>
      <c r="AI333" s="466">
        <v>14462.17</v>
      </c>
      <c r="AJ333" s="469" t="s">
        <v>1571</v>
      </c>
      <c r="AK333" s="470" t="s">
        <v>528</v>
      </c>
      <c r="AL333" s="471" t="s">
        <v>3926</v>
      </c>
      <c r="AM333" s="470" t="s">
        <v>3927</v>
      </c>
      <c r="AN333" s="470" t="s">
        <v>1385</v>
      </c>
      <c r="AO333" s="470" t="s">
        <v>3929</v>
      </c>
      <c r="AP333" s="470" t="s">
        <v>3930</v>
      </c>
      <c r="AQ333" s="470" t="s">
        <v>3922</v>
      </c>
      <c r="AR333" s="472" t="s">
        <v>515</v>
      </c>
      <c r="AS333" s="473" t="s">
        <v>1385</v>
      </c>
      <c r="AT333" s="472" t="s">
        <v>2000</v>
      </c>
      <c r="AU333" s="472" t="s">
        <v>420</v>
      </c>
      <c r="AV333" s="472">
        <v>2020</v>
      </c>
      <c r="AW333" s="474" t="s">
        <v>15078</v>
      </c>
      <c r="AX333" s="475" t="s">
        <v>15079</v>
      </c>
      <c r="AY333" s="515">
        <v>1</v>
      </c>
      <c r="AZ333" s="474" t="s">
        <v>15079</v>
      </c>
      <c r="BA333" s="472" t="s">
        <v>2000</v>
      </c>
      <c r="BB333" s="472" t="s">
        <v>1385</v>
      </c>
      <c r="BC333" s="472" t="s">
        <v>1385</v>
      </c>
      <c r="BD333" s="472" t="s">
        <v>1385</v>
      </c>
      <c r="BE333" s="472" t="s">
        <v>1385</v>
      </c>
      <c r="BF333" s="509">
        <v>27820.799999999999</v>
      </c>
      <c r="BG333" s="472">
        <v>0</v>
      </c>
      <c r="BH333" s="472" t="s">
        <v>1385</v>
      </c>
      <c r="BI333" s="510">
        <v>0</v>
      </c>
      <c r="BJ333" s="510">
        <v>46.4</v>
      </c>
      <c r="BK333" s="510">
        <v>0</v>
      </c>
      <c r="BL333" s="510">
        <v>0</v>
      </c>
      <c r="BM333" s="510">
        <v>0</v>
      </c>
      <c r="BN333" s="510">
        <v>5000</v>
      </c>
      <c r="BO333" s="510">
        <v>0</v>
      </c>
      <c r="BP333" s="510">
        <v>0</v>
      </c>
      <c r="BQ333" s="510">
        <v>0</v>
      </c>
      <c r="BR333" s="510">
        <v>0</v>
      </c>
      <c r="BS333" s="510">
        <v>0</v>
      </c>
      <c r="BT333" s="510">
        <v>0</v>
      </c>
      <c r="BU333" s="510">
        <v>0</v>
      </c>
      <c r="BV333" s="510">
        <v>0</v>
      </c>
      <c r="BW333" s="510">
        <v>0</v>
      </c>
      <c r="BX333" s="510">
        <v>30000</v>
      </c>
      <c r="BY333" s="1011">
        <v>0</v>
      </c>
      <c r="BZ333" s="510">
        <v>0</v>
      </c>
      <c r="CA333" s="1011">
        <v>0</v>
      </c>
      <c r="CB333" s="510">
        <v>0</v>
      </c>
      <c r="CC333" s="1011">
        <v>0</v>
      </c>
      <c r="CD333" s="510">
        <v>0</v>
      </c>
      <c r="CE333" s="1011">
        <v>0</v>
      </c>
      <c r="CF333" s="510">
        <v>52015.199999999997</v>
      </c>
      <c r="CG333" s="1011">
        <v>0</v>
      </c>
      <c r="CH333" s="510">
        <v>0</v>
      </c>
      <c r="CI333" s="1011">
        <v>0</v>
      </c>
    </row>
    <row r="334" spans="1:87" x14ac:dyDescent="0.2">
      <c r="A334" s="449">
        <v>75</v>
      </c>
      <c r="B334" s="453">
        <v>19381</v>
      </c>
      <c r="C334" s="454" t="s">
        <v>3931</v>
      </c>
      <c r="D334" s="454" t="s">
        <v>1390</v>
      </c>
      <c r="E334" s="454" t="s">
        <v>3932</v>
      </c>
      <c r="F334" s="454" t="s">
        <v>525</v>
      </c>
      <c r="G334" s="454" t="s">
        <v>12873</v>
      </c>
      <c r="H334" s="455">
        <v>3855685000146</v>
      </c>
      <c r="I334" s="462">
        <v>36664</v>
      </c>
      <c r="J334" s="457">
        <v>37387138</v>
      </c>
      <c r="K334" s="454" t="s">
        <v>3934</v>
      </c>
      <c r="L334" s="458">
        <v>5</v>
      </c>
      <c r="M334" s="454" t="s">
        <v>2594</v>
      </c>
      <c r="N334" s="459">
        <v>2169290</v>
      </c>
      <c r="O334" s="460">
        <v>29555910</v>
      </c>
      <c r="P334" s="462">
        <v>335064</v>
      </c>
      <c r="Q334" s="462">
        <v>75</v>
      </c>
      <c r="R334" s="462">
        <v>43950</v>
      </c>
      <c r="S334" s="463">
        <v>472</v>
      </c>
      <c r="T334" s="464">
        <v>3.6</v>
      </c>
      <c r="U334" s="465">
        <v>1699.2</v>
      </c>
      <c r="V334" s="465">
        <v>15120</v>
      </c>
      <c r="W334" s="466">
        <v>0</v>
      </c>
      <c r="X334" s="467">
        <v>1</v>
      </c>
      <c r="Y334" s="466">
        <v>25228.799999999999</v>
      </c>
      <c r="Z334" s="468" t="s">
        <v>516</v>
      </c>
      <c r="AA334" s="466">
        <v>104573.6</v>
      </c>
      <c r="AB334" s="466">
        <v>104573.6</v>
      </c>
      <c r="AC334" s="467">
        <v>0</v>
      </c>
      <c r="AD334" s="466">
        <v>0</v>
      </c>
      <c r="AE334" s="468" t="s">
        <v>516</v>
      </c>
      <c r="AF334" s="466">
        <v>1200</v>
      </c>
      <c r="AG334" s="466">
        <v>1200</v>
      </c>
      <c r="AH334" s="466">
        <v>19599.03</v>
      </c>
      <c r="AI334" s="466">
        <v>14101.63</v>
      </c>
      <c r="AJ334" s="469" t="s">
        <v>3935</v>
      </c>
      <c r="AK334" s="470" t="s">
        <v>3936</v>
      </c>
      <c r="AL334" s="471" t="s">
        <v>3937</v>
      </c>
      <c r="AM334" s="470" t="s">
        <v>3938</v>
      </c>
      <c r="AN334" s="470" t="s">
        <v>3933</v>
      </c>
      <c r="AO334" s="470" t="s">
        <v>3939</v>
      </c>
      <c r="AP334" s="470" t="s">
        <v>3940</v>
      </c>
      <c r="AQ334" s="470" t="s">
        <v>3931</v>
      </c>
      <c r="AR334" s="472" t="s">
        <v>515</v>
      </c>
      <c r="AS334" s="473" t="s">
        <v>1385</v>
      </c>
      <c r="AT334" s="472" t="s">
        <v>1390</v>
      </c>
      <c r="AU334" s="472" t="s">
        <v>420</v>
      </c>
      <c r="AV334" s="472">
        <v>2020</v>
      </c>
      <c r="AW334" s="474" t="s">
        <v>15078</v>
      </c>
      <c r="AX334" s="475" t="s">
        <v>15079</v>
      </c>
      <c r="AY334" s="515">
        <v>1</v>
      </c>
      <c r="AZ334" s="474" t="s">
        <v>15079</v>
      </c>
      <c r="BA334" s="472" t="s">
        <v>1390</v>
      </c>
      <c r="BB334" s="472" t="s">
        <v>1385</v>
      </c>
      <c r="BC334" s="472" t="s">
        <v>1385</v>
      </c>
      <c r="BD334" s="472" t="s">
        <v>1385</v>
      </c>
      <c r="BE334" s="472" t="s">
        <v>1385</v>
      </c>
      <c r="BF334" s="472">
        <v>25228.799999999999</v>
      </c>
      <c r="BG334" s="472">
        <v>0</v>
      </c>
      <c r="BH334" s="472" t="s">
        <v>1385</v>
      </c>
      <c r="BI334" s="510">
        <v>0</v>
      </c>
      <c r="BJ334" s="510">
        <v>0</v>
      </c>
      <c r="BK334" s="510">
        <v>0</v>
      </c>
      <c r="BL334" s="510">
        <v>0</v>
      </c>
      <c r="BM334" s="510">
        <v>0</v>
      </c>
      <c r="BN334" s="510">
        <v>44.42</v>
      </c>
      <c r="BO334" s="510">
        <v>800</v>
      </c>
      <c r="BP334" s="510">
        <v>1200</v>
      </c>
      <c r="BQ334" s="510">
        <v>0</v>
      </c>
      <c r="BR334" s="510">
        <v>0</v>
      </c>
      <c r="BS334" s="510">
        <v>0</v>
      </c>
      <c r="BT334" s="510">
        <v>0</v>
      </c>
      <c r="BU334" s="510">
        <v>0</v>
      </c>
      <c r="BV334" s="510">
        <v>0</v>
      </c>
      <c r="BW334" s="510">
        <v>0</v>
      </c>
      <c r="BX334" s="510">
        <v>30000</v>
      </c>
      <c r="BY334" s="1011">
        <v>0</v>
      </c>
      <c r="BZ334" s="510">
        <v>0</v>
      </c>
      <c r="CA334" s="1011">
        <v>0</v>
      </c>
      <c r="CB334" s="510">
        <v>0</v>
      </c>
      <c r="CC334" s="1011">
        <v>0</v>
      </c>
      <c r="CD334" s="510">
        <v>0</v>
      </c>
      <c r="CE334" s="1011">
        <v>0</v>
      </c>
      <c r="CF334" s="510">
        <v>48544.800000000003</v>
      </c>
      <c r="CG334" s="1011">
        <v>0</v>
      </c>
      <c r="CH334" s="510">
        <v>0</v>
      </c>
      <c r="CI334" s="1011">
        <v>0</v>
      </c>
    </row>
    <row r="335" spans="1:87" x14ac:dyDescent="0.2">
      <c r="A335" s="449">
        <v>128</v>
      </c>
      <c r="B335" s="453">
        <v>19382</v>
      </c>
      <c r="C335" s="454" t="s">
        <v>3941</v>
      </c>
      <c r="D335" s="454" t="s">
        <v>2000</v>
      </c>
      <c r="E335" s="454" t="s">
        <v>3942</v>
      </c>
      <c r="F335" s="454" t="s">
        <v>513</v>
      </c>
      <c r="G335" s="454" t="s">
        <v>12874</v>
      </c>
      <c r="H335" s="455">
        <v>10895479000125</v>
      </c>
      <c r="I335" s="462">
        <v>39959</v>
      </c>
      <c r="J335" s="457">
        <v>44798393</v>
      </c>
      <c r="K335" s="454" t="s">
        <v>3943</v>
      </c>
      <c r="L335" s="458" t="s">
        <v>1446</v>
      </c>
      <c r="M335" s="454" t="s">
        <v>2604</v>
      </c>
      <c r="N335" s="459">
        <v>8381001</v>
      </c>
      <c r="O335" s="460">
        <v>27311106</v>
      </c>
      <c r="P335" s="462">
        <v>154663</v>
      </c>
      <c r="Q335" s="462">
        <v>128</v>
      </c>
      <c r="R335" s="462">
        <v>43937</v>
      </c>
      <c r="S335" s="463">
        <v>599</v>
      </c>
      <c r="T335" s="464">
        <v>3.6</v>
      </c>
      <c r="U335" s="465">
        <v>2156.4</v>
      </c>
      <c r="V335" s="465">
        <v>16560</v>
      </c>
      <c r="W335" s="466">
        <v>0</v>
      </c>
      <c r="X335" s="467">
        <v>1</v>
      </c>
      <c r="Y335" s="466">
        <v>28074.6</v>
      </c>
      <c r="Z335" s="468" t="s">
        <v>516</v>
      </c>
      <c r="AA335" s="466">
        <v>113509.8</v>
      </c>
      <c r="AB335" s="466">
        <v>113509.8</v>
      </c>
      <c r="AC335" s="467">
        <v>0</v>
      </c>
      <c r="AD335" s="466">
        <v>0</v>
      </c>
      <c r="AE335" s="468" t="s">
        <v>516</v>
      </c>
      <c r="AF335" s="466">
        <v>0</v>
      </c>
      <c r="AG335" s="466">
        <v>0</v>
      </c>
      <c r="AH335" s="466">
        <v>28413.94</v>
      </c>
      <c r="AI335" s="466">
        <v>18660.79</v>
      </c>
      <c r="AJ335" s="469" t="s">
        <v>2030</v>
      </c>
      <c r="AK335" s="470" t="s">
        <v>513</v>
      </c>
      <c r="AL335" s="471" t="s">
        <v>3944</v>
      </c>
      <c r="AM335" s="470" t="s">
        <v>3945</v>
      </c>
      <c r="AN335" s="470" t="s">
        <v>1385</v>
      </c>
      <c r="AO335" s="470" t="s">
        <v>3946</v>
      </c>
      <c r="AP335" s="470" t="s">
        <v>3947</v>
      </c>
      <c r="AQ335" s="470" t="s">
        <v>3941</v>
      </c>
      <c r="AR335" s="472" t="s">
        <v>515</v>
      </c>
      <c r="AS335" s="473" t="s">
        <v>1385</v>
      </c>
      <c r="AT335" s="472" t="s">
        <v>2000</v>
      </c>
      <c r="AU335" s="472" t="s">
        <v>420</v>
      </c>
      <c r="AV335" s="472">
        <v>2020</v>
      </c>
      <c r="AW335" s="474" t="s">
        <v>15078</v>
      </c>
      <c r="AX335" s="475" t="s">
        <v>15079</v>
      </c>
      <c r="AY335" s="515">
        <v>1</v>
      </c>
      <c r="AZ335" s="474" t="s">
        <v>15079</v>
      </c>
      <c r="BA335" s="472" t="s">
        <v>2000</v>
      </c>
      <c r="BB335" s="472" t="s">
        <v>1385</v>
      </c>
      <c r="BC335" s="472" t="s">
        <v>1385</v>
      </c>
      <c r="BD335" s="472" t="s">
        <v>1385</v>
      </c>
      <c r="BE335" s="472" t="s">
        <v>1385</v>
      </c>
      <c r="BF335" s="472">
        <v>28074.6</v>
      </c>
      <c r="BG335" s="472">
        <v>0</v>
      </c>
      <c r="BH335" s="472" t="s">
        <v>1385</v>
      </c>
      <c r="BI335" s="510">
        <v>0</v>
      </c>
      <c r="BJ335" s="510">
        <v>0</v>
      </c>
      <c r="BK335" s="510">
        <v>0</v>
      </c>
      <c r="BL335" s="510">
        <v>0</v>
      </c>
      <c r="BM335" s="510">
        <v>0</v>
      </c>
      <c r="BN335" s="510">
        <v>5000</v>
      </c>
      <c r="BO335" s="510">
        <v>0</v>
      </c>
      <c r="BP335" s="510">
        <v>0</v>
      </c>
      <c r="BQ335" s="510">
        <v>0</v>
      </c>
      <c r="BR335" s="510">
        <v>0</v>
      </c>
      <c r="BS335" s="510">
        <v>0</v>
      </c>
      <c r="BT335" s="510">
        <v>0</v>
      </c>
      <c r="BU335" s="510">
        <v>0</v>
      </c>
      <c r="BV335" s="510">
        <v>0</v>
      </c>
      <c r="BW335" s="510">
        <v>0</v>
      </c>
      <c r="BX335" s="510">
        <v>30000</v>
      </c>
      <c r="BY335" s="1011">
        <v>0</v>
      </c>
      <c r="BZ335" s="510">
        <v>0</v>
      </c>
      <c r="CA335" s="1011">
        <v>0</v>
      </c>
      <c r="CB335" s="510">
        <v>0</v>
      </c>
      <c r="CC335" s="1011">
        <v>0</v>
      </c>
      <c r="CD335" s="510">
        <v>0</v>
      </c>
      <c r="CE335" s="1011">
        <v>0</v>
      </c>
      <c r="CF335" s="510">
        <v>55435.199999999997</v>
      </c>
      <c r="CG335" s="1011">
        <v>0</v>
      </c>
      <c r="CH335" s="510">
        <v>0</v>
      </c>
      <c r="CI335" s="1011">
        <v>0</v>
      </c>
    </row>
    <row r="336" spans="1:87" x14ac:dyDescent="0.2">
      <c r="A336" s="449">
        <v>115</v>
      </c>
      <c r="B336" s="453">
        <v>19383</v>
      </c>
      <c r="C336" s="454" t="s">
        <v>3948</v>
      </c>
      <c r="D336" s="454" t="s">
        <v>2950</v>
      </c>
      <c r="E336" s="454" t="s">
        <v>3949</v>
      </c>
      <c r="F336" s="454" t="s">
        <v>520</v>
      </c>
      <c r="G336" s="454" t="s">
        <v>12865</v>
      </c>
      <c r="H336" s="455">
        <v>11044766000194</v>
      </c>
      <c r="I336" s="462">
        <v>39981</v>
      </c>
      <c r="J336" s="457">
        <v>43801820</v>
      </c>
      <c r="K336" s="454" t="s">
        <v>3886</v>
      </c>
      <c r="L336" s="458" t="s">
        <v>1446</v>
      </c>
      <c r="M336" s="454" t="s">
        <v>3887</v>
      </c>
      <c r="N336" s="459">
        <v>5867380</v>
      </c>
      <c r="O336" s="460">
        <v>58738093</v>
      </c>
      <c r="P336" s="462">
        <v>304142</v>
      </c>
      <c r="Q336" s="462">
        <v>181</v>
      </c>
      <c r="R336" s="462">
        <v>43979</v>
      </c>
      <c r="S336" s="463">
        <v>971</v>
      </c>
      <c r="T336" s="464">
        <v>5.4</v>
      </c>
      <c r="U336" s="465">
        <v>5243.4</v>
      </c>
      <c r="V336" s="465">
        <v>20340</v>
      </c>
      <c r="W336" s="466">
        <v>0</v>
      </c>
      <c r="X336" s="467">
        <v>1</v>
      </c>
      <c r="Y336" s="466">
        <v>38375.1</v>
      </c>
      <c r="Z336" s="468" t="s">
        <v>516</v>
      </c>
      <c r="AA336" s="466">
        <v>142330.29999999999</v>
      </c>
      <c r="AB336" s="466">
        <v>142330.29999999999</v>
      </c>
      <c r="AC336" s="467">
        <v>0</v>
      </c>
      <c r="AD336" s="466">
        <v>0</v>
      </c>
      <c r="AE336" s="468" t="s">
        <v>516</v>
      </c>
      <c r="AF336" s="466">
        <v>0</v>
      </c>
      <c r="AG336" s="466">
        <v>0</v>
      </c>
      <c r="AH336" s="466">
        <v>26516.69</v>
      </c>
      <c r="AI336" s="466">
        <v>2897.24</v>
      </c>
      <c r="AJ336" s="469" t="s">
        <v>1515</v>
      </c>
      <c r="AK336" s="470" t="s">
        <v>1516</v>
      </c>
      <c r="AL336" s="471" t="s">
        <v>3950</v>
      </c>
      <c r="AM336" s="470" t="s">
        <v>12875</v>
      </c>
      <c r="AN336" s="470" t="s">
        <v>3951</v>
      </c>
      <c r="AO336" s="470" t="s">
        <v>3952</v>
      </c>
      <c r="AP336" s="470" t="s">
        <v>3953</v>
      </c>
      <c r="AQ336" s="470" t="s">
        <v>3948</v>
      </c>
      <c r="AR336" s="472" t="s">
        <v>515</v>
      </c>
      <c r="AS336" s="473" t="s">
        <v>1385</v>
      </c>
      <c r="AT336" s="472" t="s">
        <v>2950</v>
      </c>
      <c r="AU336" s="472" t="s">
        <v>420</v>
      </c>
      <c r="AV336" s="472">
        <v>2020</v>
      </c>
      <c r="AW336" s="474" t="s">
        <v>15078</v>
      </c>
      <c r="AX336" s="475" t="s">
        <v>15079</v>
      </c>
      <c r="AY336" s="515">
        <v>1</v>
      </c>
      <c r="AZ336" s="474" t="s">
        <v>15079</v>
      </c>
      <c r="BA336" s="472" t="s">
        <v>2950</v>
      </c>
      <c r="BB336" s="472" t="s">
        <v>1385</v>
      </c>
      <c r="BC336" s="472" t="s">
        <v>1385</v>
      </c>
      <c r="BD336" s="472" t="s">
        <v>1385</v>
      </c>
      <c r="BE336" s="472" t="s">
        <v>1385</v>
      </c>
      <c r="BF336" s="472">
        <v>38375.1</v>
      </c>
      <c r="BG336" s="472">
        <v>0</v>
      </c>
      <c r="BH336" s="472" t="s">
        <v>1385</v>
      </c>
      <c r="BI336" s="510">
        <v>0</v>
      </c>
      <c r="BJ336" s="510">
        <v>1053.2</v>
      </c>
      <c r="BK336" s="510">
        <v>0</v>
      </c>
      <c r="BL336" s="510">
        <v>3500</v>
      </c>
      <c r="BM336" s="510">
        <v>0</v>
      </c>
      <c r="BN336" s="510">
        <v>5000</v>
      </c>
      <c r="BO336" s="510">
        <v>0</v>
      </c>
      <c r="BP336" s="510">
        <v>0</v>
      </c>
      <c r="BQ336" s="510">
        <v>0</v>
      </c>
      <c r="BR336" s="510">
        <v>0</v>
      </c>
      <c r="BS336" s="510">
        <v>0</v>
      </c>
      <c r="BT336" s="510">
        <v>0</v>
      </c>
      <c r="BU336" s="510">
        <v>2500</v>
      </c>
      <c r="BV336" s="510">
        <v>2500</v>
      </c>
      <c r="BW336" s="510">
        <v>0</v>
      </c>
      <c r="BX336" s="510">
        <v>30000</v>
      </c>
      <c r="BY336" s="1011">
        <v>0</v>
      </c>
      <c r="BZ336" s="510">
        <v>0</v>
      </c>
      <c r="CA336" s="1011">
        <v>0</v>
      </c>
      <c r="CB336" s="510">
        <v>22000</v>
      </c>
      <c r="CC336" s="1011">
        <v>0</v>
      </c>
      <c r="CD336" s="510">
        <v>0</v>
      </c>
      <c r="CE336" s="1011">
        <v>0</v>
      </c>
      <c r="CF336" s="510">
        <v>51955.199999999997</v>
      </c>
      <c r="CG336" s="1011">
        <v>0</v>
      </c>
      <c r="CH336" s="510">
        <v>0</v>
      </c>
      <c r="CI336" s="1011">
        <v>0</v>
      </c>
    </row>
    <row r="337" spans="1:87" x14ac:dyDescent="0.2">
      <c r="A337" s="449">
        <v>120</v>
      </c>
      <c r="B337" s="453">
        <v>19384</v>
      </c>
      <c r="C337" s="454" t="s">
        <v>3954</v>
      </c>
      <c r="D337" s="454" t="s">
        <v>2950</v>
      </c>
      <c r="E337" s="454" t="s">
        <v>3955</v>
      </c>
      <c r="F337" s="454" t="s">
        <v>520</v>
      </c>
      <c r="G337" s="454" t="s">
        <v>12876</v>
      </c>
      <c r="H337" s="455">
        <v>11005669000192</v>
      </c>
      <c r="I337" s="462">
        <v>39982</v>
      </c>
      <c r="J337" s="457">
        <v>41029542</v>
      </c>
      <c r="K337" s="454" t="s">
        <v>3894</v>
      </c>
      <c r="L337" s="458" t="s">
        <v>1446</v>
      </c>
      <c r="M337" s="454" t="s">
        <v>3895</v>
      </c>
      <c r="N337" s="459">
        <v>5712040</v>
      </c>
      <c r="O337" s="460">
        <v>35073802</v>
      </c>
      <c r="P337" s="462">
        <v>304274</v>
      </c>
      <c r="Q337" s="462">
        <v>186</v>
      </c>
      <c r="R337" s="462">
        <v>43969</v>
      </c>
      <c r="S337" s="463">
        <v>1269</v>
      </c>
      <c r="T337" s="464">
        <v>5.4</v>
      </c>
      <c r="U337" s="465">
        <v>6852.6</v>
      </c>
      <c r="V337" s="465">
        <v>21960</v>
      </c>
      <c r="W337" s="466">
        <v>0</v>
      </c>
      <c r="X337" s="467">
        <v>1</v>
      </c>
      <c r="Y337" s="466">
        <v>43218.9</v>
      </c>
      <c r="Z337" s="468" t="s">
        <v>516</v>
      </c>
      <c r="AA337" s="466">
        <v>171541.7</v>
      </c>
      <c r="AB337" s="466">
        <v>171541.7</v>
      </c>
      <c r="AC337" s="467">
        <v>0</v>
      </c>
      <c r="AD337" s="466">
        <v>0</v>
      </c>
      <c r="AE337" s="468" t="s">
        <v>516</v>
      </c>
      <c r="AF337" s="466">
        <v>0</v>
      </c>
      <c r="AG337" s="466">
        <v>0</v>
      </c>
      <c r="AH337" s="466">
        <v>25321.87</v>
      </c>
      <c r="AI337" s="466">
        <v>9228.75</v>
      </c>
      <c r="AJ337" s="469" t="s">
        <v>3668</v>
      </c>
      <c r="AK337" s="470" t="s">
        <v>3669</v>
      </c>
      <c r="AL337" s="471" t="s">
        <v>3957</v>
      </c>
      <c r="AM337" s="470" t="s">
        <v>12877</v>
      </c>
      <c r="AN337" s="470" t="s">
        <v>3956</v>
      </c>
      <c r="AO337" s="470" t="s">
        <v>3958</v>
      </c>
      <c r="AP337" s="470" t="s">
        <v>3139</v>
      </c>
      <c r="AQ337" s="470" t="s">
        <v>3954</v>
      </c>
      <c r="AR337" s="472" t="s">
        <v>515</v>
      </c>
      <c r="AS337" s="473" t="s">
        <v>1385</v>
      </c>
      <c r="AT337" s="472" t="s">
        <v>2950</v>
      </c>
      <c r="AU337" s="472" t="s">
        <v>420</v>
      </c>
      <c r="AV337" s="472">
        <v>2020</v>
      </c>
      <c r="AW337" s="474" t="s">
        <v>15078</v>
      </c>
      <c r="AX337" s="475" t="s">
        <v>15079</v>
      </c>
      <c r="AY337" s="515">
        <v>1</v>
      </c>
      <c r="AZ337" s="474" t="s">
        <v>15079</v>
      </c>
      <c r="BA337" s="472" t="s">
        <v>2950</v>
      </c>
      <c r="BB337" s="472" t="s">
        <v>1385</v>
      </c>
      <c r="BC337" s="472" t="s">
        <v>1385</v>
      </c>
      <c r="BD337" s="472" t="s">
        <v>1385</v>
      </c>
      <c r="BE337" s="472" t="s">
        <v>1385</v>
      </c>
      <c r="BF337" s="472">
        <v>43218.9</v>
      </c>
      <c r="BG337" s="472">
        <v>0</v>
      </c>
      <c r="BH337" s="472" t="s">
        <v>1385</v>
      </c>
      <c r="BI337" s="510">
        <v>0</v>
      </c>
      <c r="BJ337" s="510">
        <v>0</v>
      </c>
      <c r="BK337" s="510">
        <v>0</v>
      </c>
      <c r="BL337" s="510">
        <v>0</v>
      </c>
      <c r="BM337" s="510">
        <v>0</v>
      </c>
      <c r="BN337" s="510">
        <v>6000</v>
      </c>
      <c r="BO337" s="510">
        <v>0</v>
      </c>
      <c r="BP337" s="510">
        <v>0</v>
      </c>
      <c r="BQ337" s="510">
        <v>0</v>
      </c>
      <c r="BR337" s="510">
        <v>0</v>
      </c>
      <c r="BS337" s="510">
        <v>0</v>
      </c>
      <c r="BT337" s="510">
        <v>0</v>
      </c>
      <c r="BU337" s="510">
        <v>2500</v>
      </c>
      <c r="BV337" s="510">
        <v>2500</v>
      </c>
      <c r="BW337" s="510">
        <v>0</v>
      </c>
      <c r="BX337" s="510">
        <v>30000</v>
      </c>
      <c r="BY337" s="1011">
        <v>0</v>
      </c>
      <c r="BZ337" s="510">
        <v>0</v>
      </c>
      <c r="CA337" s="1011">
        <v>0</v>
      </c>
      <c r="CB337" s="510">
        <v>22000</v>
      </c>
      <c r="CC337" s="1011">
        <v>0</v>
      </c>
      <c r="CD337" s="510">
        <v>0</v>
      </c>
      <c r="CE337" s="1011">
        <v>0</v>
      </c>
      <c r="CF337" s="510">
        <v>76322.8</v>
      </c>
      <c r="CG337" s="1011">
        <v>0</v>
      </c>
      <c r="CH337" s="510">
        <v>0</v>
      </c>
      <c r="CI337" s="1011">
        <v>0</v>
      </c>
    </row>
    <row r="338" spans="1:87" x14ac:dyDescent="0.2">
      <c r="A338" s="449">
        <v>59</v>
      </c>
      <c r="B338" s="453">
        <v>19385</v>
      </c>
      <c r="C338" s="454" t="s">
        <v>3959</v>
      </c>
      <c r="D338" s="454" t="s">
        <v>2950</v>
      </c>
      <c r="E338" s="454" t="s">
        <v>3960</v>
      </c>
      <c r="F338" s="454" t="s">
        <v>524</v>
      </c>
      <c r="G338" s="454" t="s">
        <v>12878</v>
      </c>
      <c r="H338" s="455">
        <v>11035704000116</v>
      </c>
      <c r="I338" s="462">
        <v>39981</v>
      </c>
      <c r="J338" s="457">
        <v>41608054</v>
      </c>
      <c r="K338" s="454" t="s">
        <v>3961</v>
      </c>
      <c r="L338" s="458" t="s">
        <v>1446</v>
      </c>
      <c r="M338" s="454" t="s">
        <v>3901</v>
      </c>
      <c r="N338" s="459">
        <v>4177070</v>
      </c>
      <c r="O338" s="460">
        <v>22648803</v>
      </c>
      <c r="P338" s="462">
        <v>203923</v>
      </c>
      <c r="Q338" s="462">
        <v>64</v>
      </c>
      <c r="R338" s="462">
        <v>43906</v>
      </c>
      <c r="S338" s="463">
        <v>950</v>
      </c>
      <c r="T338" s="464">
        <v>5.4</v>
      </c>
      <c r="U338" s="465">
        <v>5130</v>
      </c>
      <c r="V338" s="465">
        <v>20340</v>
      </c>
      <c r="W338" s="466">
        <v>0</v>
      </c>
      <c r="X338" s="467">
        <v>1</v>
      </c>
      <c r="Y338" s="466">
        <v>38205</v>
      </c>
      <c r="Z338" s="468" t="s">
        <v>516</v>
      </c>
      <c r="AA338" s="466">
        <v>160937</v>
      </c>
      <c r="AB338" s="466">
        <v>160937</v>
      </c>
      <c r="AC338" s="467">
        <v>0</v>
      </c>
      <c r="AD338" s="466">
        <v>0</v>
      </c>
      <c r="AE338" s="468" t="s">
        <v>516</v>
      </c>
      <c r="AF338" s="466">
        <v>2000</v>
      </c>
      <c r="AG338" s="466">
        <v>2000</v>
      </c>
      <c r="AH338" s="466">
        <v>17713.63</v>
      </c>
      <c r="AI338" s="466">
        <v>11520.31</v>
      </c>
      <c r="AJ338" s="469" t="s">
        <v>2511</v>
      </c>
      <c r="AK338" s="470" t="s">
        <v>2512</v>
      </c>
      <c r="AL338" s="471" t="s">
        <v>3962</v>
      </c>
      <c r="AM338" s="470" t="s">
        <v>15147</v>
      </c>
      <c r="AN338" s="470" t="s">
        <v>3963</v>
      </c>
      <c r="AO338" s="470" t="s">
        <v>3964</v>
      </c>
      <c r="AP338" s="470" t="s">
        <v>3965</v>
      </c>
      <c r="AQ338" s="470" t="s">
        <v>3959</v>
      </c>
      <c r="AR338" s="472" t="s">
        <v>515</v>
      </c>
      <c r="AS338" s="473" t="s">
        <v>1385</v>
      </c>
      <c r="AT338" s="472" t="s">
        <v>2950</v>
      </c>
      <c r="AU338" s="472" t="s">
        <v>420</v>
      </c>
      <c r="AV338" s="472">
        <v>2020</v>
      </c>
      <c r="AW338" s="474" t="s">
        <v>15078</v>
      </c>
      <c r="AX338" s="475" t="s">
        <v>15079</v>
      </c>
      <c r="AY338" s="515">
        <v>1</v>
      </c>
      <c r="AZ338" s="474" t="s">
        <v>15079</v>
      </c>
      <c r="BA338" s="472" t="s">
        <v>2950</v>
      </c>
      <c r="BB338" s="472" t="s">
        <v>1385</v>
      </c>
      <c r="BC338" s="472" t="s">
        <v>1385</v>
      </c>
      <c r="BD338" s="472" t="s">
        <v>1385</v>
      </c>
      <c r="BE338" s="472" t="s">
        <v>1385</v>
      </c>
      <c r="BF338" s="472">
        <v>38205</v>
      </c>
      <c r="BG338" s="472">
        <v>0</v>
      </c>
      <c r="BH338" s="472" t="s">
        <v>1385</v>
      </c>
      <c r="BI338" s="510">
        <v>0</v>
      </c>
      <c r="BJ338" s="510">
        <v>0</v>
      </c>
      <c r="BK338" s="510">
        <v>0</v>
      </c>
      <c r="BL338" s="510">
        <v>0</v>
      </c>
      <c r="BM338" s="510">
        <v>0</v>
      </c>
      <c r="BN338" s="510">
        <v>4200</v>
      </c>
      <c r="BO338" s="510">
        <v>0</v>
      </c>
      <c r="BP338" s="510">
        <v>2000</v>
      </c>
      <c r="BQ338" s="510">
        <v>0</v>
      </c>
      <c r="BR338" s="510">
        <v>0</v>
      </c>
      <c r="BS338" s="510">
        <v>0</v>
      </c>
      <c r="BT338" s="510">
        <v>0</v>
      </c>
      <c r="BU338" s="510">
        <v>2500</v>
      </c>
      <c r="BV338" s="510">
        <v>2500</v>
      </c>
      <c r="BW338" s="510">
        <v>0</v>
      </c>
      <c r="BX338" s="510">
        <v>30000</v>
      </c>
      <c r="BY338" s="1011">
        <v>0</v>
      </c>
      <c r="BZ338" s="510">
        <v>0</v>
      </c>
      <c r="CA338" s="1011">
        <v>0</v>
      </c>
      <c r="CB338" s="510">
        <v>22000</v>
      </c>
      <c r="CC338" s="1011">
        <v>0</v>
      </c>
      <c r="CD338" s="510">
        <v>0</v>
      </c>
      <c r="CE338" s="1011">
        <v>0</v>
      </c>
      <c r="CF338" s="510">
        <v>70732</v>
      </c>
      <c r="CG338" s="1011">
        <v>0</v>
      </c>
      <c r="CH338" s="510">
        <v>0</v>
      </c>
      <c r="CI338" s="1011">
        <v>0</v>
      </c>
    </row>
    <row r="339" spans="1:87" x14ac:dyDescent="0.2">
      <c r="A339" s="449">
        <v>54</v>
      </c>
      <c r="B339" s="453">
        <v>19386</v>
      </c>
      <c r="C339" s="454" t="s">
        <v>3966</v>
      </c>
      <c r="D339" s="454" t="s">
        <v>2950</v>
      </c>
      <c r="E339" s="454" t="s">
        <v>3967</v>
      </c>
      <c r="F339" s="454" t="s">
        <v>518</v>
      </c>
      <c r="G339" s="454" t="s">
        <v>12879</v>
      </c>
      <c r="H339" s="455">
        <v>10929935000100</v>
      </c>
      <c r="I339" s="462">
        <v>39909</v>
      </c>
      <c r="J339" s="457">
        <v>41082770</v>
      </c>
      <c r="K339" s="454" t="s">
        <v>3907</v>
      </c>
      <c r="L339" s="458" t="s">
        <v>1446</v>
      </c>
      <c r="M339" s="454" t="s">
        <v>1812</v>
      </c>
      <c r="N339" s="459">
        <v>3386090</v>
      </c>
      <c r="O339" s="460">
        <v>22118606</v>
      </c>
      <c r="P339" s="462">
        <v>50213</v>
      </c>
      <c r="Q339" s="462">
        <v>99</v>
      </c>
      <c r="R339" s="462">
        <v>43943</v>
      </c>
      <c r="S339" s="463">
        <v>739</v>
      </c>
      <c r="T339" s="464">
        <v>5.4</v>
      </c>
      <c r="U339" s="465">
        <v>3990.6</v>
      </c>
      <c r="V339" s="465">
        <v>18720</v>
      </c>
      <c r="W339" s="466">
        <v>0</v>
      </c>
      <c r="X339" s="467">
        <v>1</v>
      </c>
      <c r="Y339" s="466">
        <v>39681.9</v>
      </c>
      <c r="Z339" s="468" t="s">
        <v>516</v>
      </c>
      <c r="AA339" s="466">
        <v>149418.29999999999</v>
      </c>
      <c r="AB339" s="466">
        <v>149418.29999999999</v>
      </c>
      <c r="AC339" s="467">
        <v>0</v>
      </c>
      <c r="AD339" s="466">
        <v>0</v>
      </c>
      <c r="AE339" s="468" t="s">
        <v>516</v>
      </c>
      <c r="AF339" s="466">
        <v>0</v>
      </c>
      <c r="AG339" s="466">
        <v>0</v>
      </c>
      <c r="AH339" s="466">
        <v>33930.879999999997</v>
      </c>
      <c r="AI339" s="466">
        <v>18713.099999999999</v>
      </c>
      <c r="AJ339" s="469" t="s">
        <v>3969</v>
      </c>
      <c r="AK339" s="470" t="s">
        <v>2613</v>
      </c>
      <c r="AL339" s="471" t="s">
        <v>3970</v>
      </c>
      <c r="AM339" s="470" t="s">
        <v>3971</v>
      </c>
      <c r="AN339" s="470" t="s">
        <v>3968</v>
      </c>
      <c r="AO339" s="470" t="s">
        <v>14985</v>
      </c>
      <c r="AP339" s="470" t="s">
        <v>3972</v>
      </c>
      <c r="AQ339" s="470" t="s">
        <v>3966</v>
      </c>
      <c r="AR339" s="472" t="s">
        <v>515</v>
      </c>
      <c r="AS339" s="473" t="s">
        <v>1385</v>
      </c>
      <c r="AT339" s="472" t="s">
        <v>2950</v>
      </c>
      <c r="AU339" s="472" t="s">
        <v>420</v>
      </c>
      <c r="AV339" s="472">
        <v>2020</v>
      </c>
      <c r="AW339" s="474" t="s">
        <v>15078</v>
      </c>
      <c r="AX339" s="475" t="s">
        <v>15079</v>
      </c>
      <c r="AY339" s="515">
        <v>1</v>
      </c>
      <c r="AZ339" s="474" t="s">
        <v>15079</v>
      </c>
      <c r="BA339" s="472" t="s">
        <v>2950</v>
      </c>
      <c r="BB339" s="472" t="s">
        <v>516</v>
      </c>
      <c r="BC339" s="472">
        <v>3</v>
      </c>
      <c r="BD339" s="472">
        <v>3744</v>
      </c>
      <c r="BE339" s="472">
        <v>0</v>
      </c>
      <c r="BF339" s="472">
        <v>39681.9</v>
      </c>
      <c r="BG339" s="472">
        <v>0</v>
      </c>
      <c r="BH339" s="472" t="s">
        <v>1385</v>
      </c>
      <c r="BI339" s="510">
        <v>0</v>
      </c>
      <c r="BJ339" s="510">
        <v>6277.28</v>
      </c>
      <c r="BK339" s="510">
        <v>0</v>
      </c>
      <c r="BL339" s="510">
        <v>1.1000000000000001</v>
      </c>
      <c r="BM339" s="510">
        <v>0</v>
      </c>
      <c r="BN339" s="510">
        <v>5000</v>
      </c>
      <c r="BO339" s="510">
        <v>0</v>
      </c>
      <c r="BP339" s="510">
        <v>0</v>
      </c>
      <c r="BQ339" s="510">
        <v>0</v>
      </c>
      <c r="BR339" s="510">
        <v>0</v>
      </c>
      <c r="BS339" s="510">
        <v>0</v>
      </c>
      <c r="BT339" s="510">
        <v>0</v>
      </c>
      <c r="BU339" s="510">
        <v>2500</v>
      </c>
      <c r="BV339" s="510">
        <v>2500</v>
      </c>
      <c r="BW339" s="510">
        <v>0</v>
      </c>
      <c r="BX339" s="510">
        <v>30000</v>
      </c>
      <c r="BY339" s="1011">
        <v>0</v>
      </c>
      <c r="BZ339" s="510">
        <v>0</v>
      </c>
      <c r="CA339" s="1011">
        <v>0</v>
      </c>
      <c r="CB339" s="510">
        <v>22000</v>
      </c>
      <c r="CC339" s="1011">
        <v>0</v>
      </c>
      <c r="CD339" s="510">
        <v>0</v>
      </c>
      <c r="CE339" s="1011">
        <v>0</v>
      </c>
      <c r="CF339" s="510">
        <v>57736.4</v>
      </c>
      <c r="CG339" s="1011">
        <v>0</v>
      </c>
      <c r="CH339" s="510">
        <v>0</v>
      </c>
      <c r="CI339" s="1011">
        <v>0</v>
      </c>
    </row>
    <row r="340" spans="1:87" x14ac:dyDescent="0.2">
      <c r="A340" s="449">
        <v>72</v>
      </c>
      <c r="B340" s="453">
        <v>19388</v>
      </c>
      <c r="C340" s="454" t="s">
        <v>3973</v>
      </c>
      <c r="D340" s="454" t="s">
        <v>2950</v>
      </c>
      <c r="E340" s="454" t="s">
        <v>3974</v>
      </c>
      <c r="F340" s="454" t="s">
        <v>527</v>
      </c>
      <c r="G340" s="454" t="s">
        <v>12880</v>
      </c>
      <c r="H340" s="455">
        <v>11146472000173</v>
      </c>
      <c r="I340" s="462">
        <v>40045</v>
      </c>
      <c r="J340" s="457">
        <v>39725570</v>
      </c>
      <c r="K340" s="454" t="s">
        <v>3975</v>
      </c>
      <c r="L340" s="458" t="s">
        <v>1446</v>
      </c>
      <c r="M340" s="454" t="s">
        <v>527</v>
      </c>
      <c r="N340" s="459">
        <v>3074000</v>
      </c>
      <c r="O340" s="460">
        <v>22270345</v>
      </c>
      <c r="P340" s="462">
        <v>196510</v>
      </c>
      <c r="Q340" s="462">
        <v>88</v>
      </c>
      <c r="R340" s="462">
        <v>43917</v>
      </c>
      <c r="S340" s="463">
        <v>703</v>
      </c>
      <c r="T340" s="464">
        <v>5.4</v>
      </c>
      <c r="U340" s="465">
        <v>3796.2</v>
      </c>
      <c r="V340" s="465">
        <v>18720</v>
      </c>
      <c r="W340" s="466">
        <v>0</v>
      </c>
      <c r="X340" s="467">
        <v>1</v>
      </c>
      <c r="Y340" s="466">
        <v>39390.300000000003</v>
      </c>
      <c r="Z340" s="468" t="s">
        <v>516</v>
      </c>
      <c r="AA340" s="466">
        <v>149623.5</v>
      </c>
      <c r="AB340" s="466">
        <v>149623.5</v>
      </c>
      <c r="AC340" s="467">
        <v>0</v>
      </c>
      <c r="AD340" s="466">
        <v>0</v>
      </c>
      <c r="AE340" s="468" t="s">
        <v>516</v>
      </c>
      <c r="AF340" s="466">
        <v>0</v>
      </c>
      <c r="AG340" s="466">
        <v>0</v>
      </c>
      <c r="AH340" s="466">
        <v>2716.65</v>
      </c>
      <c r="AI340" s="466">
        <v>3004.67</v>
      </c>
      <c r="AJ340" s="469" t="s">
        <v>2233</v>
      </c>
      <c r="AK340" s="470" t="s">
        <v>2653</v>
      </c>
      <c r="AL340" s="471" t="s">
        <v>3976</v>
      </c>
      <c r="AM340" s="470" t="s">
        <v>3977</v>
      </c>
      <c r="AN340" s="470" t="s">
        <v>12881</v>
      </c>
      <c r="AO340" s="470" t="s">
        <v>12882</v>
      </c>
      <c r="AP340" s="470" t="s">
        <v>3978</v>
      </c>
      <c r="AQ340" s="470" t="s">
        <v>3973</v>
      </c>
      <c r="AR340" s="472" t="s">
        <v>515</v>
      </c>
      <c r="AS340" s="473" t="s">
        <v>1385</v>
      </c>
      <c r="AT340" s="472" t="s">
        <v>2950</v>
      </c>
      <c r="AU340" s="472" t="s">
        <v>420</v>
      </c>
      <c r="AV340" s="472">
        <v>2020</v>
      </c>
      <c r="AW340" s="474" t="s">
        <v>15078</v>
      </c>
      <c r="AX340" s="475" t="s">
        <v>15079</v>
      </c>
      <c r="AY340" s="515">
        <v>1</v>
      </c>
      <c r="AZ340" s="474" t="s">
        <v>15079</v>
      </c>
      <c r="BA340" s="472" t="s">
        <v>2950</v>
      </c>
      <c r="BB340" s="472" t="s">
        <v>516</v>
      </c>
      <c r="BC340" s="472">
        <v>3</v>
      </c>
      <c r="BD340" s="472">
        <v>3744</v>
      </c>
      <c r="BE340" s="472">
        <v>0</v>
      </c>
      <c r="BF340" s="472">
        <v>39390.300000000003</v>
      </c>
      <c r="BG340" s="472">
        <v>0</v>
      </c>
      <c r="BH340" s="472" t="s">
        <v>1385</v>
      </c>
      <c r="BI340" s="510">
        <v>0</v>
      </c>
      <c r="BJ340" s="510">
        <v>0</v>
      </c>
      <c r="BK340" s="510">
        <v>0</v>
      </c>
      <c r="BL340" s="510">
        <v>0</v>
      </c>
      <c r="BM340" s="510">
        <v>0</v>
      </c>
      <c r="BN340" s="510">
        <v>5000</v>
      </c>
      <c r="BO340" s="510">
        <v>0</v>
      </c>
      <c r="BP340" s="510">
        <v>0</v>
      </c>
      <c r="BQ340" s="510">
        <v>0</v>
      </c>
      <c r="BR340" s="510">
        <v>0</v>
      </c>
      <c r="BS340" s="510">
        <v>0</v>
      </c>
      <c r="BT340" s="510">
        <v>0</v>
      </c>
      <c r="BU340" s="510">
        <v>2500</v>
      </c>
      <c r="BV340" s="510">
        <v>2500</v>
      </c>
      <c r="BW340" s="510">
        <v>0</v>
      </c>
      <c r="BX340" s="510">
        <v>30000</v>
      </c>
      <c r="BY340" s="1011">
        <v>0</v>
      </c>
      <c r="BZ340" s="510">
        <v>0</v>
      </c>
      <c r="CA340" s="1011">
        <v>0</v>
      </c>
      <c r="CB340" s="510">
        <v>22000</v>
      </c>
      <c r="CC340" s="1011">
        <v>0</v>
      </c>
      <c r="CD340" s="510">
        <v>0</v>
      </c>
      <c r="CE340" s="1011">
        <v>0</v>
      </c>
      <c r="CF340" s="510">
        <v>58233.2</v>
      </c>
      <c r="CG340" s="1011">
        <v>0</v>
      </c>
      <c r="CH340" s="510">
        <v>0</v>
      </c>
      <c r="CI340" s="1011">
        <v>0</v>
      </c>
    </row>
    <row r="341" spans="1:87" x14ac:dyDescent="0.2">
      <c r="A341" s="449">
        <v>83</v>
      </c>
      <c r="B341" s="453">
        <v>19389</v>
      </c>
      <c r="C341" s="454" t="s">
        <v>3979</v>
      </c>
      <c r="D341" s="454" t="s">
        <v>2950</v>
      </c>
      <c r="E341" s="454" t="s">
        <v>3980</v>
      </c>
      <c r="F341" s="454" t="s">
        <v>528</v>
      </c>
      <c r="G341" s="454" t="s">
        <v>12883</v>
      </c>
      <c r="H341" s="455">
        <v>10938695000100</v>
      </c>
      <c r="I341" s="462">
        <v>39980</v>
      </c>
      <c r="J341" s="457">
        <v>39638928</v>
      </c>
      <c r="K341" s="454" t="s">
        <v>3924</v>
      </c>
      <c r="L341" s="458">
        <v>1020</v>
      </c>
      <c r="M341" s="454" t="s">
        <v>3930</v>
      </c>
      <c r="N341" s="459">
        <v>5267174</v>
      </c>
      <c r="O341" s="460">
        <v>39111676</v>
      </c>
      <c r="P341" s="462">
        <v>213740</v>
      </c>
      <c r="Q341" s="462">
        <v>83</v>
      </c>
      <c r="R341" s="462">
        <v>43938</v>
      </c>
      <c r="S341" s="463">
        <v>1016</v>
      </c>
      <c r="T341" s="464">
        <v>5.4</v>
      </c>
      <c r="U341" s="465">
        <v>5486.4</v>
      </c>
      <c r="V341" s="465">
        <v>20340</v>
      </c>
      <c r="W341" s="466">
        <v>0</v>
      </c>
      <c r="X341" s="467">
        <v>1</v>
      </c>
      <c r="Y341" s="466">
        <v>38739.599999999999</v>
      </c>
      <c r="Z341" s="468" t="s">
        <v>516</v>
      </c>
      <c r="AA341" s="466">
        <v>155491.20000000001</v>
      </c>
      <c r="AB341" s="466">
        <v>155491.20000000001</v>
      </c>
      <c r="AC341" s="467">
        <v>0</v>
      </c>
      <c r="AD341" s="466">
        <v>0</v>
      </c>
      <c r="AE341" s="468" t="s">
        <v>516</v>
      </c>
      <c r="AF341" s="466">
        <v>1400</v>
      </c>
      <c r="AG341" s="466">
        <v>1400</v>
      </c>
      <c r="AH341" s="466">
        <v>13749.72</v>
      </c>
      <c r="AI341" s="466">
        <v>14782.31</v>
      </c>
      <c r="AJ341" s="469" t="s">
        <v>2242</v>
      </c>
      <c r="AK341" s="470" t="s">
        <v>2241</v>
      </c>
      <c r="AL341" s="471" t="s">
        <v>3981</v>
      </c>
      <c r="AM341" s="470" t="s">
        <v>3982</v>
      </c>
      <c r="AN341" s="470" t="s">
        <v>3983</v>
      </c>
      <c r="AO341" s="470" t="s">
        <v>3984</v>
      </c>
      <c r="AP341" s="470" t="s">
        <v>3930</v>
      </c>
      <c r="AQ341" s="470" t="s">
        <v>3979</v>
      </c>
      <c r="AR341" s="472" t="s">
        <v>515</v>
      </c>
      <c r="AS341" s="473" t="s">
        <v>1385</v>
      </c>
      <c r="AT341" s="472" t="s">
        <v>2950</v>
      </c>
      <c r="AU341" s="472" t="s">
        <v>420</v>
      </c>
      <c r="AV341" s="472">
        <v>2020</v>
      </c>
      <c r="AW341" s="474" t="s">
        <v>15078</v>
      </c>
      <c r="AX341" s="475" t="s">
        <v>15079</v>
      </c>
      <c r="AY341" s="515">
        <v>1</v>
      </c>
      <c r="AZ341" s="474" t="s">
        <v>15079</v>
      </c>
      <c r="BA341" s="472" t="s">
        <v>2950</v>
      </c>
      <c r="BB341" s="472" t="s">
        <v>1385</v>
      </c>
      <c r="BC341" s="472" t="s">
        <v>1385</v>
      </c>
      <c r="BD341" s="472" t="s">
        <v>1385</v>
      </c>
      <c r="BE341" s="472" t="s">
        <v>1385</v>
      </c>
      <c r="BF341" s="472">
        <v>38739.599999999999</v>
      </c>
      <c r="BG341" s="472">
        <v>0</v>
      </c>
      <c r="BH341" s="472" t="s">
        <v>1385</v>
      </c>
      <c r="BI341" s="510">
        <v>0</v>
      </c>
      <c r="BJ341" s="510">
        <v>0</v>
      </c>
      <c r="BK341" s="510">
        <v>0</v>
      </c>
      <c r="BL341" s="510">
        <v>0</v>
      </c>
      <c r="BM341" s="510">
        <v>0</v>
      </c>
      <c r="BN341" s="510">
        <v>5000</v>
      </c>
      <c r="BO341" s="510">
        <v>600</v>
      </c>
      <c r="BP341" s="510">
        <v>1400</v>
      </c>
      <c r="BQ341" s="510">
        <v>0</v>
      </c>
      <c r="BR341" s="510">
        <v>0</v>
      </c>
      <c r="BS341" s="510">
        <v>0</v>
      </c>
      <c r="BT341" s="510">
        <v>0</v>
      </c>
      <c r="BU341" s="510">
        <v>2500</v>
      </c>
      <c r="BV341" s="510">
        <v>2500</v>
      </c>
      <c r="BW341" s="510">
        <v>0</v>
      </c>
      <c r="BX341" s="510">
        <v>30000</v>
      </c>
      <c r="BY341" s="1011">
        <v>0</v>
      </c>
      <c r="BZ341" s="510">
        <v>0</v>
      </c>
      <c r="CA341" s="1011">
        <v>0</v>
      </c>
      <c r="CB341" s="510">
        <v>22000</v>
      </c>
      <c r="CC341" s="1011">
        <v>0</v>
      </c>
      <c r="CD341" s="510">
        <v>0</v>
      </c>
      <c r="CE341" s="1011">
        <v>0</v>
      </c>
      <c r="CF341" s="510">
        <v>64151.6</v>
      </c>
      <c r="CG341" s="1011">
        <v>0</v>
      </c>
      <c r="CH341" s="510">
        <v>0</v>
      </c>
      <c r="CI341" s="1011">
        <v>0</v>
      </c>
    </row>
    <row r="342" spans="1:87" x14ac:dyDescent="0.2">
      <c r="A342" s="449">
        <v>82</v>
      </c>
      <c r="B342" s="453">
        <v>19390</v>
      </c>
      <c r="C342" s="454" t="s">
        <v>3985</v>
      </c>
      <c r="D342" s="454" t="s">
        <v>2950</v>
      </c>
      <c r="E342" s="454" t="s">
        <v>3986</v>
      </c>
      <c r="F342" s="454" t="s">
        <v>528</v>
      </c>
      <c r="G342" s="454" t="s">
        <v>12884</v>
      </c>
      <c r="H342" s="455">
        <v>12473561000197</v>
      </c>
      <c r="I342" s="462">
        <v>40374</v>
      </c>
      <c r="J342" s="457">
        <v>42655110</v>
      </c>
      <c r="K342" s="454" t="s">
        <v>3987</v>
      </c>
      <c r="L342" s="458">
        <v>80</v>
      </c>
      <c r="M342" s="454" t="s">
        <v>3988</v>
      </c>
      <c r="N342" s="459">
        <v>5347010</v>
      </c>
      <c r="O342" s="460">
        <v>37192321</v>
      </c>
      <c r="P342" s="462">
        <v>213732</v>
      </c>
      <c r="Q342" s="462">
        <v>82</v>
      </c>
      <c r="R342" s="462">
        <v>43938</v>
      </c>
      <c r="S342" s="463">
        <v>846</v>
      </c>
      <c r="T342" s="464">
        <v>5.4</v>
      </c>
      <c r="U342" s="465">
        <v>4568.3999999999996</v>
      </c>
      <c r="V342" s="465">
        <v>18720</v>
      </c>
      <c r="W342" s="466">
        <v>0</v>
      </c>
      <c r="X342" s="467">
        <v>1</v>
      </c>
      <c r="Y342" s="466">
        <v>43356.6</v>
      </c>
      <c r="Z342" s="468" t="s">
        <v>516</v>
      </c>
      <c r="AA342" s="466">
        <v>158413.79999999999</v>
      </c>
      <c r="AB342" s="466">
        <v>158413.79999999999</v>
      </c>
      <c r="AC342" s="467">
        <v>0</v>
      </c>
      <c r="AD342" s="466">
        <v>0</v>
      </c>
      <c r="AE342" s="468" t="s">
        <v>516</v>
      </c>
      <c r="AF342" s="466">
        <v>2000</v>
      </c>
      <c r="AG342" s="466">
        <v>2000</v>
      </c>
      <c r="AH342" s="466">
        <v>44006.93</v>
      </c>
      <c r="AI342" s="466">
        <v>18465.38</v>
      </c>
      <c r="AJ342" s="469" t="s">
        <v>3989</v>
      </c>
      <c r="AK342" s="470" t="s">
        <v>3990</v>
      </c>
      <c r="AL342" s="471" t="s">
        <v>3991</v>
      </c>
      <c r="AM342" s="470" t="s">
        <v>3992</v>
      </c>
      <c r="AN342" s="470" t="s">
        <v>3993</v>
      </c>
      <c r="AO342" s="470" t="s">
        <v>3994</v>
      </c>
      <c r="AP342" s="470" t="s">
        <v>3584</v>
      </c>
      <c r="AQ342" s="470" t="s">
        <v>3985</v>
      </c>
      <c r="AR342" s="472" t="s">
        <v>515</v>
      </c>
      <c r="AS342" s="473" t="s">
        <v>1385</v>
      </c>
      <c r="AT342" s="472" t="s">
        <v>2950</v>
      </c>
      <c r="AU342" s="472" t="s">
        <v>420</v>
      </c>
      <c r="AV342" s="472">
        <v>2020</v>
      </c>
      <c r="AW342" s="474" t="s">
        <v>15078</v>
      </c>
      <c r="AX342" s="475" t="s">
        <v>15079</v>
      </c>
      <c r="AY342" s="515">
        <v>1</v>
      </c>
      <c r="AZ342" s="474" t="s">
        <v>15079</v>
      </c>
      <c r="BA342" s="472" t="s">
        <v>2950</v>
      </c>
      <c r="BB342" s="472" t="s">
        <v>516</v>
      </c>
      <c r="BC342" s="472">
        <v>6</v>
      </c>
      <c r="BD342" s="472">
        <v>5616</v>
      </c>
      <c r="BE342" s="472">
        <v>0</v>
      </c>
      <c r="BF342" s="472">
        <v>43356.6</v>
      </c>
      <c r="BG342" s="472">
        <v>0</v>
      </c>
      <c r="BH342" s="472" t="s">
        <v>1385</v>
      </c>
      <c r="BI342" s="510">
        <v>0</v>
      </c>
      <c r="BJ342" s="510">
        <v>0</v>
      </c>
      <c r="BK342" s="510">
        <v>0</v>
      </c>
      <c r="BL342" s="510">
        <v>0</v>
      </c>
      <c r="BM342" s="510">
        <v>0</v>
      </c>
      <c r="BN342" s="510">
        <v>5000</v>
      </c>
      <c r="BO342" s="510">
        <v>0</v>
      </c>
      <c r="BP342" s="510">
        <v>2000</v>
      </c>
      <c r="BQ342" s="510">
        <v>0</v>
      </c>
      <c r="BR342" s="510">
        <v>0</v>
      </c>
      <c r="BS342" s="510">
        <v>0</v>
      </c>
      <c r="BT342" s="510">
        <v>0</v>
      </c>
      <c r="BU342" s="510">
        <v>2500</v>
      </c>
      <c r="BV342" s="510">
        <v>2500</v>
      </c>
      <c r="BW342" s="510">
        <v>0</v>
      </c>
      <c r="BX342" s="510">
        <v>30000</v>
      </c>
      <c r="BY342" s="1011">
        <v>0</v>
      </c>
      <c r="BZ342" s="510">
        <v>0</v>
      </c>
      <c r="CA342" s="1011">
        <v>0</v>
      </c>
      <c r="CB342" s="510">
        <v>22000</v>
      </c>
      <c r="CC342" s="1011">
        <v>0</v>
      </c>
      <c r="CD342" s="510">
        <v>0</v>
      </c>
      <c r="CE342" s="1011">
        <v>0</v>
      </c>
      <c r="CF342" s="510">
        <v>63057.2</v>
      </c>
      <c r="CG342" s="1011">
        <v>0</v>
      </c>
      <c r="CH342" s="510">
        <v>0</v>
      </c>
      <c r="CI342" s="1011">
        <v>0</v>
      </c>
    </row>
    <row r="343" spans="1:87" x14ac:dyDescent="0.2">
      <c r="A343" s="449">
        <v>80</v>
      </c>
      <c r="B343" s="453">
        <v>19391</v>
      </c>
      <c r="C343" s="454" t="s">
        <v>3995</v>
      </c>
      <c r="D343" s="454" t="s">
        <v>2950</v>
      </c>
      <c r="E343" s="454" t="s">
        <v>3996</v>
      </c>
      <c r="F343" s="454" t="s">
        <v>513</v>
      </c>
      <c r="G343" s="454" t="s">
        <v>12885</v>
      </c>
      <c r="H343" s="455">
        <v>11031738000132</v>
      </c>
      <c r="I343" s="462">
        <v>40002</v>
      </c>
      <c r="J343" s="457">
        <v>44760760</v>
      </c>
      <c r="K343" s="454" t="s">
        <v>3943</v>
      </c>
      <c r="L343" s="458" t="s">
        <v>1446</v>
      </c>
      <c r="M343" s="454" t="s">
        <v>2604</v>
      </c>
      <c r="N343" s="459">
        <v>8381001</v>
      </c>
      <c r="O343" s="460">
        <v>37930130</v>
      </c>
      <c r="P343" s="462">
        <v>150951</v>
      </c>
      <c r="Q343" s="462">
        <v>80</v>
      </c>
      <c r="R343" s="462">
        <v>43937</v>
      </c>
      <c r="S343" s="463">
        <v>1303</v>
      </c>
      <c r="T343" s="464">
        <v>5.4</v>
      </c>
      <c r="U343" s="465">
        <v>7036.2</v>
      </c>
      <c r="V343" s="465">
        <v>21960</v>
      </c>
      <c r="W343" s="466">
        <v>0</v>
      </c>
      <c r="X343" s="467">
        <v>1</v>
      </c>
      <c r="Y343" s="466">
        <v>43494.3</v>
      </c>
      <c r="Z343" s="468" t="s">
        <v>516</v>
      </c>
      <c r="AA343" s="466">
        <v>171611.9</v>
      </c>
      <c r="AB343" s="466">
        <v>171611.9</v>
      </c>
      <c r="AC343" s="467">
        <v>0</v>
      </c>
      <c r="AD343" s="466">
        <v>0</v>
      </c>
      <c r="AE343" s="468" t="s">
        <v>516</v>
      </c>
      <c r="AF343" s="466">
        <v>0</v>
      </c>
      <c r="AG343" s="466">
        <v>0</v>
      </c>
      <c r="AH343" s="466">
        <v>28471.27</v>
      </c>
      <c r="AI343" s="466">
        <v>9793.66</v>
      </c>
      <c r="AJ343" s="469" t="s">
        <v>2520</v>
      </c>
      <c r="AK343" s="470" t="s">
        <v>2521</v>
      </c>
      <c r="AL343" s="471" t="s">
        <v>3997</v>
      </c>
      <c r="AM343" s="470" t="s">
        <v>12886</v>
      </c>
      <c r="AN343" s="470" t="s">
        <v>1385</v>
      </c>
      <c r="AO343" s="470" t="s">
        <v>3998</v>
      </c>
      <c r="AP343" s="470" t="s">
        <v>3947</v>
      </c>
      <c r="AQ343" s="470" t="s">
        <v>3995</v>
      </c>
      <c r="AR343" s="472" t="s">
        <v>515</v>
      </c>
      <c r="AS343" s="473" t="s">
        <v>1385</v>
      </c>
      <c r="AT343" s="472" t="s">
        <v>2950</v>
      </c>
      <c r="AU343" s="472" t="s">
        <v>420</v>
      </c>
      <c r="AV343" s="472">
        <v>2020</v>
      </c>
      <c r="AW343" s="474" t="s">
        <v>15078</v>
      </c>
      <c r="AX343" s="475" t="s">
        <v>15079</v>
      </c>
      <c r="AY343" s="515">
        <v>1</v>
      </c>
      <c r="AZ343" s="474" t="s">
        <v>15079</v>
      </c>
      <c r="BA343" s="472" t="s">
        <v>2950</v>
      </c>
      <c r="BB343" s="472" t="s">
        <v>1385</v>
      </c>
      <c r="BC343" s="472" t="s">
        <v>1385</v>
      </c>
      <c r="BD343" s="472" t="s">
        <v>1385</v>
      </c>
      <c r="BE343" s="472" t="s">
        <v>1385</v>
      </c>
      <c r="BF343" s="509">
        <v>43494.3</v>
      </c>
      <c r="BG343" s="509">
        <v>0</v>
      </c>
      <c r="BH343" s="472" t="s">
        <v>1385</v>
      </c>
      <c r="BI343" s="510">
        <v>0</v>
      </c>
      <c r="BJ343" s="510">
        <v>0</v>
      </c>
      <c r="BK343" s="510">
        <v>0</v>
      </c>
      <c r="BL343" s="510">
        <v>1368.34</v>
      </c>
      <c r="BM343" s="510">
        <v>0</v>
      </c>
      <c r="BN343" s="510">
        <v>6000</v>
      </c>
      <c r="BO343" s="510">
        <v>0</v>
      </c>
      <c r="BP343" s="510">
        <v>0</v>
      </c>
      <c r="BQ343" s="510">
        <v>0</v>
      </c>
      <c r="BR343" s="510">
        <v>0</v>
      </c>
      <c r="BS343" s="510">
        <v>0</v>
      </c>
      <c r="BT343" s="510">
        <v>0</v>
      </c>
      <c r="BU343" s="510">
        <v>0</v>
      </c>
      <c r="BV343" s="510">
        <v>0</v>
      </c>
      <c r="BW343" s="510">
        <v>0</v>
      </c>
      <c r="BX343" s="510">
        <v>30000</v>
      </c>
      <c r="BY343" s="1011">
        <v>0</v>
      </c>
      <c r="BZ343" s="510">
        <v>0</v>
      </c>
      <c r="CA343" s="1011">
        <v>0</v>
      </c>
      <c r="CB343" s="510">
        <v>22000</v>
      </c>
      <c r="CC343" s="1011">
        <v>0</v>
      </c>
      <c r="CD343" s="510">
        <v>0</v>
      </c>
      <c r="CE343" s="1011">
        <v>0</v>
      </c>
      <c r="CF343" s="510">
        <v>76117.600000000006</v>
      </c>
      <c r="CG343" s="1011">
        <v>0</v>
      </c>
      <c r="CH343" s="510">
        <v>0</v>
      </c>
      <c r="CI343" s="1011">
        <v>0</v>
      </c>
    </row>
    <row r="344" spans="1:87" x14ac:dyDescent="0.2">
      <c r="A344" s="449">
        <v>132</v>
      </c>
      <c r="B344" s="453">
        <v>19392</v>
      </c>
      <c r="C344" s="454" t="s">
        <v>3999</v>
      </c>
      <c r="D344" s="454" t="s">
        <v>2000</v>
      </c>
      <c r="E344" s="454" t="s">
        <v>4000</v>
      </c>
      <c r="F344" s="454" t="s">
        <v>528</v>
      </c>
      <c r="G344" s="454" t="s">
        <v>12887</v>
      </c>
      <c r="H344" s="455">
        <v>12056566000114</v>
      </c>
      <c r="I344" s="462">
        <v>40284</v>
      </c>
      <c r="J344" s="457">
        <v>41667336</v>
      </c>
      <c r="K344" s="454" t="s">
        <v>4001</v>
      </c>
      <c r="L344" s="458">
        <v>80</v>
      </c>
      <c r="M344" s="454" t="s">
        <v>3988</v>
      </c>
      <c r="N344" s="459">
        <v>5347010</v>
      </c>
      <c r="O344" s="460">
        <v>37192407</v>
      </c>
      <c r="P344" s="462">
        <v>213147</v>
      </c>
      <c r="Q344" s="462">
        <v>132</v>
      </c>
      <c r="R344" s="462">
        <v>43938</v>
      </c>
      <c r="S344" s="463">
        <v>470</v>
      </c>
      <c r="T344" s="464">
        <v>3.6</v>
      </c>
      <c r="U344" s="465">
        <v>1692</v>
      </c>
      <c r="V344" s="465">
        <v>15120</v>
      </c>
      <c r="W344" s="466">
        <v>0</v>
      </c>
      <c r="X344" s="467">
        <v>1</v>
      </c>
      <c r="Y344" s="466">
        <v>25218</v>
      </c>
      <c r="Z344" s="468" t="s">
        <v>516</v>
      </c>
      <c r="AA344" s="466">
        <v>103762.8</v>
      </c>
      <c r="AB344" s="466">
        <v>103762.8</v>
      </c>
      <c r="AC344" s="467">
        <v>0</v>
      </c>
      <c r="AD344" s="466">
        <v>0</v>
      </c>
      <c r="AE344" s="468" t="s">
        <v>516</v>
      </c>
      <c r="AF344" s="466">
        <v>0</v>
      </c>
      <c r="AG344" s="466">
        <v>0</v>
      </c>
      <c r="AH344" s="466">
        <v>31383.06</v>
      </c>
      <c r="AI344" s="466">
        <v>7760.74</v>
      </c>
      <c r="AJ344" s="469" t="s">
        <v>3585</v>
      </c>
      <c r="AK344" s="470" t="s">
        <v>3988</v>
      </c>
      <c r="AL344" s="471" t="s">
        <v>4002</v>
      </c>
      <c r="AM344" s="470" t="s">
        <v>4003</v>
      </c>
      <c r="AN344" s="470" t="s">
        <v>4004</v>
      </c>
      <c r="AO344" s="470" t="s">
        <v>12888</v>
      </c>
      <c r="AP344" s="470" t="s">
        <v>3584</v>
      </c>
      <c r="AQ344" s="470" t="s">
        <v>3999</v>
      </c>
      <c r="AR344" s="472" t="s">
        <v>515</v>
      </c>
      <c r="AS344" s="473" t="s">
        <v>1385</v>
      </c>
      <c r="AT344" s="472" t="s">
        <v>2000</v>
      </c>
      <c r="AU344" s="472" t="s">
        <v>420</v>
      </c>
      <c r="AV344" s="472">
        <v>2020</v>
      </c>
      <c r="AW344" s="474" t="s">
        <v>15078</v>
      </c>
      <c r="AX344" s="475" t="s">
        <v>15079</v>
      </c>
      <c r="AY344" s="515">
        <v>1</v>
      </c>
      <c r="AZ344" s="474" t="s">
        <v>15079</v>
      </c>
      <c r="BA344" s="472" t="s">
        <v>2000</v>
      </c>
      <c r="BB344" s="472" t="s">
        <v>1385</v>
      </c>
      <c r="BC344" s="472" t="s">
        <v>1385</v>
      </c>
      <c r="BD344" s="472" t="s">
        <v>1385</v>
      </c>
      <c r="BE344" s="472" t="s">
        <v>1385</v>
      </c>
      <c r="BF344" s="472">
        <v>25218</v>
      </c>
      <c r="BG344" s="472">
        <v>0</v>
      </c>
      <c r="BH344" s="472" t="s">
        <v>1385</v>
      </c>
      <c r="BI344" s="510">
        <v>0</v>
      </c>
      <c r="BJ344" s="510">
        <v>0</v>
      </c>
      <c r="BK344" s="510">
        <v>0</v>
      </c>
      <c r="BL344" s="510">
        <v>0</v>
      </c>
      <c r="BM344" s="510">
        <v>0</v>
      </c>
      <c r="BN344" s="510">
        <v>4000</v>
      </c>
      <c r="BO344" s="510">
        <v>0</v>
      </c>
      <c r="BP344" s="510">
        <v>0</v>
      </c>
      <c r="BQ344" s="510">
        <v>0</v>
      </c>
      <c r="BR344" s="510">
        <v>0</v>
      </c>
      <c r="BS344" s="510">
        <v>0</v>
      </c>
      <c r="BT344" s="510">
        <v>0</v>
      </c>
      <c r="BU344" s="510">
        <v>0</v>
      </c>
      <c r="BV344" s="510">
        <v>0</v>
      </c>
      <c r="BW344" s="510">
        <v>0</v>
      </c>
      <c r="BX344" s="510">
        <v>30000</v>
      </c>
      <c r="BY344" s="1011">
        <v>0</v>
      </c>
      <c r="BZ344" s="510">
        <v>0</v>
      </c>
      <c r="CA344" s="1011">
        <v>0</v>
      </c>
      <c r="CB344" s="510">
        <v>0</v>
      </c>
      <c r="CC344" s="1011">
        <v>0</v>
      </c>
      <c r="CD344" s="510">
        <v>0</v>
      </c>
      <c r="CE344" s="1011">
        <v>0</v>
      </c>
      <c r="CF344" s="510">
        <v>48544.800000000003</v>
      </c>
      <c r="CG344" s="1011">
        <v>0</v>
      </c>
      <c r="CH344" s="510">
        <v>0</v>
      </c>
      <c r="CI344" s="1011">
        <v>0</v>
      </c>
    </row>
    <row r="345" spans="1:87" x14ac:dyDescent="0.2">
      <c r="A345" s="449">
        <v>64</v>
      </c>
      <c r="B345" s="453">
        <v>19393</v>
      </c>
      <c r="C345" s="454" t="s">
        <v>4005</v>
      </c>
      <c r="D345" s="454" t="s">
        <v>1390</v>
      </c>
      <c r="E345" s="454" t="s">
        <v>4006</v>
      </c>
      <c r="F345" s="454" t="s">
        <v>522</v>
      </c>
      <c r="G345" s="454" t="s">
        <v>12889</v>
      </c>
      <c r="H345" s="455">
        <v>11019458000109</v>
      </c>
      <c r="I345" s="462">
        <v>40002</v>
      </c>
      <c r="J345" s="457">
        <v>40401847</v>
      </c>
      <c r="K345" s="454" t="s">
        <v>4007</v>
      </c>
      <c r="L345" s="458">
        <v>6955</v>
      </c>
      <c r="M345" s="454" t="s">
        <v>4008</v>
      </c>
      <c r="N345" s="459">
        <v>2675070</v>
      </c>
      <c r="O345" s="460">
        <v>39847516</v>
      </c>
      <c r="P345" s="462">
        <v>73345</v>
      </c>
      <c r="Q345" s="462">
        <v>9</v>
      </c>
      <c r="R345" s="462">
        <v>43911</v>
      </c>
      <c r="S345" s="463">
        <v>534</v>
      </c>
      <c r="T345" s="464">
        <v>3.6</v>
      </c>
      <c r="U345" s="465">
        <v>1922.4</v>
      </c>
      <c r="V345" s="465">
        <v>16560</v>
      </c>
      <c r="W345" s="466">
        <v>0</v>
      </c>
      <c r="X345" s="467">
        <v>1</v>
      </c>
      <c r="Y345" s="466">
        <v>27723.599999999999</v>
      </c>
      <c r="Z345" s="468" t="s">
        <v>516</v>
      </c>
      <c r="AA345" s="466">
        <v>109602</v>
      </c>
      <c r="AB345" s="466">
        <v>109602</v>
      </c>
      <c r="AC345" s="467">
        <v>0</v>
      </c>
      <c r="AD345" s="466">
        <v>0</v>
      </c>
      <c r="AE345" s="468" t="s">
        <v>516</v>
      </c>
      <c r="AF345" s="466">
        <v>0</v>
      </c>
      <c r="AG345" s="466">
        <v>0</v>
      </c>
      <c r="AH345" s="466">
        <v>15903.64</v>
      </c>
      <c r="AI345" s="466">
        <v>11087.44</v>
      </c>
      <c r="AJ345" s="469" t="s">
        <v>1438</v>
      </c>
      <c r="AK345" s="470" t="s">
        <v>12345</v>
      </c>
      <c r="AL345" s="471" t="s">
        <v>4009</v>
      </c>
      <c r="AM345" s="470" t="s">
        <v>4010</v>
      </c>
      <c r="AN345" s="470" t="s">
        <v>1385</v>
      </c>
      <c r="AO345" s="470" t="s">
        <v>12890</v>
      </c>
      <c r="AP345" s="470" t="s">
        <v>4011</v>
      </c>
      <c r="AQ345" s="470" t="s">
        <v>4005</v>
      </c>
      <c r="AR345" s="472" t="s">
        <v>515</v>
      </c>
      <c r="AS345" s="473" t="s">
        <v>1385</v>
      </c>
      <c r="AT345" s="472" t="s">
        <v>1390</v>
      </c>
      <c r="AU345" s="472" t="s">
        <v>420</v>
      </c>
      <c r="AV345" s="472">
        <v>2020</v>
      </c>
      <c r="AW345" s="474" t="s">
        <v>15078</v>
      </c>
      <c r="AX345" s="475" t="s">
        <v>15079</v>
      </c>
      <c r="AY345" s="515">
        <v>1</v>
      </c>
      <c r="AZ345" s="474" t="s">
        <v>15079</v>
      </c>
      <c r="BA345" s="472" t="s">
        <v>1390</v>
      </c>
      <c r="BB345" s="472" t="s">
        <v>1385</v>
      </c>
      <c r="BC345" s="472" t="s">
        <v>1385</v>
      </c>
      <c r="BD345" s="472" t="s">
        <v>1385</v>
      </c>
      <c r="BE345" s="472" t="s">
        <v>1385</v>
      </c>
      <c r="BF345" s="472">
        <v>27723.599999999999</v>
      </c>
      <c r="BG345" s="472">
        <v>0</v>
      </c>
      <c r="BH345" s="472" t="s">
        <v>1385</v>
      </c>
      <c r="BI345" s="510">
        <v>0</v>
      </c>
      <c r="BJ345" s="510">
        <v>0</v>
      </c>
      <c r="BK345" s="510">
        <v>0</v>
      </c>
      <c r="BL345" s="510">
        <v>0</v>
      </c>
      <c r="BM345" s="510">
        <v>0</v>
      </c>
      <c r="BN345" s="510">
        <v>4000</v>
      </c>
      <c r="BO345" s="510">
        <v>0</v>
      </c>
      <c r="BP345" s="510">
        <v>0</v>
      </c>
      <c r="BQ345" s="510">
        <v>0</v>
      </c>
      <c r="BR345" s="510">
        <v>0</v>
      </c>
      <c r="BS345" s="510">
        <v>0</v>
      </c>
      <c r="BT345" s="510">
        <v>0</v>
      </c>
      <c r="BU345" s="510">
        <v>0</v>
      </c>
      <c r="BV345" s="510">
        <v>0</v>
      </c>
      <c r="BW345" s="510">
        <v>0</v>
      </c>
      <c r="BX345" s="510">
        <v>30000</v>
      </c>
      <c r="BY345" s="1011">
        <v>0</v>
      </c>
      <c r="BZ345" s="510">
        <v>0</v>
      </c>
      <c r="CA345" s="1011">
        <v>0</v>
      </c>
      <c r="CB345" s="510">
        <v>0</v>
      </c>
      <c r="CC345" s="1011">
        <v>0</v>
      </c>
      <c r="CD345" s="510">
        <v>0</v>
      </c>
      <c r="CE345" s="1011">
        <v>0</v>
      </c>
      <c r="CF345" s="510">
        <v>51878.400000000001</v>
      </c>
      <c r="CG345" s="1011">
        <v>0</v>
      </c>
      <c r="CH345" s="510">
        <v>0</v>
      </c>
      <c r="CI345" s="1011">
        <v>0</v>
      </c>
    </row>
    <row r="346" spans="1:87" x14ac:dyDescent="0.2">
      <c r="A346" s="449">
        <v>23</v>
      </c>
      <c r="B346" s="453">
        <v>19394</v>
      </c>
      <c r="C346" s="454" t="s">
        <v>4012</v>
      </c>
      <c r="D346" s="454" t="s">
        <v>517</v>
      </c>
      <c r="E346" s="454" t="s">
        <v>4013</v>
      </c>
      <c r="F346" s="454" t="s">
        <v>522</v>
      </c>
      <c r="G346" s="454" t="s">
        <v>12891</v>
      </c>
      <c r="H346" s="455">
        <v>10826604000145</v>
      </c>
      <c r="I346" s="462">
        <v>39937</v>
      </c>
      <c r="J346" s="457">
        <v>39395618</v>
      </c>
      <c r="K346" s="454" t="s">
        <v>4014</v>
      </c>
      <c r="L346" s="458">
        <v>317</v>
      </c>
      <c r="M346" s="454" t="s">
        <v>4015</v>
      </c>
      <c r="N346" s="459">
        <v>2808000</v>
      </c>
      <c r="O346" s="460">
        <v>33931550</v>
      </c>
      <c r="P346" s="462">
        <v>96442</v>
      </c>
      <c r="Q346" s="462">
        <v>56</v>
      </c>
      <c r="R346" s="462">
        <v>43911</v>
      </c>
      <c r="S346" s="463">
        <v>665</v>
      </c>
      <c r="T346" s="464">
        <v>5.4</v>
      </c>
      <c r="U346" s="465">
        <v>3591</v>
      </c>
      <c r="V346" s="465">
        <v>17100</v>
      </c>
      <c r="W346" s="466">
        <v>0</v>
      </c>
      <c r="X346" s="467">
        <v>1</v>
      </c>
      <c r="Y346" s="466">
        <v>31036.5</v>
      </c>
      <c r="Z346" s="468" t="s">
        <v>516</v>
      </c>
      <c r="AA346" s="466">
        <v>124040.5</v>
      </c>
      <c r="AB346" s="466">
        <v>124040.5</v>
      </c>
      <c r="AC346" s="467">
        <v>0</v>
      </c>
      <c r="AD346" s="466">
        <v>0</v>
      </c>
      <c r="AE346" s="468" t="s">
        <v>516</v>
      </c>
      <c r="AF346" s="466">
        <v>0</v>
      </c>
      <c r="AG346" s="466">
        <v>0</v>
      </c>
      <c r="AH346" s="466">
        <v>23114.68</v>
      </c>
      <c r="AI346" s="466">
        <v>4986.03</v>
      </c>
      <c r="AJ346" s="469" t="s">
        <v>1438</v>
      </c>
      <c r="AK346" s="470" t="s">
        <v>12345</v>
      </c>
      <c r="AL346" s="471" t="s">
        <v>4016</v>
      </c>
      <c r="AM346" s="470" t="s">
        <v>4017</v>
      </c>
      <c r="AN346" s="470" t="s">
        <v>1385</v>
      </c>
      <c r="AO346" s="470" t="s">
        <v>4018</v>
      </c>
      <c r="AP346" s="470" t="s">
        <v>4019</v>
      </c>
      <c r="AQ346" s="470" t="s">
        <v>4012</v>
      </c>
      <c r="AR346" s="472" t="s">
        <v>515</v>
      </c>
      <c r="AS346" s="473" t="s">
        <v>1385</v>
      </c>
      <c r="AT346" s="472" t="s">
        <v>517</v>
      </c>
      <c r="AU346" s="472" t="s">
        <v>420</v>
      </c>
      <c r="AV346" s="472">
        <v>2020</v>
      </c>
      <c r="AW346" s="474" t="s">
        <v>15078</v>
      </c>
      <c r="AX346" s="475" t="s">
        <v>15079</v>
      </c>
      <c r="AY346" s="515">
        <v>1</v>
      </c>
      <c r="AZ346" s="474" t="s">
        <v>15079</v>
      </c>
      <c r="BA346" s="472" t="s">
        <v>517</v>
      </c>
      <c r="BB346" s="472" t="s">
        <v>1385</v>
      </c>
      <c r="BC346" s="472" t="s">
        <v>1385</v>
      </c>
      <c r="BD346" s="472" t="s">
        <v>1385</v>
      </c>
      <c r="BE346" s="472" t="s">
        <v>1385</v>
      </c>
      <c r="BF346" s="472">
        <v>31036.5</v>
      </c>
      <c r="BG346" s="472">
        <v>0</v>
      </c>
      <c r="BH346" s="472" t="s">
        <v>1385</v>
      </c>
      <c r="BI346" s="510">
        <v>0</v>
      </c>
      <c r="BJ346" s="510">
        <v>0</v>
      </c>
      <c r="BK346" s="510">
        <v>0</v>
      </c>
      <c r="BL346" s="510">
        <v>560.79999999999995</v>
      </c>
      <c r="BM346" s="510">
        <v>0</v>
      </c>
      <c r="BN346" s="510">
        <v>3500</v>
      </c>
      <c r="BO346" s="510">
        <v>0</v>
      </c>
      <c r="BP346" s="510">
        <v>0</v>
      </c>
      <c r="BQ346" s="510">
        <v>0</v>
      </c>
      <c r="BR346" s="510">
        <v>0</v>
      </c>
      <c r="BS346" s="510">
        <v>0</v>
      </c>
      <c r="BT346" s="510">
        <v>0</v>
      </c>
      <c r="BU346" s="510">
        <v>2500</v>
      </c>
      <c r="BV346" s="510">
        <v>2500</v>
      </c>
      <c r="BW346" s="510">
        <v>0</v>
      </c>
      <c r="BX346" s="510">
        <v>30000</v>
      </c>
      <c r="BY346" s="1011">
        <v>0</v>
      </c>
      <c r="BZ346" s="510">
        <v>0</v>
      </c>
      <c r="CA346" s="1011">
        <v>0</v>
      </c>
      <c r="CB346" s="510">
        <v>22000</v>
      </c>
      <c r="CC346" s="1011">
        <v>0</v>
      </c>
      <c r="CD346" s="510">
        <v>0</v>
      </c>
      <c r="CE346" s="1011">
        <v>0</v>
      </c>
      <c r="CF346" s="510">
        <v>41004</v>
      </c>
      <c r="CG346" s="1011">
        <v>0</v>
      </c>
      <c r="CH346" s="510">
        <v>0</v>
      </c>
      <c r="CI346" s="1011">
        <v>0</v>
      </c>
    </row>
    <row r="347" spans="1:87" x14ac:dyDescent="0.2">
      <c r="A347" s="449">
        <v>26</v>
      </c>
      <c r="B347" s="453">
        <v>19395</v>
      </c>
      <c r="C347" s="454" t="s">
        <v>4020</v>
      </c>
      <c r="D347" s="454" t="s">
        <v>517</v>
      </c>
      <c r="E347" s="454" t="s">
        <v>4021</v>
      </c>
      <c r="F347" s="454" t="s">
        <v>522</v>
      </c>
      <c r="G347" s="454" t="s">
        <v>12892</v>
      </c>
      <c r="H347" s="455">
        <v>10868012000196</v>
      </c>
      <c r="I347" s="462">
        <v>39960</v>
      </c>
      <c r="J347" s="457">
        <v>39748278</v>
      </c>
      <c r="K347" s="454" t="s">
        <v>4022</v>
      </c>
      <c r="L347" s="458">
        <v>20</v>
      </c>
      <c r="M347" s="454" t="s">
        <v>4023</v>
      </c>
      <c r="N347" s="459">
        <v>2617140</v>
      </c>
      <c r="O347" s="460">
        <v>22080700</v>
      </c>
      <c r="P347" s="462">
        <v>80376</v>
      </c>
      <c r="Q347" s="462">
        <v>59</v>
      </c>
      <c r="R347" s="462">
        <v>43922</v>
      </c>
      <c r="S347" s="463">
        <v>865</v>
      </c>
      <c r="T347" s="464">
        <v>5.4</v>
      </c>
      <c r="U347" s="465">
        <v>4671</v>
      </c>
      <c r="V347" s="465">
        <v>18720</v>
      </c>
      <c r="W347" s="466">
        <v>0</v>
      </c>
      <c r="X347" s="467">
        <v>1</v>
      </c>
      <c r="Y347" s="466">
        <v>35086.5</v>
      </c>
      <c r="Z347" s="468" t="s">
        <v>516</v>
      </c>
      <c r="AA347" s="466">
        <v>135479.70000000001</v>
      </c>
      <c r="AB347" s="466">
        <v>135479.70000000001</v>
      </c>
      <c r="AC347" s="467">
        <v>0</v>
      </c>
      <c r="AD347" s="466">
        <v>0</v>
      </c>
      <c r="AE347" s="468" t="s">
        <v>516</v>
      </c>
      <c r="AF347" s="466">
        <v>0</v>
      </c>
      <c r="AG347" s="466">
        <v>0</v>
      </c>
      <c r="AH347" s="466">
        <v>16722</v>
      </c>
      <c r="AI347" s="466">
        <v>7778.73</v>
      </c>
      <c r="AJ347" s="469" t="s">
        <v>4024</v>
      </c>
      <c r="AK347" s="470" t="s">
        <v>12893</v>
      </c>
      <c r="AL347" s="471" t="s">
        <v>4025</v>
      </c>
      <c r="AM347" s="470" t="s">
        <v>4026</v>
      </c>
      <c r="AN347" s="470" t="s">
        <v>1385</v>
      </c>
      <c r="AO347" s="470" t="s">
        <v>4027</v>
      </c>
      <c r="AP347" s="470" t="s">
        <v>4028</v>
      </c>
      <c r="AQ347" s="470" t="s">
        <v>4020</v>
      </c>
      <c r="AR347" s="472" t="s">
        <v>515</v>
      </c>
      <c r="AS347" s="473" t="s">
        <v>1385</v>
      </c>
      <c r="AT347" s="472" t="s">
        <v>517</v>
      </c>
      <c r="AU347" s="472" t="s">
        <v>420</v>
      </c>
      <c r="AV347" s="472">
        <v>2020</v>
      </c>
      <c r="AW347" s="474" t="s">
        <v>15078</v>
      </c>
      <c r="AX347" s="475" t="s">
        <v>15079</v>
      </c>
      <c r="AY347" s="515">
        <v>1</v>
      </c>
      <c r="AZ347" s="474" t="s">
        <v>15079</v>
      </c>
      <c r="BA347" s="472" t="s">
        <v>517</v>
      </c>
      <c r="BB347" s="472" t="s">
        <v>1385</v>
      </c>
      <c r="BC347" s="472" t="s">
        <v>1385</v>
      </c>
      <c r="BD347" s="472" t="s">
        <v>1385</v>
      </c>
      <c r="BE347" s="472" t="s">
        <v>1385</v>
      </c>
      <c r="BF347" s="472">
        <v>35086.5</v>
      </c>
      <c r="BG347" s="472">
        <v>0</v>
      </c>
      <c r="BH347" s="472" t="s">
        <v>1385</v>
      </c>
      <c r="BI347" s="510">
        <v>0</v>
      </c>
      <c r="BJ347" s="510">
        <v>0</v>
      </c>
      <c r="BK347" s="510">
        <v>0</v>
      </c>
      <c r="BL347" s="510">
        <v>0</v>
      </c>
      <c r="BM347" s="510">
        <v>0</v>
      </c>
      <c r="BN347" s="510">
        <v>4530</v>
      </c>
      <c r="BO347" s="510">
        <v>2000</v>
      </c>
      <c r="BP347" s="510">
        <v>0</v>
      </c>
      <c r="BQ347" s="510">
        <v>0</v>
      </c>
      <c r="BR347" s="510">
        <v>0</v>
      </c>
      <c r="BS347" s="510">
        <v>0</v>
      </c>
      <c r="BT347" s="510">
        <v>0</v>
      </c>
      <c r="BU347" s="510">
        <v>2500</v>
      </c>
      <c r="BV347" s="510">
        <v>2500</v>
      </c>
      <c r="BW347" s="510">
        <v>0</v>
      </c>
      <c r="BX347" s="510">
        <v>30000</v>
      </c>
      <c r="BY347" s="1011">
        <v>0</v>
      </c>
      <c r="BZ347" s="510">
        <v>0</v>
      </c>
      <c r="CA347" s="1011">
        <v>0</v>
      </c>
      <c r="CB347" s="510">
        <v>22000</v>
      </c>
      <c r="CC347" s="1011">
        <v>0</v>
      </c>
      <c r="CD347" s="510">
        <v>0</v>
      </c>
      <c r="CE347" s="1011">
        <v>0</v>
      </c>
      <c r="CF347" s="510">
        <v>46393.2</v>
      </c>
      <c r="CG347" s="1011">
        <v>0</v>
      </c>
      <c r="CH347" s="510">
        <v>0</v>
      </c>
      <c r="CI347" s="1011">
        <v>0</v>
      </c>
    </row>
    <row r="348" spans="1:87" x14ac:dyDescent="0.2">
      <c r="A348" s="449">
        <v>69</v>
      </c>
      <c r="B348" s="453">
        <v>19396</v>
      </c>
      <c r="C348" s="454" t="s">
        <v>4029</v>
      </c>
      <c r="D348" s="454" t="s">
        <v>517</v>
      </c>
      <c r="E348" s="454" t="s">
        <v>4030</v>
      </c>
      <c r="F348" s="454" t="s">
        <v>527</v>
      </c>
      <c r="G348" s="454" t="s">
        <v>12894</v>
      </c>
      <c r="H348" s="455">
        <v>10951266000173</v>
      </c>
      <c r="I348" s="462">
        <v>40604</v>
      </c>
      <c r="J348" s="457">
        <v>42369240</v>
      </c>
      <c r="K348" s="454" t="s">
        <v>4031</v>
      </c>
      <c r="L348" s="458">
        <v>1521</v>
      </c>
      <c r="M348" s="454" t="s">
        <v>4032</v>
      </c>
      <c r="N348" s="459">
        <v>3569001</v>
      </c>
      <c r="O348" s="460">
        <v>22177271</v>
      </c>
      <c r="P348" s="462">
        <v>200797</v>
      </c>
      <c r="Q348" s="462">
        <v>118</v>
      </c>
      <c r="R348" s="462">
        <v>43917</v>
      </c>
      <c r="S348" s="463">
        <v>796</v>
      </c>
      <c r="T348" s="464">
        <v>5.4</v>
      </c>
      <c r="U348" s="465">
        <v>4298.3999999999996</v>
      </c>
      <c r="V348" s="465">
        <v>18720</v>
      </c>
      <c r="W348" s="466">
        <v>0</v>
      </c>
      <c r="X348" s="467">
        <v>1</v>
      </c>
      <c r="Y348" s="466">
        <v>34527.599999999999</v>
      </c>
      <c r="Z348" s="468" t="s">
        <v>516</v>
      </c>
      <c r="AA348" s="466">
        <v>132683.20000000001</v>
      </c>
      <c r="AB348" s="466">
        <v>132683.20000000001</v>
      </c>
      <c r="AC348" s="467">
        <v>0</v>
      </c>
      <c r="AD348" s="466">
        <v>0</v>
      </c>
      <c r="AE348" s="468" t="s">
        <v>516</v>
      </c>
      <c r="AF348" s="466">
        <v>0</v>
      </c>
      <c r="AG348" s="466">
        <v>0</v>
      </c>
      <c r="AH348" s="466">
        <v>24515.99</v>
      </c>
      <c r="AI348" s="466">
        <v>11068.78</v>
      </c>
      <c r="AJ348" s="469" t="s">
        <v>1674</v>
      </c>
      <c r="AK348" s="470" t="s">
        <v>518</v>
      </c>
      <c r="AL348" s="471" t="s">
        <v>4033</v>
      </c>
      <c r="AM348" s="470" t="s">
        <v>12895</v>
      </c>
      <c r="AN348" s="470" t="s">
        <v>12896</v>
      </c>
      <c r="AO348" s="470" t="s">
        <v>12897</v>
      </c>
      <c r="AP348" s="470" t="s">
        <v>4034</v>
      </c>
      <c r="AQ348" s="470" t="s">
        <v>4029</v>
      </c>
      <c r="AR348" s="472" t="s">
        <v>515</v>
      </c>
      <c r="AS348" s="473" t="s">
        <v>1385</v>
      </c>
      <c r="AT348" s="472" t="s">
        <v>517</v>
      </c>
      <c r="AU348" s="472" t="s">
        <v>420</v>
      </c>
      <c r="AV348" s="472">
        <v>2020</v>
      </c>
      <c r="AW348" s="474" t="s">
        <v>15078</v>
      </c>
      <c r="AX348" s="475" t="s">
        <v>15079</v>
      </c>
      <c r="AY348" s="515">
        <v>1</v>
      </c>
      <c r="AZ348" s="474" t="s">
        <v>15079</v>
      </c>
      <c r="BA348" s="472" t="s">
        <v>517</v>
      </c>
      <c r="BB348" s="472" t="s">
        <v>1385</v>
      </c>
      <c r="BC348" s="472" t="s">
        <v>1385</v>
      </c>
      <c r="BD348" s="472" t="s">
        <v>1385</v>
      </c>
      <c r="BE348" s="472" t="s">
        <v>1385</v>
      </c>
      <c r="BF348" s="472">
        <v>34527.599999999999</v>
      </c>
      <c r="BG348" s="472">
        <v>0</v>
      </c>
      <c r="BH348" s="472" t="s">
        <v>1385</v>
      </c>
      <c r="BI348" s="510">
        <v>0</v>
      </c>
      <c r="BJ348" s="510">
        <v>0</v>
      </c>
      <c r="BK348" s="510">
        <v>0</v>
      </c>
      <c r="BL348" s="510">
        <v>3500</v>
      </c>
      <c r="BM348" s="510">
        <v>0</v>
      </c>
      <c r="BN348" s="510">
        <v>5000</v>
      </c>
      <c r="BO348" s="510">
        <v>0</v>
      </c>
      <c r="BP348" s="510">
        <v>0</v>
      </c>
      <c r="BQ348" s="510">
        <v>0</v>
      </c>
      <c r="BR348" s="510">
        <v>0</v>
      </c>
      <c r="BS348" s="510">
        <v>0</v>
      </c>
      <c r="BT348" s="510">
        <v>0</v>
      </c>
      <c r="BU348" s="510">
        <v>2500</v>
      </c>
      <c r="BV348" s="510">
        <v>2500</v>
      </c>
      <c r="BW348" s="510">
        <v>0</v>
      </c>
      <c r="BX348" s="510">
        <v>30000</v>
      </c>
      <c r="BY348" s="1011">
        <v>0</v>
      </c>
      <c r="BZ348" s="510">
        <v>0</v>
      </c>
      <c r="CA348" s="1011">
        <v>0</v>
      </c>
      <c r="CB348" s="510">
        <v>22000</v>
      </c>
      <c r="CC348" s="1011">
        <v>0</v>
      </c>
      <c r="CD348" s="510">
        <v>0</v>
      </c>
      <c r="CE348" s="1011">
        <v>0</v>
      </c>
      <c r="CF348" s="510">
        <v>46155.6</v>
      </c>
      <c r="CG348" s="1011">
        <v>0</v>
      </c>
      <c r="CH348" s="510">
        <v>0</v>
      </c>
      <c r="CI348" s="1011">
        <v>0</v>
      </c>
    </row>
    <row r="349" spans="1:87" x14ac:dyDescent="0.2">
      <c r="A349" s="449">
        <v>40</v>
      </c>
      <c r="B349" s="453">
        <v>19397</v>
      </c>
      <c r="C349" s="454" t="s">
        <v>4035</v>
      </c>
      <c r="D349" s="454" t="s">
        <v>517</v>
      </c>
      <c r="E349" s="454" t="s">
        <v>4036</v>
      </c>
      <c r="F349" s="454" t="s">
        <v>518</v>
      </c>
      <c r="G349" s="454" t="s">
        <v>12898</v>
      </c>
      <c r="H349" s="455">
        <v>10980227000102</v>
      </c>
      <c r="I349" s="462">
        <v>39988</v>
      </c>
      <c r="J349" s="457">
        <v>39714853</v>
      </c>
      <c r="K349" s="454" t="s">
        <v>4037</v>
      </c>
      <c r="L349" s="458">
        <v>1730</v>
      </c>
      <c r="M349" s="454" t="s">
        <v>4038</v>
      </c>
      <c r="N349" s="459">
        <v>3423000</v>
      </c>
      <c r="O349" s="460">
        <v>20928982</v>
      </c>
      <c r="P349" s="462">
        <v>50019</v>
      </c>
      <c r="Q349" s="462">
        <v>85</v>
      </c>
      <c r="R349" s="462">
        <v>43934</v>
      </c>
      <c r="S349" s="463">
        <v>680</v>
      </c>
      <c r="T349" s="464">
        <v>5.4</v>
      </c>
      <c r="U349" s="465">
        <v>3672</v>
      </c>
      <c r="V349" s="465">
        <v>17100</v>
      </c>
      <c r="W349" s="466">
        <v>0</v>
      </c>
      <c r="X349" s="467">
        <v>1</v>
      </c>
      <c r="Y349" s="466">
        <v>31158</v>
      </c>
      <c r="Z349" s="468" t="s">
        <v>516</v>
      </c>
      <c r="AA349" s="466">
        <v>124324</v>
      </c>
      <c r="AB349" s="466">
        <v>124324</v>
      </c>
      <c r="AC349" s="467">
        <v>0</v>
      </c>
      <c r="AD349" s="466">
        <v>0</v>
      </c>
      <c r="AE349" s="468" t="s">
        <v>516</v>
      </c>
      <c r="AF349" s="466">
        <v>2000</v>
      </c>
      <c r="AG349" s="466">
        <v>2000</v>
      </c>
      <c r="AH349" s="466">
        <v>40508.19</v>
      </c>
      <c r="AI349" s="466">
        <v>6280.52</v>
      </c>
      <c r="AJ349" s="469" t="s">
        <v>2614</v>
      </c>
      <c r="AK349" s="470" t="s">
        <v>4039</v>
      </c>
      <c r="AL349" s="471" t="s">
        <v>4040</v>
      </c>
      <c r="AM349" s="470" t="s">
        <v>4041</v>
      </c>
      <c r="AN349" s="470" t="s">
        <v>4042</v>
      </c>
      <c r="AO349" s="470" t="s">
        <v>14986</v>
      </c>
      <c r="AP349" s="470" t="s">
        <v>4043</v>
      </c>
      <c r="AQ349" s="470" t="s">
        <v>4035</v>
      </c>
      <c r="AR349" s="472" t="s">
        <v>515</v>
      </c>
      <c r="AS349" s="473" t="s">
        <v>1385</v>
      </c>
      <c r="AT349" s="472" t="s">
        <v>517</v>
      </c>
      <c r="AU349" s="472" t="s">
        <v>420</v>
      </c>
      <c r="AV349" s="472">
        <v>2020</v>
      </c>
      <c r="AW349" s="474" t="s">
        <v>15078</v>
      </c>
      <c r="AX349" s="475" t="s">
        <v>15079</v>
      </c>
      <c r="AY349" s="515">
        <v>1</v>
      </c>
      <c r="AZ349" s="474" t="s">
        <v>15079</v>
      </c>
      <c r="BA349" s="472" t="s">
        <v>517</v>
      </c>
      <c r="BB349" s="472" t="s">
        <v>1385</v>
      </c>
      <c r="BC349" s="472" t="s">
        <v>1385</v>
      </c>
      <c r="BD349" s="472" t="s">
        <v>1385</v>
      </c>
      <c r="BE349" s="472" t="s">
        <v>1385</v>
      </c>
      <c r="BF349" s="472">
        <v>31158</v>
      </c>
      <c r="BG349" s="472">
        <v>0</v>
      </c>
      <c r="BH349" s="472" t="s">
        <v>1385</v>
      </c>
      <c r="BI349" s="510">
        <v>0</v>
      </c>
      <c r="BJ349" s="510">
        <v>404</v>
      </c>
      <c r="BK349" s="510">
        <v>0</v>
      </c>
      <c r="BL349" s="510">
        <v>1855</v>
      </c>
      <c r="BM349" s="510">
        <v>0</v>
      </c>
      <c r="BN349" s="510">
        <v>3500</v>
      </c>
      <c r="BO349" s="510">
        <v>0</v>
      </c>
      <c r="BP349" s="510">
        <v>2000</v>
      </c>
      <c r="BQ349" s="510">
        <v>0</v>
      </c>
      <c r="BR349" s="510">
        <v>0</v>
      </c>
      <c r="BS349" s="510">
        <v>0</v>
      </c>
      <c r="BT349" s="510">
        <v>0</v>
      </c>
      <c r="BU349" s="510">
        <v>2500</v>
      </c>
      <c r="BV349" s="510">
        <v>2500</v>
      </c>
      <c r="BW349" s="510">
        <v>0</v>
      </c>
      <c r="BX349" s="510">
        <v>30000</v>
      </c>
      <c r="BY349" s="1011">
        <v>0</v>
      </c>
      <c r="BZ349" s="510">
        <v>0</v>
      </c>
      <c r="CA349" s="1011">
        <v>0</v>
      </c>
      <c r="CB349" s="510">
        <v>22000</v>
      </c>
      <c r="CC349" s="1011">
        <v>0</v>
      </c>
      <c r="CD349" s="510">
        <v>0</v>
      </c>
      <c r="CE349" s="1011">
        <v>0</v>
      </c>
      <c r="CF349" s="510">
        <v>41166</v>
      </c>
      <c r="CG349" s="1011">
        <v>0</v>
      </c>
      <c r="CH349" s="510">
        <v>0</v>
      </c>
      <c r="CI349" s="1011">
        <v>0</v>
      </c>
    </row>
    <row r="350" spans="1:87" x14ac:dyDescent="0.2">
      <c r="A350" s="449">
        <v>27</v>
      </c>
      <c r="B350" s="453">
        <v>19398</v>
      </c>
      <c r="C350" s="454" t="s">
        <v>4044</v>
      </c>
      <c r="D350" s="454" t="s">
        <v>517</v>
      </c>
      <c r="E350" s="454" t="s">
        <v>4045</v>
      </c>
      <c r="F350" s="454" t="s">
        <v>518</v>
      </c>
      <c r="G350" s="454" t="s">
        <v>12899</v>
      </c>
      <c r="H350" s="455">
        <v>11242861000100</v>
      </c>
      <c r="I350" s="462">
        <v>40101</v>
      </c>
      <c r="J350" s="457">
        <v>43309810</v>
      </c>
      <c r="K350" s="454" t="s">
        <v>4046</v>
      </c>
      <c r="L350" s="458" t="s">
        <v>1446</v>
      </c>
      <c r="M350" s="454" t="s">
        <v>4047</v>
      </c>
      <c r="N350" s="459">
        <v>8257010</v>
      </c>
      <c r="O350" s="460">
        <v>25212615</v>
      </c>
      <c r="P350" s="462">
        <v>49819</v>
      </c>
      <c r="Q350" s="462">
        <v>72</v>
      </c>
      <c r="R350" s="462">
        <v>43934</v>
      </c>
      <c r="S350" s="463">
        <v>848</v>
      </c>
      <c r="T350" s="464">
        <v>5.4</v>
      </c>
      <c r="U350" s="465">
        <v>4579.2</v>
      </c>
      <c r="V350" s="465">
        <v>18720</v>
      </c>
      <c r="W350" s="466">
        <v>0</v>
      </c>
      <c r="X350" s="467">
        <v>1</v>
      </c>
      <c r="Y350" s="466">
        <v>34948.800000000003</v>
      </c>
      <c r="Z350" s="468" t="s">
        <v>516</v>
      </c>
      <c r="AA350" s="466">
        <v>133979.6</v>
      </c>
      <c r="AB350" s="466">
        <v>133979.6</v>
      </c>
      <c r="AC350" s="467">
        <v>0</v>
      </c>
      <c r="AD350" s="466">
        <v>0</v>
      </c>
      <c r="AE350" s="468" t="s">
        <v>516</v>
      </c>
      <c r="AF350" s="466">
        <v>1600</v>
      </c>
      <c r="AG350" s="466">
        <v>1600</v>
      </c>
      <c r="AH350" s="466">
        <v>51789.51</v>
      </c>
      <c r="AI350" s="466">
        <v>4659.97</v>
      </c>
      <c r="AJ350" s="469" t="s">
        <v>1674</v>
      </c>
      <c r="AK350" s="470" t="s">
        <v>518</v>
      </c>
      <c r="AL350" s="471" t="s">
        <v>4048</v>
      </c>
      <c r="AM350" s="470" t="s">
        <v>12900</v>
      </c>
      <c r="AN350" s="470" t="s">
        <v>4050</v>
      </c>
      <c r="AO350" s="470" t="s">
        <v>14987</v>
      </c>
      <c r="AP350" s="470" t="s">
        <v>4051</v>
      </c>
      <c r="AQ350" s="470" t="s">
        <v>4044</v>
      </c>
      <c r="AR350" s="472" t="s">
        <v>515</v>
      </c>
      <c r="AS350" s="473" t="s">
        <v>1385</v>
      </c>
      <c r="AT350" s="472" t="s">
        <v>517</v>
      </c>
      <c r="AU350" s="472" t="s">
        <v>420</v>
      </c>
      <c r="AV350" s="472">
        <v>2020</v>
      </c>
      <c r="AW350" s="474" t="s">
        <v>15078</v>
      </c>
      <c r="AX350" s="475" t="s">
        <v>15079</v>
      </c>
      <c r="AY350" s="515">
        <v>1</v>
      </c>
      <c r="AZ350" s="474" t="s">
        <v>15079</v>
      </c>
      <c r="BA350" s="472" t="s">
        <v>517</v>
      </c>
      <c r="BB350" s="472" t="s">
        <v>1385</v>
      </c>
      <c r="BC350" s="472" t="s">
        <v>1385</v>
      </c>
      <c r="BD350" s="472" t="s">
        <v>1385</v>
      </c>
      <c r="BE350" s="472" t="s">
        <v>1385</v>
      </c>
      <c r="BF350" s="472">
        <v>34948.800000000003</v>
      </c>
      <c r="BG350" s="472">
        <v>0</v>
      </c>
      <c r="BH350" s="472" t="s">
        <v>1385</v>
      </c>
      <c r="BI350" s="510">
        <v>0</v>
      </c>
      <c r="BJ350" s="510">
        <v>9104.0300000000007</v>
      </c>
      <c r="BK350" s="510">
        <v>0</v>
      </c>
      <c r="BL350" s="510">
        <v>0</v>
      </c>
      <c r="BM350" s="510">
        <v>0</v>
      </c>
      <c r="BN350" s="510">
        <v>5000</v>
      </c>
      <c r="BO350" s="510">
        <v>400</v>
      </c>
      <c r="BP350" s="510">
        <v>1600</v>
      </c>
      <c r="BQ350" s="510">
        <v>0</v>
      </c>
      <c r="BR350" s="510">
        <v>0</v>
      </c>
      <c r="BS350" s="510">
        <v>0</v>
      </c>
      <c r="BT350" s="510">
        <v>0</v>
      </c>
      <c r="BU350" s="510">
        <v>0</v>
      </c>
      <c r="BV350" s="510">
        <v>0</v>
      </c>
      <c r="BW350" s="510">
        <v>0</v>
      </c>
      <c r="BX350" s="510">
        <v>30000</v>
      </c>
      <c r="BY350" s="1011">
        <v>0</v>
      </c>
      <c r="BZ350" s="510">
        <v>0</v>
      </c>
      <c r="CA350" s="1011">
        <v>0</v>
      </c>
      <c r="CB350" s="510">
        <v>22000</v>
      </c>
      <c r="CC350" s="1011">
        <v>0</v>
      </c>
      <c r="CD350" s="510">
        <v>0</v>
      </c>
      <c r="CE350" s="1011">
        <v>0</v>
      </c>
      <c r="CF350" s="510">
        <v>46630.8</v>
      </c>
      <c r="CG350" s="1011">
        <v>0</v>
      </c>
      <c r="CH350" s="510">
        <v>0</v>
      </c>
      <c r="CI350" s="1011">
        <v>0</v>
      </c>
    </row>
    <row r="351" spans="1:87" x14ac:dyDescent="0.2">
      <c r="A351" s="449">
        <v>57</v>
      </c>
      <c r="B351" s="453">
        <v>19399</v>
      </c>
      <c r="C351" s="454" t="s">
        <v>4052</v>
      </c>
      <c r="D351" s="454" t="s">
        <v>517</v>
      </c>
      <c r="E351" s="454" t="s">
        <v>4053</v>
      </c>
      <c r="F351" s="454" t="s">
        <v>527</v>
      </c>
      <c r="G351" s="454" t="s">
        <v>12901</v>
      </c>
      <c r="H351" s="455">
        <v>3757780000107</v>
      </c>
      <c r="I351" s="462">
        <v>36626</v>
      </c>
      <c r="J351" s="457">
        <v>37554700</v>
      </c>
      <c r="K351" s="454" t="s">
        <v>4054</v>
      </c>
      <c r="L351" s="458">
        <v>251</v>
      </c>
      <c r="M351" s="454" t="s">
        <v>2211</v>
      </c>
      <c r="N351" s="459">
        <v>3817000</v>
      </c>
      <c r="O351" s="460">
        <v>29432822</v>
      </c>
      <c r="P351" s="462">
        <v>183418</v>
      </c>
      <c r="Q351" s="462">
        <v>105</v>
      </c>
      <c r="R351" s="462">
        <v>43917</v>
      </c>
      <c r="S351" s="463">
        <v>737</v>
      </c>
      <c r="T351" s="464">
        <v>5.4</v>
      </c>
      <c r="U351" s="465">
        <v>3979.8</v>
      </c>
      <c r="V351" s="465">
        <v>18720</v>
      </c>
      <c r="W351" s="466">
        <v>0</v>
      </c>
      <c r="X351" s="467">
        <v>1</v>
      </c>
      <c r="Y351" s="466">
        <v>39665.699999999997</v>
      </c>
      <c r="Z351" s="468" t="s">
        <v>516</v>
      </c>
      <c r="AA351" s="466">
        <v>149693.70000000001</v>
      </c>
      <c r="AB351" s="466">
        <v>149693.70000000001</v>
      </c>
      <c r="AC351" s="467">
        <v>0</v>
      </c>
      <c r="AD351" s="466">
        <v>0</v>
      </c>
      <c r="AE351" s="468" t="s">
        <v>516</v>
      </c>
      <c r="AF351" s="466">
        <v>2000</v>
      </c>
      <c r="AG351" s="466">
        <v>2000</v>
      </c>
      <c r="AH351" s="466">
        <v>15515.78</v>
      </c>
      <c r="AI351" s="466">
        <v>5732.63</v>
      </c>
      <c r="AJ351" s="469" t="s">
        <v>4055</v>
      </c>
      <c r="AK351" s="470" t="s">
        <v>4056</v>
      </c>
      <c r="AL351" s="471" t="s">
        <v>4057</v>
      </c>
      <c r="AM351" s="470" t="s">
        <v>4058</v>
      </c>
      <c r="AN351" s="470" t="s">
        <v>12901</v>
      </c>
      <c r="AO351" s="470" t="s">
        <v>12902</v>
      </c>
      <c r="AP351" s="470" t="s">
        <v>4059</v>
      </c>
      <c r="AQ351" s="470" t="s">
        <v>4052</v>
      </c>
      <c r="AR351" s="472" t="s">
        <v>515</v>
      </c>
      <c r="AS351" s="473" t="s">
        <v>1385</v>
      </c>
      <c r="AT351" s="472" t="s">
        <v>517</v>
      </c>
      <c r="AU351" s="472" t="s">
        <v>420</v>
      </c>
      <c r="AV351" s="472">
        <v>2020</v>
      </c>
      <c r="AW351" s="474" t="s">
        <v>15078</v>
      </c>
      <c r="AX351" s="475" t="s">
        <v>15079</v>
      </c>
      <c r="AY351" s="515">
        <v>1</v>
      </c>
      <c r="AZ351" s="474" t="s">
        <v>15079</v>
      </c>
      <c r="BA351" s="472" t="s">
        <v>517</v>
      </c>
      <c r="BB351" s="472" t="s">
        <v>516</v>
      </c>
      <c r="BC351" s="472">
        <v>2</v>
      </c>
      <c r="BD351" s="472">
        <v>3744</v>
      </c>
      <c r="BE351" s="472">
        <v>0</v>
      </c>
      <c r="BF351" s="472">
        <v>39665.699999999997</v>
      </c>
      <c r="BG351" s="472">
        <v>0</v>
      </c>
      <c r="BH351" s="472" t="s">
        <v>1385</v>
      </c>
      <c r="BI351" s="510">
        <v>0</v>
      </c>
      <c r="BJ351" s="510">
        <v>0</v>
      </c>
      <c r="BK351" s="510">
        <v>0</v>
      </c>
      <c r="BL351" s="510">
        <v>3500</v>
      </c>
      <c r="BM351" s="510">
        <v>0</v>
      </c>
      <c r="BN351" s="510">
        <v>4300</v>
      </c>
      <c r="BO351" s="510">
        <v>0</v>
      </c>
      <c r="BP351" s="510">
        <v>2000</v>
      </c>
      <c r="BQ351" s="510">
        <v>0</v>
      </c>
      <c r="BR351" s="510">
        <v>0</v>
      </c>
      <c r="BS351" s="510">
        <v>0</v>
      </c>
      <c r="BT351" s="510">
        <v>0</v>
      </c>
      <c r="BU351" s="510">
        <v>2500</v>
      </c>
      <c r="BV351" s="510">
        <v>2500</v>
      </c>
      <c r="BW351" s="510">
        <v>0</v>
      </c>
      <c r="BX351" s="510">
        <v>30000</v>
      </c>
      <c r="BY351" s="1011">
        <v>0</v>
      </c>
      <c r="BZ351" s="510">
        <v>0</v>
      </c>
      <c r="CA351" s="1011">
        <v>0</v>
      </c>
      <c r="CB351" s="510">
        <v>22000</v>
      </c>
      <c r="CC351" s="1011">
        <v>0</v>
      </c>
      <c r="CD351" s="510">
        <v>0</v>
      </c>
      <c r="CE351" s="1011">
        <v>0</v>
      </c>
      <c r="CF351" s="510">
        <v>58028</v>
      </c>
      <c r="CG351" s="1011">
        <v>0</v>
      </c>
      <c r="CH351" s="510">
        <v>0</v>
      </c>
      <c r="CI351" s="1011">
        <v>0</v>
      </c>
    </row>
    <row r="352" spans="1:87" x14ac:dyDescent="0.2">
      <c r="A352" s="449">
        <v>50</v>
      </c>
      <c r="B352" s="453">
        <v>19400</v>
      </c>
      <c r="C352" s="454" t="s">
        <v>4060</v>
      </c>
      <c r="D352" s="454" t="s">
        <v>517</v>
      </c>
      <c r="E352" s="454" t="s">
        <v>4061</v>
      </c>
      <c r="F352" s="454" t="s">
        <v>526</v>
      </c>
      <c r="G352" s="454" t="s">
        <v>12903</v>
      </c>
      <c r="H352" s="455">
        <v>10942024000113</v>
      </c>
      <c r="I352" s="462">
        <v>39979</v>
      </c>
      <c r="J352" s="457">
        <v>40270416</v>
      </c>
      <c r="K352" s="454" t="s">
        <v>4062</v>
      </c>
      <c r="L352" s="458">
        <v>1194</v>
      </c>
      <c r="M352" s="454" t="s">
        <v>4063</v>
      </c>
      <c r="N352" s="459">
        <v>8150040</v>
      </c>
      <c r="O352" s="460">
        <v>20161371</v>
      </c>
      <c r="P352" s="462">
        <v>131345</v>
      </c>
      <c r="Q352" s="462">
        <v>50</v>
      </c>
      <c r="R352" s="462">
        <v>43928</v>
      </c>
      <c r="S352" s="463">
        <v>921</v>
      </c>
      <c r="T352" s="464">
        <v>5.4</v>
      </c>
      <c r="U352" s="465">
        <v>4973.3999999999996</v>
      </c>
      <c r="V352" s="465">
        <v>20340</v>
      </c>
      <c r="W352" s="466">
        <v>0</v>
      </c>
      <c r="X352" s="467">
        <v>1</v>
      </c>
      <c r="Y352" s="466">
        <v>37970.1</v>
      </c>
      <c r="Z352" s="468" t="s">
        <v>516</v>
      </c>
      <c r="AA352" s="466">
        <v>136600.9</v>
      </c>
      <c r="AB352" s="466">
        <v>136600.9</v>
      </c>
      <c r="AC352" s="467">
        <v>0</v>
      </c>
      <c r="AD352" s="466">
        <v>0</v>
      </c>
      <c r="AE352" s="468" t="s">
        <v>516</v>
      </c>
      <c r="AF352" s="466">
        <v>2000</v>
      </c>
      <c r="AG352" s="466">
        <v>2000</v>
      </c>
      <c r="AH352" s="466">
        <v>19678.66</v>
      </c>
      <c r="AI352" s="466">
        <v>2111.48</v>
      </c>
      <c r="AJ352" s="469" t="s">
        <v>1839</v>
      </c>
      <c r="AK352" s="470" t="s">
        <v>526</v>
      </c>
      <c r="AL352" s="471" t="s">
        <v>4064</v>
      </c>
      <c r="AM352" s="470" t="s">
        <v>4065</v>
      </c>
      <c r="AN352" s="470" t="s">
        <v>1385</v>
      </c>
      <c r="AO352" s="470" t="s">
        <v>4066</v>
      </c>
      <c r="AP352" s="470" t="s">
        <v>4067</v>
      </c>
      <c r="AQ352" s="470" t="s">
        <v>4060</v>
      </c>
      <c r="AR352" s="472" t="s">
        <v>515</v>
      </c>
      <c r="AS352" s="473" t="s">
        <v>1385</v>
      </c>
      <c r="AT352" s="472" t="s">
        <v>517</v>
      </c>
      <c r="AU352" s="472" t="s">
        <v>420</v>
      </c>
      <c r="AV352" s="472">
        <v>2020</v>
      </c>
      <c r="AW352" s="474" t="s">
        <v>15078</v>
      </c>
      <c r="AX352" s="475" t="s">
        <v>15079</v>
      </c>
      <c r="AY352" s="515">
        <v>1</v>
      </c>
      <c r="AZ352" s="474" t="s">
        <v>15079</v>
      </c>
      <c r="BA352" s="472" t="s">
        <v>517</v>
      </c>
      <c r="BB352" s="472" t="s">
        <v>1385</v>
      </c>
      <c r="BC352" s="472" t="s">
        <v>1385</v>
      </c>
      <c r="BD352" s="472" t="s">
        <v>1385</v>
      </c>
      <c r="BE352" s="472" t="s">
        <v>1385</v>
      </c>
      <c r="BF352" s="472">
        <v>37970.1</v>
      </c>
      <c r="BG352" s="472">
        <v>0</v>
      </c>
      <c r="BH352" s="472" t="s">
        <v>1385</v>
      </c>
      <c r="BI352" s="510">
        <v>0</v>
      </c>
      <c r="BJ352" s="510">
        <v>0</v>
      </c>
      <c r="BK352" s="510">
        <v>0</v>
      </c>
      <c r="BL352" s="510">
        <v>423.94</v>
      </c>
      <c r="BM352" s="510">
        <v>0</v>
      </c>
      <c r="BN352" s="510">
        <v>5000</v>
      </c>
      <c r="BO352" s="510">
        <v>0</v>
      </c>
      <c r="BP352" s="510">
        <v>2000</v>
      </c>
      <c r="BQ352" s="510">
        <v>0</v>
      </c>
      <c r="BR352" s="510">
        <v>0</v>
      </c>
      <c r="BS352" s="510">
        <v>0</v>
      </c>
      <c r="BT352" s="510">
        <v>0</v>
      </c>
      <c r="BU352" s="510">
        <v>0</v>
      </c>
      <c r="BV352" s="510">
        <v>0</v>
      </c>
      <c r="BW352" s="510">
        <v>0</v>
      </c>
      <c r="BX352" s="510">
        <v>30000</v>
      </c>
      <c r="BY352" s="1011">
        <v>0</v>
      </c>
      <c r="BZ352" s="510">
        <v>0</v>
      </c>
      <c r="CA352" s="1011">
        <v>0</v>
      </c>
      <c r="CB352" s="510">
        <v>22000</v>
      </c>
      <c r="CC352" s="1011">
        <v>0</v>
      </c>
      <c r="CD352" s="510">
        <v>0</v>
      </c>
      <c r="CE352" s="1011">
        <v>0</v>
      </c>
      <c r="CF352" s="510">
        <v>46630.8</v>
      </c>
      <c r="CG352" s="1011">
        <v>0</v>
      </c>
      <c r="CH352" s="510">
        <v>0</v>
      </c>
      <c r="CI352" s="1011">
        <v>0</v>
      </c>
    </row>
    <row r="353" spans="1:87" x14ac:dyDescent="0.2">
      <c r="A353" s="449">
        <v>41</v>
      </c>
      <c r="B353" s="453">
        <v>19401</v>
      </c>
      <c r="C353" s="454" t="s">
        <v>4068</v>
      </c>
      <c r="D353" s="454" t="s">
        <v>517</v>
      </c>
      <c r="E353" s="454" t="s">
        <v>4069</v>
      </c>
      <c r="F353" s="454" t="s">
        <v>525</v>
      </c>
      <c r="G353" s="454" t="s">
        <v>12904</v>
      </c>
      <c r="H353" s="455">
        <v>10951265000129</v>
      </c>
      <c r="I353" s="462">
        <v>39993</v>
      </c>
      <c r="J353" s="457">
        <v>40427048</v>
      </c>
      <c r="K353" s="454" t="s">
        <v>4071</v>
      </c>
      <c r="L353" s="458">
        <v>100</v>
      </c>
      <c r="M353" s="454" t="s">
        <v>4072</v>
      </c>
      <c r="N353" s="459">
        <v>2363155</v>
      </c>
      <c r="O353" s="460">
        <v>22068938</v>
      </c>
      <c r="P353" s="462">
        <v>330593</v>
      </c>
      <c r="Q353" s="462">
        <v>41</v>
      </c>
      <c r="R353" s="462">
        <v>43950</v>
      </c>
      <c r="S353" s="463">
        <v>1194</v>
      </c>
      <c r="T353" s="464">
        <v>5.4</v>
      </c>
      <c r="U353" s="465">
        <v>6447.6</v>
      </c>
      <c r="V353" s="465">
        <v>20340</v>
      </c>
      <c r="W353" s="466">
        <v>0</v>
      </c>
      <c r="X353" s="467">
        <v>1</v>
      </c>
      <c r="Y353" s="466">
        <v>40181.4</v>
      </c>
      <c r="Z353" s="468" t="s">
        <v>516</v>
      </c>
      <c r="AA353" s="466">
        <v>145897.4</v>
      </c>
      <c r="AB353" s="466">
        <v>145897.4</v>
      </c>
      <c r="AC353" s="467">
        <v>0</v>
      </c>
      <c r="AD353" s="466">
        <v>0</v>
      </c>
      <c r="AE353" s="468" t="s">
        <v>516</v>
      </c>
      <c r="AF353" s="466">
        <v>1600</v>
      </c>
      <c r="AG353" s="466">
        <v>1600</v>
      </c>
      <c r="AH353" s="466">
        <v>50587.92</v>
      </c>
      <c r="AI353" s="466">
        <v>15207.82</v>
      </c>
      <c r="AJ353" s="469" t="s">
        <v>1460</v>
      </c>
      <c r="AK353" s="470" t="s">
        <v>1461</v>
      </c>
      <c r="AL353" s="471" t="s">
        <v>4073</v>
      </c>
      <c r="AM353" s="470" t="s">
        <v>5189</v>
      </c>
      <c r="AN353" s="470" t="s">
        <v>4070</v>
      </c>
      <c r="AO353" s="470" t="s">
        <v>12905</v>
      </c>
      <c r="AP353" s="470" t="s">
        <v>4074</v>
      </c>
      <c r="AQ353" s="470" t="s">
        <v>4068</v>
      </c>
      <c r="AR353" s="472" t="s">
        <v>515</v>
      </c>
      <c r="AS353" s="473" t="s">
        <v>1385</v>
      </c>
      <c r="AT353" s="472" t="s">
        <v>517</v>
      </c>
      <c r="AU353" s="472" t="s">
        <v>420</v>
      </c>
      <c r="AV353" s="472">
        <v>2020</v>
      </c>
      <c r="AW353" s="474" t="s">
        <v>15078</v>
      </c>
      <c r="AX353" s="475" t="s">
        <v>15079</v>
      </c>
      <c r="AY353" s="515">
        <v>1</v>
      </c>
      <c r="AZ353" s="474" t="s">
        <v>15079</v>
      </c>
      <c r="BA353" s="472" t="s">
        <v>517</v>
      </c>
      <c r="BB353" s="472" t="s">
        <v>1385</v>
      </c>
      <c r="BC353" s="472" t="s">
        <v>1385</v>
      </c>
      <c r="BD353" s="472" t="s">
        <v>1385</v>
      </c>
      <c r="BE353" s="472" t="s">
        <v>1385</v>
      </c>
      <c r="BF353" s="472">
        <v>40181.4</v>
      </c>
      <c r="BG353" s="472">
        <v>0</v>
      </c>
      <c r="BH353" s="472" t="s">
        <v>1385</v>
      </c>
      <c r="BI353" s="510">
        <v>0</v>
      </c>
      <c r="BJ353" s="510">
        <v>7629.8</v>
      </c>
      <c r="BK353" s="510">
        <v>0</v>
      </c>
      <c r="BL353" s="510">
        <v>3500</v>
      </c>
      <c r="BM353" s="510">
        <v>0</v>
      </c>
      <c r="BN353" s="510">
        <v>4100</v>
      </c>
      <c r="BO353" s="510">
        <v>400</v>
      </c>
      <c r="BP353" s="510">
        <v>1600</v>
      </c>
      <c r="BQ353" s="510">
        <v>0</v>
      </c>
      <c r="BR353" s="510">
        <v>0</v>
      </c>
      <c r="BS353" s="510">
        <v>0</v>
      </c>
      <c r="BT353" s="510">
        <v>0</v>
      </c>
      <c r="BU353" s="510">
        <v>2500</v>
      </c>
      <c r="BV353" s="510">
        <v>2500</v>
      </c>
      <c r="BW353" s="510">
        <v>0</v>
      </c>
      <c r="BX353" s="510">
        <v>30000</v>
      </c>
      <c r="BY353" s="1011">
        <v>0</v>
      </c>
      <c r="BZ353" s="510">
        <v>0</v>
      </c>
      <c r="CA353" s="1011">
        <v>0</v>
      </c>
      <c r="CB353" s="510">
        <v>22000</v>
      </c>
      <c r="CC353" s="1011">
        <v>0</v>
      </c>
      <c r="CD353" s="510">
        <v>0</v>
      </c>
      <c r="CE353" s="1011">
        <v>0</v>
      </c>
      <c r="CF353" s="510">
        <v>53316</v>
      </c>
      <c r="CG353" s="1011">
        <v>0</v>
      </c>
      <c r="CH353" s="510">
        <v>0</v>
      </c>
      <c r="CI353" s="1011">
        <v>0</v>
      </c>
    </row>
    <row r="354" spans="1:87" x14ac:dyDescent="0.2">
      <c r="A354" s="449">
        <v>53</v>
      </c>
      <c r="B354" s="453">
        <v>19402</v>
      </c>
      <c r="C354" s="454" t="s">
        <v>4075</v>
      </c>
      <c r="D354" s="454" t="s">
        <v>517</v>
      </c>
      <c r="E354" s="454" t="s">
        <v>4076</v>
      </c>
      <c r="F354" s="454" t="s">
        <v>522</v>
      </c>
      <c r="G354" s="454" t="s">
        <v>12906</v>
      </c>
      <c r="H354" s="455">
        <v>3559254000132</v>
      </c>
      <c r="I354" s="462">
        <v>36500</v>
      </c>
      <c r="J354" s="457">
        <v>37605380</v>
      </c>
      <c r="K354" s="454" t="s">
        <v>4077</v>
      </c>
      <c r="L354" s="458">
        <v>35</v>
      </c>
      <c r="M354" s="454" t="s">
        <v>4078</v>
      </c>
      <c r="N354" s="459">
        <v>2652110</v>
      </c>
      <c r="O354" s="460">
        <v>22581001</v>
      </c>
      <c r="P354" s="462">
        <v>80295</v>
      </c>
      <c r="Q354" s="462">
        <v>86</v>
      </c>
      <c r="R354" s="462">
        <v>43911</v>
      </c>
      <c r="S354" s="463">
        <v>1251</v>
      </c>
      <c r="T354" s="464">
        <v>5.4</v>
      </c>
      <c r="U354" s="465">
        <v>6755.4</v>
      </c>
      <c r="V354" s="465">
        <v>21960</v>
      </c>
      <c r="W354" s="466">
        <v>0</v>
      </c>
      <c r="X354" s="467">
        <v>1</v>
      </c>
      <c r="Y354" s="466">
        <v>43073.1</v>
      </c>
      <c r="Z354" s="468" t="s">
        <v>516</v>
      </c>
      <c r="AA354" s="466">
        <v>171293.5</v>
      </c>
      <c r="AB354" s="466">
        <v>171293.5</v>
      </c>
      <c r="AC354" s="467">
        <v>0</v>
      </c>
      <c r="AD354" s="466">
        <v>0</v>
      </c>
      <c r="AE354" s="468" t="s">
        <v>516</v>
      </c>
      <c r="AF354" s="466">
        <v>1800</v>
      </c>
      <c r="AG354" s="466">
        <v>1800</v>
      </c>
      <c r="AH354" s="466">
        <v>13888.45</v>
      </c>
      <c r="AI354" s="466">
        <v>13999.38</v>
      </c>
      <c r="AJ354" s="469" t="s">
        <v>6493</v>
      </c>
      <c r="AK354" s="470" t="s">
        <v>4079</v>
      </c>
      <c r="AL354" s="471" t="s">
        <v>4080</v>
      </c>
      <c r="AM354" s="470" t="s">
        <v>12907</v>
      </c>
      <c r="AN354" s="470" t="s">
        <v>1385</v>
      </c>
      <c r="AO354" s="470" t="s">
        <v>12908</v>
      </c>
      <c r="AP354" s="470" t="s">
        <v>4081</v>
      </c>
      <c r="AQ354" s="470" t="s">
        <v>4075</v>
      </c>
      <c r="AR354" s="472" t="s">
        <v>515</v>
      </c>
      <c r="AS354" s="473" t="s">
        <v>1385</v>
      </c>
      <c r="AT354" s="472" t="s">
        <v>517</v>
      </c>
      <c r="AU354" s="472" t="s">
        <v>420</v>
      </c>
      <c r="AV354" s="472">
        <v>2020</v>
      </c>
      <c r="AW354" s="474" t="s">
        <v>15078</v>
      </c>
      <c r="AX354" s="475" t="s">
        <v>15079</v>
      </c>
      <c r="AY354" s="515">
        <v>1</v>
      </c>
      <c r="AZ354" s="474" t="s">
        <v>15079</v>
      </c>
      <c r="BA354" s="472" t="s">
        <v>517</v>
      </c>
      <c r="BB354" s="472" t="s">
        <v>1385</v>
      </c>
      <c r="BC354" s="472" t="s">
        <v>1385</v>
      </c>
      <c r="BD354" s="472" t="s">
        <v>1385</v>
      </c>
      <c r="BE354" s="472" t="s">
        <v>1385</v>
      </c>
      <c r="BF354" s="472">
        <v>43073.1</v>
      </c>
      <c r="BG354" s="472">
        <v>0</v>
      </c>
      <c r="BH354" s="472" t="s">
        <v>1385</v>
      </c>
      <c r="BI354" s="510">
        <v>0</v>
      </c>
      <c r="BJ354" s="510">
        <v>0</v>
      </c>
      <c r="BK354" s="510">
        <v>0</v>
      </c>
      <c r="BL354" s="510">
        <v>0</v>
      </c>
      <c r="BM354" s="510">
        <v>0</v>
      </c>
      <c r="BN354" s="510">
        <v>6000</v>
      </c>
      <c r="BO354" s="510">
        <v>200</v>
      </c>
      <c r="BP354" s="510">
        <v>1800</v>
      </c>
      <c r="BQ354" s="510">
        <v>0</v>
      </c>
      <c r="BR354" s="510">
        <v>0</v>
      </c>
      <c r="BS354" s="510">
        <v>0</v>
      </c>
      <c r="BT354" s="510">
        <v>0</v>
      </c>
      <c r="BU354" s="510">
        <v>2500</v>
      </c>
      <c r="BV354" s="510">
        <v>2500</v>
      </c>
      <c r="BW354" s="510">
        <v>0</v>
      </c>
      <c r="BX354" s="510">
        <v>30000</v>
      </c>
      <c r="BY354" s="1011">
        <v>0</v>
      </c>
      <c r="BZ354" s="510">
        <v>0</v>
      </c>
      <c r="CA354" s="1011">
        <v>0</v>
      </c>
      <c r="CB354" s="510">
        <v>22000</v>
      </c>
      <c r="CC354" s="1011">
        <v>0</v>
      </c>
      <c r="CD354" s="510">
        <v>0</v>
      </c>
      <c r="CE354" s="1011">
        <v>0</v>
      </c>
      <c r="CF354" s="510">
        <v>76020.399999999994</v>
      </c>
      <c r="CG354" s="1011">
        <v>0</v>
      </c>
      <c r="CH354" s="510">
        <v>0</v>
      </c>
      <c r="CI354" s="1011">
        <v>0</v>
      </c>
    </row>
    <row r="355" spans="1:87" x14ac:dyDescent="0.2">
      <c r="A355" s="449">
        <v>94</v>
      </c>
      <c r="B355" s="453">
        <v>19403</v>
      </c>
      <c r="C355" s="454" t="s">
        <v>4082</v>
      </c>
      <c r="D355" s="454" t="s">
        <v>1390</v>
      </c>
      <c r="E355" s="454" t="s">
        <v>4083</v>
      </c>
      <c r="F355" s="454" t="s">
        <v>518</v>
      </c>
      <c r="G355" s="454" t="s">
        <v>12909</v>
      </c>
      <c r="H355" s="455">
        <v>11258489000112</v>
      </c>
      <c r="I355" s="462">
        <v>40085</v>
      </c>
      <c r="J355" s="457">
        <v>43267793</v>
      </c>
      <c r="K355" s="454" t="s">
        <v>4084</v>
      </c>
      <c r="L355" s="458">
        <v>150</v>
      </c>
      <c r="M355" s="454" t="s">
        <v>4085</v>
      </c>
      <c r="N355" s="459">
        <v>8230520</v>
      </c>
      <c r="O355" s="460">
        <v>20519504</v>
      </c>
      <c r="P355" s="462">
        <v>49657</v>
      </c>
      <c r="Q355" s="462">
        <v>63</v>
      </c>
      <c r="R355" s="462">
        <v>43970</v>
      </c>
      <c r="S355" s="463">
        <v>480</v>
      </c>
      <c r="T355" s="464">
        <v>3.6</v>
      </c>
      <c r="U355" s="465">
        <v>1728</v>
      </c>
      <c r="V355" s="465">
        <v>15120</v>
      </c>
      <c r="W355" s="466">
        <v>0</v>
      </c>
      <c r="X355" s="467">
        <v>1</v>
      </c>
      <c r="Y355" s="466">
        <v>25272</v>
      </c>
      <c r="Z355" s="468" t="s">
        <v>516</v>
      </c>
      <c r="AA355" s="466">
        <v>103968</v>
      </c>
      <c r="AB355" s="466">
        <v>103968</v>
      </c>
      <c r="AC355" s="467">
        <v>0</v>
      </c>
      <c r="AD355" s="466">
        <v>0</v>
      </c>
      <c r="AE355" s="468" t="s">
        <v>516</v>
      </c>
      <c r="AF355" s="466">
        <v>0</v>
      </c>
      <c r="AG355" s="466">
        <v>0</v>
      </c>
      <c r="AH355" s="466">
        <v>18632.11</v>
      </c>
      <c r="AI355" s="466">
        <v>4944.4399999999996</v>
      </c>
      <c r="AJ355" s="469" t="s">
        <v>4086</v>
      </c>
      <c r="AK355" s="470" t="s">
        <v>4087</v>
      </c>
      <c r="AL355" s="471" t="s">
        <v>4088</v>
      </c>
      <c r="AM355" s="470" t="s">
        <v>9179</v>
      </c>
      <c r="AN355" s="470" t="s">
        <v>1385</v>
      </c>
      <c r="AO355" s="470" t="s">
        <v>14988</v>
      </c>
      <c r="AP355" s="470" t="s">
        <v>4085</v>
      </c>
      <c r="AQ355" s="470" t="s">
        <v>4082</v>
      </c>
      <c r="AR355" s="472" t="s">
        <v>515</v>
      </c>
      <c r="AS355" s="473" t="s">
        <v>1385</v>
      </c>
      <c r="AT355" s="472" t="s">
        <v>1390</v>
      </c>
      <c r="AU355" s="472" t="s">
        <v>420</v>
      </c>
      <c r="AV355" s="472">
        <v>2020</v>
      </c>
      <c r="AW355" s="474" t="s">
        <v>15078</v>
      </c>
      <c r="AX355" s="475" t="s">
        <v>15079</v>
      </c>
      <c r="AY355" s="515">
        <v>1</v>
      </c>
      <c r="AZ355" s="474" t="s">
        <v>15079</v>
      </c>
      <c r="BA355" s="472" t="s">
        <v>1390</v>
      </c>
      <c r="BB355" s="472" t="s">
        <v>1385</v>
      </c>
      <c r="BC355" s="472" t="s">
        <v>1385</v>
      </c>
      <c r="BD355" s="472" t="s">
        <v>1385</v>
      </c>
      <c r="BE355" s="472" t="s">
        <v>1385</v>
      </c>
      <c r="BF355" s="472">
        <v>25272</v>
      </c>
      <c r="BG355" s="472">
        <v>0</v>
      </c>
      <c r="BH355" s="472" t="s">
        <v>1385</v>
      </c>
      <c r="BI355" s="510">
        <v>0</v>
      </c>
      <c r="BJ355" s="510">
        <v>0</v>
      </c>
      <c r="BK355" s="510">
        <v>0</v>
      </c>
      <c r="BL355" s="510">
        <v>0</v>
      </c>
      <c r="BM355" s="510">
        <v>0</v>
      </c>
      <c r="BN355" s="510">
        <v>2200</v>
      </c>
      <c r="BO355" s="510">
        <v>0</v>
      </c>
      <c r="BP355" s="510">
        <v>0</v>
      </c>
      <c r="BQ355" s="510">
        <v>0</v>
      </c>
      <c r="BR355" s="510">
        <v>0</v>
      </c>
      <c r="BS355" s="510">
        <v>0</v>
      </c>
      <c r="BT355" s="510">
        <v>0</v>
      </c>
      <c r="BU355" s="510">
        <v>0</v>
      </c>
      <c r="BV355" s="510">
        <v>0</v>
      </c>
      <c r="BW355" s="510">
        <v>0</v>
      </c>
      <c r="BX355" s="510">
        <v>30000</v>
      </c>
      <c r="BY355" s="1011">
        <v>0</v>
      </c>
      <c r="BZ355" s="510">
        <v>0</v>
      </c>
      <c r="CA355" s="1011">
        <v>0</v>
      </c>
      <c r="CB355" s="510">
        <v>0</v>
      </c>
      <c r="CC355" s="1011">
        <v>0</v>
      </c>
      <c r="CD355" s="510">
        <v>0</v>
      </c>
      <c r="CE355" s="1011">
        <v>0</v>
      </c>
      <c r="CF355" s="510">
        <v>48696</v>
      </c>
      <c r="CG355" s="1011">
        <v>0</v>
      </c>
      <c r="CH355" s="510">
        <v>0</v>
      </c>
      <c r="CI355" s="1011">
        <v>0</v>
      </c>
    </row>
    <row r="356" spans="1:87" x14ac:dyDescent="0.2">
      <c r="A356" s="449">
        <v>46</v>
      </c>
      <c r="B356" s="453">
        <v>19404</v>
      </c>
      <c r="C356" s="454" t="s">
        <v>4089</v>
      </c>
      <c r="D356" s="454" t="s">
        <v>517</v>
      </c>
      <c r="E356" s="454" t="s">
        <v>4090</v>
      </c>
      <c r="F356" s="454" t="s">
        <v>526</v>
      </c>
      <c r="G356" s="454" t="s">
        <v>12910</v>
      </c>
      <c r="H356" s="455">
        <v>10879020000138</v>
      </c>
      <c r="I356" s="462">
        <v>39961</v>
      </c>
      <c r="J356" s="457">
        <v>39252728</v>
      </c>
      <c r="K356" s="454" t="s">
        <v>4091</v>
      </c>
      <c r="L356" s="458" t="s">
        <v>1446</v>
      </c>
      <c r="M356" s="454" t="s">
        <v>4092</v>
      </c>
      <c r="N356" s="459">
        <v>3813240</v>
      </c>
      <c r="O356" s="460">
        <v>25451922</v>
      </c>
      <c r="P356" s="462">
        <v>141081</v>
      </c>
      <c r="Q356" s="462">
        <v>46</v>
      </c>
      <c r="R356" s="462">
        <v>43928</v>
      </c>
      <c r="S356" s="463">
        <v>799</v>
      </c>
      <c r="T356" s="464">
        <v>5.4</v>
      </c>
      <c r="U356" s="465">
        <v>4314.6000000000004</v>
      </c>
      <c r="V356" s="465">
        <v>18720</v>
      </c>
      <c r="W356" s="466">
        <v>0</v>
      </c>
      <c r="X356" s="467">
        <v>1</v>
      </c>
      <c r="Y356" s="466">
        <v>34551.9</v>
      </c>
      <c r="Z356" s="468" t="s">
        <v>516</v>
      </c>
      <c r="AA356" s="466">
        <v>133621.1</v>
      </c>
      <c r="AB356" s="466">
        <v>133621.1</v>
      </c>
      <c r="AC356" s="467">
        <v>0</v>
      </c>
      <c r="AD356" s="466">
        <v>0</v>
      </c>
      <c r="AE356" s="468" t="s">
        <v>516</v>
      </c>
      <c r="AF356" s="466">
        <v>1000</v>
      </c>
      <c r="AG356" s="466">
        <v>1000</v>
      </c>
      <c r="AH356" s="466">
        <v>17297.669999999998</v>
      </c>
      <c r="AI356" s="466">
        <v>0</v>
      </c>
      <c r="AJ356" s="469" t="s">
        <v>1839</v>
      </c>
      <c r="AK356" s="470" t="s">
        <v>526</v>
      </c>
      <c r="AL356" s="471" t="s">
        <v>4093</v>
      </c>
      <c r="AM356" s="470" t="s">
        <v>4094</v>
      </c>
      <c r="AN356" s="470" t="s">
        <v>1385</v>
      </c>
      <c r="AO356" s="470" t="s">
        <v>4095</v>
      </c>
      <c r="AP356" s="470" t="s">
        <v>4096</v>
      </c>
      <c r="AQ356" s="470" t="s">
        <v>4089</v>
      </c>
      <c r="AR356" s="472" t="s">
        <v>515</v>
      </c>
      <c r="AS356" s="473" t="s">
        <v>1385</v>
      </c>
      <c r="AT356" s="472" t="s">
        <v>517</v>
      </c>
      <c r="AU356" s="472" t="s">
        <v>420</v>
      </c>
      <c r="AV356" s="472">
        <v>2020</v>
      </c>
      <c r="AW356" s="474" t="s">
        <v>15078</v>
      </c>
      <c r="AX356" s="475" t="s">
        <v>15079</v>
      </c>
      <c r="AY356" s="515">
        <v>1</v>
      </c>
      <c r="AZ356" s="474" t="s">
        <v>15079</v>
      </c>
      <c r="BA356" s="472" t="s">
        <v>517</v>
      </c>
      <c r="BB356" s="472" t="s">
        <v>1385</v>
      </c>
      <c r="BC356" s="472" t="s">
        <v>1385</v>
      </c>
      <c r="BD356" s="472" t="s">
        <v>1385</v>
      </c>
      <c r="BE356" s="472" t="s">
        <v>1385</v>
      </c>
      <c r="BF356" s="509">
        <v>34551.9</v>
      </c>
      <c r="BG356" s="509">
        <v>0</v>
      </c>
      <c r="BH356" s="472" t="s">
        <v>1385</v>
      </c>
      <c r="BI356" s="510">
        <v>0</v>
      </c>
      <c r="BJ356" s="510">
        <v>0</v>
      </c>
      <c r="BK356" s="510">
        <v>0</v>
      </c>
      <c r="BL356" s="510">
        <v>1640.85</v>
      </c>
      <c r="BM356" s="510">
        <v>0</v>
      </c>
      <c r="BN356" s="510">
        <v>1330</v>
      </c>
      <c r="BO356" s="510">
        <v>1000</v>
      </c>
      <c r="BP356" s="510">
        <v>1000</v>
      </c>
      <c r="BQ356" s="510">
        <v>0</v>
      </c>
      <c r="BR356" s="510">
        <v>0</v>
      </c>
      <c r="BS356" s="510">
        <v>0</v>
      </c>
      <c r="BT356" s="510">
        <v>0</v>
      </c>
      <c r="BU356" s="510">
        <v>0</v>
      </c>
      <c r="BV356" s="510">
        <v>0</v>
      </c>
      <c r="BW356" s="510">
        <v>0</v>
      </c>
      <c r="BX356" s="510">
        <v>30000</v>
      </c>
      <c r="BY356" s="1011">
        <v>0</v>
      </c>
      <c r="BZ356" s="510">
        <v>0</v>
      </c>
      <c r="CA356" s="1011">
        <v>0</v>
      </c>
      <c r="CB356" s="510">
        <v>22000</v>
      </c>
      <c r="CC356" s="1011">
        <v>0</v>
      </c>
      <c r="CD356" s="510">
        <v>0</v>
      </c>
      <c r="CE356" s="1011">
        <v>0</v>
      </c>
      <c r="CF356" s="510">
        <v>46069.2</v>
      </c>
      <c r="CG356" s="1011">
        <v>0</v>
      </c>
      <c r="CH356" s="510">
        <v>0</v>
      </c>
      <c r="CI356" s="1011">
        <v>0</v>
      </c>
    </row>
    <row r="357" spans="1:87" x14ac:dyDescent="0.2">
      <c r="A357" s="449">
        <v>32</v>
      </c>
      <c r="B357" s="453">
        <v>19405</v>
      </c>
      <c r="C357" s="454" t="s">
        <v>4097</v>
      </c>
      <c r="D357" s="454" t="s">
        <v>517</v>
      </c>
      <c r="E357" s="454" t="s">
        <v>4098</v>
      </c>
      <c r="F357" s="454" t="s">
        <v>522</v>
      </c>
      <c r="G357" s="454" t="s">
        <v>12911</v>
      </c>
      <c r="H357" s="455">
        <v>61192340000156</v>
      </c>
      <c r="I357" s="462">
        <v>32738</v>
      </c>
      <c r="J357" s="457">
        <v>37605399</v>
      </c>
      <c r="K357" s="454" t="s">
        <v>4099</v>
      </c>
      <c r="L357" s="458">
        <v>3871</v>
      </c>
      <c r="M357" s="454" t="s">
        <v>4100</v>
      </c>
      <c r="N357" s="459">
        <v>2720200</v>
      </c>
      <c r="O357" s="460">
        <v>39831621</v>
      </c>
      <c r="P357" s="462">
        <v>77189</v>
      </c>
      <c r="Q357" s="462">
        <v>65</v>
      </c>
      <c r="R357" s="462">
        <v>43922</v>
      </c>
      <c r="S357" s="463">
        <v>797</v>
      </c>
      <c r="T357" s="464">
        <v>5.4</v>
      </c>
      <c r="U357" s="465">
        <v>4303.8</v>
      </c>
      <c r="V357" s="465">
        <v>18720</v>
      </c>
      <c r="W357" s="466">
        <v>0</v>
      </c>
      <c r="X357" s="467">
        <v>1</v>
      </c>
      <c r="Y357" s="466">
        <v>34535.699999999997</v>
      </c>
      <c r="Z357" s="468" t="s">
        <v>516</v>
      </c>
      <c r="AA357" s="466">
        <v>132162.1</v>
      </c>
      <c r="AB357" s="466">
        <v>132162.1</v>
      </c>
      <c r="AC357" s="467">
        <v>0</v>
      </c>
      <c r="AD357" s="466">
        <v>0</v>
      </c>
      <c r="AE357" s="468" t="s">
        <v>516</v>
      </c>
      <c r="AF357" s="466">
        <v>0</v>
      </c>
      <c r="AG357" s="466">
        <v>0</v>
      </c>
      <c r="AH357" s="466">
        <v>29269.42</v>
      </c>
      <c r="AI357" s="466">
        <v>9216.39</v>
      </c>
      <c r="AJ357" s="469" t="s">
        <v>4101</v>
      </c>
      <c r="AK357" s="470" t="s">
        <v>1499</v>
      </c>
      <c r="AL357" s="471" t="s">
        <v>4102</v>
      </c>
      <c r="AM357" s="470" t="s">
        <v>12912</v>
      </c>
      <c r="AN357" s="470" t="s">
        <v>1385</v>
      </c>
      <c r="AO357" s="470" t="s">
        <v>4103</v>
      </c>
      <c r="AP357" s="470" t="s">
        <v>4104</v>
      </c>
      <c r="AQ357" s="470" t="s">
        <v>4097</v>
      </c>
      <c r="AR357" s="472" t="s">
        <v>515</v>
      </c>
      <c r="AS357" s="473" t="s">
        <v>1385</v>
      </c>
      <c r="AT357" s="472" t="s">
        <v>517</v>
      </c>
      <c r="AU357" s="472" t="s">
        <v>420</v>
      </c>
      <c r="AV357" s="472">
        <v>2020</v>
      </c>
      <c r="AW357" s="474" t="s">
        <v>15078</v>
      </c>
      <c r="AX357" s="475" t="s">
        <v>15079</v>
      </c>
      <c r="AY357" s="515">
        <v>1</v>
      </c>
      <c r="AZ357" s="474" t="s">
        <v>15079</v>
      </c>
      <c r="BA357" s="472" t="s">
        <v>517</v>
      </c>
      <c r="BB357" s="472" t="s">
        <v>1385</v>
      </c>
      <c r="BC357" s="472" t="s">
        <v>1385</v>
      </c>
      <c r="BD357" s="472" t="s">
        <v>1385</v>
      </c>
      <c r="BE357" s="472" t="s">
        <v>1385</v>
      </c>
      <c r="BF357" s="472">
        <v>34535.699999999997</v>
      </c>
      <c r="BG357" s="472">
        <v>0</v>
      </c>
      <c r="BH357" s="472" t="s">
        <v>1385</v>
      </c>
      <c r="BI357" s="510">
        <v>0</v>
      </c>
      <c r="BJ357" s="510">
        <v>0</v>
      </c>
      <c r="BK357" s="510">
        <v>0</v>
      </c>
      <c r="BL357" s="510">
        <v>237</v>
      </c>
      <c r="BM357" s="510">
        <v>0</v>
      </c>
      <c r="BN357" s="510">
        <v>5000</v>
      </c>
      <c r="BO357" s="510">
        <v>0</v>
      </c>
      <c r="BP357" s="510">
        <v>0</v>
      </c>
      <c r="BQ357" s="510">
        <v>0</v>
      </c>
      <c r="BR357" s="510">
        <v>0</v>
      </c>
      <c r="BS357" s="510">
        <v>0</v>
      </c>
      <c r="BT357" s="510">
        <v>0</v>
      </c>
      <c r="BU357" s="510">
        <v>2500</v>
      </c>
      <c r="BV357" s="510">
        <v>2500</v>
      </c>
      <c r="BW357" s="510">
        <v>0</v>
      </c>
      <c r="BX357" s="510">
        <v>30000</v>
      </c>
      <c r="BY357" s="1011">
        <v>0</v>
      </c>
      <c r="BZ357" s="510">
        <v>0</v>
      </c>
      <c r="CA357" s="1011">
        <v>0</v>
      </c>
      <c r="CB357" s="510">
        <v>22000</v>
      </c>
      <c r="CC357" s="1011">
        <v>0</v>
      </c>
      <c r="CD357" s="510">
        <v>0</v>
      </c>
      <c r="CE357" s="1011">
        <v>0</v>
      </c>
      <c r="CF357" s="510">
        <v>45626.400000000001</v>
      </c>
      <c r="CG357" s="1011">
        <v>0</v>
      </c>
      <c r="CH357" s="510">
        <v>0</v>
      </c>
      <c r="CI357" s="1011">
        <v>0</v>
      </c>
    </row>
    <row r="358" spans="1:87" x14ac:dyDescent="0.2">
      <c r="A358" s="449">
        <v>37</v>
      </c>
      <c r="B358" s="453">
        <v>19406</v>
      </c>
      <c r="C358" s="454" t="s">
        <v>4105</v>
      </c>
      <c r="D358" s="454" t="s">
        <v>517</v>
      </c>
      <c r="E358" s="454" t="s">
        <v>4106</v>
      </c>
      <c r="F358" s="454" t="s">
        <v>521</v>
      </c>
      <c r="G358" s="454" t="s">
        <v>12913</v>
      </c>
      <c r="H358" s="455">
        <v>11714285000149</v>
      </c>
      <c r="I358" s="462">
        <v>40099</v>
      </c>
      <c r="J358" s="457">
        <v>41862899</v>
      </c>
      <c r="K358" s="454" t="s">
        <v>4107</v>
      </c>
      <c r="L358" s="458">
        <v>41</v>
      </c>
      <c r="M358" s="454" t="s">
        <v>1631</v>
      </c>
      <c r="N358" s="459">
        <v>4858140</v>
      </c>
      <c r="O358" s="460">
        <v>55273241</v>
      </c>
      <c r="P358" s="462">
        <v>85440</v>
      </c>
      <c r="Q358" s="462">
        <v>96</v>
      </c>
      <c r="R358" s="462">
        <v>43934</v>
      </c>
      <c r="S358" s="463">
        <v>770</v>
      </c>
      <c r="T358" s="464">
        <v>5.4</v>
      </c>
      <c r="U358" s="465">
        <v>4158</v>
      </c>
      <c r="V358" s="465">
        <v>18720</v>
      </c>
      <c r="W358" s="466">
        <v>0</v>
      </c>
      <c r="X358" s="467">
        <v>1</v>
      </c>
      <c r="Y358" s="466">
        <v>34317</v>
      </c>
      <c r="Z358" s="468" t="s">
        <v>516</v>
      </c>
      <c r="AA358" s="466">
        <v>132792.20000000001</v>
      </c>
      <c r="AB358" s="466">
        <v>132792.20000000001</v>
      </c>
      <c r="AC358" s="467">
        <v>0</v>
      </c>
      <c r="AD358" s="466">
        <v>0</v>
      </c>
      <c r="AE358" s="468" t="s">
        <v>516</v>
      </c>
      <c r="AF358" s="466">
        <v>1000</v>
      </c>
      <c r="AG358" s="466">
        <v>1000</v>
      </c>
      <c r="AH358" s="466">
        <v>8087.97</v>
      </c>
      <c r="AI358" s="466">
        <v>6440.19</v>
      </c>
      <c r="AJ358" s="469" t="s">
        <v>1624</v>
      </c>
      <c r="AK358" s="470" t="s">
        <v>1625</v>
      </c>
      <c r="AL358" s="471" t="s">
        <v>4108</v>
      </c>
      <c r="AM358" s="470" t="s">
        <v>12914</v>
      </c>
      <c r="AN358" s="470" t="s">
        <v>1385</v>
      </c>
      <c r="AO358" s="470" t="s">
        <v>4109</v>
      </c>
      <c r="AP358" s="470" t="s">
        <v>4110</v>
      </c>
      <c r="AQ358" s="470" t="s">
        <v>4105</v>
      </c>
      <c r="AR358" s="472" t="s">
        <v>515</v>
      </c>
      <c r="AS358" s="473" t="s">
        <v>1385</v>
      </c>
      <c r="AT358" s="472" t="s">
        <v>517</v>
      </c>
      <c r="AU358" s="472" t="s">
        <v>420</v>
      </c>
      <c r="AV358" s="472">
        <v>2020</v>
      </c>
      <c r="AW358" s="474" t="s">
        <v>15078</v>
      </c>
      <c r="AX358" s="475" t="s">
        <v>15079</v>
      </c>
      <c r="AY358" s="515">
        <v>1</v>
      </c>
      <c r="AZ358" s="474" t="s">
        <v>15079</v>
      </c>
      <c r="BA358" s="472" t="s">
        <v>517</v>
      </c>
      <c r="BB358" s="472" t="s">
        <v>1385</v>
      </c>
      <c r="BC358" s="472" t="s">
        <v>1385</v>
      </c>
      <c r="BD358" s="472" t="s">
        <v>1385</v>
      </c>
      <c r="BE358" s="472" t="s">
        <v>1385</v>
      </c>
      <c r="BF358" s="472">
        <v>34317</v>
      </c>
      <c r="BG358" s="472">
        <v>0</v>
      </c>
      <c r="BH358" s="472" t="s">
        <v>1385</v>
      </c>
      <c r="BI358" s="510">
        <v>0</v>
      </c>
      <c r="BJ358" s="510">
        <v>0</v>
      </c>
      <c r="BK358" s="510">
        <v>0</v>
      </c>
      <c r="BL358" s="510">
        <v>2750</v>
      </c>
      <c r="BM358" s="510">
        <v>0</v>
      </c>
      <c r="BN358" s="510">
        <v>5000</v>
      </c>
      <c r="BO358" s="510">
        <v>1000</v>
      </c>
      <c r="BP358" s="510">
        <v>1000</v>
      </c>
      <c r="BQ358" s="510">
        <v>0</v>
      </c>
      <c r="BR358" s="510">
        <v>0</v>
      </c>
      <c r="BS358" s="510">
        <v>0</v>
      </c>
      <c r="BT358" s="510">
        <v>0</v>
      </c>
      <c r="BU358" s="510">
        <v>2500</v>
      </c>
      <c r="BV358" s="510">
        <v>2500</v>
      </c>
      <c r="BW358" s="510">
        <v>0</v>
      </c>
      <c r="BX358" s="510">
        <v>30000</v>
      </c>
      <c r="BY358" s="1011">
        <v>0</v>
      </c>
      <c r="BZ358" s="510">
        <v>0</v>
      </c>
      <c r="CA358" s="1011">
        <v>0</v>
      </c>
      <c r="CB358" s="510">
        <v>22000</v>
      </c>
      <c r="CC358" s="1011">
        <v>0</v>
      </c>
      <c r="CD358" s="510">
        <v>0</v>
      </c>
      <c r="CE358" s="1011">
        <v>0</v>
      </c>
      <c r="CF358" s="510">
        <v>45475.199999999997</v>
      </c>
      <c r="CG358" s="1011">
        <v>0</v>
      </c>
      <c r="CH358" s="510">
        <v>0</v>
      </c>
      <c r="CI358" s="1011">
        <v>0</v>
      </c>
    </row>
    <row r="359" spans="1:87" x14ac:dyDescent="0.2">
      <c r="A359" s="449">
        <v>44</v>
      </c>
      <c r="B359" s="453">
        <v>19407</v>
      </c>
      <c r="C359" s="454" t="s">
        <v>4111</v>
      </c>
      <c r="D359" s="454" t="s">
        <v>517</v>
      </c>
      <c r="E359" s="454" t="s">
        <v>4112</v>
      </c>
      <c r="F359" s="454" t="s">
        <v>513</v>
      </c>
      <c r="G359" s="454" t="s">
        <v>12915</v>
      </c>
      <c r="H359" s="455">
        <v>10931289000116</v>
      </c>
      <c r="I359" s="462">
        <v>39966</v>
      </c>
      <c r="J359" s="457">
        <v>39921492</v>
      </c>
      <c r="K359" s="454" t="s">
        <v>4113</v>
      </c>
      <c r="L359" s="458">
        <v>154</v>
      </c>
      <c r="M359" s="454" t="s">
        <v>2029</v>
      </c>
      <c r="N359" s="459">
        <v>8340120</v>
      </c>
      <c r="O359" s="460">
        <v>20129209</v>
      </c>
      <c r="P359" s="462">
        <v>149686</v>
      </c>
      <c r="Q359" s="462">
        <v>44</v>
      </c>
      <c r="R359" s="462">
        <v>43937</v>
      </c>
      <c r="S359" s="463">
        <v>796</v>
      </c>
      <c r="T359" s="464">
        <v>5.4</v>
      </c>
      <c r="U359" s="465">
        <v>4298.3999999999996</v>
      </c>
      <c r="V359" s="465">
        <v>18720</v>
      </c>
      <c r="W359" s="466">
        <v>0</v>
      </c>
      <c r="X359" s="467">
        <v>1</v>
      </c>
      <c r="Y359" s="466">
        <v>34527.599999999999</v>
      </c>
      <c r="Z359" s="468" t="s">
        <v>516</v>
      </c>
      <c r="AA359" s="466">
        <v>132661.6</v>
      </c>
      <c r="AB359" s="466">
        <v>132661.6</v>
      </c>
      <c r="AC359" s="467">
        <v>0</v>
      </c>
      <c r="AD359" s="466">
        <v>0</v>
      </c>
      <c r="AE359" s="468" t="s">
        <v>516</v>
      </c>
      <c r="AF359" s="466">
        <v>0</v>
      </c>
      <c r="AG359" s="466">
        <v>0</v>
      </c>
      <c r="AH359" s="466">
        <v>2747.89</v>
      </c>
      <c r="AI359" s="466">
        <v>9276.4</v>
      </c>
      <c r="AJ359" s="469" t="s">
        <v>1560</v>
      </c>
      <c r="AK359" s="470" t="s">
        <v>1561</v>
      </c>
      <c r="AL359" s="471" t="s">
        <v>4114</v>
      </c>
      <c r="AM359" s="470" t="s">
        <v>4115</v>
      </c>
      <c r="AN359" s="470" t="s">
        <v>1385</v>
      </c>
      <c r="AO359" s="470" t="s">
        <v>4116</v>
      </c>
      <c r="AP359" s="470" t="s">
        <v>4117</v>
      </c>
      <c r="AQ359" s="470" t="s">
        <v>4111</v>
      </c>
      <c r="AR359" s="472" t="s">
        <v>515</v>
      </c>
      <c r="AS359" s="473" t="s">
        <v>1385</v>
      </c>
      <c r="AT359" s="472" t="s">
        <v>517</v>
      </c>
      <c r="AU359" s="472" t="s">
        <v>420</v>
      </c>
      <c r="AV359" s="472">
        <v>2020</v>
      </c>
      <c r="AW359" s="474" t="s">
        <v>15078</v>
      </c>
      <c r="AX359" s="475" t="s">
        <v>15079</v>
      </c>
      <c r="AY359" s="515">
        <v>1</v>
      </c>
      <c r="AZ359" s="474" t="s">
        <v>15079</v>
      </c>
      <c r="BA359" s="472" t="s">
        <v>517</v>
      </c>
      <c r="BB359" s="472" t="s">
        <v>1385</v>
      </c>
      <c r="BC359" s="472" t="s">
        <v>1385</v>
      </c>
      <c r="BD359" s="472" t="s">
        <v>1385</v>
      </c>
      <c r="BE359" s="472" t="s">
        <v>1385</v>
      </c>
      <c r="BF359" s="472">
        <v>34527.599999999999</v>
      </c>
      <c r="BG359" s="472">
        <v>0</v>
      </c>
      <c r="BH359" s="472" t="s">
        <v>1385</v>
      </c>
      <c r="BI359" s="510">
        <v>0</v>
      </c>
      <c r="BJ359" s="510">
        <v>0</v>
      </c>
      <c r="BK359" s="510">
        <v>0</v>
      </c>
      <c r="BL359" s="510">
        <v>3500</v>
      </c>
      <c r="BM359" s="510">
        <v>0</v>
      </c>
      <c r="BN359" s="510">
        <v>1000</v>
      </c>
      <c r="BO359" s="510">
        <v>0</v>
      </c>
      <c r="BP359" s="510">
        <v>0</v>
      </c>
      <c r="BQ359" s="510">
        <v>0</v>
      </c>
      <c r="BR359" s="510">
        <v>0</v>
      </c>
      <c r="BS359" s="510">
        <v>0</v>
      </c>
      <c r="BT359" s="510">
        <v>0</v>
      </c>
      <c r="BU359" s="510">
        <v>0</v>
      </c>
      <c r="BV359" s="510">
        <v>0</v>
      </c>
      <c r="BW359" s="510">
        <v>0</v>
      </c>
      <c r="BX359" s="510">
        <v>30000</v>
      </c>
      <c r="BY359" s="1011">
        <v>0</v>
      </c>
      <c r="BZ359" s="510">
        <v>0</v>
      </c>
      <c r="CA359" s="1011">
        <v>0</v>
      </c>
      <c r="CB359" s="510">
        <v>22000</v>
      </c>
      <c r="CC359" s="1011">
        <v>0</v>
      </c>
      <c r="CD359" s="510">
        <v>0</v>
      </c>
      <c r="CE359" s="1011">
        <v>0</v>
      </c>
      <c r="CF359" s="510">
        <v>46134</v>
      </c>
      <c r="CG359" s="1011">
        <v>0</v>
      </c>
      <c r="CH359" s="510">
        <v>0</v>
      </c>
      <c r="CI359" s="1011">
        <v>0</v>
      </c>
    </row>
    <row r="360" spans="1:87" x14ac:dyDescent="0.2">
      <c r="A360" s="449">
        <v>68</v>
      </c>
      <c r="B360" s="453">
        <v>19408</v>
      </c>
      <c r="C360" s="454" t="s">
        <v>4118</v>
      </c>
      <c r="D360" s="454" t="s">
        <v>517</v>
      </c>
      <c r="E360" s="454" t="s">
        <v>4119</v>
      </c>
      <c r="F360" s="454" t="s">
        <v>513</v>
      </c>
      <c r="G360" s="454" t="s">
        <v>12916</v>
      </c>
      <c r="H360" s="455">
        <v>10878358000175</v>
      </c>
      <c r="I360" s="462">
        <v>39958</v>
      </c>
      <c r="J360" s="457">
        <v>42662583</v>
      </c>
      <c r="K360" s="454" t="s">
        <v>4120</v>
      </c>
      <c r="L360" s="458" t="s">
        <v>1446</v>
      </c>
      <c r="M360" s="454" t="s">
        <v>3373</v>
      </c>
      <c r="N360" s="459">
        <v>8341000</v>
      </c>
      <c r="O360" s="460">
        <v>27317730</v>
      </c>
      <c r="P360" s="462">
        <v>225544</v>
      </c>
      <c r="Q360" s="462">
        <v>68</v>
      </c>
      <c r="R360" s="462">
        <v>43937</v>
      </c>
      <c r="S360" s="463">
        <v>854</v>
      </c>
      <c r="T360" s="464">
        <v>5.4</v>
      </c>
      <c r="U360" s="465">
        <v>4611.6000000000004</v>
      </c>
      <c r="V360" s="465">
        <v>18720</v>
      </c>
      <c r="W360" s="466">
        <v>0</v>
      </c>
      <c r="X360" s="467">
        <v>1</v>
      </c>
      <c r="Y360" s="466">
        <v>34997.4</v>
      </c>
      <c r="Z360" s="468" t="s">
        <v>516</v>
      </c>
      <c r="AA360" s="466">
        <v>133055.79999999999</v>
      </c>
      <c r="AB360" s="466">
        <v>133055.79999999999</v>
      </c>
      <c r="AC360" s="467">
        <v>0</v>
      </c>
      <c r="AD360" s="466">
        <v>0</v>
      </c>
      <c r="AE360" s="468" t="s">
        <v>516</v>
      </c>
      <c r="AF360" s="466">
        <v>2000</v>
      </c>
      <c r="AG360" s="466">
        <v>2000</v>
      </c>
      <c r="AH360" s="466">
        <v>6552.43</v>
      </c>
      <c r="AI360" s="466">
        <v>6397.69</v>
      </c>
      <c r="AJ360" s="469" t="s">
        <v>2520</v>
      </c>
      <c r="AK360" s="470" t="s">
        <v>2521</v>
      </c>
      <c r="AL360" s="471" t="s">
        <v>4121</v>
      </c>
      <c r="AM360" s="470" t="s">
        <v>4122</v>
      </c>
      <c r="AN360" s="470" t="s">
        <v>4123</v>
      </c>
      <c r="AO360" s="470" t="s">
        <v>4124</v>
      </c>
      <c r="AP360" s="470" t="s">
        <v>4125</v>
      </c>
      <c r="AQ360" s="470" t="s">
        <v>4118</v>
      </c>
      <c r="AR360" s="472" t="s">
        <v>515</v>
      </c>
      <c r="AS360" s="473" t="s">
        <v>1385</v>
      </c>
      <c r="AT360" s="472" t="s">
        <v>517</v>
      </c>
      <c r="AU360" s="472" t="s">
        <v>420</v>
      </c>
      <c r="AV360" s="472">
        <v>2020</v>
      </c>
      <c r="AW360" s="474" t="s">
        <v>15078</v>
      </c>
      <c r="AX360" s="475" t="s">
        <v>15079</v>
      </c>
      <c r="AY360" s="515">
        <v>1</v>
      </c>
      <c r="AZ360" s="474" t="s">
        <v>15079</v>
      </c>
      <c r="BA360" s="472" t="s">
        <v>517</v>
      </c>
      <c r="BB360" s="472" t="s">
        <v>1385</v>
      </c>
      <c r="BC360" s="472" t="s">
        <v>1385</v>
      </c>
      <c r="BD360" s="472" t="s">
        <v>1385</v>
      </c>
      <c r="BE360" s="472" t="s">
        <v>1385</v>
      </c>
      <c r="BF360" s="472">
        <v>34997.4</v>
      </c>
      <c r="BG360" s="472">
        <v>0</v>
      </c>
      <c r="BH360" s="472" t="s">
        <v>1385</v>
      </c>
      <c r="BI360" s="510">
        <v>0</v>
      </c>
      <c r="BJ360" s="510">
        <v>0</v>
      </c>
      <c r="BK360" s="510">
        <v>0</v>
      </c>
      <c r="BL360" s="510">
        <v>0</v>
      </c>
      <c r="BM360" s="510">
        <v>0</v>
      </c>
      <c r="BN360" s="510">
        <v>5000</v>
      </c>
      <c r="BO360" s="510">
        <v>0</v>
      </c>
      <c r="BP360" s="510">
        <v>2000</v>
      </c>
      <c r="BQ360" s="510">
        <v>0</v>
      </c>
      <c r="BR360" s="510">
        <v>0</v>
      </c>
      <c r="BS360" s="510">
        <v>0</v>
      </c>
      <c r="BT360" s="510">
        <v>0</v>
      </c>
      <c r="BU360" s="510">
        <v>0</v>
      </c>
      <c r="BV360" s="510">
        <v>0</v>
      </c>
      <c r="BW360" s="510">
        <v>0</v>
      </c>
      <c r="BX360" s="510">
        <v>30000</v>
      </c>
      <c r="BY360" s="1011">
        <v>0</v>
      </c>
      <c r="BZ360" s="510">
        <v>0</v>
      </c>
      <c r="CA360" s="1011">
        <v>0</v>
      </c>
      <c r="CB360" s="510">
        <v>22000</v>
      </c>
      <c r="CC360" s="1011">
        <v>0</v>
      </c>
      <c r="CD360" s="510">
        <v>0</v>
      </c>
      <c r="CE360" s="1011">
        <v>0</v>
      </c>
      <c r="CF360" s="510">
        <v>46058.400000000001</v>
      </c>
      <c r="CG360" s="1011">
        <v>0</v>
      </c>
      <c r="CH360" s="510">
        <v>0</v>
      </c>
      <c r="CI360" s="1011">
        <v>0</v>
      </c>
    </row>
    <row r="361" spans="1:87" x14ac:dyDescent="0.2">
      <c r="A361" s="449">
        <v>59</v>
      </c>
      <c r="B361" s="453">
        <v>19409</v>
      </c>
      <c r="C361" s="454" t="s">
        <v>4126</v>
      </c>
      <c r="D361" s="454" t="s">
        <v>517</v>
      </c>
      <c r="E361" s="454" t="s">
        <v>4127</v>
      </c>
      <c r="F361" s="454" t="s">
        <v>526</v>
      </c>
      <c r="G361" s="454" t="s">
        <v>12917</v>
      </c>
      <c r="H361" s="455">
        <v>10818559000187</v>
      </c>
      <c r="I361" s="462">
        <v>39939</v>
      </c>
      <c r="J361" s="457">
        <v>39825086</v>
      </c>
      <c r="K361" s="454" t="s">
        <v>4128</v>
      </c>
      <c r="L361" s="458" t="s">
        <v>1446</v>
      </c>
      <c r="M361" s="454" t="s">
        <v>1411</v>
      </c>
      <c r="N361" s="459">
        <v>8121001</v>
      </c>
      <c r="O361" s="460">
        <v>25616880</v>
      </c>
      <c r="P361" s="462">
        <v>130012</v>
      </c>
      <c r="Q361" s="462">
        <v>59</v>
      </c>
      <c r="R361" s="462">
        <v>43928</v>
      </c>
      <c r="S361" s="463">
        <v>887</v>
      </c>
      <c r="T361" s="464">
        <v>5.4</v>
      </c>
      <c r="U361" s="465">
        <v>4789.8</v>
      </c>
      <c r="V361" s="465">
        <v>18720</v>
      </c>
      <c r="W361" s="466">
        <v>0</v>
      </c>
      <c r="X361" s="467">
        <v>1</v>
      </c>
      <c r="Y361" s="466">
        <v>35264.699999999997</v>
      </c>
      <c r="Z361" s="468" t="s">
        <v>516</v>
      </c>
      <c r="AA361" s="466">
        <v>133279.9</v>
      </c>
      <c r="AB361" s="466">
        <v>133279.9</v>
      </c>
      <c r="AC361" s="467">
        <v>0</v>
      </c>
      <c r="AD361" s="466">
        <v>0</v>
      </c>
      <c r="AE361" s="468" t="s">
        <v>516</v>
      </c>
      <c r="AF361" s="466">
        <v>2000</v>
      </c>
      <c r="AG361" s="466">
        <v>2000</v>
      </c>
      <c r="AH361" s="466">
        <v>19731.96</v>
      </c>
      <c r="AI361" s="466">
        <v>1551.75</v>
      </c>
      <c r="AJ361" s="469" t="s">
        <v>1410</v>
      </c>
      <c r="AK361" s="470" t="s">
        <v>1411</v>
      </c>
      <c r="AL361" s="471" t="s">
        <v>4129</v>
      </c>
      <c r="AM361" s="470" t="s">
        <v>4130</v>
      </c>
      <c r="AN361" s="470" t="s">
        <v>1385</v>
      </c>
      <c r="AO361" s="470" t="s">
        <v>12918</v>
      </c>
      <c r="AP361" s="470" t="s">
        <v>4131</v>
      </c>
      <c r="AQ361" s="470" t="s">
        <v>4126</v>
      </c>
      <c r="AR361" s="472" t="s">
        <v>515</v>
      </c>
      <c r="AS361" s="473" t="s">
        <v>1385</v>
      </c>
      <c r="AT361" s="472" t="s">
        <v>517</v>
      </c>
      <c r="AU361" s="472" t="s">
        <v>420</v>
      </c>
      <c r="AV361" s="472">
        <v>2020</v>
      </c>
      <c r="AW361" s="474" t="s">
        <v>15078</v>
      </c>
      <c r="AX361" s="475" t="s">
        <v>15079</v>
      </c>
      <c r="AY361" s="515">
        <v>1</v>
      </c>
      <c r="AZ361" s="474" t="s">
        <v>15079</v>
      </c>
      <c r="BA361" s="472" t="s">
        <v>517</v>
      </c>
      <c r="BB361" s="472" t="s">
        <v>1385</v>
      </c>
      <c r="BC361" s="472" t="s">
        <v>1385</v>
      </c>
      <c r="BD361" s="472" t="s">
        <v>1385</v>
      </c>
      <c r="BE361" s="472" t="s">
        <v>1385</v>
      </c>
      <c r="BF361" s="509">
        <v>35264.699999999997</v>
      </c>
      <c r="BG361" s="472">
        <v>0</v>
      </c>
      <c r="BH361" s="472" t="s">
        <v>1385</v>
      </c>
      <c r="BI361" s="510">
        <v>0</v>
      </c>
      <c r="BJ361" s="510">
        <v>0</v>
      </c>
      <c r="BK361" s="510">
        <v>0</v>
      </c>
      <c r="BL361" s="510">
        <v>0</v>
      </c>
      <c r="BM361" s="510">
        <v>0</v>
      </c>
      <c r="BN361" s="510">
        <v>5000</v>
      </c>
      <c r="BO361" s="510">
        <v>0</v>
      </c>
      <c r="BP361" s="510">
        <v>2000</v>
      </c>
      <c r="BQ361" s="510">
        <v>0</v>
      </c>
      <c r="BR361" s="510">
        <v>0</v>
      </c>
      <c r="BS361" s="510">
        <v>0</v>
      </c>
      <c r="BT361" s="510">
        <v>0</v>
      </c>
      <c r="BU361" s="510">
        <v>2500</v>
      </c>
      <c r="BV361" s="510">
        <v>2500</v>
      </c>
      <c r="BW361" s="510">
        <v>0</v>
      </c>
      <c r="BX361" s="510">
        <v>30000</v>
      </c>
      <c r="BY361" s="1011">
        <v>0</v>
      </c>
      <c r="BZ361" s="510">
        <v>0</v>
      </c>
      <c r="CA361" s="1011">
        <v>0</v>
      </c>
      <c r="CB361" s="510">
        <v>22000</v>
      </c>
      <c r="CC361" s="1011">
        <v>0</v>
      </c>
      <c r="CD361" s="510">
        <v>0</v>
      </c>
      <c r="CE361" s="1011">
        <v>0</v>
      </c>
      <c r="CF361" s="510">
        <v>46015.199999999997</v>
      </c>
      <c r="CG361" s="1011">
        <v>0</v>
      </c>
      <c r="CH361" s="510">
        <v>0</v>
      </c>
      <c r="CI361" s="1011">
        <v>0</v>
      </c>
    </row>
    <row r="362" spans="1:87" x14ac:dyDescent="0.2">
      <c r="A362" s="449">
        <v>70</v>
      </c>
      <c r="B362" s="453">
        <v>19410</v>
      </c>
      <c r="C362" s="454" t="s">
        <v>4132</v>
      </c>
      <c r="D362" s="454" t="s">
        <v>517</v>
      </c>
      <c r="E362" s="454" t="s">
        <v>4133</v>
      </c>
      <c r="F362" s="454" t="s">
        <v>526</v>
      </c>
      <c r="G362" s="454" t="s">
        <v>12919</v>
      </c>
      <c r="H362" s="455">
        <v>11058437000100</v>
      </c>
      <c r="I362" s="462">
        <v>40015</v>
      </c>
      <c r="J362" s="457">
        <v>39576159</v>
      </c>
      <c r="K362" s="454" t="s">
        <v>4134</v>
      </c>
      <c r="L362" s="458">
        <v>434</v>
      </c>
      <c r="M362" s="454" t="s">
        <v>2799</v>
      </c>
      <c r="N362" s="459">
        <v>8090580</v>
      </c>
      <c r="O362" s="460">
        <v>25849402</v>
      </c>
      <c r="P362" s="462">
        <v>135537</v>
      </c>
      <c r="Q362" s="462">
        <v>70</v>
      </c>
      <c r="R362" s="462">
        <v>43943</v>
      </c>
      <c r="S362" s="463">
        <v>921</v>
      </c>
      <c r="T362" s="464">
        <v>5.4</v>
      </c>
      <c r="U362" s="465">
        <v>4973.3999999999996</v>
      </c>
      <c r="V362" s="465">
        <v>20340</v>
      </c>
      <c r="W362" s="466">
        <v>0</v>
      </c>
      <c r="X362" s="467">
        <v>1</v>
      </c>
      <c r="Y362" s="466">
        <v>37970.1</v>
      </c>
      <c r="Z362" s="468" t="s">
        <v>516</v>
      </c>
      <c r="AA362" s="466">
        <v>136708.9</v>
      </c>
      <c r="AB362" s="466">
        <v>136708.9</v>
      </c>
      <c r="AC362" s="467">
        <v>0</v>
      </c>
      <c r="AD362" s="466">
        <v>0</v>
      </c>
      <c r="AE362" s="468" t="s">
        <v>516</v>
      </c>
      <c r="AF362" s="466">
        <v>0</v>
      </c>
      <c r="AG362" s="466">
        <v>0</v>
      </c>
      <c r="AH362" s="466">
        <v>43866.78</v>
      </c>
      <c r="AI362" s="466">
        <v>15188.04</v>
      </c>
      <c r="AJ362" s="469" t="s">
        <v>1839</v>
      </c>
      <c r="AK362" s="470" t="s">
        <v>526</v>
      </c>
      <c r="AL362" s="471" t="s">
        <v>4135</v>
      </c>
      <c r="AM362" s="470" t="s">
        <v>4136</v>
      </c>
      <c r="AN362" s="470" t="s">
        <v>1385</v>
      </c>
      <c r="AO362" s="470" t="s">
        <v>4137</v>
      </c>
      <c r="AP362" s="470" t="s">
        <v>4138</v>
      </c>
      <c r="AQ362" s="470" t="s">
        <v>4132</v>
      </c>
      <c r="AR362" s="472" t="s">
        <v>515</v>
      </c>
      <c r="AS362" s="473" t="s">
        <v>1385</v>
      </c>
      <c r="AT362" s="472" t="s">
        <v>517</v>
      </c>
      <c r="AU362" s="472" t="s">
        <v>420</v>
      </c>
      <c r="AV362" s="472">
        <v>2020</v>
      </c>
      <c r="AW362" s="474" t="s">
        <v>15078</v>
      </c>
      <c r="AX362" s="475" t="s">
        <v>15079</v>
      </c>
      <c r="AY362" s="515">
        <v>1</v>
      </c>
      <c r="AZ362" s="474" t="s">
        <v>15079</v>
      </c>
      <c r="BA362" s="472" t="s">
        <v>517</v>
      </c>
      <c r="BB362" s="472" t="s">
        <v>1385</v>
      </c>
      <c r="BC362" s="472" t="s">
        <v>1385</v>
      </c>
      <c r="BD362" s="472" t="s">
        <v>1385</v>
      </c>
      <c r="BE362" s="472" t="s">
        <v>1385</v>
      </c>
      <c r="BF362" s="472">
        <v>37970.1</v>
      </c>
      <c r="BG362" s="472">
        <v>0</v>
      </c>
      <c r="BH362" s="472" t="s">
        <v>1385</v>
      </c>
      <c r="BI362" s="510">
        <v>0</v>
      </c>
      <c r="BJ362" s="510">
        <v>0</v>
      </c>
      <c r="BK362" s="510">
        <v>0</v>
      </c>
      <c r="BL362" s="510">
        <v>0</v>
      </c>
      <c r="BM362" s="510">
        <v>0</v>
      </c>
      <c r="BN362" s="510">
        <v>5000</v>
      </c>
      <c r="BO362" s="510">
        <v>0</v>
      </c>
      <c r="BP362" s="510">
        <v>0</v>
      </c>
      <c r="BQ362" s="510">
        <v>0</v>
      </c>
      <c r="BR362" s="510">
        <v>0</v>
      </c>
      <c r="BS362" s="510">
        <v>0</v>
      </c>
      <c r="BT362" s="510">
        <v>0</v>
      </c>
      <c r="BU362" s="510">
        <v>0</v>
      </c>
      <c r="BV362" s="510">
        <v>0</v>
      </c>
      <c r="BW362" s="510">
        <v>0</v>
      </c>
      <c r="BX362" s="510">
        <v>30000</v>
      </c>
      <c r="BY362" s="1011">
        <v>0</v>
      </c>
      <c r="BZ362" s="510">
        <v>0</v>
      </c>
      <c r="CA362" s="1011">
        <v>0</v>
      </c>
      <c r="CB362" s="510">
        <v>22000</v>
      </c>
      <c r="CC362" s="1011">
        <v>0</v>
      </c>
      <c r="CD362" s="510">
        <v>0</v>
      </c>
      <c r="CE362" s="1011">
        <v>0</v>
      </c>
      <c r="CF362" s="510">
        <v>46738.8</v>
      </c>
      <c r="CG362" s="1011">
        <v>0</v>
      </c>
      <c r="CH362" s="510">
        <v>0</v>
      </c>
      <c r="CI362" s="1011">
        <v>0</v>
      </c>
    </row>
    <row r="363" spans="1:87" x14ac:dyDescent="0.2">
      <c r="A363" s="449">
        <v>35</v>
      </c>
      <c r="B363" s="453">
        <v>19412</v>
      </c>
      <c r="C363" s="454" t="s">
        <v>4139</v>
      </c>
      <c r="D363" s="454" t="s">
        <v>517</v>
      </c>
      <c r="E363" s="454" t="s">
        <v>4140</v>
      </c>
      <c r="F363" s="454" t="s">
        <v>528</v>
      </c>
      <c r="G363" s="454" t="s">
        <v>12920</v>
      </c>
      <c r="H363" s="455">
        <v>12001385000190</v>
      </c>
      <c r="I363" s="462">
        <v>40319</v>
      </c>
      <c r="J363" s="457">
        <v>41644476</v>
      </c>
      <c r="K363" s="454" t="s">
        <v>4142</v>
      </c>
      <c r="L363" s="458" t="s">
        <v>1446</v>
      </c>
      <c r="M363" s="454" t="s">
        <v>2519</v>
      </c>
      <c r="N363" s="459">
        <v>5212000</v>
      </c>
      <c r="O363" s="460">
        <v>39179844</v>
      </c>
      <c r="P363" s="462">
        <v>259090</v>
      </c>
      <c r="Q363" s="462">
        <v>35</v>
      </c>
      <c r="R363" s="462">
        <v>43938</v>
      </c>
      <c r="S363" s="463">
        <v>811</v>
      </c>
      <c r="T363" s="464">
        <v>5.4</v>
      </c>
      <c r="U363" s="465">
        <v>4379.3999999999996</v>
      </c>
      <c r="V363" s="465">
        <v>18720</v>
      </c>
      <c r="W363" s="466">
        <v>0</v>
      </c>
      <c r="X363" s="467">
        <v>1</v>
      </c>
      <c r="Y363" s="466">
        <v>40265.1</v>
      </c>
      <c r="Z363" s="468" t="s">
        <v>516</v>
      </c>
      <c r="AA363" s="466">
        <v>154771.5</v>
      </c>
      <c r="AB363" s="466">
        <v>154771.5</v>
      </c>
      <c r="AC363" s="467">
        <v>0</v>
      </c>
      <c r="AD363" s="466">
        <v>0</v>
      </c>
      <c r="AE363" s="468" t="s">
        <v>516</v>
      </c>
      <c r="AF363" s="466">
        <v>0</v>
      </c>
      <c r="AG363" s="466">
        <v>0</v>
      </c>
      <c r="AH363" s="466">
        <v>20028.45</v>
      </c>
      <c r="AI363" s="466">
        <v>7113.65</v>
      </c>
      <c r="AJ363" s="469" t="s">
        <v>3502</v>
      </c>
      <c r="AK363" s="470" t="s">
        <v>2241</v>
      </c>
      <c r="AL363" s="471" t="s">
        <v>4143</v>
      </c>
      <c r="AM363" s="470" t="s">
        <v>4144</v>
      </c>
      <c r="AN363" s="470" t="s">
        <v>4141</v>
      </c>
      <c r="AO363" s="470" t="s">
        <v>12921</v>
      </c>
      <c r="AP363" s="470" t="s">
        <v>4145</v>
      </c>
      <c r="AQ363" s="470" t="s">
        <v>4139</v>
      </c>
      <c r="AR363" s="472" t="s">
        <v>515</v>
      </c>
      <c r="AS363" s="473" t="s">
        <v>1385</v>
      </c>
      <c r="AT363" s="472" t="s">
        <v>517</v>
      </c>
      <c r="AU363" s="472" t="s">
        <v>420</v>
      </c>
      <c r="AV363" s="472">
        <v>2020</v>
      </c>
      <c r="AW363" s="474" t="s">
        <v>15078</v>
      </c>
      <c r="AX363" s="475" t="s">
        <v>15079</v>
      </c>
      <c r="AY363" s="515">
        <v>1</v>
      </c>
      <c r="AZ363" s="474" t="s">
        <v>15079</v>
      </c>
      <c r="BA363" s="472" t="s">
        <v>517</v>
      </c>
      <c r="BB363" s="472" t="s">
        <v>516</v>
      </c>
      <c r="BC363" s="472">
        <v>3</v>
      </c>
      <c r="BD363" s="472">
        <v>3744</v>
      </c>
      <c r="BE363" s="472">
        <v>0</v>
      </c>
      <c r="BF363" s="472">
        <v>40265.1</v>
      </c>
      <c r="BG363" s="472">
        <v>0</v>
      </c>
      <c r="BH363" s="472" t="s">
        <v>1385</v>
      </c>
      <c r="BI363" s="510">
        <v>0</v>
      </c>
      <c r="BJ363" s="510">
        <v>0</v>
      </c>
      <c r="BK363" s="510">
        <v>0</v>
      </c>
      <c r="BL363" s="510">
        <v>0</v>
      </c>
      <c r="BM363" s="510">
        <v>0</v>
      </c>
      <c r="BN363" s="510">
        <v>1900</v>
      </c>
      <c r="BO363" s="510">
        <v>0</v>
      </c>
      <c r="BP363" s="510">
        <v>0</v>
      </c>
      <c r="BQ363" s="510">
        <v>0</v>
      </c>
      <c r="BR363" s="510">
        <v>0</v>
      </c>
      <c r="BS363" s="510">
        <v>0</v>
      </c>
      <c r="BT363" s="510">
        <v>0</v>
      </c>
      <c r="BU363" s="510">
        <v>2500</v>
      </c>
      <c r="BV363" s="510">
        <v>2500</v>
      </c>
      <c r="BW363" s="510">
        <v>0</v>
      </c>
      <c r="BX363" s="510">
        <v>30000</v>
      </c>
      <c r="BY363" s="1011">
        <v>0</v>
      </c>
      <c r="BZ363" s="510">
        <v>0</v>
      </c>
      <c r="CA363" s="1011">
        <v>0</v>
      </c>
      <c r="CB363" s="510">
        <v>22000</v>
      </c>
      <c r="CC363" s="1011">
        <v>0</v>
      </c>
      <c r="CD363" s="510">
        <v>0</v>
      </c>
      <c r="CE363" s="1011">
        <v>0</v>
      </c>
      <c r="CF363" s="510">
        <v>62506.400000000001</v>
      </c>
      <c r="CG363" s="1011">
        <v>0</v>
      </c>
      <c r="CH363" s="510">
        <v>0</v>
      </c>
      <c r="CI363" s="1011">
        <v>0</v>
      </c>
    </row>
    <row r="364" spans="1:87" x14ac:dyDescent="0.2">
      <c r="A364" s="449">
        <v>72</v>
      </c>
      <c r="B364" s="453">
        <v>19413</v>
      </c>
      <c r="C364" s="454" t="s">
        <v>4146</v>
      </c>
      <c r="D364" s="454" t="s">
        <v>517</v>
      </c>
      <c r="E364" s="454" t="s">
        <v>4147</v>
      </c>
      <c r="F364" s="454" t="s">
        <v>528</v>
      </c>
      <c r="G364" s="454" t="s">
        <v>12922</v>
      </c>
      <c r="H364" s="455">
        <v>12127249000141</v>
      </c>
      <c r="I364" s="462">
        <v>40345</v>
      </c>
      <c r="J364" s="457">
        <v>41082460</v>
      </c>
      <c r="K364" s="454" t="s">
        <v>4148</v>
      </c>
      <c r="L364" s="458">
        <v>12298</v>
      </c>
      <c r="M364" s="454" t="s">
        <v>528</v>
      </c>
      <c r="N364" s="459">
        <v>2938000</v>
      </c>
      <c r="O364" s="460">
        <v>39792127</v>
      </c>
      <c r="P364" s="462">
        <v>295488</v>
      </c>
      <c r="Q364" s="462">
        <v>72</v>
      </c>
      <c r="R364" s="462">
        <v>43938</v>
      </c>
      <c r="S364" s="463">
        <v>1030</v>
      </c>
      <c r="T364" s="464">
        <v>5.4</v>
      </c>
      <c r="U364" s="465">
        <v>5562</v>
      </c>
      <c r="V364" s="465">
        <v>20340</v>
      </c>
      <c r="W364" s="466">
        <v>0</v>
      </c>
      <c r="X364" s="467">
        <v>1</v>
      </c>
      <c r="Y364" s="466">
        <v>38853</v>
      </c>
      <c r="Z364" s="468" t="s">
        <v>516</v>
      </c>
      <c r="AA364" s="466">
        <v>142484.20000000001</v>
      </c>
      <c r="AB364" s="466">
        <v>142484.20000000001</v>
      </c>
      <c r="AC364" s="467">
        <v>0</v>
      </c>
      <c r="AD364" s="466">
        <v>0</v>
      </c>
      <c r="AE364" s="468" t="s">
        <v>516</v>
      </c>
      <c r="AF364" s="466">
        <v>2000</v>
      </c>
      <c r="AG364" s="466">
        <v>2000</v>
      </c>
      <c r="AH364" s="466">
        <v>34758.86</v>
      </c>
      <c r="AI364" s="466">
        <v>26059.72</v>
      </c>
      <c r="AJ364" s="469" t="s">
        <v>1571</v>
      </c>
      <c r="AK364" s="470" t="s">
        <v>528</v>
      </c>
      <c r="AL364" s="471" t="s">
        <v>4149</v>
      </c>
      <c r="AM364" s="470" t="s">
        <v>12923</v>
      </c>
      <c r="AN364" s="470" t="s">
        <v>4150</v>
      </c>
      <c r="AO364" s="470" t="s">
        <v>12924</v>
      </c>
      <c r="AP364" s="470" t="s">
        <v>4151</v>
      </c>
      <c r="AQ364" s="470" t="s">
        <v>4146</v>
      </c>
      <c r="AR364" s="472" t="s">
        <v>515</v>
      </c>
      <c r="AS364" s="473" t="s">
        <v>1385</v>
      </c>
      <c r="AT364" s="472" t="s">
        <v>517</v>
      </c>
      <c r="AU364" s="472" t="s">
        <v>420</v>
      </c>
      <c r="AV364" s="472">
        <v>2020</v>
      </c>
      <c r="AW364" s="474" t="s">
        <v>15078</v>
      </c>
      <c r="AX364" s="475" t="s">
        <v>15079</v>
      </c>
      <c r="AY364" s="515">
        <v>1</v>
      </c>
      <c r="AZ364" s="474" t="s">
        <v>15079</v>
      </c>
      <c r="BA364" s="472" t="s">
        <v>517</v>
      </c>
      <c r="BB364" s="472" t="s">
        <v>1385</v>
      </c>
      <c r="BC364" s="472" t="s">
        <v>1385</v>
      </c>
      <c r="BD364" s="472" t="s">
        <v>1385</v>
      </c>
      <c r="BE364" s="472" t="s">
        <v>1385</v>
      </c>
      <c r="BF364" s="472">
        <v>38853</v>
      </c>
      <c r="BG364" s="472">
        <v>0</v>
      </c>
      <c r="BH364" s="472" t="s">
        <v>1385</v>
      </c>
      <c r="BI364" s="510">
        <v>0</v>
      </c>
      <c r="BJ364" s="510">
        <v>0</v>
      </c>
      <c r="BK364" s="510">
        <v>0</v>
      </c>
      <c r="BL364" s="510">
        <v>3500</v>
      </c>
      <c r="BM364" s="510">
        <v>0</v>
      </c>
      <c r="BN364" s="510">
        <v>5000</v>
      </c>
      <c r="BO364" s="510">
        <v>0</v>
      </c>
      <c r="BP364" s="510">
        <v>2000</v>
      </c>
      <c r="BQ364" s="510">
        <v>0</v>
      </c>
      <c r="BR364" s="510">
        <v>0</v>
      </c>
      <c r="BS364" s="510">
        <v>0</v>
      </c>
      <c r="BT364" s="510">
        <v>0</v>
      </c>
      <c r="BU364" s="510">
        <v>0</v>
      </c>
      <c r="BV364" s="510">
        <v>0</v>
      </c>
      <c r="BW364" s="510">
        <v>0</v>
      </c>
      <c r="BX364" s="510">
        <v>30000</v>
      </c>
      <c r="BY364" s="1011">
        <v>0</v>
      </c>
      <c r="BZ364" s="510">
        <v>0</v>
      </c>
      <c r="CA364" s="1011">
        <v>0</v>
      </c>
      <c r="CB364" s="510">
        <v>22000</v>
      </c>
      <c r="CC364" s="1011">
        <v>0</v>
      </c>
      <c r="CD364" s="510">
        <v>0</v>
      </c>
      <c r="CE364" s="1011">
        <v>0</v>
      </c>
      <c r="CF364" s="510">
        <v>51631.199999999997</v>
      </c>
      <c r="CG364" s="1011">
        <v>0</v>
      </c>
      <c r="CH364" s="510">
        <v>0</v>
      </c>
      <c r="CI364" s="1011">
        <v>0</v>
      </c>
    </row>
    <row r="365" spans="1:87" x14ac:dyDescent="0.2">
      <c r="A365" s="449">
        <v>68</v>
      </c>
      <c r="B365" s="453">
        <v>19414</v>
      </c>
      <c r="C365" s="454" t="s">
        <v>4152</v>
      </c>
      <c r="D365" s="454" t="s">
        <v>517</v>
      </c>
      <c r="E365" s="454" t="s">
        <v>4153</v>
      </c>
      <c r="F365" s="454" t="s">
        <v>528</v>
      </c>
      <c r="G365" s="454" t="s">
        <v>12925</v>
      </c>
      <c r="H365" s="455">
        <v>12134204000102</v>
      </c>
      <c r="I365" s="462">
        <v>36005</v>
      </c>
      <c r="J365" s="457">
        <v>43396445</v>
      </c>
      <c r="K365" s="454" t="s">
        <v>4154</v>
      </c>
      <c r="L365" s="458" t="s">
        <v>1446</v>
      </c>
      <c r="M365" s="454" t="s">
        <v>4155</v>
      </c>
      <c r="N365" s="459">
        <v>2860001</v>
      </c>
      <c r="O365" s="460">
        <v>39419300</v>
      </c>
      <c r="P365" s="462">
        <v>264370</v>
      </c>
      <c r="Q365" s="462">
        <v>68</v>
      </c>
      <c r="R365" s="462">
        <v>43938</v>
      </c>
      <c r="S365" s="463">
        <v>924</v>
      </c>
      <c r="T365" s="464">
        <v>5.4</v>
      </c>
      <c r="U365" s="465">
        <v>4989.6000000000004</v>
      </c>
      <c r="V365" s="465">
        <v>20340</v>
      </c>
      <c r="W365" s="466">
        <v>0</v>
      </c>
      <c r="X365" s="467">
        <v>1</v>
      </c>
      <c r="Y365" s="466">
        <v>37994.400000000001</v>
      </c>
      <c r="Z365" s="468" t="s">
        <v>516</v>
      </c>
      <c r="AA365" s="466">
        <v>140707.6</v>
      </c>
      <c r="AB365" s="466">
        <v>140707.6</v>
      </c>
      <c r="AC365" s="467">
        <v>0</v>
      </c>
      <c r="AD365" s="466">
        <v>0</v>
      </c>
      <c r="AE365" s="468" t="s">
        <v>516</v>
      </c>
      <c r="AF365" s="466">
        <v>2000</v>
      </c>
      <c r="AG365" s="466">
        <v>2000</v>
      </c>
      <c r="AH365" s="466">
        <v>23249.84</v>
      </c>
      <c r="AI365" s="466">
        <v>12865.78</v>
      </c>
      <c r="AJ365" s="469" t="s">
        <v>1571</v>
      </c>
      <c r="AK365" s="470" t="s">
        <v>528</v>
      </c>
      <c r="AL365" s="471" t="s">
        <v>4156</v>
      </c>
      <c r="AM365" s="470" t="s">
        <v>4157</v>
      </c>
      <c r="AN365" s="470" t="s">
        <v>4158</v>
      </c>
      <c r="AO365" s="470" t="s">
        <v>4159</v>
      </c>
      <c r="AP365" s="470" t="s">
        <v>4160</v>
      </c>
      <c r="AQ365" s="470" t="s">
        <v>4152</v>
      </c>
      <c r="AR365" s="472" t="s">
        <v>515</v>
      </c>
      <c r="AS365" s="473" t="s">
        <v>1385</v>
      </c>
      <c r="AT365" s="472" t="s">
        <v>517</v>
      </c>
      <c r="AU365" s="472" t="s">
        <v>420</v>
      </c>
      <c r="AV365" s="472">
        <v>2020</v>
      </c>
      <c r="AW365" s="474" t="s">
        <v>15078</v>
      </c>
      <c r="AX365" s="475" t="s">
        <v>15079</v>
      </c>
      <c r="AY365" s="515">
        <v>1</v>
      </c>
      <c r="AZ365" s="474" t="s">
        <v>15079</v>
      </c>
      <c r="BA365" s="472" t="s">
        <v>517</v>
      </c>
      <c r="BB365" s="472" t="s">
        <v>1385</v>
      </c>
      <c r="BC365" s="472" t="s">
        <v>1385</v>
      </c>
      <c r="BD365" s="472" t="s">
        <v>1385</v>
      </c>
      <c r="BE365" s="472" t="s">
        <v>1385</v>
      </c>
      <c r="BF365" s="472">
        <v>37994.400000000001</v>
      </c>
      <c r="BG365" s="472">
        <v>0</v>
      </c>
      <c r="BH365" s="472" t="s">
        <v>1385</v>
      </c>
      <c r="BI365" s="510">
        <v>0</v>
      </c>
      <c r="BJ365" s="510">
        <v>0</v>
      </c>
      <c r="BK365" s="510">
        <v>0</v>
      </c>
      <c r="BL365" s="510">
        <v>0</v>
      </c>
      <c r="BM365" s="510">
        <v>0</v>
      </c>
      <c r="BN365" s="510">
        <v>5000</v>
      </c>
      <c r="BO365" s="510">
        <v>0</v>
      </c>
      <c r="BP365" s="510">
        <v>2000</v>
      </c>
      <c r="BQ365" s="510">
        <v>0</v>
      </c>
      <c r="BR365" s="510">
        <v>0</v>
      </c>
      <c r="BS365" s="510">
        <v>0</v>
      </c>
      <c r="BT365" s="510">
        <v>0</v>
      </c>
      <c r="BU365" s="510">
        <v>2500</v>
      </c>
      <c r="BV365" s="510">
        <v>2500</v>
      </c>
      <c r="BW365" s="510">
        <v>0</v>
      </c>
      <c r="BX365" s="510">
        <v>30000</v>
      </c>
      <c r="BY365" s="1011">
        <v>0</v>
      </c>
      <c r="BZ365" s="510">
        <v>0</v>
      </c>
      <c r="CA365" s="1011">
        <v>0</v>
      </c>
      <c r="CB365" s="510">
        <v>22000</v>
      </c>
      <c r="CC365" s="1011">
        <v>0</v>
      </c>
      <c r="CD365" s="510">
        <v>0</v>
      </c>
      <c r="CE365" s="1011">
        <v>0</v>
      </c>
      <c r="CF365" s="510">
        <v>50713.2</v>
      </c>
      <c r="CG365" s="1011">
        <v>0</v>
      </c>
      <c r="CH365" s="510">
        <v>0</v>
      </c>
      <c r="CI365" s="1011">
        <v>0</v>
      </c>
    </row>
    <row r="366" spans="1:87" x14ac:dyDescent="0.2">
      <c r="A366" s="449">
        <v>31</v>
      </c>
      <c r="B366" s="453">
        <v>19415</v>
      </c>
      <c r="C366" s="454" t="s">
        <v>4161</v>
      </c>
      <c r="D366" s="454" t="s">
        <v>517</v>
      </c>
      <c r="E366" s="454" t="s">
        <v>4162</v>
      </c>
      <c r="F366" s="454" t="s">
        <v>528</v>
      </c>
      <c r="G366" s="454" t="s">
        <v>12926</v>
      </c>
      <c r="H366" s="455">
        <v>12484913000100</v>
      </c>
      <c r="I366" s="462">
        <v>40387</v>
      </c>
      <c r="J366" s="457">
        <v>43396429</v>
      </c>
      <c r="K366" s="454" t="s">
        <v>4163</v>
      </c>
      <c r="L366" s="458" t="s">
        <v>1446</v>
      </c>
      <c r="M366" s="454" t="s">
        <v>4164</v>
      </c>
      <c r="N366" s="459">
        <v>2810000</v>
      </c>
      <c r="O366" s="460">
        <v>39741011</v>
      </c>
      <c r="P366" s="462">
        <v>258558</v>
      </c>
      <c r="Q366" s="462">
        <v>31</v>
      </c>
      <c r="R366" s="462">
        <v>43938</v>
      </c>
      <c r="S366" s="463">
        <v>1062</v>
      </c>
      <c r="T366" s="464">
        <v>5.4</v>
      </c>
      <c r="U366" s="465">
        <v>5734.8</v>
      </c>
      <c r="V366" s="465">
        <v>20340</v>
      </c>
      <c r="W366" s="466">
        <v>0</v>
      </c>
      <c r="X366" s="467">
        <v>1</v>
      </c>
      <c r="Y366" s="466">
        <v>39112.199999999997</v>
      </c>
      <c r="Z366" s="468" t="s">
        <v>516</v>
      </c>
      <c r="AA366" s="466">
        <v>142911</v>
      </c>
      <c r="AB366" s="466">
        <v>142911</v>
      </c>
      <c r="AC366" s="467">
        <v>0</v>
      </c>
      <c r="AD366" s="466">
        <v>0</v>
      </c>
      <c r="AE366" s="468" t="s">
        <v>516</v>
      </c>
      <c r="AF366" s="466">
        <v>1800</v>
      </c>
      <c r="AG366" s="466">
        <v>1800</v>
      </c>
      <c r="AH366" s="466">
        <v>2597.37</v>
      </c>
      <c r="AI366" s="466">
        <v>5544.67</v>
      </c>
      <c r="AJ366" s="469" t="s">
        <v>1571</v>
      </c>
      <c r="AK366" s="470" t="s">
        <v>528</v>
      </c>
      <c r="AL366" s="471" t="s">
        <v>4165</v>
      </c>
      <c r="AM366" s="470" t="s">
        <v>4166</v>
      </c>
      <c r="AN366" s="470" t="s">
        <v>4167</v>
      </c>
      <c r="AO366" s="470" t="s">
        <v>12927</v>
      </c>
      <c r="AP366" s="470" t="s">
        <v>4168</v>
      </c>
      <c r="AQ366" s="470" t="s">
        <v>4161</v>
      </c>
      <c r="AR366" s="472" t="s">
        <v>515</v>
      </c>
      <c r="AS366" s="473" t="s">
        <v>1385</v>
      </c>
      <c r="AT366" s="472" t="s">
        <v>517</v>
      </c>
      <c r="AU366" s="472" t="s">
        <v>420</v>
      </c>
      <c r="AV366" s="472">
        <v>2020</v>
      </c>
      <c r="AW366" s="474" t="s">
        <v>15078</v>
      </c>
      <c r="AX366" s="475" t="s">
        <v>15079</v>
      </c>
      <c r="AY366" s="515">
        <v>1</v>
      </c>
      <c r="AZ366" s="474" t="s">
        <v>15079</v>
      </c>
      <c r="BA366" s="472" t="s">
        <v>517</v>
      </c>
      <c r="BB366" s="472" t="s">
        <v>1385</v>
      </c>
      <c r="BC366" s="472" t="s">
        <v>1385</v>
      </c>
      <c r="BD366" s="472" t="s">
        <v>1385</v>
      </c>
      <c r="BE366" s="472" t="s">
        <v>1385</v>
      </c>
      <c r="BF366" s="472">
        <v>39112.199999999997</v>
      </c>
      <c r="BG366" s="472">
        <v>0</v>
      </c>
      <c r="BH366" s="472" t="s">
        <v>1385</v>
      </c>
      <c r="BI366" s="510">
        <v>0</v>
      </c>
      <c r="BJ366" s="510">
        <v>139.47999999999999</v>
      </c>
      <c r="BK366" s="510">
        <v>0</v>
      </c>
      <c r="BL366" s="510">
        <v>396.25</v>
      </c>
      <c r="BM366" s="510">
        <v>0</v>
      </c>
      <c r="BN366" s="510">
        <v>5000</v>
      </c>
      <c r="BO366" s="510">
        <v>200</v>
      </c>
      <c r="BP366" s="510">
        <v>1800</v>
      </c>
      <c r="BQ366" s="510">
        <v>0</v>
      </c>
      <c r="BR366" s="510">
        <v>0</v>
      </c>
      <c r="BS366" s="510">
        <v>0</v>
      </c>
      <c r="BT366" s="510">
        <v>0</v>
      </c>
      <c r="BU366" s="510">
        <v>2500</v>
      </c>
      <c r="BV366" s="510">
        <v>2500</v>
      </c>
      <c r="BW366" s="510">
        <v>0</v>
      </c>
      <c r="BX366" s="510">
        <v>30000</v>
      </c>
      <c r="BY366" s="1011">
        <v>0</v>
      </c>
      <c r="BZ366" s="510">
        <v>0</v>
      </c>
      <c r="CA366" s="1011">
        <v>0</v>
      </c>
      <c r="CB366" s="510">
        <v>22000</v>
      </c>
      <c r="CC366" s="1011">
        <v>0</v>
      </c>
      <c r="CD366" s="510">
        <v>0</v>
      </c>
      <c r="CE366" s="1011">
        <v>0</v>
      </c>
      <c r="CF366" s="510">
        <v>51598.8</v>
      </c>
      <c r="CG366" s="1011">
        <v>0</v>
      </c>
      <c r="CH366" s="510">
        <v>0</v>
      </c>
      <c r="CI366" s="1011">
        <v>0</v>
      </c>
    </row>
    <row r="367" spans="1:87" x14ac:dyDescent="0.2">
      <c r="A367" s="449">
        <v>49</v>
      </c>
      <c r="B367" s="453">
        <v>19416</v>
      </c>
      <c r="C367" s="454" t="s">
        <v>4169</v>
      </c>
      <c r="D367" s="454" t="s">
        <v>517</v>
      </c>
      <c r="E367" s="454" t="s">
        <v>4170</v>
      </c>
      <c r="F367" s="454" t="s">
        <v>519</v>
      </c>
      <c r="G367" s="454" t="s">
        <v>12928</v>
      </c>
      <c r="H367" s="455">
        <v>11700116000150</v>
      </c>
      <c r="I367" s="462">
        <v>40242</v>
      </c>
      <c r="J367" s="457">
        <v>40397769</v>
      </c>
      <c r="K367" s="454" t="s">
        <v>4171</v>
      </c>
      <c r="L367" s="458">
        <v>47</v>
      </c>
      <c r="M367" s="454" t="s">
        <v>519</v>
      </c>
      <c r="N367" s="459">
        <v>5574010</v>
      </c>
      <c r="O367" s="460">
        <v>37823682</v>
      </c>
      <c r="P367" s="462">
        <v>124250</v>
      </c>
      <c r="Q367" s="462">
        <v>33</v>
      </c>
      <c r="R367" s="462">
        <v>43881</v>
      </c>
      <c r="S367" s="463">
        <v>534</v>
      </c>
      <c r="T367" s="464">
        <v>5.4</v>
      </c>
      <c r="U367" s="465">
        <v>2883.6</v>
      </c>
      <c r="V367" s="465">
        <v>17100</v>
      </c>
      <c r="W367" s="466">
        <v>0</v>
      </c>
      <c r="X367" s="467">
        <v>1</v>
      </c>
      <c r="Y367" s="466">
        <v>0</v>
      </c>
      <c r="Z367" s="468" t="s">
        <v>514</v>
      </c>
      <c r="AA367" s="466">
        <v>0</v>
      </c>
      <c r="AB367" s="466">
        <v>0</v>
      </c>
      <c r="AC367" s="467">
        <v>0</v>
      </c>
      <c r="AD367" s="466">
        <v>0</v>
      </c>
      <c r="AE367" s="468" t="s">
        <v>516</v>
      </c>
      <c r="AF367" s="466">
        <v>0</v>
      </c>
      <c r="AG367" s="466">
        <v>0</v>
      </c>
      <c r="AH367" s="466">
        <v>810.9</v>
      </c>
      <c r="AI367" s="466">
        <v>0</v>
      </c>
      <c r="AJ367" s="469" t="s">
        <v>2443</v>
      </c>
      <c r="AK367" s="470" t="s">
        <v>2444</v>
      </c>
      <c r="AL367" s="471" t="s">
        <v>4172</v>
      </c>
      <c r="AM367" s="470" t="s">
        <v>4173</v>
      </c>
      <c r="AN367" s="470" t="s">
        <v>4174</v>
      </c>
      <c r="AO367" s="470" t="s">
        <v>4175</v>
      </c>
      <c r="AP367" s="470" t="s">
        <v>4176</v>
      </c>
      <c r="AQ367" s="470" t="s">
        <v>4169</v>
      </c>
      <c r="AR367" s="472" t="s">
        <v>515</v>
      </c>
      <c r="AS367" s="473" t="s">
        <v>1385</v>
      </c>
      <c r="AT367" s="472" t="s">
        <v>517</v>
      </c>
      <c r="AU367" s="472" t="s">
        <v>420</v>
      </c>
      <c r="AV367" s="472">
        <v>2020</v>
      </c>
      <c r="AW367" s="474" t="s">
        <v>15078</v>
      </c>
      <c r="AX367" s="475" t="s">
        <v>15079</v>
      </c>
      <c r="AY367" s="515">
        <v>1</v>
      </c>
      <c r="AZ367" s="474" t="s">
        <v>15079</v>
      </c>
      <c r="BA367" s="472" t="s">
        <v>1385</v>
      </c>
      <c r="BB367" s="472" t="s">
        <v>516</v>
      </c>
      <c r="BC367" s="472">
        <v>4</v>
      </c>
      <c r="BD367" s="472">
        <v>4275</v>
      </c>
      <c r="BE367" s="472">
        <v>0</v>
      </c>
      <c r="BF367" s="472">
        <v>36387.9</v>
      </c>
      <c r="BG367" s="472">
        <v>0</v>
      </c>
      <c r="BH367" s="472" t="s">
        <v>516</v>
      </c>
      <c r="BI367" s="510">
        <v>0</v>
      </c>
      <c r="BJ367" s="510">
        <v>0</v>
      </c>
      <c r="BK367" s="510">
        <v>0</v>
      </c>
      <c r="BL367" s="510">
        <v>0</v>
      </c>
      <c r="BM367" s="510">
        <v>0</v>
      </c>
      <c r="BN367" s="510">
        <v>0</v>
      </c>
      <c r="BO367" s="510">
        <v>0</v>
      </c>
      <c r="BP367" s="510">
        <v>0</v>
      </c>
      <c r="BQ367" s="510">
        <v>0</v>
      </c>
      <c r="BR367" s="510">
        <v>0</v>
      </c>
      <c r="BS367" s="510">
        <v>0</v>
      </c>
      <c r="BT367" s="510">
        <v>0</v>
      </c>
      <c r="BU367" s="510">
        <v>0</v>
      </c>
      <c r="BV367" s="510">
        <v>0</v>
      </c>
      <c r="BW367" s="510">
        <v>0</v>
      </c>
      <c r="BX367" s="510">
        <v>0</v>
      </c>
      <c r="BY367" s="1011">
        <v>0</v>
      </c>
      <c r="BZ367" s="510">
        <v>0</v>
      </c>
      <c r="CA367" s="1011">
        <v>0</v>
      </c>
      <c r="CB367" s="510">
        <v>0</v>
      </c>
      <c r="CC367" s="1011">
        <v>0</v>
      </c>
      <c r="CD367" s="510">
        <v>0</v>
      </c>
      <c r="CE367" s="1011">
        <v>0</v>
      </c>
      <c r="CF367" s="510">
        <v>0</v>
      </c>
      <c r="CG367" s="1011">
        <v>0</v>
      </c>
      <c r="CH367" s="510">
        <v>0</v>
      </c>
      <c r="CI367" s="1011">
        <v>0</v>
      </c>
    </row>
    <row r="368" spans="1:87" x14ac:dyDescent="0.2">
      <c r="A368" s="449">
        <v>33</v>
      </c>
      <c r="B368" s="453">
        <v>19417</v>
      </c>
      <c r="C368" s="454" t="s">
        <v>4177</v>
      </c>
      <c r="D368" s="454" t="s">
        <v>517</v>
      </c>
      <c r="E368" s="454" t="s">
        <v>4178</v>
      </c>
      <c r="F368" s="454" t="s">
        <v>519</v>
      </c>
      <c r="G368" s="454" t="s">
        <v>12929</v>
      </c>
      <c r="H368" s="455">
        <v>11687783000140</v>
      </c>
      <c r="I368" s="462">
        <v>40242</v>
      </c>
      <c r="J368" s="457">
        <v>40396789</v>
      </c>
      <c r="K368" s="454" t="s">
        <v>1604</v>
      </c>
      <c r="L368" s="458">
        <v>20</v>
      </c>
      <c r="M368" s="454" t="s">
        <v>4180</v>
      </c>
      <c r="N368" s="459">
        <v>5563100</v>
      </c>
      <c r="O368" s="460">
        <v>37830307</v>
      </c>
      <c r="P368" s="462">
        <v>114629</v>
      </c>
      <c r="Q368" s="462">
        <v>17</v>
      </c>
      <c r="R368" s="462">
        <v>43881</v>
      </c>
      <c r="S368" s="463">
        <v>716</v>
      </c>
      <c r="T368" s="464">
        <v>5.4</v>
      </c>
      <c r="U368" s="465">
        <v>3866.4</v>
      </c>
      <c r="V368" s="465">
        <v>18720</v>
      </c>
      <c r="W368" s="466">
        <v>0</v>
      </c>
      <c r="X368" s="467">
        <v>1</v>
      </c>
      <c r="Y368" s="466">
        <v>0</v>
      </c>
      <c r="Z368" s="468" t="s">
        <v>514</v>
      </c>
      <c r="AA368" s="466">
        <v>0</v>
      </c>
      <c r="AB368" s="466">
        <v>0</v>
      </c>
      <c r="AC368" s="467">
        <v>0</v>
      </c>
      <c r="AD368" s="466">
        <v>0</v>
      </c>
      <c r="AE368" s="468" t="s">
        <v>516</v>
      </c>
      <c r="AF368" s="466">
        <v>0</v>
      </c>
      <c r="AG368" s="466">
        <v>0</v>
      </c>
      <c r="AH368" s="466">
        <v>4614.84</v>
      </c>
      <c r="AI368" s="466">
        <v>1794.72</v>
      </c>
      <c r="AJ368" s="469" t="s">
        <v>2443</v>
      </c>
      <c r="AK368" s="470" t="s">
        <v>2444</v>
      </c>
      <c r="AL368" s="471" t="s">
        <v>4181</v>
      </c>
      <c r="AM368" s="470" t="s">
        <v>12930</v>
      </c>
      <c r="AN368" s="470" t="s">
        <v>4179</v>
      </c>
      <c r="AO368" s="470" t="s">
        <v>4182</v>
      </c>
      <c r="AP368" s="470" t="s">
        <v>3918</v>
      </c>
      <c r="AQ368" s="470" t="s">
        <v>4177</v>
      </c>
      <c r="AR368" s="472" t="s">
        <v>515</v>
      </c>
      <c r="AS368" s="473" t="s">
        <v>1385</v>
      </c>
      <c r="AT368" s="472" t="s">
        <v>517</v>
      </c>
      <c r="AU368" s="472" t="s">
        <v>420</v>
      </c>
      <c r="AV368" s="472">
        <v>2020</v>
      </c>
      <c r="AW368" s="474" t="s">
        <v>15078</v>
      </c>
      <c r="AX368" s="475" t="s">
        <v>15079</v>
      </c>
      <c r="AY368" s="515">
        <v>1</v>
      </c>
      <c r="AZ368" s="474" t="s">
        <v>15079</v>
      </c>
      <c r="BA368" s="472" t="s">
        <v>1385</v>
      </c>
      <c r="BB368" s="472" t="s">
        <v>1385</v>
      </c>
      <c r="BC368" s="472" t="s">
        <v>1385</v>
      </c>
      <c r="BD368" s="472" t="s">
        <v>1385</v>
      </c>
      <c r="BE368" s="472" t="s">
        <v>1385</v>
      </c>
      <c r="BF368" s="472">
        <v>33879.599999999999</v>
      </c>
      <c r="BG368" s="472">
        <v>0</v>
      </c>
      <c r="BH368" s="472" t="s">
        <v>516</v>
      </c>
      <c r="BI368" s="510">
        <v>0</v>
      </c>
      <c r="BJ368" s="510">
        <v>0</v>
      </c>
      <c r="BK368" s="510">
        <v>0</v>
      </c>
      <c r="BL368" s="510">
        <v>0</v>
      </c>
      <c r="BM368" s="510">
        <v>0</v>
      </c>
      <c r="BN368" s="510">
        <v>0</v>
      </c>
      <c r="BO368" s="510">
        <v>0</v>
      </c>
      <c r="BP368" s="510">
        <v>0</v>
      </c>
      <c r="BQ368" s="510">
        <v>0</v>
      </c>
      <c r="BR368" s="510">
        <v>0</v>
      </c>
      <c r="BS368" s="510">
        <v>0</v>
      </c>
      <c r="BT368" s="510">
        <v>0</v>
      </c>
      <c r="BU368" s="510">
        <v>0</v>
      </c>
      <c r="BV368" s="510">
        <v>0</v>
      </c>
      <c r="BW368" s="510">
        <v>0</v>
      </c>
      <c r="BX368" s="510">
        <v>0</v>
      </c>
      <c r="BY368" s="1011">
        <v>0</v>
      </c>
      <c r="BZ368" s="510">
        <v>0</v>
      </c>
      <c r="CA368" s="1011">
        <v>0</v>
      </c>
      <c r="CB368" s="510">
        <v>0</v>
      </c>
      <c r="CC368" s="1011">
        <v>0</v>
      </c>
      <c r="CD368" s="510">
        <v>0</v>
      </c>
      <c r="CE368" s="1011">
        <v>0</v>
      </c>
      <c r="CF368" s="510">
        <v>0</v>
      </c>
      <c r="CG368" s="1011">
        <v>0</v>
      </c>
      <c r="CH368" s="510">
        <v>0</v>
      </c>
      <c r="CI368" s="1011">
        <v>0</v>
      </c>
    </row>
    <row r="369" spans="1:87" x14ac:dyDescent="0.2">
      <c r="A369" s="449">
        <v>38</v>
      </c>
      <c r="B369" s="453">
        <v>19418</v>
      </c>
      <c r="C369" s="454" t="s">
        <v>4183</v>
      </c>
      <c r="D369" s="454" t="s">
        <v>517</v>
      </c>
      <c r="E369" s="454" t="s">
        <v>4184</v>
      </c>
      <c r="F369" s="454" t="s">
        <v>527</v>
      </c>
      <c r="G369" s="454" t="s">
        <v>12931</v>
      </c>
      <c r="H369" s="455">
        <v>10954230000143</v>
      </c>
      <c r="I369" s="462">
        <v>39996</v>
      </c>
      <c r="J369" s="457">
        <v>39451577</v>
      </c>
      <c r="K369" s="454" t="s">
        <v>4185</v>
      </c>
      <c r="L369" s="458">
        <v>160</v>
      </c>
      <c r="M369" s="454" t="s">
        <v>4186</v>
      </c>
      <c r="N369" s="459">
        <v>3685070</v>
      </c>
      <c r="O369" s="460">
        <v>20410840</v>
      </c>
      <c r="P369" s="462">
        <v>214437</v>
      </c>
      <c r="Q369" s="462">
        <v>85</v>
      </c>
      <c r="R369" s="462">
        <v>43917</v>
      </c>
      <c r="S369" s="463">
        <v>776</v>
      </c>
      <c r="T369" s="464">
        <v>5.4</v>
      </c>
      <c r="U369" s="465">
        <v>4190.3999999999996</v>
      </c>
      <c r="V369" s="465">
        <v>18720</v>
      </c>
      <c r="W369" s="466">
        <v>0</v>
      </c>
      <c r="X369" s="467">
        <v>1</v>
      </c>
      <c r="Y369" s="466">
        <v>39981.599999999999</v>
      </c>
      <c r="Z369" s="468" t="s">
        <v>516</v>
      </c>
      <c r="AA369" s="466">
        <v>137402.79999999999</v>
      </c>
      <c r="AB369" s="466">
        <v>137402.79999999999</v>
      </c>
      <c r="AC369" s="467">
        <v>0</v>
      </c>
      <c r="AD369" s="466">
        <v>0</v>
      </c>
      <c r="AE369" s="468" t="s">
        <v>516</v>
      </c>
      <c r="AF369" s="466">
        <v>2000</v>
      </c>
      <c r="AG369" s="466">
        <v>2000</v>
      </c>
      <c r="AH369" s="466">
        <v>27528.15</v>
      </c>
      <c r="AI369" s="466">
        <v>5318.73</v>
      </c>
      <c r="AJ369" s="469" t="s">
        <v>2644</v>
      </c>
      <c r="AK369" s="470" t="s">
        <v>2645</v>
      </c>
      <c r="AL369" s="471" t="s">
        <v>4187</v>
      </c>
      <c r="AM369" s="470" t="s">
        <v>4188</v>
      </c>
      <c r="AN369" s="470" t="s">
        <v>12932</v>
      </c>
      <c r="AO369" s="470" t="s">
        <v>12933</v>
      </c>
      <c r="AP369" s="470" t="s">
        <v>4189</v>
      </c>
      <c r="AQ369" s="470" t="s">
        <v>4183</v>
      </c>
      <c r="AR369" s="472" t="s">
        <v>515</v>
      </c>
      <c r="AS369" s="473" t="s">
        <v>1385</v>
      </c>
      <c r="AT369" s="472" t="s">
        <v>517</v>
      </c>
      <c r="AU369" s="472" t="s">
        <v>420</v>
      </c>
      <c r="AV369" s="472">
        <v>2020</v>
      </c>
      <c r="AW369" s="474" t="s">
        <v>15078</v>
      </c>
      <c r="AX369" s="475" t="s">
        <v>15079</v>
      </c>
      <c r="AY369" s="515">
        <v>1</v>
      </c>
      <c r="AZ369" s="474" t="s">
        <v>15079</v>
      </c>
      <c r="BA369" s="472" t="s">
        <v>517</v>
      </c>
      <c r="BB369" s="472" t="s">
        <v>516</v>
      </c>
      <c r="BC369" s="472">
        <v>2</v>
      </c>
      <c r="BD369" s="472">
        <v>3744</v>
      </c>
      <c r="BE369" s="472">
        <v>0</v>
      </c>
      <c r="BF369" s="472">
        <v>39981.599999999999</v>
      </c>
      <c r="BG369" s="472">
        <v>0</v>
      </c>
      <c r="BH369" s="472" t="s">
        <v>1385</v>
      </c>
      <c r="BI369" s="510">
        <v>0</v>
      </c>
      <c r="BJ369" s="510">
        <v>0</v>
      </c>
      <c r="BK369" s="510">
        <v>0</v>
      </c>
      <c r="BL369" s="510">
        <v>0</v>
      </c>
      <c r="BM369" s="510">
        <v>0</v>
      </c>
      <c r="BN369" s="510">
        <v>5000</v>
      </c>
      <c r="BO369" s="510">
        <v>0</v>
      </c>
      <c r="BP369" s="510">
        <v>2000</v>
      </c>
      <c r="BQ369" s="510">
        <v>0</v>
      </c>
      <c r="BR369" s="510">
        <v>0</v>
      </c>
      <c r="BS369" s="510">
        <v>0</v>
      </c>
      <c r="BT369" s="510">
        <v>0</v>
      </c>
      <c r="BU369" s="510">
        <v>2500</v>
      </c>
      <c r="BV369" s="510">
        <v>2500</v>
      </c>
      <c r="BW369" s="510">
        <v>0</v>
      </c>
      <c r="BX369" s="510">
        <v>30000</v>
      </c>
      <c r="BY369" s="1011">
        <v>0</v>
      </c>
      <c r="BZ369" s="510">
        <v>0</v>
      </c>
      <c r="CA369" s="1011">
        <v>0</v>
      </c>
      <c r="CB369" s="510">
        <v>22000</v>
      </c>
      <c r="CC369" s="1011">
        <v>0</v>
      </c>
      <c r="CD369" s="510">
        <v>0</v>
      </c>
      <c r="CE369" s="1011">
        <v>0</v>
      </c>
      <c r="CF369" s="510">
        <v>45421.2</v>
      </c>
      <c r="CG369" s="1011">
        <v>0</v>
      </c>
      <c r="CH369" s="510">
        <v>0</v>
      </c>
      <c r="CI369" s="1011">
        <v>0</v>
      </c>
    </row>
    <row r="370" spans="1:87" x14ac:dyDescent="0.2">
      <c r="A370" s="449">
        <v>23</v>
      </c>
      <c r="B370" s="453">
        <v>19419</v>
      </c>
      <c r="C370" s="454" t="s">
        <v>4190</v>
      </c>
      <c r="D370" s="454" t="s">
        <v>517</v>
      </c>
      <c r="E370" s="454" t="s">
        <v>4191</v>
      </c>
      <c r="F370" s="454" t="s">
        <v>529</v>
      </c>
      <c r="G370" s="454" t="s">
        <v>12934</v>
      </c>
      <c r="H370" s="455">
        <v>12541807000110</v>
      </c>
      <c r="I370" s="462">
        <v>40382</v>
      </c>
      <c r="J370" s="457">
        <v>42590019</v>
      </c>
      <c r="K370" s="454" t="s">
        <v>4192</v>
      </c>
      <c r="L370" s="458">
        <v>74</v>
      </c>
      <c r="M370" s="454" t="s">
        <v>3864</v>
      </c>
      <c r="N370" s="459">
        <v>4330060</v>
      </c>
      <c r="O370" s="460">
        <v>50111916</v>
      </c>
      <c r="P370" s="462">
        <v>563598</v>
      </c>
      <c r="Q370" s="462">
        <v>45</v>
      </c>
      <c r="R370" s="462">
        <v>43921</v>
      </c>
      <c r="S370" s="463">
        <v>793</v>
      </c>
      <c r="T370" s="464">
        <v>5.4</v>
      </c>
      <c r="U370" s="465">
        <v>4282.2</v>
      </c>
      <c r="V370" s="465">
        <v>18720</v>
      </c>
      <c r="W370" s="466">
        <v>0</v>
      </c>
      <c r="X370" s="467">
        <v>1</v>
      </c>
      <c r="Y370" s="466">
        <v>34503.300000000003</v>
      </c>
      <c r="Z370" s="468" t="s">
        <v>516</v>
      </c>
      <c r="AA370" s="466">
        <v>132000.1</v>
      </c>
      <c r="AB370" s="466">
        <v>132000.1</v>
      </c>
      <c r="AC370" s="467">
        <v>0</v>
      </c>
      <c r="AD370" s="466">
        <v>0</v>
      </c>
      <c r="AE370" s="468" t="s">
        <v>516</v>
      </c>
      <c r="AF370" s="466">
        <v>2000</v>
      </c>
      <c r="AG370" s="466">
        <v>2000</v>
      </c>
      <c r="AH370" s="466">
        <v>30024.94</v>
      </c>
      <c r="AI370" s="466">
        <v>4171.99</v>
      </c>
      <c r="AJ370" s="469" t="s">
        <v>4193</v>
      </c>
      <c r="AK370" s="470" t="s">
        <v>4194</v>
      </c>
      <c r="AL370" s="471" t="s">
        <v>4195</v>
      </c>
      <c r="AM370" s="470" t="s">
        <v>4196</v>
      </c>
      <c r="AN370" s="470" t="s">
        <v>12934</v>
      </c>
      <c r="AO370" s="470" t="s">
        <v>4197</v>
      </c>
      <c r="AP370" s="470" t="s">
        <v>4198</v>
      </c>
      <c r="AQ370" s="470" t="s">
        <v>4190</v>
      </c>
      <c r="AR370" s="472" t="s">
        <v>515</v>
      </c>
      <c r="AS370" s="473" t="s">
        <v>1385</v>
      </c>
      <c r="AT370" s="472" t="s">
        <v>517</v>
      </c>
      <c r="AU370" s="472" t="s">
        <v>420</v>
      </c>
      <c r="AV370" s="472">
        <v>2020</v>
      </c>
      <c r="AW370" s="474" t="s">
        <v>15078</v>
      </c>
      <c r="AX370" s="475" t="s">
        <v>15079</v>
      </c>
      <c r="AY370" s="515">
        <v>1</v>
      </c>
      <c r="AZ370" s="474" t="s">
        <v>15079</v>
      </c>
      <c r="BA370" s="472" t="s">
        <v>517</v>
      </c>
      <c r="BB370" s="472" t="s">
        <v>1385</v>
      </c>
      <c r="BC370" s="472" t="s">
        <v>1385</v>
      </c>
      <c r="BD370" s="472" t="s">
        <v>1385</v>
      </c>
      <c r="BE370" s="472" t="s">
        <v>1385</v>
      </c>
      <c r="BF370" s="472">
        <v>34503.300000000003</v>
      </c>
      <c r="BG370" s="472">
        <v>0</v>
      </c>
      <c r="BH370" s="472" t="s">
        <v>1385</v>
      </c>
      <c r="BI370" s="510">
        <v>0</v>
      </c>
      <c r="BJ370" s="510">
        <v>0</v>
      </c>
      <c r="BK370" s="510">
        <v>0</v>
      </c>
      <c r="BL370" s="510">
        <v>3500</v>
      </c>
      <c r="BM370" s="510">
        <v>0</v>
      </c>
      <c r="BN370" s="510">
        <v>5000</v>
      </c>
      <c r="BO370" s="510">
        <v>0</v>
      </c>
      <c r="BP370" s="510">
        <v>2000</v>
      </c>
      <c r="BQ370" s="510">
        <v>0</v>
      </c>
      <c r="BR370" s="510">
        <v>0</v>
      </c>
      <c r="BS370" s="510">
        <v>0</v>
      </c>
      <c r="BT370" s="510">
        <v>0</v>
      </c>
      <c r="BU370" s="510">
        <v>0</v>
      </c>
      <c r="BV370" s="510">
        <v>0</v>
      </c>
      <c r="BW370" s="510">
        <v>0</v>
      </c>
      <c r="BX370" s="510">
        <v>30000</v>
      </c>
      <c r="BY370" s="1011">
        <v>0</v>
      </c>
      <c r="BZ370" s="510">
        <v>0</v>
      </c>
      <c r="CA370" s="1011">
        <v>0</v>
      </c>
      <c r="CB370" s="510">
        <v>22000</v>
      </c>
      <c r="CC370" s="1011">
        <v>0</v>
      </c>
      <c r="CD370" s="510">
        <v>0</v>
      </c>
      <c r="CE370" s="1011">
        <v>0</v>
      </c>
      <c r="CF370" s="510">
        <v>45496.800000000003</v>
      </c>
      <c r="CG370" s="1011">
        <v>0</v>
      </c>
      <c r="CH370" s="510">
        <v>0</v>
      </c>
      <c r="CI370" s="1011">
        <v>0</v>
      </c>
    </row>
    <row r="371" spans="1:87" x14ac:dyDescent="0.2">
      <c r="A371" s="449">
        <v>45</v>
      </c>
      <c r="B371" s="453">
        <v>19420</v>
      </c>
      <c r="C371" s="454" t="s">
        <v>4199</v>
      </c>
      <c r="D371" s="454" t="s">
        <v>517</v>
      </c>
      <c r="E371" s="454" t="s">
        <v>4200</v>
      </c>
      <c r="F371" s="454" t="s">
        <v>529</v>
      </c>
      <c r="G371" s="454" t="s">
        <v>12935</v>
      </c>
      <c r="H371" s="455">
        <v>12234115000120</v>
      </c>
      <c r="I371" s="462">
        <v>40351</v>
      </c>
      <c r="J371" s="457">
        <v>43245196</v>
      </c>
      <c r="K371" s="454" t="s">
        <v>4201</v>
      </c>
      <c r="L371" s="458">
        <v>55</v>
      </c>
      <c r="M371" s="454" t="s">
        <v>1789</v>
      </c>
      <c r="N371" s="459">
        <v>4429060</v>
      </c>
      <c r="O371" s="460">
        <v>56226079</v>
      </c>
      <c r="P371" s="462">
        <v>563873</v>
      </c>
      <c r="Q371" s="462">
        <v>70</v>
      </c>
      <c r="R371" s="462">
        <v>43921</v>
      </c>
      <c r="S371" s="463">
        <v>712</v>
      </c>
      <c r="T371" s="464">
        <v>5.4</v>
      </c>
      <c r="U371" s="465">
        <v>3844.8</v>
      </c>
      <c r="V371" s="465">
        <v>18720</v>
      </c>
      <c r="W371" s="466">
        <v>0</v>
      </c>
      <c r="X371" s="467">
        <v>1</v>
      </c>
      <c r="Y371" s="466">
        <v>33847.199999999997</v>
      </c>
      <c r="Z371" s="468" t="s">
        <v>516</v>
      </c>
      <c r="AA371" s="466">
        <v>131225.20000000001</v>
      </c>
      <c r="AB371" s="466">
        <v>131225.20000000001</v>
      </c>
      <c r="AC371" s="467">
        <v>0</v>
      </c>
      <c r="AD371" s="466">
        <v>0</v>
      </c>
      <c r="AE371" s="468" t="s">
        <v>516</v>
      </c>
      <c r="AF371" s="466">
        <v>0</v>
      </c>
      <c r="AG371" s="466">
        <v>0</v>
      </c>
      <c r="AH371" s="466">
        <v>2980.25</v>
      </c>
      <c r="AI371" s="466">
        <v>4631.1400000000003</v>
      </c>
      <c r="AJ371" s="469" t="s">
        <v>1790</v>
      </c>
      <c r="AK371" s="470" t="s">
        <v>1791</v>
      </c>
      <c r="AL371" s="471" t="s">
        <v>4202</v>
      </c>
      <c r="AM371" s="470" t="s">
        <v>4203</v>
      </c>
      <c r="AN371" s="470" t="s">
        <v>12935</v>
      </c>
      <c r="AO371" s="470" t="s">
        <v>4204</v>
      </c>
      <c r="AP371" s="470" t="s">
        <v>4205</v>
      </c>
      <c r="AQ371" s="470" t="s">
        <v>4199</v>
      </c>
      <c r="AR371" s="472" t="s">
        <v>515</v>
      </c>
      <c r="AS371" s="473" t="s">
        <v>1385</v>
      </c>
      <c r="AT371" s="472" t="s">
        <v>517</v>
      </c>
      <c r="AU371" s="472" t="s">
        <v>420</v>
      </c>
      <c r="AV371" s="472">
        <v>2020</v>
      </c>
      <c r="AW371" s="474" t="s">
        <v>15078</v>
      </c>
      <c r="AX371" s="475" t="s">
        <v>15079</v>
      </c>
      <c r="AY371" s="515">
        <v>1</v>
      </c>
      <c r="AZ371" s="474" t="s">
        <v>15079</v>
      </c>
      <c r="BA371" s="472" t="s">
        <v>517</v>
      </c>
      <c r="BB371" s="472" t="s">
        <v>1385</v>
      </c>
      <c r="BC371" s="472" t="s">
        <v>1385</v>
      </c>
      <c r="BD371" s="472" t="s">
        <v>1385</v>
      </c>
      <c r="BE371" s="472" t="s">
        <v>1385</v>
      </c>
      <c r="BF371" s="472">
        <v>33847.199999999997</v>
      </c>
      <c r="BG371" s="472">
        <v>0</v>
      </c>
      <c r="BH371" s="472" t="s">
        <v>1385</v>
      </c>
      <c r="BI371" s="510">
        <v>0</v>
      </c>
      <c r="BJ371" s="510">
        <v>0</v>
      </c>
      <c r="BK371" s="510">
        <v>0</v>
      </c>
      <c r="BL371" s="510">
        <v>0</v>
      </c>
      <c r="BM371" s="510">
        <v>0</v>
      </c>
      <c r="BN371" s="510">
        <v>5000</v>
      </c>
      <c r="BO371" s="510">
        <v>0</v>
      </c>
      <c r="BP371" s="510">
        <v>0</v>
      </c>
      <c r="BQ371" s="510">
        <v>0</v>
      </c>
      <c r="BR371" s="510">
        <v>0</v>
      </c>
      <c r="BS371" s="510">
        <v>0</v>
      </c>
      <c r="BT371" s="510">
        <v>0</v>
      </c>
      <c r="BU371" s="510">
        <v>0</v>
      </c>
      <c r="BV371" s="510">
        <v>0</v>
      </c>
      <c r="BW371" s="510">
        <v>0</v>
      </c>
      <c r="BX371" s="510">
        <v>30000</v>
      </c>
      <c r="BY371" s="1011">
        <v>0</v>
      </c>
      <c r="BZ371" s="510">
        <v>0</v>
      </c>
      <c r="CA371" s="1011">
        <v>0</v>
      </c>
      <c r="CB371" s="510">
        <v>22000</v>
      </c>
      <c r="CC371" s="1011">
        <v>0</v>
      </c>
      <c r="CD371" s="510">
        <v>0</v>
      </c>
      <c r="CE371" s="1011">
        <v>0</v>
      </c>
      <c r="CF371" s="510">
        <v>45378</v>
      </c>
      <c r="CG371" s="1011">
        <v>0</v>
      </c>
      <c r="CH371" s="510">
        <v>0</v>
      </c>
      <c r="CI371" s="1011">
        <v>0</v>
      </c>
    </row>
    <row r="372" spans="1:87" x14ac:dyDescent="0.2">
      <c r="A372" s="449">
        <v>107</v>
      </c>
      <c r="B372" s="453">
        <v>19421</v>
      </c>
      <c r="C372" s="454" t="s">
        <v>4206</v>
      </c>
      <c r="D372" s="454" t="s">
        <v>517</v>
      </c>
      <c r="E372" s="454" t="s">
        <v>4207</v>
      </c>
      <c r="F372" s="454" t="s">
        <v>520</v>
      </c>
      <c r="G372" s="454" t="s">
        <v>12936</v>
      </c>
      <c r="H372" s="455">
        <v>11830412000175</v>
      </c>
      <c r="I372" s="462">
        <v>40261</v>
      </c>
      <c r="J372" s="457">
        <v>44754132</v>
      </c>
      <c r="K372" s="454" t="s">
        <v>4209</v>
      </c>
      <c r="L372" s="458" t="s">
        <v>1446</v>
      </c>
      <c r="M372" s="454" t="s">
        <v>3107</v>
      </c>
      <c r="N372" s="459">
        <v>5886400</v>
      </c>
      <c r="O372" s="460">
        <v>58217196</v>
      </c>
      <c r="P372" s="462">
        <v>303995</v>
      </c>
      <c r="Q372" s="462">
        <v>172</v>
      </c>
      <c r="R372" s="462">
        <v>43969</v>
      </c>
      <c r="S372" s="463">
        <v>621</v>
      </c>
      <c r="T372" s="464">
        <v>5.4</v>
      </c>
      <c r="U372" s="465">
        <v>3353.4</v>
      </c>
      <c r="V372" s="465">
        <v>17100</v>
      </c>
      <c r="W372" s="466">
        <v>0</v>
      </c>
      <c r="X372" s="467">
        <v>1</v>
      </c>
      <c r="Y372" s="466">
        <v>30680.1</v>
      </c>
      <c r="Z372" s="468" t="s">
        <v>516</v>
      </c>
      <c r="AA372" s="466">
        <v>123338.5</v>
      </c>
      <c r="AB372" s="466">
        <v>123338.5</v>
      </c>
      <c r="AC372" s="467">
        <v>0</v>
      </c>
      <c r="AD372" s="466">
        <v>0</v>
      </c>
      <c r="AE372" s="468" t="s">
        <v>516</v>
      </c>
      <c r="AF372" s="466">
        <v>2000</v>
      </c>
      <c r="AG372" s="466">
        <v>2000</v>
      </c>
      <c r="AH372" s="466">
        <v>22527.39</v>
      </c>
      <c r="AI372" s="466">
        <v>9551.2900000000009</v>
      </c>
      <c r="AJ372" s="469" t="s">
        <v>1489</v>
      </c>
      <c r="AK372" s="470" t="s">
        <v>520</v>
      </c>
      <c r="AL372" s="471" t="s">
        <v>4210</v>
      </c>
      <c r="AM372" s="470" t="s">
        <v>4211</v>
      </c>
      <c r="AN372" s="470" t="s">
        <v>4208</v>
      </c>
      <c r="AO372" s="470" t="s">
        <v>4212</v>
      </c>
      <c r="AP372" s="470" t="s">
        <v>4213</v>
      </c>
      <c r="AQ372" s="470" t="s">
        <v>4206</v>
      </c>
      <c r="AR372" s="472" t="s">
        <v>515</v>
      </c>
      <c r="AS372" s="473" t="s">
        <v>1385</v>
      </c>
      <c r="AT372" s="472" t="s">
        <v>517</v>
      </c>
      <c r="AU372" s="472" t="s">
        <v>420</v>
      </c>
      <c r="AV372" s="472">
        <v>2020</v>
      </c>
      <c r="AW372" s="474" t="s">
        <v>15078</v>
      </c>
      <c r="AX372" s="475" t="s">
        <v>15079</v>
      </c>
      <c r="AY372" s="515">
        <v>1</v>
      </c>
      <c r="AZ372" s="474" t="s">
        <v>15079</v>
      </c>
      <c r="BA372" s="472" t="s">
        <v>517</v>
      </c>
      <c r="BB372" s="472" t="s">
        <v>1385</v>
      </c>
      <c r="BC372" s="472" t="s">
        <v>1385</v>
      </c>
      <c r="BD372" s="472" t="s">
        <v>1385</v>
      </c>
      <c r="BE372" s="472" t="s">
        <v>1385</v>
      </c>
      <c r="BF372" s="472">
        <v>30680.1</v>
      </c>
      <c r="BG372" s="472">
        <v>0</v>
      </c>
      <c r="BH372" s="472" t="s">
        <v>1385</v>
      </c>
      <c r="BI372" s="510">
        <v>0</v>
      </c>
      <c r="BJ372" s="510">
        <v>0</v>
      </c>
      <c r="BK372" s="510">
        <v>0</v>
      </c>
      <c r="BL372" s="510">
        <v>241.21</v>
      </c>
      <c r="BM372" s="510">
        <v>0</v>
      </c>
      <c r="BN372" s="510">
        <v>3500</v>
      </c>
      <c r="BO372" s="510">
        <v>0</v>
      </c>
      <c r="BP372" s="510">
        <v>2000</v>
      </c>
      <c r="BQ372" s="510">
        <v>0</v>
      </c>
      <c r="BR372" s="510">
        <v>0</v>
      </c>
      <c r="BS372" s="510">
        <v>0</v>
      </c>
      <c r="BT372" s="510">
        <v>0</v>
      </c>
      <c r="BU372" s="510">
        <v>2500</v>
      </c>
      <c r="BV372" s="510">
        <v>2500</v>
      </c>
      <c r="BW372" s="510">
        <v>0</v>
      </c>
      <c r="BX372" s="510">
        <v>30000</v>
      </c>
      <c r="BY372" s="1011">
        <v>0</v>
      </c>
      <c r="BZ372" s="510">
        <v>0</v>
      </c>
      <c r="CA372" s="1011">
        <v>0</v>
      </c>
      <c r="CB372" s="510">
        <v>22000</v>
      </c>
      <c r="CC372" s="1011">
        <v>0</v>
      </c>
      <c r="CD372" s="510">
        <v>0</v>
      </c>
      <c r="CE372" s="1011">
        <v>0</v>
      </c>
      <c r="CF372" s="510">
        <v>40658.400000000001</v>
      </c>
      <c r="CG372" s="1011">
        <v>0</v>
      </c>
      <c r="CH372" s="510">
        <v>0</v>
      </c>
      <c r="CI372" s="1011">
        <v>0</v>
      </c>
    </row>
    <row r="373" spans="1:87" x14ac:dyDescent="0.2">
      <c r="A373" s="449">
        <v>92</v>
      </c>
      <c r="B373" s="453">
        <v>19422</v>
      </c>
      <c r="C373" s="454" t="s">
        <v>4214</v>
      </c>
      <c r="D373" s="454" t="s">
        <v>517</v>
      </c>
      <c r="E373" s="454" t="s">
        <v>4214</v>
      </c>
      <c r="F373" s="454" t="s">
        <v>520</v>
      </c>
      <c r="G373" s="454" t="s">
        <v>12937</v>
      </c>
      <c r="H373" s="455">
        <v>10859348000192</v>
      </c>
      <c r="I373" s="462">
        <v>39958</v>
      </c>
      <c r="J373" s="457">
        <v>41399862</v>
      </c>
      <c r="K373" s="454" t="s">
        <v>4216</v>
      </c>
      <c r="L373" s="458">
        <v>2100</v>
      </c>
      <c r="M373" s="454" t="s">
        <v>4217</v>
      </c>
      <c r="N373" s="459">
        <v>5820200</v>
      </c>
      <c r="O373" s="460">
        <v>58910042</v>
      </c>
      <c r="P373" s="462">
        <v>303588</v>
      </c>
      <c r="Q373" s="462">
        <v>157</v>
      </c>
      <c r="R373" s="462">
        <v>43969</v>
      </c>
      <c r="S373" s="463">
        <v>687</v>
      </c>
      <c r="T373" s="464">
        <v>5.4</v>
      </c>
      <c r="U373" s="465">
        <v>3709.8</v>
      </c>
      <c r="V373" s="465">
        <v>17100</v>
      </c>
      <c r="W373" s="466">
        <v>0</v>
      </c>
      <c r="X373" s="467">
        <v>1</v>
      </c>
      <c r="Y373" s="466">
        <v>31214.7</v>
      </c>
      <c r="Z373" s="468" t="s">
        <v>516</v>
      </c>
      <c r="AA373" s="466">
        <v>124488.7</v>
      </c>
      <c r="AB373" s="466">
        <v>124488.7</v>
      </c>
      <c r="AC373" s="467">
        <v>0</v>
      </c>
      <c r="AD373" s="466">
        <v>0</v>
      </c>
      <c r="AE373" s="468" t="s">
        <v>516</v>
      </c>
      <c r="AF373" s="466">
        <v>0</v>
      </c>
      <c r="AG373" s="466">
        <v>0</v>
      </c>
      <c r="AH373" s="466">
        <v>11979.69</v>
      </c>
      <c r="AI373" s="466">
        <v>4624.6000000000004</v>
      </c>
      <c r="AJ373" s="469" t="s">
        <v>1515</v>
      </c>
      <c r="AK373" s="470" t="s">
        <v>1516</v>
      </c>
      <c r="AL373" s="471" t="s">
        <v>4218</v>
      </c>
      <c r="AM373" s="470" t="s">
        <v>12938</v>
      </c>
      <c r="AN373" s="470" t="s">
        <v>4215</v>
      </c>
      <c r="AO373" s="470" t="s">
        <v>4219</v>
      </c>
      <c r="AP373" s="470" t="s">
        <v>4220</v>
      </c>
      <c r="AQ373" s="470" t="s">
        <v>4214</v>
      </c>
      <c r="AR373" s="472" t="s">
        <v>515</v>
      </c>
      <c r="AS373" s="473" t="s">
        <v>1385</v>
      </c>
      <c r="AT373" s="472" t="s">
        <v>517</v>
      </c>
      <c r="AU373" s="472" t="s">
        <v>420</v>
      </c>
      <c r="AV373" s="472">
        <v>2020</v>
      </c>
      <c r="AW373" s="474" t="s">
        <v>15078</v>
      </c>
      <c r="AX373" s="475" t="s">
        <v>15079</v>
      </c>
      <c r="AY373" s="515">
        <v>1</v>
      </c>
      <c r="AZ373" s="474" t="s">
        <v>15079</v>
      </c>
      <c r="BA373" s="472" t="s">
        <v>517</v>
      </c>
      <c r="BB373" s="472" t="s">
        <v>1385</v>
      </c>
      <c r="BC373" s="472" t="s">
        <v>1385</v>
      </c>
      <c r="BD373" s="472" t="s">
        <v>1385</v>
      </c>
      <c r="BE373" s="472" t="s">
        <v>1385</v>
      </c>
      <c r="BF373" s="472">
        <v>31214.7</v>
      </c>
      <c r="BG373" s="472">
        <v>0</v>
      </c>
      <c r="BH373" s="472" t="s">
        <v>1385</v>
      </c>
      <c r="BI373" s="510">
        <v>0</v>
      </c>
      <c r="BJ373" s="510">
        <v>0</v>
      </c>
      <c r="BK373" s="510">
        <v>0</v>
      </c>
      <c r="BL373" s="510">
        <v>3500</v>
      </c>
      <c r="BM373" s="510">
        <v>0</v>
      </c>
      <c r="BN373" s="510">
        <v>3500</v>
      </c>
      <c r="BO373" s="510">
        <v>0</v>
      </c>
      <c r="BP373" s="510">
        <v>0</v>
      </c>
      <c r="BQ373" s="510">
        <v>0</v>
      </c>
      <c r="BR373" s="510">
        <v>0</v>
      </c>
      <c r="BS373" s="510">
        <v>0</v>
      </c>
      <c r="BT373" s="510">
        <v>0</v>
      </c>
      <c r="BU373" s="510">
        <v>0</v>
      </c>
      <c r="BV373" s="510">
        <v>0</v>
      </c>
      <c r="BW373" s="510">
        <v>0</v>
      </c>
      <c r="BX373" s="510">
        <v>30000</v>
      </c>
      <c r="BY373" s="1011">
        <v>0</v>
      </c>
      <c r="BZ373" s="510">
        <v>0</v>
      </c>
      <c r="CA373" s="1011">
        <v>0</v>
      </c>
      <c r="CB373" s="510">
        <v>22000</v>
      </c>
      <c r="CC373" s="1011">
        <v>0</v>
      </c>
      <c r="CD373" s="510">
        <v>0</v>
      </c>
      <c r="CE373" s="1011">
        <v>0</v>
      </c>
      <c r="CF373" s="510">
        <v>41274</v>
      </c>
      <c r="CG373" s="1011">
        <v>0</v>
      </c>
      <c r="CH373" s="510">
        <v>0</v>
      </c>
      <c r="CI373" s="1011">
        <v>0</v>
      </c>
    </row>
    <row r="374" spans="1:87" x14ac:dyDescent="0.2">
      <c r="A374" s="449">
        <v>93</v>
      </c>
      <c r="B374" s="453">
        <v>19423</v>
      </c>
      <c r="C374" s="454" t="s">
        <v>4221</v>
      </c>
      <c r="D374" s="454" t="s">
        <v>517</v>
      </c>
      <c r="E374" s="454" t="s">
        <v>4221</v>
      </c>
      <c r="F374" s="454" t="s">
        <v>520</v>
      </c>
      <c r="G374" s="454" t="s">
        <v>12939</v>
      </c>
      <c r="H374" s="455">
        <v>11997399000143</v>
      </c>
      <c r="I374" s="462">
        <v>40317</v>
      </c>
      <c r="J374" s="457">
        <v>45543712</v>
      </c>
      <c r="K374" s="454" t="s">
        <v>2267</v>
      </c>
      <c r="L374" s="458">
        <v>552</v>
      </c>
      <c r="M374" s="454" t="s">
        <v>1812</v>
      </c>
      <c r="N374" s="459">
        <v>5822015</v>
      </c>
      <c r="O374" s="460">
        <v>58916745</v>
      </c>
      <c r="P374" s="462">
        <v>303596</v>
      </c>
      <c r="Q374" s="462">
        <v>158</v>
      </c>
      <c r="R374" s="462">
        <v>43969</v>
      </c>
      <c r="S374" s="463">
        <v>810</v>
      </c>
      <c r="T374" s="464">
        <v>5.4</v>
      </c>
      <c r="U374" s="465">
        <v>4374</v>
      </c>
      <c r="V374" s="465">
        <v>18720</v>
      </c>
      <c r="W374" s="466">
        <v>0</v>
      </c>
      <c r="X374" s="467">
        <v>1</v>
      </c>
      <c r="Y374" s="466">
        <v>43065</v>
      </c>
      <c r="Z374" s="468" t="s">
        <v>516</v>
      </c>
      <c r="AA374" s="466">
        <v>141069.4</v>
      </c>
      <c r="AB374" s="466">
        <v>141069.4</v>
      </c>
      <c r="AC374" s="467">
        <v>0</v>
      </c>
      <c r="AD374" s="466">
        <v>0</v>
      </c>
      <c r="AE374" s="468" t="s">
        <v>516</v>
      </c>
      <c r="AF374" s="466">
        <v>2000</v>
      </c>
      <c r="AG374" s="466">
        <v>2000</v>
      </c>
      <c r="AH374" s="466">
        <v>15336.65</v>
      </c>
      <c r="AI374" s="466">
        <v>15046</v>
      </c>
      <c r="AJ374" s="469" t="s">
        <v>1515</v>
      </c>
      <c r="AK374" s="470" t="s">
        <v>1516</v>
      </c>
      <c r="AL374" s="471" t="s">
        <v>4222</v>
      </c>
      <c r="AM374" s="470" t="s">
        <v>12940</v>
      </c>
      <c r="AN374" s="470" t="s">
        <v>4223</v>
      </c>
      <c r="AO374" s="470" t="s">
        <v>4224</v>
      </c>
      <c r="AP374" s="470" t="s">
        <v>4225</v>
      </c>
      <c r="AQ374" s="470" t="s">
        <v>4221</v>
      </c>
      <c r="AR374" s="472" t="s">
        <v>515</v>
      </c>
      <c r="AS374" s="473" t="s">
        <v>1385</v>
      </c>
      <c r="AT374" s="472" t="s">
        <v>517</v>
      </c>
      <c r="AU374" s="472" t="s">
        <v>420</v>
      </c>
      <c r="AV374" s="472">
        <v>2020</v>
      </c>
      <c r="AW374" s="474" t="s">
        <v>15078</v>
      </c>
      <c r="AX374" s="475" t="s">
        <v>15079</v>
      </c>
      <c r="AY374" s="515">
        <v>1</v>
      </c>
      <c r="AZ374" s="474" t="s">
        <v>15079</v>
      </c>
      <c r="BA374" s="472" t="s">
        <v>517</v>
      </c>
      <c r="BB374" s="472" t="s">
        <v>516</v>
      </c>
      <c r="BC374" s="472">
        <v>6</v>
      </c>
      <c r="BD374" s="472">
        <v>5616</v>
      </c>
      <c r="BE374" s="472">
        <v>0</v>
      </c>
      <c r="BF374" s="472">
        <v>43065</v>
      </c>
      <c r="BG374" s="472">
        <v>0</v>
      </c>
      <c r="BH374" s="472" t="s">
        <v>1385</v>
      </c>
      <c r="BI374" s="510">
        <v>0</v>
      </c>
      <c r="BJ374" s="510">
        <v>0</v>
      </c>
      <c r="BK374" s="510">
        <v>0</v>
      </c>
      <c r="BL374" s="510">
        <v>0</v>
      </c>
      <c r="BM374" s="510">
        <v>0</v>
      </c>
      <c r="BN374" s="510">
        <v>5000</v>
      </c>
      <c r="BO374" s="510">
        <v>0</v>
      </c>
      <c r="BP374" s="510">
        <v>2000</v>
      </c>
      <c r="BQ374" s="510">
        <v>0</v>
      </c>
      <c r="BR374" s="510">
        <v>0</v>
      </c>
      <c r="BS374" s="510">
        <v>0</v>
      </c>
      <c r="BT374" s="510">
        <v>0</v>
      </c>
      <c r="BU374" s="510">
        <v>0</v>
      </c>
      <c r="BV374" s="510">
        <v>0</v>
      </c>
      <c r="BW374" s="510">
        <v>0</v>
      </c>
      <c r="BX374" s="510">
        <v>30000</v>
      </c>
      <c r="BY374" s="1011">
        <v>0</v>
      </c>
      <c r="BZ374" s="510">
        <v>0</v>
      </c>
      <c r="CA374" s="1011">
        <v>0</v>
      </c>
      <c r="CB374" s="510">
        <v>22000</v>
      </c>
      <c r="CC374" s="1011">
        <v>0</v>
      </c>
      <c r="CD374" s="510">
        <v>0</v>
      </c>
      <c r="CE374" s="1011">
        <v>0</v>
      </c>
      <c r="CF374" s="510">
        <v>46004.4</v>
      </c>
      <c r="CG374" s="1011">
        <v>0</v>
      </c>
      <c r="CH374" s="510">
        <v>0</v>
      </c>
      <c r="CI374" s="1011">
        <v>0</v>
      </c>
    </row>
    <row r="375" spans="1:87" x14ac:dyDescent="0.2">
      <c r="A375" s="449">
        <v>94</v>
      </c>
      <c r="B375" s="453">
        <v>19424</v>
      </c>
      <c r="C375" s="454" t="s">
        <v>4226</v>
      </c>
      <c r="D375" s="454" t="s">
        <v>517</v>
      </c>
      <c r="E375" s="454" t="s">
        <v>4226</v>
      </c>
      <c r="F375" s="454" t="s">
        <v>520</v>
      </c>
      <c r="G375" s="454" t="s">
        <v>12941</v>
      </c>
      <c r="H375" s="455">
        <v>12040467000144</v>
      </c>
      <c r="I375" s="462">
        <v>40317</v>
      </c>
      <c r="J375" s="457">
        <v>44754167</v>
      </c>
      <c r="K375" s="454" t="s">
        <v>4227</v>
      </c>
      <c r="L375" s="458">
        <v>7</v>
      </c>
      <c r="M375" s="454" t="s">
        <v>4228</v>
      </c>
      <c r="N375" s="459">
        <v>5866050</v>
      </c>
      <c r="O375" s="460">
        <v>58333056</v>
      </c>
      <c r="P375" s="462">
        <v>303618</v>
      </c>
      <c r="Q375" s="462">
        <v>159</v>
      </c>
      <c r="R375" s="462">
        <v>43979</v>
      </c>
      <c r="S375" s="463">
        <v>736</v>
      </c>
      <c r="T375" s="464">
        <v>5.4</v>
      </c>
      <c r="U375" s="465">
        <v>3974.4</v>
      </c>
      <c r="V375" s="465">
        <v>18720</v>
      </c>
      <c r="W375" s="466">
        <v>0</v>
      </c>
      <c r="X375" s="467">
        <v>1</v>
      </c>
      <c r="Y375" s="466">
        <v>34041.599999999999</v>
      </c>
      <c r="Z375" s="468" t="s">
        <v>516</v>
      </c>
      <c r="AA375" s="466">
        <v>131862.79999999999</v>
      </c>
      <c r="AB375" s="466">
        <v>131862.79999999999</v>
      </c>
      <c r="AC375" s="467">
        <v>0</v>
      </c>
      <c r="AD375" s="466">
        <v>0</v>
      </c>
      <c r="AE375" s="468" t="s">
        <v>516</v>
      </c>
      <c r="AF375" s="466">
        <v>1600</v>
      </c>
      <c r="AG375" s="466">
        <v>1600</v>
      </c>
      <c r="AH375" s="466">
        <v>30155.08</v>
      </c>
      <c r="AI375" s="466">
        <v>12802.82</v>
      </c>
      <c r="AJ375" s="469" t="s">
        <v>2755</v>
      </c>
      <c r="AK375" s="470" t="s">
        <v>2756</v>
      </c>
      <c r="AL375" s="471" t="s">
        <v>4229</v>
      </c>
      <c r="AM375" s="470" t="s">
        <v>12942</v>
      </c>
      <c r="AN375" s="470" t="s">
        <v>4231</v>
      </c>
      <c r="AO375" s="470" t="s">
        <v>4230</v>
      </c>
      <c r="AP375" s="470" t="s">
        <v>4232</v>
      </c>
      <c r="AQ375" s="470" t="s">
        <v>4226</v>
      </c>
      <c r="AR375" s="472" t="s">
        <v>515</v>
      </c>
      <c r="AS375" s="473" t="s">
        <v>1385</v>
      </c>
      <c r="AT375" s="472" t="s">
        <v>517</v>
      </c>
      <c r="AU375" s="472" t="s">
        <v>420</v>
      </c>
      <c r="AV375" s="472">
        <v>2020</v>
      </c>
      <c r="AW375" s="474" t="s">
        <v>15078</v>
      </c>
      <c r="AX375" s="475" t="s">
        <v>15079</v>
      </c>
      <c r="AY375" s="515">
        <v>1</v>
      </c>
      <c r="AZ375" s="474" t="s">
        <v>15079</v>
      </c>
      <c r="BA375" s="472" t="s">
        <v>517</v>
      </c>
      <c r="BB375" s="472" t="s">
        <v>1385</v>
      </c>
      <c r="BC375" s="472" t="s">
        <v>1385</v>
      </c>
      <c r="BD375" s="472" t="s">
        <v>1385</v>
      </c>
      <c r="BE375" s="472" t="s">
        <v>1385</v>
      </c>
      <c r="BF375" s="472">
        <v>34041.599999999999</v>
      </c>
      <c r="BG375" s="472">
        <v>0</v>
      </c>
      <c r="BH375" s="472" t="s">
        <v>1385</v>
      </c>
      <c r="BI375" s="510">
        <v>0</v>
      </c>
      <c r="BJ375" s="510">
        <v>340.9</v>
      </c>
      <c r="BK375" s="510">
        <v>0</v>
      </c>
      <c r="BL375" s="510">
        <v>0</v>
      </c>
      <c r="BM375" s="510">
        <v>0</v>
      </c>
      <c r="BN375" s="510">
        <v>5000</v>
      </c>
      <c r="BO375" s="510">
        <v>400</v>
      </c>
      <c r="BP375" s="510">
        <v>1600</v>
      </c>
      <c r="BQ375" s="510">
        <v>0</v>
      </c>
      <c r="BR375" s="510">
        <v>0</v>
      </c>
      <c r="BS375" s="510">
        <v>0</v>
      </c>
      <c r="BT375" s="510">
        <v>0</v>
      </c>
      <c r="BU375" s="510">
        <v>0</v>
      </c>
      <c r="BV375" s="510">
        <v>0</v>
      </c>
      <c r="BW375" s="510">
        <v>0</v>
      </c>
      <c r="BX375" s="510">
        <v>30000</v>
      </c>
      <c r="BY375" s="1011">
        <v>0</v>
      </c>
      <c r="BZ375" s="510">
        <v>0</v>
      </c>
      <c r="CA375" s="1011">
        <v>0</v>
      </c>
      <c r="CB375" s="510">
        <v>22000</v>
      </c>
      <c r="CC375" s="1011">
        <v>0</v>
      </c>
      <c r="CD375" s="510">
        <v>0</v>
      </c>
      <c r="CE375" s="1011">
        <v>0</v>
      </c>
      <c r="CF375" s="510">
        <v>45421.2</v>
      </c>
      <c r="CG375" s="1011">
        <v>0</v>
      </c>
      <c r="CH375" s="510">
        <v>0</v>
      </c>
      <c r="CI375" s="1011">
        <v>0</v>
      </c>
    </row>
    <row r="376" spans="1:87" x14ac:dyDescent="0.2">
      <c r="A376" s="449">
        <v>45</v>
      </c>
      <c r="B376" s="453">
        <v>19425</v>
      </c>
      <c r="C376" s="454" t="s">
        <v>4233</v>
      </c>
      <c r="D376" s="454" t="s">
        <v>517</v>
      </c>
      <c r="E376" s="454" t="s">
        <v>4234</v>
      </c>
      <c r="F376" s="454" t="s">
        <v>513</v>
      </c>
      <c r="G376" s="454" t="s">
        <v>12943</v>
      </c>
      <c r="H376" s="455">
        <v>11085356000191</v>
      </c>
      <c r="I376" s="462">
        <v>40044</v>
      </c>
      <c r="J376" s="457" t="s">
        <v>280</v>
      </c>
      <c r="K376" s="454" t="s">
        <v>4235</v>
      </c>
      <c r="L376" s="458">
        <v>100</v>
      </c>
      <c r="M376" s="454" t="s">
        <v>1673</v>
      </c>
      <c r="N376" s="459">
        <v>8371410</v>
      </c>
      <c r="O376" s="460">
        <v>27317766</v>
      </c>
      <c r="P376" s="462">
        <v>149694</v>
      </c>
      <c r="Q376" s="462">
        <v>45</v>
      </c>
      <c r="R376" s="462">
        <v>43937</v>
      </c>
      <c r="S376" s="463">
        <v>623</v>
      </c>
      <c r="T376" s="464">
        <v>5.4</v>
      </c>
      <c r="U376" s="465">
        <v>3364.2</v>
      </c>
      <c r="V376" s="465">
        <v>17100</v>
      </c>
      <c r="W376" s="466">
        <v>0</v>
      </c>
      <c r="X376" s="467">
        <v>1</v>
      </c>
      <c r="Y376" s="466">
        <v>30696.3</v>
      </c>
      <c r="Z376" s="468" t="s">
        <v>516</v>
      </c>
      <c r="AA376" s="466">
        <v>123543.9</v>
      </c>
      <c r="AB376" s="466">
        <v>123543.9</v>
      </c>
      <c r="AC376" s="467">
        <v>0</v>
      </c>
      <c r="AD376" s="466">
        <v>0</v>
      </c>
      <c r="AE376" s="468" t="s">
        <v>516</v>
      </c>
      <c r="AF376" s="466">
        <v>1800</v>
      </c>
      <c r="AG376" s="466">
        <v>1800</v>
      </c>
      <c r="AH376" s="466">
        <v>61096.67</v>
      </c>
      <c r="AI376" s="466">
        <v>8190.26</v>
      </c>
      <c r="AJ376" s="469" t="s">
        <v>2030</v>
      </c>
      <c r="AK376" s="470" t="s">
        <v>513</v>
      </c>
      <c r="AL376" s="471" t="s">
        <v>4236</v>
      </c>
      <c r="AM376" s="470" t="s">
        <v>12944</v>
      </c>
      <c r="AN376" s="470" t="s">
        <v>1385</v>
      </c>
      <c r="AO376" s="470" t="s">
        <v>4237</v>
      </c>
      <c r="AP376" s="470" t="s">
        <v>4238</v>
      </c>
      <c r="AQ376" s="470" t="s">
        <v>4233</v>
      </c>
      <c r="AR376" s="472" t="s">
        <v>515</v>
      </c>
      <c r="AS376" s="473" t="s">
        <v>1385</v>
      </c>
      <c r="AT376" s="472" t="s">
        <v>517</v>
      </c>
      <c r="AU376" s="472" t="s">
        <v>420</v>
      </c>
      <c r="AV376" s="472">
        <v>2020</v>
      </c>
      <c r="AW376" s="474" t="s">
        <v>15078</v>
      </c>
      <c r="AX376" s="475" t="s">
        <v>15079</v>
      </c>
      <c r="AY376" s="515">
        <v>1</v>
      </c>
      <c r="AZ376" s="474" t="s">
        <v>15079</v>
      </c>
      <c r="BA376" s="472" t="s">
        <v>517</v>
      </c>
      <c r="BB376" s="472" t="s">
        <v>1385</v>
      </c>
      <c r="BC376" s="472" t="s">
        <v>1385</v>
      </c>
      <c r="BD376" s="472" t="s">
        <v>1385</v>
      </c>
      <c r="BE376" s="472" t="s">
        <v>1385</v>
      </c>
      <c r="BF376" s="472">
        <v>30696.3</v>
      </c>
      <c r="BG376" s="472">
        <v>0</v>
      </c>
      <c r="BH376" s="472" t="s">
        <v>1385</v>
      </c>
      <c r="BI376" s="510">
        <v>0</v>
      </c>
      <c r="BJ376" s="510">
        <v>0</v>
      </c>
      <c r="BK376" s="510">
        <v>0</v>
      </c>
      <c r="BL376" s="510">
        <v>0</v>
      </c>
      <c r="BM376" s="510">
        <v>0</v>
      </c>
      <c r="BN376" s="510">
        <v>3500</v>
      </c>
      <c r="BO376" s="510">
        <v>200</v>
      </c>
      <c r="BP376" s="510">
        <v>1800</v>
      </c>
      <c r="BQ376" s="510">
        <v>0</v>
      </c>
      <c r="BR376" s="510">
        <v>0</v>
      </c>
      <c r="BS376" s="510">
        <v>0</v>
      </c>
      <c r="BT376" s="510">
        <v>0</v>
      </c>
      <c r="BU376" s="510">
        <v>2500</v>
      </c>
      <c r="BV376" s="510">
        <v>2500</v>
      </c>
      <c r="BW376" s="510">
        <v>0</v>
      </c>
      <c r="BX376" s="510">
        <v>30000</v>
      </c>
      <c r="BY376" s="1011">
        <v>0</v>
      </c>
      <c r="BZ376" s="510">
        <v>0</v>
      </c>
      <c r="CA376" s="1011">
        <v>0</v>
      </c>
      <c r="CB376" s="510">
        <v>22000</v>
      </c>
      <c r="CC376" s="1011">
        <v>0</v>
      </c>
      <c r="CD376" s="510">
        <v>0</v>
      </c>
      <c r="CE376" s="1011">
        <v>0</v>
      </c>
      <c r="CF376" s="510">
        <v>40647.599999999999</v>
      </c>
      <c r="CG376" s="1011">
        <v>0</v>
      </c>
      <c r="CH376" s="510">
        <v>0</v>
      </c>
      <c r="CI376" s="1011">
        <v>0</v>
      </c>
    </row>
    <row r="377" spans="1:87" x14ac:dyDescent="0.2">
      <c r="A377" s="449">
        <v>48</v>
      </c>
      <c r="B377" s="453">
        <v>19426</v>
      </c>
      <c r="C377" s="454" t="s">
        <v>4239</v>
      </c>
      <c r="D377" s="454" t="s">
        <v>517</v>
      </c>
      <c r="E377" s="454" t="s">
        <v>4240</v>
      </c>
      <c r="F377" s="454" t="s">
        <v>526</v>
      </c>
      <c r="G377" s="454" t="s">
        <v>12945</v>
      </c>
      <c r="H377" s="455">
        <v>10933332000182</v>
      </c>
      <c r="I377" s="462">
        <v>39966</v>
      </c>
      <c r="J377" s="457">
        <v>39748251</v>
      </c>
      <c r="K377" s="454" t="s">
        <v>4241</v>
      </c>
      <c r="L377" s="458" t="s">
        <v>1446</v>
      </c>
      <c r="M377" s="454" t="s">
        <v>1888</v>
      </c>
      <c r="N377" s="459">
        <v>8151300</v>
      </c>
      <c r="O377" s="460">
        <v>25117935</v>
      </c>
      <c r="P377" s="462">
        <v>126635</v>
      </c>
      <c r="Q377" s="462">
        <v>48</v>
      </c>
      <c r="R377" s="462">
        <v>43928</v>
      </c>
      <c r="S377" s="463">
        <v>815</v>
      </c>
      <c r="T377" s="464">
        <v>5.4</v>
      </c>
      <c r="U377" s="465">
        <v>4401</v>
      </c>
      <c r="V377" s="465">
        <v>18720</v>
      </c>
      <c r="W377" s="466">
        <v>0</v>
      </c>
      <c r="X377" s="467">
        <v>1</v>
      </c>
      <c r="Y377" s="466">
        <v>34681.5</v>
      </c>
      <c r="Z377" s="468" t="s">
        <v>516</v>
      </c>
      <c r="AA377" s="466">
        <v>132718.29999999999</v>
      </c>
      <c r="AB377" s="466">
        <v>132718.29999999999</v>
      </c>
      <c r="AC377" s="467">
        <v>0</v>
      </c>
      <c r="AD377" s="466">
        <v>0</v>
      </c>
      <c r="AE377" s="468" t="s">
        <v>516</v>
      </c>
      <c r="AF377" s="466">
        <v>0</v>
      </c>
      <c r="AG377" s="466">
        <v>0</v>
      </c>
      <c r="AH377" s="466">
        <v>21394.3</v>
      </c>
      <c r="AI377" s="466">
        <v>0</v>
      </c>
      <c r="AJ377" s="469" t="s">
        <v>1839</v>
      </c>
      <c r="AK377" s="470" t="s">
        <v>526</v>
      </c>
      <c r="AL377" s="471" t="s">
        <v>4242</v>
      </c>
      <c r="AM377" s="470" t="s">
        <v>4243</v>
      </c>
      <c r="AN377" s="470" t="s">
        <v>1385</v>
      </c>
      <c r="AO377" s="470" t="s">
        <v>4244</v>
      </c>
      <c r="AP377" s="470" t="s">
        <v>4245</v>
      </c>
      <c r="AQ377" s="470" t="s">
        <v>4239</v>
      </c>
      <c r="AR377" s="472" t="s">
        <v>515</v>
      </c>
      <c r="AS377" s="473" t="s">
        <v>1385</v>
      </c>
      <c r="AT377" s="472" t="s">
        <v>517</v>
      </c>
      <c r="AU377" s="472" t="s">
        <v>420</v>
      </c>
      <c r="AV377" s="472">
        <v>2020</v>
      </c>
      <c r="AW377" s="474" t="s">
        <v>15078</v>
      </c>
      <c r="AX377" s="475" t="s">
        <v>15079</v>
      </c>
      <c r="AY377" s="515">
        <v>1</v>
      </c>
      <c r="AZ377" s="474" t="s">
        <v>15079</v>
      </c>
      <c r="BA377" s="472" t="s">
        <v>517</v>
      </c>
      <c r="BB377" s="472" t="s">
        <v>1385</v>
      </c>
      <c r="BC377" s="472" t="s">
        <v>1385</v>
      </c>
      <c r="BD377" s="472" t="s">
        <v>1385</v>
      </c>
      <c r="BE377" s="472" t="s">
        <v>1385</v>
      </c>
      <c r="BF377" s="472">
        <v>34681.5</v>
      </c>
      <c r="BG377" s="472">
        <v>0</v>
      </c>
      <c r="BH377" s="472" t="s">
        <v>1385</v>
      </c>
      <c r="BI377" s="510">
        <v>0</v>
      </c>
      <c r="BJ377" s="510">
        <v>0</v>
      </c>
      <c r="BK377" s="510">
        <v>0</v>
      </c>
      <c r="BL377" s="510">
        <v>3500</v>
      </c>
      <c r="BM377" s="510">
        <v>0</v>
      </c>
      <c r="BN377" s="510">
        <v>5000</v>
      </c>
      <c r="BO377" s="510">
        <v>0</v>
      </c>
      <c r="BP377" s="510">
        <v>0</v>
      </c>
      <c r="BQ377" s="510">
        <v>0</v>
      </c>
      <c r="BR377" s="510">
        <v>0</v>
      </c>
      <c r="BS377" s="510">
        <v>0</v>
      </c>
      <c r="BT377" s="510">
        <v>0</v>
      </c>
      <c r="BU377" s="510">
        <v>2500</v>
      </c>
      <c r="BV377" s="510">
        <v>2500</v>
      </c>
      <c r="BW377" s="510">
        <v>0</v>
      </c>
      <c r="BX377" s="510">
        <v>30000</v>
      </c>
      <c r="BY377" s="1011">
        <v>0</v>
      </c>
      <c r="BZ377" s="510">
        <v>0</v>
      </c>
      <c r="CA377" s="1011">
        <v>0</v>
      </c>
      <c r="CB377" s="510">
        <v>22000</v>
      </c>
      <c r="CC377" s="1011">
        <v>0</v>
      </c>
      <c r="CD377" s="510">
        <v>0</v>
      </c>
      <c r="CE377" s="1011">
        <v>0</v>
      </c>
      <c r="CF377" s="510">
        <v>46036.800000000003</v>
      </c>
      <c r="CG377" s="1011">
        <v>0</v>
      </c>
      <c r="CH377" s="510">
        <v>0</v>
      </c>
      <c r="CI377" s="1011">
        <v>0</v>
      </c>
    </row>
    <row r="378" spans="1:87" x14ac:dyDescent="0.2">
      <c r="A378" s="449">
        <v>38</v>
      </c>
      <c r="B378" s="453">
        <v>19427</v>
      </c>
      <c r="C378" s="454" t="s">
        <v>4246</v>
      </c>
      <c r="D378" s="454" t="s">
        <v>517</v>
      </c>
      <c r="E378" s="454" t="s">
        <v>4247</v>
      </c>
      <c r="F378" s="454" t="s">
        <v>524</v>
      </c>
      <c r="G378" s="454" t="s">
        <v>12946</v>
      </c>
      <c r="H378" s="455">
        <v>11294731000103</v>
      </c>
      <c r="I378" s="462">
        <v>40049</v>
      </c>
      <c r="J378" s="457">
        <v>41021126</v>
      </c>
      <c r="K378" s="454" t="s">
        <v>4249</v>
      </c>
      <c r="L378" s="458">
        <v>95</v>
      </c>
      <c r="M378" s="454" t="s">
        <v>3901</v>
      </c>
      <c r="N378" s="459">
        <v>4193050</v>
      </c>
      <c r="O378" s="460">
        <v>23341370</v>
      </c>
      <c r="P378" s="462">
        <v>207392</v>
      </c>
      <c r="Q378" s="462">
        <v>43</v>
      </c>
      <c r="R378" s="462">
        <v>43906</v>
      </c>
      <c r="S378" s="463">
        <v>712</v>
      </c>
      <c r="T378" s="464">
        <v>5.4</v>
      </c>
      <c r="U378" s="465">
        <v>3844.8</v>
      </c>
      <c r="V378" s="465">
        <v>18720</v>
      </c>
      <c r="W378" s="466">
        <v>0</v>
      </c>
      <c r="X378" s="467">
        <v>1</v>
      </c>
      <c r="Y378" s="466">
        <v>0</v>
      </c>
      <c r="Z378" s="468" t="s">
        <v>514</v>
      </c>
      <c r="AA378" s="466">
        <v>22000</v>
      </c>
      <c r="AB378" s="466">
        <v>22000</v>
      </c>
      <c r="AC378" s="467">
        <v>0</v>
      </c>
      <c r="AD378" s="466">
        <v>0</v>
      </c>
      <c r="AE378" s="468" t="s">
        <v>516</v>
      </c>
      <c r="AF378" s="466">
        <v>0</v>
      </c>
      <c r="AG378" s="466">
        <v>0</v>
      </c>
      <c r="AH378" s="466">
        <v>0</v>
      </c>
      <c r="AI378" s="466">
        <v>0</v>
      </c>
      <c r="AJ378" s="469" t="s">
        <v>2511</v>
      </c>
      <c r="AK378" s="470" t="s">
        <v>4250</v>
      </c>
      <c r="AL378" s="471" t="s">
        <v>4251</v>
      </c>
      <c r="AM378" s="470" t="s">
        <v>15081</v>
      </c>
      <c r="AN378" s="470" t="s">
        <v>4248</v>
      </c>
      <c r="AO378" s="470" t="s">
        <v>12947</v>
      </c>
      <c r="AP378" s="470" t="s">
        <v>4252</v>
      </c>
      <c r="AQ378" s="470" t="s">
        <v>4246</v>
      </c>
      <c r="AR378" s="472" t="s">
        <v>515</v>
      </c>
      <c r="AS378" s="473" t="s">
        <v>1385</v>
      </c>
      <c r="AT378" s="472" t="s">
        <v>517</v>
      </c>
      <c r="AU378" s="472" t="s">
        <v>420</v>
      </c>
      <c r="AV378" s="472">
        <v>2020</v>
      </c>
      <c r="AW378" s="474" t="s">
        <v>15078</v>
      </c>
      <c r="AX378" s="475" t="s">
        <v>15079</v>
      </c>
      <c r="AY378" s="515">
        <v>1</v>
      </c>
      <c r="AZ378" s="474" t="s">
        <v>15079</v>
      </c>
      <c r="BA378" s="472" t="s">
        <v>517</v>
      </c>
      <c r="BB378" s="472" t="s">
        <v>1385</v>
      </c>
      <c r="BC378" s="472" t="s">
        <v>1385</v>
      </c>
      <c r="BD378" s="472" t="s">
        <v>1385</v>
      </c>
      <c r="BE378" s="472" t="s">
        <v>1385</v>
      </c>
      <c r="BF378" s="472">
        <v>33847.199999999997</v>
      </c>
      <c r="BG378" s="472">
        <v>0</v>
      </c>
      <c r="BH378" s="472" t="s">
        <v>516</v>
      </c>
      <c r="BI378" s="510">
        <v>0</v>
      </c>
      <c r="BJ378" s="510">
        <v>0</v>
      </c>
      <c r="BK378" s="510">
        <v>0</v>
      </c>
      <c r="BL378" s="510">
        <v>0</v>
      </c>
      <c r="BM378" s="510">
        <v>0</v>
      </c>
      <c r="BN378" s="510">
        <v>0</v>
      </c>
      <c r="BO378" s="510">
        <v>0</v>
      </c>
      <c r="BP378" s="510">
        <v>0</v>
      </c>
      <c r="BQ378" s="510">
        <v>0</v>
      </c>
      <c r="BR378" s="510">
        <v>0</v>
      </c>
      <c r="BS378" s="510">
        <v>0</v>
      </c>
      <c r="BT378" s="510">
        <v>0</v>
      </c>
      <c r="BU378" s="510">
        <v>0</v>
      </c>
      <c r="BV378" s="510">
        <v>0</v>
      </c>
      <c r="BW378" s="510">
        <v>0</v>
      </c>
      <c r="BX378" s="510">
        <v>0</v>
      </c>
      <c r="BY378" s="1011">
        <v>0</v>
      </c>
      <c r="BZ378" s="510">
        <v>0</v>
      </c>
      <c r="CA378" s="1011">
        <v>0</v>
      </c>
      <c r="CB378" s="510">
        <v>22000</v>
      </c>
      <c r="CC378" s="1011">
        <v>0</v>
      </c>
      <c r="CD378" s="510">
        <v>0</v>
      </c>
      <c r="CE378" s="1011">
        <v>0</v>
      </c>
      <c r="CF378" s="510">
        <v>0</v>
      </c>
      <c r="CG378" s="1011">
        <v>0</v>
      </c>
      <c r="CH378" s="510">
        <v>0</v>
      </c>
      <c r="CI378" s="1011">
        <v>0</v>
      </c>
    </row>
    <row r="379" spans="1:87" x14ac:dyDescent="0.2">
      <c r="A379" s="449">
        <v>58</v>
      </c>
      <c r="B379" s="453">
        <v>19428</v>
      </c>
      <c r="C379" s="454" t="s">
        <v>4253</v>
      </c>
      <c r="D379" s="454" t="s">
        <v>517</v>
      </c>
      <c r="E379" s="454" t="s">
        <v>4254</v>
      </c>
      <c r="F379" s="454" t="s">
        <v>520</v>
      </c>
      <c r="G379" s="454" t="s">
        <v>12948</v>
      </c>
      <c r="H379" s="455">
        <v>11433478000121</v>
      </c>
      <c r="I379" s="462">
        <v>40170</v>
      </c>
      <c r="J379" s="457">
        <v>44868871</v>
      </c>
      <c r="K379" s="454" t="s">
        <v>4256</v>
      </c>
      <c r="L379" s="458">
        <v>597</v>
      </c>
      <c r="M379" s="454" t="s">
        <v>4257</v>
      </c>
      <c r="N379" s="459">
        <v>5767001</v>
      </c>
      <c r="O379" s="460">
        <v>58446286</v>
      </c>
      <c r="P379" s="462">
        <v>300279</v>
      </c>
      <c r="Q379" s="462">
        <v>123</v>
      </c>
      <c r="R379" s="462">
        <v>43969</v>
      </c>
      <c r="S379" s="463">
        <v>817</v>
      </c>
      <c r="T379" s="464">
        <v>5.4</v>
      </c>
      <c r="U379" s="465">
        <v>4411.8</v>
      </c>
      <c r="V379" s="465">
        <v>18720</v>
      </c>
      <c r="W379" s="466">
        <v>0</v>
      </c>
      <c r="X379" s="467">
        <v>1</v>
      </c>
      <c r="Y379" s="466">
        <v>34697.699999999997</v>
      </c>
      <c r="Z379" s="468" t="s">
        <v>516</v>
      </c>
      <c r="AA379" s="466">
        <v>133414.9</v>
      </c>
      <c r="AB379" s="466">
        <v>133414.9</v>
      </c>
      <c r="AC379" s="467">
        <v>0</v>
      </c>
      <c r="AD379" s="466">
        <v>0</v>
      </c>
      <c r="AE379" s="468" t="s">
        <v>516</v>
      </c>
      <c r="AF379" s="466">
        <v>0</v>
      </c>
      <c r="AG379" s="466">
        <v>0</v>
      </c>
      <c r="AH379" s="466">
        <v>29545.1</v>
      </c>
      <c r="AI379" s="466">
        <v>17255.88</v>
      </c>
      <c r="AJ379" s="469" t="s">
        <v>1515</v>
      </c>
      <c r="AK379" s="470" t="s">
        <v>1516</v>
      </c>
      <c r="AL379" s="471" t="s">
        <v>4258</v>
      </c>
      <c r="AM379" s="470" t="s">
        <v>12949</v>
      </c>
      <c r="AN379" s="470" t="s">
        <v>4255</v>
      </c>
      <c r="AO379" s="470" t="s">
        <v>4259</v>
      </c>
      <c r="AP379" s="470" t="s">
        <v>4260</v>
      </c>
      <c r="AQ379" s="470" t="s">
        <v>4253</v>
      </c>
      <c r="AR379" s="472" t="s">
        <v>515</v>
      </c>
      <c r="AS379" s="473" t="s">
        <v>1385</v>
      </c>
      <c r="AT379" s="472" t="s">
        <v>517</v>
      </c>
      <c r="AU379" s="472" t="s">
        <v>420</v>
      </c>
      <c r="AV379" s="472">
        <v>2020</v>
      </c>
      <c r="AW379" s="474" t="s">
        <v>15078</v>
      </c>
      <c r="AX379" s="475" t="s">
        <v>15079</v>
      </c>
      <c r="AY379" s="515">
        <v>1</v>
      </c>
      <c r="AZ379" s="474" t="s">
        <v>15079</v>
      </c>
      <c r="BA379" s="472" t="s">
        <v>517</v>
      </c>
      <c r="BB379" s="472" t="s">
        <v>1385</v>
      </c>
      <c r="BC379" s="472" t="s">
        <v>1385</v>
      </c>
      <c r="BD379" s="472" t="s">
        <v>1385</v>
      </c>
      <c r="BE379" s="472" t="s">
        <v>1385</v>
      </c>
      <c r="BF379" s="472">
        <v>34697.699999999997</v>
      </c>
      <c r="BG379" s="472">
        <v>0</v>
      </c>
      <c r="BH379" s="472" t="s">
        <v>1385</v>
      </c>
      <c r="BI379" s="510">
        <v>0</v>
      </c>
      <c r="BJ379" s="510">
        <v>0</v>
      </c>
      <c r="BK379" s="510">
        <v>0</v>
      </c>
      <c r="BL379" s="510">
        <v>3500</v>
      </c>
      <c r="BM379" s="510">
        <v>0</v>
      </c>
      <c r="BN379" s="510">
        <v>5000</v>
      </c>
      <c r="BO379" s="510">
        <v>0</v>
      </c>
      <c r="BP379" s="510">
        <v>0</v>
      </c>
      <c r="BQ379" s="510">
        <v>0</v>
      </c>
      <c r="BR379" s="510">
        <v>0</v>
      </c>
      <c r="BS379" s="510">
        <v>0</v>
      </c>
      <c r="BT379" s="510">
        <v>0</v>
      </c>
      <c r="BU379" s="510">
        <v>2500</v>
      </c>
      <c r="BV379" s="510">
        <v>2500</v>
      </c>
      <c r="BW379" s="510">
        <v>0</v>
      </c>
      <c r="BX379" s="510">
        <v>30000</v>
      </c>
      <c r="BY379" s="1011">
        <v>0</v>
      </c>
      <c r="BZ379" s="510">
        <v>0</v>
      </c>
      <c r="CA379" s="1011">
        <v>0</v>
      </c>
      <c r="CB379" s="510">
        <v>22000</v>
      </c>
      <c r="CC379" s="1011">
        <v>0</v>
      </c>
      <c r="CD379" s="510">
        <v>0</v>
      </c>
      <c r="CE379" s="1011">
        <v>0</v>
      </c>
      <c r="CF379" s="510">
        <v>46717.2</v>
      </c>
      <c r="CG379" s="1011">
        <v>0</v>
      </c>
      <c r="CH379" s="510">
        <v>0</v>
      </c>
      <c r="CI379" s="1011">
        <v>0</v>
      </c>
    </row>
    <row r="380" spans="1:87" x14ac:dyDescent="0.2">
      <c r="A380" s="449">
        <v>90</v>
      </c>
      <c r="B380" s="453">
        <v>19429</v>
      </c>
      <c r="C380" s="454" t="s">
        <v>4261</v>
      </c>
      <c r="D380" s="454" t="s">
        <v>1390</v>
      </c>
      <c r="E380" s="454" t="s">
        <v>4262</v>
      </c>
      <c r="F380" s="454" t="s">
        <v>526</v>
      </c>
      <c r="G380" s="454" t="s">
        <v>12950</v>
      </c>
      <c r="H380" s="455">
        <v>3959943000134</v>
      </c>
      <c r="I380" s="462">
        <v>37437</v>
      </c>
      <c r="J380" s="457">
        <v>37475525</v>
      </c>
      <c r="K380" s="454" t="s">
        <v>4263</v>
      </c>
      <c r="L380" s="458">
        <v>1080</v>
      </c>
      <c r="M380" s="454" t="s">
        <v>2571</v>
      </c>
      <c r="N380" s="459">
        <v>8061360</v>
      </c>
      <c r="O380" s="460">
        <v>29430715</v>
      </c>
      <c r="P380" s="462">
        <v>121838</v>
      </c>
      <c r="Q380" s="462">
        <v>90</v>
      </c>
      <c r="R380" s="462">
        <v>43928</v>
      </c>
      <c r="S380" s="463">
        <v>345</v>
      </c>
      <c r="T380" s="464">
        <v>3.6</v>
      </c>
      <c r="U380" s="465">
        <v>1242</v>
      </c>
      <c r="V380" s="465">
        <v>13680</v>
      </c>
      <c r="W380" s="466">
        <v>0</v>
      </c>
      <c r="X380" s="467">
        <v>1</v>
      </c>
      <c r="Y380" s="466">
        <v>22383</v>
      </c>
      <c r="Z380" s="468" t="s">
        <v>516</v>
      </c>
      <c r="AA380" s="466">
        <v>96946.2</v>
      </c>
      <c r="AB380" s="466">
        <v>96946.2</v>
      </c>
      <c r="AC380" s="467">
        <v>0</v>
      </c>
      <c r="AD380" s="466">
        <v>0</v>
      </c>
      <c r="AE380" s="468" t="s">
        <v>516</v>
      </c>
      <c r="AF380" s="466">
        <v>0</v>
      </c>
      <c r="AG380" s="466">
        <v>0</v>
      </c>
      <c r="AH380" s="466">
        <v>17653.21</v>
      </c>
      <c r="AI380" s="466">
        <v>771.87</v>
      </c>
      <c r="AJ380" s="469" t="s">
        <v>1839</v>
      </c>
      <c r="AK380" s="470" t="s">
        <v>526</v>
      </c>
      <c r="AL380" s="471" t="s">
        <v>4264</v>
      </c>
      <c r="AM380" s="470" t="s">
        <v>4265</v>
      </c>
      <c r="AN380" s="470" t="s">
        <v>1385</v>
      </c>
      <c r="AO380" s="470" t="s">
        <v>4266</v>
      </c>
      <c r="AP380" s="470" t="s">
        <v>4267</v>
      </c>
      <c r="AQ380" s="470" t="s">
        <v>4261</v>
      </c>
      <c r="AR380" s="472" t="s">
        <v>515</v>
      </c>
      <c r="AS380" s="473" t="s">
        <v>1385</v>
      </c>
      <c r="AT380" s="472" t="s">
        <v>1390</v>
      </c>
      <c r="AU380" s="472" t="s">
        <v>420</v>
      </c>
      <c r="AV380" s="472">
        <v>2020</v>
      </c>
      <c r="AW380" s="474" t="s">
        <v>15078</v>
      </c>
      <c r="AX380" s="475" t="s">
        <v>15079</v>
      </c>
      <c r="AY380" s="515">
        <v>1</v>
      </c>
      <c r="AZ380" s="474" t="s">
        <v>15079</v>
      </c>
      <c r="BA380" s="472" t="s">
        <v>1390</v>
      </c>
      <c r="BB380" s="472" t="s">
        <v>1385</v>
      </c>
      <c r="BC380" s="472" t="s">
        <v>1385</v>
      </c>
      <c r="BD380" s="472" t="s">
        <v>1385</v>
      </c>
      <c r="BE380" s="472" t="s">
        <v>1385</v>
      </c>
      <c r="BF380" s="472">
        <v>22383</v>
      </c>
      <c r="BG380" s="472">
        <v>0</v>
      </c>
      <c r="BH380" s="472" t="s">
        <v>1385</v>
      </c>
      <c r="BI380" s="510">
        <v>0</v>
      </c>
      <c r="BJ380" s="510">
        <v>0</v>
      </c>
      <c r="BK380" s="510">
        <v>0</v>
      </c>
      <c r="BL380" s="510">
        <v>0</v>
      </c>
      <c r="BM380" s="510">
        <v>0</v>
      </c>
      <c r="BN380" s="510">
        <v>900</v>
      </c>
      <c r="BO380" s="510">
        <v>0</v>
      </c>
      <c r="BP380" s="510">
        <v>0</v>
      </c>
      <c r="BQ380" s="510">
        <v>0</v>
      </c>
      <c r="BR380" s="510">
        <v>0</v>
      </c>
      <c r="BS380" s="510">
        <v>0</v>
      </c>
      <c r="BT380" s="510">
        <v>0</v>
      </c>
      <c r="BU380" s="510">
        <v>0</v>
      </c>
      <c r="BV380" s="510">
        <v>0</v>
      </c>
      <c r="BW380" s="510">
        <v>0</v>
      </c>
      <c r="BX380" s="510">
        <v>30000</v>
      </c>
      <c r="BY380" s="1011">
        <v>0</v>
      </c>
      <c r="BZ380" s="510">
        <v>0</v>
      </c>
      <c r="CA380" s="1011">
        <v>0</v>
      </c>
      <c r="CB380" s="510">
        <v>0</v>
      </c>
      <c r="CC380" s="1011">
        <v>0</v>
      </c>
      <c r="CD380" s="510">
        <v>0</v>
      </c>
      <c r="CE380" s="1011">
        <v>0</v>
      </c>
      <c r="CF380" s="510">
        <v>44563.199999999997</v>
      </c>
      <c r="CG380" s="1011">
        <v>0</v>
      </c>
      <c r="CH380" s="510">
        <v>0</v>
      </c>
      <c r="CI380" s="1011">
        <v>0</v>
      </c>
    </row>
    <row r="381" spans="1:87" x14ac:dyDescent="0.2">
      <c r="A381" s="449">
        <v>60</v>
      </c>
      <c r="B381" s="453">
        <v>19430</v>
      </c>
      <c r="C381" s="454" t="s">
        <v>4268</v>
      </c>
      <c r="D381" s="454" t="s">
        <v>517</v>
      </c>
      <c r="E381" s="454" t="s">
        <v>4269</v>
      </c>
      <c r="F381" s="454" t="s">
        <v>520</v>
      </c>
      <c r="G381" s="454" t="s">
        <v>12951</v>
      </c>
      <c r="H381" s="455">
        <v>12668077000113</v>
      </c>
      <c r="I381" s="462">
        <v>40345</v>
      </c>
      <c r="J381" s="457">
        <v>44754115</v>
      </c>
      <c r="K381" s="454" t="s">
        <v>4271</v>
      </c>
      <c r="L381" s="458" t="s">
        <v>1446</v>
      </c>
      <c r="M381" s="454" t="s">
        <v>4272</v>
      </c>
      <c r="N381" s="459">
        <v>5887000</v>
      </c>
      <c r="O381" s="460">
        <v>58215820</v>
      </c>
      <c r="P381" s="462">
        <v>300325</v>
      </c>
      <c r="Q381" s="462">
        <v>125</v>
      </c>
      <c r="R381" s="462">
        <v>43969</v>
      </c>
      <c r="S381" s="463">
        <v>806</v>
      </c>
      <c r="T381" s="464">
        <v>5.4</v>
      </c>
      <c r="U381" s="465">
        <v>4352.3999999999996</v>
      </c>
      <c r="V381" s="465">
        <v>18720</v>
      </c>
      <c r="W381" s="466">
        <v>0</v>
      </c>
      <c r="X381" s="467">
        <v>1</v>
      </c>
      <c r="Y381" s="466">
        <v>34608.6</v>
      </c>
      <c r="Z381" s="468" t="s">
        <v>516</v>
      </c>
      <c r="AA381" s="466">
        <v>133142.20000000001</v>
      </c>
      <c r="AB381" s="466">
        <v>133142.20000000001</v>
      </c>
      <c r="AC381" s="467">
        <v>0</v>
      </c>
      <c r="AD381" s="466">
        <v>0</v>
      </c>
      <c r="AE381" s="468" t="s">
        <v>516</v>
      </c>
      <c r="AF381" s="466">
        <v>2000</v>
      </c>
      <c r="AG381" s="466">
        <v>2000</v>
      </c>
      <c r="AH381" s="466">
        <v>36626.129999999997</v>
      </c>
      <c r="AI381" s="466">
        <v>15713.06</v>
      </c>
      <c r="AJ381" s="469" t="s">
        <v>1489</v>
      </c>
      <c r="AK381" s="470" t="s">
        <v>520</v>
      </c>
      <c r="AL381" s="471" t="s">
        <v>4273</v>
      </c>
      <c r="AM381" s="470" t="s">
        <v>4274</v>
      </c>
      <c r="AN381" s="470" t="s">
        <v>4270</v>
      </c>
      <c r="AO381" s="470" t="s">
        <v>4275</v>
      </c>
      <c r="AP381" s="470" t="s">
        <v>4276</v>
      </c>
      <c r="AQ381" s="470" t="s">
        <v>4268</v>
      </c>
      <c r="AR381" s="472" t="s">
        <v>515</v>
      </c>
      <c r="AS381" s="473" t="s">
        <v>1385</v>
      </c>
      <c r="AT381" s="472" t="s">
        <v>517</v>
      </c>
      <c r="AU381" s="472" t="s">
        <v>420</v>
      </c>
      <c r="AV381" s="472">
        <v>2020</v>
      </c>
      <c r="AW381" s="474" t="s">
        <v>15078</v>
      </c>
      <c r="AX381" s="475" t="s">
        <v>15079</v>
      </c>
      <c r="AY381" s="515">
        <v>1</v>
      </c>
      <c r="AZ381" s="474" t="s">
        <v>15079</v>
      </c>
      <c r="BA381" s="472" t="s">
        <v>517</v>
      </c>
      <c r="BB381" s="472" t="s">
        <v>1385</v>
      </c>
      <c r="BC381" s="472" t="s">
        <v>1385</v>
      </c>
      <c r="BD381" s="472" t="s">
        <v>1385</v>
      </c>
      <c r="BE381" s="472" t="s">
        <v>1385</v>
      </c>
      <c r="BF381" s="472">
        <v>34608.6</v>
      </c>
      <c r="BG381" s="472">
        <v>0</v>
      </c>
      <c r="BH381" s="472" t="s">
        <v>1385</v>
      </c>
      <c r="BI381" s="510">
        <v>0</v>
      </c>
      <c r="BJ381" s="510">
        <v>673.27</v>
      </c>
      <c r="BK381" s="510">
        <v>0</v>
      </c>
      <c r="BL381" s="510">
        <v>3500</v>
      </c>
      <c r="BM381" s="510">
        <v>0</v>
      </c>
      <c r="BN381" s="510">
        <v>5000</v>
      </c>
      <c r="BO381" s="510">
        <v>0</v>
      </c>
      <c r="BP381" s="510">
        <v>2000</v>
      </c>
      <c r="BQ381" s="510">
        <v>0</v>
      </c>
      <c r="BR381" s="510">
        <v>0</v>
      </c>
      <c r="BS381" s="510">
        <v>0</v>
      </c>
      <c r="BT381" s="510">
        <v>0</v>
      </c>
      <c r="BU381" s="510">
        <v>0</v>
      </c>
      <c r="BV381" s="510">
        <v>0</v>
      </c>
      <c r="BW381" s="510">
        <v>0</v>
      </c>
      <c r="BX381" s="510">
        <v>30000</v>
      </c>
      <c r="BY381" s="1011">
        <v>0</v>
      </c>
      <c r="BZ381" s="510">
        <v>0</v>
      </c>
      <c r="CA381" s="1011">
        <v>0</v>
      </c>
      <c r="CB381" s="510">
        <v>22000</v>
      </c>
      <c r="CC381" s="1011">
        <v>0</v>
      </c>
      <c r="CD381" s="510">
        <v>0</v>
      </c>
      <c r="CE381" s="1011">
        <v>0</v>
      </c>
      <c r="CF381" s="510">
        <v>46533.599999999999</v>
      </c>
      <c r="CG381" s="1011">
        <v>0</v>
      </c>
      <c r="CH381" s="510">
        <v>0</v>
      </c>
      <c r="CI381" s="1011">
        <v>0</v>
      </c>
    </row>
    <row r="382" spans="1:87" x14ac:dyDescent="0.2">
      <c r="A382" s="449">
        <v>99</v>
      </c>
      <c r="B382" s="453">
        <v>19431</v>
      </c>
      <c r="C382" s="454" t="s">
        <v>4277</v>
      </c>
      <c r="D382" s="454" t="s">
        <v>517</v>
      </c>
      <c r="E382" s="454" t="s">
        <v>4277</v>
      </c>
      <c r="F382" s="454" t="s">
        <v>520</v>
      </c>
      <c r="G382" s="454" t="s">
        <v>12952</v>
      </c>
      <c r="H382" s="455">
        <v>11177775000153</v>
      </c>
      <c r="I382" s="462">
        <v>39996</v>
      </c>
      <c r="J382" s="457">
        <v>41875893</v>
      </c>
      <c r="K382" s="454" t="s">
        <v>4279</v>
      </c>
      <c r="L382" s="458" t="s">
        <v>1446</v>
      </c>
      <c r="M382" s="454" t="s">
        <v>4280</v>
      </c>
      <c r="N382" s="459">
        <v>5774300</v>
      </c>
      <c r="O382" s="460">
        <v>58111011</v>
      </c>
      <c r="P382" s="462">
        <v>303723</v>
      </c>
      <c r="Q382" s="462">
        <v>164</v>
      </c>
      <c r="R382" s="462">
        <v>43979</v>
      </c>
      <c r="S382" s="463">
        <v>812</v>
      </c>
      <c r="T382" s="464">
        <v>5.4</v>
      </c>
      <c r="U382" s="465">
        <v>4384.8</v>
      </c>
      <c r="V382" s="465">
        <v>18720</v>
      </c>
      <c r="W382" s="466">
        <v>0</v>
      </c>
      <c r="X382" s="467">
        <v>1</v>
      </c>
      <c r="Y382" s="466">
        <v>43081.2</v>
      </c>
      <c r="Z382" s="468" t="s">
        <v>516</v>
      </c>
      <c r="AA382" s="466">
        <v>158468.79999999999</v>
      </c>
      <c r="AB382" s="466">
        <v>158468.79999999999</v>
      </c>
      <c r="AC382" s="467">
        <v>0</v>
      </c>
      <c r="AD382" s="466">
        <v>0</v>
      </c>
      <c r="AE382" s="468" t="s">
        <v>516</v>
      </c>
      <c r="AF382" s="466">
        <v>1000</v>
      </c>
      <c r="AG382" s="466">
        <v>1000</v>
      </c>
      <c r="AH382" s="466">
        <v>29114.92</v>
      </c>
      <c r="AI382" s="466">
        <v>2746.16</v>
      </c>
      <c r="AJ382" s="469" t="s">
        <v>1489</v>
      </c>
      <c r="AK382" s="470" t="s">
        <v>520</v>
      </c>
      <c r="AL382" s="471" t="s">
        <v>4281</v>
      </c>
      <c r="AM382" s="470" t="s">
        <v>4282</v>
      </c>
      <c r="AN382" s="470" t="s">
        <v>4278</v>
      </c>
      <c r="AO382" s="470" t="s">
        <v>4283</v>
      </c>
      <c r="AP382" s="470" t="s">
        <v>4284</v>
      </c>
      <c r="AQ382" s="470" t="s">
        <v>4277</v>
      </c>
      <c r="AR382" s="472" t="s">
        <v>515</v>
      </c>
      <c r="AS382" s="473" t="s">
        <v>1385</v>
      </c>
      <c r="AT382" s="472" t="s">
        <v>517</v>
      </c>
      <c r="AU382" s="472" t="s">
        <v>420</v>
      </c>
      <c r="AV382" s="472">
        <v>2020</v>
      </c>
      <c r="AW382" s="474" t="s">
        <v>15078</v>
      </c>
      <c r="AX382" s="475" t="s">
        <v>15079</v>
      </c>
      <c r="AY382" s="515">
        <v>1</v>
      </c>
      <c r="AZ382" s="474" t="s">
        <v>15079</v>
      </c>
      <c r="BA382" s="472" t="s">
        <v>517</v>
      </c>
      <c r="BB382" s="472" t="s">
        <v>516</v>
      </c>
      <c r="BC382" s="472">
        <v>6</v>
      </c>
      <c r="BD382" s="472">
        <v>5616</v>
      </c>
      <c r="BE382" s="472">
        <v>0</v>
      </c>
      <c r="BF382" s="472">
        <v>43081.2</v>
      </c>
      <c r="BG382" s="472">
        <v>0</v>
      </c>
      <c r="BH382" s="472" t="s">
        <v>1385</v>
      </c>
      <c r="BI382" s="510">
        <v>0</v>
      </c>
      <c r="BJ382" s="510">
        <v>94.97</v>
      </c>
      <c r="BK382" s="510">
        <v>0</v>
      </c>
      <c r="BL382" s="510">
        <v>0</v>
      </c>
      <c r="BM382" s="510">
        <v>0</v>
      </c>
      <c r="BN382" s="510">
        <v>5000</v>
      </c>
      <c r="BO382" s="510">
        <v>1000</v>
      </c>
      <c r="BP382" s="510">
        <v>1000</v>
      </c>
      <c r="BQ382" s="510">
        <v>0</v>
      </c>
      <c r="BR382" s="510">
        <v>0</v>
      </c>
      <c r="BS382" s="510">
        <v>0</v>
      </c>
      <c r="BT382" s="510">
        <v>0</v>
      </c>
      <c r="BU382" s="510">
        <v>2500</v>
      </c>
      <c r="BV382" s="510">
        <v>2500</v>
      </c>
      <c r="BW382" s="510">
        <v>0</v>
      </c>
      <c r="BX382" s="510">
        <v>30000</v>
      </c>
      <c r="BY382" s="1011">
        <v>0</v>
      </c>
      <c r="BZ382" s="510">
        <v>0</v>
      </c>
      <c r="CA382" s="1011">
        <v>0</v>
      </c>
      <c r="CB382" s="510">
        <v>22000</v>
      </c>
      <c r="CC382" s="1011">
        <v>0</v>
      </c>
      <c r="CD382" s="510">
        <v>0</v>
      </c>
      <c r="CE382" s="1011">
        <v>0</v>
      </c>
      <c r="CF382" s="510">
        <v>62387.6</v>
      </c>
      <c r="CG382" s="1011">
        <v>0</v>
      </c>
      <c r="CH382" s="510">
        <v>0</v>
      </c>
      <c r="CI382" s="1011">
        <v>0</v>
      </c>
    </row>
    <row r="383" spans="1:87" x14ac:dyDescent="0.2">
      <c r="A383" s="449">
        <v>50</v>
      </c>
      <c r="B383" s="453">
        <v>19432</v>
      </c>
      <c r="C383" s="454" t="s">
        <v>4285</v>
      </c>
      <c r="D383" s="454" t="s">
        <v>4286</v>
      </c>
      <c r="E383" s="454" t="s">
        <v>4285</v>
      </c>
      <c r="F383" s="454" t="s">
        <v>520</v>
      </c>
      <c r="G383" s="454" t="s">
        <v>12953</v>
      </c>
      <c r="H383" s="455">
        <v>15712373000162</v>
      </c>
      <c r="I383" s="462">
        <v>41043</v>
      </c>
      <c r="J383" s="457">
        <v>45727988</v>
      </c>
      <c r="K383" s="454" t="s">
        <v>4288</v>
      </c>
      <c r="L383" s="458">
        <v>1000</v>
      </c>
      <c r="M383" s="454" t="s">
        <v>1665</v>
      </c>
      <c r="N383" s="459">
        <v>4944050</v>
      </c>
      <c r="O383" s="460">
        <v>55170421</v>
      </c>
      <c r="P383" s="462">
        <v>309268</v>
      </c>
      <c r="Q383" s="462">
        <v>50</v>
      </c>
      <c r="R383" s="462">
        <v>43969</v>
      </c>
      <c r="S383" s="463">
        <v>498</v>
      </c>
      <c r="T383" s="464">
        <v>3.6</v>
      </c>
      <c r="U383" s="465">
        <v>1792.8</v>
      </c>
      <c r="V383" s="465">
        <v>15120</v>
      </c>
      <c r="W383" s="466">
        <v>0</v>
      </c>
      <c r="X383" s="467">
        <v>1</v>
      </c>
      <c r="Y383" s="466">
        <v>25369.200000000001</v>
      </c>
      <c r="Z383" s="468" t="s">
        <v>516</v>
      </c>
      <c r="AA383" s="466">
        <v>107398.8</v>
      </c>
      <c r="AB383" s="466">
        <v>107398.8</v>
      </c>
      <c r="AC383" s="467">
        <v>0</v>
      </c>
      <c r="AD383" s="466">
        <v>0</v>
      </c>
      <c r="AE383" s="468" t="s">
        <v>516</v>
      </c>
      <c r="AF383" s="466">
        <v>0</v>
      </c>
      <c r="AG383" s="466">
        <v>0</v>
      </c>
      <c r="AH383" s="466">
        <v>23257.89</v>
      </c>
      <c r="AI383" s="466">
        <v>7553.89</v>
      </c>
      <c r="AJ383" s="469" t="s">
        <v>1515</v>
      </c>
      <c r="AK383" s="470" t="s">
        <v>1516</v>
      </c>
      <c r="AL383" s="471" t="s">
        <v>15137</v>
      </c>
      <c r="AM383" s="470" t="s">
        <v>4289</v>
      </c>
      <c r="AN383" s="470" t="s">
        <v>4287</v>
      </c>
      <c r="AO383" s="470" t="s">
        <v>4290</v>
      </c>
      <c r="AP383" s="470" t="s">
        <v>1665</v>
      </c>
      <c r="AQ383" s="470" t="s">
        <v>4285</v>
      </c>
      <c r="AR383" s="472" t="s">
        <v>515</v>
      </c>
      <c r="AS383" s="473">
        <v>3.6</v>
      </c>
      <c r="AT383" s="472" t="s">
        <v>4286</v>
      </c>
      <c r="AU383" s="472" t="s">
        <v>420</v>
      </c>
      <c r="AV383" s="472">
        <v>2020</v>
      </c>
      <c r="AW383" s="474" t="s">
        <v>15078</v>
      </c>
      <c r="AX383" s="475" t="s">
        <v>15079</v>
      </c>
      <c r="AY383" s="515">
        <v>1</v>
      </c>
      <c r="AZ383" s="474" t="s">
        <v>15079</v>
      </c>
      <c r="BA383" s="472" t="s">
        <v>4286</v>
      </c>
      <c r="BB383" s="472" t="s">
        <v>1385</v>
      </c>
      <c r="BC383" s="472" t="s">
        <v>1385</v>
      </c>
      <c r="BD383" s="472" t="s">
        <v>1385</v>
      </c>
      <c r="BE383" s="472" t="s">
        <v>1385</v>
      </c>
      <c r="BF383" s="472">
        <v>25369.200000000001</v>
      </c>
      <c r="BG383" s="472">
        <v>0</v>
      </c>
      <c r="BH383" s="472" t="s">
        <v>1385</v>
      </c>
      <c r="BI383" s="510">
        <v>0</v>
      </c>
      <c r="BJ383" s="510">
        <v>0</v>
      </c>
      <c r="BK383" s="510">
        <v>0</v>
      </c>
      <c r="BL383" s="510">
        <v>0</v>
      </c>
      <c r="BM383" s="510">
        <v>0</v>
      </c>
      <c r="BN383" s="510">
        <v>4000</v>
      </c>
      <c r="BO383" s="510">
        <v>0</v>
      </c>
      <c r="BP383" s="510">
        <v>0</v>
      </c>
      <c r="BQ383" s="510">
        <v>0</v>
      </c>
      <c r="BR383" s="510">
        <v>0</v>
      </c>
      <c r="BS383" s="510">
        <v>0</v>
      </c>
      <c r="BT383" s="510">
        <v>0</v>
      </c>
      <c r="BU383" s="510">
        <v>0</v>
      </c>
      <c r="BV383" s="510">
        <v>0</v>
      </c>
      <c r="BW383" s="510">
        <v>0</v>
      </c>
      <c r="BX383" s="510">
        <v>30000</v>
      </c>
      <c r="BY383" s="1011">
        <v>0</v>
      </c>
      <c r="BZ383" s="510">
        <v>0</v>
      </c>
      <c r="CA383" s="1011">
        <v>0</v>
      </c>
      <c r="CB383" s="510">
        <v>0</v>
      </c>
      <c r="CC383" s="1011">
        <v>0</v>
      </c>
      <c r="CD383" s="510">
        <v>0</v>
      </c>
      <c r="CE383" s="1011">
        <v>0</v>
      </c>
      <c r="CF383" s="510">
        <v>52029.599999999999</v>
      </c>
      <c r="CG383" s="1011">
        <v>0</v>
      </c>
      <c r="CH383" s="510">
        <v>0</v>
      </c>
      <c r="CI383" s="1011">
        <v>0</v>
      </c>
    </row>
    <row r="384" spans="1:87" x14ac:dyDescent="0.2">
      <c r="A384" s="449">
        <v>58</v>
      </c>
      <c r="B384" s="453">
        <v>19433</v>
      </c>
      <c r="C384" s="454" t="s">
        <v>4291</v>
      </c>
      <c r="D384" s="454" t="s">
        <v>517</v>
      </c>
      <c r="E384" s="454" t="s">
        <v>4292</v>
      </c>
      <c r="F384" s="454" t="s">
        <v>526</v>
      </c>
      <c r="G384" s="454" t="s">
        <v>12954</v>
      </c>
      <c r="H384" s="455">
        <v>10840732000143</v>
      </c>
      <c r="I384" s="462">
        <v>39948</v>
      </c>
      <c r="J384" s="457">
        <v>39558479</v>
      </c>
      <c r="K384" s="454" t="s">
        <v>4293</v>
      </c>
      <c r="L384" s="458">
        <v>40</v>
      </c>
      <c r="M384" s="454" t="s">
        <v>4294</v>
      </c>
      <c r="N384" s="459">
        <v>8142235</v>
      </c>
      <c r="O384" s="460">
        <v>21566970</v>
      </c>
      <c r="P384" s="462">
        <v>122117</v>
      </c>
      <c r="Q384" s="462">
        <v>58</v>
      </c>
      <c r="R384" s="462">
        <v>43928</v>
      </c>
      <c r="S384" s="463">
        <v>957</v>
      </c>
      <c r="T384" s="464">
        <v>5.4</v>
      </c>
      <c r="U384" s="465">
        <v>5167.8</v>
      </c>
      <c r="V384" s="465">
        <v>20340</v>
      </c>
      <c r="W384" s="466">
        <v>0</v>
      </c>
      <c r="X384" s="467">
        <v>1</v>
      </c>
      <c r="Y384" s="466">
        <v>38261.699999999997</v>
      </c>
      <c r="Z384" s="468" t="s">
        <v>516</v>
      </c>
      <c r="AA384" s="466">
        <v>137627.29999999999</v>
      </c>
      <c r="AB384" s="466">
        <v>137627.29999999999</v>
      </c>
      <c r="AC384" s="467">
        <v>0</v>
      </c>
      <c r="AD384" s="466">
        <v>0</v>
      </c>
      <c r="AE384" s="468" t="s">
        <v>516</v>
      </c>
      <c r="AF384" s="466">
        <v>1600</v>
      </c>
      <c r="AG384" s="466">
        <v>1600</v>
      </c>
      <c r="AH384" s="466">
        <v>61167.01</v>
      </c>
      <c r="AI384" s="466">
        <v>0</v>
      </c>
      <c r="AJ384" s="469" t="s">
        <v>1410</v>
      </c>
      <c r="AK384" s="470" t="s">
        <v>1411</v>
      </c>
      <c r="AL384" s="471" t="s">
        <v>4295</v>
      </c>
      <c r="AM384" s="470" t="s">
        <v>4296</v>
      </c>
      <c r="AN384" s="470" t="s">
        <v>1385</v>
      </c>
      <c r="AO384" s="470" t="s">
        <v>4297</v>
      </c>
      <c r="AP384" s="470" t="s">
        <v>4298</v>
      </c>
      <c r="AQ384" s="470" t="s">
        <v>4291</v>
      </c>
      <c r="AR384" s="472" t="s">
        <v>515</v>
      </c>
      <c r="AS384" s="473" t="s">
        <v>1385</v>
      </c>
      <c r="AT384" s="472" t="s">
        <v>517</v>
      </c>
      <c r="AU384" s="472" t="s">
        <v>420</v>
      </c>
      <c r="AV384" s="472">
        <v>2020</v>
      </c>
      <c r="AW384" s="474" t="s">
        <v>15078</v>
      </c>
      <c r="AX384" s="475" t="s">
        <v>15079</v>
      </c>
      <c r="AY384" s="515">
        <v>1</v>
      </c>
      <c r="AZ384" s="474" t="s">
        <v>15079</v>
      </c>
      <c r="BA384" s="472" t="s">
        <v>517</v>
      </c>
      <c r="BB384" s="472" t="s">
        <v>1385</v>
      </c>
      <c r="BC384" s="472" t="s">
        <v>1385</v>
      </c>
      <c r="BD384" s="472" t="s">
        <v>1385</v>
      </c>
      <c r="BE384" s="472" t="s">
        <v>1385</v>
      </c>
      <c r="BF384" s="472">
        <v>38261.699999999997</v>
      </c>
      <c r="BG384" s="472">
        <v>0</v>
      </c>
      <c r="BH384" s="472" t="s">
        <v>1385</v>
      </c>
      <c r="BI384" s="510">
        <v>0</v>
      </c>
      <c r="BJ384" s="510">
        <v>0</v>
      </c>
      <c r="BK384" s="510">
        <v>0</v>
      </c>
      <c r="BL384" s="510">
        <v>1.35</v>
      </c>
      <c r="BM384" s="510">
        <v>0</v>
      </c>
      <c r="BN384" s="510">
        <v>3450</v>
      </c>
      <c r="BO384" s="510">
        <v>400</v>
      </c>
      <c r="BP384" s="510">
        <v>1600</v>
      </c>
      <c r="BQ384" s="510">
        <v>0</v>
      </c>
      <c r="BR384" s="510">
        <v>0</v>
      </c>
      <c r="BS384" s="510">
        <v>0</v>
      </c>
      <c r="BT384" s="510">
        <v>0</v>
      </c>
      <c r="BU384" s="510">
        <v>2500</v>
      </c>
      <c r="BV384" s="510">
        <v>2500</v>
      </c>
      <c r="BW384" s="510">
        <v>0</v>
      </c>
      <c r="BX384" s="510">
        <v>30000</v>
      </c>
      <c r="BY384" s="1011">
        <v>0</v>
      </c>
      <c r="BZ384" s="510">
        <v>0</v>
      </c>
      <c r="CA384" s="1011">
        <v>0</v>
      </c>
      <c r="CB384" s="510">
        <v>22000</v>
      </c>
      <c r="CC384" s="1011">
        <v>0</v>
      </c>
      <c r="CD384" s="510">
        <v>0</v>
      </c>
      <c r="CE384" s="1011">
        <v>0</v>
      </c>
      <c r="CF384" s="510">
        <v>46965.599999999999</v>
      </c>
      <c r="CG384" s="1011">
        <v>0</v>
      </c>
      <c r="CH384" s="510">
        <v>0</v>
      </c>
      <c r="CI384" s="1011">
        <v>0</v>
      </c>
    </row>
    <row r="385" spans="1:87" x14ac:dyDescent="0.2">
      <c r="A385" s="449">
        <v>59</v>
      </c>
      <c r="B385" s="453">
        <v>19434</v>
      </c>
      <c r="C385" s="454" t="s">
        <v>4299</v>
      </c>
      <c r="D385" s="454" t="s">
        <v>517</v>
      </c>
      <c r="E385" s="454" t="s">
        <v>4299</v>
      </c>
      <c r="F385" s="454" t="s">
        <v>520</v>
      </c>
      <c r="G385" s="454" t="s">
        <v>12955</v>
      </c>
      <c r="H385" s="455">
        <v>10953293000185</v>
      </c>
      <c r="I385" s="462">
        <v>39995</v>
      </c>
      <c r="J385" s="457">
        <v>43103014</v>
      </c>
      <c r="K385" s="454" t="s">
        <v>4301</v>
      </c>
      <c r="L385" s="458" t="s">
        <v>1446</v>
      </c>
      <c r="M385" s="454" t="s">
        <v>4302</v>
      </c>
      <c r="N385" s="459">
        <v>5885680</v>
      </c>
      <c r="O385" s="460">
        <v>58242948</v>
      </c>
      <c r="P385" s="462">
        <v>300309</v>
      </c>
      <c r="Q385" s="462">
        <v>124</v>
      </c>
      <c r="R385" s="462">
        <v>43983</v>
      </c>
      <c r="S385" s="463">
        <v>695</v>
      </c>
      <c r="T385" s="464">
        <v>5.4</v>
      </c>
      <c r="U385" s="465">
        <v>3753</v>
      </c>
      <c r="V385" s="465">
        <v>17100</v>
      </c>
      <c r="W385" s="466">
        <v>0</v>
      </c>
      <c r="X385" s="467">
        <v>1</v>
      </c>
      <c r="Y385" s="466">
        <v>31279.5</v>
      </c>
      <c r="Z385" s="468" t="s">
        <v>516</v>
      </c>
      <c r="AA385" s="466">
        <v>125017.9</v>
      </c>
      <c r="AB385" s="466">
        <v>125017.9</v>
      </c>
      <c r="AC385" s="467">
        <v>0</v>
      </c>
      <c r="AD385" s="466">
        <v>0</v>
      </c>
      <c r="AE385" s="468" t="s">
        <v>516</v>
      </c>
      <c r="AF385" s="466">
        <v>0</v>
      </c>
      <c r="AG385" s="466">
        <v>0</v>
      </c>
      <c r="AH385" s="466">
        <v>17015.36</v>
      </c>
      <c r="AI385" s="466">
        <v>5928.14</v>
      </c>
      <c r="AJ385" s="469" t="s">
        <v>1515</v>
      </c>
      <c r="AK385" s="470" t="s">
        <v>1516</v>
      </c>
      <c r="AL385" s="471" t="s">
        <v>4303</v>
      </c>
      <c r="AM385" s="470" t="s">
        <v>4304</v>
      </c>
      <c r="AN385" s="470" t="s">
        <v>4300</v>
      </c>
      <c r="AO385" s="470" t="s">
        <v>4305</v>
      </c>
      <c r="AP385" s="470" t="s">
        <v>4306</v>
      </c>
      <c r="AQ385" s="470" t="s">
        <v>4299</v>
      </c>
      <c r="AR385" s="472" t="s">
        <v>515</v>
      </c>
      <c r="AS385" s="473" t="s">
        <v>1385</v>
      </c>
      <c r="AT385" s="472" t="s">
        <v>517</v>
      </c>
      <c r="AU385" s="472" t="s">
        <v>420</v>
      </c>
      <c r="AV385" s="472">
        <v>2020</v>
      </c>
      <c r="AW385" s="474" t="s">
        <v>15078</v>
      </c>
      <c r="AX385" s="475" t="s">
        <v>15079</v>
      </c>
      <c r="AY385" s="515">
        <v>1</v>
      </c>
      <c r="AZ385" s="474" t="s">
        <v>15079</v>
      </c>
      <c r="BA385" s="472" t="s">
        <v>517</v>
      </c>
      <c r="BB385" s="472" t="s">
        <v>1385</v>
      </c>
      <c r="BC385" s="472" t="s">
        <v>1385</v>
      </c>
      <c r="BD385" s="472" t="s">
        <v>1385</v>
      </c>
      <c r="BE385" s="472" t="s">
        <v>1385</v>
      </c>
      <c r="BF385" s="472">
        <v>31279.5</v>
      </c>
      <c r="BG385" s="472">
        <v>0</v>
      </c>
      <c r="BH385" s="472" t="s">
        <v>1385</v>
      </c>
      <c r="BI385" s="510">
        <v>0</v>
      </c>
      <c r="BJ385" s="510">
        <v>0</v>
      </c>
      <c r="BK385" s="510">
        <v>0</v>
      </c>
      <c r="BL385" s="510">
        <v>348.66</v>
      </c>
      <c r="BM385" s="510">
        <v>0</v>
      </c>
      <c r="BN385" s="510">
        <v>3500</v>
      </c>
      <c r="BO385" s="510">
        <v>0</v>
      </c>
      <c r="BP385" s="510">
        <v>0</v>
      </c>
      <c r="BQ385" s="510">
        <v>0</v>
      </c>
      <c r="BR385" s="510">
        <v>0</v>
      </c>
      <c r="BS385" s="510">
        <v>0</v>
      </c>
      <c r="BT385" s="510">
        <v>0</v>
      </c>
      <c r="BU385" s="510">
        <v>2500</v>
      </c>
      <c r="BV385" s="510">
        <v>2500</v>
      </c>
      <c r="BW385" s="510">
        <v>0</v>
      </c>
      <c r="BX385" s="510">
        <v>30000</v>
      </c>
      <c r="BY385" s="1011">
        <v>0</v>
      </c>
      <c r="BZ385" s="510">
        <v>0</v>
      </c>
      <c r="CA385" s="1011">
        <v>0</v>
      </c>
      <c r="CB385" s="510">
        <v>22000</v>
      </c>
      <c r="CC385" s="1011">
        <v>0</v>
      </c>
      <c r="CD385" s="510">
        <v>0</v>
      </c>
      <c r="CE385" s="1011">
        <v>0</v>
      </c>
      <c r="CF385" s="510">
        <v>41738.400000000001</v>
      </c>
      <c r="CG385" s="1011">
        <v>0</v>
      </c>
      <c r="CH385" s="510">
        <v>0</v>
      </c>
      <c r="CI385" s="1011">
        <v>0</v>
      </c>
    </row>
    <row r="386" spans="1:87" x14ac:dyDescent="0.2">
      <c r="A386" s="449">
        <v>41</v>
      </c>
      <c r="B386" s="453">
        <v>19436</v>
      </c>
      <c r="C386" s="454" t="s">
        <v>4307</v>
      </c>
      <c r="D386" s="454" t="s">
        <v>517</v>
      </c>
      <c r="E386" s="454" t="s">
        <v>4308</v>
      </c>
      <c r="F386" s="454" t="s">
        <v>521</v>
      </c>
      <c r="G386" s="454" t="s">
        <v>12956</v>
      </c>
      <c r="H386" s="455">
        <v>11512562000130</v>
      </c>
      <c r="I386" s="462">
        <v>40143</v>
      </c>
      <c r="J386" s="457">
        <v>41832191</v>
      </c>
      <c r="K386" s="454" t="s">
        <v>4309</v>
      </c>
      <c r="L386" s="458">
        <v>67</v>
      </c>
      <c r="M386" s="454" t="s">
        <v>4310</v>
      </c>
      <c r="N386" s="459">
        <v>4860110</v>
      </c>
      <c r="O386" s="460">
        <v>59255042</v>
      </c>
      <c r="P386" s="462">
        <v>101837</v>
      </c>
      <c r="Q386" s="462">
        <v>91</v>
      </c>
      <c r="R386" s="462">
        <v>43934</v>
      </c>
      <c r="S386" s="463">
        <v>776</v>
      </c>
      <c r="T386" s="464">
        <v>5.4</v>
      </c>
      <c r="U386" s="465">
        <v>4190.3999999999996</v>
      </c>
      <c r="V386" s="465">
        <v>18720</v>
      </c>
      <c r="W386" s="466">
        <v>0</v>
      </c>
      <c r="X386" s="467">
        <v>1</v>
      </c>
      <c r="Y386" s="466">
        <v>39981.599999999999</v>
      </c>
      <c r="Z386" s="468" t="s">
        <v>516</v>
      </c>
      <c r="AA386" s="466">
        <v>150793.60000000001</v>
      </c>
      <c r="AB386" s="466">
        <v>150793.60000000001</v>
      </c>
      <c r="AC386" s="467">
        <v>0</v>
      </c>
      <c r="AD386" s="466">
        <v>0</v>
      </c>
      <c r="AE386" s="468" t="s">
        <v>516</v>
      </c>
      <c r="AF386" s="466">
        <v>1000</v>
      </c>
      <c r="AG386" s="466">
        <v>1000</v>
      </c>
      <c r="AH386" s="466">
        <v>30002.45</v>
      </c>
      <c r="AI386" s="466">
        <v>2705.52</v>
      </c>
      <c r="AJ386" s="469" t="s">
        <v>1624</v>
      </c>
      <c r="AK386" s="470" t="s">
        <v>1625</v>
      </c>
      <c r="AL386" s="471" t="s">
        <v>4311</v>
      </c>
      <c r="AM386" s="470" t="s">
        <v>4312</v>
      </c>
      <c r="AN386" s="470" t="s">
        <v>1385</v>
      </c>
      <c r="AO386" s="470" t="s">
        <v>14905</v>
      </c>
      <c r="AP386" s="470" t="s">
        <v>4313</v>
      </c>
      <c r="AQ386" s="470" t="s">
        <v>4307</v>
      </c>
      <c r="AR386" s="472" t="s">
        <v>515</v>
      </c>
      <c r="AS386" s="473" t="s">
        <v>1385</v>
      </c>
      <c r="AT386" s="472" t="s">
        <v>517</v>
      </c>
      <c r="AU386" s="472" t="s">
        <v>420</v>
      </c>
      <c r="AV386" s="472">
        <v>2020</v>
      </c>
      <c r="AW386" s="474" t="s">
        <v>15078</v>
      </c>
      <c r="AX386" s="475" t="s">
        <v>15079</v>
      </c>
      <c r="AY386" s="515">
        <v>1</v>
      </c>
      <c r="AZ386" s="474" t="s">
        <v>15079</v>
      </c>
      <c r="BA386" s="472" t="s">
        <v>517</v>
      </c>
      <c r="BB386" s="472" t="s">
        <v>516</v>
      </c>
      <c r="BC386" s="472">
        <v>3</v>
      </c>
      <c r="BD386" s="472">
        <v>3744</v>
      </c>
      <c r="BE386" s="472">
        <v>0</v>
      </c>
      <c r="BF386" s="472">
        <v>39981.599999999999</v>
      </c>
      <c r="BG386" s="472">
        <v>0</v>
      </c>
      <c r="BH386" s="472" t="s">
        <v>1385</v>
      </c>
      <c r="BI386" s="510">
        <v>0</v>
      </c>
      <c r="BJ386" s="510">
        <v>0</v>
      </c>
      <c r="BK386" s="510">
        <v>0</v>
      </c>
      <c r="BL386" s="510">
        <v>812.71</v>
      </c>
      <c r="BM386" s="510">
        <v>0</v>
      </c>
      <c r="BN386" s="510">
        <v>5000</v>
      </c>
      <c r="BO386" s="510">
        <v>1000</v>
      </c>
      <c r="BP386" s="510">
        <v>1000</v>
      </c>
      <c r="BQ386" s="510">
        <v>0</v>
      </c>
      <c r="BR386" s="510">
        <v>0</v>
      </c>
      <c r="BS386" s="510">
        <v>0</v>
      </c>
      <c r="BT386" s="510">
        <v>0</v>
      </c>
      <c r="BU386" s="510">
        <v>0</v>
      </c>
      <c r="BV386" s="510">
        <v>0</v>
      </c>
      <c r="BW386" s="510">
        <v>0</v>
      </c>
      <c r="BX386" s="510">
        <v>30000</v>
      </c>
      <c r="BY386" s="1011">
        <v>0</v>
      </c>
      <c r="BZ386" s="510">
        <v>0</v>
      </c>
      <c r="CA386" s="1011">
        <v>0</v>
      </c>
      <c r="CB386" s="510">
        <v>22000</v>
      </c>
      <c r="CC386" s="1011">
        <v>0</v>
      </c>
      <c r="CD386" s="510">
        <v>0</v>
      </c>
      <c r="CE386" s="1011">
        <v>0</v>
      </c>
      <c r="CF386" s="510">
        <v>57812</v>
      </c>
      <c r="CG386" s="1011">
        <v>0</v>
      </c>
      <c r="CH386" s="510">
        <v>0</v>
      </c>
      <c r="CI386" s="1011">
        <v>0</v>
      </c>
    </row>
    <row r="387" spans="1:87" x14ac:dyDescent="0.2">
      <c r="A387" s="449">
        <v>41</v>
      </c>
      <c r="B387" s="453">
        <v>19437</v>
      </c>
      <c r="C387" s="454" t="s">
        <v>4314</v>
      </c>
      <c r="D387" s="454" t="s">
        <v>517</v>
      </c>
      <c r="E387" s="454" t="s">
        <v>4315</v>
      </c>
      <c r="F387" s="454" t="s">
        <v>523</v>
      </c>
      <c r="G387" s="454" t="s">
        <v>12957</v>
      </c>
      <c r="H387" s="455">
        <v>4348276000116</v>
      </c>
      <c r="I387" s="462">
        <v>36686</v>
      </c>
      <c r="J387" s="457">
        <v>37615696</v>
      </c>
      <c r="K387" s="454" t="s">
        <v>4316</v>
      </c>
      <c r="L387" s="458">
        <v>42</v>
      </c>
      <c r="M387" s="454" t="s">
        <v>4317</v>
      </c>
      <c r="N387" s="459">
        <v>8451550</v>
      </c>
      <c r="O387" s="460">
        <v>25544503</v>
      </c>
      <c r="P387" s="462">
        <v>264388</v>
      </c>
      <c r="Q387" s="462">
        <v>41</v>
      </c>
      <c r="R387" s="462">
        <v>43921</v>
      </c>
      <c r="S387" s="463">
        <v>1097</v>
      </c>
      <c r="T387" s="464">
        <v>5.4</v>
      </c>
      <c r="U387" s="465">
        <v>5923.8</v>
      </c>
      <c r="V387" s="465">
        <v>20340</v>
      </c>
      <c r="W387" s="466">
        <v>0</v>
      </c>
      <c r="X387" s="467">
        <v>1</v>
      </c>
      <c r="Y387" s="466">
        <v>39395.699999999997</v>
      </c>
      <c r="Z387" s="468" t="s">
        <v>516</v>
      </c>
      <c r="AA387" s="466">
        <v>143264.5</v>
      </c>
      <c r="AB387" s="466">
        <v>143264.5</v>
      </c>
      <c r="AC387" s="467">
        <v>0</v>
      </c>
      <c r="AD387" s="466">
        <v>0</v>
      </c>
      <c r="AE387" s="468" t="s">
        <v>516</v>
      </c>
      <c r="AF387" s="466">
        <v>2000</v>
      </c>
      <c r="AG387" s="466">
        <v>2000</v>
      </c>
      <c r="AH387" s="466">
        <v>16607.5</v>
      </c>
      <c r="AI387" s="466">
        <v>5252.76</v>
      </c>
      <c r="AJ387" s="469" t="s">
        <v>1674</v>
      </c>
      <c r="AK387" s="470" t="s">
        <v>518</v>
      </c>
      <c r="AL387" s="471" t="s">
        <v>4318</v>
      </c>
      <c r="AM387" s="470" t="s">
        <v>4319</v>
      </c>
      <c r="AN387" s="470" t="s">
        <v>1385</v>
      </c>
      <c r="AO387" s="470" t="s">
        <v>4320</v>
      </c>
      <c r="AP387" s="470" t="s">
        <v>4321</v>
      </c>
      <c r="AQ387" s="470" t="s">
        <v>4314</v>
      </c>
      <c r="AR387" s="472" t="s">
        <v>515</v>
      </c>
      <c r="AS387" s="473" t="s">
        <v>1385</v>
      </c>
      <c r="AT387" s="472" t="s">
        <v>517</v>
      </c>
      <c r="AU387" s="472" t="s">
        <v>420</v>
      </c>
      <c r="AV387" s="472">
        <v>2020</v>
      </c>
      <c r="AW387" s="474" t="s">
        <v>15078</v>
      </c>
      <c r="AX387" s="475" t="s">
        <v>15079</v>
      </c>
      <c r="AY387" s="515">
        <v>1</v>
      </c>
      <c r="AZ387" s="474" t="s">
        <v>15079</v>
      </c>
      <c r="BA387" s="472" t="s">
        <v>517</v>
      </c>
      <c r="BB387" s="472" t="s">
        <v>1385</v>
      </c>
      <c r="BC387" s="472" t="s">
        <v>1385</v>
      </c>
      <c r="BD387" s="472" t="s">
        <v>1385</v>
      </c>
      <c r="BE387" s="472" t="s">
        <v>1385</v>
      </c>
      <c r="BF387" s="472">
        <v>39395.699999999997</v>
      </c>
      <c r="BG387" s="472">
        <v>0</v>
      </c>
      <c r="BH387" s="472" t="s">
        <v>1385</v>
      </c>
      <c r="BI387" s="510">
        <v>0</v>
      </c>
      <c r="BJ387" s="510">
        <v>0</v>
      </c>
      <c r="BK387" s="510">
        <v>0</v>
      </c>
      <c r="BL387" s="510">
        <v>1267.4000000000001</v>
      </c>
      <c r="BM387" s="510">
        <v>0</v>
      </c>
      <c r="BN387" s="510">
        <v>5000</v>
      </c>
      <c r="BO387" s="510">
        <v>0</v>
      </c>
      <c r="BP387" s="510">
        <v>2000</v>
      </c>
      <c r="BQ387" s="510">
        <v>0</v>
      </c>
      <c r="BR387" s="510">
        <v>0</v>
      </c>
      <c r="BS387" s="510">
        <v>0</v>
      </c>
      <c r="BT387" s="510">
        <v>0</v>
      </c>
      <c r="BU387" s="510">
        <v>0</v>
      </c>
      <c r="BV387" s="510">
        <v>0</v>
      </c>
      <c r="BW387" s="510">
        <v>0</v>
      </c>
      <c r="BX387" s="510">
        <v>30000</v>
      </c>
      <c r="BY387" s="1011">
        <v>0</v>
      </c>
      <c r="BZ387" s="510">
        <v>0</v>
      </c>
      <c r="CA387" s="1011">
        <v>0</v>
      </c>
      <c r="CB387" s="510">
        <v>22000</v>
      </c>
      <c r="CC387" s="1011">
        <v>0</v>
      </c>
      <c r="CD387" s="510">
        <v>0</v>
      </c>
      <c r="CE387" s="1011">
        <v>0</v>
      </c>
      <c r="CF387" s="510">
        <v>51868.800000000003</v>
      </c>
      <c r="CG387" s="1011">
        <v>0</v>
      </c>
      <c r="CH387" s="510">
        <v>0</v>
      </c>
      <c r="CI387" s="1011">
        <v>0</v>
      </c>
    </row>
    <row r="388" spans="1:87" x14ac:dyDescent="0.2">
      <c r="A388" s="449">
        <v>34</v>
      </c>
      <c r="B388" s="453">
        <v>19439</v>
      </c>
      <c r="C388" s="454" t="s">
        <v>4322</v>
      </c>
      <c r="D388" s="454" t="s">
        <v>517</v>
      </c>
      <c r="E388" s="454" t="s">
        <v>4323</v>
      </c>
      <c r="F388" s="454" t="s">
        <v>521</v>
      </c>
      <c r="G388" s="454" t="s">
        <v>12958</v>
      </c>
      <c r="H388" s="455">
        <v>12308362000123</v>
      </c>
      <c r="I388" s="462">
        <v>40364</v>
      </c>
      <c r="J388" s="457">
        <v>41659481</v>
      </c>
      <c r="K388" s="454" t="s">
        <v>4324</v>
      </c>
      <c r="L388" s="458">
        <v>1</v>
      </c>
      <c r="M388" s="454" t="s">
        <v>4325</v>
      </c>
      <c r="N388" s="459">
        <v>4837210</v>
      </c>
      <c r="O388" s="460">
        <v>59274253</v>
      </c>
      <c r="P388" s="462">
        <v>101136</v>
      </c>
      <c r="Q388" s="462">
        <v>102</v>
      </c>
      <c r="R388" s="462">
        <v>43934</v>
      </c>
      <c r="S388" s="463">
        <v>643</v>
      </c>
      <c r="T388" s="464">
        <v>5.4</v>
      </c>
      <c r="U388" s="465">
        <v>3472.2</v>
      </c>
      <c r="V388" s="465">
        <v>17100</v>
      </c>
      <c r="W388" s="466">
        <v>0</v>
      </c>
      <c r="X388" s="467">
        <v>1</v>
      </c>
      <c r="Y388" s="466">
        <v>30858.3</v>
      </c>
      <c r="Z388" s="468" t="s">
        <v>516</v>
      </c>
      <c r="AA388" s="466">
        <v>125272.7</v>
      </c>
      <c r="AB388" s="466">
        <v>125272.7</v>
      </c>
      <c r="AC388" s="467">
        <v>0</v>
      </c>
      <c r="AD388" s="466">
        <v>0</v>
      </c>
      <c r="AE388" s="468" t="s">
        <v>516</v>
      </c>
      <c r="AF388" s="466">
        <v>1000</v>
      </c>
      <c r="AG388" s="466">
        <v>1000</v>
      </c>
      <c r="AH388" s="466">
        <v>28025.88</v>
      </c>
      <c r="AI388" s="466">
        <v>3809.76</v>
      </c>
      <c r="AJ388" s="469" t="s">
        <v>1624</v>
      </c>
      <c r="AK388" s="470" t="s">
        <v>1625</v>
      </c>
      <c r="AL388" s="471" t="s">
        <v>4326</v>
      </c>
      <c r="AM388" s="470" t="s">
        <v>12959</v>
      </c>
      <c r="AN388" s="470" t="s">
        <v>1385</v>
      </c>
      <c r="AO388" s="470" t="s">
        <v>12960</v>
      </c>
      <c r="AP388" s="470" t="s">
        <v>4327</v>
      </c>
      <c r="AQ388" s="470" t="s">
        <v>4322</v>
      </c>
      <c r="AR388" s="472" t="s">
        <v>515</v>
      </c>
      <c r="AS388" s="473" t="s">
        <v>1385</v>
      </c>
      <c r="AT388" s="472" t="s">
        <v>517</v>
      </c>
      <c r="AU388" s="472" t="s">
        <v>420</v>
      </c>
      <c r="AV388" s="472">
        <v>2020</v>
      </c>
      <c r="AW388" s="474" t="s">
        <v>15078</v>
      </c>
      <c r="AX388" s="475" t="s">
        <v>15079</v>
      </c>
      <c r="AY388" s="515">
        <v>1</v>
      </c>
      <c r="AZ388" s="474" t="s">
        <v>15079</v>
      </c>
      <c r="BA388" s="472" t="s">
        <v>517</v>
      </c>
      <c r="BB388" s="472" t="s">
        <v>1385</v>
      </c>
      <c r="BC388" s="472" t="s">
        <v>1385</v>
      </c>
      <c r="BD388" s="472" t="s">
        <v>1385</v>
      </c>
      <c r="BE388" s="472" t="s">
        <v>1385</v>
      </c>
      <c r="BF388" s="472">
        <v>30858.3</v>
      </c>
      <c r="BG388" s="472">
        <v>0</v>
      </c>
      <c r="BH388" s="472" t="s">
        <v>1385</v>
      </c>
      <c r="BI388" s="510">
        <v>0</v>
      </c>
      <c r="BJ388" s="510">
        <v>0</v>
      </c>
      <c r="BK388" s="510">
        <v>0</v>
      </c>
      <c r="BL388" s="510">
        <v>3500</v>
      </c>
      <c r="BM388" s="510">
        <v>0</v>
      </c>
      <c r="BN388" s="510">
        <v>3500</v>
      </c>
      <c r="BO388" s="510">
        <v>1000</v>
      </c>
      <c r="BP388" s="510">
        <v>1000</v>
      </c>
      <c r="BQ388" s="510">
        <v>0</v>
      </c>
      <c r="BR388" s="510">
        <v>0</v>
      </c>
      <c r="BS388" s="510">
        <v>0</v>
      </c>
      <c r="BT388" s="510">
        <v>0</v>
      </c>
      <c r="BU388" s="510">
        <v>2500</v>
      </c>
      <c r="BV388" s="510">
        <v>2500</v>
      </c>
      <c r="BW388" s="510">
        <v>0</v>
      </c>
      <c r="BX388" s="510">
        <v>30000</v>
      </c>
      <c r="BY388" s="1011">
        <v>0</v>
      </c>
      <c r="BZ388" s="510">
        <v>0</v>
      </c>
      <c r="CA388" s="1011">
        <v>0</v>
      </c>
      <c r="CB388" s="510">
        <v>22000</v>
      </c>
      <c r="CC388" s="1011">
        <v>0</v>
      </c>
      <c r="CD388" s="510">
        <v>0</v>
      </c>
      <c r="CE388" s="1011">
        <v>0</v>
      </c>
      <c r="CF388" s="510">
        <v>41414.400000000001</v>
      </c>
      <c r="CG388" s="1011">
        <v>0</v>
      </c>
      <c r="CH388" s="510">
        <v>0</v>
      </c>
      <c r="CI388" s="1011">
        <v>0</v>
      </c>
    </row>
    <row r="389" spans="1:87" x14ac:dyDescent="0.2">
      <c r="A389" s="449">
        <v>63</v>
      </c>
      <c r="B389" s="453">
        <v>19440</v>
      </c>
      <c r="C389" s="454" t="s">
        <v>4328</v>
      </c>
      <c r="D389" s="454" t="s">
        <v>517</v>
      </c>
      <c r="E389" s="454" t="s">
        <v>4329</v>
      </c>
      <c r="F389" s="454" t="s">
        <v>521</v>
      </c>
      <c r="G389" s="454" t="s">
        <v>12961</v>
      </c>
      <c r="H389" s="455">
        <v>11365625000173</v>
      </c>
      <c r="I389" s="462">
        <v>40116</v>
      </c>
      <c r="J389" s="457">
        <v>42793157</v>
      </c>
      <c r="K389" s="454" t="s">
        <v>4330</v>
      </c>
      <c r="L389" s="458">
        <v>331</v>
      </c>
      <c r="M389" s="454" t="s">
        <v>1402</v>
      </c>
      <c r="N389" s="459">
        <v>4809230</v>
      </c>
      <c r="O389" s="460">
        <v>56674741</v>
      </c>
      <c r="P389" s="462">
        <v>109331</v>
      </c>
      <c r="Q389" s="462">
        <v>92</v>
      </c>
      <c r="R389" s="462">
        <v>43934</v>
      </c>
      <c r="S389" s="463">
        <v>684</v>
      </c>
      <c r="T389" s="464">
        <v>5.4</v>
      </c>
      <c r="U389" s="465">
        <v>3693.6</v>
      </c>
      <c r="V389" s="465">
        <v>17100</v>
      </c>
      <c r="W389" s="466">
        <v>0</v>
      </c>
      <c r="X389" s="467">
        <v>1</v>
      </c>
      <c r="Y389" s="466">
        <v>31190.400000000001</v>
      </c>
      <c r="Z389" s="468" t="s">
        <v>516</v>
      </c>
      <c r="AA389" s="466">
        <v>124507.6</v>
      </c>
      <c r="AB389" s="466">
        <v>124507.6</v>
      </c>
      <c r="AC389" s="467">
        <v>0</v>
      </c>
      <c r="AD389" s="466">
        <v>0</v>
      </c>
      <c r="AE389" s="468" t="s">
        <v>516</v>
      </c>
      <c r="AF389" s="466">
        <v>2000</v>
      </c>
      <c r="AG389" s="466">
        <v>2000</v>
      </c>
      <c r="AH389" s="466">
        <v>20339.669999999998</v>
      </c>
      <c r="AI389" s="466">
        <v>1768.34</v>
      </c>
      <c r="AJ389" s="469" t="s">
        <v>1624</v>
      </c>
      <c r="AK389" s="470" t="s">
        <v>1625</v>
      </c>
      <c r="AL389" s="471" t="s">
        <v>4331</v>
      </c>
      <c r="AM389" s="470" t="s">
        <v>4332</v>
      </c>
      <c r="AN389" s="470" t="s">
        <v>1385</v>
      </c>
      <c r="AO389" s="470" t="s">
        <v>12962</v>
      </c>
      <c r="AP389" s="470" t="s">
        <v>4333</v>
      </c>
      <c r="AQ389" s="470" t="s">
        <v>4328</v>
      </c>
      <c r="AR389" s="472" t="s">
        <v>515</v>
      </c>
      <c r="AS389" s="473" t="s">
        <v>1385</v>
      </c>
      <c r="AT389" s="472" t="s">
        <v>517</v>
      </c>
      <c r="AU389" s="472" t="s">
        <v>420</v>
      </c>
      <c r="AV389" s="472">
        <v>2020</v>
      </c>
      <c r="AW389" s="474" t="s">
        <v>15078</v>
      </c>
      <c r="AX389" s="475" t="s">
        <v>15079</v>
      </c>
      <c r="AY389" s="515">
        <v>1</v>
      </c>
      <c r="AZ389" s="474" t="s">
        <v>15079</v>
      </c>
      <c r="BA389" s="472" t="s">
        <v>517</v>
      </c>
      <c r="BB389" s="472" t="s">
        <v>1385</v>
      </c>
      <c r="BC389" s="472" t="s">
        <v>1385</v>
      </c>
      <c r="BD389" s="472" t="s">
        <v>1385</v>
      </c>
      <c r="BE389" s="472" t="s">
        <v>1385</v>
      </c>
      <c r="BF389" s="472">
        <v>31190.400000000001</v>
      </c>
      <c r="BG389" s="472">
        <v>0</v>
      </c>
      <c r="BH389" s="472" t="s">
        <v>1385</v>
      </c>
      <c r="BI389" s="510">
        <v>0</v>
      </c>
      <c r="BJ389" s="510">
        <v>0</v>
      </c>
      <c r="BK389" s="510">
        <v>0</v>
      </c>
      <c r="BL389" s="510">
        <v>0</v>
      </c>
      <c r="BM389" s="510">
        <v>0</v>
      </c>
      <c r="BN389" s="510">
        <v>3500</v>
      </c>
      <c r="BO389" s="510">
        <v>0</v>
      </c>
      <c r="BP389" s="510">
        <v>2000</v>
      </c>
      <c r="BQ389" s="510">
        <v>0</v>
      </c>
      <c r="BR389" s="510">
        <v>0</v>
      </c>
      <c r="BS389" s="510">
        <v>0</v>
      </c>
      <c r="BT389" s="510">
        <v>0</v>
      </c>
      <c r="BU389" s="510">
        <v>0</v>
      </c>
      <c r="BV389" s="510">
        <v>0</v>
      </c>
      <c r="BW389" s="510">
        <v>0</v>
      </c>
      <c r="BX389" s="510">
        <v>30000</v>
      </c>
      <c r="BY389" s="1011">
        <v>0</v>
      </c>
      <c r="BZ389" s="510">
        <v>0</v>
      </c>
      <c r="CA389" s="1011">
        <v>0</v>
      </c>
      <c r="CB389" s="510">
        <v>22000</v>
      </c>
      <c r="CC389" s="1011">
        <v>0</v>
      </c>
      <c r="CD389" s="510">
        <v>0</v>
      </c>
      <c r="CE389" s="1011">
        <v>0</v>
      </c>
      <c r="CF389" s="510">
        <v>41317.199999999997</v>
      </c>
      <c r="CG389" s="1011">
        <v>0</v>
      </c>
      <c r="CH389" s="510">
        <v>0</v>
      </c>
      <c r="CI389" s="1011">
        <v>0</v>
      </c>
    </row>
    <row r="390" spans="1:87" x14ac:dyDescent="0.2">
      <c r="A390" s="449">
        <v>97</v>
      </c>
      <c r="B390" s="453">
        <v>19441</v>
      </c>
      <c r="C390" s="454" t="s">
        <v>4334</v>
      </c>
      <c r="D390" s="454" t="s">
        <v>2000</v>
      </c>
      <c r="E390" s="454" t="s">
        <v>4335</v>
      </c>
      <c r="F390" s="454" t="s">
        <v>521</v>
      </c>
      <c r="G390" s="454" t="s">
        <v>12963</v>
      </c>
      <c r="H390" s="455">
        <v>10928229000144</v>
      </c>
      <c r="I390" s="462">
        <v>39979</v>
      </c>
      <c r="J390" s="457">
        <v>41491602</v>
      </c>
      <c r="K390" s="454" t="s">
        <v>4336</v>
      </c>
      <c r="L390" s="458">
        <v>20</v>
      </c>
      <c r="M390" s="454" t="s">
        <v>3494</v>
      </c>
      <c r="N390" s="459">
        <v>4890090</v>
      </c>
      <c r="O390" s="460">
        <v>59217131</v>
      </c>
      <c r="P390" s="462">
        <v>112766</v>
      </c>
      <c r="Q390" s="462">
        <v>87</v>
      </c>
      <c r="R390" s="462">
        <v>43934</v>
      </c>
      <c r="S390" s="463">
        <v>601</v>
      </c>
      <c r="T390" s="464">
        <v>3.6</v>
      </c>
      <c r="U390" s="465">
        <v>2163.6</v>
      </c>
      <c r="V390" s="465">
        <v>18000</v>
      </c>
      <c r="W390" s="466">
        <v>0</v>
      </c>
      <c r="X390" s="467">
        <v>1</v>
      </c>
      <c r="Y390" s="466">
        <v>30245.4</v>
      </c>
      <c r="Z390" s="468" t="s">
        <v>516</v>
      </c>
      <c r="AA390" s="466">
        <v>112663.8</v>
      </c>
      <c r="AB390" s="466">
        <v>112663.8</v>
      </c>
      <c r="AC390" s="467">
        <v>0</v>
      </c>
      <c r="AD390" s="466">
        <v>0</v>
      </c>
      <c r="AE390" s="468" t="s">
        <v>516</v>
      </c>
      <c r="AF390" s="466">
        <v>0</v>
      </c>
      <c r="AG390" s="466">
        <v>0</v>
      </c>
      <c r="AH390" s="466">
        <v>45955.27</v>
      </c>
      <c r="AI390" s="466">
        <v>15659.73</v>
      </c>
      <c r="AJ390" s="469" t="s">
        <v>1624</v>
      </c>
      <c r="AK390" s="470" t="s">
        <v>1625</v>
      </c>
      <c r="AL390" s="471" t="s">
        <v>4337</v>
      </c>
      <c r="AM390" s="470" t="s">
        <v>4338</v>
      </c>
      <c r="AN390" s="470" t="s">
        <v>1385</v>
      </c>
      <c r="AO390" s="470" t="s">
        <v>14950</v>
      </c>
      <c r="AP390" s="470" t="s">
        <v>4339</v>
      </c>
      <c r="AQ390" s="470" t="s">
        <v>4334</v>
      </c>
      <c r="AR390" s="472" t="s">
        <v>515</v>
      </c>
      <c r="AS390" s="473" t="s">
        <v>1385</v>
      </c>
      <c r="AT390" s="472" t="s">
        <v>2000</v>
      </c>
      <c r="AU390" s="472" t="s">
        <v>420</v>
      </c>
      <c r="AV390" s="472">
        <v>2020</v>
      </c>
      <c r="AW390" s="474" t="s">
        <v>15078</v>
      </c>
      <c r="AX390" s="475" t="s">
        <v>15079</v>
      </c>
      <c r="AY390" s="515">
        <v>1</v>
      </c>
      <c r="AZ390" s="474" t="s">
        <v>15079</v>
      </c>
      <c r="BA390" s="472" t="s">
        <v>2000</v>
      </c>
      <c r="BB390" s="472" t="s">
        <v>1385</v>
      </c>
      <c r="BC390" s="472" t="s">
        <v>1385</v>
      </c>
      <c r="BD390" s="472" t="s">
        <v>1385</v>
      </c>
      <c r="BE390" s="472" t="s">
        <v>1385</v>
      </c>
      <c r="BF390" s="509">
        <v>30245.4</v>
      </c>
      <c r="BG390" s="509">
        <v>0</v>
      </c>
      <c r="BH390" s="472" t="s">
        <v>1385</v>
      </c>
      <c r="BI390" s="510">
        <v>0</v>
      </c>
      <c r="BJ390" s="510">
        <v>170.43</v>
      </c>
      <c r="BK390" s="510">
        <v>0</v>
      </c>
      <c r="BL390" s="510">
        <v>0</v>
      </c>
      <c r="BM390" s="510">
        <v>0</v>
      </c>
      <c r="BN390" s="510">
        <v>5000</v>
      </c>
      <c r="BO390" s="510">
        <v>0</v>
      </c>
      <c r="BP390" s="510">
        <v>0</v>
      </c>
      <c r="BQ390" s="510">
        <v>0</v>
      </c>
      <c r="BR390" s="510">
        <v>0</v>
      </c>
      <c r="BS390" s="510">
        <v>0</v>
      </c>
      <c r="BT390" s="510">
        <v>0</v>
      </c>
      <c r="BU390" s="510">
        <v>0</v>
      </c>
      <c r="BV390" s="510">
        <v>0</v>
      </c>
      <c r="BW390" s="510">
        <v>0</v>
      </c>
      <c r="BX390" s="510">
        <v>30000</v>
      </c>
      <c r="BY390" s="1011">
        <v>0</v>
      </c>
      <c r="BZ390" s="510">
        <v>0</v>
      </c>
      <c r="CA390" s="1011">
        <v>0</v>
      </c>
      <c r="CB390" s="510">
        <v>0</v>
      </c>
      <c r="CC390" s="1011">
        <v>0</v>
      </c>
      <c r="CD390" s="510">
        <v>0</v>
      </c>
      <c r="CE390" s="1011">
        <v>0</v>
      </c>
      <c r="CF390" s="510">
        <v>52418.400000000001</v>
      </c>
      <c r="CG390" s="1011">
        <v>0</v>
      </c>
      <c r="CH390" s="510">
        <v>0</v>
      </c>
      <c r="CI390" s="1011">
        <v>0</v>
      </c>
    </row>
    <row r="391" spans="1:87" x14ac:dyDescent="0.2">
      <c r="A391" s="449">
        <v>39</v>
      </c>
      <c r="B391" s="453">
        <v>19443</v>
      </c>
      <c r="C391" s="454" t="s">
        <v>4340</v>
      </c>
      <c r="D391" s="454" t="s">
        <v>517</v>
      </c>
      <c r="E391" s="454" t="s">
        <v>4341</v>
      </c>
      <c r="F391" s="454" t="s">
        <v>523</v>
      </c>
      <c r="G391" s="454" t="s">
        <v>12964</v>
      </c>
      <c r="H391" s="455">
        <v>11022607000199</v>
      </c>
      <c r="I391" s="462">
        <v>39959</v>
      </c>
      <c r="J391" s="457">
        <v>39469654</v>
      </c>
      <c r="K391" s="454" t="s">
        <v>3101</v>
      </c>
      <c r="L391" s="458" t="s">
        <v>1446</v>
      </c>
      <c r="M391" s="454" t="s">
        <v>4342</v>
      </c>
      <c r="N391" s="459">
        <v>8473591</v>
      </c>
      <c r="O391" s="460">
        <v>25552375</v>
      </c>
      <c r="P391" s="462">
        <v>264353</v>
      </c>
      <c r="Q391" s="462">
        <v>39</v>
      </c>
      <c r="R391" s="462">
        <v>43921</v>
      </c>
      <c r="S391" s="463">
        <v>1101</v>
      </c>
      <c r="T391" s="464">
        <v>5.4</v>
      </c>
      <c r="U391" s="465">
        <v>5945.4</v>
      </c>
      <c r="V391" s="465">
        <v>20340</v>
      </c>
      <c r="W391" s="466">
        <v>0</v>
      </c>
      <c r="X391" s="467">
        <v>1</v>
      </c>
      <c r="Y391" s="466">
        <v>39428.1</v>
      </c>
      <c r="Z391" s="468" t="s">
        <v>516</v>
      </c>
      <c r="AA391" s="466">
        <v>143772.1</v>
      </c>
      <c r="AB391" s="466">
        <v>143772.1</v>
      </c>
      <c r="AC391" s="467">
        <v>0</v>
      </c>
      <c r="AD391" s="466">
        <v>0</v>
      </c>
      <c r="AE391" s="468" t="s">
        <v>516</v>
      </c>
      <c r="AF391" s="466">
        <v>2000</v>
      </c>
      <c r="AG391" s="466">
        <v>2000</v>
      </c>
      <c r="AH391" s="466">
        <v>27130.6</v>
      </c>
      <c r="AI391" s="466">
        <v>10306.15</v>
      </c>
      <c r="AJ391" s="469" t="s">
        <v>1395</v>
      </c>
      <c r="AK391" s="470" t="s">
        <v>523</v>
      </c>
      <c r="AL391" s="471" t="s">
        <v>4343</v>
      </c>
      <c r="AM391" s="470" t="s">
        <v>4344</v>
      </c>
      <c r="AN391" s="470" t="s">
        <v>1385</v>
      </c>
      <c r="AO391" s="470" t="s">
        <v>4345</v>
      </c>
      <c r="AP391" s="470" t="s">
        <v>4346</v>
      </c>
      <c r="AQ391" s="470" t="s">
        <v>4340</v>
      </c>
      <c r="AR391" s="472" t="s">
        <v>515</v>
      </c>
      <c r="AS391" s="473" t="s">
        <v>1385</v>
      </c>
      <c r="AT391" s="472" t="s">
        <v>517</v>
      </c>
      <c r="AU391" s="472" t="s">
        <v>420</v>
      </c>
      <c r="AV391" s="472">
        <v>2020</v>
      </c>
      <c r="AW391" s="474" t="s">
        <v>15078</v>
      </c>
      <c r="AX391" s="475" t="s">
        <v>15079</v>
      </c>
      <c r="AY391" s="515">
        <v>1</v>
      </c>
      <c r="AZ391" s="474" t="s">
        <v>15079</v>
      </c>
      <c r="BA391" s="472" t="s">
        <v>517</v>
      </c>
      <c r="BB391" s="472" t="s">
        <v>1385</v>
      </c>
      <c r="BC391" s="472" t="s">
        <v>1385</v>
      </c>
      <c r="BD391" s="472" t="s">
        <v>1385</v>
      </c>
      <c r="BE391" s="472" t="s">
        <v>1385</v>
      </c>
      <c r="BF391" s="472">
        <v>39428.1</v>
      </c>
      <c r="BG391" s="472">
        <v>0</v>
      </c>
      <c r="BH391" s="472" t="s">
        <v>1385</v>
      </c>
      <c r="BI391" s="510">
        <v>0</v>
      </c>
      <c r="BJ391" s="510">
        <v>0</v>
      </c>
      <c r="BK391" s="510">
        <v>0</v>
      </c>
      <c r="BL391" s="510">
        <v>40.89</v>
      </c>
      <c r="BM391" s="510">
        <v>0</v>
      </c>
      <c r="BN391" s="510">
        <v>5000</v>
      </c>
      <c r="BO391" s="510">
        <v>0</v>
      </c>
      <c r="BP391" s="510">
        <v>2000</v>
      </c>
      <c r="BQ391" s="510">
        <v>0</v>
      </c>
      <c r="BR391" s="510">
        <v>0</v>
      </c>
      <c r="BS391" s="510">
        <v>0</v>
      </c>
      <c r="BT391" s="510">
        <v>0</v>
      </c>
      <c r="BU391" s="510">
        <v>0</v>
      </c>
      <c r="BV391" s="510">
        <v>0</v>
      </c>
      <c r="BW391" s="510">
        <v>0</v>
      </c>
      <c r="BX391" s="510">
        <v>30000</v>
      </c>
      <c r="BY391" s="1011">
        <v>0</v>
      </c>
      <c r="BZ391" s="510">
        <v>0</v>
      </c>
      <c r="CA391" s="1011">
        <v>0</v>
      </c>
      <c r="CB391" s="510">
        <v>22000</v>
      </c>
      <c r="CC391" s="1011">
        <v>0</v>
      </c>
      <c r="CD391" s="510">
        <v>0</v>
      </c>
      <c r="CE391" s="1011">
        <v>0</v>
      </c>
      <c r="CF391" s="510">
        <v>52344</v>
      </c>
      <c r="CG391" s="1011">
        <v>0</v>
      </c>
      <c r="CH391" s="510">
        <v>0</v>
      </c>
      <c r="CI391" s="1011">
        <v>0</v>
      </c>
    </row>
    <row r="392" spans="1:87" x14ac:dyDescent="0.2">
      <c r="A392" s="449">
        <v>105</v>
      </c>
      <c r="B392" s="453">
        <v>19444</v>
      </c>
      <c r="C392" s="454" t="s">
        <v>4347</v>
      </c>
      <c r="D392" s="454" t="s">
        <v>1390</v>
      </c>
      <c r="E392" s="454" t="s">
        <v>4348</v>
      </c>
      <c r="F392" s="454" t="s">
        <v>524</v>
      </c>
      <c r="G392" s="454" t="s">
        <v>12965</v>
      </c>
      <c r="H392" s="455">
        <v>11325112000139</v>
      </c>
      <c r="I392" s="462">
        <v>40093</v>
      </c>
      <c r="J392" s="457">
        <v>40699587</v>
      </c>
      <c r="K392" s="454" t="s">
        <v>4350</v>
      </c>
      <c r="L392" s="458">
        <v>98</v>
      </c>
      <c r="M392" s="454" t="s">
        <v>4351</v>
      </c>
      <c r="N392" s="459">
        <v>3283060</v>
      </c>
      <c r="O392" s="460">
        <v>20243694</v>
      </c>
      <c r="P392" s="462">
        <v>204423</v>
      </c>
      <c r="Q392" s="462">
        <v>113</v>
      </c>
      <c r="R392" s="462">
        <v>43906</v>
      </c>
      <c r="S392" s="463">
        <v>241</v>
      </c>
      <c r="T392" s="464">
        <v>3.6</v>
      </c>
      <c r="U392" s="465">
        <v>867.6</v>
      </c>
      <c r="V392" s="465">
        <v>12240</v>
      </c>
      <c r="W392" s="466">
        <v>0</v>
      </c>
      <c r="X392" s="467">
        <v>1</v>
      </c>
      <c r="Y392" s="466">
        <v>19661.400000000001</v>
      </c>
      <c r="Z392" s="468" t="s">
        <v>516</v>
      </c>
      <c r="AA392" s="466">
        <v>91063.8</v>
      </c>
      <c r="AB392" s="466">
        <v>91063.8</v>
      </c>
      <c r="AC392" s="467">
        <v>0</v>
      </c>
      <c r="AD392" s="466">
        <v>0</v>
      </c>
      <c r="AE392" s="468" t="s">
        <v>516</v>
      </c>
      <c r="AF392" s="466">
        <v>0</v>
      </c>
      <c r="AG392" s="466">
        <v>0</v>
      </c>
      <c r="AH392" s="466">
        <v>33996.199999999997</v>
      </c>
      <c r="AI392" s="466">
        <v>5243.04</v>
      </c>
      <c r="AJ392" s="469" t="s">
        <v>2402</v>
      </c>
      <c r="AK392" s="470" t="s">
        <v>2403</v>
      </c>
      <c r="AL392" s="471" t="s">
        <v>4352</v>
      </c>
      <c r="AM392" s="470" t="s">
        <v>15191</v>
      </c>
      <c r="AN392" s="470" t="s">
        <v>4349</v>
      </c>
      <c r="AO392" s="470" t="s">
        <v>12966</v>
      </c>
      <c r="AP392" s="470" t="s">
        <v>4351</v>
      </c>
      <c r="AQ392" s="470" t="s">
        <v>4347</v>
      </c>
      <c r="AR392" s="472" t="s">
        <v>515</v>
      </c>
      <c r="AS392" s="473" t="s">
        <v>1385</v>
      </c>
      <c r="AT392" s="472" t="s">
        <v>1390</v>
      </c>
      <c r="AU392" s="472" t="s">
        <v>420</v>
      </c>
      <c r="AV392" s="472">
        <v>2020</v>
      </c>
      <c r="AW392" s="474" t="s">
        <v>15078</v>
      </c>
      <c r="AX392" s="475" t="s">
        <v>15079</v>
      </c>
      <c r="AY392" s="515">
        <v>1</v>
      </c>
      <c r="AZ392" s="474" t="s">
        <v>15079</v>
      </c>
      <c r="BA392" s="472" t="s">
        <v>1390</v>
      </c>
      <c r="BB392" s="472" t="s">
        <v>1385</v>
      </c>
      <c r="BC392" s="472" t="s">
        <v>1385</v>
      </c>
      <c r="BD392" s="472" t="s">
        <v>1385</v>
      </c>
      <c r="BE392" s="472" t="s">
        <v>1385</v>
      </c>
      <c r="BF392" s="472">
        <v>19661.400000000001</v>
      </c>
      <c r="BG392" s="472">
        <v>0</v>
      </c>
      <c r="BH392" s="472" t="s">
        <v>1385</v>
      </c>
      <c r="BI392" s="510">
        <v>0</v>
      </c>
      <c r="BJ392" s="510">
        <v>0</v>
      </c>
      <c r="BK392" s="510">
        <v>0</v>
      </c>
      <c r="BL392" s="510">
        <v>0</v>
      </c>
      <c r="BM392" s="510">
        <v>0</v>
      </c>
      <c r="BN392" s="510">
        <v>3000</v>
      </c>
      <c r="BO392" s="510">
        <v>0</v>
      </c>
      <c r="BP392" s="510">
        <v>0</v>
      </c>
      <c r="BQ392" s="510">
        <v>0</v>
      </c>
      <c r="BR392" s="510">
        <v>0</v>
      </c>
      <c r="BS392" s="510">
        <v>0</v>
      </c>
      <c r="BT392" s="510">
        <v>0</v>
      </c>
      <c r="BU392" s="510">
        <v>0</v>
      </c>
      <c r="BV392" s="510">
        <v>0</v>
      </c>
      <c r="BW392" s="510">
        <v>0</v>
      </c>
      <c r="BX392" s="510">
        <v>30000</v>
      </c>
      <c r="BY392" s="1011">
        <v>0</v>
      </c>
      <c r="BZ392" s="510">
        <v>0</v>
      </c>
      <c r="CA392" s="1011">
        <v>0</v>
      </c>
      <c r="CB392" s="510">
        <v>0</v>
      </c>
      <c r="CC392" s="1011">
        <v>0</v>
      </c>
      <c r="CD392" s="510">
        <v>0</v>
      </c>
      <c r="CE392" s="1011">
        <v>0</v>
      </c>
      <c r="CF392" s="510">
        <v>41402.400000000001</v>
      </c>
      <c r="CG392" s="1011">
        <v>0</v>
      </c>
      <c r="CH392" s="510">
        <v>0</v>
      </c>
      <c r="CI392" s="1011">
        <v>0</v>
      </c>
    </row>
    <row r="393" spans="1:87" x14ac:dyDescent="0.2">
      <c r="A393" s="449">
        <v>77</v>
      </c>
      <c r="B393" s="453">
        <v>19445</v>
      </c>
      <c r="C393" s="454" t="s">
        <v>4353</v>
      </c>
      <c r="D393" s="454" t="s">
        <v>517</v>
      </c>
      <c r="E393" s="454" t="s">
        <v>4354</v>
      </c>
      <c r="F393" s="454" t="s">
        <v>528</v>
      </c>
      <c r="G393" s="454" t="s">
        <v>12967</v>
      </c>
      <c r="H393" s="455">
        <v>3991029000170</v>
      </c>
      <c r="I393" s="462">
        <v>36714</v>
      </c>
      <c r="J393" s="457">
        <v>37374605</v>
      </c>
      <c r="K393" s="454" t="s">
        <v>4355</v>
      </c>
      <c r="L393" s="458" t="s">
        <v>1446</v>
      </c>
      <c r="M393" s="454" t="s">
        <v>4356</v>
      </c>
      <c r="N393" s="459">
        <v>2996165</v>
      </c>
      <c r="O393" s="460">
        <v>39497000</v>
      </c>
      <c r="P393" s="462">
        <v>280413</v>
      </c>
      <c r="Q393" s="462">
        <v>77</v>
      </c>
      <c r="R393" s="462">
        <v>43938</v>
      </c>
      <c r="S393" s="463">
        <v>847</v>
      </c>
      <c r="T393" s="464">
        <v>5.4</v>
      </c>
      <c r="U393" s="465">
        <v>4573.8</v>
      </c>
      <c r="V393" s="465">
        <v>18720</v>
      </c>
      <c r="W393" s="466">
        <v>0</v>
      </c>
      <c r="X393" s="467">
        <v>1</v>
      </c>
      <c r="Y393" s="466">
        <v>34940.699999999997</v>
      </c>
      <c r="Z393" s="468" t="s">
        <v>516</v>
      </c>
      <c r="AA393" s="466">
        <v>134279.5</v>
      </c>
      <c r="AB393" s="466">
        <v>134279.5</v>
      </c>
      <c r="AC393" s="467">
        <v>0</v>
      </c>
      <c r="AD393" s="466">
        <v>0</v>
      </c>
      <c r="AE393" s="468" t="s">
        <v>516</v>
      </c>
      <c r="AF393" s="466">
        <v>1400</v>
      </c>
      <c r="AG393" s="466">
        <v>1400</v>
      </c>
      <c r="AH393" s="466">
        <v>5872.68</v>
      </c>
      <c r="AI393" s="466">
        <v>0</v>
      </c>
      <c r="AJ393" s="469" t="s">
        <v>1571</v>
      </c>
      <c r="AK393" s="470" t="s">
        <v>528</v>
      </c>
      <c r="AL393" s="471" t="s">
        <v>4357</v>
      </c>
      <c r="AM393" s="470" t="s">
        <v>4358</v>
      </c>
      <c r="AN393" s="470" t="s">
        <v>4359</v>
      </c>
      <c r="AO393" s="470" t="s">
        <v>12968</v>
      </c>
      <c r="AP393" s="470" t="s">
        <v>4360</v>
      </c>
      <c r="AQ393" s="470" t="s">
        <v>4353</v>
      </c>
      <c r="AR393" s="472" t="s">
        <v>515</v>
      </c>
      <c r="AS393" s="473" t="s">
        <v>1385</v>
      </c>
      <c r="AT393" s="472" t="s">
        <v>517</v>
      </c>
      <c r="AU393" s="472" t="s">
        <v>420</v>
      </c>
      <c r="AV393" s="472">
        <v>2020</v>
      </c>
      <c r="AW393" s="474" t="s">
        <v>15078</v>
      </c>
      <c r="AX393" s="475" t="s">
        <v>15079</v>
      </c>
      <c r="AY393" s="515">
        <v>1</v>
      </c>
      <c r="AZ393" s="474" t="s">
        <v>15079</v>
      </c>
      <c r="BA393" s="472" t="s">
        <v>517</v>
      </c>
      <c r="BB393" s="472" t="s">
        <v>1385</v>
      </c>
      <c r="BC393" s="472" t="s">
        <v>1385</v>
      </c>
      <c r="BD393" s="472" t="s">
        <v>1385</v>
      </c>
      <c r="BE393" s="472" t="s">
        <v>1385</v>
      </c>
      <c r="BF393" s="472">
        <v>34940.699999999997</v>
      </c>
      <c r="BG393" s="472">
        <v>0</v>
      </c>
      <c r="BH393" s="472" t="s">
        <v>1385</v>
      </c>
      <c r="BI393" s="510">
        <v>0</v>
      </c>
      <c r="BJ393" s="510">
        <v>0</v>
      </c>
      <c r="BK393" s="510">
        <v>0</v>
      </c>
      <c r="BL393" s="510">
        <v>0</v>
      </c>
      <c r="BM393" s="510">
        <v>0</v>
      </c>
      <c r="BN393" s="510">
        <v>5000</v>
      </c>
      <c r="BO393" s="510">
        <v>600</v>
      </c>
      <c r="BP393" s="510">
        <v>1400</v>
      </c>
      <c r="BQ393" s="510">
        <v>0</v>
      </c>
      <c r="BR393" s="510">
        <v>0</v>
      </c>
      <c r="BS393" s="510">
        <v>0</v>
      </c>
      <c r="BT393" s="510">
        <v>0</v>
      </c>
      <c r="BU393" s="510">
        <v>2500</v>
      </c>
      <c r="BV393" s="510">
        <v>2500</v>
      </c>
      <c r="BW393" s="510">
        <v>0</v>
      </c>
      <c r="BX393" s="510">
        <v>30000</v>
      </c>
      <c r="BY393" s="1011">
        <v>0</v>
      </c>
      <c r="BZ393" s="510">
        <v>0</v>
      </c>
      <c r="CA393" s="1011">
        <v>0</v>
      </c>
      <c r="CB393" s="510">
        <v>22000</v>
      </c>
      <c r="CC393" s="1011">
        <v>0</v>
      </c>
      <c r="CD393" s="510">
        <v>0</v>
      </c>
      <c r="CE393" s="1011">
        <v>0</v>
      </c>
      <c r="CF393" s="510">
        <v>46738.8</v>
      </c>
      <c r="CG393" s="1011">
        <v>0</v>
      </c>
      <c r="CH393" s="510">
        <v>0</v>
      </c>
      <c r="CI393" s="1011">
        <v>0</v>
      </c>
    </row>
    <row r="394" spans="1:87" x14ac:dyDescent="0.2">
      <c r="A394" s="449">
        <v>126</v>
      </c>
      <c r="B394" s="453">
        <v>19446</v>
      </c>
      <c r="C394" s="454" t="s">
        <v>4361</v>
      </c>
      <c r="D394" s="454" t="s">
        <v>1390</v>
      </c>
      <c r="E394" s="454" t="s">
        <v>4362</v>
      </c>
      <c r="F394" s="454" t="s">
        <v>528</v>
      </c>
      <c r="G394" s="454" t="s">
        <v>12969</v>
      </c>
      <c r="H394" s="455">
        <v>11412258000111</v>
      </c>
      <c r="I394" s="462">
        <v>40129</v>
      </c>
      <c r="J394" s="457">
        <v>41267109</v>
      </c>
      <c r="K394" s="454" t="s">
        <v>2577</v>
      </c>
      <c r="L394" s="458" t="s">
        <v>1446</v>
      </c>
      <c r="M394" s="454" t="s">
        <v>4363</v>
      </c>
      <c r="N394" s="459">
        <v>5209000</v>
      </c>
      <c r="O394" s="460">
        <v>39177962</v>
      </c>
      <c r="P394" s="462">
        <v>213066</v>
      </c>
      <c r="Q394" s="462">
        <v>126</v>
      </c>
      <c r="R394" s="462">
        <v>43938</v>
      </c>
      <c r="S394" s="463">
        <v>323</v>
      </c>
      <c r="T394" s="464">
        <v>3.6</v>
      </c>
      <c r="U394" s="465">
        <v>1162.8</v>
      </c>
      <c r="V394" s="465">
        <v>13680</v>
      </c>
      <c r="W394" s="466">
        <v>0</v>
      </c>
      <c r="X394" s="467">
        <v>1</v>
      </c>
      <c r="Y394" s="466">
        <v>22264.2</v>
      </c>
      <c r="Z394" s="468" t="s">
        <v>516</v>
      </c>
      <c r="AA394" s="466">
        <v>97072.2</v>
      </c>
      <c r="AB394" s="466">
        <v>97072.2</v>
      </c>
      <c r="AC394" s="467">
        <v>0</v>
      </c>
      <c r="AD394" s="466">
        <v>0</v>
      </c>
      <c r="AE394" s="468" t="s">
        <v>516</v>
      </c>
      <c r="AF394" s="466">
        <v>0</v>
      </c>
      <c r="AG394" s="466">
        <v>0</v>
      </c>
      <c r="AH394" s="466">
        <v>11454.12</v>
      </c>
      <c r="AI394" s="466">
        <v>19193.48</v>
      </c>
      <c r="AJ394" s="469" t="s">
        <v>2242</v>
      </c>
      <c r="AK394" s="470" t="s">
        <v>2241</v>
      </c>
      <c r="AL394" s="471" t="s">
        <v>4364</v>
      </c>
      <c r="AM394" s="470" t="s">
        <v>12970</v>
      </c>
      <c r="AN394" s="470" t="s">
        <v>4365</v>
      </c>
      <c r="AO394" s="470" t="s">
        <v>4366</v>
      </c>
      <c r="AP394" s="470" t="s">
        <v>4367</v>
      </c>
      <c r="AQ394" s="470" t="s">
        <v>4361</v>
      </c>
      <c r="AR394" s="472" t="s">
        <v>515</v>
      </c>
      <c r="AS394" s="473" t="s">
        <v>1385</v>
      </c>
      <c r="AT394" s="472" t="s">
        <v>1390</v>
      </c>
      <c r="AU394" s="472" t="s">
        <v>420</v>
      </c>
      <c r="AV394" s="472">
        <v>2020</v>
      </c>
      <c r="AW394" s="474" t="s">
        <v>15078</v>
      </c>
      <c r="AX394" s="475" t="s">
        <v>15079</v>
      </c>
      <c r="AY394" s="515">
        <v>1</v>
      </c>
      <c r="AZ394" s="474" t="s">
        <v>15079</v>
      </c>
      <c r="BA394" s="472" t="s">
        <v>1390</v>
      </c>
      <c r="BB394" s="472" t="s">
        <v>1385</v>
      </c>
      <c r="BC394" s="472" t="s">
        <v>1385</v>
      </c>
      <c r="BD394" s="472" t="s">
        <v>1385</v>
      </c>
      <c r="BE394" s="472" t="s">
        <v>1385</v>
      </c>
      <c r="BF394" s="472">
        <v>22264.2</v>
      </c>
      <c r="BG394" s="472">
        <v>0</v>
      </c>
      <c r="BH394" s="472" t="s">
        <v>1385</v>
      </c>
      <c r="BI394" s="510">
        <v>0</v>
      </c>
      <c r="BJ394" s="510">
        <v>0</v>
      </c>
      <c r="BK394" s="510">
        <v>0</v>
      </c>
      <c r="BL394" s="510">
        <v>0</v>
      </c>
      <c r="BM394" s="510">
        <v>0</v>
      </c>
      <c r="BN394" s="510">
        <v>3500</v>
      </c>
      <c r="BO394" s="510">
        <v>0</v>
      </c>
      <c r="BP394" s="510">
        <v>0</v>
      </c>
      <c r="BQ394" s="510">
        <v>0</v>
      </c>
      <c r="BR394" s="510">
        <v>0</v>
      </c>
      <c r="BS394" s="510">
        <v>0</v>
      </c>
      <c r="BT394" s="510">
        <v>0</v>
      </c>
      <c r="BU394" s="510">
        <v>0</v>
      </c>
      <c r="BV394" s="510">
        <v>0</v>
      </c>
      <c r="BW394" s="510">
        <v>0</v>
      </c>
      <c r="BX394" s="510">
        <v>30000</v>
      </c>
      <c r="BY394" s="1011">
        <v>0</v>
      </c>
      <c r="BZ394" s="510">
        <v>0</v>
      </c>
      <c r="CA394" s="1011">
        <v>0</v>
      </c>
      <c r="CB394" s="510">
        <v>0</v>
      </c>
      <c r="CC394" s="1011">
        <v>0</v>
      </c>
      <c r="CD394" s="510">
        <v>0</v>
      </c>
      <c r="CE394" s="1011">
        <v>0</v>
      </c>
      <c r="CF394" s="510">
        <v>44808</v>
      </c>
      <c r="CG394" s="1011">
        <v>0</v>
      </c>
      <c r="CH394" s="510">
        <v>0</v>
      </c>
      <c r="CI394" s="1011">
        <v>0</v>
      </c>
    </row>
    <row r="395" spans="1:87" x14ac:dyDescent="0.2">
      <c r="A395" s="449">
        <v>40</v>
      </c>
      <c r="B395" s="453">
        <v>19447</v>
      </c>
      <c r="C395" s="454" t="s">
        <v>4368</v>
      </c>
      <c r="D395" s="454" t="s">
        <v>517</v>
      </c>
      <c r="E395" s="454" t="s">
        <v>4369</v>
      </c>
      <c r="F395" s="454" t="s">
        <v>523</v>
      </c>
      <c r="G395" s="454" t="s">
        <v>12971</v>
      </c>
      <c r="H395" s="455">
        <v>10782477000120</v>
      </c>
      <c r="I395" s="462">
        <v>39919</v>
      </c>
      <c r="J395" s="457">
        <v>39246507</v>
      </c>
      <c r="K395" s="454" t="s">
        <v>4370</v>
      </c>
      <c r="L395" s="458">
        <v>1331</v>
      </c>
      <c r="M395" s="454" t="s">
        <v>4371</v>
      </c>
      <c r="N395" s="459">
        <v>8671030</v>
      </c>
      <c r="O395" s="460">
        <v>25552667</v>
      </c>
      <c r="P395" s="462">
        <v>264361</v>
      </c>
      <c r="Q395" s="462">
        <v>40</v>
      </c>
      <c r="R395" s="462">
        <v>43921</v>
      </c>
      <c r="S395" s="463">
        <v>476</v>
      </c>
      <c r="T395" s="464">
        <v>5.4</v>
      </c>
      <c r="U395" s="465">
        <v>2570.4</v>
      </c>
      <c r="V395" s="465">
        <v>15480</v>
      </c>
      <c r="W395" s="466">
        <v>0</v>
      </c>
      <c r="X395" s="467">
        <v>1</v>
      </c>
      <c r="Y395" s="466">
        <v>27075.599999999999</v>
      </c>
      <c r="Z395" s="468" t="s">
        <v>516</v>
      </c>
      <c r="AA395" s="466">
        <v>134507.6</v>
      </c>
      <c r="AB395" s="466">
        <v>134507.6</v>
      </c>
      <c r="AC395" s="467">
        <v>0</v>
      </c>
      <c r="AD395" s="466">
        <v>0</v>
      </c>
      <c r="AE395" s="468" t="s">
        <v>516</v>
      </c>
      <c r="AF395" s="466">
        <v>0</v>
      </c>
      <c r="AG395" s="466">
        <v>0</v>
      </c>
      <c r="AH395" s="466">
        <v>23797.040000000001</v>
      </c>
      <c r="AI395" s="466">
        <v>8877.08</v>
      </c>
      <c r="AJ395" s="469" t="s">
        <v>1395</v>
      </c>
      <c r="AK395" s="470" t="s">
        <v>523</v>
      </c>
      <c r="AL395" s="471" t="s">
        <v>4372</v>
      </c>
      <c r="AM395" s="470" t="s">
        <v>4373</v>
      </c>
      <c r="AN395" s="470" t="s">
        <v>1385</v>
      </c>
      <c r="AO395" s="470" t="s">
        <v>12972</v>
      </c>
      <c r="AP395" s="470" t="s">
        <v>4374</v>
      </c>
      <c r="AQ395" s="470" t="s">
        <v>4368</v>
      </c>
      <c r="AR395" s="472" t="s">
        <v>515</v>
      </c>
      <c r="AS395" s="473" t="s">
        <v>1385</v>
      </c>
      <c r="AT395" s="472" t="s">
        <v>517</v>
      </c>
      <c r="AU395" s="472" t="s">
        <v>420</v>
      </c>
      <c r="AV395" s="472">
        <v>2020</v>
      </c>
      <c r="AW395" s="474" t="s">
        <v>15078</v>
      </c>
      <c r="AX395" s="475" t="s">
        <v>15079</v>
      </c>
      <c r="AY395" s="515">
        <v>1</v>
      </c>
      <c r="AZ395" s="474" t="s">
        <v>15079</v>
      </c>
      <c r="BA395" s="472" t="s">
        <v>517</v>
      </c>
      <c r="BB395" s="472" t="s">
        <v>1385</v>
      </c>
      <c r="BC395" s="472" t="s">
        <v>1385</v>
      </c>
      <c r="BD395" s="472" t="s">
        <v>1385</v>
      </c>
      <c r="BE395" s="472" t="s">
        <v>1385</v>
      </c>
      <c r="BF395" s="472">
        <v>27075.599999999999</v>
      </c>
      <c r="BG395" s="472">
        <v>0</v>
      </c>
      <c r="BH395" s="472" t="s">
        <v>1385</v>
      </c>
      <c r="BI395" s="510">
        <v>0</v>
      </c>
      <c r="BJ395" s="510">
        <v>0</v>
      </c>
      <c r="BK395" s="510">
        <v>0</v>
      </c>
      <c r="BL395" s="510">
        <v>0</v>
      </c>
      <c r="BM395" s="510">
        <v>0</v>
      </c>
      <c r="BN395" s="510">
        <v>3500</v>
      </c>
      <c r="BO395" s="510">
        <v>0</v>
      </c>
      <c r="BP395" s="510">
        <v>0</v>
      </c>
      <c r="BQ395" s="510">
        <v>0</v>
      </c>
      <c r="BR395" s="510">
        <v>0</v>
      </c>
      <c r="BS395" s="510">
        <v>0</v>
      </c>
      <c r="BT395" s="510">
        <v>0</v>
      </c>
      <c r="BU395" s="510">
        <v>0</v>
      </c>
      <c r="BV395" s="510">
        <v>0</v>
      </c>
      <c r="BW395" s="510">
        <v>0</v>
      </c>
      <c r="BX395" s="510">
        <v>30000</v>
      </c>
      <c r="BY395" s="1011">
        <v>0</v>
      </c>
      <c r="BZ395" s="510">
        <v>0</v>
      </c>
      <c r="CA395" s="1011">
        <v>0</v>
      </c>
      <c r="CB395" s="510">
        <v>22000</v>
      </c>
      <c r="CC395" s="1011">
        <v>0</v>
      </c>
      <c r="CD395" s="510">
        <v>0</v>
      </c>
      <c r="CE395" s="1011">
        <v>0</v>
      </c>
      <c r="CF395" s="510">
        <v>55432</v>
      </c>
      <c r="CG395" s="1011">
        <v>0</v>
      </c>
      <c r="CH395" s="510">
        <v>0</v>
      </c>
      <c r="CI395" s="1011">
        <v>0</v>
      </c>
    </row>
    <row r="396" spans="1:87" x14ac:dyDescent="0.2">
      <c r="A396" s="449">
        <v>77</v>
      </c>
      <c r="B396" s="453">
        <v>19448</v>
      </c>
      <c r="C396" s="454" t="s">
        <v>4375</v>
      </c>
      <c r="D396" s="454" t="s">
        <v>1390</v>
      </c>
      <c r="E396" s="454" t="s">
        <v>4376</v>
      </c>
      <c r="F396" s="454" t="s">
        <v>521</v>
      </c>
      <c r="G396" s="454" t="s">
        <v>12973</v>
      </c>
      <c r="H396" s="455">
        <v>11251240000185</v>
      </c>
      <c r="I396" s="462">
        <v>40080</v>
      </c>
      <c r="J396" s="457">
        <v>41600665</v>
      </c>
      <c r="K396" s="454" t="s">
        <v>1915</v>
      </c>
      <c r="L396" s="458">
        <v>101</v>
      </c>
      <c r="M396" s="454" t="s">
        <v>3494</v>
      </c>
      <c r="N396" s="459">
        <v>4890410</v>
      </c>
      <c r="O396" s="460">
        <v>59204002</v>
      </c>
      <c r="P396" s="462">
        <v>92498</v>
      </c>
      <c r="Q396" s="462">
        <v>89</v>
      </c>
      <c r="R396" s="462">
        <v>43934</v>
      </c>
      <c r="S396" s="463">
        <v>420</v>
      </c>
      <c r="T396" s="464">
        <v>3.6</v>
      </c>
      <c r="U396" s="465">
        <v>1512</v>
      </c>
      <c r="V396" s="465">
        <v>15120</v>
      </c>
      <c r="W396" s="466">
        <v>0</v>
      </c>
      <c r="X396" s="467">
        <v>1</v>
      </c>
      <c r="Y396" s="466">
        <v>0</v>
      </c>
      <c r="Z396" s="468" t="s">
        <v>514</v>
      </c>
      <c r="AA396" s="466">
        <v>0</v>
      </c>
      <c r="AB396" s="466">
        <v>0</v>
      </c>
      <c r="AC396" s="467">
        <v>0</v>
      </c>
      <c r="AD396" s="466">
        <v>0</v>
      </c>
      <c r="AE396" s="468" t="s">
        <v>516</v>
      </c>
      <c r="AF396" s="466">
        <v>0</v>
      </c>
      <c r="AG396" s="466">
        <v>0</v>
      </c>
      <c r="AH396" s="466">
        <v>0</v>
      </c>
      <c r="AI396" s="466">
        <v>0</v>
      </c>
      <c r="AJ396" s="469" t="s">
        <v>2546</v>
      </c>
      <c r="AK396" s="470" t="s">
        <v>2966</v>
      </c>
      <c r="AL396" s="471" t="s">
        <v>4377</v>
      </c>
      <c r="AM396" s="470" t="s">
        <v>12974</v>
      </c>
      <c r="AN396" s="470" t="s">
        <v>1385</v>
      </c>
      <c r="AO396" s="470" t="s">
        <v>14898</v>
      </c>
      <c r="AP396" s="470" t="s">
        <v>4379</v>
      </c>
      <c r="AQ396" s="470" t="s">
        <v>4375</v>
      </c>
      <c r="AR396" s="472" t="s">
        <v>515</v>
      </c>
      <c r="AS396" s="473" t="s">
        <v>1385</v>
      </c>
      <c r="AT396" s="472" t="s">
        <v>1390</v>
      </c>
      <c r="AU396" s="472" t="s">
        <v>420</v>
      </c>
      <c r="AV396" s="472">
        <v>2020</v>
      </c>
      <c r="AW396" s="474" t="s">
        <v>15078</v>
      </c>
      <c r="AX396" s="475" t="s">
        <v>15079</v>
      </c>
      <c r="AY396" s="515">
        <v>1</v>
      </c>
      <c r="AZ396" s="474" t="s">
        <v>15079</v>
      </c>
      <c r="BA396" s="472" t="s">
        <v>1385</v>
      </c>
      <c r="BB396" s="472" t="s">
        <v>1385</v>
      </c>
      <c r="BC396" s="472" t="s">
        <v>1385</v>
      </c>
      <c r="BD396" s="472" t="s">
        <v>1385</v>
      </c>
      <c r="BE396" s="472" t="s">
        <v>1385</v>
      </c>
      <c r="BF396" s="472">
        <v>24948</v>
      </c>
      <c r="BG396" s="472">
        <v>0</v>
      </c>
      <c r="BH396" s="472" t="s">
        <v>516</v>
      </c>
      <c r="BI396" s="510">
        <v>0</v>
      </c>
      <c r="BJ396" s="510">
        <v>0</v>
      </c>
      <c r="BK396" s="510">
        <v>0</v>
      </c>
      <c r="BL396" s="510">
        <v>0</v>
      </c>
      <c r="BM396" s="510">
        <v>0</v>
      </c>
      <c r="BN396" s="510">
        <v>0</v>
      </c>
      <c r="BO396" s="510">
        <v>0</v>
      </c>
      <c r="BP396" s="510">
        <v>0</v>
      </c>
      <c r="BQ396" s="510">
        <v>0</v>
      </c>
      <c r="BR396" s="510">
        <v>0</v>
      </c>
      <c r="BS396" s="510">
        <v>0</v>
      </c>
      <c r="BT396" s="510">
        <v>0</v>
      </c>
      <c r="BU396" s="510">
        <v>0</v>
      </c>
      <c r="BV396" s="510">
        <v>0</v>
      </c>
      <c r="BW396" s="510">
        <v>0</v>
      </c>
      <c r="BX396" s="510">
        <v>0</v>
      </c>
      <c r="BY396" s="1011">
        <v>0</v>
      </c>
      <c r="BZ396" s="510">
        <v>0</v>
      </c>
      <c r="CA396" s="1011">
        <v>0</v>
      </c>
      <c r="CB396" s="510">
        <v>0</v>
      </c>
      <c r="CC396" s="1011">
        <v>0</v>
      </c>
      <c r="CD396" s="510">
        <v>0</v>
      </c>
      <c r="CE396" s="1011">
        <v>0</v>
      </c>
      <c r="CF396" s="510">
        <v>0</v>
      </c>
      <c r="CG396" s="1011">
        <v>0</v>
      </c>
      <c r="CH396" s="510">
        <v>0</v>
      </c>
      <c r="CI396" s="1011">
        <v>0</v>
      </c>
    </row>
    <row r="397" spans="1:87" x14ac:dyDescent="0.2">
      <c r="A397" s="449">
        <v>47</v>
      </c>
      <c r="B397" s="453">
        <v>19449</v>
      </c>
      <c r="C397" s="454" t="s">
        <v>4380</v>
      </c>
      <c r="D397" s="454" t="s">
        <v>517</v>
      </c>
      <c r="E397" s="454" t="s">
        <v>4381</v>
      </c>
      <c r="F397" s="454" t="s">
        <v>526</v>
      </c>
      <c r="G397" s="454" t="s">
        <v>12975</v>
      </c>
      <c r="H397" s="455">
        <v>10903950000180</v>
      </c>
      <c r="I397" s="462">
        <v>39962</v>
      </c>
      <c r="J397" s="457">
        <v>39340694</v>
      </c>
      <c r="K397" s="454" t="s">
        <v>4382</v>
      </c>
      <c r="L397" s="458" t="s">
        <v>1446</v>
      </c>
      <c r="M397" s="454" t="s">
        <v>1411</v>
      </c>
      <c r="N397" s="459">
        <v>8131315</v>
      </c>
      <c r="O397" s="460">
        <v>25666202</v>
      </c>
      <c r="P397" s="462">
        <v>138889</v>
      </c>
      <c r="Q397" s="462">
        <v>47</v>
      </c>
      <c r="R397" s="462">
        <v>43927</v>
      </c>
      <c r="S397" s="463">
        <v>915</v>
      </c>
      <c r="T397" s="464">
        <v>5.4</v>
      </c>
      <c r="U397" s="465">
        <v>4941</v>
      </c>
      <c r="V397" s="465">
        <v>20340</v>
      </c>
      <c r="W397" s="466">
        <v>0</v>
      </c>
      <c r="X397" s="467">
        <v>1</v>
      </c>
      <c r="Y397" s="466">
        <v>37921.5</v>
      </c>
      <c r="Z397" s="468" t="s">
        <v>516</v>
      </c>
      <c r="AA397" s="466">
        <v>137373.9</v>
      </c>
      <c r="AB397" s="466">
        <v>137373.9</v>
      </c>
      <c r="AC397" s="467">
        <v>0</v>
      </c>
      <c r="AD397" s="466">
        <v>0</v>
      </c>
      <c r="AE397" s="468" t="s">
        <v>516</v>
      </c>
      <c r="AF397" s="466">
        <v>1200</v>
      </c>
      <c r="AG397" s="466">
        <v>1200</v>
      </c>
      <c r="AH397" s="466">
        <v>25678.32</v>
      </c>
      <c r="AI397" s="466">
        <v>62.64</v>
      </c>
      <c r="AJ397" s="469" t="s">
        <v>1839</v>
      </c>
      <c r="AK397" s="470" t="s">
        <v>526</v>
      </c>
      <c r="AL397" s="471" t="s">
        <v>4383</v>
      </c>
      <c r="AM397" s="470" t="s">
        <v>12976</v>
      </c>
      <c r="AN397" s="470" t="s">
        <v>1385</v>
      </c>
      <c r="AO397" s="470" t="s">
        <v>4384</v>
      </c>
      <c r="AP397" s="470" t="s">
        <v>4385</v>
      </c>
      <c r="AQ397" s="470" t="s">
        <v>4380</v>
      </c>
      <c r="AR397" s="472" t="s">
        <v>515</v>
      </c>
      <c r="AS397" s="473" t="s">
        <v>1385</v>
      </c>
      <c r="AT397" s="472" t="s">
        <v>517</v>
      </c>
      <c r="AU397" s="472" t="s">
        <v>420</v>
      </c>
      <c r="AV397" s="472">
        <v>2020</v>
      </c>
      <c r="AW397" s="474" t="s">
        <v>15078</v>
      </c>
      <c r="AX397" s="475" t="s">
        <v>15079</v>
      </c>
      <c r="AY397" s="515">
        <v>1</v>
      </c>
      <c r="AZ397" s="474" t="s">
        <v>15079</v>
      </c>
      <c r="BA397" s="472" t="s">
        <v>517</v>
      </c>
      <c r="BB397" s="472" t="s">
        <v>1385</v>
      </c>
      <c r="BC397" s="472" t="s">
        <v>1385</v>
      </c>
      <c r="BD397" s="472" t="s">
        <v>1385</v>
      </c>
      <c r="BE397" s="472" t="s">
        <v>1385</v>
      </c>
      <c r="BF397" s="472">
        <v>37921.5</v>
      </c>
      <c r="BG397" s="472">
        <v>0</v>
      </c>
      <c r="BH397" s="472" t="s">
        <v>1385</v>
      </c>
      <c r="BI397" s="510">
        <v>0</v>
      </c>
      <c r="BJ397" s="510">
        <v>0</v>
      </c>
      <c r="BK397" s="510">
        <v>0</v>
      </c>
      <c r="BL397" s="510">
        <v>0</v>
      </c>
      <c r="BM397" s="510">
        <v>0</v>
      </c>
      <c r="BN397" s="510">
        <v>5000</v>
      </c>
      <c r="BO397" s="510">
        <v>800</v>
      </c>
      <c r="BP397" s="510">
        <v>1200</v>
      </c>
      <c r="BQ397" s="510">
        <v>0</v>
      </c>
      <c r="BR397" s="510">
        <v>0</v>
      </c>
      <c r="BS397" s="510">
        <v>0</v>
      </c>
      <c r="BT397" s="510">
        <v>0</v>
      </c>
      <c r="BU397" s="510">
        <v>2500</v>
      </c>
      <c r="BV397" s="510">
        <v>2500</v>
      </c>
      <c r="BW397" s="510">
        <v>0</v>
      </c>
      <c r="BX397" s="510">
        <v>30000</v>
      </c>
      <c r="BY397" s="1011">
        <v>0</v>
      </c>
      <c r="BZ397" s="510">
        <v>0</v>
      </c>
      <c r="CA397" s="1011">
        <v>0</v>
      </c>
      <c r="CB397" s="510">
        <v>22000</v>
      </c>
      <c r="CC397" s="1011">
        <v>0</v>
      </c>
      <c r="CD397" s="510">
        <v>0</v>
      </c>
      <c r="CE397" s="1011">
        <v>0</v>
      </c>
      <c r="CF397" s="510">
        <v>46652.4</v>
      </c>
      <c r="CG397" s="1011">
        <v>0</v>
      </c>
      <c r="CH397" s="510">
        <v>0</v>
      </c>
      <c r="CI397" s="1011">
        <v>0</v>
      </c>
    </row>
    <row r="398" spans="1:87" x14ac:dyDescent="0.2">
      <c r="A398" s="449">
        <v>111</v>
      </c>
      <c r="B398" s="453">
        <v>19450</v>
      </c>
      <c r="C398" s="454" t="s">
        <v>4386</v>
      </c>
      <c r="D398" s="454" t="s">
        <v>1390</v>
      </c>
      <c r="E398" s="454" t="s">
        <v>4387</v>
      </c>
      <c r="F398" s="454" t="s">
        <v>513</v>
      </c>
      <c r="G398" s="454" t="s">
        <v>12977</v>
      </c>
      <c r="H398" s="455">
        <v>11862487000138</v>
      </c>
      <c r="I398" s="462">
        <v>40287</v>
      </c>
      <c r="J398" s="457">
        <v>40924343</v>
      </c>
      <c r="K398" s="454" t="s">
        <v>4235</v>
      </c>
      <c r="L398" s="458" t="s">
        <v>1446</v>
      </c>
      <c r="M398" s="454" t="s">
        <v>4388</v>
      </c>
      <c r="N398" s="459">
        <v>8371410</v>
      </c>
      <c r="O398" s="460">
        <v>27346887</v>
      </c>
      <c r="P398" s="462">
        <v>151915</v>
      </c>
      <c r="Q398" s="462">
        <v>111</v>
      </c>
      <c r="R398" s="462">
        <v>43937</v>
      </c>
      <c r="S398" s="463">
        <v>386</v>
      </c>
      <c r="T398" s="464">
        <v>3.6</v>
      </c>
      <c r="U398" s="465">
        <v>1389.6</v>
      </c>
      <c r="V398" s="465">
        <v>13680</v>
      </c>
      <c r="W398" s="466">
        <v>0</v>
      </c>
      <c r="X398" s="467">
        <v>1</v>
      </c>
      <c r="Y398" s="466">
        <v>22604.400000000001</v>
      </c>
      <c r="Z398" s="468" t="s">
        <v>516</v>
      </c>
      <c r="AA398" s="466">
        <v>100796.4</v>
      </c>
      <c r="AB398" s="466">
        <v>100796.4</v>
      </c>
      <c r="AC398" s="467">
        <v>0</v>
      </c>
      <c r="AD398" s="466">
        <v>0</v>
      </c>
      <c r="AE398" s="468" t="s">
        <v>516</v>
      </c>
      <c r="AF398" s="466">
        <v>0</v>
      </c>
      <c r="AG398" s="466">
        <v>0</v>
      </c>
      <c r="AH398" s="466">
        <v>5946.33</v>
      </c>
      <c r="AI398" s="466">
        <v>15306.83</v>
      </c>
      <c r="AJ398" s="469" t="s">
        <v>2050</v>
      </c>
      <c r="AK398" s="470" t="s">
        <v>2051</v>
      </c>
      <c r="AL398" s="471" t="s">
        <v>4389</v>
      </c>
      <c r="AM398" s="470" t="s">
        <v>12978</v>
      </c>
      <c r="AN398" s="470" t="s">
        <v>1385</v>
      </c>
      <c r="AO398" s="470" t="s">
        <v>4390</v>
      </c>
      <c r="AP398" s="470" t="s">
        <v>4388</v>
      </c>
      <c r="AQ398" s="470" t="s">
        <v>4386</v>
      </c>
      <c r="AR398" s="472" t="s">
        <v>515</v>
      </c>
      <c r="AS398" s="473" t="s">
        <v>1385</v>
      </c>
      <c r="AT398" s="472" t="s">
        <v>1390</v>
      </c>
      <c r="AU398" s="472" t="s">
        <v>420</v>
      </c>
      <c r="AV398" s="472">
        <v>2020</v>
      </c>
      <c r="AW398" s="474" t="s">
        <v>15078</v>
      </c>
      <c r="AX398" s="475" t="s">
        <v>15079</v>
      </c>
      <c r="AY398" s="515">
        <v>1</v>
      </c>
      <c r="AZ398" s="474" t="s">
        <v>15079</v>
      </c>
      <c r="BA398" s="472" t="s">
        <v>1390</v>
      </c>
      <c r="BB398" s="472" t="s">
        <v>1385</v>
      </c>
      <c r="BC398" s="472" t="s">
        <v>1385</v>
      </c>
      <c r="BD398" s="472" t="s">
        <v>1385</v>
      </c>
      <c r="BE398" s="472" t="s">
        <v>1385</v>
      </c>
      <c r="BF398" s="472">
        <v>22604.400000000001</v>
      </c>
      <c r="BG398" s="472">
        <v>0</v>
      </c>
      <c r="BH398" s="472" t="s">
        <v>1385</v>
      </c>
      <c r="BI398" s="510">
        <v>0</v>
      </c>
      <c r="BJ398" s="510">
        <v>0</v>
      </c>
      <c r="BK398" s="510">
        <v>0</v>
      </c>
      <c r="BL398" s="510">
        <v>0</v>
      </c>
      <c r="BM398" s="510">
        <v>0</v>
      </c>
      <c r="BN398" s="510">
        <v>3500</v>
      </c>
      <c r="BO398" s="510">
        <v>0</v>
      </c>
      <c r="BP398" s="510">
        <v>0</v>
      </c>
      <c r="BQ398" s="510">
        <v>0</v>
      </c>
      <c r="BR398" s="510">
        <v>0</v>
      </c>
      <c r="BS398" s="510">
        <v>0</v>
      </c>
      <c r="BT398" s="510">
        <v>0</v>
      </c>
      <c r="BU398" s="510">
        <v>0</v>
      </c>
      <c r="BV398" s="510">
        <v>0</v>
      </c>
      <c r="BW398" s="510">
        <v>0</v>
      </c>
      <c r="BX398" s="510">
        <v>30000</v>
      </c>
      <c r="BY398" s="1011">
        <v>0</v>
      </c>
      <c r="BZ398" s="510">
        <v>0</v>
      </c>
      <c r="CA398" s="1011">
        <v>0</v>
      </c>
      <c r="CB398" s="510">
        <v>0</v>
      </c>
      <c r="CC398" s="1011">
        <v>0</v>
      </c>
      <c r="CD398" s="510">
        <v>0</v>
      </c>
      <c r="CE398" s="1011">
        <v>0</v>
      </c>
      <c r="CF398" s="510">
        <v>48192</v>
      </c>
      <c r="CG398" s="1011">
        <v>0</v>
      </c>
      <c r="CH398" s="510">
        <v>0</v>
      </c>
      <c r="CI398" s="1011">
        <v>0</v>
      </c>
    </row>
    <row r="399" spans="1:87" x14ac:dyDescent="0.2">
      <c r="A399" s="449">
        <v>88</v>
      </c>
      <c r="B399" s="453">
        <v>19451</v>
      </c>
      <c r="C399" s="454" t="s">
        <v>4391</v>
      </c>
      <c r="D399" s="454" t="s">
        <v>1390</v>
      </c>
      <c r="E399" s="454" t="s">
        <v>4392</v>
      </c>
      <c r="F399" s="454" t="s">
        <v>521</v>
      </c>
      <c r="G399" s="454" t="s">
        <v>12979</v>
      </c>
      <c r="H399" s="455">
        <v>11364590000158</v>
      </c>
      <c r="I399" s="462">
        <v>40112</v>
      </c>
      <c r="J399" s="457">
        <v>41832140</v>
      </c>
      <c r="K399" s="454" t="s">
        <v>4393</v>
      </c>
      <c r="L399" s="458">
        <v>120</v>
      </c>
      <c r="M399" s="454" t="s">
        <v>2965</v>
      </c>
      <c r="N399" s="459">
        <v>4850140</v>
      </c>
      <c r="O399" s="460">
        <v>59322120</v>
      </c>
      <c r="P399" s="462">
        <v>97372</v>
      </c>
      <c r="Q399" s="462">
        <v>90</v>
      </c>
      <c r="R399" s="462">
        <v>43934</v>
      </c>
      <c r="S399" s="463">
        <v>585</v>
      </c>
      <c r="T399" s="464">
        <v>3.6</v>
      </c>
      <c r="U399" s="465">
        <v>2106</v>
      </c>
      <c r="V399" s="465">
        <v>16560</v>
      </c>
      <c r="W399" s="466">
        <v>0</v>
      </c>
      <c r="X399" s="467">
        <v>1</v>
      </c>
      <c r="Y399" s="466">
        <v>27999</v>
      </c>
      <c r="Z399" s="468" t="s">
        <v>516</v>
      </c>
      <c r="AA399" s="466">
        <v>109920.6</v>
      </c>
      <c r="AB399" s="466">
        <v>109920.6</v>
      </c>
      <c r="AC399" s="467">
        <v>0</v>
      </c>
      <c r="AD399" s="466">
        <v>0</v>
      </c>
      <c r="AE399" s="468" t="s">
        <v>516</v>
      </c>
      <c r="AF399" s="466">
        <v>0</v>
      </c>
      <c r="AG399" s="466">
        <v>0</v>
      </c>
      <c r="AH399" s="466">
        <v>55712.31</v>
      </c>
      <c r="AI399" s="466">
        <v>3965.45</v>
      </c>
      <c r="AJ399" s="469" t="s">
        <v>1657</v>
      </c>
      <c r="AK399" s="470" t="s">
        <v>3495</v>
      </c>
      <c r="AL399" s="471" t="s">
        <v>4394</v>
      </c>
      <c r="AM399" s="470" t="s">
        <v>12980</v>
      </c>
      <c r="AN399" s="470" t="s">
        <v>1385</v>
      </c>
      <c r="AO399" s="470" t="s">
        <v>14935</v>
      </c>
      <c r="AP399" s="470" t="s">
        <v>4395</v>
      </c>
      <c r="AQ399" s="470" t="s">
        <v>4391</v>
      </c>
      <c r="AR399" s="472" t="s">
        <v>515</v>
      </c>
      <c r="AS399" s="473" t="s">
        <v>1385</v>
      </c>
      <c r="AT399" s="472" t="s">
        <v>1390</v>
      </c>
      <c r="AU399" s="472" t="s">
        <v>420</v>
      </c>
      <c r="AV399" s="472">
        <v>2020</v>
      </c>
      <c r="AW399" s="474" t="s">
        <v>15078</v>
      </c>
      <c r="AX399" s="475" t="s">
        <v>15079</v>
      </c>
      <c r="AY399" s="515">
        <v>1</v>
      </c>
      <c r="AZ399" s="474" t="s">
        <v>15079</v>
      </c>
      <c r="BA399" s="472" t="s">
        <v>1390</v>
      </c>
      <c r="BB399" s="472" t="s">
        <v>1385</v>
      </c>
      <c r="BC399" s="472" t="s">
        <v>1385</v>
      </c>
      <c r="BD399" s="472" t="s">
        <v>1385</v>
      </c>
      <c r="BE399" s="472" t="s">
        <v>1385</v>
      </c>
      <c r="BF399" s="472">
        <v>27999</v>
      </c>
      <c r="BG399" s="472">
        <v>0</v>
      </c>
      <c r="BH399" s="472" t="s">
        <v>1385</v>
      </c>
      <c r="BI399" s="510">
        <v>0</v>
      </c>
      <c r="BJ399" s="510">
        <v>0</v>
      </c>
      <c r="BK399" s="510">
        <v>0</v>
      </c>
      <c r="BL399" s="510">
        <v>0</v>
      </c>
      <c r="BM399" s="510">
        <v>0</v>
      </c>
      <c r="BN399" s="510">
        <v>5000</v>
      </c>
      <c r="BO399" s="510">
        <v>0</v>
      </c>
      <c r="BP399" s="510">
        <v>0</v>
      </c>
      <c r="BQ399" s="510">
        <v>0</v>
      </c>
      <c r="BR399" s="510">
        <v>0</v>
      </c>
      <c r="BS399" s="510">
        <v>0</v>
      </c>
      <c r="BT399" s="510">
        <v>0</v>
      </c>
      <c r="BU399" s="510">
        <v>0</v>
      </c>
      <c r="BV399" s="510">
        <v>0</v>
      </c>
      <c r="BW399" s="510">
        <v>0</v>
      </c>
      <c r="BX399" s="510">
        <v>30000</v>
      </c>
      <c r="BY399" s="1011">
        <v>0</v>
      </c>
      <c r="BZ399" s="510">
        <v>0</v>
      </c>
      <c r="CA399" s="1011">
        <v>0</v>
      </c>
      <c r="CB399" s="510">
        <v>0</v>
      </c>
      <c r="CC399" s="1011">
        <v>0</v>
      </c>
      <c r="CD399" s="510">
        <v>0</v>
      </c>
      <c r="CE399" s="1011">
        <v>0</v>
      </c>
      <c r="CF399" s="510">
        <v>51921.599999999999</v>
      </c>
      <c r="CG399" s="1011">
        <v>0</v>
      </c>
      <c r="CH399" s="510">
        <v>0</v>
      </c>
      <c r="CI399" s="1011">
        <v>0</v>
      </c>
    </row>
    <row r="400" spans="1:87" x14ac:dyDescent="0.2">
      <c r="A400" s="449">
        <v>114</v>
      </c>
      <c r="B400" s="453">
        <v>19452</v>
      </c>
      <c r="C400" s="454" t="s">
        <v>4396</v>
      </c>
      <c r="D400" s="454" t="s">
        <v>1390</v>
      </c>
      <c r="E400" s="454" t="s">
        <v>4397</v>
      </c>
      <c r="F400" s="454" t="s">
        <v>528</v>
      </c>
      <c r="G400" s="454" t="s">
        <v>12981</v>
      </c>
      <c r="H400" s="455">
        <v>12124833000143</v>
      </c>
      <c r="I400" s="462">
        <v>40333</v>
      </c>
      <c r="J400" s="457">
        <v>43093116</v>
      </c>
      <c r="K400" s="454" t="s">
        <v>4398</v>
      </c>
      <c r="L400" s="458" t="s">
        <v>1446</v>
      </c>
      <c r="M400" s="454" t="s">
        <v>4399</v>
      </c>
      <c r="N400" s="459">
        <v>2820040</v>
      </c>
      <c r="O400" s="460">
        <v>39726007</v>
      </c>
      <c r="P400" s="462">
        <v>270353</v>
      </c>
      <c r="Q400" s="462">
        <v>114</v>
      </c>
      <c r="R400" s="462">
        <v>43938</v>
      </c>
      <c r="S400" s="463">
        <v>532</v>
      </c>
      <c r="T400" s="464">
        <v>3.6</v>
      </c>
      <c r="U400" s="465">
        <v>1915.2</v>
      </c>
      <c r="V400" s="465">
        <v>16560</v>
      </c>
      <c r="W400" s="466">
        <v>0</v>
      </c>
      <c r="X400" s="467">
        <v>1</v>
      </c>
      <c r="Y400" s="466">
        <v>27712.799999999999</v>
      </c>
      <c r="Z400" s="468" t="s">
        <v>516</v>
      </c>
      <c r="AA400" s="466">
        <v>109814.39999999999</v>
      </c>
      <c r="AB400" s="466">
        <v>109814.39999999999</v>
      </c>
      <c r="AC400" s="467">
        <v>0</v>
      </c>
      <c r="AD400" s="466">
        <v>0</v>
      </c>
      <c r="AE400" s="468" t="s">
        <v>516</v>
      </c>
      <c r="AF400" s="466">
        <v>2000</v>
      </c>
      <c r="AG400" s="466">
        <v>2000</v>
      </c>
      <c r="AH400" s="466">
        <v>15314.53</v>
      </c>
      <c r="AI400" s="466">
        <v>8931.92</v>
      </c>
      <c r="AJ400" s="469" t="s">
        <v>1588</v>
      </c>
      <c r="AK400" s="470" t="s">
        <v>4400</v>
      </c>
      <c r="AL400" s="471" t="s">
        <v>4401</v>
      </c>
      <c r="AM400" s="470" t="s">
        <v>12982</v>
      </c>
      <c r="AN400" s="470" t="s">
        <v>4402</v>
      </c>
      <c r="AO400" s="470" t="s">
        <v>12983</v>
      </c>
      <c r="AP400" s="470" t="s">
        <v>4403</v>
      </c>
      <c r="AQ400" s="470" t="s">
        <v>4396</v>
      </c>
      <c r="AR400" s="472" t="s">
        <v>515</v>
      </c>
      <c r="AS400" s="473" t="s">
        <v>1385</v>
      </c>
      <c r="AT400" s="472" t="s">
        <v>1390</v>
      </c>
      <c r="AU400" s="472" t="s">
        <v>420</v>
      </c>
      <c r="AV400" s="472">
        <v>2020</v>
      </c>
      <c r="AW400" s="474" t="s">
        <v>15078</v>
      </c>
      <c r="AX400" s="475" t="s">
        <v>15079</v>
      </c>
      <c r="AY400" s="515">
        <v>1</v>
      </c>
      <c r="AZ400" s="474" t="s">
        <v>15079</v>
      </c>
      <c r="BA400" s="472" t="s">
        <v>1390</v>
      </c>
      <c r="BB400" s="472" t="s">
        <v>1385</v>
      </c>
      <c r="BC400" s="472" t="s">
        <v>1385</v>
      </c>
      <c r="BD400" s="472" t="s">
        <v>1385</v>
      </c>
      <c r="BE400" s="472" t="s">
        <v>1385</v>
      </c>
      <c r="BF400" s="472">
        <v>27712.799999999999</v>
      </c>
      <c r="BG400" s="472">
        <v>0</v>
      </c>
      <c r="BH400" s="472" t="s">
        <v>1385</v>
      </c>
      <c r="BI400" s="510">
        <v>0</v>
      </c>
      <c r="BJ400" s="510">
        <v>353</v>
      </c>
      <c r="BK400" s="510">
        <v>0</v>
      </c>
      <c r="BL400" s="510">
        <v>0</v>
      </c>
      <c r="BM400" s="510">
        <v>0</v>
      </c>
      <c r="BN400" s="510">
        <v>4000</v>
      </c>
      <c r="BO400" s="510">
        <v>0</v>
      </c>
      <c r="BP400" s="510">
        <v>2000</v>
      </c>
      <c r="BQ400" s="510">
        <v>0</v>
      </c>
      <c r="BR400" s="510">
        <v>0</v>
      </c>
      <c r="BS400" s="510">
        <v>0</v>
      </c>
      <c r="BT400" s="510">
        <v>0</v>
      </c>
      <c r="BU400" s="510">
        <v>0</v>
      </c>
      <c r="BV400" s="510">
        <v>0</v>
      </c>
      <c r="BW400" s="510">
        <v>0</v>
      </c>
      <c r="BX400" s="510">
        <v>30000</v>
      </c>
      <c r="BY400" s="1011">
        <v>0</v>
      </c>
      <c r="BZ400" s="510">
        <v>0</v>
      </c>
      <c r="CA400" s="1011">
        <v>0</v>
      </c>
      <c r="CB400" s="510">
        <v>0</v>
      </c>
      <c r="CC400" s="1011">
        <v>0</v>
      </c>
      <c r="CD400" s="510">
        <v>0</v>
      </c>
      <c r="CE400" s="1011">
        <v>0</v>
      </c>
      <c r="CF400" s="510">
        <v>52101.599999999999</v>
      </c>
      <c r="CG400" s="1011">
        <v>0</v>
      </c>
      <c r="CH400" s="510">
        <v>0</v>
      </c>
      <c r="CI400" s="1011">
        <v>0</v>
      </c>
    </row>
    <row r="401" spans="1:87" x14ac:dyDescent="0.2">
      <c r="A401" s="449">
        <v>18</v>
      </c>
      <c r="B401" s="453">
        <v>19453</v>
      </c>
      <c r="C401" s="454" t="s">
        <v>4404</v>
      </c>
      <c r="D401" s="454" t="s">
        <v>1417</v>
      </c>
      <c r="E401" s="454" t="s">
        <v>4405</v>
      </c>
      <c r="F401" s="454" t="s">
        <v>522</v>
      </c>
      <c r="G401" s="454" t="s">
        <v>12984</v>
      </c>
      <c r="H401" s="455">
        <v>3738046000109</v>
      </c>
      <c r="I401" s="462">
        <v>36609</v>
      </c>
      <c r="J401" s="457">
        <v>37588842</v>
      </c>
      <c r="K401" s="454" t="s">
        <v>4406</v>
      </c>
      <c r="L401" s="458">
        <v>73</v>
      </c>
      <c r="M401" s="454" t="s">
        <v>4407</v>
      </c>
      <c r="N401" s="459">
        <v>2882030</v>
      </c>
      <c r="O401" s="460">
        <v>39855745</v>
      </c>
      <c r="P401" s="462">
        <v>80040</v>
      </c>
      <c r="Q401" s="462">
        <v>51</v>
      </c>
      <c r="R401" s="462">
        <v>43911</v>
      </c>
      <c r="S401" s="463">
        <v>81</v>
      </c>
      <c r="T401" s="464">
        <v>5.4</v>
      </c>
      <c r="U401" s="465">
        <v>437.4</v>
      </c>
      <c r="V401" s="465">
        <v>18000</v>
      </c>
      <c r="W401" s="466">
        <v>0</v>
      </c>
      <c r="X401" s="467">
        <v>1</v>
      </c>
      <c r="Y401" s="466">
        <v>27656.1</v>
      </c>
      <c r="Z401" s="468" t="s">
        <v>516</v>
      </c>
      <c r="AA401" s="466">
        <v>110433.7</v>
      </c>
      <c r="AB401" s="466">
        <v>110433.7</v>
      </c>
      <c r="AC401" s="467">
        <v>0</v>
      </c>
      <c r="AD401" s="466">
        <v>0</v>
      </c>
      <c r="AE401" s="468" t="s">
        <v>516</v>
      </c>
      <c r="AF401" s="466">
        <v>1000</v>
      </c>
      <c r="AG401" s="466">
        <v>1000</v>
      </c>
      <c r="AH401" s="466">
        <v>1217.58</v>
      </c>
      <c r="AI401" s="466">
        <v>8583.02</v>
      </c>
      <c r="AJ401" s="469" t="s">
        <v>4024</v>
      </c>
      <c r="AK401" s="470" t="s">
        <v>12893</v>
      </c>
      <c r="AL401" s="471" t="s">
        <v>4408</v>
      </c>
      <c r="AM401" s="470" t="s">
        <v>12985</v>
      </c>
      <c r="AN401" s="470" t="s">
        <v>1385</v>
      </c>
      <c r="AO401" s="470" t="s">
        <v>4409</v>
      </c>
      <c r="AP401" s="470" t="s">
        <v>4410</v>
      </c>
      <c r="AQ401" s="470" t="s">
        <v>4404</v>
      </c>
      <c r="AR401" s="472" t="s">
        <v>515</v>
      </c>
      <c r="AS401" s="473" t="s">
        <v>1385</v>
      </c>
      <c r="AT401" s="472" t="s">
        <v>1417</v>
      </c>
      <c r="AU401" s="472" t="s">
        <v>420</v>
      </c>
      <c r="AV401" s="472">
        <v>2020</v>
      </c>
      <c r="AW401" s="474" t="s">
        <v>15078</v>
      </c>
      <c r="AX401" s="475" t="s">
        <v>15079</v>
      </c>
      <c r="AY401" s="515">
        <v>1</v>
      </c>
      <c r="AZ401" s="474" t="s">
        <v>15079</v>
      </c>
      <c r="BA401" s="472" t="s">
        <v>1417</v>
      </c>
      <c r="BB401" s="472" t="s">
        <v>1385</v>
      </c>
      <c r="BC401" s="472" t="s">
        <v>1385</v>
      </c>
      <c r="BD401" s="472" t="s">
        <v>1385</v>
      </c>
      <c r="BE401" s="472" t="s">
        <v>1385</v>
      </c>
      <c r="BF401" s="472">
        <v>27656.1</v>
      </c>
      <c r="BG401" s="472">
        <v>0</v>
      </c>
      <c r="BH401" s="472" t="s">
        <v>1385</v>
      </c>
      <c r="BI401" s="510">
        <v>0</v>
      </c>
      <c r="BJ401" s="510">
        <v>0</v>
      </c>
      <c r="BK401" s="510">
        <v>0</v>
      </c>
      <c r="BL401" s="510">
        <v>1557</v>
      </c>
      <c r="BM401" s="510">
        <v>0</v>
      </c>
      <c r="BN401" s="510">
        <v>2000</v>
      </c>
      <c r="BO401" s="510">
        <v>1000</v>
      </c>
      <c r="BP401" s="510">
        <v>1000</v>
      </c>
      <c r="BQ401" s="510">
        <v>0</v>
      </c>
      <c r="BR401" s="510">
        <v>0</v>
      </c>
      <c r="BS401" s="510">
        <v>0</v>
      </c>
      <c r="BT401" s="510">
        <v>0</v>
      </c>
      <c r="BU401" s="510">
        <v>2500</v>
      </c>
      <c r="BV401" s="510">
        <v>2500</v>
      </c>
      <c r="BW401" s="510">
        <v>0</v>
      </c>
      <c r="BX401" s="510">
        <v>30000</v>
      </c>
      <c r="BY401" s="1011">
        <v>0</v>
      </c>
      <c r="BZ401" s="510">
        <v>0</v>
      </c>
      <c r="CA401" s="1011">
        <v>0</v>
      </c>
      <c r="CB401" s="510">
        <v>0</v>
      </c>
      <c r="CC401" s="1011">
        <v>0</v>
      </c>
      <c r="CD401" s="510">
        <v>0</v>
      </c>
      <c r="CE401" s="1011">
        <v>0</v>
      </c>
      <c r="CF401" s="510">
        <v>51777.599999999999</v>
      </c>
      <c r="CG401" s="1011">
        <v>0</v>
      </c>
      <c r="CH401" s="510">
        <v>0</v>
      </c>
      <c r="CI401" s="1011">
        <v>0</v>
      </c>
    </row>
    <row r="402" spans="1:87" x14ac:dyDescent="0.2">
      <c r="A402" s="449">
        <v>76</v>
      </c>
      <c r="B402" s="453">
        <v>19454</v>
      </c>
      <c r="C402" s="454" t="s">
        <v>4411</v>
      </c>
      <c r="D402" s="454" t="s">
        <v>517</v>
      </c>
      <c r="E402" s="454" t="s">
        <v>4412</v>
      </c>
      <c r="F402" s="454" t="s">
        <v>513</v>
      </c>
      <c r="G402" s="454" t="s">
        <v>12986</v>
      </c>
      <c r="H402" s="455">
        <v>11844929000113</v>
      </c>
      <c r="I402" s="462">
        <v>40281</v>
      </c>
      <c r="J402" s="457">
        <v>41312686</v>
      </c>
      <c r="K402" s="454" t="s">
        <v>4413</v>
      </c>
      <c r="L402" s="458" t="s">
        <v>1446</v>
      </c>
      <c r="M402" s="454" t="s">
        <v>4414</v>
      </c>
      <c r="N402" s="459">
        <v>3928240</v>
      </c>
      <c r="O402" s="460">
        <v>27026842</v>
      </c>
      <c r="P402" s="462">
        <v>150889</v>
      </c>
      <c r="Q402" s="462">
        <v>76</v>
      </c>
      <c r="R402" s="462">
        <v>43937</v>
      </c>
      <c r="S402" s="463">
        <v>740</v>
      </c>
      <c r="T402" s="464">
        <v>5.4</v>
      </c>
      <c r="U402" s="465">
        <v>3996</v>
      </c>
      <c r="V402" s="465">
        <v>18720</v>
      </c>
      <c r="W402" s="466">
        <v>0</v>
      </c>
      <c r="X402" s="467">
        <v>1</v>
      </c>
      <c r="Y402" s="466">
        <v>34074</v>
      </c>
      <c r="Z402" s="468" t="s">
        <v>516</v>
      </c>
      <c r="AA402" s="466">
        <v>127250.8</v>
      </c>
      <c r="AB402" s="466">
        <v>127250.8</v>
      </c>
      <c r="AC402" s="467">
        <v>0</v>
      </c>
      <c r="AD402" s="466">
        <v>0</v>
      </c>
      <c r="AE402" s="468" t="s">
        <v>516</v>
      </c>
      <c r="AF402" s="466">
        <v>0</v>
      </c>
      <c r="AG402" s="466">
        <v>0</v>
      </c>
      <c r="AH402" s="466">
        <v>35725.620000000003</v>
      </c>
      <c r="AI402" s="466">
        <v>11354.46</v>
      </c>
      <c r="AJ402" s="469" t="s">
        <v>2030</v>
      </c>
      <c r="AK402" s="470" t="s">
        <v>513</v>
      </c>
      <c r="AL402" s="471" t="s">
        <v>4415</v>
      </c>
      <c r="AM402" s="470" t="s">
        <v>9044</v>
      </c>
      <c r="AN402" s="470" t="s">
        <v>4416</v>
      </c>
      <c r="AO402" s="470" t="s">
        <v>4417</v>
      </c>
      <c r="AP402" s="470" t="s">
        <v>4418</v>
      </c>
      <c r="AQ402" s="470" t="s">
        <v>4411</v>
      </c>
      <c r="AR402" s="472" t="s">
        <v>515</v>
      </c>
      <c r="AS402" s="473" t="s">
        <v>1385</v>
      </c>
      <c r="AT402" s="472" t="s">
        <v>517</v>
      </c>
      <c r="AU402" s="472" t="s">
        <v>420</v>
      </c>
      <c r="AV402" s="472">
        <v>2020</v>
      </c>
      <c r="AW402" s="474" t="s">
        <v>15078</v>
      </c>
      <c r="AX402" s="475" t="s">
        <v>15079</v>
      </c>
      <c r="AY402" s="515">
        <v>1</v>
      </c>
      <c r="AZ402" s="474" t="s">
        <v>15079</v>
      </c>
      <c r="BA402" s="472" t="s">
        <v>517</v>
      </c>
      <c r="BB402" s="472" t="s">
        <v>1385</v>
      </c>
      <c r="BC402" s="472" t="s">
        <v>1385</v>
      </c>
      <c r="BD402" s="472" t="s">
        <v>1385</v>
      </c>
      <c r="BE402" s="472" t="s">
        <v>1385</v>
      </c>
      <c r="BF402" s="472">
        <v>34074</v>
      </c>
      <c r="BG402" s="472">
        <v>0</v>
      </c>
      <c r="BH402" s="472" t="s">
        <v>1385</v>
      </c>
      <c r="BI402" s="510">
        <v>0</v>
      </c>
      <c r="BJ402" s="510">
        <v>0</v>
      </c>
      <c r="BK402" s="510">
        <v>0</v>
      </c>
      <c r="BL402" s="510">
        <v>3500</v>
      </c>
      <c r="BM402" s="510">
        <v>0</v>
      </c>
      <c r="BN402" s="510">
        <v>5000</v>
      </c>
      <c r="BO402" s="510">
        <v>0</v>
      </c>
      <c r="BP402" s="510">
        <v>0</v>
      </c>
      <c r="BQ402" s="510">
        <v>0</v>
      </c>
      <c r="BR402" s="510">
        <v>0</v>
      </c>
      <c r="BS402" s="510">
        <v>0</v>
      </c>
      <c r="BT402" s="510">
        <v>0</v>
      </c>
      <c r="BU402" s="510">
        <v>2500</v>
      </c>
      <c r="BV402" s="510">
        <v>2500</v>
      </c>
      <c r="BW402" s="510">
        <v>0</v>
      </c>
      <c r="BX402" s="510">
        <v>30000</v>
      </c>
      <c r="BY402" s="1011">
        <v>0</v>
      </c>
      <c r="BZ402" s="510">
        <v>0</v>
      </c>
      <c r="CA402" s="1011">
        <v>0</v>
      </c>
      <c r="CB402" s="510">
        <v>22000</v>
      </c>
      <c r="CC402" s="1011">
        <v>0</v>
      </c>
      <c r="CD402" s="510">
        <v>0</v>
      </c>
      <c r="CE402" s="1011">
        <v>0</v>
      </c>
      <c r="CF402" s="510">
        <v>41176.800000000003</v>
      </c>
      <c r="CG402" s="1011">
        <v>0</v>
      </c>
      <c r="CH402" s="510">
        <v>0</v>
      </c>
      <c r="CI402" s="1011">
        <v>0</v>
      </c>
    </row>
    <row r="403" spans="1:87" x14ac:dyDescent="0.2">
      <c r="A403" s="449">
        <v>37</v>
      </c>
      <c r="B403" s="453">
        <v>19455</v>
      </c>
      <c r="C403" s="454" t="s">
        <v>4419</v>
      </c>
      <c r="D403" s="454" t="s">
        <v>517</v>
      </c>
      <c r="E403" s="454" t="s">
        <v>4420</v>
      </c>
      <c r="F403" s="454" t="s">
        <v>523</v>
      </c>
      <c r="G403" s="454" t="s">
        <v>12987</v>
      </c>
      <c r="H403" s="455">
        <v>11885261000152</v>
      </c>
      <c r="I403" s="462">
        <v>40291</v>
      </c>
      <c r="J403" s="457">
        <v>40813754</v>
      </c>
      <c r="K403" s="454" t="s">
        <v>2813</v>
      </c>
      <c r="L403" s="458">
        <v>15</v>
      </c>
      <c r="M403" s="454" t="s">
        <v>1950</v>
      </c>
      <c r="N403" s="459">
        <v>8421107</v>
      </c>
      <c r="O403" s="460">
        <v>25182935</v>
      </c>
      <c r="P403" s="462">
        <v>264205</v>
      </c>
      <c r="Q403" s="462">
        <v>37</v>
      </c>
      <c r="R403" s="462">
        <v>43930</v>
      </c>
      <c r="S403" s="463">
        <v>756</v>
      </c>
      <c r="T403" s="464">
        <v>5.4</v>
      </c>
      <c r="U403" s="465">
        <v>4082.4</v>
      </c>
      <c r="V403" s="465">
        <v>18720</v>
      </c>
      <c r="W403" s="466">
        <v>0</v>
      </c>
      <c r="X403" s="467">
        <v>1</v>
      </c>
      <c r="Y403" s="466">
        <v>34203.599999999999</v>
      </c>
      <c r="Z403" s="468" t="s">
        <v>516</v>
      </c>
      <c r="AA403" s="466">
        <v>131570.79999999999</v>
      </c>
      <c r="AB403" s="466">
        <v>131570.79999999999</v>
      </c>
      <c r="AC403" s="467">
        <v>0</v>
      </c>
      <c r="AD403" s="466">
        <v>0</v>
      </c>
      <c r="AE403" s="468" t="s">
        <v>516</v>
      </c>
      <c r="AF403" s="466">
        <v>0</v>
      </c>
      <c r="AG403" s="466">
        <v>0</v>
      </c>
      <c r="AH403" s="466">
        <v>19273.59</v>
      </c>
      <c r="AI403" s="466">
        <v>11.05</v>
      </c>
      <c r="AJ403" s="469" t="s">
        <v>1395</v>
      </c>
      <c r="AK403" s="470" t="s">
        <v>523</v>
      </c>
      <c r="AL403" s="471" t="s">
        <v>4421</v>
      </c>
      <c r="AM403" s="470" t="s">
        <v>12988</v>
      </c>
      <c r="AN403" s="470" t="s">
        <v>1385</v>
      </c>
      <c r="AO403" s="470" t="s">
        <v>4422</v>
      </c>
      <c r="AP403" s="470" t="s">
        <v>4423</v>
      </c>
      <c r="AQ403" s="470" t="s">
        <v>4419</v>
      </c>
      <c r="AR403" s="472" t="s">
        <v>515</v>
      </c>
      <c r="AS403" s="473" t="s">
        <v>1385</v>
      </c>
      <c r="AT403" s="472" t="s">
        <v>517</v>
      </c>
      <c r="AU403" s="472" t="s">
        <v>420</v>
      </c>
      <c r="AV403" s="472">
        <v>2020</v>
      </c>
      <c r="AW403" s="474" t="s">
        <v>15078</v>
      </c>
      <c r="AX403" s="475" t="s">
        <v>15079</v>
      </c>
      <c r="AY403" s="515">
        <v>1</v>
      </c>
      <c r="AZ403" s="474" t="s">
        <v>15079</v>
      </c>
      <c r="BA403" s="472" t="s">
        <v>517</v>
      </c>
      <c r="BB403" s="472" t="s">
        <v>1385</v>
      </c>
      <c r="BC403" s="472" t="s">
        <v>1385</v>
      </c>
      <c r="BD403" s="472" t="s">
        <v>1385</v>
      </c>
      <c r="BE403" s="472" t="s">
        <v>1385</v>
      </c>
      <c r="BF403" s="472">
        <v>34203.599999999999</v>
      </c>
      <c r="BG403" s="472">
        <v>0</v>
      </c>
      <c r="BH403" s="472" t="s">
        <v>1385</v>
      </c>
      <c r="BI403" s="510">
        <v>0</v>
      </c>
      <c r="BJ403" s="510">
        <v>0</v>
      </c>
      <c r="BK403" s="510">
        <v>0</v>
      </c>
      <c r="BL403" s="510">
        <v>0</v>
      </c>
      <c r="BM403" s="510">
        <v>0</v>
      </c>
      <c r="BN403" s="510">
        <v>5000</v>
      </c>
      <c r="BO403" s="510">
        <v>0</v>
      </c>
      <c r="BP403" s="510">
        <v>0</v>
      </c>
      <c r="BQ403" s="510">
        <v>0</v>
      </c>
      <c r="BR403" s="510">
        <v>0</v>
      </c>
      <c r="BS403" s="510">
        <v>0</v>
      </c>
      <c r="BT403" s="510">
        <v>0</v>
      </c>
      <c r="BU403" s="510">
        <v>0</v>
      </c>
      <c r="BV403" s="510">
        <v>0</v>
      </c>
      <c r="BW403" s="510">
        <v>0</v>
      </c>
      <c r="BX403" s="510">
        <v>30000</v>
      </c>
      <c r="BY403" s="1011">
        <v>0</v>
      </c>
      <c r="BZ403" s="510">
        <v>0</v>
      </c>
      <c r="CA403" s="1011">
        <v>0</v>
      </c>
      <c r="CB403" s="510">
        <v>22000</v>
      </c>
      <c r="CC403" s="1011">
        <v>0</v>
      </c>
      <c r="CD403" s="510">
        <v>0</v>
      </c>
      <c r="CE403" s="1011">
        <v>0</v>
      </c>
      <c r="CF403" s="510">
        <v>45367.199999999997</v>
      </c>
      <c r="CG403" s="1011">
        <v>0</v>
      </c>
      <c r="CH403" s="510">
        <v>0</v>
      </c>
      <c r="CI403" s="1011">
        <v>0</v>
      </c>
    </row>
    <row r="404" spans="1:87" x14ac:dyDescent="0.2">
      <c r="A404" s="449">
        <v>56</v>
      </c>
      <c r="B404" s="453">
        <v>19456</v>
      </c>
      <c r="C404" s="454" t="s">
        <v>4424</v>
      </c>
      <c r="D404" s="454" t="s">
        <v>517</v>
      </c>
      <c r="E404" s="454" t="s">
        <v>4425</v>
      </c>
      <c r="F404" s="454" t="s">
        <v>523</v>
      </c>
      <c r="G404" s="454" t="s">
        <v>12989</v>
      </c>
      <c r="H404" s="455">
        <v>11785427000169</v>
      </c>
      <c r="I404" s="462">
        <v>40260</v>
      </c>
      <c r="J404" s="457">
        <v>99999994</v>
      </c>
      <c r="K404" s="454" t="s">
        <v>4426</v>
      </c>
      <c r="L404" s="458">
        <v>284</v>
      </c>
      <c r="M404" s="454" t="s">
        <v>4427</v>
      </c>
      <c r="N404" s="459">
        <v>8485460</v>
      </c>
      <c r="O404" s="460">
        <v>25166289</v>
      </c>
      <c r="P404" s="462">
        <v>261915</v>
      </c>
      <c r="Q404" s="462">
        <v>56</v>
      </c>
      <c r="R404" s="462">
        <v>43921</v>
      </c>
      <c r="S404" s="463">
        <v>795</v>
      </c>
      <c r="T404" s="464">
        <v>5.4</v>
      </c>
      <c r="U404" s="465">
        <v>4293</v>
      </c>
      <c r="V404" s="465">
        <v>18720</v>
      </c>
      <c r="W404" s="466">
        <v>0</v>
      </c>
      <c r="X404" s="467">
        <v>1</v>
      </c>
      <c r="Y404" s="466">
        <v>34519.5</v>
      </c>
      <c r="Z404" s="468" t="s">
        <v>516</v>
      </c>
      <c r="AA404" s="466">
        <v>132513.1</v>
      </c>
      <c r="AB404" s="466">
        <v>132513.1</v>
      </c>
      <c r="AC404" s="467">
        <v>0</v>
      </c>
      <c r="AD404" s="466">
        <v>0</v>
      </c>
      <c r="AE404" s="468" t="s">
        <v>516</v>
      </c>
      <c r="AF404" s="466">
        <v>0</v>
      </c>
      <c r="AG404" s="466">
        <v>0</v>
      </c>
      <c r="AH404" s="466">
        <v>13378.09</v>
      </c>
      <c r="AI404" s="466">
        <v>22327.11</v>
      </c>
      <c r="AJ404" s="469" t="s">
        <v>1395</v>
      </c>
      <c r="AK404" s="470" t="s">
        <v>523</v>
      </c>
      <c r="AL404" s="471" t="s">
        <v>4428</v>
      </c>
      <c r="AM404" s="470" t="s">
        <v>4429</v>
      </c>
      <c r="AN404" s="470" t="s">
        <v>1385</v>
      </c>
      <c r="AO404" s="470" t="s">
        <v>12990</v>
      </c>
      <c r="AP404" s="470" t="s">
        <v>4430</v>
      </c>
      <c r="AQ404" s="470" t="s">
        <v>4424</v>
      </c>
      <c r="AR404" s="472" t="s">
        <v>515</v>
      </c>
      <c r="AS404" s="473" t="s">
        <v>1385</v>
      </c>
      <c r="AT404" s="472" t="s">
        <v>517</v>
      </c>
      <c r="AU404" s="472" t="s">
        <v>420</v>
      </c>
      <c r="AV404" s="472">
        <v>2020</v>
      </c>
      <c r="AW404" s="474" t="s">
        <v>15078</v>
      </c>
      <c r="AX404" s="475" t="s">
        <v>15079</v>
      </c>
      <c r="AY404" s="515">
        <v>1</v>
      </c>
      <c r="AZ404" s="474" t="s">
        <v>15079</v>
      </c>
      <c r="BA404" s="472" t="s">
        <v>517</v>
      </c>
      <c r="BB404" s="472" t="s">
        <v>1385</v>
      </c>
      <c r="BC404" s="472" t="s">
        <v>1385</v>
      </c>
      <c r="BD404" s="472" t="s">
        <v>1385</v>
      </c>
      <c r="BE404" s="472" t="s">
        <v>1385</v>
      </c>
      <c r="BF404" s="472">
        <v>34519.5</v>
      </c>
      <c r="BG404" s="472">
        <v>0</v>
      </c>
      <c r="BH404" s="472" t="s">
        <v>1385</v>
      </c>
      <c r="BI404" s="510">
        <v>0</v>
      </c>
      <c r="BJ404" s="510">
        <v>0</v>
      </c>
      <c r="BK404" s="510">
        <v>0</v>
      </c>
      <c r="BL404" s="510">
        <v>3500</v>
      </c>
      <c r="BM404" s="510">
        <v>0</v>
      </c>
      <c r="BN404" s="510">
        <v>5000</v>
      </c>
      <c r="BO404" s="510">
        <v>0</v>
      </c>
      <c r="BP404" s="510">
        <v>0</v>
      </c>
      <c r="BQ404" s="510">
        <v>0</v>
      </c>
      <c r="BR404" s="510">
        <v>0</v>
      </c>
      <c r="BS404" s="510">
        <v>0</v>
      </c>
      <c r="BT404" s="510">
        <v>0</v>
      </c>
      <c r="BU404" s="510">
        <v>0</v>
      </c>
      <c r="BV404" s="510">
        <v>0</v>
      </c>
      <c r="BW404" s="510">
        <v>0</v>
      </c>
      <c r="BX404" s="510">
        <v>30000</v>
      </c>
      <c r="BY404" s="1011">
        <v>0</v>
      </c>
      <c r="BZ404" s="510">
        <v>0</v>
      </c>
      <c r="CA404" s="1011">
        <v>0</v>
      </c>
      <c r="CB404" s="510">
        <v>22000</v>
      </c>
      <c r="CC404" s="1011">
        <v>0</v>
      </c>
      <c r="CD404" s="510">
        <v>0</v>
      </c>
      <c r="CE404" s="1011">
        <v>0</v>
      </c>
      <c r="CF404" s="510">
        <v>45993.599999999999</v>
      </c>
      <c r="CG404" s="1011">
        <v>0</v>
      </c>
      <c r="CH404" s="510">
        <v>0</v>
      </c>
      <c r="CI404" s="1011">
        <v>0</v>
      </c>
    </row>
    <row r="405" spans="1:87" x14ac:dyDescent="0.2">
      <c r="A405" s="449">
        <v>52</v>
      </c>
      <c r="B405" s="453">
        <v>19457</v>
      </c>
      <c r="C405" s="454" t="s">
        <v>4431</v>
      </c>
      <c r="D405" s="454" t="s">
        <v>517</v>
      </c>
      <c r="E405" s="454" t="s">
        <v>4432</v>
      </c>
      <c r="F405" s="454" t="s">
        <v>523</v>
      </c>
      <c r="G405" s="454" t="s">
        <v>12991</v>
      </c>
      <c r="H405" s="455">
        <v>11785933000158</v>
      </c>
      <c r="I405" s="462">
        <v>40260</v>
      </c>
      <c r="J405" s="457">
        <v>99999994</v>
      </c>
      <c r="K405" s="454" t="s">
        <v>4434</v>
      </c>
      <c r="L405" s="458" t="s">
        <v>1446</v>
      </c>
      <c r="M405" s="454" t="s">
        <v>1950</v>
      </c>
      <c r="N405" s="459">
        <v>847463</v>
      </c>
      <c r="O405" s="460">
        <v>20166038</v>
      </c>
      <c r="P405" s="462">
        <v>261990</v>
      </c>
      <c r="Q405" s="462">
        <v>52</v>
      </c>
      <c r="R405" s="462">
        <v>43921</v>
      </c>
      <c r="S405" s="463">
        <v>749</v>
      </c>
      <c r="T405" s="464">
        <v>5.4</v>
      </c>
      <c r="U405" s="465">
        <v>4044.6</v>
      </c>
      <c r="V405" s="465">
        <v>18720</v>
      </c>
      <c r="W405" s="466">
        <v>0</v>
      </c>
      <c r="X405" s="467">
        <v>1</v>
      </c>
      <c r="Y405" s="466">
        <v>34146.9</v>
      </c>
      <c r="Z405" s="468" t="s">
        <v>516</v>
      </c>
      <c r="AA405" s="466">
        <v>131319.70000000001</v>
      </c>
      <c r="AB405" s="466">
        <v>131319.70000000001</v>
      </c>
      <c r="AC405" s="467">
        <v>0</v>
      </c>
      <c r="AD405" s="466">
        <v>0</v>
      </c>
      <c r="AE405" s="468" t="s">
        <v>516</v>
      </c>
      <c r="AF405" s="466">
        <v>0</v>
      </c>
      <c r="AG405" s="466">
        <v>0</v>
      </c>
      <c r="AH405" s="466">
        <v>23544.7</v>
      </c>
      <c r="AI405" s="466">
        <v>9018.2199999999993</v>
      </c>
      <c r="AJ405" s="469" t="s">
        <v>1395</v>
      </c>
      <c r="AK405" s="470" t="s">
        <v>523</v>
      </c>
      <c r="AL405" s="471" t="s">
        <v>4435</v>
      </c>
      <c r="AM405" s="470" t="s">
        <v>4436</v>
      </c>
      <c r="AN405" s="470" t="s">
        <v>4433</v>
      </c>
      <c r="AO405" s="470" t="s">
        <v>4437</v>
      </c>
      <c r="AP405" s="470" t="s">
        <v>4438</v>
      </c>
      <c r="AQ405" s="470" t="s">
        <v>4431</v>
      </c>
      <c r="AR405" s="472" t="s">
        <v>515</v>
      </c>
      <c r="AS405" s="473" t="s">
        <v>1385</v>
      </c>
      <c r="AT405" s="472" t="s">
        <v>517</v>
      </c>
      <c r="AU405" s="472" t="s">
        <v>420</v>
      </c>
      <c r="AV405" s="472">
        <v>2020</v>
      </c>
      <c r="AW405" s="474" t="s">
        <v>15078</v>
      </c>
      <c r="AX405" s="475" t="s">
        <v>15079</v>
      </c>
      <c r="AY405" s="515">
        <v>1</v>
      </c>
      <c r="AZ405" s="474" t="s">
        <v>15079</v>
      </c>
      <c r="BA405" s="472" t="s">
        <v>517</v>
      </c>
      <c r="BB405" s="472" t="s">
        <v>1385</v>
      </c>
      <c r="BC405" s="472" t="s">
        <v>1385</v>
      </c>
      <c r="BD405" s="472" t="s">
        <v>1385</v>
      </c>
      <c r="BE405" s="472" t="s">
        <v>1385</v>
      </c>
      <c r="BF405" s="472">
        <v>34146.9</v>
      </c>
      <c r="BG405" s="472">
        <v>0</v>
      </c>
      <c r="BH405" s="472" t="s">
        <v>1385</v>
      </c>
      <c r="BI405" s="510">
        <v>0</v>
      </c>
      <c r="BJ405" s="510">
        <v>0</v>
      </c>
      <c r="BK405" s="510">
        <v>0</v>
      </c>
      <c r="BL405" s="510">
        <v>0</v>
      </c>
      <c r="BM405" s="510">
        <v>0</v>
      </c>
      <c r="BN405" s="510">
        <v>5000</v>
      </c>
      <c r="BO405" s="510">
        <v>0</v>
      </c>
      <c r="BP405" s="510">
        <v>0</v>
      </c>
      <c r="BQ405" s="510">
        <v>0</v>
      </c>
      <c r="BR405" s="510">
        <v>0</v>
      </c>
      <c r="BS405" s="510">
        <v>0</v>
      </c>
      <c r="BT405" s="510">
        <v>0</v>
      </c>
      <c r="BU405" s="510">
        <v>0</v>
      </c>
      <c r="BV405" s="510">
        <v>0</v>
      </c>
      <c r="BW405" s="510">
        <v>0</v>
      </c>
      <c r="BX405" s="510">
        <v>30000</v>
      </c>
      <c r="BY405" s="1011">
        <v>0</v>
      </c>
      <c r="BZ405" s="510">
        <v>0</v>
      </c>
      <c r="CA405" s="1011">
        <v>0</v>
      </c>
      <c r="CB405" s="510">
        <v>22000</v>
      </c>
      <c r="CC405" s="1011">
        <v>0</v>
      </c>
      <c r="CD405" s="510">
        <v>0</v>
      </c>
      <c r="CE405" s="1011">
        <v>0</v>
      </c>
      <c r="CF405" s="510">
        <v>45172.800000000003</v>
      </c>
      <c r="CG405" s="1011">
        <v>0</v>
      </c>
      <c r="CH405" s="510">
        <v>0</v>
      </c>
      <c r="CI405" s="1011">
        <v>0</v>
      </c>
    </row>
    <row r="406" spans="1:87" x14ac:dyDescent="0.2">
      <c r="A406" s="449">
        <v>41</v>
      </c>
      <c r="B406" s="453">
        <v>19458</v>
      </c>
      <c r="C406" s="454" t="s">
        <v>4439</v>
      </c>
      <c r="D406" s="454" t="s">
        <v>517</v>
      </c>
      <c r="E406" s="454" t="s">
        <v>4440</v>
      </c>
      <c r="F406" s="454" t="s">
        <v>522</v>
      </c>
      <c r="G406" s="454" t="s">
        <v>12992</v>
      </c>
      <c r="H406" s="455">
        <v>14553165000103</v>
      </c>
      <c r="I406" s="462">
        <v>40807</v>
      </c>
      <c r="J406" s="457">
        <v>2967160</v>
      </c>
      <c r="K406" s="454" t="s">
        <v>4441</v>
      </c>
      <c r="L406" s="458">
        <v>100</v>
      </c>
      <c r="M406" s="454" t="s">
        <v>4442</v>
      </c>
      <c r="N406" s="459">
        <v>2967160</v>
      </c>
      <c r="O406" s="460">
        <v>39787717</v>
      </c>
      <c r="P406" s="462">
        <v>80155</v>
      </c>
      <c r="Q406" s="462">
        <v>88</v>
      </c>
      <c r="R406" s="462">
        <v>43911</v>
      </c>
      <c r="S406" s="463">
        <v>451</v>
      </c>
      <c r="T406" s="464">
        <v>5.4</v>
      </c>
      <c r="U406" s="465">
        <v>2435.4</v>
      </c>
      <c r="V406" s="465">
        <v>15480</v>
      </c>
      <c r="W406" s="466">
        <v>0</v>
      </c>
      <c r="X406" s="467">
        <v>1</v>
      </c>
      <c r="Y406" s="466">
        <v>26873.1</v>
      </c>
      <c r="Z406" s="468" t="s">
        <v>516</v>
      </c>
      <c r="AA406" s="466">
        <v>126198.7</v>
      </c>
      <c r="AB406" s="466">
        <v>126198.7</v>
      </c>
      <c r="AC406" s="467">
        <v>0</v>
      </c>
      <c r="AD406" s="466">
        <v>0</v>
      </c>
      <c r="AE406" s="468" t="s">
        <v>516</v>
      </c>
      <c r="AF406" s="466">
        <v>1600</v>
      </c>
      <c r="AG406" s="466">
        <v>1600</v>
      </c>
      <c r="AH406" s="466">
        <v>5682.09</v>
      </c>
      <c r="AI406" s="466">
        <v>5811.83</v>
      </c>
      <c r="AJ406" s="469" t="s">
        <v>4520</v>
      </c>
      <c r="AK406" s="470" t="s">
        <v>4443</v>
      </c>
      <c r="AL406" s="471" t="s">
        <v>12993</v>
      </c>
      <c r="AM406" s="470" t="s">
        <v>4444</v>
      </c>
      <c r="AN406" s="470" t="s">
        <v>1385</v>
      </c>
      <c r="AO406" s="470" t="s">
        <v>12994</v>
      </c>
      <c r="AP406" s="470" t="s">
        <v>4445</v>
      </c>
      <c r="AQ406" s="470" t="s">
        <v>4439</v>
      </c>
      <c r="AR406" s="472" t="s">
        <v>515</v>
      </c>
      <c r="AS406" s="473" t="s">
        <v>1385</v>
      </c>
      <c r="AT406" s="472" t="s">
        <v>517</v>
      </c>
      <c r="AU406" s="472" t="s">
        <v>420</v>
      </c>
      <c r="AV406" s="472">
        <v>2020</v>
      </c>
      <c r="AW406" s="474" t="s">
        <v>15078</v>
      </c>
      <c r="AX406" s="475" t="s">
        <v>15079</v>
      </c>
      <c r="AY406" s="515">
        <v>1</v>
      </c>
      <c r="AZ406" s="474" t="s">
        <v>15079</v>
      </c>
      <c r="BA406" s="472" t="s">
        <v>517</v>
      </c>
      <c r="BB406" s="472" t="s">
        <v>1385</v>
      </c>
      <c r="BC406" s="472" t="s">
        <v>1385</v>
      </c>
      <c r="BD406" s="472" t="s">
        <v>1385</v>
      </c>
      <c r="BE406" s="472" t="s">
        <v>1385</v>
      </c>
      <c r="BF406" s="472">
        <v>26873.1</v>
      </c>
      <c r="BG406" s="472">
        <v>0</v>
      </c>
      <c r="BH406" s="472" t="s">
        <v>1385</v>
      </c>
      <c r="BI406" s="510">
        <v>0</v>
      </c>
      <c r="BJ406" s="510">
        <v>0</v>
      </c>
      <c r="BK406" s="510">
        <v>0</v>
      </c>
      <c r="BL406" s="510">
        <v>0</v>
      </c>
      <c r="BM406" s="510">
        <v>0</v>
      </c>
      <c r="BN406" s="510">
        <v>1720</v>
      </c>
      <c r="BO406" s="510">
        <v>400</v>
      </c>
      <c r="BP406" s="510">
        <v>1600</v>
      </c>
      <c r="BQ406" s="510">
        <v>0</v>
      </c>
      <c r="BR406" s="510">
        <v>0</v>
      </c>
      <c r="BS406" s="510">
        <v>0</v>
      </c>
      <c r="BT406" s="510">
        <v>0</v>
      </c>
      <c r="BU406" s="510">
        <v>0</v>
      </c>
      <c r="BV406" s="510">
        <v>0</v>
      </c>
      <c r="BW406" s="510">
        <v>0</v>
      </c>
      <c r="BX406" s="510">
        <v>30000</v>
      </c>
      <c r="BY406" s="1011">
        <v>0</v>
      </c>
      <c r="BZ406" s="510">
        <v>0</v>
      </c>
      <c r="CA406" s="1011">
        <v>0</v>
      </c>
      <c r="CB406" s="510">
        <v>22000</v>
      </c>
      <c r="CC406" s="1011">
        <v>0</v>
      </c>
      <c r="CD406" s="510">
        <v>0</v>
      </c>
      <c r="CE406" s="1011">
        <v>0</v>
      </c>
      <c r="CF406" s="510">
        <v>46925.599999999999</v>
      </c>
      <c r="CG406" s="1011">
        <v>0</v>
      </c>
      <c r="CH406" s="510">
        <v>0</v>
      </c>
      <c r="CI406" s="1011">
        <v>0</v>
      </c>
    </row>
    <row r="407" spans="1:87" x14ac:dyDescent="0.2">
      <c r="A407" s="449">
        <v>121</v>
      </c>
      <c r="B407" s="453">
        <v>19459</v>
      </c>
      <c r="C407" s="454" t="s">
        <v>4446</v>
      </c>
      <c r="D407" s="454" t="s">
        <v>1390</v>
      </c>
      <c r="E407" s="454" t="s">
        <v>4447</v>
      </c>
      <c r="F407" s="454" t="s">
        <v>526</v>
      </c>
      <c r="G407" s="454" t="s">
        <v>12995</v>
      </c>
      <c r="H407" s="455">
        <v>12142882000109</v>
      </c>
      <c r="I407" s="462">
        <v>40387</v>
      </c>
      <c r="J407" s="457">
        <v>45985766</v>
      </c>
      <c r="K407" s="454" t="s">
        <v>4448</v>
      </c>
      <c r="L407" s="458">
        <v>40</v>
      </c>
      <c r="M407" s="454" t="s">
        <v>4449</v>
      </c>
      <c r="N407" s="459">
        <v>8072012</v>
      </c>
      <c r="O407" s="460">
        <v>20314332</v>
      </c>
      <c r="P407" s="462">
        <v>134930</v>
      </c>
      <c r="Q407" s="462">
        <v>121</v>
      </c>
      <c r="R407" s="462">
        <v>43928</v>
      </c>
      <c r="S407" s="463">
        <v>629</v>
      </c>
      <c r="T407" s="464">
        <v>3.6</v>
      </c>
      <c r="U407" s="465">
        <v>2264.4</v>
      </c>
      <c r="V407" s="465">
        <v>18000</v>
      </c>
      <c r="W407" s="466">
        <v>0</v>
      </c>
      <c r="X407" s="467">
        <v>1</v>
      </c>
      <c r="Y407" s="466">
        <v>30396.6</v>
      </c>
      <c r="Z407" s="468" t="s">
        <v>516</v>
      </c>
      <c r="AA407" s="466">
        <v>115896.6</v>
      </c>
      <c r="AB407" s="466">
        <v>115896.6</v>
      </c>
      <c r="AC407" s="467">
        <v>0</v>
      </c>
      <c r="AD407" s="466">
        <v>0</v>
      </c>
      <c r="AE407" s="468" t="s">
        <v>516</v>
      </c>
      <c r="AF407" s="466">
        <v>0</v>
      </c>
      <c r="AG407" s="466">
        <v>0</v>
      </c>
      <c r="AH407" s="466">
        <v>17757.52</v>
      </c>
      <c r="AI407" s="466">
        <v>93.67</v>
      </c>
      <c r="AJ407" s="469" t="s">
        <v>1839</v>
      </c>
      <c r="AK407" s="470" t="s">
        <v>526</v>
      </c>
      <c r="AL407" s="471" t="s">
        <v>4450</v>
      </c>
      <c r="AM407" s="470" t="s">
        <v>4451</v>
      </c>
      <c r="AN407" s="470" t="s">
        <v>1385</v>
      </c>
      <c r="AO407" s="470" t="s">
        <v>12996</v>
      </c>
      <c r="AP407" s="470" t="s">
        <v>4452</v>
      </c>
      <c r="AQ407" s="470" t="s">
        <v>4446</v>
      </c>
      <c r="AR407" s="472" t="s">
        <v>515</v>
      </c>
      <c r="AS407" s="473" t="s">
        <v>1385</v>
      </c>
      <c r="AT407" s="472" t="s">
        <v>1390</v>
      </c>
      <c r="AU407" s="472" t="s">
        <v>420</v>
      </c>
      <c r="AV407" s="472">
        <v>2020</v>
      </c>
      <c r="AW407" s="474" t="s">
        <v>15078</v>
      </c>
      <c r="AX407" s="475" t="s">
        <v>15079</v>
      </c>
      <c r="AY407" s="515">
        <v>1</v>
      </c>
      <c r="AZ407" s="474" t="s">
        <v>15079</v>
      </c>
      <c r="BA407" s="472" t="s">
        <v>1390</v>
      </c>
      <c r="BB407" s="472" t="s">
        <v>1385</v>
      </c>
      <c r="BC407" s="472" t="s">
        <v>1385</v>
      </c>
      <c r="BD407" s="472" t="s">
        <v>1385</v>
      </c>
      <c r="BE407" s="472" t="s">
        <v>1385</v>
      </c>
      <c r="BF407" s="472">
        <v>30396.6</v>
      </c>
      <c r="BG407" s="472">
        <v>0</v>
      </c>
      <c r="BH407" s="472" t="s">
        <v>1385</v>
      </c>
      <c r="BI407" s="510">
        <v>0</v>
      </c>
      <c r="BJ407" s="510">
        <v>0</v>
      </c>
      <c r="BK407" s="510">
        <v>0</v>
      </c>
      <c r="BL407" s="510">
        <v>0</v>
      </c>
      <c r="BM407" s="510">
        <v>0</v>
      </c>
      <c r="BN407" s="510">
        <v>5000</v>
      </c>
      <c r="BO407" s="510">
        <v>0</v>
      </c>
      <c r="BP407" s="510">
        <v>0</v>
      </c>
      <c r="BQ407" s="510">
        <v>0</v>
      </c>
      <c r="BR407" s="510">
        <v>0</v>
      </c>
      <c r="BS407" s="510">
        <v>0</v>
      </c>
      <c r="BT407" s="510">
        <v>0</v>
      </c>
      <c r="BU407" s="510">
        <v>0</v>
      </c>
      <c r="BV407" s="510">
        <v>0</v>
      </c>
      <c r="BW407" s="510">
        <v>0</v>
      </c>
      <c r="BX407" s="510">
        <v>30000</v>
      </c>
      <c r="BY407" s="1011">
        <v>0</v>
      </c>
      <c r="BZ407" s="510">
        <v>0</v>
      </c>
      <c r="CA407" s="1011">
        <v>0</v>
      </c>
      <c r="CB407" s="510">
        <v>0</v>
      </c>
      <c r="CC407" s="1011">
        <v>0</v>
      </c>
      <c r="CD407" s="510">
        <v>0</v>
      </c>
      <c r="CE407" s="1011">
        <v>0</v>
      </c>
      <c r="CF407" s="510">
        <v>55500</v>
      </c>
      <c r="CG407" s="1011">
        <v>0</v>
      </c>
      <c r="CH407" s="510">
        <v>0</v>
      </c>
      <c r="CI407" s="1011">
        <v>0</v>
      </c>
    </row>
    <row r="408" spans="1:87" x14ac:dyDescent="0.2">
      <c r="A408" s="449">
        <v>62</v>
      </c>
      <c r="B408" s="453">
        <v>19460</v>
      </c>
      <c r="C408" s="454" t="s">
        <v>4453</v>
      </c>
      <c r="D408" s="454" t="s">
        <v>517</v>
      </c>
      <c r="E408" s="454" t="s">
        <v>4454</v>
      </c>
      <c r="F408" s="454" t="s">
        <v>513</v>
      </c>
      <c r="G408" s="454" t="s">
        <v>12997</v>
      </c>
      <c r="H408" s="455">
        <v>11897281000143</v>
      </c>
      <c r="I408" s="462">
        <v>40290</v>
      </c>
      <c r="J408" s="457">
        <v>44099860</v>
      </c>
      <c r="K408" s="454" t="s">
        <v>4455</v>
      </c>
      <c r="L408" s="458">
        <v>707</v>
      </c>
      <c r="M408" s="454" t="s">
        <v>4456</v>
      </c>
      <c r="N408" s="459">
        <v>8310010</v>
      </c>
      <c r="O408" s="460">
        <v>22534873</v>
      </c>
      <c r="P408" s="462">
        <v>150250</v>
      </c>
      <c r="Q408" s="462">
        <v>62</v>
      </c>
      <c r="R408" s="462">
        <v>43937</v>
      </c>
      <c r="S408" s="463">
        <v>927</v>
      </c>
      <c r="T408" s="464">
        <v>5.4</v>
      </c>
      <c r="U408" s="465">
        <v>5005.8</v>
      </c>
      <c r="V408" s="465">
        <v>20340</v>
      </c>
      <c r="W408" s="466">
        <v>0</v>
      </c>
      <c r="X408" s="467">
        <v>1</v>
      </c>
      <c r="Y408" s="466">
        <v>38018.699999999997</v>
      </c>
      <c r="Z408" s="468" t="s">
        <v>516</v>
      </c>
      <c r="AA408" s="466">
        <v>136811.5</v>
      </c>
      <c r="AB408" s="466">
        <v>136811.5</v>
      </c>
      <c r="AC408" s="467">
        <v>0</v>
      </c>
      <c r="AD408" s="466">
        <v>0</v>
      </c>
      <c r="AE408" s="468" t="s">
        <v>516</v>
      </c>
      <c r="AF408" s="466">
        <v>0</v>
      </c>
      <c r="AG408" s="466">
        <v>0</v>
      </c>
      <c r="AH408" s="466">
        <v>29527.99</v>
      </c>
      <c r="AI408" s="466">
        <v>7121.08</v>
      </c>
      <c r="AJ408" s="469" t="s">
        <v>1972</v>
      </c>
      <c r="AK408" s="470" t="s">
        <v>1973</v>
      </c>
      <c r="AL408" s="471" t="s">
        <v>4457</v>
      </c>
      <c r="AM408" s="470" t="s">
        <v>12998</v>
      </c>
      <c r="AN408" s="470" t="s">
        <v>4458</v>
      </c>
      <c r="AO408" s="470" t="s">
        <v>4459</v>
      </c>
      <c r="AP408" s="470" t="s">
        <v>4460</v>
      </c>
      <c r="AQ408" s="470" t="s">
        <v>4453</v>
      </c>
      <c r="AR408" s="472" t="s">
        <v>515</v>
      </c>
      <c r="AS408" s="473" t="s">
        <v>1385</v>
      </c>
      <c r="AT408" s="472" t="s">
        <v>517</v>
      </c>
      <c r="AU408" s="472" t="s">
        <v>420</v>
      </c>
      <c r="AV408" s="472">
        <v>2020</v>
      </c>
      <c r="AW408" s="474" t="s">
        <v>15078</v>
      </c>
      <c r="AX408" s="475" t="s">
        <v>15079</v>
      </c>
      <c r="AY408" s="515">
        <v>1</v>
      </c>
      <c r="AZ408" s="474" t="s">
        <v>15079</v>
      </c>
      <c r="BA408" s="472" t="s">
        <v>517</v>
      </c>
      <c r="BB408" s="472" t="s">
        <v>1385</v>
      </c>
      <c r="BC408" s="472" t="s">
        <v>1385</v>
      </c>
      <c r="BD408" s="472" t="s">
        <v>1385</v>
      </c>
      <c r="BE408" s="472" t="s">
        <v>1385</v>
      </c>
      <c r="BF408" s="472">
        <v>38018.699999999997</v>
      </c>
      <c r="BG408" s="472">
        <v>0</v>
      </c>
      <c r="BH408" s="472" t="s">
        <v>1385</v>
      </c>
      <c r="BI408" s="510">
        <v>0</v>
      </c>
      <c r="BJ408" s="510">
        <v>0</v>
      </c>
      <c r="BK408" s="510">
        <v>0</v>
      </c>
      <c r="BL408" s="510">
        <v>0</v>
      </c>
      <c r="BM408" s="510">
        <v>0</v>
      </c>
      <c r="BN408" s="510">
        <v>5000</v>
      </c>
      <c r="BO408" s="510">
        <v>0</v>
      </c>
      <c r="BP408" s="510">
        <v>0</v>
      </c>
      <c r="BQ408" s="510">
        <v>0</v>
      </c>
      <c r="BR408" s="510">
        <v>0</v>
      </c>
      <c r="BS408" s="510">
        <v>0</v>
      </c>
      <c r="BT408" s="510">
        <v>0</v>
      </c>
      <c r="BU408" s="510">
        <v>0</v>
      </c>
      <c r="BV408" s="510">
        <v>0</v>
      </c>
      <c r="BW408" s="510">
        <v>0</v>
      </c>
      <c r="BX408" s="510">
        <v>30000</v>
      </c>
      <c r="BY408" s="1011">
        <v>0</v>
      </c>
      <c r="BZ408" s="510">
        <v>0</v>
      </c>
      <c r="CA408" s="1011">
        <v>0</v>
      </c>
      <c r="CB408" s="510">
        <v>22000</v>
      </c>
      <c r="CC408" s="1011">
        <v>0</v>
      </c>
      <c r="CD408" s="510">
        <v>0</v>
      </c>
      <c r="CE408" s="1011">
        <v>0</v>
      </c>
      <c r="CF408" s="510">
        <v>46792.800000000003</v>
      </c>
      <c r="CG408" s="1011">
        <v>0</v>
      </c>
      <c r="CH408" s="510">
        <v>0</v>
      </c>
      <c r="CI408" s="1011">
        <v>0</v>
      </c>
    </row>
    <row r="409" spans="1:87" x14ac:dyDescent="0.2">
      <c r="A409" s="449">
        <v>115</v>
      </c>
      <c r="B409" s="453">
        <v>19461</v>
      </c>
      <c r="C409" s="454" t="s">
        <v>4461</v>
      </c>
      <c r="D409" s="454" t="s">
        <v>1390</v>
      </c>
      <c r="E409" s="454" t="s">
        <v>4462</v>
      </c>
      <c r="F409" s="454" t="s">
        <v>528</v>
      </c>
      <c r="G409" s="454" t="s">
        <v>12999</v>
      </c>
      <c r="H409" s="455">
        <v>3971248000198</v>
      </c>
      <c r="I409" s="462">
        <v>38591</v>
      </c>
      <c r="J409" s="457">
        <v>37382390</v>
      </c>
      <c r="K409" s="454" t="s">
        <v>3006</v>
      </c>
      <c r="L409" s="458">
        <v>293</v>
      </c>
      <c r="M409" s="454" t="s">
        <v>4463</v>
      </c>
      <c r="N409" s="459">
        <v>5269060</v>
      </c>
      <c r="O409" s="460">
        <v>39112218</v>
      </c>
      <c r="P409" s="462">
        <v>212809</v>
      </c>
      <c r="Q409" s="462">
        <v>115</v>
      </c>
      <c r="R409" s="462">
        <v>43938</v>
      </c>
      <c r="S409" s="463">
        <v>341</v>
      </c>
      <c r="T409" s="464">
        <v>3.6</v>
      </c>
      <c r="U409" s="465">
        <v>1227.5999999999999</v>
      </c>
      <c r="V409" s="465">
        <v>13680</v>
      </c>
      <c r="W409" s="466">
        <v>0</v>
      </c>
      <c r="X409" s="467">
        <v>1</v>
      </c>
      <c r="Y409" s="466">
        <v>22361.4</v>
      </c>
      <c r="Z409" s="468" t="s">
        <v>516</v>
      </c>
      <c r="AA409" s="466">
        <v>97198.2</v>
      </c>
      <c r="AB409" s="466">
        <v>97198.2</v>
      </c>
      <c r="AC409" s="467">
        <v>0</v>
      </c>
      <c r="AD409" s="466">
        <v>0</v>
      </c>
      <c r="AE409" s="468" t="s">
        <v>516</v>
      </c>
      <c r="AF409" s="466">
        <v>0</v>
      </c>
      <c r="AG409" s="466">
        <v>0</v>
      </c>
      <c r="AH409" s="466">
        <v>14067.35</v>
      </c>
      <c r="AI409" s="466">
        <v>5963.05</v>
      </c>
      <c r="AJ409" s="469" t="s">
        <v>1729</v>
      </c>
      <c r="AK409" s="470" t="s">
        <v>2973</v>
      </c>
      <c r="AL409" s="471" t="s">
        <v>4464</v>
      </c>
      <c r="AM409" s="470" t="s">
        <v>4465</v>
      </c>
      <c r="AN409" s="470" t="s">
        <v>4466</v>
      </c>
      <c r="AO409" s="470" t="s">
        <v>13000</v>
      </c>
      <c r="AP409" s="470" t="s">
        <v>2935</v>
      </c>
      <c r="AQ409" s="470" t="s">
        <v>4461</v>
      </c>
      <c r="AR409" s="472" t="s">
        <v>515</v>
      </c>
      <c r="AS409" s="473" t="s">
        <v>1385</v>
      </c>
      <c r="AT409" s="472" t="s">
        <v>1390</v>
      </c>
      <c r="AU409" s="472" t="s">
        <v>420</v>
      </c>
      <c r="AV409" s="472">
        <v>2020</v>
      </c>
      <c r="AW409" s="474" t="s">
        <v>15078</v>
      </c>
      <c r="AX409" s="475" t="s">
        <v>15079</v>
      </c>
      <c r="AY409" s="515">
        <v>1</v>
      </c>
      <c r="AZ409" s="474" t="s">
        <v>15079</v>
      </c>
      <c r="BA409" s="472" t="s">
        <v>1390</v>
      </c>
      <c r="BB409" s="472" t="s">
        <v>1385</v>
      </c>
      <c r="BC409" s="472" t="s">
        <v>1385</v>
      </c>
      <c r="BD409" s="472" t="s">
        <v>1385</v>
      </c>
      <c r="BE409" s="472" t="s">
        <v>1385</v>
      </c>
      <c r="BF409" s="472">
        <v>22361.4</v>
      </c>
      <c r="BG409" s="472">
        <v>0</v>
      </c>
      <c r="BH409" s="472" t="s">
        <v>1385</v>
      </c>
      <c r="BI409" s="510">
        <v>0</v>
      </c>
      <c r="BJ409" s="510">
        <v>0</v>
      </c>
      <c r="BK409" s="510">
        <v>0</v>
      </c>
      <c r="BL409" s="510">
        <v>0</v>
      </c>
      <c r="BM409" s="510">
        <v>0</v>
      </c>
      <c r="BN409" s="510">
        <v>3500</v>
      </c>
      <c r="BO409" s="510">
        <v>0</v>
      </c>
      <c r="BP409" s="510">
        <v>0</v>
      </c>
      <c r="BQ409" s="510">
        <v>0</v>
      </c>
      <c r="BR409" s="510">
        <v>0</v>
      </c>
      <c r="BS409" s="510">
        <v>0</v>
      </c>
      <c r="BT409" s="510">
        <v>0</v>
      </c>
      <c r="BU409" s="510">
        <v>0</v>
      </c>
      <c r="BV409" s="510">
        <v>0</v>
      </c>
      <c r="BW409" s="510">
        <v>0</v>
      </c>
      <c r="BX409" s="510">
        <v>30000</v>
      </c>
      <c r="BY409" s="1011">
        <v>0</v>
      </c>
      <c r="BZ409" s="510">
        <v>0</v>
      </c>
      <c r="CA409" s="1011">
        <v>0</v>
      </c>
      <c r="CB409" s="510">
        <v>0</v>
      </c>
      <c r="CC409" s="1011">
        <v>0</v>
      </c>
      <c r="CD409" s="510">
        <v>0</v>
      </c>
      <c r="CE409" s="1011">
        <v>0</v>
      </c>
      <c r="CF409" s="510">
        <v>44836.800000000003</v>
      </c>
      <c r="CG409" s="1011">
        <v>0</v>
      </c>
      <c r="CH409" s="510">
        <v>0</v>
      </c>
      <c r="CI409" s="1011">
        <v>0</v>
      </c>
    </row>
    <row r="410" spans="1:87" x14ac:dyDescent="0.2">
      <c r="A410" s="449">
        <v>39</v>
      </c>
      <c r="B410" s="453">
        <v>19462</v>
      </c>
      <c r="C410" s="454" t="s">
        <v>4467</v>
      </c>
      <c r="D410" s="454" t="s">
        <v>517</v>
      </c>
      <c r="E410" s="454" t="s">
        <v>4468</v>
      </c>
      <c r="F410" s="454" t="s">
        <v>522</v>
      </c>
      <c r="G410" s="454" t="s">
        <v>13001</v>
      </c>
      <c r="H410" s="455">
        <v>14133634000127</v>
      </c>
      <c r="I410" s="462">
        <v>40751</v>
      </c>
      <c r="J410" s="457">
        <v>1</v>
      </c>
      <c r="K410" s="454" t="s">
        <v>4469</v>
      </c>
      <c r="L410" s="458" t="s">
        <v>1446</v>
      </c>
      <c r="M410" s="454" t="s">
        <v>3772</v>
      </c>
      <c r="N410" s="459">
        <v>2816010</v>
      </c>
      <c r="O410" s="460">
        <v>39741138</v>
      </c>
      <c r="P410" s="462">
        <v>94989</v>
      </c>
      <c r="Q410" s="462">
        <v>72</v>
      </c>
      <c r="R410" s="462">
        <v>43991</v>
      </c>
      <c r="S410" s="463">
        <v>957</v>
      </c>
      <c r="T410" s="464">
        <v>5.4</v>
      </c>
      <c r="U410" s="465">
        <v>5167.8</v>
      </c>
      <c r="V410" s="465">
        <v>20340</v>
      </c>
      <c r="W410" s="466">
        <v>0</v>
      </c>
      <c r="X410" s="467">
        <v>1</v>
      </c>
      <c r="Y410" s="466">
        <v>38261.699999999997</v>
      </c>
      <c r="Z410" s="468" t="s">
        <v>516</v>
      </c>
      <c r="AA410" s="466">
        <v>140877.70000000001</v>
      </c>
      <c r="AB410" s="466">
        <v>140877.70000000001</v>
      </c>
      <c r="AC410" s="467">
        <v>0</v>
      </c>
      <c r="AD410" s="466">
        <v>0</v>
      </c>
      <c r="AE410" s="468" t="s">
        <v>516</v>
      </c>
      <c r="AF410" s="466">
        <v>2000</v>
      </c>
      <c r="AG410" s="466">
        <v>2000</v>
      </c>
      <c r="AH410" s="466">
        <v>37365.54</v>
      </c>
      <c r="AI410" s="466">
        <v>5101.5600000000004</v>
      </c>
      <c r="AJ410" s="469" t="s">
        <v>1438</v>
      </c>
      <c r="AK410" s="470" t="s">
        <v>12345</v>
      </c>
      <c r="AL410" s="471" t="s">
        <v>4470</v>
      </c>
      <c r="AM410" s="470" t="s">
        <v>13002</v>
      </c>
      <c r="AN410" s="470" t="s">
        <v>1385</v>
      </c>
      <c r="AO410" s="470" t="s">
        <v>13003</v>
      </c>
      <c r="AP410" s="470" t="s">
        <v>4471</v>
      </c>
      <c r="AQ410" s="470" t="s">
        <v>4467</v>
      </c>
      <c r="AR410" s="472" t="s">
        <v>515</v>
      </c>
      <c r="AS410" s="473" t="s">
        <v>1385</v>
      </c>
      <c r="AT410" s="472" t="s">
        <v>517</v>
      </c>
      <c r="AU410" s="472" t="s">
        <v>420</v>
      </c>
      <c r="AV410" s="472">
        <v>2020</v>
      </c>
      <c r="AW410" s="474" t="s">
        <v>15078</v>
      </c>
      <c r="AX410" s="475" t="s">
        <v>15079</v>
      </c>
      <c r="AY410" s="515">
        <v>1</v>
      </c>
      <c r="AZ410" s="474" t="s">
        <v>15079</v>
      </c>
      <c r="BA410" s="472" t="s">
        <v>517</v>
      </c>
      <c r="BB410" s="472" t="s">
        <v>1385</v>
      </c>
      <c r="BC410" s="472" t="s">
        <v>1385</v>
      </c>
      <c r="BD410" s="472" t="s">
        <v>1385</v>
      </c>
      <c r="BE410" s="472" t="s">
        <v>1385</v>
      </c>
      <c r="BF410" s="472">
        <v>38261.699999999997</v>
      </c>
      <c r="BG410" s="472">
        <v>0</v>
      </c>
      <c r="BH410" s="472" t="s">
        <v>1385</v>
      </c>
      <c r="BI410" s="510">
        <v>0</v>
      </c>
      <c r="BJ410" s="510">
        <v>0</v>
      </c>
      <c r="BK410" s="510">
        <v>0</v>
      </c>
      <c r="BL410" s="510">
        <v>0</v>
      </c>
      <c r="BM410" s="510">
        <v>0</v>
      </c>
      <c r="BN410" s="510">
        <v>3500</v>
      </c>
      <c r="BO410" s="510">
        <v>0</v>
      </c>
      <c r="BP410" s="510">
        <v>2000</v>
      </c>
      <c r="BQ410" s="510">
        <v>0</v>
      </c>
      <c r="BR410" s="510">
        <v>0</v>
      </c>
      <c r="BS410" s="510">
        <v>0</v>
      </c>
      <c r="BT410" s="510">
        <v>0</v>
      </c>
      <c r="BU410" s="510">
        <v>2500</v>
      </c>
      <c r="BV410" s="510">
        <v>2500</v>
      </c>
      <c r="BW410" s="510">
        <v>0</v>
      </c>
      <c r="BX410" s="510">
        <v>30000</v>
      </c>
      <c r="BY410" s="1011">
        <v>0</v>
      </c>
      <c r="BZ410" s="510">
        <v>0</v>
      </c>
      <c r="CA410" s="1011">
        <v>0</v>
      </c>
      <c r="CB410" s="510">
        <v>22000</v>
      </c>
      <c r="CC410" s="1011">
        <v>0</v>
      </c>
      <c r="CD410" s="510">
        <v>0</v>
      </c>
      <c r="CE410" s="1011">
        <v>0</v>
      </c>
      <c r="CF410" s="510">
        <v>50616</v>
      </c>
      <c r="CG410" s="1011">
        <v>0</v>
      </c>
      <c r="CH410" s="510">
        <v>0</v>
      </c>
      <c r="CI410" s="1011">
        <v>0</v>
      </c>
    </row>
    <row r="411" spans="1:87" x14ac:dyDescent="0.2">
      <c r="A411" s="449">
        <v>44</v>
      </c>
      <c r="B411" s="453">
        <v>19463</v>
      </c>
      <c r="C411" s="454" t="s">
        <v>4472</v>
      </c>
      <c r="D411" s="454" t="s">
        <v>517</v>
      </c>
      <c r="E411" s="454" t="s">
        <v>4473</v>
      </c>
      <c r="F411" s="454" t="s">
        <v>528</v>
      </c>
      <c r="G411" s="454" t="s">
        <v>13004</v>
      </c>
      <c r="H411" s="455">
        <v>13605640000177</v>
      </c>
      <c r="I411" s="462">
        <v>40633</v>
      </c>
      <c r="J411" s="457">
        <v>43582150</v>
      </c>
      <c r="K411" s="454" t="s">
        <v>4474</v>
      </c>
      <c r="L411" s="458" t="s">
        <v>4475</v>
      </c>
      <c r="M411" s="454" t="s">
        <v>1728</v>
      </c>
      <c r="N411" s="459">
        <v>2994060</v>
      </c>
      <c r="O411" s="460">
        <v>39424200</v>
      </c>
      <c r="P411" s="462">
        <v>269665</v>
      </c>
      <c r="Q411" s="462">
        <v>44</v>
      </c>
      <c r="R411" s="462">
        <v>43938</v>
      </c>
      <c r="S411" s="463">
        <v>736</v>
      </c>
      <c r="T411" s="464">
        <v>5.4</v>
      </c>
      <c r="U411" s="465">
        <v>3974.4</v>
      </c>
      <c r="V411" s="465">
        <v>18720</v>
      </c>
      <c r="W411" s="466">
        <v>0</v>
      </c>
      <c r="X411" s="467">
        <v>1</v>
      </c>
      <c r="Y411" s="466">
        <v>34041.599999999999</v>
      </c>
      <c r="Z411" s="468" t="s">
        <v>516</v>
      </c>
      <c r="AA411" s="466">
        <v>131322.4</v>
      </c>
      <c r="AB411" s="466">
        <v>131322.4</v>
      </c>
      <c r="AC411" s="467">
        <v>0</v>
      </c>
      <c r="AD411" s="466">
        <v>0</v>
      </c>
      <c r="AE411" s="468" t="s">
        <v>516</v>
      </c>
      <c r="AF411" s="466">
        <v>2000</v>
      </c>
      <c r="AG411" s="466">
        <v>2000</v>
      </c>
      <c r="AH411" s="466">
        <v>18723.75</v>
      </c>
      <c r="AI411" s="466">
        <v>9995.23</v>
      </c>
      <c r="AJ411" s="469" t="s">
        <v>4476</v>
      </c>
      <c r="AK411" s="470" t="s">
        <v>1589</v>
      </c>
      <c r="AL411" s="471" t="s">
        <v>4477</v>
      </c>
      <c r="AM411" s="470" t="s">
        <v>4478</v>
      </c>
      <c r="AN411" s="470" t="s">
        <v>4479</v>
      </c>
      <c r="AO411" s="470" t="s">
        <v>13005</v>
      </c>
      <c r="AP411" s="470" t="s">
        <v>4480</v>
      </c>
      <c r="AQ411" s="470" t="s">
        <v>4472</v>
      </c>
      <c r="AR411" s="472" t="s">
        <v>515</v>
      </c>
      <c r="AS411" s="473" t="s">
        <v>1385</v>
      </c>
      <c r="AT411" s="472" t="s">
        <v>517</v>
      </c>
      <c r="AU411" s="472" t="s">
        <v>420</v>
      </c>
      <c r="AV411" s="472">
        <v>2020</v>
      </c>
      <c r="AW411" s="474" t="s">
        <v>15078</v>
      </c>
      <c r="AX411" s="475" t="s">
        <v>15079</v>
      </c>
      <c r="AY411" s="515">
        <v>1</v>
      </c>
      <c r="AZ411" s="474" t="s">
        <v>15079</v>
      </c>
      <c r="BA411" s="472" t="s">
        <v>517</v>
      </c>
      <c r="BB411" s="472" t="s">
        <v>1385</v>
      </c>
      <c r="BC411" s="472" t="s">
        <v>1385</v>
      </c>
      <c r="BD411" s="472" t="s">
        <v>1385</v>
      </c>
      <c r="BE411" s="472" t="s">
        <v>1385</v>
      </c>
      <c r="BF411" s="472">
        <v>34041.599999999999</v>
      </c>
      <c r="BG411" s="472">
        <v>0</v>
      </c>
      <c r="BH411" s="472" t="s">
        <v>1385</v>
      </c>
      <c r="BI411" s="510">
        <v>0</v>
      </c>
      <c r="BJ411" s="510">
        <v>30</v>
      </c>
      <c r="BK411" s="510">
        <v>0</v>
      </c>
      <c r="BL411" s="510">
        <v>2732</v>
      </c>
      <c r="BM411" s="510">
        <v>0</v>
      </c>
      <c r="BN411" s="510">
        <v>5000</v>
      </c>
      <c r="BO411" s="510">
        <v>0</v>
      </c>
      <c r="BP411" s="510">
        <v>2000</v>
      </c>
      <c r="BQ411" s="510">
        <v>0</v>
      </c>
      <c r="BR411" s="510">
        <v>0</v>
      </c>
      <c r="BS411" s="510">
        <v>0</v>
      </c>
      <c r="BT411" s="510">
        <v>0</v>
      </c>
      <c r="BU411" s="510">
        <v>2500</v>
      </c>
      <c r="BV411" s="510">
        <v>2500</v>
      </c>
      <c r="BW411" s="510">
        <v>0</v>
      </c>
      <c r="BX411" s="510">
        <v>30000</v>
      </c>
      <c r="BY411" s="1011">
        <v>0</v>
      </c>
      <c r="BZ411" s="510">
        <v>0</v>
      </c>
      <c r="CA411" s="1011">
        <v>0</v>
      </c>
      <c r="CB411" s="510">
        <v>22000</v>
      </c>
      <c r="CC411" s="1011">
        <v>0</v>
      </c>
      <c r="CD411" s="510">
        <v>0</v>
      </c>
      <c r="CE411" s="1011">
        <v>0</v>
      </c>
      <c r="CF411" s="510">
        <v>45280.800000000003</v>
      </c>
      <c r="CG411" s="1011">
        <v>0</v>
      </c>
      <c r="CH411" s="510">
        <v>0</v>
      </c>
      <c r="CI411" s="1011">
        <v>0</v>
      </c>
    </row>
    <row r="412" spans="1:87" x14ac:dyDescent="0.2">
      <c r="A412" s="449">
        <v>22</v>
      </c>
      <c r="B412" s="453">
        <v>19465</v>
      </c>
      <c r="C412" s="454" t="s">
        <v>4481</v>
      </c>
      <c r="D412" s="454" t="s">
        <v>517</v>
      </c>
      <c r="E412" s="454" t="s">
        <v>4482</v>
      </c>
      <c r="F412" s="454" t="s">
        <v>529</v>
      </c>
      <c r="G412" s="454" t="s">
        <v>13006</v>
      </c>
      <c r="H412" s="455">
        <v>14222620000180</v>
      </c>
      <c r="I412" s="462">
        <v>40701</v>
      </c>
      <c r="J412" s="457">
        <v>44123345</v>
      </c>
      <c r="K412" s="454" t="s">
        <v>4483</v>
      </c>
      <c r="L412" s="458" t="s">
        <v>4484</v>
      </c>
      <c r="M412" s="454" t="s">
        <v>1480</v>
      </c>
      <c r="N412" s="459">
        <v>4475230</v>
      </c>
      <c r="O412" s="460">
        <v>56728962</v>
      </c>
      <c r="P412" s="462">
        <v>563580</v>
      </c>
      <c r="Q412" s="462">
        <v>44</v>
      </c>
      <c r="R412" s="462">
        <v>43921</v>
      </c>
      <c r="S412" s="463">
        <v>1106</v>
      </c>
      <c r="T412" s="464">
        <v>5.4</v>
      </c>
      <c r="U412" s="465">
        <v>5972.4</v>
      </c>
      <c r="V412" s="465">
        <v>20340</v>
      </c>
      <c r="W412" s="466">
        <v>0</v>
      </c>
      <c r="X412" s="467">
        <v>1</v>
      </c>
      <c r="Y412" s="466">
        <v>39468.6</v>
      </c>
      <c r="Z412" s="468" t="s">
        <v>516</v>
      </c>
      <c r="AA412" s="466">
        <v>143639.79999999999</v>
      </c>
      <c r="AB412" s="466">
        <v>143639.79999999999</v>
      </c>
      <c r="AC412" s="467">
        <v>0</v>
      </c>
      <c r="AD412" s="466">
        <v>0</v>
      </c>
      <c r="AE412" s="468" t="s">
        <v>516</v>
      </c>
      <c r="AF412" s="466">
        <v>2000</v>
      </c>
      <c r="AG412" s="466">
        <v>2000</v>
      </c>
      <c r="AH412" s="466">
        <v>22938.44</v>
      </c>
      <c r="AI412" s="466">
        <v>10524.96</v>
      </c>
      <c r="AJ412" s="469" t="s">
        <v>1790</v>
      </c>
      <c r="AK412" s="470" t="s">
        <v>1791</v>
      </c>
      <c r="AL412" s="471" t="s">
        <v>4485</v>
      </c>
      <c r="AM412" s="470" t="s">
        <v>4486</v>
      </c>
      <c r="AN412" s="470" t="s">
        <v>13006</v>
      </c>
      <c r="AO412" s="470" t="s">
        <v>4487</v>
      </c>
      <c r="AP412" s="470" t="s">
        <v>4488</v>
      </c>
      <c r="AQ412" s="470" t="s">
        <v>4481</v>
      </c>
      <c r="AR412" s="472" t="s">
        <v>515</v>
      </c>
      <c r="AS412" s="473" t="s">
        <v>1385</v>
      </c>
      <c r="AT412" s="472" t="s">
        <v>517</v>
      </c>
      <c r="AU412" s="472" t="s">
        <v>420</v>
      </c>
      <c r="AV412" s="472">
        <v>2020</v>
      </c>
      <c r="AW412" s="474" t="s">
        <v>15078</v>
      </c>
      <c r="AX412" s="475" t="s">
        <v>15079</v>
      </c>
      <c r="AY412" s="515">
        <v>1</v>
      </c>
      <c r="AZ412" s="474" t="s">
        <v>15079</v>
      </c>
      <c r="BA412" s="472" t="s">
        <v>517</v>
      </c>
      <c r="BB412" s="472" t="s">
        <v>1385</v>
      </c>
      <c r="BC412" s="472" t="s">
        <v>1385</v>
      </c>
      <c r="BD412" s="472" t="s">
        <v>1385</v>
      </c>
      <c r="BE412" s="472" t="s">
        <v>1385</v>
      </c>
      <c r="BF412" s="472">
        <v>39468.6</v>
      </c>
      <c r="BG412" s="472">
        <v>0</v>
      </c>
      <c r="BH412" s="472" t="s">
        <v>1385</v>
      </c>
      <c r="BI412" s="510">
        <v>0</v>
      </c>
      <c r="BJ412" s="510">
        <v>0</v>
      </c>
      <c r="BK412" s="510">
        <v>0</v>
      </c>
      <c r="BL412" s="510">
        <v>0</v>
      </c>
      <c r="BM412" s="510">
        <v>0</v>
      </c>
      <c r="BN412" s="510">
        <v>5000</v>
      </c>
      <c r="BO412" s="510">
        <v>0</v>
      </c>
      <c r="BP412" s="510">
        <v>2000</v>
      </c>
      <c r="BQ412" s="510">
        <v>0</v>
      </c>
      <c r="BR412" s="510">
        <v>0</v>
      </c>
      <c r="BS412" s="510">
        <v>0</v>
      </c>
      <c r="BT412" s="510">
        <v>0</v>
      </c>
      <c r="BU412" s="510">
        <v>2500</v>
      </c>
      <c r="BV412" s="510">
        <v>2500</v>
      </c>
      <c r="BW412" s="510">
        <v>0</v>
      </c>
      <c r="BX412" s="510">
        <v>30000</v>
      </c>
      <c r="BY412" s="1011">
        <v>0</v>
      </c>
      <c r="BZ412" s="510">
        <v>0</v>
      </c>
      <c r="CA412" s="1011">
        <v>0</v>
      </c>
      <c r="CB412" s="510">
        <v>22000</v>
      </c>
      <c r="CC412" s="1011">
        <v>0</v>
      </c>
      <c r="CD412" s="510">
        <v>0</v>
      </c>
      <c r="CE412" s="1011">
        <v>0</v>
      </c>
      <c r="CF412" s="510">
        <v>52171.199999999997</v>
      </c>
      <c r="CG412" s="1011">
        <v>0</v>
      </c>
      <c r="CH412" s="510">
        <v>0</v>
      </c>
      <c r="CI412" s="1011">
        <v>0</v>
      </c>
    </row>
    <row r="413" spans="1:87" x14ac:dyDescent="0.2">
      <c r="A413" s="449">
        <v>102</v>
      </c>
      <c r="B413" s="453">
        <v>19466</v>
      </c>
      <c r="C413" s="454" t="s">
        <v>4489</v>
      </c>
      <c r="D413" s="454" t="s">
        <v>517</v>
      </c>
      <c r="E413" s="454" t="s">
        <v>4490</v>
      </c>
      <c r="F413" s="454" t="s">
        <v>520</v>
      </c>
      <c r="G413" s="454" t="s">
        <v>13007</v>
      </c>
      <c r="H413" s="455">
        <v>13574650000192</v>
      </c>
      <c r="I413" s="462">
        <v>40639</v>
      </c>
      <c r="J413" s="457">
        <v>42796024</v>
      </c>
      <c r="K413" s="454" t="s">
        <v>2915</v>
      </c>
      <c r="L413" s="458">
        <v>150</v>
      </c>
      <c r="M413" s="454" t="s">
        <v>4491</v>
      </c>
      <c r="N413" s="459">
        <v>5712080</v>
      </c>
      <c r="O413" s="460">
        <v>37423537</v>
      </c>
      <c r="P413" s="462">
        <v>431527</v>
      </c>
      <c r="Q413" s="462">
        <v>167</v>
      </c>
      <c r="R413" s="462">
        <v>43983</v>
      </c>
      <c r="S413" s="463">
        <v>431</v>
      </c>
      <c r="T413" s="464">
        <v>5.4</v>
      </c>
      <c r="U413" s="465">
        <v>2327.4</v>
      </c>
      <c r="V413" s="465">
        <v>15480</v>
      </c>
      <c r="W413" s="466">
        <v>0</v>
      </c>
      <c r="X413" s="467">
        <v>1</v>
      </c>
      <c r="Y413" s="466">
        <v>26711.1</v>
      </c>
      <c r="Z413" s="468" t="s">
        <v>516</v>
      </c>
      <c r="AA413" s="466">
        <v>119563.9</v>
      </c>
      <c r="AB413" s="466">
        <v>119563.9</v>
      </c>
      <c r="AC413" s="467">
        <v>0</v>
      </c>
      <c r="AD413" s="466">
        <v>0</v>
      </c>
      <c r="AE413" s="468" t="s">
        <v>516</v>
      </c>
      <c r="AF413" s="466">
        <v>0</v>
      </c>
      <c r="AG413" s="466">
        <v>0</v>
      </c>
      <c r="AH413" s="466">
        <v>3170.53</v>
      </c>
      <c r="AI413" s="466">
        <v>61.48</v>
      </c>
      <c r="AJ413" s="469" t="s">
        <v>1515</v>
      </c>
      <c r="AK413" s="470" t="s">
        <v>1516</v>
      </c>
      <c r="AL413" s="471" t="s">
        <v>4492</v>
      </c>
      <c r="AM413" s="470" t="s">
        <v>4493</v>
      </c>
      <c r="AN413" s="470" t="s">
        <v>4494</v>
      </c>
      <c r="AO413" s="470" t="s">
        <v>4495</v>
      </c>
      <c r="AP413" s="470" t="s">
        <v>4496</v>
      </c>
      <c r="AQ413" s="470" t="s">
        <v>4489</v>
      </c>
      <c r="AR413" s="472" t="s">
        <v>515</v>
      </c>
      <c r="AS413" s="473" t="s">
        <v>1385</v>
      </c>
      <c r="AT413" s="472" t="s">
        <v>517</v>
      </c>
      <c r="AU413" s="472" t="s">
        <v>420</v>
      </c>
      <c r="AV413" s="472">
        <v>2020</v>
      </c>
      <c r="AW413" s="474" t="s">
        <v>15078</v>
      </c>
      <c r="AX413" s="475" t="s">
        <v>15079</v>
      </c>
      <c r="AY413" s="515">
        <v>1</v>
      </c>
      <c r="AZ413" s="474" t="s">
        <v>15079</v>
      </c>
      <c r="BA413" s="472" t="s">
        <v>517</v>
      </c>
      <c r="BB413" s="472" t="s">
        <v>1385</v>
      </c>
      <c r="BC413" s="472" t="s">
        <v>1385</v>
      </c>
      <c r="BD413" s="472" t="s">
        <v>1385</v>
      </c>
      <c r="BE413" s="472" t="s">
        <v>1385</v>
      </c>
      <c r="BF413" s="472">
        <v>26711.1</v>
      </c>
      <c r="BG413" s="472">
        <v>0</v>
      </c>
      <c r="BH413" s="472" t="s">
        <v>1385</v>
      </c>
      <c r="BI413" s="510">
        <v>0</v>
      </c>
      <c r="BJ413" s="510">
        <v>25465</v>
      </c>
      <c r="BK413" s="510">
        <v>0</v>
      </c>
      <c r="BL413" s="510">
        <v>128.84</v>
      </c>
      <c r="BM413" s="510">
        <v>0</v>
      </c>
      <c r="BN413" s="510">
        <v>3500</v>
      </c>
      <c r="BO413" s="510">
        <v>0</v>
      </c>
      <c r="BP413" s="510">
        <v>0</v>
      </c>
      <c r="BQ413" s="510">
        <v>0</v>
      </c>
      <c r="BR413" s="510">
        <v>0</v>
      </c>
      <c r="BS413" s="510">
        <v>0</v>
      </c>
      <c r="BT413" s="510">
        <v>0</v>
      </c>
      <c r="BU413" s="510">
        <v>0</v>
      </c>
      <c r="BV413" s="510">
        <v>0</v>
      </c>
      <c r="BW413" s="510">
        <v>0</v>
      </c>
      <c r="BX413" s="510">
        <v>30000</v>
      </c>
      <c r="BY413" s="1011">
        <v>0</v>
      </c>
      <c r="BZ413" s="510">
        <v>0</v>
      </c>
      <c r="CA413" s="1011">
        <v>0</v>
      </c>
      <c r="CB413" s="510">
        <v>22000</v>
      </c>
      <c r="CC413" s="1011">
        <v>0</v>
      </c>
      <c r="CD413" s="510">
        <v>0</v>
      </c>
      <c r="CE413" s="1011">
        <v>0</v>
      </c>
      <c r="CF413" s="510">
        <v>40852.800000000003</v>
      </c>
      <c r="CG413" s="1011">
        <v>0</v>
      </c>
      <c r="CH413" s="510">
        <v>0</v>
      </c>
      <c r="CI413" s="1011">
        <v>0</v>
      </c>
    </row>
    <row r="414" spans="1:87" x14ac:dyDescent="0.2">
      <c r="A414" s="449">
        <v>122</v>
      </c>
      <c r="B414" s="453">
        <v>19467</v>
      </c>
      <c r="C414" s="454" t="s">
        <v>4497</v>
      </c>
      <c r="D414" s="454" t="s">
        <v>1390</v>
      </c>
      <c r="E414" s="454" t="s">
        <v>4498</v>
      </c>
      <c r="F414" s="454" t="s">
        <v>528</v>
      </c>
      <c r="G414" s="454" t="s">
        <v>4499</v>
      </c>
      <c r="H414" s="455">
        <v>15523672000159</v>
      </c>
      <c r="I414" s="462">
        <v>41054</v>
      </c>
      <c r="J414" s="457">
        <v>45314748</v>
      </c>
      <c r="K414" s="454" t="s">
        <v>4500</v>
      </c>
      <c r="L414" s="458" t="s">
        <v>1446</v>
      </c>
      <c r="M414" s="454" t="s">
        <v>4501</v>
      </c>
      <c r="N414" s="459">
        <v>2815060</v>
      </c>
      <c r="O414" s="460">
        <v>39793322</v>
      </c>
      <c r="P414" s="462">
        <v>259830</v>
      </c>
      <c r="Q414" s="462">
        <v>122</v>
      </c>
      <c r="R414" s="462">
        <v>43938</v>
      </c>
      <c r="S414" s="463">
        <v>606</v>
      </c>
      <c r="T414" s="464">
        <v>3.6</v>
      </c>
      <c r="U414" s="465">
        <v>2181.6</v>
      </c>
      <c r="V414" s="465">
        <v>18000</v>
      </c>
      <c r="W414" s="466">
        <v>0</v>
      </c>
      <c r="X414" s="467">
        <v>1</v>
      </c>
      <c r="Y414" s="466">
        <v>30272.400000000001</v>
      </c>
      <c r="Z414" s="468" t="s">
        <v>516</v>
      </c>
      <c r="AA414" s="466">
        <v>115700.4</v>
      </c>
      <c r="AB414" s="466">
        <v>115700.4</v>
      </c>
      <c r="AC414" s="467">
        <v>0</v>
      </c>
      <c r="AD414" s="466">
        <v>0</v>
      </c>
      <c r="AE414" s="468" t="s">
        <v>516</v>
      </c>
      <c r="AF414" s="466">
        <v>0</v>
      </c>
      <c r="AG414" s="466">
        <v>0</v>
      </c>
      <c r="AH414" s="466">
        <v>11035.17</v>
      </c>
      <c r="AI414" s="466">
        <v>8766.08</v>
      </c>
      <c r="AJ414" s="469" t="s">
        <v>2242</v>
      </c>
      <c r="AK414" s="470" t="s">
        <v>4502</v>
      </c>
      <c r="AL414" s="471" t="s">
        <v>4503</v>
      </c>
      <c r="AM414" s="470" t="s">
        <v>13008</v>
      </c>
      <c r="AN414" s="470" t="s">
        <v>1385</v>
      </c>
      <c r="AO414" s="470" t="s">
        <v>13009</v>
      </c>
      <c r="AP414" s="470" t="s">
        <v>4505</v>
      </c>
      <c r="AQ414" s="470" t="s">
        <v>4497</v>
      </c>
      <c r="AR414" s="472" t="s">
        <v>515</v>
      </c>
      <c r="AS414" s="473" t="s">
        <v>1385</v>
      </c>
      <c r="AT414" s="472" t="s">
        <v>1390</v>
      </c>
      <c r="AU414" s="472" t="s">
        <v>420</v>
      </c>
      <c r="AV414" s="472">
        <v>2020</v>
      </c>
      <c r="AW414" s="474" t="s">
        <v>15078</v>
      </c>
      <c r="AX414" s="475" t="s">
        <v>15079</v>
      </c>
      <c r="AY414" s="515">
        <v>1</v>
      </c>
      <c r="AZ414" s="474" t="s">
        <v>15079</v>
      </c>
      <c r="BA414" s="472" t="s">
        <v>1390</v>
      </c>
      <c r="BB414" s="472" t="s">
        <v>1385</v>
      </c>
      <c r="BC414" s="472" t="s">
        <v>1385</v>
      </c>
      <c r="BD414" s="472" t="s">
        <v>1385</v>
      </c>
      <c r="BE414" s="472" t="s">
        <v>1385</v>
      </c>
      <c r="BF414" s="472">
        <v>30272.400000000001</v>
      </c>
      <c r="BG414" s="472">
        <v>0</v>
      </c>
      <c r="BH414" s="472" t="s">
        <v>1385</v>
      </c>
      <c r="BI414" s="510">
        <v>0</v>
      </c>
      <c r="BJ414" s="510">
        <v>0</v>
      </c>
      <c r="BK414" s="510">
        <v>0</v>
      </c>
      <c r="BL414" s="510">
        <v>0</v>
      </c>
      <c r="BM414" s="510">
        <v>0</v>
      </c>
      <c r="BN414" s="510">
        <v>5000</v>
      </c>
      <c r="BO414" s="510">
        <v>0</v>
      </c>
      <c r="BP414" s="510">
        <v>0</v>
      </c>
      <c r="BQ414" s="510">
        <v>0</v>
      </c>
      <c r="BR414" s="510">
        <v>0</v>
      </c>
      <c r="BS414" s="510">
        <v>0</v>
      </c>
      <c r="BT414" s="510">
        <v>0</v>
      </c>
      <c r="BU414" s="510">
        <v>0</v>
      </c>
      <c r="BV414" s="510">
        <v>0</v>
      </c>
      <c r="BW414" s="510">
        <v>0</v>
      </c>
      <c r="BX414" s="510">
        <v>30000</v>
      </c>
      <c r="BY414" s="1011">
        <v>0</v>
      </c>
      <c r="BZ414" s="510">
        <v>0</v>
      </c>
      <c r="CA414" s="1011">
        <v>0</v>
      </c>
      <c r="CB414" s="510">
        <v>0</v>
      </c>
      <c r="CC414" s="1011">
        <v>0</v>
      </c>
      <c r="CD414" s="510">
        <v>0</v>
      </c>
      <c r="CE414" s="1011">
        <v>0</v>
      </c>
      <c r="CF414" s="510">
        <v>55428</v>
      </c>
      <c r="CG414" s="1011">
        <v>0</v>
      </c>
      <c r="CH414" s="510">
        <v>0</v>
      </c>
      <c r="CI414" s="1011">
        <v>0</v>
      </c>
    </row>
    <row r="415" spans="1:87" x14ac:dyDescent="0.2">
      <c r="A415" s="449">
        <v>111</v>
      </c>
      <c r="B415" s="453">
        <v>19468</v>
      </c>
      <c r="C415" s="454" t="s">
        <v>4506</v>
      </c>
      <c r="D415" s="454" t="s">
        <v>1390</v>
      </c>
      <c r="E415" s="454" t="s">
        <v>4507</v>
      </c>
      <c r="F415" s="454" t="s">
        <v>526</v>
      </c>
      <c r="G415" s="454" t="s">
        <v>13010</v>
      </c>
      <c r="H415" s="455">
        <v>13698136000169</v>
      </c>
      <c r="I415" s="462">
        <v>40756</v>
      </c>
      <c r="J415" s="457">
        <v>42952212</v>
      </c>
      <c r="K415" s="454" t="s">
        <v>4508</v>
      </c>
      <c r="L415" s="458" t="s">
        <v>4509</v>
      </c>
      <c r="M415" s="454" t="s">
        <v>4510</v>
      </c>
      <c r="N415" s="459">
        <v>8141670</v>
      </c>
      <c r="O415" s="460">
        <v>20253216</v>
      </c>
      <c r="P415" s="462">
        <v>142940</v>
      </c>
      <c r="Q415" s="462">
        <v>111</v>
      </c>
      <c r="R415" s="462">
        <v>43928</v>
      </c>
      <c r="S415" s="463">
        <v>385</v>
      </c>
      <c r="T415" s="464">
        <v>3.6</v>
      </c>
      <c r="U415" s="465">
        <v>1386</v>
      </c>
      <c r="V415" s="465">
        <v>13680</v>
      </c>
      <c r="W415" s="466">
        <v>0</v>
      </c>
      <c r="X415" s="467">
        <v>1</v>
      </c>
      <c r="Y415" s="466">
        <v>22599</v>
      </c>
      <c r="Z415" s="468" t="s">
        <v>516</v>
      </c>
      <c r="AA415" s="466">
        <v>100985.4</v>
      </c>
      <c r="AB415" s="466">
        <v>100985.4</v>
      </c>
      <c r="AC415" s="467">
        <v>0</v>
      </c>
      <c r="AD415" s="466">
        <v>0</v>
      </c>
      <c r="AE415" s="468" t="s">
        <v>516</v>
      </c>
      <c r="AF415" s="466">
        <v>0</v>
      </c>
      <c r="AG415" s="466">
        <v>0</v>
      </c>
      <c r="AH415" s="466">
        <v>13825.59</v>
      </c>
      <c r="AI415" s="466">
        <v>2905.05</v>
      </c>
      <c r="AJ415" s="469" t="s">
        <v>1410</v>
      </c>
      <c r="AK415" s="470" t="s">
        <v>1411</v>
      </c>
      <c r="AL415" s="471" t="s">
        <v>4511</v>
      </c>
      <c r="AM415" s="470" t="s">
        <v>4512</v>
      </c>
      <c r="AN415" s="470" t="s">
        <v>1385</v>
      </c>
      <c r="AO415" s="470" t="s">
        <v>4513</v>
      </c>
      <c r="AP415" s="470" t="s">
        <v>4514</v>
      </c>
      <c r="AQ415" s="470" t="s">
        <v>4506</v>
      </c>
      <c r="AR415" s="472" t="s">
        <v>515</v>
      </c>
      <c r="AS415" s="473" t="s">
        <v>1385</v>
      </c>
      <c r="AT415" s="472" t="s">
        <v>1390</v>
      </c>
      <c r="AU415" s="472" t="s">
        <v>420</v>
      </c>
      <c r="AV415" s="472">
        <v>2020</v>
      </c>
      <c r="AW415" s="474" t="s">
        <v>15078</v>
      </c>
      <c r="AX415" s="475" t="s">
        <v>15079</v>
      </c>
      <c r="AY415" s="515">
        <v>1</v>
      </c>
      <c r="AZ415" s="474" t="s">
        <v>15079</v>
      </c>
      <c r="BA415" s="472" t="s">
        <v>1390</v>
      </c>
      <c r="BB415" s="472" t="s">
        <v>1385</v>
      </c>
      <c r="BC415" s="472" t="s">
        <v>1385</v>
      </c>
      <c r="BD415" s="472" t="s">
        <v>1385</v>
      </c>
      <c r="BE415" s="472" t="s">
        <v>1385</v>
      </c>
      <c r="BF415" s="509">
        <v>22599</v>
      </c>
      <c r="BG415" s="509">
        <v>0</v>
      </c>
      <c r="BH415" s="472" t="s">
        <v>1385</v>
      </c>
      <c r="BI415" s="510">
        <v>0</v>
      </c>
      <c r="BJ415" s="510">
        <v>0</v>
      </c>
      <c r="BK415" s="510">
        <v>0</v>
      </c>
      <c r="BL415" s="510">
        <v>0</v>
      </c>
      <c r="BM415" s="510">
        <v>0</v>
      </c>
      <c r="BN415" s="510">
        <v>3500</v>
      </c>
      <c r="BO415" s="510">
        <v>0</v>
      </c>
      <c r="BP415" s="510">
        <v>0</v>
      </c>
      <c r="BQ415" s="510">
        <v>0</v>
      </c>
      <c r="BR415" s="510">
        <v>0</v>
      </c>
      <c r="BS415" s="510">
        <v>0</v>
      </c>
      <c r="BT415" s="510">
        <v>0</v>
      </c>
      <c r="BU415" s="510">
        <v>0</v>
      </c>
      <c r="BV415" s="510">
        <v>0</v>
      </c>
      <c r="BW415" s="510">
        <v>0</v>
      </c>
      <c r="BX415" s="510">
        <v>30000</v>
      </c>
      <c r="BY415" s="1011">
        <v>0</v>
      </c>
      <c r="BZ415" s="510">
        <v>0</v>
      </c>
      <c r="CA415" s="1011">
        <v>0</v>
      </c>
      <c r="CB415" s="510">
        <v>0</v>
      </c>
      <c r="CC415" s="1011">
        <v>0</v>
      </c>
      <c r="CD415" s="510">
        <v>0</v>
      </c>
      <c r="CE415" s="1011">
        <v>0</v>
      </c>
      <c r="CF415" s="510">
        <v>48386.400000000001</v>
      </c>
      <c r="CG415" s="1011">
        <v>0</v>
      </c>
      <c r="CH415" s="510">
        <v>0</v>
      </c>
      <c r="CI415" s="1011">
        <v>0</v>
      </c>
    </row>
    <row r="416" spans="1:87" x14ac:dyDescent="0.2">
      <c r="A416" s="449">
        <v>89</v>
      </c>
      <c r="B416" s="453">
        <v>19469</v>
      </c>
      <c r="C416" s="454" t="s">
        <v>4515</v>
      </c>
      <c r="D416" s="454" t="s">
        <v>1390</v>
      </c>
      <c r="E416" s="454" t="s">
        <v>4516</v>
      </c>
      <c r="F416" s="454" t="s">
        <v>522</v>
      </c>
      <c r="G416" s="454" t="s">
        <v>13011</v>
      </c>
      <c r="H416" s="455">
        <v>17158895000190</v>
      </c>
      <c r="I416" s="462">
        <v>41158</v>
      </c>
      <c r="J416" s="457">
        <v>46652574</v>
      </c>
      <c r="K416" s="454" t="s">
        <v>4517</v>
      </c>
      <c r="L416" s="458" t="s">
        <v>4518</v>
      </c>
      <c r="M416" s="454" t="s">
        <v>4519</v>
      </c>
      <c r="N416" s="459">
        <v>2961000</v>
      </c>
      <c r="O416" s="460">
        <v>39778447</v>
      </c>
      <c r="P416" s="462">
        <v>73191</v>
      </c>
      <c r="Q416" s="462">
        <v>89</v>
      </c>
      <c r="R416" s="462">
        <v>43922</v>
      </c>
      <c r="S416" s="463">
        <v>378</v>
      </c>
      <c r="T416" s="464">
        <v>3.6</v>
      </c>
      <c r="U416" s="465">
        <v>1360.8</v>
      </c>
      <c r="V416" s="465">
        <v>13680</v>
      </c>
      <c r="W416" s="466">
        <v>0</v>
      </c>
      <c r="X416" s="467">
        <v>1</v>
      </c>
      <c r="Y416" s="466">
        <v>22561.200000000001</v>
      </c>
      <c r="Z416" s="468" t="s">
        <v>516</v>
      </c>
      <c r="AA416" s="466">
        <v>97549.2</v>
      </c>
      <c r="AB416" s="466">
        <v>97549.2</v>
      </c>
      <c r="AC416" s="467">
        <v>0</v>
      </c>
      <c r="AD416" s="466">
        <v>0</v>
      </c>
      <c r="AE416" s="468" t="s">
        <v>516</v>
      </c>
      <c r="AF416" s="466">
        <v>0</v>
      </c>
      <c r="AG416" s="466">
        <v>0</v>
      </c>
      <c r="AH416" s="466">
        <v>4770.03</v>
      </c>
      <c r="AI416" s="466">
        <v>4244.4399999999996</v>
      </c>
      <c r="AJ416" s="469" t="s">
        <v>4520</v>
      </c>
      <c r="AK416" s="470" t="s">
        <v>4443</v>
      </c>
      <c r="AL416" s="471" t="s">
        <v>13012</v>
      </c>
      <c r="AM416" s="470" t="s">
        <v>13013</v>
      </c>
      <c r="AN416" s="470" t="s">
        <v>1385</v>
      </c>
      <c r="AO416" s="470" t="s">
        <v>13014</v>
      </c>
      <c r="AP416" s="470" t="s">
        <v>4521</v>
      </c>
      <c r="AQ416" s="470" t="s">
        <v>4515</v>
      </c>
      <c r="AR416" s="472" t="s">
        <v>515</v>
      </c>
      <c r="AS416" s="473" t="s">
        <v>1385</v>
      </c>
      <c r="AT416" s="472" t="s">
        <v>1390</v>
      </c>
      <c r="AU416" s="472" t="s">
        <v>420</v>
      </c>
      <c r="AV416" s="472">
        <v>2020</v>
      </c>
      <c r="AW416" s="474" t="s">
        <v>15078</v>
      </c>
      <c r="AX416" s="475" t="s">
        <v>15079</v>
      </c>
      <c r="AY416" s="515">
        <v>1</v>
      </c>
      <c r="AZ416" s="474" t="s">
        <v>15079</v>
      </c>
      <c r="BA416" s="472" t="s">
        <v>1390</v>
      </c>
      <c r="BB416" s="472" t="s">
        <v>1385</v>
      </c>
      <c r="BC416" s="472" t="s">
        <v>1385</v>
      </c>
      <c r="BD416" s="472" t="s">
        <v>1385</v>
      </c>
      <c r="BE416" s="472" t="s">
        <v>1385</v>
      </c>
      <c r="BF416" s="472">
        <v>22561.200000000001</v>
      </c>
      <c r="BG416" s="472">
        <v>0</v>
      </c>
      <c r="BH416" s="472" t="s">
        <v>1385</v>
      </c>
      <c r="BI416" s="510">
        <v>0</v>
      </c>
      <c r="BJ416" s="510">
        <v>0</v>
      </c>
      <c r="BK416" s="510">
        <v>0</v>
      </c>
      <c r="BL416" s="510">
        <v>0</v>
      </c>
      <c r="BM416" s="510">
        <v>0</v>
      </c>
      <c r="BN416" s="510">
        <v>3500</v>
      </c>
      <c r="BO416" s="510">
        <v>0</v>
      </c>
      <c r="BP416" s="510">
        <v>0</v>
      </c>
      <c r="BQ416" s="510">
        <v>0</v>
      </c>
      <c r="BR416" s="510">
        <v>0</v>
      </c>
      <c r="BS416" s="510">
        <v>0</v>
      </c>
      <c r="BT416" s="510">
        <v>0</v>
      </c>
      <c r="BU416" s="510">
        <v>0</v>
      </c>
      <c r="BV416" s="510">
        <v>0</v>
      </c>
      <c r="BW416" s="510">
        <v>0</v>
      </c>
      <c r="BX416" s="510">
        <v>30000</v>
      </c>
      <c r="BY416" s="1011">
        <v>0</v>
      </c>
      <c r="BZ416" s="510">
        <v>0</v>
      </c>
      <c r="CA416" s="1011">
        <v>0</v>
      </c>
      <c r="CB416" s="510">
        <v>0</v>
      </c>
      <c r="CC416" s="1011">
        <v>0</v>
      </c>
      <c r="CD416" s="510">
        <v>0</v>
      </c>
      <c r="CE416" s="1011">
        <v>0</v>
      </c>
      <c r="CF416" s="510">
        <v>44988</v>
      </c>
      <c r="CG416" s="1011">
        <v>0</v>
      </c>
      <c r="CH416" s="510">
        <v>0</v>
      </c>
      <c r="CI416" s="1011">
        <v>0</v>
      </c>
    </row>
    <row r="417" spans="1:87" x14ac:dyDescent="0.2">
      <c r="A417" s="449">
        <v>97</v>
      </c>
      <c r="B417" s="453">
        <v>19470</v>
      </c>
      <c r="C417" s="454" t="s">
        <v>4522</v>
      </c>
      <c r="D417" s="454" t="s">
        <v>1390</v>
      </c>
      <c r="E417" s="454" t="s">
        <v>4523</v>
      </c>
      <c r="F417" s="454" t="s">
        <v>525</v>
      </c>
      <c r="G417" s="454" t="s">
        <v>13015</v>
      </c>
      <c r="H417" s="455">
        <v>5570383000157</v>
      </c>
      <c r="I417" s="462">
        <v>37148</v>
      </c>
      <c r="J417" s="457">
        <v>37411136</v>
      </c>
      <c r="K417" s="454" t="s">
        <v>4524</v>
      </c>
      <c r="L417" s="458">
        <v>2150</v>
      </c>
      <c r="M417" s="454" t="s">
        <v>4525</v>
      </c>
      <c r="N417" s="459">
        <v>2052020</v>
      </c>
      <c r="O417" s="460">
        <v>29097200</v>
      </c>
      <c r="P417" s="462">
        <v>336257</v>
      </c>
      <c r="Q417" s="462">
        <v>97</v>
      </c>
      <c r="R417" s="462">
        <v>43950</v>
      </c>
      <c r="S417" s="463">
        <v>206</v>
      </c>
      <c r="T417" s="464">
        <v>3.6</v>
      </c>
      <c r="U417" s="465">
        <v>741.6</v>
      </c>
      <c r="V417" s="465">
        <v>12240</v>
      </c>
      <c r="W417" s="466">
        <v>0</v>
      </c>
      <c r="X417" s="467">
        <v>1</v>
      </c>
      <c r="Y417" s="466">
        <v>24980.400000000001</v>
      </c>
      <c r="Z417" s="468" t="s">
        <v>516</v>
      </c>
      <c r="AA417" s="466">
        <v>108817.2</v>
      </c>
      <c r="AB417" s="466">
        <v>108817.2</v>
      </c>
      <c r="AC417" s="467">
        <v>0</v>
      </c>
      <c r="AD417" s="466">
        <v>0</v>
      </c>
      <c r="AE417" s="468" t="s">
        <v>516</v>
      </c>
      <c r="AF417" s="466">
        <v>1600</v>
      </c>
      <c r="AG417" s="466">
        <v>1600</v>
      </c>
      <c r="AH417" s="466">
        <v>14584.46</v>
      </c>
      <c r="AI417" s="466">
        <v>3331.82</v>
      </c>
      <c r="AJ417" s="469" t="s">
        <v>4526</v>
      </c>
      <c r="AK417" s="470" t="s">
        <v>4527</v>
      </c>
      <c r="AL417" s="471" t="s">
        <v>4528</v>
      </c>
      <c r="AM417" s="470" t="s">
        <v>4529</v>
      </c>
      <c r="AN417" s="470" t="s">
        <v>4530</v>
      </c>
      <c r="AO417" s="470" t="s">
        <v>4531</v>
      </c>
      <c r="AP417" s="470" t="s">
        <v>4532</v>
      </c>
      <c r="AQ417" s="470" t="s">
        <v>4522</v>
      </c>
      <c r="AR417" s="472" t="s">
        <v>515</v>
      </c>
      <c r="AS417" s="473" t="s">
        <v>1385</v>
      </c>
      <c r="AT417" s="472" t="s">
        <v>1390</v>
      </c>
      <c r="AU417" s="472" t="s">
        <v>420</v>
      </c>
      <c r="AV417" s="472">
        <v>2020</v>
      </c>
      <c r="AW417" s="474" t="s">
        <v>15078</v>
      </c>
      <c r="AX417" s="475" t="s">
        <v>15079</v>
      </c>
      <c r="AY417" s="515">
        <v>1</v>
      </c>
      <c r="AZ417" s="474" t="s">
        <v>15079</v>
      </c>
      <c r="BA417" s="472" t="s">
        <v>1390</v>
      </c>
      <c r="BB417" s="472" t="s">
        <v>516</v>
      </c>
      <c r="BC417" s="472">
        <v>7</v>
      </c>
      <c r="BD417" s="472">
        <v>3672</v>
      </c>
      <c r="BE417" s="472">
        <v>0</v>
      </c>
      <c r="BF417" s="472">
        <v>24980.400000000001</v>
      </c>
      <c r="BG417" s="472">
        <v>0</v>
      </c>
      <c r="BH417" s="472" t="s">
        <v>1385</v>
      </c>
      <c r="BI417" s="510">
        <v>0</v>
      </c>
      <c r="BJ417" s="510">
        <v>0</v>
      </c>
      <c r="BK417" s="510">
        <v>0</v>
      </c>
      <c r="BL417" s="510">
        <v>0</v>
      </c>
      <c r="BM417" s="510">
        <v>0</v>
      </c>
      <c r="BN417" s="510">
        <v>3000</v>
      </c>
      <c r="BO417" s="510">
        <v>400</v>
      </c>
      <c r="BP417" s="510">
        <v>1600</v>
      </c>
      <c r="BQ417" s="510">
        <v>0</v>
      </c>
      <c r="BR417" s="510">
        <v>0</v>
      </c>
      <c r="BS417" s="510">
        <v>0</v>
      </c>
      <c r="BT417" s="510">
        <v>0</v>
      </c>
      <c r="BU417" s="510">
        <v>0</v>
      </c>
      <c r="BV417" s="510">
        <v>0</v>
      </c>
      <c r="BW417" s="510">
        <v>0</v>
      </c>
      <c r="BX417" s="510">
        <v>30000</v>
      </c>
      <c r="BY417" s="1011">
        <v>0</v>
      </c>
      <c r="BZ417" s="510">
        <v>0</v>
      </c>
      <c r="CA417" s="1011">
        <v>0</v>
      </c>
      <c r="CB417" s="510">
        <v>0</v>
      </c>
      <c r="CC417" s="1011">
        <v>0</v>
      </c>
      <c r="CD417" s="510">
        <v>0</v>
      </c>
      <c r="CE417" s="1011">
        <v>0</v>
      </c>
      <c r="CF417" s="510">
        <v>53436.800000000003</v>
      </c>
      <c r="CG417" s="1011">
        <v>0</v>
      </c>
      <c r="CH417" s="510">
        <v>0</v>
      </c>
      <c r="CI417" s="1011">
        <v>0</v>
      </c>
    </row>
    <row r="418" spans="1:87" x14ac:dyDescent="0.2">
      <c r="A418" s="449">
        <v>79</v>
      </c>
      <c r="B418" s="453">
        <v>19471</v>
      </c>
      <c r="C418" s="454" t="s">
        <v>4533</v>
      </c>
      <c r="D418" s="454" t="s">
        <v>1390</v>
      </c>
      <c r="E418" s="454" t="s">
        <v>4534</v>
      </c>
      <c r="F418" s="454" t="s">
        <v>529</v>
      </c>
      <c r="G418" s="454" t="s">
        <v>13016</v>
      </c>
      <c r="H418" s="455">
        <v>15596137000128</v>
      </c>
      <c r="I418" s="462">
        <v>41039</v>
      </c>
      <c r="J418" s="457">
        <v>45427704</v>
      </c>
      <c r="K418" s="454" t="s">
        <v>4535</v>
      </c>
      <c r="L418" s="458">
        <v>500</v>
      </c>
      <c r="M418" s="454" t="s">
        <v>4536</v>
      </c>
      <c r="N418" s="459">
        <v>4408000</v>
      </c>
      <c r="O418" s="460">
        <v>56239837</v>
      </c>
      <c r="P418" s="462">
        <v>563350</v>
      </c>
      <c r="Q418" s="462">
        <v>79</v>
      </c>
      <c r="R418" s="462">
        <v>43921</v>
      </c>
      <c r="S418" s="463">
        <v>515</v>
      </c>
      <c r="T418" s="464">
        <v>3.6</v>
      </c>
      <c r="U418" s="465">
        <v>1854</v>
      </c>
      <c r="V418" s="465">
        <v>16560</v>
      </c>
      <c r="W418" s="466">
        <v>0</v>
      </c>
      <c r="X418" s="467">
        <v>1</v>
      </c>
      <c r="Y418" s="466">
        <v>27621</v>
      </c>
      <c r="Z418" s="468" t="s">
        <v>516</v>
      </c>
      <c r="AA418" s="466">
        <v>109398.6</v>
      </c>
      <c r="AB418" s="466">
        <v>109398.6</v>
      </c>
      <c r="AC418" s="467">
        <v>0</v>
      </c>
      <c r="AD418" s="466">
        <v>0</v>
      </c>
      <c r="AE418" s="468" t="s">
        <v>516</v>
      </c>
      <c r="AF418" s="466">
        <v>0</v>
      </c>
      <c r="AG418" s="466">
        <v>0</v>
      </c>
      <c r="AH418" s="466">
        <v>31536.35</v>
      </c>
      <c r="AI418" s="466">
        <v>7013.16</v>
      </c>
      <c r="AJ418" s="469" t="s">
        <v>1790</v>
      </c>
      <c r="AK418" s="470" t="s">
        <v>1791</v>
      </c>
      <c r="AL418" s="471" t="s">
        <v>4537</v>
      </c>
      <c r="AM418" s="470" t="s">
        <v>4538</v>
      </c>
      <c r="AN418" s="470" t="s">
        <v>13016</v>
      </c>
      <c r="AO418" s="470" t="s">
        <v>4539</v>
      </c>
      <c r="AP418" s="470" t="s">
        <v>4540</v>
      </c>
      <c r="AQ418" s="470" t="s">
        <v>4533</v>
      </c>
      <c r="AR418" s="472" t="s">
        <v>515</v>
      </c>
      <c r="AS418" s="473" t="s">
        <v>1385</v>
      </c>
      <c r="AT418" s="472" t="s">
        <v>1390</v>
      </c>
      <c r="AU418" s="472" t="s">
        <v>420</v>
      </c>
      <c r="AV418" s="472">
        <v>2020</v>
      </c>
      <c r="AW418" s="474" t="s">
        <v>15078</v>
      </c>
      <c r="AX418" s="475" t="s">
        <v>15079</v>
      </c>
      <c r="AY418" s="515">
        <v>1</v>
      </c>
      <c r="AZ418" s="474" t="s">
        <v>15079</v>
      </c>
      <c r="BA418" s="472" t="s">
        <v>1390</v>
      </c>
      <c r="BB418" s="472" t="s">
        <v>1385</v>
      </c>
      <c r="BC418" s="472" t="s">
        <v>1385</v>
      </c>
      <c r="BD418" s="472" t="s">
        <v>1385</v>
      </c>
      <c r="BE418" s="472" t="s">
        <v>1385</v>
      </c>
      <c r="BF418" s="472">
        <v>27621</v>
      </c>
      <c r="BG418" s="472">
        <v>0</v>
      </c>
      <c r="BH418" s="472" t="s">
        <v>1385</v>
      </c>
      <c r="BI418" s="510">
        <v>0</v>
      </c>
      <c r="BJ418" s="510">
        <v>0</v>
      </c>
      <c r="BK418" s="510">
        <v>0</v>
      </c>
      <c r="BL418" s="510">
        <v>0</v>
      </c>
      <c r="BM418" s="510">
        <v>0</v>
      </c>
      <c r="BN418" s="510">
        <v>4000</v>
      </c>
      <c r="BO418" s="510">
        <v>0</v>
      </c>
      <c r="BP418" s="510">
        <v>0</v>
      </c>
      <c r="BQ418" s="510">
        <v>0</v>
      </c>
      <c r="BR418" s="510">
        <v>0</v>
      </c>
      <c r="BS418" s="510">
        <v>0</v>
      </c>
      <c r="BT418" s="510">
        <v>0</v>
      </c>
      <c r="BU418" s="510">
        <v>0</v>
      </c>
      <c r="BV418" s="510">
        <v>0</v>
      </c>
      <c r="BW418" s="510">
        <v>0</v>
      </c>
      <c r="BX418" s="510">
        <v>30000</v>
      </c>
      <c r="BY418" s="1011">
        <v>0</v>
      </c>
      <c r="BZ418" s="510">
        <v>0</v>
      </c>
      <c r="CA418" s="1011">
        <v>0</v>
      </c>
      <c r="CB418" s="510">
        <v>0</v>
      </c>
      <c r="CC418" s="1011">
        <v>0</v>
      </c>
      <c r="CD418" s="510">
        <v>0</v>
      </c>
      <c r="CE418" s="1011">
        <v>0</v>
      </c>
      <c r="CF418" s="510">
        <v>51777.599999999999</v>
      </c>
      <c r="CG418" s="1011">
        <v>0</v>
      </c>
      <c r="CH418" s="510">
        <v>0</v>
      </c>
      <c r="CI418" s="1011">
        <v>0</v>
      </c>
    </row>
    <row r="419" spans="1:87" x14ac:dyDescent="0.2">
      <c r="A419" s="449">
        <v>80</v>
      </c>
      <c r="B419" s="453">
        <v>19472</v>
      </c>
      <c r="C419" s="454" t="s">
        <v>4541</v>
      </c>
      <c r="D419" s="454" t="s">
        <v>1390</v>
      </c>
      <c r="E419" s="454" t="s">
        <v>4542</v>
      </c>
      <c r="F419" s="454" t="s">
        <v>529</v>
      </c>
      <c r="G419" s="454" t="s">
        <v>13017</v>
      </c>
      <c r="H419" s="455">
        <v>15665388000117</v>
      </c>
      <c r="I419" s="462">
        <v>41044</v>
      </c>
      <c r="J419" s="457">
        <v>45821879</v>
      </c>
      <c r="K419" s="454" t="s">
        <v>4543</v>
      </c>
      <c r="L419" s="458">
        <v>278</v>
      </c>
      <c r="M419" s="454" t="s">
        <v>4544</v>
      </c>
      <c r="N419" s="459">
        <v>4439080</v>
      </c>
      <c r="O419" s="460">
        <v>56123601</v>
      </c>
      <c r="P419" s="462">
        <v>567887</v>
      </c>
      <c r="Q419" s="462">
        <v>80</v>
      </c>
      <c r="R419" s="462">
        <v>43921</v>
      </c>
      <c r="S419" s="463">
        <v>289</v>
      </c>
      <c r="T419" s="464">
        <v>3.6</v>
      </c>
      <c r="U419" s="465">
        <v>1040.4000000000001</v>
      </c>
      <c r="V419" s="465">
        <v>12240</v>
      </c>
      <c r="W419" s="466">
        <v>0</v>
      </c>
      <c r="X419" s="467">
        <v>1</v>
      </c>
      <c r="Y419" s="466">
        <v>19920.599999999999</v>
      </c>
      <c r="Z419" s="468" t="s">
        <v>516</v>
      </c>
      <c r="AA419" s="466">
        <v>91323</v>
      </c>
      <c r="AB419" s="466">
        <v>91323</v>
      </c>
      <c r="AC419" s="467">
        <v>0</v>
      </c>
      <c r="AD419" s="466">
        <v>0</v>
      </c>
      <c r="AE419" s="468" t="s">
        <v>516</v>
      </c>
      <c r="AF419" s="466">
        <v>0</v>
      </c>
      <c r="AG419" s="466">
        <v>0</v>
      </c>
      <c r="AH419" s="466">
        <v>18334.48</v>
      </c>
      <c r="AI419" s="466">
        <v>7194.4</v>
      </c>
      <c r="AJ419" s="469" t="s">
        <v>4545</v>
      </c>
      <c r="AK419" s="470" t="s">
        <v>1625</v>
      </c>
      <c r="AL419" s="471" t="s">
        <v>4546</v>
      </c>
      <c r="AM419" s="470" t="s">
        <v>4547</v>
      </c>
      <c r="AN419" s="470" t="s">
        <v>13017</v>
      </c>
      <c r="AO419" s="470" t="s">
        <v>4548</v>
      </c>
      <c r="AP419" s="470" t="s">
        <v>4549</v>
      </c>
      <c r="AQ419" s="470" t="s">
        <v>4541</v>
      </c>
      <c r="AR419" s="472" t="s">
        <v>515</v>
      </c>
      <c r="AS419" s="473" t="s">
        <v>1385</v>
      </c>
      <c r="AT419" s="472" t="s">
        <v>1390</v>
      </c>
      <c r="AU419" s="472" t="s">
        <v>420</v>
      </c>
      <c r="AV419" s="472">
        <v>2020</v>
      </c>
      <c r="AW419" s="474" t="s">
        <v>15078</v>
      </c>
      <c r="AX419" s="475" t="s">
        <v>15079</v>
      </c>
      <c r="AY419" s="515">
        <v>1</v>
      </c>
      <c r="AZ419" s="474" t="s">
        <v>15079</v>
      </c>
      <c r="BA419" s="472" t="s">
        <v>1390</v>
      </c>
      <c r="BB419" s="472" t="s">
        <v>1385</v>
      </c>
      <c r="BC419" s="472" t="s">
        <v>1385</v>
      </c>
      <c r="BD419" s="472" t="s">
        <v>1385</v>
      </c>
      <c r="BE419" s="472" t="s">
        <v>1385</v>
      </c>
      <c r="BF419" s="472">
        <v>19920.599999999999</v>
      </c>
      <c r="BG419" s="472">
        <v>0</v>
      </c>
      <c r="BH419" s="472" t="s">
        <v>1385</v>
      </c>
      <c r="BI419" s="510">
        <v>0</v>
      </c>
      <c r="BJ419" s="510">
        <v>0</v>
      </c>
      <c r="BK419" s="510">
        <v>0</v>
      </c>
      <c r="BL419" s="510">
        <v>0</v>
      </c>
      <c r="BM419" s="510">
        <v>0</v>
      </c>
      <c r="BN419" s="510">
        <v>3500</v>
      </c>
      <c r="BO419" s="510">
        <v>0</v>
      </c>
      <c r="BP419" s="510">
        <v>0</v>
      </c>
      <c r="BQ419" s="510">
        <v>0</v>
      </c>
      <c r="BR419" s="510">
        <v>0</v>
      </c>
      <c r="BS419" s="510">
        <v>0</v>
      </c>
      <c r="BT419" s="510">
        <v>0</v>
      </c>
      <c r="BU419" s="510">
        <v>0</v>
      </c>
      <c r="BV419" s="510">
        <v>0</v>
      </c>
      <c r="BW419" s="510">
        <v>0</v>
      </c>
      <c r="BX419" s="510">
        <v>30000</v>
      </c>
      <c r="BY419" s="1011">
        <v>0</v>
      </c>
      <c r="BZ419" s="510">
        <v>0</v>
      </c>
      <c r="CA419" s="1011">
        <v>0</v>
      </c>
      <c r="CB419" s="510">
        <v>0</v>
      </c>
      <c r="CC419" s="1011">
        <v>0</v>
      </c>
      <c r="CD419" s="510">
        <v>0</v>
      </c>
      <c r="CE419" s="1011">
        <v>0</v>
      </c>
      <c r="CF419" s="510">
        <v>41402.400000000001</v>
      </c>
      <c r="CG419" s="1011">
        <v>0</v>
      </c>
      <c r="CH419" s="510">
        <v>0</v>
      </c>
      <c r="CI419" s="1011">
        <v>0</v>
      </c>
    </row>
    <row r="420" spans="1:87" x14ac:dyDescent="0.2">
      <c r="A420" s="449">
        <v>92</v>
      </c>
      <c r="B420" s="453">
        <v>19473</v>
      </c>
      <c r="C420" s="454" t="s">
        <v>4550</v>
      </c>
      <c r="D420" s="454" t="s">
        <v>1390</v>
      </c>
      <c r="E420" s="454" t="s">
        <v>4551</v>
      </c>
      <c r="F420" s="454" t="s">
        <v>521</v>
      </c>
      <c r="G420" s="454" t="s">
        <v>13018</v>
      </c>
      <c r="H420" s="455">
        <v>15712176000143</v>
      </c>
      <c r="I420" s="462">
        <v>41058</v>
      </c>
      <c r="J420" s="457">
        <v>45874093</v>
      </c>
      <c r="K420" s="454" t="s">
        <v>4552</v>
      </c>
      <c r="L420" s="458">
        <v>8</v>
      </c>
      <c r="M420" s="454" t="s">
        <v>4553</v>
      </c>
      <c r="N420" s="459">
        <v>4896160</v>
      </c>
      <c r="O420" s="460" t="s">
        <v>280</v>
      </c>
      <c r="P420" s="462">
        <v>91211</v>
      </c>
      <c r="Q420" s="462">
        <v>103</v>
      </c>
      <c r="R420" s="462">
        <v>43934</v>
      </c>
      <c r="S420" s="463">
        <v>512</v>
      </c>
      <c r="T420" s="464">
        <v>3.6</v>
      </c>
      <c r="U420" s="465">
        <v>1843.2</v>
      </c>
      <c r="V420" s="465">
        <v>16560</v>
      </c>
      <c r="W420" s="466">
        <v>0</v>
      </c>
      <c r="X420" s="467">
        <v>1</v>
      </c>
      <c r="Y420" s="466">
        <v>27604.799999999999</v>
      </c>
      <c r="Z420" s="468" t="s">
        <v>516</v>
      </c>
      <c r="AA420" s="466">
        <v>109461.6</v>
      </c>
      <c r="AB420" s="466">
        <v>109461.6</v>
      </c>
      <c r="AC420" s="467">
        <v>0</v>
      </c>
      <c r="AD420" s="466">
        <v>0</v>
      </c>
      <c r="AE420" s="468" t="s">
        <v>516</v>
      </c>
      <c r="AF420" s="466">
        <v>0</v>
      </c>
      <c r="AG420" s="466">
        <v>0</v>
      </c>
      <c r="AH420" s="466">
        <v>19134.78</v>
      </c>
      <c r="AI420" s="466">
        <v>6714.56</v>
      </c>
      <c r="AJ420" s="469" t="s">
        <v>1624</v>
      </c>
      <c r="AK420" s="470" t="s">
        <v>1625</v>
      </c>
      <c r="AL420" s="471" t="s">
        <v>4554</v>
      </c>
      <c r="AM420" s="470" t="s">
        <v>4555</v>
      </c>
      <c r="AN420" s="470" t="s">
        <v>1385</v>
      </c>
      <c r="AO420" s="470" t="s">
        <v>14944</v>
      </c>
      <c r="AP420" s="470" t="s">
        <v>4556</v>
      </c>
      <c r="AQ420" s="470" t="s">
        <v>4550</v>
      </c>
      <c r="AR420" s="472" t="s">
        <v>515</v>
      </c>
      <c r="AS420" s="473" t="s">
        <v>1385</v>
      </c>
      <c r="AT420" s="472" t="s">
        <v>1390</v>
      </c>
      <c r="AU420" s="472" t="s">
        <v>420</v>
      </c>
      <c r="AV420" s="472">
        <v>2020</v>
      </c>
      <c r="AW420" s="474" t="s">
        <v>15078</v>
      </c>
      <c r="AX420" s="475" t="s">
        <v>15079</v>
      </c>
      <c r="AY420" s="515">
        <v>1</v>
      </c>
      <c r="AZ420" s="474" t="s">
        <v>15079</v>
      </c>
      <c r="BA420" s="472" t="s">
        <v>1390</v>
      </c>
      <c r="BB420" s="472" t="s">
        <v>1385</v>
      </c>
      <c r="BC420" s="472" t="s">
        <v>1385</v>
      </c>
      <c r="BD420" s="472" t="s">
        <v>1385</v>
      </c>
      <c r="BE420" s="472" t="s">
        <v>1385</v>
      </c>
      <c r="BF420" s="472">
        <v>27604.799999999999</v>
      </c>
      <c r="BG420" s="472">
        <v>0</v>
      </c>
      <c r="BH420" s="472" t="s">
        <v>1385</v>
      </c>
      <c r="BI420" s="510">
        <v>0</v>
      </c>
      <c r="BJ420" s="510">
        <v>27.22</v>
      </c>
      <c r="BK420" s="510">
        <v>0</v>
      </c>
      <c r="BL420" s="510">
        <v>0</v>
      </c>
      <c r="BM420" s="510">
        <v>0</v>
      </c>
      <c r="BN420" s="510">
        <v>4000</v>
      </c>
      <c r="BO420" s="510">
        <v>0</v>
      </c>
      <c r="BP420" s="510">
        <v>0</v>
      </c>
      <c r="BQ420" s="510">
        <v>0</v>
      </c>
      <c r="BR420" s="510">
        <v>0</v>
      </c>
      <c r="BS420" s="510">
        <v>0</v>
      </c>
      <c r="BT420" s="510">
        <v>0</v>
      </c>
      <c r="BU420" s="510">
        <v>0</v>
      </c>
      <c r="BV420" s="510">
        <v>0</v>
      </c>
      <c r="BW420" s="510">
        <v>0</v>
      </c>
      <c r="BX420" s="510">
        <v>30000</v>
      </c>
      <c r="BY420" s="1011">
        <v>0</v>
      </c>
      <c r="BZ420" s="510">
        <v>0</v>
      </c>
      <c r="CA420" s="1011">
        <v>0</v>
      </c>
      <c r="CB420" s="510">
        <v>0</v>
      </c>
      <c r="CC420" s="1011">
        <v>0</v>
      </c>
      <c r="CD420" s="510">
        <v>0</v>
      </c>
      <c r="CE420" s="1011">
        <v>0</v>
      </c>
      <c r="CF420" s="510">
        <v>51856.800000000003</v>
      </c>
      <c r="CG420" s="1011">
        <v>0</v>
      </c>
      <c r="CH420" s="510">
        <v>0</v>
      </c>
      <c r="CI420" s="1011">
        <v>0</v>
      </c>
    </row>
    <row r="421" spans="1:87" x14ac:dyDescent="0.2">
      <c r="A421" s="449">
        <v>62</v>
      </c>
      <c r="B421" s="453">
        <v>19474</v>
      </c>
      <c r="C421" s="454" t="s">
        <v>4557</v>
      </c>
      <c r="D421" s="454" t="s">
        <v>517</v>
      </c>
      <c r="E421" s="454" t="s">
        <v>4558</v>
      </c>
      <c r="F421" s="454" t="s">
        <v>521</v>
      </c>
      <c r="G421" s="454" t="s">
        <v>13019</v>
      </c>
      <c r="H421" s="455">
        <v>15836536000119</v>
      </c>
      <c r="I421" s="462">
        <v>41078</v>
      </c>
      <c r="J421" s="457">
        <v>45874042</v>
      </c>
      <c r="K421" s="454" t="s">
        <v>4559</v>
      </c>
      <c r="L421" s="458">
        <v>82</v>
      </c>
      <c r="M421" s="454" t="s">
        <v>4553</v>
      </c>
      <c r="N421" s="459">
        <v>4896360</v>
      </c>
      <c r="O421" s="460">
        <v>59216735</v>
      </c>
      <c r="P421" s="462">
        <v>109447</v>
      </c>
      <c r="Q421" s="462">
        <v>104</v>
      </c>
      <c r="R421" s="462">
        <v>43934</v>
      </c>
      <c r="S421" s="463">
        <v>523</v>
      </c>
      <c r="T421" s="464">
        <v>5.4</v>
      </c>
      <c r="U421" s="465">
        <v>2824.2</v>
      </c>
      <c r="V421" s="465">
        <v>17100</v>
      </c>
      <c r="W421" s="466">
        <v>0</v>
      </c>
      <c r="X421" s="467">
        <v>1</v>
      </c>
      <c r="Y421" s="466">
        <v>29886.3</v>
      </c>
      <c r="Z421" s="468" t="s">
        <v>516</v>
      </c>
      <c r="AA421" s="466">
        <v>122513.1</v>
      </c>
      <c r="AB421" s="466">
        <v>122513.1</v>
      </c>
      <c r="AC421" s="467">
        <v>0</v>
      </c>
      <c r="AD421" s="466">
        <v>0</v>
      </c>
      <c r="AE421" s="468" t="s">
        <v>516</v>
      </c>
      <c r="AF421" s="466">
        <v>1200</v>
      </c>
      <c r="AG421" s="466">
        <v>1200</v>
      </c>
      <c r="AH421" s="466">
        <v>7039.96</v>
      </c>
      <c r="AI421" s="466">
        <v>11383.36</v>
      </c>
      <c r="AJ421" s="469" t="s">
        <v>1624</v>
      </c>
      <c r="AK421" s="470" t="s">
        <v>1625</v>
      </c>
      <c r="AL421" s="471" t="s">
        <v>4560</v>
      </c>
      <c r="AM421" s="470" t="s">
        <v>13020</v>
      </c>
      <c r="AN421" s="470" t="s">
        <v>1385</v>
      </c>
      <c r="AO421" s="470" t="s">
        <v>13021</v>
      </c>
      <c r="AP421" s="470" t="s">
        <v>4561</v>
      </c>
      <c r="AQ421" s="470" t="s">
        <v>4557</v>
      </c>
      <c r="AR421" s="472" t="s">
        <v>515</v>
      </c>
      <c r="AS421" s="473" t="s">
        <v>1385</v>
      </c>
      <c r="AT421" s="472" t="s">
        <v>517</v>
      </c>
      <c r="AU421" s="472" t="s">
        <v>420</v>
      </c>
      <c r="AV421" s="472">
        <v>2020</v>
      </c>
      <c r="AW421" s="474" t="s">
        <v>15078</v>
      </c>
      <c r="AX421" s="475" t="s">
        <v>15079</v>
      </c>
      <c r="AY421" s="515">
        <v>1</v>
      </c>
      <c r="AZ421" s="474" t="s">
        <v>15079</v>
      </c>
      <c r="BA421" s="472" t="s">
        <v>517</v>
      </c>
      <c r="BB421" s="472" t="s">
        <v>1385</v>
      </c>
      <c r="BC421" s="472" t="s">
        <v>1385</v>
      </c>
      <c r="BD421" s="472" t="s">
        <v>1385</v>
      </c>
      <c r="BE421" s="472" t="s">
        <v>1385</v>
      </c>
      <c r="BF421" s="472">
        <v>29886.3</v>
      </c>
      <c r="BG421" s="472">
        <v>0</v>
      </c>
      <c r="BH421" s="472" t="s">
        <v>1385</v>
      </c>
      <c r="BI421" s="510">
        <v>0</v>
      </c>
      <c r="BJ421" s="510">
        <v>0</v>
      </c>
      <c r="BK421" s="510">
        <v>0</v>
      </c>
      <c r="BL421" s="510">
        <v>199.95</v>
      </c>
      <c r="BM421" s="510">
        <v>0</v>
      </c>
      <c r="BN421" s="510">
        <v>3500</v>
      </c>
      <c r="BO421" s="510">
        <v>800</v>
      </c>
      <c r="BP421" s="510">
        <v>1200</v>
      </c>
      <c r="BQ421" s="510">
        <v>0</v>
      </c>
      <c r="BR421" s="510">
        <v>0</v>
      </c>
      <c r="BS421" s="510">
        <v>0</v>
      </c>
      <c r="BT421" s="510">
        <v>0</v>
      </c>
      <c r="BU421" s="510">
        <v>0</v>
      </c>
      <c r="BV421" s="510">
        <v>0</v>
      </c>
      <c r="BW421" s="510">
        <v>0</v>
      </c>
      <c r="BX421" s="510">
        <v>30000</v>
      </c>
      <c r="BY421" s="1011">
        <v>0</v>
      </c>
      <c r="BZ421" s="510">
        <v>0</v>
      </c>
      <c r="CA421" s="1011">
        <v>0</v>
      </c>
      <c r="CB421" s="510">
        <v>22000</v>
      </c>
      <c r="CC421" s="1011">
        <v>0</v>
      </c>
      <c r="CD421" s="510">
        <v>0</v>
      </c>
      <c r="CE421" s="1011">
        <v>0</v>
      </c>
      <c r="CF421" s="510">
        <v>39826.800000000003</v>
      </c>
      <c r="CG421" s="1011">
        <v>0</v>
      </c>
      <c r="CH421" s="510">
        <v>0</v>
      </c>
      <c r="CI421" s="1011">
        <v>0</v>
      </c>
    </row>
    <row r="422" spans="1:87" x14ac:dyDescent="0.2">
      <c r="A422" s="449">
        <v>81</v>
      </c>
      <c r="B422" s="453">
        <v>19475</v>
      </c>
      <c r="C422" s="454" t="s">
        <v>4562</v>
      </c>
      <c r="D422" s="454" t="s">
        <v>1390</v>
      </c>
      <c r="E422" s="454" t="s">
        <v>4563</v>
      </c>
      <c r="F422" s="454" t="s">
        <v>529</v>
      </c>
      <c r="G422" s="454" t="s">
        <v>13022</v>
      </c>
      <c r="H422" s="455">
        <v>15665574000156</v>
      </c>
      <c r="I422" s="462">
        <v>41054</v>
      </c>
      <c r="J422" s="457">
        <v>54012015</v>
      </c>
      <c r="K422" s="454" t="s">
        <v>4564</v>
      </c>
      <c r="L422" s="458">
        <v>2861</v>
      </c>
      <c r="M422" s="454" t="s">
        <v>4536</v>
      </c>
      <c r="N422" s="459">
        <v>4428010</v>
      </c>
      <c r="O422" s="460">
        <v>56247425</v>
      </c>
      <c r="P422" s="462">
        <v>567895</v>
      </c>
      <c r="Q422" s="462">
        <v>81</v>
      </c>
      <c r="R422" s="462">
        <v>43921</v>
      </c>
      <c r="S422" s="463">
        <v>755</v>
      </c>
      <c r="T422" s="464">
        <v>3.6</v>
      </c>
      <c r="U422" s="465">
        <v>2718</v>
      </c>
      <c r="V422" s="465">
        <v>21240</v>
      </c>
      <c r="W422" s="466">
        <v>0</v>
      </c>
      <c r="X422" s="467">
        <v>1</v>
      </c>
      <c r="Y422" s="466">
        <v>35937</v>
      </c>
      <c r="Z422" s="468" t="s">
        <v>516</v>
      </c>
      <c r="AA422" s="466">
        <v>128608.2</v>
      </c>
      <c r="AB422" s="466">
        <v>128608.2</v>
      </c>
      <c r="AC422" s="467">
        <v>0</v>
      </c>
      <c r="AD422" s="466">
        <v>0</v>
      </c>
      <c r="AE422" s="468" t="s">
        <v>516</v>
      </c>
      <c r="AF422" s="466">
        <v>0</v>
      </c>
      <c r="AG422" s="466">
        <v>0</v>
      </c>
      <c r="AH422" s="466">
        <v>19275.53</v>
      </c>
      <c r="AI422" s="466">
        <v>8571.4</v>
      </c>
      <c r="AJ422" s="469" t="s">
        <v>4545</v>
      </c>
      <c r="AK422" s="470" t="s">
        <v>1625</v>
      </c>
      <c r="AL422" s="471" t="s">
        <v>4565</v>
      </c>
      <c r="AM422" s="470" t="s">
        <v>13023</v>
      </c>
      <c r="AN422" s="470" t="s">
        <v>13022</v>
      </c>
      <c r="AO422" s="470" t="s">
        <v>13024</v>
      </c>
      <c r="AP422" s="470" t="s">
        <v>4566</v>
      </c>
      <c r="AQ422" s="470" t="s">
        <v>4562</v>
      </c>
      <c r="AR422" s="472" t="s">
        <v>515</v>
      </c>
      <c r="AS422" s="473" t="s">
        <v>1385</v>
      </c>
      <c r="AT422" s="472" t="s">
        <v>1390</v>
      </c>
      <c r="AU422" s="472" t="s">
        <v>420</v>
      </c>
      <c r="AV422" s="472">
        <v>2020</v>
      </c>
      <c r="AW422" s="474" t="s">
        <v>15078</v>
      </c>
      <c r="AX422" s="475" t="s">
        <v>15079</v>
      </c>
      <c r="AY422" s="515">
        <v>1</v>
      </c>
      <c r="AZ422" s="474" t="s">
        <v>15079</v>
      </c>
      <c r="BA422" s="472" t="s">
        <v>1390</v>
      </c>
      <c r="BB422" s="472" t="s">
        <v>1385</v>
      </c>
      <c r="BC422" s="472" t="s">
        <v>1385</v>
      </c>
      <c r="BD422" s="472" t="s">
        <v>1385</v>
      </c>
      <c r="BE422" s="472" t="s">
        <v>1385</v>
      </c>
      <c r="BF422" s="472">
        <v>35937</v>
      </c>
      <c r="BG422" s="472">
        <v>0</v>
      </c>
      <c r="BH422" s="472" t="s">
        <v>1385</v>
      </c>
      <c r="BI422" s="510">
        <v>0</v>
      </c>
      <c r="BJ422" s="510">
        <v>0</v>
      </c>
      <c r="BK422" s="510">
        <v>0</v>
      </c>
      <c r="BL422" s="510">
        <v>0</v>
      </c>
      <c r="BM422" s="510">
        <v>0</v>
      </c>
      <c r="BN422" s="510">
        <v>5000</v>
      </c>
      <c r="BO422" s="510">
        <v>0</v>
      </c>
      <c r="BP422" s="510">
        <v>0</v>
      </c>
      <c r="BQ422" s="510">
        <v>0</v>
      </c>
      <c r="BR422" s="510">
        <v>0</v>
      </c>
      <c r="BS422" s="510">
        <v>0</v>
      </c>
      <c r="BT422" s="510">
        <v>0</v>
      </c>
      <c r="BU422" s="510">
        <v>0</v>
      </c>
      <c r="BV422" s="510">
        <v>0</v>
      </c>
      <c r="BW422" s="510">
        <v>0</v>
      </c>
      <c r="BX422" s="510">
        <v>30000</v>
      </c>
      <c r="BY422" s="1011">
        <v>0</v>
      </c>
      <c r="BZ422" s="510">
        <v>0</v>
      </c>
      <c r="CA422" s="1011">
        <v>0</v>
      </c>
      <c r="CB422" s="510">
        <v>0</v>
      </c>
      <c r="CC422" s="1011">
        <v>0</v>
      </c>
      <c r="CD422" s="510">
        <v>0</v>
      </c>
      <c r="CE422" s="1011">
        <v>0</v>
      </c>
      <c r="CF422" s="510">
        <v>62671.199999999997</v>
      </c>
      <c r="CG422" s="1011">
        <v>0</v>
      </c>
      <c r="CH422" s="510">
        <v>0</v>
      </c>
      <c r="CI422" s="1011">
        <v>0</v>
      </c>
    </row>
    <row r="423" spans="1:87" x14ac:dyDescent="0.2">
      <c r="A423" s="449">
        <v>97</v>
      </c>
      <c r="B423" s="453">
        <v>19476</v>
      </c>
      <c r="C423" s="454" t="s">
        <v>4567</v>
      </c>
      <c r="D423" s="454" t="s">
        <v>517</v>
      </c>
      <c r="E423" s="454" t="s">
        <v>4568</v>
      </c>
      <c r="F423" s="454" t="s">
        <v>523</v>
      </c>
      <c r="G423" s="454" t="s">
        <v>13025</v>
      </c>
      <c r="H423" s="455">
        <v>16444100000147</v>
      </c>
      <c r="I423" s="462">
        <v>41079</v>
      </c>
      <c r="J423" s="457">
        <v>45768846</v>
      </c>
      <c r="K423" s="454" t="s">
        <v>4569</v>
      </c>
      <c r="L423" s="458">
        <v>700</v>
      </c>
      <c r="M423" s="454" t="s">
        <v>4570</v>
      </c>
      <c r="N423" s="459">
        <v>8485280</v>
      </c>
      <c r="O423" s="460">
        <v>22823595</v>
      </c>
      <c r="P423" s="462">
        <v>261982</v>
      </c>
      <c r="Q423" s="462">
        <v>97</v>
      </c>
      <c r="R423" s="462">
        <v>43921</v>
      </c>
      <c r="S423" s="463">
        <v>880</v>
      </c>
      <c r="T423" s="464">
        <v>5.4</v>
      </c>
      <c r="U423" s="465">
        <v>4752</v>
      </c>
      <c r="V423" s="465">
        <v>18720</v>
      </c>
      <c r="W423" s="466">
        <v>0</v>
      </c>
      <c r="X423" s="467">
        <v>1</v>
      </c>
      <c r="Y423" s="466">
        <v>35208</v>
      </c>
      <c r="Z423" s="468" t="s">
        <v>516</v>
      </c>
      <c r="AA423" s="466">
        <v>134882</v>
      </c>
      <c r="AB423" s="466">
        <v>134882</v>
      </c>
      <c r="AC423" s="467">
        <v>0</v>
      </c>
      <c r="AD423" s="466">
        <v>0</v>
      </c>
      <c r="AE423" s="468" t="s">
        <v>516</v>
      </c>
      <c r="AF423" s="466">
        <v>1000</v>
      </c>
      <c r="AG423" s="466">
        <v>1000</v>
      </c>
      <c r="AH423" s="466">
        <v>19702.91</v>
      </c>
      <c r="AI423" s="466">
        <v>10480.299999999999</v>
      </c>
      <c r="AJ423" s="469" t="s">
        <v>1395</v>
      </c>
      <c r="AK423" s="470" t="s">
        <v>523</v>
      </c>
      <c r="AL423" s="471" t="s">
        <v>4571</v>
      </c>
      <c r="AM423" s="470" t="s">
        <v>13026</v>
      </c>
      <c r="AN423" s="470" t="s">
        <v>1385</v>
      </c>
      <c r="AO423" s="470" t="s">
        <v>13027</v>
      </c>
      <c r="AP423" s="470" t="s">
        <v>4572</v>
      </c>
      <c r="AQ423" s="470" t="s">
        <v>4567</v>
      </c>
      <c r="AR423" s="472" t="s">
        <v>515</v>
      </c>
      <c r="AS423" s="473" t="s">
        <v>1385</v>
      </c>
      <c r="AT423" s="472" t="s">
        <v>517</v>
      </c>
      <c r="AU423" s="472" t="s">
        <v>420</v>
      </c>
      <c r="AV423" s="472">
        <v>2020</v>
      </c>
      <c r="AW423" s="474" t="s">
        <v>15078</v>
      </c>
      <c r="AX423" s="475" t="s">
        <v>15079</v>
      </c>
      <c r="AY423" s="515">
        <v>1</v>
      </c>
      <c r="AZ423" s="474" t="s">
        <v>15079</v>
      </c>
      <c r="BA423" s="472" t="s">
        <v>517</v>
      </c>
      <c r="BB423" s="472" t="s">
        <v>1385</v>
      </c>
      <c r="BC423" s="472" t="s">
        <v>1385</v>
      </c>
      <c r="BD423" s="472" t="s">
        <v>1385</v>
      </c>
      <c r="BE423" s="472" t="s">
        <v>1385</v>
      </c>
      <c r="BF423" s="472">
        <v>35208</v>
      </c>
      <c r="BG423" s="472">
        <v>0</v>
      </c>
      <c r="BH423" s="472" t="s">
        <v>1385</v>
      </c>
      <c r="BI423" s="510">
        <v>0</v>
      </c>
      <c r="BJ423" s="510">
        <v>0</v>
      </c>
      <c r="BK423" s="510">
        <v>0</v>
      </c>
      <c r="BL423" s="510">
        <v>296.60000000000002</v>
      </c>
      <c r="BM423" s="510">
        <v>0</v>
      </c>
      <c r="BN423" s="510">
        <v>5000</v>
      </c>
      <c r="BO423" s="510">
        <v>1000</v>
      </c>
      <c r="BP423" s="510">
        <v>1000</v>
      </c>
      <c r="BQ423" s="510">
        <v>0</v>
      </c>
      <c r="BR423" s="510">
        <v>0</v>
      </c>
      <c r="BS423" s="510">
        <v>0</v>
      </c>
      <c r="BT423" s="510">
        <v>0</v>
      </c>
      <c r="BU423" s="510">
        <v>2500</v>
      </c>
      <c r="BV423" s="510">
        <v>2500</v>
      </c>
      <c r="BW423" s="510">
        <v>0</v>
      </c>
      <c r="BX423" s="510">
        <v>30000</v>
      </c>
      <c r="BY423" s="1011">
        <v>0</v>
      </c>
      <c r="BZ423" s="510">
        <v>0</v>
      </c>
      <c r="CA423" s="1011">
        <v>0</v>
      </c>
      <c r="CB423" s="510">
        <v>22000</v>
      </c>
      <c r="CC423" s="1011">
        <v>0</v>
      </c>
      <c r="CD423" s="510">
        <v>0</v>
      </c>
      <c r="CE423" s="1011">
        <v>0</v>
      </c>
      <c r="CF423" s="510">
        <v>46674</v>
      </c>
      <c r="CG423" s="1011">
        <v>0</v>
      </c>
      <c r="CH423" s="510">
        <v>0</v>
      </c>
      <c r="CI423" s="1011">
        <v>0</v>
      </c>
    </row>
    <row r="424" spans="1:87" x14ac:dyDescent="0.2">
      <c r="A424" s="449">
        <v>109</v>
      </c>
      <c r="B424" s="453">
        <v>19477</v>
      </c>
      <c r="C424" s="454" t="s">
        <v>4573</v>
      </c>
      <c r="D424" s="454" t="s">
        <v>1390</v>
      </c>
      <c r="E424" s="454" t="s">
        <v>4574</v>
      </c>
      <c r="F424" s="454" t="s">
        <v>524</v>
      </c>
      <c r="G424" s="454" t="s">
        <v>13028</v>
      </c>
      <c r="H424" s="455">
        <v>18872805000190</v>
      </c>
      <c r="I424" s="462">
        <v>41508</v>
      </c>
      <c r="J424" s="457">
        <v>48319880</v>
      </c>
      <c r="K424" s="454" t="s">
        <v>4575</v>
      </c>
      <c r="L424" s="458">
        <v>603</v>
      </c>
      <c r="M424" s="454" t="s">
        <v>524</v>
      </c>
      <c r="N424" s="459">
        <v>4232000</v>
      </c>
      <c r="O424" s="460">
        <v>22721299</v>
      </c>
      <c r="P424" s="462">
        <v>199799</v>
      </c>
      <c r="Q424" s="462">
        <v>88</v>
      </c>
      <c r="R424" s="462">
        <v>43906</v>
      </c>
      <c r="S424" s="463">
        <v>376</v>
      </c>
      <c r="T424" s="464">
        <v>3.6</v>
      </c>
      <c r="U424" s="465">
        <v>1353.6</v>
      </c>
      <c r="V424" s="465">
        <v>13680</v>
      </c>
      <c r="W424" s="466">
        <v>0</v>
      </c>
      <c r="X424" s="467">
        <v>1</v>
      </c>
      <c r="Y424" s="466">
        <v>22550.400000000001</v>
      </c>
      <c r="Z424" s="468" t="s">
        <v>516</v>
      </c>
      <c r="AA424" s="466">
        <v>100879.2</v>
      </c>
      <c r="AB424" s="466">
        <v>100879.2</v>
      </c>
      <c r="AC424" s="467">
        <v>0</v>
      </c>
      <c r="AD424" s="466">
        <v>0</v>
      </c>
      <c r="AE424" s="468" t="s">
        <v>516</v>
      </c>
      <c r="AF424" s="466">
        <v>0</v>
      </c>
      <c r="AG424" s="466">
        <v>0</v>
      </c>
      <c r="AH424" s="466">
        <v>19458.03</v>
      </c>
      <c r="AI424" s="466">
        <v>1104.58</v>
      </c>
      <c r="AJ424" s="469" t="s">
        <v>1759</v>
      </c>
      <c r="AK424" s="470" t="s">
        <v>1760</v>
      </c>
      <c r="AL424" s="471" t="s">
        <v>4576</v>
      </c>
      <c r="AM424" s="470" t="s">
        <v>15196</v>
      </c>
      <c r="AN424" s="470" t="s">
        <v>4577</v>
      </c>
      <c r="AO424" s="470" t="s">
        <v>13029</v>
      </c>
      <c r="AP424" s="470" t="s">
        <v>4578</v>
      </c>
      <c r="AQ424" s="470" t="s">
        <v>4573</v>
      </c>
      <c r="AR424" s="472" t="s">
        <v>515</v>
      </c>
      <c r="AS424" s="473" t="s">
        <v>1385</v>
      </c>
      <c r="AT424" s="472" t="s">
        <v>1390</v>
      </c>
      <c r="AU424" s="472" t="s">
        <v>420</v>
      </c>
      <c r="AV424" s="472">
        <v>2020</v>
      </c>
      <c r="AW424" s="474" t="s">
        <v>15078</v>
      </c>
      <c r="AX424" s="475" t="s">
        <v>15079</v>
      </c>
      <c r="AY424" s="515">
        <v>1</v>
      </c>
      <c r="AZ424" s="474" t="s">
        <v>15079</v>
      </c>
      <c r="BA424" s="472" t="s">
        <v>1390</v>
      </c>
      <c r="BB424" s="472" t="s">
        <v>1385</v>
      </c>
      <c r="BC424" s="472" t="s">
        <v>1385</v>
      </c>
      <c r="BD424" s="472" t="s">
        <v>1385</v>
      </c>
      <c r="BE424" s="472" t="s">
        <v>1385</v>
      </c>
      <c r="BF424" s="472">
        <v>22550.400000000001</v>
      </c>
      <c r="BG424" s="472">
        <v>0</v>
      </c>
      <c r="BH424" s="472" t="s">
        <v>1385</v>
      </c>
      <c r="BI424" s="510">
        <v>0</v>
      </c>
      <c r="BJ424" s="510">
        <v>0</v>
      </c>
      <c r="BK424" s="510">
        <v>0</v>
      </c>
      <c r="BL424" s="510">
        <v>0</v>
      </c>
      <c r="BM424" s="510">
        <v>0</v>
      </c>
      <c r="BN424" s="510">
        <v>3500</v>
      </c>
      <c r="BO424" s="510">
        <v>0</v>
      </c>
      <c r="BP424" s="510">
        <v>0</v>
      </c>
      <c r="BQ424" s="510">
        <v>0</v>
      </c>
      <c r="BR424" s="510">
        <v>0</v>
      </c>
      <c r="BS424" s="510">
        <v>0</v>
      </c>
      <c r="BT424" s="510">
        <v>0</v>
      </c>
      <c r="BU424" s="510">
        <v>0</v>
      </c>
      <c r="BV424" s="510">
        <v>0</v>
      </c>
      <c r="BW424" s="510">
        <v>0</v>
      </c>
      <c r="BX424" s="510">
        <v>30000</v>
      </c>
      <c r="BY424" s="1011">
        <v>0</v>
      </c>
      <c r="BZ424" s="510">
        <v>0</v>
      </c>
      <c r="CA424" s="1011">
        <v>0</v>
      </c>
      <c r="CB424" s="510">
        <v>0</v>
      </c>
      <c r="CC424" s="1011">
        <v>0</v>
      </c>
      <c r="CD424" s="510">
        <v>0</v>
      </c>
      <c r="CE424" s="1011">
        <v>0</v>
      </c>
      <c r="CF424" s="510">
        <v>48328.800000000003</v>
      </c>
      <c r="CG424" s="1011">
        <v>0</v>
      </c>
      <c r="CH424" s="510">
        <v>0</v>
      </c>
      <c r="CI424" s="1011">
        <v>0</v>
      </c>
    </row>
    <row r="425" spans="1:87" x14ac:dyDescent="0.2">
      <c r="A425" s="449">
        <v>110</v>
      </c>
      <c r="B425" s="453">
        <v>19478</v>
      </c>
      <c r="C425" s="454" t="s">
        <v>4579</v>
      </c>
      <c r="D425" s="454" t="s">
        <v>1390</v>
      </c>
      <c r="E425" s="454" t="s">
        <v>4580</v>
      </c>
      <c r="F425" s="454" t="s">
        <v>524</v>
      </c>
      <c r="G425" s="454" t="s">
        <v>13030</v>
      </c>
      <c r="H425" s="455">
        <v>18579281000144</v>
      </c>
      <c r="I425" s="462">
        <v>41458</v>
      </c>
      <c r="J425" s="457">
        <v>48265438</v>
      </c>
      <c r="K425" s="454" t="s">
        <v>4581</v>
      </c>
      <c r="L425" s="458">
        <v>15</v>
      </c>
      <c r="M425" s="454" t="s">
        <v>4582</v>
      </c>
      <c r="N425" s="459">
        <v>3245060</v>
      </c>
      <c r="O425" s="460">
        <v>20361132</v>
      </c>
      <c r="P425" s="462">
        <v>200860</v>
      </c>
      <c r="Q425" s="462">
        <v>97</v>
      </c>
      <c r="R425" s="462">
        <v>43906</v>
      </c>
      <c r="S425" s="463">
        <v>182</v>
      </c>
      <c r="T425" s="464">
        <v>3.6</v>
      </c>
      <c r="U425" s="465">
        <v>655.20000000000005</v>
      </c>
      <c r="V425" s="465">
        <v>10800</v>
      </c>
      <c r="W425" s="466">
        <v>0</v>
      </c>
      <c r="X425" s="467">
        <v>1</v>
      </c>
      <c r="Y425" s="466">
        <v>20422.8</v>
      </c>
      <c r="Z425" s="468" t="s">
        <v>516</v>
      </c>
      <c r="AA425" s="466">
        <v>99770</v>
      </c>
      <c r="AB425" s="466">
        <v>99770</v>
      </c>
      <c r="AC425" s="467">
        <v>0</v>
      </c>
      <c r="AD425" s="466">
        <v>0</v>
      </c>
      <c r="AE425" s="468" t="s">
        <v>516</v>
      </c>
      <c r="AF425" s="466">
        <v>0</v>
      </c>
      <c r="AG425" s="466">
        <v>0</v>
      </c>
      <c r="AH425" s="466">
        <v>11666.23</v>
      </c>
      <c r="AI425" s="466">
        <v>6678.53</v>
      </c>
      <c r="AJ425" s="469" t="s">
        <v>1580</v>
      </c>
      <c r="AK425" s="470" t="s">
        <v>1581</v>
      </c>
      <c r="AL425" s="471" t="s">
        <v>4583</v>
      </c>
      <c r="AM425" s="470" t="s">
        <v>15197</v>
      </c>
      <c r="AN425" s="470" t="s">
        <v>13031</v>
      </c>
      <c r="AO425" s="470" t="s">
        <v>13032</v>
      </c>
      <c r="AP425" s="470" t="s">
        <v>4584</v>
      </c>
      <c r="AQ425" s="470" t="s">
        <v>4579</v>
      </c>
      <c r="AR425" s="472" t="s">
        <v>515</v>
      </c>
      <c r="AS425" s="473" t="s">
        <v>1385</v>
      </c>
      <c r="AT425" s="472" t="s">
        <v>1390</v>
      </c>
      <c r="AU425" s="472" t="s">
        <v>420</v>
      </c>
      <c r="AV425" s="472">
        <v>2020</v>
      </c>
      <c r="AW425" s="474" t="s">
        <v>15078</v>
      </c>
      <c r="AX425" s="475" t="s">
        <v>15079</v>
      </c>
      <c r="AY425" s="515">
        <v>1</v>
      </c>
      <c r="AZ425" s="474" t="s">
        <v>15079</v>
      </c>
      <c r="BA425" s="472" t="s">
        <v>1390</v>
      </c>
      <c r="BB425" s="472" t="s">
        <v>516</v>
      </c>
      <c r="BC425" s="472">
        <v>2</v>
      </c>
      <c r="BD425" s="472">
        <v>2160</v>
      </c>
      <c r="BE425" s="472">
        <v>0</v>
      </c>
      <c r="BF425" s="472">
        <v>20422.8</v>
      </c>
      <c r="BG425" s="472">
        <v>0</v>
      </c>
      <c r="BH425" s="472" t="s">
        <v>1385</v>
      </c>
      <c r="BI425" s="510">
        <v>0</v>
      </c>
      <c r="BJ425" s="510">
        <v>0</v>
      </c>
      <c r="BK425" s="510">
        <v>0</v>
      </c>
      <c r="BL425" s="510">
        <v>0</v>
      </c>
      <c r="BM425" s="510">
        <v>0</v>
      </c>
      <c r="BN425" s="510">
        <v>3000</v>
      </c>
      <c r="BO425" s="510">
        <v>0</v>
      </c>
      <c r="BP425" s="510">
        <v>0</v>
      </c>
      <c r="BQ425" s="510">
        <v>0</v>
      </c>
      <c r="BR425" s="510">
        <v>0</v>
      </c>
      <c r="BS425" s="510">
        <v>0</v>
      </c>
      <c r="BT425" s="510">
        <v>0</v>
      </c>
      <c r="BU425" s="510">
        <v>0</v>
      </c>
      <c r="BV425" s="510">
        <v>0</v>
      </c>
      <c r="BW425" s="510">
        <v>0</v>
      </c>
      <c r="BX425" s="510">
        <v>30000</v>
      </c>
      <c r="BY425" s="1011">
        <v>0</v>
      </c>
      <c r="BZ425" s="510">
        <v>0</v>
      </c>
      <c r="CA425" s="1011">
        <v>0</v>
      </c>
      <c r="CB425" s="510">
        <v>0</v>
      </c>
      <c r="CC425" s="1011">
        <v>0</v>
      </c>
      <c r="CD425" s="510">
        <v>0</v>
      </c>
      <c r="CE425" s="1011">
        <v>0</v>
      </c>
      <c r="CF425" s="510">
        <v>49347.199999999997</v>
      </c>
      <c r="CG425" s="1011">
        <v>0</v>
      </c>
      <c r="CH425" s="510">
        <v>0</v>
      </c>
      <c r="CI425" s="1011">
        <v>0</v>
      </c>
    </row>
    <row r="426" spans="1:87" x14ac:dyDescent="0.2">
      <c r="A426" s="449">
        <v>100</v>
      </c>
      <c r="B426" s="453">
        <v>19479</v>
      </c>
      <c r="C426" s="454" t="s">
        <v>4585</v>
      </c>
      <c r="D426" s="454" t="s">
        <v>1390</v>
      </c>
      <c r="E426" s="454" t="s">
        <v>4586</v>
      </c>
      <c r="F426" s="454" t="s">
        <v>521</v>
      </c>
      <c r="G426" s="454" t="s">
        <v>13033</v>
      </c>
      <c r="H426" s="455">
        <v>18634321000103</v>
      </c>
      <c r="I426" s="462">
        <v>41453</v>
      </c>
      <c r="J426" s="457">
        <v>47976527</v>
      </c>
      <c r="K426" s="454" t="s">
        <v>4587</v>
      </c>
      <c r="L426" s="458">
        <v>99</v>
      </c>
      <c r="M426" s="454" t="s">
        <v>4588</v>
      </c>
      <c r="N426" s="459">
        <v>4863150</v>
      </c>
      <c r="O426" s="460">
        <v>59243557</v>
      </c>
      <c r="P426" s="462">
        <v>96850</v>
      </c>
      <c r="Q426" s="462">
        <v>105</v>
      </c>
      <c r="R426" s="462">
        <v>43934</v>
      </c>
      <c r="S426" s="463">
        <v>594</v>
      </c>
      <c r="T426" s="464">
        <v>3.6</v>
      </c>
      <c r="U426" s="465">
        <v>2138.4</v>
      </c>
      <c r="V426" s="465">
        <v>16560</v>
      </c>
      <c r="W426" s="466">
        <v>0</v>
      </c>
      <c r="X426" s="467">
        <v>1</v>
      </c>
      <c r="Y426" s="466">
        <v>28047.599999999999</v>
      </c>
      <c r="Z426" s="468" t="s">
        <v>516</v>
      </c>
      <c r="AA426" s="466">
        <v>110458.8</v>
      </c>
      <c r="AB426" s="466">
        <v>110458.8</v>
      </c>
      <c r="AC426" s="467">
        <v>0</v>
      </c>
      <c r="AD426" s="466">
        <v>0</v>
      </c>
      <c r="AE426" s="468" t="s">
        <v>516</v>
      </c>
      <c r="AF426" s="466">
        <v>0</v>
      </c>
      <c r="AG426" s="466">
        <v>0</v>
      </c>
      <c r="AH426" s="466">
        <v>6523.16</v>
      </c>
      <c r="AI426" s="466">
        <v>8036.16</v>
      </c>
      <c r="AJ426" s="469" t="s">
        <v>1624</v>
      </c>
      <c r="AK426" s="470" t="s">
        <v>1625</v>
      </c>
      <c r="AL426" s="471" t="s">
        <v>4589</v>
      </c>
      <c r="AM426" s="470" t="s">
        <v>13034</v>
      </c>
      <c r="AN426" s="470" t="s">
        <v>1385</v>
      </c>
      <c r="AO426" s="470" t="s">
        <v>14952</v>
      </c>
      <c r="AP426" s="470" t="s">
        <v>4588</v>
      </c>
      <c r="AQ426" s="470" t="s">
        <v>4585</v>
      </c>
      <c r="AR426" s="472" t="s">
        <v>515</v>
      </c>
      <c r="AS426" s="473" t="s">
        <v>1385</v>
      </c>
      <c r="AT426" s="472" t="s">
        <v>1390</v>
      </c>
      <c r="AU426" s="472" t="s">
        <v>420</v>
      </c>
      <c r="AV426" s="472">
        <v>2020</v>
      </c>
      <c r="AW426" s="474" t="s">
        <v>15078</v>
      </c>
      <c r="AX426" s="475" t="s">
        <v>15079</v>
      </c>
      <c r="AY426" s="515">
        <v>1</v>
      </c>
      <c r="AZ426" s="474" t="s">
        <v>15079</v>
      </c>
      <c r="BA426" s="472" t="s">
        <v>1390</v>
      </c>
      <c r="BB426" s="472" t="s">
        <v>1385</v>
      </c>
      <c r="BC426" s="472" t="s">
        <v>1385</v>
      </c>
      <c r="BD426" s="472" t="s">
        <v>1385</v>
      </c>
      <c r="BE426" s="472" t="s">
        <v>1385</v>
      </c>
      <c r="BF426" s="472">
        <v>28047.599999999999</v>
      </c>
      <c r="BG426" s="472">
        <v>0</v>
      </c>
      <c r="BH426" s="472" t="s">
        <v>1385</v>
      </c>
      <c r="BI426" s="510">
        <v>0</v>
      </c>
      <c r="BJ426" s="510">
        <v>0</v>
      </c>
      <c r="BK426" s="510">
        <v>0</v>
      </c>
      <c r="BL426" s="510">
        <v>0</v>
      </c>
      <c r="BM426" s="510">
        <v>0</v>
      </c>
      <c r="BN426" s="510">
        <v>5000</v>
      </c>
      <c r="BO426" s="510">
        <v>0</v>
      </c>
      <c r="BP426" s="510">
        <v>0</v>
      </c>
      <c r="BQ426" s="510">
        <v>0</v>
      </c>
      <c r="BR426" s="510">
        <v>0</v>
      </c>
      <c r="BS426" s="510">
        <v>0</v>
      </c>
      <c r="BT426" s="510">
        <v>0</v>
      </c>
      <c r="BU426" s="510">
        <v>0</v>
      </c>
      <c r="BV426" s="510">
        <v>0</v>
      </c>
      <c r="BW426" s="510">
        <v>0</v>
      </c>
      <c r="BX426" s="510">
        <v>30000</v>
      </c>
      <c r="BY426" s="1011">
        <v>0</v>
      </c>
      <c r="BZ426" s="510">
        <v>0</v>
      </c>
      <c r="CA426" s="1011">
        <v>0</v>
      </c>
      <c r="CB426" s="510">
        <v>0</v>
      </c>
      <c r="CC426" s="1011">
        <v>0</v>
      </c>
      <c r="CD426" s="510">
        <v>0</v>
      </c>
      <c r="CE426" s="1011">
        <v>0</v>
      </c>
      <c r="CF426" s="510">
        <v>52411.199999999997</v>
      </c>
      <c r="CG426" s="1011">
        <v>0</v>
      </c>
      <c r="CH426" s="510">
        <v>0</v>
      </c>
      <c r="CI426" s="1011">
        <v>0</v>
      </c>
    </row>
    <row r="427" spans="1:87" x14ac:dyDescent="0.2">
      <c r="A427" s="449">
        <v>111</v>
      </c>
      <c r="B427" s="453">
        <v>19480</v>
      </c>
      <c r="C427" s="454" t="s">
        <v>4591</v>
      </c>
      <c r="D427" s="454" t="s">
        <v>517</v>
      </c>
      <c r="E427" s="454" t="s">
        <v>4592</v>
      </c>
      <c r="F427" s="454" t="s">
        <v>524</v>
      </c>
      <c r="G427" s="454" t="s">
        <v>13035</v>
      </c>
      <c r="H427" s="455">
        <v>19232245000172</v>
      </c>
      <c r="I427" s="462">
        <v>41572</v>
      </c>
      <c r="J427" s="457">
        <v>48723096</v>
      </c>
      <c r="K427" s="454" t="s">
        <v>4593</v>
      </c>
      <c r="L427" s="458">
        <v>261</v>
      </c>
      <c r="M427" s="454" t="s">
        <v>1749</v>
      </c>
      <c r="N427" s="459">
        <v>4253000</v>
      </c>
      <c r="O427" s="460">
        <v>20633663</v>
      </c>
      <c r="P427" s="462">
        <v>211870</v>
      </c>
      <c r="Q427" s="462">
        <v>30</v>
      </c>
      <c r="R427" s="462">
        <v>43906</v>
      </c>
      <c r="S427" s="463">
        <v>1009</v>
      </c>
      <c r="T427" s="464">
        <v>5.4</v>
      </c>
      <c r="U427" s="465">
        <v>5448.6</v>
      </c>
      <c r="V427" s="465">
        <v>20340</v>
      </c>
      <c r="W427" s="466">
        <v>0</v>
      </c>
      <c r="X427" s="467">
        <v>1</v>
      </c>
      <c r="Y427" s="466">
        <v>38682.9</v>
      </c>
      <c r="Z427" s="468" t="s">
        <v>516</v>
      </c>
      <c r="AA427" s="466">
        <v>137799.70000000001</v>
      </c>
      <c r="AB427" s="466">
        <v>137799.70000000001</v>
      </c>
      <c r="AC427" s="467">
        <v>0</v>
      </c>
      <c r="AD427" s="466">
        <v>0</v>
      </c>
      <c r="AE427" s="468" t="s">
        <v>516</v>
      </c>
      <c r="AF427" s="466">
        <v>0</v>
      </c>
      <c r="AG427" s="466">
        <v>0</v>
      </c>
      <c r="AH427" s="466">
        <v>10739.43</v>
      </c>
      <c r="AI427" s="466">
        <v>5895.12</v>
      </c>
      <c r="AJ427" s="469">
        <v>12033</v>
      </c>
      <c r="AK427" s="470" t="s">
        <v>1751</v>
      </c>
      <c r="AL427" s="471" t="s">
        <v>4594</v>
      </c>
      <c r="AM427" s="470" t="s">
        <v>15198</v>
      </c>
      <c r="AN427" s="470" t="s">
        <v>13036</v>
      </c>
      <c r="AO427" s="470" t="s">
        <v>13037</v>
      </c>
      <c r="AP427" s="470" t="s">
        <v>4595</v>
      </c>
      <c r="AQ427" s="470" t="s">
        <v>4591</v>
      </c>
      <c r="AR427" s="472" t="s">
        <v>515</v>
      </c>
      <c r="AS427" s="473" t="s">
        <v>1385</v>
      </c>
      <c r="AT427" s="472" t="s">
        <v>517</v>
      </c>
      <c r="AU427" s="472" t="s">
        <v>420</v>
      </c>
      <c r="AV427" s="472">
        <v>2020</v>
      </c>
      <c r="AW427" s="474" t="s">
        <v>15078</v>
      </c>
      <c r="AX427" s="475" t="s">
        <v>15079</v>
      </c>
      <c r="AY427" s="515">
        <v>1</v>
      </c>
      <c r="AZ427" s="474" t="s">
        <v>15079</v>
      </c>
      <c r="BA427" s="472" t="s">
        <v>517</v>
      </c>
      <c r="BB427" s="472" t="s">
        <v>1385</v>
      </c>
      <c r="BC427" s="472" t="s">
        <v>1385</v>
      </c>
      <c r="BD427" s="472" t="s">
        <v>1385</v>
      </c>
      <c r="BE427" s="472" t="s">
        <v>1385</v>
      </c>
      <c r="BF427" s="472">
        <v>38682.9</v>
      </c>
      <c r="BG427" s="472">
        <v>0</v>
      </c>
      <c r="BH427" s="472" t="s">
        <v>1385</v>
      </c>
      <c r="BI427" s="510">
        <v>0</v>
      </c>
      <c r="BJ427" s="510">
        <v>0</v>
      </c>
      <c r="BK427" s="510">
        <v>0</v>
      </c>
      <c r="BL427" s="510">
        <v>0</v>
      </c>
      <c r="BM427" s="510">
        <v>0</v>
      </c>
      <c r="BN427" s="510">
        <v>3000</v>
      </c>
      <c r="BO427" s="510">
        <v>0</v>
      </c>
      <c r="BP427" s="510">
        <v>0</v>
      </c>
      <c r="BQ427" s="510">
        <v>0</v>
      </c>
      <c r="BR427" s="510">
        <v>0</v>
      </c>
      <c r="BS427" s="510">
        <v>0</v>
      </c>
      <c r="BT427" s="510">
        <v>0</v>
      </c>
      <c r="BU427" s="510">
        <v>2500</v>
      </c>
      <c r="BV427" s="510">
        <v>2500</v>
      </c>
      <c r="BW427" s="510">
        <v>0</v>
      </c>
      <c r="BX427" s="510">
        <v>30000</v>
      </c>
      <c r="BY427" s="1011">
        <v>0</v>
      </c>
      <c r="BZ427" s="510">
        <v>0</v>
      </c>
      <c r="CA427" s="1011">
        <v>0</v>
      </c>
      <c r="CB427" s="510">
        <v>22000</v>
      </c>
      <c r="CC427" s="1011">
        <v>0</v>
      </c>
      <c r="CD427" s="510">
        <v>0</v>
      </c>
      <c r="CE427" s="1011">
        <v>0</v>
      </c>
      <c r="CF427" s="510">
        <v>47116.800000000003</v>
      </c>
      <c r="CG427" s="1011">
        <v>0</v>
      </c>
      <c r="CH427" s="510">
        <v>0</v>
      </c>
      <c r="CI427" s="1011">
        <v>0</v>
      </c>
    </row>
    <row r="428" spans="1:87" x14ac:dyDescent="0.2">
      <c r="A428" s="449">
        <v>122</v>
      </c>
      <c r="B428" s="453">
        <v>19481</v>
      </c>
      <c r="C428" s="454" t="s">
        <v>4596</v>
      </c>
      <c r="D428" s="454" t="s">
        <v>1390</v>
      </c>
      <c r="E428" s="454" t="s">
        <v>4597</v>
      </c>
      <c r="F428" s="454" t="s">
        <v>527</v>
      </c>
      <c r="G428" s="454" t="s">
        <v>13038</v>
      </c>
      <c r="H428" s="455">
        <v>18539832000146</v>
      </c>
      <c r="I428" s="462">
        <v>41467</v>
      </c>
      <c r="J428" s="457">
        <v>47987073</v>
      </c>
      <c r="K428" s="454" t="s">
        <v>4598</v>
      </c>
      <c r="L428" s="458">
        <v>570</v>
      </c>
      <c r="M428" s="454" t="s">
        <v>4599</v>
      </c>
      <c r="N428" s="459">
        <v>3687020</v>
      </c>
      <c r="O428" s="460">
        <v>22270510</v>
      </c>
      <c r="P428" s="462">
        <v>181989</v>
      </c>
      <c r="Q428" s="462">
        <v>62</v>
      </c>
      <c r="R428" s="462">
        <v>43917</v>
      </c>
      <c r="S428" s="463">
        <v>389</v>
      </c>
      <c r="T428" s="464">
        <v>3.6</v>
      </c>
      <c r="U428" s="465">
        <v>1400.4</v>
      </c>
      <c r="V428" s="465">
        <v>13680</v>
      </c>
      <c r="W428" s="466">
        <v>0</v>
      </c>
      <c r="X428" s="467">
        <v>1</v>
      </c>
      <c r="Y428" s="466">
        <v>22620.6</v>
      </c>
      <c r="Z428" s="468" t="s">
        <v>516</v>
      </c>
      <c r="AA428" s="466">
        <v>97831.8</v>
      </c>
      <c r="AB428" s="466">
        <v>97831.8</v>
      </c>
      <c r="AC428" s="467">
        <v>0</v>
      </c>
      <c r="AD428" s="466">
        <v>0</v>
      </c>
      <c r="AE428" s="468" t="s">
        <v>516</v>
      </c>
      <c r="AF428" s="466">
        <v>0</v>
      </c>
      <c r="AG428" s="466">
        <v>0</v>
      </c>
      <c r="AH428" s="466">
        <v>18066.82</v>
      </c>
      <c r="AI428" s="466">
        <v>3018.24</v>
      </c>
      <c r="AJ428" s="469" t="s">
        <v>4600</v>
      </c>
      <c r="AK428" s="470" t="s">
        <v>4601</v>
      </c>
      <c r="AL428" s="471" t="s">
        <v>4602</v>
      </c>
      <c r="AM428" s="470" t="s">
        <v>4603</v>
      </c>
      <c r="AN428" s="470" t="s">
        <v>13039</v>
      </c>
      <c r="AO428" s="470" t="s">
        <v>13040</v>
      </c>
      <c r="AP428" s="470" t="s">
        <v>4604</v>
      </c>
      <c r="AQ428" s="470" t="s">
        <v>4596</v>
      </c>
      <c r="AR428" s="472" t="s">
        <v>515</v>
      </c>
      <c r="AS428" s="473" t="s">
        <v>1385</v>
      </c>
      <c r="AT428" s="472" t="s">
        <v>1390</v>
      </c>
      <c r="AU428" s="472" t="s">
        <v>420</v>
      </c>
      <c r="AV428" s="472">
        <v>2020</v>
      </c>
      <c r="AW428" s="474" t="s">
        <v>15078</v>
      </c>
      <c r="AX428" s="475" t="s">
        <v>15079</v>
      </c>
      <c r="AY428" s="515">
        <v>1</v>
      </c>
      <c r="AZ428" s="474" t="s">
        <v>15079</v>
      </c>
      <c r="BA428" s="472" t="s">
        <v>1390</v>
      </c>
      <c r="BB428" s="472" t="s">
        <v>1385</v>
      </c>
      <c r="BC428" s="472" t="s">
        <v>1385</v>
      </c>
      <c r="BD428" s="472" t="s">
        <v>1385</v>
      </c>
      <c r="BE428" s="472" t="s">
        <v>1385</v>
      </c>
      <c r="BF428" s="472">
        <v>22620.6</v>
      </c>
      <c r="BG428" s="472">
        <v>0</v>
      </c>
      <c r="BH428" s="472" t="s">
        <v>1385</v>
      </c>
      <c r="BI428" s="510">
        <v>0</v>
      </c>
      <c r="BJ428" s="510">
        <v>62.4</v>
      </c>
      <c r="BK428" s="510">
        <v>0</v>
      </c>
      <c r="BL428" s="510">
        <v>0</v>
      </c>
      <c r="BM428" s="510">
        <v>0</v>
      </c>
      <c r="BN428" s="510">
        <v>3500</v>
      </c>
      <c r="BO428" s="510">
        <v>0</v>
      </c>
      <c r="BP428" s="510">
        <v>0</v>
      </c>
      <c r="BQ428" s="510">
        <v>0</v>
      </c>
      <c r="BR428" s="510">
        <v>0</v>
      </c>
      <c r="BS428" s="510">
        <v>0</v>
      </c>
      <c r="BT428" s="510">
        <v>0</v>
      </c>
      <c r="BU428" s="510">
        <v>0</v>
      </c>
      <c r="BV428" s="510">
        <v>0</v>
      </c>
      <c r="BW428" s="510">
        <v>0</v>
      </c>
      <c r="BX428" s="510">
        <v>30000</v>
      </c>
      <c r="BY428" s="1011">
        <v>0</v>
      </c>
      <c r="BZ428" s="510">
        <v>0</v>
      </c>
      <c r="CA428" s="1011">
        <v>0</v>
      </c>
      <c r="CB428" s="510">
        <v>0</v>
      </c>
      <c r="CC428" s="1011">
        <v>0</v>
      </c>
      <c r="CD428" s="510">
        <v>0</v>
      </c>
      <c r="CE428" s="1011">
        <v>0</v>
      </c>
      <c r="CF428" s="510">
        <v>45211.199999999997</v>
      </c>
      <c r="CG428" s="1011">
        <v>0</v>
      </c>
      <c r="CH428" s="510">
        <v>0</v>
      </c>
      <c r="CI428" s="1011">
        <v>0</v>
      </c>
    </row>
    <row r="429" spans="1:87" x14ac:dyDescent="0.2">
      <c r="A429" s="449">
        <v>91</v>
      </c>
      <c r="B429" s="453">
        <v>19482</v>
      </c>
      <c r="C429" s="454" t="s">
        <v>4605</v>
      </c>
      <c r="D429" s="454" t="s">
        <v>1390</v>
      </c>
      <c r="E429" s="454" t="s">
        <v>4606</v>
      </c>
      <c r="F429" s="454" t="s">
        <v>522</v>
      </c>
      <c r="G429" s="454" t="s">
        <v>13041</v>
      </c>
      <c r="H429" s="455">
        <v>18813325000159</v>
      </c>
      <c r="I429" s="462">
        <v>41542</v>
      </c>
      <c r="J429" s="457">
        <v>52418049</v>
      </c>
      <c r="K429" s="454" t="s">
        <v>4607</v>
      </c>
      <c r="L429" s="458">
        <v>260</v>
      </c>
      <c r="M429" s="454" t="s">
        <v>4608</v>
      </c>
      <c r="N429" s="459">
        <v>2817080</v>
      </c>
      <c r="O429" s="460">
        <v>39225578</v>
      </c>
      <c r="P429" s="462">
        <v>75143</v>
      </c>
      <c r="Q429" s="462">
        <v>90</v>
      </c>
      <c r="R429" s="462">
        <v>43911</v>
      </c>
      <c r="S429" s="463">
        <v>683</v>
      </c>
      <c r="T429" s="464">
        <v>3.6</v>
      </c>
      <c r="U429" s="465">
        <v>2458.8000000000002</v>
      </c>
      <c r="V429" s="465">
        <v>18000</v>
      </c>
      <c r="W429" s="466">
        <v>0</v>
      </c>
      <c r="X429" s="467">
        <v>1</v>
      </c>
      <c r="Y429" s="466">
        <v>30688.2</v>
      </c>
      <c r="Z429" s="468" t="s">
        <v>516</v>
      </c>
      <c r="AA429" s="466">
        <v>116605.8</v>
      </c>
      <c r="AB429" s="466">
        <v>116605.8</v>
      </c>
      <c r="AC429" s="467">
        <v>0</v>
      </c>
      <c r="AD429" s="466">
        <v>0</v>
      </c>
      <c r="AE429" s="468" t="s">
        <v>516</v>
      </c>
      <c r="AF429" s="466">
        <v>0</v>
      </c>
      <c r="AG429" s="466">
        <v>0</v>
      </c>
      <c r="AH429" s="466">
        <v>23649.84</v>
      </c>
      <c r="AI429" s="466">
        <v>7666.34</v>
      </c>
      <c r="AJ429" s="469" t="s">
        <v>1438</v>
      </c>
      <c r="AK429" s="470" t="s">
        <v>1990</v>
      </c>
      <c r="AL429" s="471" t="s">
        <v>4609</v>
      </c>
      <c r="AM429" s="470" t="s">
        <v>4610</v>
      </c>
      <c r="AN429" s="470" t="s">
        <v>1385</v>
      </c>
      <c r="AO429" s="470" t="s">
        <v>13042</v>
      </c>
      <c r="AP429" s="470" t="s">
        <v>4611</v>
      </c>
      <c r="AQ429" s="470" t="s">
        <v>4605</v>
      </c>
      <c r="AR429" s="472" t="s">
        <v>515</v>
      </c>
      <c r="AS429" s="473" t="s">
        <v>1385</v>
      </c>
      <c r="AT429" s="472" t="s">
        <v>1390</v>
      </c>
      <c r="AU429" s="472" t="s">
        <v>420</v>
      </c>
      <c r="AV429" s="472">
        <v>2020</v>
      </c>
      <c r="AW429" s="474" t="s">
        <v>15078</v>
      </c>
      <c r="AX429" s="475" t="s">
        <v>15079</v>
      </c>
      <c r="AY429" s="515">
        <v>1</v>
      </c>
      <c r="AZ429" s="474" t="s">
        <v>15079</v>
      </c>
      <c r="BA429" s="472" t="s">
        <v>1390</v>
      </c>
      <c r="BB429" s="472" t="s">
        <v>1385</v>
      </c>
      <c r="BC429" s="472" t="s">
        <v>1385</v>
      </c>
      <c r="BD429" s="472" t="s">
        <v>1385</v>
      </c>
      <c r="BE429" s="472" t="s">
        <v>1385</v>
      </c>
      <c r="BF429" s="472">
        <v>30688.2</v>
      </c>
      <c r="BG429" s="472">
        <v>0</v>
      </c>
      <c r="BH429" s="472" t="s">
        <v>1385</v>
      </c>
      <c r="BI429" s="510">
        <v>0</v>
      </c>
      <c r="BJ429" s="510">
        <v>0</v>
      </c>
      <c r="BK429" s="510">
        <v>0</v>
      </c>
      <c r="BL429" s="510">
        <v>0</v>
      </c>
      <c r="BM429" s="510">
        <v>0</v>
      </c>
      <c r="BN429" s="510">
        <v>5000</v>
      </c>
      <c r="BO429" s="510">
        <v>0</v>
      </c>
      <c r="BP429" s="510">
        <v>0</v>
      </c>
      <c r="BQ429" s="510">
        <v>0</v>
      </c>
      <c r="BR429" s="510">
        <v>0</v>
      </c>
      <c r="BS429" s="510">
        <v>0</v>
      </c>
      <c r="BT429" s="510">
        <v>0</v>
      </c>
      <c r="BU429" s="510">
        <v>0</v>
      </c>
      <c r="BV429" s="510">
        <v>0</v>
      </c>
      <c r="BW429" s="510">
        <v>0</v>
      </c>
      <c r="BX429" s="510">
        <v>30000</v>
      </c>
      <c r="BY429" s="1011">
        <v>0</v>
      </c>
      <c r="BZ429" s="510">
        <v>0</v>
      </c>
      <c r="CA429" s="1011">
        <v>0</v>
      </c>
      <c r="CB429" s="510">
        <v>0</v>
      </c>
      <c r="CC429" s="1011">
        <v>0</v>
      </c>
      <c r="CD429" s="510">
        <v>0</v>
      </c>
      <c r="CE429" s="1011">
        <v>0</v>
      </c>
      <c r="CF429" s="510">
        <v>55917.599999999999</v>
      </c>
      <c r="CG429" s="1011">
        <v>0</v>
      </c>
      <c r="CH429" s="510">
        <v>0</v>
      </c>
      <c r="CI429" s="1011">
        <v>0</v>
      </c>
    </row>
    <row r="430" spans="1:87" x14ac:dyDescent="0.2">
      <c r="A430" s="449">
        <v>90</v>
      </c>
      <c r="B430" s="453">
        <v>19483</v>
      </c>
      <c r="C430" s="454" t="s">
        <v>4612</v>
      </c>
      <c r="D430" s="454" t="s">
        <v>4613</v>
      </c>
      <c r="E430" s="454" t="s">
        <v>4614</v>
      </c>
      <c r="F430" s="454" t="s">
        <v>522</v>
      </c>
      <c r="G430" s="454" t="s">
        <v>13043</v>
      </c>
      <c r="H430" s="455">
        <v>20965848000162</v>
      </c>
      <c r="I430" s="462">
        <v>41870</v>
      </c>
      <c r="J430" s="457">
        <v>52677311</v>
      </c>
      <c r="K430" s="454" t="s">
        <v>4615</v>
      </c>
      <c r="L430" s="458" t="s">
        <v>1446</v>
      </c>
      <c r="M430" s="454" t="s">
        <v>3730</v>
      </c>
      <c r="N430" s="459">
        <v>2875050</v>
      </c>
      <c r="O430" s="460">
        <v>38594509</v>
      </c>
      <c r="P430" s="462">
        <v>86055</v>
      </c>
      <c r="Q430" s="462">
        <v>91</v>
      </c>
      <c r="R430" s="462">
        <v>43911</v>
      </c>
      <c r="S430" s="463">
        <v>171</v>
      </c>
      <c r="T430" s="464">
        <v>3.6</v>
      </c>
      <c r="U430" s="465">
        <v>615.6</v>
      </c>
      <c r="V430" s="465">
        <v>10800</v>
      </c>
      <c r="W430" s="466">
        <v>0</v>
      </c>
      <c r="X430" s="467">
        <v>1</v>
      </c>
      <c r="Y430" s="466">
        <v>17123.400000000001</v>
      </c>
      <c r="Z430" s="468" t="s">
        <v>516</v>
      </c>
      <c r="AA430" s="466">
        <v>84976.2</v>
      </c>
      <c r="AB430" s="466">
        <v>84976.2</v>
      </c>
      <c r="AC430" s="467">
        <v>0</v>
      </c>
      <c r="AD430" s="466">
        <v>0</v>
      </c>
      <c r="AE430" s="468" t="s">
        <v>516</v>
      </c>
      <c r="AF430" s="466">
        <v>0</v>
      </c>
      <c r="AG430" s="466">
        <v>0</v>
      </c>
      <c r="AH430" s="466">
        <v>7332.41</v>
      </c>
      <c r="AI430" s="466">
        <v>90.56</v>
      </c>
      <c r="AJ430" s="469" t="s">
        <v>1438</v>
      </c>
      <c r="AK430" s="470" t="s">
        <v>12345</v>
      </c>
      <c r="AL430" s="471" t="s">
        <v>4616</v>
      </c>
      <c r="AM430" s="470" t="s">
        <v>4617</v>
      </c>
      <c r="AN430" s="470" t="s">
        <v>1385</v>
      </c>
      <c r="AO430" s="470" t="s">
        <v>4618</v>
      </c>
      <c r="AP430" s="470" t="s">
        <v>4619</v>
      </c>
      <c r="AQ430" s="470" t="s">
        <v>4612</v>
      </c>
      <c r="AR430" s="472" t="s">
        <v>515</v>
      </c>
      <c r="AS430" s="473" t="s">
        <v>1385</v>
      </c>
      <c r="AT430" s="472" t="s">
        <v>4613</v>
      </c>
      <c r="AU430" s="472" t="s">
        <v>420</v>
      </c>
      <c r="AV430" s="472">
        <v>2020</v>
      </c>
      <c r="AW430" s="474" t="s">
        <v>15078</v>
      </c>
      <c r="AX430" s="475" t="s">
        <v>15079</v>
      </c>
      <c r="AY430" s="515">
        <v>1</v>
      </c>
      <c r="AZ430" s="474" t="s">
        <v>15079</v>
      </c>
      <c r="BA430" s="472" t="s">
        <v>4613</v>
      </c>
      <c r="BB430" s="472" t="s">
        <v>1385</v>
      </c>
      <c r="BC430" s="472" t="s">
        <v>1385</v>
      </c>
      <c r="BD430" s="472" t="s">
        <v>1385</v>
      </c>
      <c r="BE430" s="472" t="s">
        <v>1385</v>
      </c>
      <c r="BF430" s="472">
        <v>17123.400000000001</v>
      </c>
      <c r="BG430" s="472">
        <v>0</v>
      </c>
      <c r="BH430" s="472" t="s">
        <v>1385</v>
      </c>
      <c r="BI430" s="510">
        <v>0</v>
      </c>
      <c r="BJ430" s="510">
        <v>0</v>
      </c>
      <c r="BK430" s="510">
        <v>0</v>
      </c>
      <c r="BL430" s="510">
        <v>0</v>
      </c>
      <c r="BM430" s="510">
        <v>0</v>
      </c>
      <c r="BN430" s="510">
        <v>2000</v>
      </c>
      <c r="BO430" s="510">
        <v>0</v>
      </c>
      <c r="BP430" s="510">
        <v>0</v>
      </c>
      <c r="BQ430" s="510">
        <v>0</v>
      </c>
      <c r="BR430" s="510">
        <v>0</v>
      </c>
      <c r="BS430" s="510">
        <v>0</v>
      </c>
      <c r="BT430" s="510">
        <v>0</v>
      </c>
      <c r="BU430" s="510">
        <v>0</v>
      </c>
      <c r="BV430" s="510">
        <v>0</v>
      </c>
      <c r="BW430" s="510">
        <v>0</v>
      </c>
      <c r="BX430" s="510">
        <v>30000</v>
      </c>
      <c r="BY430" s="1011">
        <v>0</v>
      </c>
      <c r="BZ430" s="510">
        <v>0</v>
      </c>
      <c r="CA430" s="1011">
        <v>0</v>
      </c>
      <c r="CB430" s="510">
        <v>0</v>
      </c>
      <c r="CC430" s="1011">
        <v>0</v>
      </c>
      <c r="CD430" s="510">
        <v>0</v>
      </c>
      <c r="CE430" s="1011">
        <v>0</v>
      </c>
      <c r="CF430" s="510">
        <v>37852.800000000003</v>
      </c>
      <c r="CG430" s="1011">
        <v>0</v>
      </c>
      <c r="CH430" s="510">
        <v>0</v>
      </c>
      <c r="CI430" s="1011">
        <v>0</v>
      </c>
    </row>
    <row r="431" spans="1:87" x14ac:dyDescent="0.2">
      <c r="A431" s="449">
        <v>137</v>
      </c>
      <c r="B431" s="453">
        <v>19484</v>
      </c>
      <c r="C431" s="454" t="s">
        <v>4620</v>
      </c>
      <c r="D431" s="454" t="s">
        <v>1390</v>
      </c>
      <c r="E431" s="454" t="s">
        <v>4621</v>
      </c>
      <c r="F431" s="454" t="s">
        <v>528</v>
      </c>
      <c r="G431" s="454" t="s">
        <v>13044</v>
      </c>
      <c r="H431" s="455">
        <v>18026999000103</v>
      </c>
      <c r="I431" s="462">
        <v>41379</v>
      </c>
      <c r="J431" s="457">
        <v>47413409</v>
      </c>
      <c r="K431" s="454" t="s">
        <v>4623</v>
      </c>
      <c r="L431" s="458">
        <v>1140</v>
      </c>
      <c r="M431" s="454" t="s">
        <v>4624</v>
      </c>
      <c r="N431" s="459">
        <v>2992210</v>
      </c>
      <c r="O431" s="460">
        <v>39411056</v>
      </c>
      <c r="P431" s="462">
        <v>58680</v>
      </c>
      <c r="Q431" s="462">
        <v>137</v>
      </c>
      <c r="R431" s="462">
        <v>43938</v>
      </c>
      <c r="S431" s="463">
        <v>407</v>
      </c>
      <c r="T431" s="464">
        <v>3.6</v>
      </c>
      <c r="U431" s="465">
        <v>1465.2</v>
      </c>
      <c r="V431" s="465">
        <v>15120</v>
      </c>
      <c r="W431" s="466">
        <v>0</v>
      </c>
      <c r="X431" s="467">
        <v>1</v>
      </c>
      <c r="Y431" s="466">
        <v>24877.8</v>
      </c>
      <c r="Z431" s="468" t="s">
        <v>516</v>
      </c>
      <c r="AA431" s="466">
        <v>103249.8</v>
      </c>
      <c r="AB431" s="466">
        <v>103249.8</v>
      </c>
      <c r="AC431" s="467">
        <v>0</v>
      </c>
      <c r="AD431" s="466">
        <v>0</v>
      </c>
      <c r="AE431" s="468" t="s">
        <v>516</v>
      </c>
      <c r="AF431" s="466">
        <v>0</v>
      </c>
      <c r="AG431" s="466">
        <v>0</v>
      </c>
      <c r="AH431" s="466">
        <v>10056.9</v>
      </c>
      <c r="AI431" s="466">
        <v>7881.12</v>
      </c>
      <c r="AJ431" s="469" t="s">
        <v>1588</v>
      </c>
      <c r="AK431" s="470" t="s">
        <v>4400</v>
      </c>
      <c r="AL431" s="471" t="s">
        <v>4625</v>
      </c>
      <c r="AM431" s="470" t="s">
        <v>13045</v>
      </c>
      <c r="AN431" s="470" t="s">
        <v>4622</v>
      </c>
      <c r="AO431" s="470" t="s">
        <v>13046</v>
      </c>
      <c r="AP431" s="470" t="s">
        <v>4623</v>
      </c>
      <c r="AQ431" s="470" t="s">
        <v>4620</v>
      </c>
      <c r="AR431" s="472" t="s">
        <v>515</v>
      </c>
      <c r="AS431" s="473" t="s">
        <v>1385</v>
      </c>
      <c r="AT431" s="472" t="s">
        <v>1390</v>
      </c>
      <c r="AU431" s="472" t="s">
        <v>420</v>
      </c>
      <c r="AV431" s="472">
        <v>2020</v>
      </c>
      <c r="AW431" s="474" t="s">
        <v>15078</v>
      </c>
      <c r="AX431" s="475" t="s">
        <v>15079</v>
      </c>
      <c r="AY431" s="515">
        <v>1</v>
      </c>
      <c r="AZ431" s="474" t="s">
        <v>15079</v>
      </c>
      <c r="BA431" s="472" t="s">
        <v>1390</v>
      </c>
      <c r="BB431" s="472" t="s">
        <v>1385</v>
      </c>
      <c r="BC431" s="472" t="s">
        <v>1385</v>
      </c>
      <c r="BD431" s="472" t="s">
        <v>1385</v>
      </c>
      <c r="BE431" s="472" t="s">
        <v>1385</v>
      </c>
      <c r="BF431" s="472">
        <v>24877.8</v>
      </c>
      <c r="BG431" s="472">
        <v>0</v>
      </c>
      <c r="BH431" s="472" t="s">
        <v>1385</v>
      </c>
      <c r="BI431" s="510">
        <v>0</v>
      </c>
      <c r="BJ431" s="510">
        <v>0</v>
      </c>
      <c r="BK431" s="510">
        <v>0</v>
      </c>
      <c r="BL431" s="510">
        <v>0</v>
      </c>
      <c r="BM431" s="510">
        <v>0</v>
      </c>
      <c r="BN431" s="510">
        <v>4000</v>
      </c>
      <c r="BO431" s="510">
        <v>0</v>
      </c>
      <c r="BP431" s="510">
        <v>0</v>
      </c>
      <c r="BQ431" s="510">
        <v>0</v>
      </c>
      <c r="BR431" s="510">
        <v>0</v>
      </c>
      <c r="BS431" s="510">
        <v>0</v>
      </c>
      <c r="BT431" s="510">
        <v>0</v>
      </c>
      <c r="BU431" s="510">
        <v>0</v>
      </c>
      <c r="BV431" s="510">
        <v>0</v>
      </c>
      <c r="BW431" s="510">
        <v>0</v>
      </c>
      <c r="BX431" s="510">
        <v>30000</v>
      </c>
      <c r="BY431" s="1011">
        <v>0</v>
      </c>
      <c r="BZ431" s="510">
        <v>0</v>
      </c>
      <c r="CA431" s="1011">
        <v>0</v>
      </c>
      <c r="CB431" s="510">
        <v>0</v>
      </c>
      <c r="CC431" s="1011">
        <v>0</v>
      </c>
      <c r="CD431" s="510">
        <v>0</v>
      </c>
      <c r="CE431" s="1011">
        <v>0</v>
      </c>
      <c r="CF431" s="510">
        <v>48372</v>
      </c>
      <c r="CG431" s="1011">
        <v>0</v>
      </c>
      <c r="CH431" s="510">
        <v>0</v>
      </c>
      <c r="CI431" s="1011">
        <v>0</v>
      </c>
    </row>
    <row r="432" spans="1:87" x14ac:dyDescent="0.2">
      <c r="A432" s="449">
        <v>98</v>
      </c>
      <c r="B432" s="453">
        <v>19485</v>
      </c>
      <c r="C432" s="454" t="s">
        <v>4626</v>
      </c>
      <c r="D432" s="454" t="s">
        <v>1390</v>
      </c>
      <c r="E432" s="454" t="s">
        <v>4627</v>
      </c>
      <c r="F432" s="454" t="s">
        <v>523</v>
      </c>
      <c r="G432" s="454" t="s">
        <v>13047</v>
      </c>
      <c r="H432" s="455">
        <v>18124929000198</v>
      </c>
      <c r="I432" s="462">
        <v>41400</v>
      </c>
      <c r="J432" s="457">
        <v>47799242</v>
      </c>
      <c r="K432" s="454" t="s">
        <v>4628</v>
      </c>
      <c r="L432" s="458" t="s">
        <v>1446</v>
      </c>
      <c r="M432" s="454" t="s">
        <v>4629</v>
      </c>
      <c r="N432" s="459">
        <v>8490640</v>
      </c>
      <c r="O432" s="460">
        <v>21533282</v>
      </c>
      <c r="P432" s="462">
        <v>261192</v>
      </c>
      <c r="Q432" s="462">
        <v>98</v>
      </c>
      <c r="R432" s="462">
        <v>43921</v>
      </c>
      <c r="S432" s="463">
        <v>355</v>
      </c>
      <c r="T432" s="464">
        <v>3.6</v>
      </c>
      <c r="U432" s="465">
        <v>1278</v>
      </c>
      <c r="V432" s="465">
        <v>13680</v>
      </c>
      <c r="W432" s="466">
        <v>0</v>
      </c>
      <c r="X432" s="467">
        <v>1</v>
      </c>
      <c r="Y432" s="466">
        <v>22437</v>
      </c>
      <c r="Z432" s="468" t="s">
        <v>516</v>
      </c>
      <c r="AA432" s="466">
        <v>97252.2</v>
      </c>
      <c r="AB432" s="466">
        <v>97252.2</v>
      </c>
      <c r="AC432" s="467">
        <v>0</v>
      </c>
      <c r="AD432" s="466">
        <v>0</v>
      </c>
      <c r="AE432" s="468" t="s">
        <v>516</v>
      </c>
      <c r="AF432" s="466">
        <v>0</v>
      </c>
      <c r="AG432" s="466">
        <v>0</v>
      </c>
      <c r="AH432" s="466">
        <v>16912.11</v>
      </c>
      <c r="AI432" s="466">
        <v>3638.18</v>
      </c>
      <c r="AJ432" s="469" t="s">
        <v>1395</v>
      </c>
      <c r="AK432" s="470" t="s">
        <v>523</v>
      </c>
      <c r="AL432" s="471" t="s">
        <v>4630</v>
      </c>
      <c r="AM432" s="470" t="s">
        <v>4631</v>
      </c>
      <c r="AN432" s="470" t="s">
        <v>4632</v>
      </c>
      <c r="AO432" s="470" t="s">
        <v>13048</v>
      </c>
      <c r="AP432" s="470" t="s">
        <v>4633</v>
      </c>
      <c r="AQ432" s="470" t="s">
        <v>4626</v>
      </c>
      <c r="AR432" s="472" t="s">
        <v>515</v>
      </c>
      <c r="AS432" s="473" t="s">
        <v>1385</v>
      </c>
      <c r="AT432" s="472" t="s">
        <v>1390</v>
      </c>
      <c r="AU432" s="472" t="s">
        <v>420</v>
      </c>
      <c r="AV432" s="472">
        <v>2020</v>
      </c>
      <c r="AW432" s="474" t="s">
        <v>15078</v>
      </c>
      <c r="AX432" s="475" t="s">
        <v>15079</v>
      </c>
      <c r="AY432" s="515">
        <v>1</v>
      </c>
      <c r="AZ432" s="474" t="s">
        <v>15079</v>
      </c>
      <c r="BA432" s="472" t="s">
        <v>1390</v>
      </c>
      <c r="BB432" s="472" t="s">
        <v>1385</v>
      </c>
      <c r="BC432" s="472" t="s">
        <v>1385</v>
      </c>
      <c r="BD432" s="472" t="s">
        <v>1385</v>
      </c>
      <c r="BE432" s="472" t="s">
        <v>1385</v>
      </c>
      <c r="BF432" s="472">
        <v>22437</v>
      </c>
      <c r="BG432" s="472">
        <v>0</v>
      </c>
      <c r="BH432" s="472" t="s">
        <v>1385</v>
      </c>
      <c r="BI432" s="510">
        <v>0</v>
      </c>
      <c r="BJ432" s="510">
        <v>0</v>
      </c>
      <c r="BK432" s="510">
        <v>0</v>
      </c>
      <c r="BL432" s="510">
        <v>0</v>
      </c>
      <c r="BM432" s="510">
        <v>0</v>
      </c>
      <c r="BN432" s="510">
        <v>3500</v>
      </c>
      <c r="BO432" s="510">
        <v>0</v>
      </c>
      <c r="BP432" s="510">
        <v>0</v>
      </c>
      <c r="BQ432" s="510">
        <v>0</v>
      </c>
      <c r="BR432" s="510">
        <v>0</v>
      </c>
      <c r="BS432" s="510">
        <v>0</v>
      </c>
      <c r="BT432" s="510">
        <v>0</v>
      </c>
      <c r="BU432" s="510">
        <v>0</v>
      </c>
      <c r="BV432" s="510">
        <v>0</v>
      </c>
      <c r="BW432" s="510">
        <v>0</v>
      </c>
      <c r="BX432" s="510">
        <v>30000</v>
      </c>
      <c r="BY432" s="1011">
        <v>0</v>
      </c>
      <c r="BZ432" s="510">
        <v>0</v>
      </c>
      <c r="CA432" s="1011">
        <v>0</v>
      </c>
      <c r="CB432" s="510">
        <v>0</v>
      </c>
      <c r="CC432" s="1011">
        <v>0</v>
      </c>
      <c r="CD432" s="510">
        <v>0</v>
      </c>
      <c r="CE432" s="1011">
        <v>0</v>
      </c>
      <c r="CF432" s="510">
        <v>44815.199999999997</v>
      </c>
      <c r="CG432" s="1011">
        <v>0</v>
      </c>
      <c r="CH432" s="510">
        <v>0</v>
      </c>
      <c r="CI432" s="1011">
        <v>0</v>
      </c>
    </row>
    <row r="433" spans="1:87" x14ac:dyDescent="0.2">
      <c r="A433" s="449">
        <v>138</v>
      </c>
      <c r="B433" s="453">
        <v>19486</v>
      </c>
      <c r="C433" s="454" t="s">
        <v>4634</v>
      </c>
      <c r="D433" s="454" t="s">
        <v>1390</v>
      </c>
      <c r="E433" s="454" t="s">
        <v>4635</v>
      </c>
      <c r="F433" s="454" t="s">
        <v>528</v>
      </c>
      <c r="G433" s="454" t="s">
        <v>13049</v>
      </c>
      <c r="H433" s="455">
        <v>20891745000103</v>
      </c>
      <c r="I433" s="462">
        <v>41856</v>
      </c>
      <c r="J433" s="457">
        <v>50919954</v>
      </c>
      <c r="K433" s="454" t="s">
        <v>4637</v>
      </c>
      <c r="L433" s="458">
        <v>148</v>
      </c>
      <c r="M433" s="454" t="s">
        <v>4638</v>
      </c>
      <c r="N433" s="459">
        <v>2996195</v>
      </c>
      <c r="O433" s="460">
        <v>39441087</v>
      </c>
      <c r="P433" s="462">
        <v>256849</v>
      </c>
      <c r="Q433" s="462">
        <v>138</v>
      </c>
      <c r="R433" s="462">
        <v>43938</v>
      </c>
      <c r="S433" s="463">
        <v>303</v>
      </c>
      <c r="T433" s="464">
        <v>3.6</v>
      </c>
      <c r="U433" s="465">
        <v>1090.8</v>
      </c>
      <c r="V433" s="465">
        <v>13680</v>
      </c>
      <c r="W433" s="466">
        <v>0</v>
      </c>
      <c r="X433" s="467">
        <v>1</v>
      </c>
      <c r="Y433" s="466">
        <v>22156.2</v>
      </c>
      <c r="Z433" s="468" t="s">
        <v>516</v>
      </c>
      <c r="AA433" s="466">
        <v>96755.4</v>
      </c>
      <c r="AB433" s="466">
        <v>96755.4</v>
      </c>
      <c r="AC433" s="467">
        <v>0</v>
      </c>
      <c r="AD433" s="466">
        <v>0</v>
      </c>
      <c r="AE433" s="468" t="s">
        <v>516</v>
      </c>
      <c r="AF433" s="466">
        <v>2000</v>
      </c>
      <c r="AG433" s="466">
        <v>2000</v>
      </c>
      <c r="AH433" s="466">
        <v>20773.419999999998</v>
      </c>
      <c r="AI433" s="466">
        <v>4113.28</v>
      </c>
      <c r="AJ433" s="469" t="s">
        <v>4639</v>
      </c>
      <c r="AK433" s="470" t="s">
        <v>1423</v>
      </c>
      <c r="AL433" s="471" t="s">
        <v>4640</v>
      </c>
      <c r="AM433" s="470" t="s">
        <v>4641</v>
      </c>
      <c r="AN433" s="470" t="s">
        <v>4636</v>
      </c>
      <c r="AO433" s="470" t="s">
        <v>13050</v>
      </c>
      <c r="AP433" s="470" t="s">
        <v>4642</v>
      </c>
      <c r="AQ433" s="470" t="s">
        <v>4634</v>
      </c>
      <c r="AR433" s="472" t="s">
        <v>515</v>
      </c>
      <c r="AS433" s="473" t="s">
        <v>1385</v>
      </c>
      <c r="AT433" s="472" t="s">
        <v>1390</v>
      </c>
      <c r="AU433" s="472" t="s">
        <v>420</v>
      </c>
      <c r="AV433" s="472">
        <v>2020</v>
      </c>
      <c r="AW433" s="474" t="s">
        <v>15078</v>
      </c>
      <c r="AX433" s="475" t="s">
        <v>15079</v>
      </c>
      <c r="AY433" s="515">
        <v>1</v>
      </c>
      <c r="AZ433" s="474" t="s">
        <v>15079</v>
      </c>
      <c r="BA433" s="472" t="s">
        <v>1390</v>
      </c>
      <c r="BB433" s="472" t="s">
        <v>1385</v>
      </c>
      <c r="BC433" s="472" t="s">
        <v>1385</v>
      </c>
      <c r="BD433" s="472" t="s">
        <v>1385</v>
      </c>
      <c r="BE433" s="472" t="s">
        <v>1385</v>
      </c>
      <c r="BF433" s="472">
        <v>22156.2</v>
      </c>
      <c r="BG433" s="472">
        <v>0</v>
      </c>
      <c r="BH433" s="472" t="s">
        <v>1385</v>
      </c>
      <c r="BI433" s="510">
        <v>0</v>
      </c>
      <c r="BJ433" s="510">
        <v>0</v>
      </c>
      <c r="BK433" s="510">
        <v>0</v>
      </c>
      <c r="BL433" s="510">
        <v>0</v>
      </c>
      <c r="BM433" s="510">
        <v>0</v>
      </c>
      <c r="BN433" s="510">
        <v>3500</v>
      </c>
      <c r="BO433" s="510">
        <v>0</v>
      </c>
      <c r="BP433" s="510">
        <v>2000</v>
      </c>
      <c r="BQ433" s="510">
        <v>0</v>
      </c>
      <c r="BR433" s="510">
        <v>0</v>
      </c>
      <c r="BS433" s="510">
        <v>0</v>
      </c>
      <c r="BT433" s="510">
        <v>0</v>
      </c>
      <c r="BU433" s="510">
        <v>0</v>
      </c>
      <c r="BV433" s="510">
        <v>0</v>
      </c>
      <c r="BW433" s="510">
        <v>0</v>
      </c>
      <c r="BX433" s="510">
        <v>30000</v>
      </c>
      <c r="BY433" s="1011">
        <v>0</v>
      </c>
      <c r="BZ433" s="510">
        <v>0</v>
      </c>
      <c r="CA433" s="1011">
        <v>0</v>
      </c>
      <c r="CB433" s="510">
        <v>0</v>
      </c>
      <c r="CC433" s="1011">
        <v>0</v>
      </c>
      <c r="CD433" s="510">
        <v>0</v>
      </c>
      <c r="CE433" s="1011">
        <v>0</v>
      </c>
      <c r="CF433" s="510">
        <v>44599.199999999997</v>
      </c>
      <c r="CG433" s="1011">
        <v>0</v>
      </c>
      <c r="CH433" s="510">
        <v>0</v>
      </c>
      <c r="CI433" s="1011">
        <v>0</v>
      </c>
    </row>
    <row r="434" spans="1:87" x14ac:dyDescent="0.2">
      <c r="A434" s="449">
        <v>144</v>
      </c>
      <c r="B434" s="453">
        <v>19487</v>
      </c>
      <c r="C434" s="454" t="s">
        <v>4643</v>
      </c>
      <c r="D434" s="454" t="s">
        <v>517</v>
      </c>
      <c r="E434" s="454" t="s">
        <v>4644</v>
      </c>
      <c r="F434" s="454" t="s">
        <v>528</v>
      </c>
      <c r="G434" s="454" t="s">
        <v>13051</v>
      </c>
      <c r="H434" s="455">
        <v>23341257000102</v>
      </c>
      <c r="I434" s="462">
        <v>42235</v>
      </c>
      <c r="J434" s="457">
        <v>53752775</v>
      </c>
      <c r="K434" s="454" t="s">
        <v>4645</v>
      </c>
      <c r="L434" s="458">
        <v>87</v>
      </c>
      <c r="M434" s="454" t="s">
        <v>4646</v>
      </c>
      <c r="N434" s="459">
        <v>5164015</v>
      </c>
      <c r="O434" s="460">
        <v>39015870</v>
      </c>
      <c r="P434" s="462">
        <v>213813</v>
      </c>
      <c r="Q434" s="462">
        <v>144</v>
      </c>
      <c r="R434" s="462">
        <v>43938</v>
      </c>
      <c r="S434" s="463">
        <v>719</v>
      </c>
      <c r="T434" s="464">
        <v>5.4</v>
      </c>
      <c r="U434" s="465">
        <v>3882.6</v>
      </c>
      <c r="V434" s="465">
        <v>18720</v>
      </c>
      <c r="W434" s="466">
        <v>0</v>
      </c>
      <c r="X434" s="467">
        <v>1</v>
      </c>
      <c r="Y434" s="466">
        <v>33903.9</v>
      </c>
      <c r="Z434" s="468" t="s">
        <v>516</v>
      </c>
      <c r="AA434" s="466">
        <v>131508.70000000001</v>
      </c>
      <c r="AB434" s="466">
        <v>131508.70000000001</v>
      </c>
      <c r="AC434" s="467">
        <v>0</v>
      </c>
      <c r="AD434" s="466">
        <v>0</v>
      </c>
      <c r="AE434" s="468" t="s">
        <v>516</v>
      </c>
      <c r="AF434" s="466">
        <v>2000</v>
      </c>
      <c r="AG434" s="466">
        <v>2000</v>
      </c>
      <c r="AH434" s="466">
        <v>8492.48</v>
      </c>
      <c r="AI434" s="466">
        <v>5540.65</v>
      </c>
      <c r="AJ434" s="469" t="s">
        <v>1422</v>
      </c>
      <c r="AK434" s="470" t="s">
        <v>1423</v>
      </c>
      <c r="AL434" s="471" t="s">
        <v>4647</v>
      </c>
      <c r="AM434" s="470" t="s">
        <v>4648</v>
      </c>
      <c r="AN434" s="470" t="s">
        <v>280</v>
      </c>
      <c r="AO434" s="470" t="s">
        <v>13052</v>
      </c>
      <c r="AP434" s="470" t="s">
        <v>4649</v>
      </c>
      <c r="AQ434" s="470" t="s">
        <v>4643</v>
      </c>
      <c r="AR434" s="472" t="s">
        <v>515</v>
      </c>
      <c r="AS434" s="473" t="s">
        <v>1385</v>
      </c>
      <c r="AT434" s="472" t="s">
        <v>517</v>
      </c>
      <c r="AU434" s="472" t="s">
        <v>420</v>
      </c>
      <c r="AV434" s="472">
        <v>2020</v>
      </c>
      <c r="AW434" s="474" t="s">
        <v>15078</v>
      </c>
      <c r="AX434" s="475" t="s">
        <v>15079</v>
      </c>
      <c r="AY434" s="515">
        <v>1</v>
      </c>
      <c r="AZ434" s="474" t="s">
        <v>15079</v>
      </c>
      <c r="BA434" s="472" t="s">
        <v>517</v>
      </c>
      <c r="BB434" s="472" t="s">
        <v>1385</v>
      </c>
      <c r="BC434" s="472" t="s">
        <v>1385</v>
      </c>
      <c r="BD434" s="472" t="s">
        <v>1385</v>
      </c>
      <c r="BE434" s="472" t="s">
        <v>1385</v>
      </c>
      <c r="BF434" s="472">
        <v>33903.9</v>
      </c>
      <c r="BG434" s="472">
        <v>0</v>
      </c>
      <c r="BH434" s="472" t="s">
        <v>1385</v>
      </c>
      <c r="BI434" s="510">
        <v>0</v>
      </c>
      <c r="BJ434" s="510">
        <v>0</v>
      </c>
      <c r="BK434" s="510">
        <v>0</v>
      </c>
      <c r="BL434" s="510">
        <v>2621.97</v>
      </c>
      <c r="BM434" s="510">
        <v>0</v>
      </c>
      <c r="BN434" s="510">
        <v>5000</v>
      </c>
      <c r="BO434" s="510">
        <v>0</v>
      </c>
      <c r="BP434" s="510">
        <v>2000</v>
      </c>
      <c r="BQ434" s="510">
        <v>0</v>
      </c>
      <c r="BR434" s="510">
        <v>0</v>
      </c>
      <c r="BS434" s="510">
        <v>0</v>
      </c>
      <c r="BT434" s="510">
        <v>0</v>
      </c>
      <c r="BU434" s="510">
        <v>0</v>
      </c>
      <c r="BV434" s="510">
        <v>0</v>
      </c>
      <c r="BW434" s="510">
        <v>0</v>
      </c>
      <c r="BX434" s="510">
        <v>30000</v>
      </c>
      <c r="BY434" s="1011">
        <v>0</v>
      </c>
      <c r="BZ434" s="510">
        <v>0</v>
      </c>
      <c r="CA434" s="1011">
        <v>0</v>
      </c>
      <c r="CB434" s="510">
        <v>22000</v>
      </c>
      <c r="CC434" s="1011">
        <v>0</v>
      </c>
      <c r="CD434" s="510">
        <v>0</v>
      </c>
      <c r="CE434" s="1011">
        <v>0</v>
      </c>
      <c r="CF434" s="510">
        <v>45604.800000000003</v>
      </c>
      <c r="CG434" s="1011">
        <v>0</v>
      </c>
      <c r="CH434" s="510">
        <v>0</v>
      </c>
      <c r="CI434" s="1011">
        <v>0</v>
      </c>
    </row>
    <row r="435" spans="1:87" x14ac:dyDescent="0.2">
      <c r="A435" s="449">
        <v>54</v>
      </c>
      <c r="B435" s="453">
        <v>19488</v>
      </c>
      <c r="C435" s="454" t="s">
        <v>4650</v>
      </c>
      <c r="D435" s="454" t="s">
        <v>517</v>
      </c>
      <c r="E435" s="454" t="s">
        <v>4651</v>
      </c>
      <c r="F435" s="454" t="s">
        <v>525</v>
      </c>
      <c r="G435" s="454" t="s">
        <v>13053</v>
      </c>
      <c r="H435" s="455">
        <v>4037167000188</v>
      </c>
      <c r="I435" s="462">
        <v>36741</v>
      </c>
      <c r="J435" s="457">
        <v>37605070</v>
      </c>
      <c r="K435" s="454" t="s">
        <v>4652</v>
      </c>
      <c r="L435" s="458">
        <v>15</v>
      </c>
      <c r="M435" s="454" t="s">
        <v>2594</v>
      </c>
      <c r="N435" s="459">
        <v>2169260</v>
      </c>
      <c r="O435" s="460">
        <v>26351959</v>
      </c>
      <c r="P435" s="462">
        <v>332863</v>
      </c>
      <c r="Q435" s="462">
        <v>54</v>
      </c>
      <c r="R435" s="462">
        <v>43950</v>
      </c>
      <c r="S435" s="463">
        <v>1155</v>
      </c>
      <c r="T435" s="464">
        <v>5.4</v>
      </c>
      <c r="U435" s="465">
        <v>6237</v>
      </c>
      <c r="V435" s="465">
        <v>20340</v>
      </c>
      <c r="W435" s="466">
        <v>0</v>
      </c>
      <c r="X435" s="467">
        <v>1</v>
      </c>
      <c r="Y435" s="466">
        <v>39865.5</v>
      </c>
      <c r="Z435" s="468" t="s">
        <v>516</v>
      </c>
      <c r="AA435" s="466">
        <v>148896.70000000001</v>
      </c>
      <c r="AB435" s="466">
        <v>148896.70000000001</v>
      </c>
      <c r="AC435" s="467">
        <v>0</v>
      </c>
      <c r="AD435" s="466">
        <v>0</v>
      </c>
      <c r="AE435" s="468" t="s">
        <v>516</v>
      </c>
      <c r="AF435" s="466">
        <v>2000</v>
      </c>
      <c r="AG435" s="466">
        <v>2000</v>
      </c>
      <c r="AH435" s="466">
        <v>1741.75</v>
      </c>
      <c r="AI435" s="466">
        <v>5614.35</v>
      </c>
      <c r="AJ435" s="469" t="s">
        <v>1448</v>
      </c>
      <c r="AK435" s="470" t="s">
        <v>1449</v>
      </c>
      <c r="AL435" s="471" t="s">
        <v>4653</v>
      </c>
      <c r="AM435" s="470" t="s">
        <v>13054</v>
      </c>
      <c r="AN435" s="470" t="s">
        <v>4654</v>
      </c>
      <c r="AO435" s="470" t="s">
        <v>4655</v>
      </c>
      <c r="AP435" s="470" t="s">
        <v>4656</v>
      </c>
      <c r="AQ435" s="470" t="s">
        <v>4650</v>
      </c>
      <c r="AR435" s="472" t="s">
        <v>515</v>
      </c>
      <c r="AS435" s="473" t="s">
        <v>1385</v>
      </c>
      <c r="AT435" s="472" t="s">
        <v>517</v>
      </c>
      <c r="AU435" s="472" t="s">
        <v>420</v>
      </c>
      <c r="AV435" s="472">
        <v>2020</v>
      </c>
      <c r="AW435" s="474" t="s">
        <v>15078</v>
      </c>
      <c r="AX435" s="475" t="s">
        <v>15079</v>
      </c>
      <c r="AY435" s="515">
        <v>1</v>
      </c>
      <c r="AZ435" s="474" t="s">
        <v>15079</v>
      </c>
      <c r="BA435" s="472" t="s">
        <v>517</v>
      </c>
      <c r="BB435" s="472" t="s">
        <v>1385</v>
      </c>
      <c r="BC435" s="472" t="s">
        <v>1385</v>
      </c>
      <c r="BD435" s="472" t="s">
        <v>1385</v>
      </c>
      <c r="BE435" s="472" t="s">
        <v>1385</v>
      </c>
      <c r="BF435" s="472">
        <v>39865.5</v>
      </c>
      <c r="BG435" s="472">
        <v>0</v>
      </c>
      <c r="BH435" s="472" t="s">
        <v>1385</v>
      </c>
      <c r="BI435" s="510">
        <v>0</v>
      </c>
      <c r="BJ435" s="510">
        <v>0</v>
      </c>
      <c r="BK435" s="510">
        <v>0</v>
      </c>
      <c r="BL435" s="510">
        <v>0</v>
      </c>
      <c r="BM435" s="510">
        <v>0</v>
      </c>
      <c r="BN435" s="510">
        <v>5000</v>
      </c>
      <c r="BO435" s="510">
        <v>0</v>
      </c>
      <c r="BP435" s="510">
        <v>2000</v>
      </c>
      <c r="BQ435" s="510">
        <v>0</v>
      </c>
      <c r="BR435" s="510">
        <v>0</v>
      </c>
      <c r="BS435" s="510">
        <v>0</v>
      </c>
      <c r="BT435" s="510">
        <v>0</v>
      </c>
      <c r="BU435" s="510">
        <v>2500</v>
      </c>
      <c r="BV435" s="510">
        <v>2500</v>
      </c>
      <c r="BW435" s="510">
        <v>0</v>
      </c>
      <c r="BX435" s="510">
        <v>30000</v>
      </c>
      <c r="BY435" s="1011">
        <v>0</v>
      </c>
      <c r="BZ435" s="510">
        <v>0</v>
      </c>
      <c r="CA435" s="1011">
        <v>0</v>
      </c>
      <c r="CB435" s="510">
        <v>22000</v>
      </c>
      <c r="CC435" s="1011">
        <v>0</v>
      </c>
      <c r="CD435" s="510">
        <v>0</v>
      </c>
      <c r="CE435" s="1011">
        <v>0</v>
      </c>
      <c r="CF435" s="510">
        <v>57031.199999999997</v>
      </c>
      <c r="CG435" s="1011">
        <v>0</v>
      </c>
      <c r="CH435" s="510">
        <v>0</v>
      </c>
      <c r="CI435" s="1011">
        <v>0</v>
      </c>
    </row>
    <row r="436" spans="1:87" x14ac:dyDescent="0.2">
      <c r="A436" s="449">
        <v>128</v>
      </c>
      <c r="B436" s="453">
        <v>19489</v>
      </c>
      <c r="C436" s="454" t="s">
        <v>4657</v>
      </c>
      <c r="D436" s="454" t="s">
        <v>1390</v>
      </c>
      <c r="E436" s="454" t="s">
        <v>4658</v>
      </c>
      <c r="F436" s="454" t="s">
        <v>526</v>
      </c>
      <c r="G436" s="454" t="s">
        <v>13055</v>
      </c>
      <c r="H436" s="455">
        <v>18418500000103</v>
      </c>
      <c r="I436" s="462">
        <v>41450</v>
      </c>
      <c r="J436" s="457">
        <v>53199200</v>
      </c>
      <c r="K436" s="454" t="s">
        <v>4659</v>
      </c>
      <c r="L436" s="458" t="s">
        <v>1446</v>
      </c>
      <c r="M436" s="454" t="s">
        <v>4063</v>
      </c>
      <c r="N436" s="459">
        <v>8150040</v>
      </c>
      <c r="O436" s="460">
        <v>20358153</v>
      </c>
      <c r="P436" s="462">
        <v>140964</v>
      </c>
      <c r="Q436" s="462">
        <v>128</v>
      </c>
      <c r="R436" s="462">
        <v>43928</v>
      </c>
      <c r="S436" s="463">
        <v>418</v>
      </c>
      <c r="T436" s="464">
        <v>3.6</v>
      </c>
      <c r="U436" s="465">
        <v>1504.8</v>
      </c>
      <c r="V436" s="465">
        <v>15120</v>
      </c>
      <c r="W436" s="466">
        <v>0</v>
      </c>
      <c r="X436" s="467">
        <v>1</v>
      </c>
      <c r="Y436" s="466">
        <v>24937.200000000001</v>
      </c>
      <c r="Z436" s="468" t="s">
        <v>516</v>
      </c>
      <c r="AA436" s="466">
        <v>106794</v>
      </c>
      <c r="AB436" s="466">
        <v>106794</v>
      </c>
      <c r="AC436" s="467">
        <v>0</v>
      </c>
      <c r="AD436" s="466">
        <v>0</v>
      </c>
      <c r="AE436" s="468" t="s">
        <v>516</v>
      </c>
      <c r="AF436" s="466">
        <v>0</v>
      </c>
      <c r="AG436" s="466">
        <v>0</v>
      </c>
      <c r="AH436" s="466">
        <v>17208.68</v>
      </c>
      <c r="AI436" s="466">
        <v>0</v>
      </c>
      <c r="AJ436" s="469" t="s">
        <v>1839</v>
      </c>
      <c r="AK436" s="470" t="s">
        <v>526</v>
      </c>
      <c r="AL436" s="471" t="s">
        <v>4660</v>
      </c>
      <c r="AM436" s="470" t="s">
        <v>13056</v>
      </c>
      <c r="AN436" s="470" t="s">
        <v>1385</v>
      </c>
      <c r="AO436" s="470" t="s">
        <v>4661</v>
      </c>
      <c r="AP436" s="470" t="s">
        <v>4662</v>
      </c>
      <c r="AQ436" s="470" t="s">
        <v>4657</v>
      </c>
      <c r="AR436" s="472" t="s">
        <v>515</v>
      </c>
      <c r="AS436" s="473" t="s">
        <v>1385</v>
      </c>
      <c r="AT436" s="472" t="s">
        <v>1390</v>
      </c>
      <c r="AU436" s="472" t="s">
        <v>420</v>
      </c>
      <c r="AV436" s="472">
        <v>2020</v>
      </c>
      <c r="AW436" s="474" t="s">
        <v>15078</v>
      </c>
      <c r="AX436" s="475" t="s">
        <v>15079</v>
      </c>
      <c r="AY436" s="515">
        <v>1</v>
      </c>
      <c r="AZ436" s="474" t="s">
        <v>15079</v>
      </c>
      <c r="BA436" s="472" t="s">
        <v>1390</v>
      </c>
      <c r="BB436" s="472" t="s">
        <v>1385</v>
      </c>
      <c r="BC436" s="472" t="s">
        <v>1385</v>
      </c>
      <c r="BD436" s="472" t="s">
        <v>1385</v>
      </c>
      <c r="BE436" s="472" t="s">
        <v>1385</v>
      </c>
      <c r="BF436" s="472">
        <v>24937.200000000001</v>
      </c>
      <c r="BG436" s="472">
        <v>0</v>
      </c>
      <c r="BH436" s="472" t="s">
        <v>1385</v>
      </c>
      <c r="BI436" s="510">
        <v>0</v>
      </c>
      <c r="BJ436" s="510">
        <v>0</v>
      </c>
      <c r="BK436" s="510">
        <v>0</v>
      </c>
      <c r="BL436" s="510">
        <v>0</v>
      </c>
      <c r="BM436" s="510">
        <v>0</v>
      </c>
      <c r="BN436" s="510">
        <v>4000</v>
      </c>
      <c r="BO436" s="510">
        <v>0</v>
      </c>
      <c r="BP436" s="510">
        <v>0</v>
      </c>
      <c r="BQ436" s="510">
        <v>0</v>
      </c>
      <c r="BR436" s="510">
        <v>0</v>
      </c>
      <c r="BS436" s="510">
        <v>0</v>
      </c>
      <c r="BT436" s="510">
        <v>0</v>
      </c>
      <c r="BU436" s="510">
        <v>0</v>
      </c>
      <c r="BV436" s="510">
        <v>0</v>
      </c>
      <c r="BW436" s="510">
        <v>0</v>
      </c>
      <c r="BX436" s="510">
        <v>30000</v>
      </c>
      <c r="BY436" s="1011">
        <v>0</v>
      </c>
      <c r="BZ436" s="510">
        <v>0</v>
      </c>
      <c r="CA436" s="1011">
        <v>0</v>
      </c>
      <c r="CB436" s="510">
        <v>0</v>
      </c>
      <c r="CC436" s="1011">
        <v>0</v>
      </c>
      <c r="CD436" s="510">
        <v>0</v>
      </c>
      <c r="CE436" s="1011">
        <v>0</v>
      </c>
      <c r="CF436" s="510">
        <v>51856.800000000003</v>
      </c>
      <c r="CG436" s="1011">
        <v>0</v>
      </c>
      <c r="CH436" s="510">
        <v>0</v>
      </c>
      <c r="CI436" s="1011">
        <v>0</v>
      </c>
    </row>
    <row r="437" spans="1:87" x14ac:dyDescent="0.2">
      <c r="A437" s="449">
        <v>174</v>
      </c>
      <c r="B437" s="453">
        <v>19490</v>
      </c>
      <c r="C437" s="454" t="s">
        <v>4663</v>
      </c>
      <c r="D437" s="454" t="s">
        <v>1390</v>
      </c>
      <c r="E437" s="454" t="s">
        <v>4664</v>
      </c>
      <c r="F437" s="454" t="s">
        <v>520</v>
      </c>
      <c r="G437" s="454" t="s">
        <v>13057</v>
      </c>
      <c r="H437" s="455">
        <v>24866805000180</v>
      </c>
      <c r="I437" s="462">
        <v>42495</v>
      </c>
      <c r="J437" s="457">
        <v>54969751</v>
      </c>
      <c r="K437" s="454" t="s">
        <v>4666</v>
      </c>
      <c r="L437" s="458" t="s">
        <v>1446</v>
      </c>
      <c r="M437" s="454" t="s">
        <v>4257</v>
      </c>
      <c r="N437" s="459">
        <v>5767340</v>
      </c>
      <c r="O437" s="460">
        <v>58410513</v>
      </c>
      <c r="P437" s="462">
        <v>304843</v>
      </c>
      <c r="Q437" s="462">
        <v>100</v>
      </c>
      <c r="R437" s="462">
        <v>43969</v>
      </c>
      <c r="S437" s="463">
        <v>591</v>
      </c>
      <c r="T437" s="464">
        <v>3.6</v>
      </c>
      <c r="U437" s="465">
        <v>2127.6</v>
      </c>
      <c r="V437" s="465">
        <v>16560</v>
      </c>
      <c r="W437" s="466">
        <v>0</v>
      </c>
      <c r="X437" s="467">
        <v>1</v>
      </c>
      <c r="Y437" s="466">
        <v>0</v>
      </c>
      <c r="Z437" s="468" t="s">
        <v>514</v>
      </c>
      <c r="AA437" s="466">
        <v>0</v>
      </c>
      <c r="AB437" s="466">
        <v>0</v>
      </c>
      <c r="AC437" s="467">
        <v>0</v>
      </c>
      <c r="AD437" s="466">
        <v>0</v>
      </c>
      <c r="AE437" s="468" t="s">
        <v>516</v>
      </c>
      <c r="AF437" s="466">
        <v>0</v>
      </c>
      <c r="AG437" s="466">
        <v>0</v>
      </c>
      <c r="AH437" s="466">
        <v>850.46</v>
      </c>
      <c r="AI437" s="466">
        <v>2603.6799999999998</v>
      </c>
      <c r="AJ437" s="469" t="s">
        <v>1515</v>
      </c>
      <c r="AK437" s="470" t="s">
        <v>1516</v>
      </c>
      <c r="AL437" s="471" t="s">
        <v>4667</v>
      </c>
      <c r="AM437" s="470" t="s">
        <v>4668</v>
      </c>
      <c r="AN437" s="470" t="s">
        <v>4665</v>
      </c>
      <c r="AO437" s="470" t="s">
        <v>4669</v>
      </c>
      <c r="AP437" s="470" t="s">
        <v>4670</v>
      </c>
      <c r="AQ437" s="470" t="s">
        <v>4663</v>
      </c>
      <c r="AR437" s="472" t="s">
        <v>515</v>
      </c>
      <c r="AS437" s="473" t="s">
        <v>1385</v>
      </c>
      <c r="AT437" s="472" t="s">
        <v>1390</v>
      </c>
      <c r="AU437" s="472" t="s">
        <v>420</v>
      </c>
      <c r="AV437" s="472">
        <v>2020</v>
      </c>
      <c r="AW437" s="474" t="s">
        <v>15078</v>
      </c>
      <c r="AX437" s="475" t="s">
        <v>15079</v>
      </c>
      <c r="AY437" s="515">
        <v>1</v>
      </c>
      <c r="AZ437" s="474" t="s">
        <v>15079</v>
      </c>
      <c r="BA437" s="472" t="s">
        <v>1385</v>
      </c>
      <c r="BB437" s="472" t="s">
        <v>1385</v>
      </c>
      <c r="BC437" s="472" t="s">
        <v>1385</v>
      </c>
      <c r="BD437" s="472" t="s">
        <v>1385</v>
      </c>
      <c r="BE437" s="472" t="s">
        <v>1385</v>
      </c>
      <c r="BF437" s="472">
        <v>28031.4</v>
      </c>
      <c r="BG437" s="472">
        <v>0</v>
      </c>
      <c r="BH437" s="472" t="s">
        <v>516</v>
      </c>
      <c r="BI437" s="510">
        <v>0</v>
      </c>
      <c r="BJ437" s="510">
        <v>0</v>
      </c>
      <c r="BK437" s="510">
        <v>0</v>
      </c>
      <c r="BL437" s="510">
        <v>0</v>
      </c>
      <c r="BM437" s="510">
        <v>0</v>
      </c>
      <c r="BN437" s="510">
        <v>0</v>
      </c>
      <c r="BO437" s="510">
        <v>0</v>
      </c>
      <c r="BP437" s="510">
        <v>0</v>
      </c>
      <c r="BQ437" s="510">
        <v>0</v>
      </c>
      <c r="BR437" s="510">
        <v>0</v>
      </c>
      <c r="BS437" s="510">
        <v>0</v>
      </c>
      <c r="BT437" s="510">
        <v>0</v>
      </c>
      <c r="BU437" s="510">
        <v>0</v>
      </c>
      <c r="BV437" s="510">
        <v>0</v>
      </c>
      <c r="BW437" s="510">
        <v>0</v>
      </c>
      <c r="BX437" s="510">
        <v>0</v>
      </c>
      <c r="BY437" s="1011">
        <v>0</v>
      </c>
      <c r="BZ437" s="510">
        <v>0</v>
      </c>
      <c r="CA437" s="1011">
        <v>0</v>
      </c>
      <c r="CB437" s="510">
        <v>0</v>
      </c>
      <c r="CC437" s="1011">
        <v>0</v>
      </c>
      <c r="CD437" s="510">
        <v>0</v>
      </c>
      <c r="CE437" s="1011">
        <v>0</v>
      </c>
      <c r="CF437" s="510">
        <v>0</v>
      </c>
      <c r="CG437" s="1011">
        <v>0</v>
      </c>
      <c r="CH437" s="510">
        <v>0</v>
      </c>
      <c r="CI437" s="1011">
        <v>0</v>
      </c>
    </row>
    <row r="438" spans="1:87" x14ac:dyDescent="0.2">
      <c r="A438" s="449">
        <v>171</v>
      </c>
      <c r="B438" s="453">
        <v>19492</v>
      </c>
      <c r="C438" s="454" t="s">
        <v>4671</v>
      </c>
      <c r="D438" s="454" t="s">
        <v>517</v>
      </c>
      <c r="E438" s="454" t="s">
        <v>4672</v>
      </c>
      <c r="F438" s="454" t="s">
        <v>520</v>
      </c>
      <c r="G438" s="454" t="s">
        <v>13058</v>
      </c>
      <c r="H438" s="455">
        <v>20744425000112</v>
      </c>
      <c r="I438" s="462">
        <v>41838</v>
      </c>
      <c r="J438" s="457">
        <v>54045746</v>
      </c>
      <c r="K438" s="454" t="s">
        <v>4673</v>
      </c>
      <c r="L438" s="458" t="s">
        <v>1446</v>
      </c>
      <c r="M438" s="454" t="s">
        <v>4674</v>
      </c>
      <c r="N438" s="459">
        <v>4951000</v>
      </c>
      <c r="O438" s="460">
        <v>58956308</v>
      </c>
      <c r="P438" s="462">
        <v>590544</v>
      </c>
      <c r="Q438" s="462">
        <v>179</v>
      </c>
      <c r="R438" s="462">
        <v>44022</v>
      </c>
      <c r="S438" s="463">
        <v>1235</v>
      </c>
      <c r="T438" s="464">
        <v>5.4</v>
      </c>
      <c r="U438" s="465">
        <v>6669</v>
      </c>
      <c r="V438" s="465">
        <v>21960</v>
      </c>
      <c r="W438" s="466">
        <v>0</v>
      </c>
      <c r="X438" s="467">
        <v>1</v>
      </c>
      <c r="Y438" s="466">
        <v>42943.5</v>
      </c>
      <c r="Z438" s="468" t="s">
        <v>516</v>
      </c>
      <c r="AA438" s="466">
        <v>152460.70000000001</v>
      </c>
      <c r="AB438" s="466">
        <v>152460.70000000001</v>
      </c>
      <c r="AC438" s="467">
        <v>0</v>
      </c>
      <c r="AD438" s="466">
        <v>0</v>
      </c>
      <c r="AE438" s="468" t="s">
        <v>516</v>
      </c>
      <c r="AF438" s="466">
        <v>0</v>
      </c>
      <c r="AG438" s="466">
        <v>0</v>
      </c>
      <c r="AH438" s="466">
        <v>24459.82</v>
      </c>
      <c r="AI438" s="466">
        <v>12663.48</v>
      </c>
      <c r="AJ438" s="469" t="s">
        <v>1515</v>
      </c>
      <c r="AK438" s="470" t="s">
        <v>1516</v>
      </c>
      <c r="AL438" s="471" t="s">
        <v>4675</v>
      </c>
      <c r="AM438" s="470" t="s">
        <v>4676</v>
      </c>
      <c r="AN438" s="470" t="s">
        <v>4677</v>
      </c>
      <c r="AO438" s="470" t="s">
        <v>4678</v>
      </c>
      <c r="AP438" s="470" t="s">
        <v>4679</v>
      </c>
      <c r="AQ438" s="470" t="s">
        <v>4671</v>
      </c>
      <c r="AR438" s="472" t="s">
        <v>515</v>
      </c>
      <c r="AS438" s="473" t="s">
        <v>1385</v>
      </c>
      <c r="AT438" s="472" t="s">
        <v>517</v>
      </c>
      <c r="AU438" s="472" t="s">
        <v>420</v>
      </c>
      <c r="AV438" s="472">
        <v>2020</v>
      </c>
      <c r="AW438" s="474" t="s">
        <v>15078</v>
      </c>
      <c r="AX438" s="475" t="s">
        <v>15079</v>
      </c>
      <c r="AY438" s="515">
        <v>1</v>
      </c>
      <c r="AZ438" s="474" t="s">
        <v>15079</v>
      </c>
      <c r="BA438" s="472" t="s">
        <v>517</v>
      </c>
      <c r="BB438" s="472" t="s">
        <v>1385</v>
      </c>
      <c r="BC438" s="472" t="s">
        <v>1385</v>
      </c>
      <c r="BD438" s="472" t="s">
        <v>1385</v>
      </c>
      <c r="BE438" s="472" t="s">
        <v>1385</v>
      </c>
      <c r="BF438" s="472">
        <v>42943.5</v>
      </c>
      <c r="BG438" s="472">
        <v>0</v>
      </c>
      <c r="BH438" s="472" t="s">
        <v>1385</v>
      </c>
      <c r="BI438" s="510">
        <v>0</v>
      </c>
      <c r="BJ438" s="510">
        <v>3132.1</v>
      </c>
      <c r="BK438" s="510">
        <v>0</v>
      </c>
      <c r="BL438" s="510">
        <v>3500</v>
      </c>
      <c r="BM438" s="510">
        <v>0</v>
      </c>
      <c r="BN438" s="510">
        <v>6000</v>
      </c>
      <c r="BO438" s="510">
        <v>0</v>
      </c>
      <c r="BP438" s="510">
        <v>0</v>
      </c>
      <c r="BQ438" s="510">
        <v>0</v>
      </c>
      <c r="BR438" s="510">
        <v>0</v>
      </c>
      <c r="BS438" s="510">
        <v>0</v>
      </c>
      <c r="BT438" s="510">
        <v>0</v>
      </c>
      <c r="BU438" s="510">
        <v>2500</v>
      </c>
      <c r="BV438" s="510">
        <v>2500</v>
      </c>
      <c r="BW438" s="510">
        <v>0</v>
      </c>
      <c r="BX438" s="510">
        <v>30000</v>
      </c>
      <c r="BY438" s="1011">
        <v>0</v>
      </c>
      <c r="BZ438" s="510">
        <v>0</v>
      </c>
      <c r="CA438" s="1011">
        <v>0</v>
      </c>
      <c r="CB438" s="510">
        <v>22000</v>
      </c>
      <c r="CC438" s="1011">
        <v>0</v>
      </c>
      <c r="CD438" s="510">
        <v>0</v>
      </c>
      <c r="CE438" s="1011">
        <v>0</v>
      </c>
      <c r="CF438" s="510">
        <v>57517.2</v>
      </c>
      <c r="CG438" s="1011">
        <v>0</v>
      </c>
      <c r="CH438" s="510">
        <v>0</v>
      </c>
      <c r="CI438" s="1011">
        <v>0</v>
      </c>
    </row>
    <row r="439" spans="1:87" x14ac:dyDescent="0.2">
      <c r="A439" s="449">
        <v>185</v>
      </c>
      <c r="B439" s="453">
        <v>19493</v>
      </c>
      <c r="C439" s="454" t="s">
        <v>4680</v>
      </c>
      <c r="D439" s="454" t="s">
        <v>4286</v>
      </c>
      <c r="E439" s="454" t="s">
        <v>4681</v>
      </c>
      <c r="F439" s="454" t="s">
        <v>520</v>
      </c>
      <c r="G439" s="454" t="s">
        <v>13059</v>
      </c>
      <c r="H439" s="455">
        <v>24573351000150</v>
      </c>
      <c r="I439" s="462">
        <v>42440</v>
      </c>
      <c r="J439" s="457">
        <v>55295568</v>
      </c>
      <c r="K439" s="454" t="s">
        <v>4682</v>
      </c>
      <c r="L439" s="458">
        <v>745</v>
      </c>
      <c r="M439" s="454" t="s">
        <v>4683</v>
      </c>
      <c r="N439" s="459">
        <v>5866000</v>
      </c>
      <c r="O439" s="460">
        <v>58748682</v>
      </c>
      <c r="P439" s="462">
        <v>308962</v>
      </c>
      <c r="Q439" s="462">
        <v>52</v>
      </c>
      <c r="R439" s="462">
        <v>43979</v>
      </c>
      <c r="S439" s="463">
        <v>694</v>
      </c>
      <c r="T439" s="464">
        <v>3.6</v>
      </c>
      <c r="U439" s="465">
        <v>2498.4</v>
      </c>
      <c r="V439" s="465">
        <v>18000</v>
      </c>
      <c r="W439" s="466">
        <v>0</v>
      </c>
      <c r="X439" s="467">
        <v>1</v>
      </c>
      <c r="Y439" s="466">
        <v>30747.599999999999</v>
      </c>
      <c r="Z439" s="468" t="s">
        <v>516</v>
      </c>
      <c r="AA439" s="466">
        <v>123346.8</v>
      </c>
      <c r="AB439" s="466">
        <v>123346.8</v>
      </c>
      <c r="AC439" s="467">
        <v>0</v>
      </c>
      <c r="AD439" s="466">
        <v>0</v>
      </c>
      <c r="AE439" s="468" t="s">
        <v>516</v>
      </c>
      <c r="AF439" s="466">
        <v>0</v>
      </c>
      <c r="AG439" s="466">
        <v>0</v>
      </c>
      <c r="AH439" s="466">
        <v>23350.6</v>
      </c>
      <c r="AI439" s="466">
        <v>0</v>
      </c>
      <c r="AJ439" s="469" t="s">
        <v>1515</v>
      </c>
      <c r="AK439" s="470" t="s">
        <v>1516</v>
      </c>
      <c r="AL439" s="471" t="s">
        <v>4684</v>
      </c>
      <c r="AM439" s="470" t="s">
        <v>13060</v>
      </c>
      <c r="AN439" s="470" t="s">
        <v>4685</v>
      </c>
      <c r="AO439" s="470" t="s">
        <v>4686</v>
      </c>
      <c r="AP439" s="470" t="s">
        <v>4687</v>
      </c>
      <c r="AQ439" s="470" t="s">
        <v>4680</v>
      </c>
      <c r="AR439" s="472" t="s">
        <v>515</v>
      </c>
      <c r="AS439" s="473">
        <v>3.6</v>
      </c>
      <c r="AT439" s="472" t="s">
        <v>4286</v>
      </c>
      <c r="AU439" s="472" t="s">
        <v>420</v>
      </c>
      <c r="AV439" s="472">
        <v>2020</v>
      </c>
      <c r="AW439" s="474" t="s">
        <v>15078</v>
      </c>
      <c r="AX439" s="475" t="s">
        <v>15079</v>
      </c>
      <c r="AY439" s="515">
        <v>1</v>
      </c>
      <c r="AZ439" s="474" t="s">
        <v>15079</v>
      </c>
      <c r="BA439" s="472" t="s">
        <v>4286</v>
      </c>
      <c r="BB439" s="472" t="s">
        <v>1385</v>
      </c>
      <c r="BC439" s="472" t="s">
        <v>1385</v>
      </c>
      <c r="BD439" s="472" t="s">
        <v>1385</v>
      </c>
      <c r="BE439" s="472" t="s">
        <v>1385</v>
      </c>
      <c r="BF439" s="472">
        <v>30747.599999999999</v>
      </c>
      <c r="BG439" s="472">
        <v>0</v>
      </c>
      <c r="BH439" s="472" t="s">
        <v>1385</v>
      </c>
      <c r="BI439" s="510">
        <v>0</v>
      </c>
      <c r="BJ439" s="510">
        <v>0</v>
      </c>
      <c r="BK439" s="510">
        <v>0</v>
      </c>
      <c r="BL439" s="510">
        <v>0</v>
      </c>
      <c r="BM439" s="510">
        <v>0</v>
      </c>
      <c r="BN439" s="510">
        <v>5000</v>
      </c>
      <c r="BO439" s="510">
        <v>0</v>
      </c>
      <c r="BP439" s="510">
        <v>0</v>
      </c>
      <c r="BQ439" s="510">
        <v>0</v>
      </c>
      <c r="BR439" s="510">
        <v>0</v>
      </c>
      <c r="BS439" s="510">
        <v>0</v>
      </c>
      <c r="BT439" s="510">
        <v>0</v>
      </c>
      <c r="BU439" s="510">
        <v>0</v>
      </c>
      <c r="BV439" s="510">
        <v>0</v>
      </c>
      <c r="BW439" s="510">
        <v>0</v>
      </c>
      <c r="BX439" s="510">
        <v>30000</v>
      </c>
      <c r="BY439" s="1011">
        <v>0</v>
      </c>
      <c r="BZ439" s="510">
        <v>0</v>
      </c>
      <c r="CA439" s="1011">
        <v>0</v>
      </c>
      <c r="CB439" s="510">
        <v>0</v>
      </c>
      <c r="CC439" s="1011">
        <v>0</v>
      </c>
      <c r="CD439" s="510">
        <v>0</v>
      </c>
      <c r="CE439" s="1011">
        <v>0</v>
      </c>
      <c r="CF439" s="510">
        <v>62599.199999999997</v>
      </c>
      <c r="CG439" s="1011">
        <v>0</v>
      </c>
      <c r="CH439" s="510">
        <v>0</v>
      </c>
      <c r="CI439" s="1011">
        <v>0</v>
      </c>
    </row>
    <row r="440" spans="1:87" x14ac:dyDescent="0.2">
      <c r="A440" s="449">
        <v>172</v>
      </c>
      <c r="B440" s="453">
        <v>19494</v>
      </c>
      <c r="C440" s="454" t="s">
        <v>4688</v>
      </c>
      <c r="D440" s="454" t="s">
        <v>1390</v>
      </c>
      <c r="E440" s="454" t="s">
        <v>4689</v>
      </c>
      <c r="F440" s="454" t="s">
        <v>520</v>
      </c>
      <c r="G440" s="454" t="s">
        <v>13061</v>
      </c>
      <c r="H440" s="455">
        <v>20815256000164</v>
      </c>
      <c r="I440" s="462">
        <v>41893</v>
      </c>
      <c r="J440" s="457">
        <v>52959953</v>
      </c>
      <c r="K440" s="454" t="s">
        <v>4690</v>
      </c>
      <c r="L440" s="458" t="s">
        <v>1446</v>
      </c>
      <c r="M440" s="454" t="s">
        <v>4691</v>
      </c>
      <c r="N440" s="459">
        <v>4961240</v>
      </c>
      <c r="O440" s="460">
        <v>58962941</v>
      </c>
      <c r="P440" s="462">
        <v>307893</v>
      </c>
      <c r="Q440" s="462">
        <v>98</v>
      </c>
      <c r="R440" s="462">
        <v>43983</v>
      </c>
      <c r="S440" s="463">
        <v>482</v>
      </c>
      <c r="T440" s="464">
        <v>3.6</v>
      </c>
      <c r="U440" s="465">
        <v>1735.2</v>
      </c>
      <c r="V440" s="465">
        <v>15120</v>
      </c>
      <c r="W440" s="466">
        <v>0</v>
      </c>
      <c r="X440" s="467">
        <v>1</v>
      </c>
      <c r="Y440" s="466">
        <v>25282.799999999999</v>
      </c>
      <c r="Z440" s="468" t="s">
        <v>516</v>
      </c>
      <c r="AA440" s="466">
        <v>104014.8</v>
      </c>
      <c r="AB440" s="466">
        <v>104014.8</v>
      </c>
      <c r="AC440" s="467">
        <v>0</v>
      </c>
      <c r="AD440" s="466">
        <v>0</v>
      </c>
      <c r="AE440" s="468" t="s">
        <v>516</v>
      </c>
      <c r="AF440" s="466">
        <v>0</v>
      </c>
      <c r="AG440" s="466">
        <v>0</v>
      </c>
      <c r="AH440" s="466">
        <v>17777.849999999999</v>
      </c>
      <c r="AI440" s="466">
        <v>6742.95</v>
      </c>
      <c r="AJ440" s="469" t="s">
        <v>2755</v>
      </c>
      <c r="AK440" s="470" t="s">
        <v>3748</v>
      </c>
      <c r="AL440" s="471" t="s">
        <v>4692</v>
      </c>
      <c r="AM440" s="470" t="s">
        <v>13062</v>
      </c>
      <c r="AN440" s="470" t="s">
        <v>4693</v>
      </c>
      <c r="AO440" s="470" t="s">
        <v>4694</v>
      </c>
      <c r="AP440" s="470" t="s">
        <v>4695</v>
      </c>
      <c r="AQ440" s="470" t="s">
        <v>4688</v>
      </c>
      <c r="AR440" s="472" t="s">
        <v>515</v>
      </c>
      <c r="AS440" s="473" t="s">
        <v>1385</v>
      </c>
      <c r="AT440" s="472" t="s">
        <v>1390</v>
      </c>
      <c r="AU440" s="472" t="s">
        <v>420</v>
      </c>
      <c r="AV440" s="472">
        <v>2020</v>
      </c>
      <c r="AW440" s="474" t="s">
        <v>15078</v>
      </c>
      <c r="AX440" s="475" t="s">
        <v>15079</v>
      </c>
      <c r="AY440" s="515">
        <v>1</v>
      </c>
      <c r="AZ440" s="474" t="s">
        <v>15079</v>
      </c>
      <c r="BA440" s="472" t="s">
        <v>1390</v>
      </c>
      <c r="BB440" s="472" t="s">
        <v>1385</v>
      </c>
      <c r="BC440" s="472" t="s">
        <v>1385</v>
      </c>
      <c r="BD440" s="472" t="s">
        <v>1385</v>
      </c>
      <c r="BE440" s="472" t="s">
        <v>1385</v>
      </c>
      <c r="BF440" s="472">
        <v>25282.799999999999</v>
      </c>
      <c r="BG440" s="472">
        <v>0</v>
      </c>
      <c r="BH440" s="472" t="s">
        <v>1385</v>
      </c>
      <c r="BI440" s="510">
        <v>0</v>
      </c>
      <c r="BJ440" s="510">
        <v>0</v>
      </c>
      <c r="BK440" s="510">
        <v>0</v>
      </c>
      <c r="BL440" s="510">
        <v>0</v>
      </c>
      <c r="BM440" s="510">
        <v>0</v>
      </c>
      <c r="BN440" s="510">
        <v>4000</v>
      </c>
      <c r="BO440" s="510">
        <v>0</v>
      </c>
      <c r="BP440" s="510">
        <v>0</v>
      </c>
      <c r="BQ440" s="510">
        <v>0</v>
      </c>
      <c r="BR440" s="510">
        <v>0</v>
      </c>
      <c r="BS440" s="510">
        <v>0</v>
      </c>
      <c r="BT440" s="510">
        <v>0</v>
      </c>
      <c r="BU440" s="510">
        <v>0</v>
      </c>
      <c r="BV440" s="510">
        <v>0</v>
      </c>
      <c r="BW440" s="510">
        <v>0</v>
      </c>
      <c r="BX440" s="510">
        <v>30000</v>
      </c>
      <c r="BY440" s="1011">
        <v>0</v>
      </c>
      <c r="BZ440" s="510">
        <v>0</v>
      </c>
      <c r="CA440" s="1011">
        <v>0</v>
      </c>
      <c r="CB440" s="510">
        <v>0</v>
      </c>
      <c r="CC440" s="1011">
        <v>0</v>
      </c>
      <c r="CD440" s="510">
        <v>0</v>
      </c>
      <c r="CE440" s="1011">
        <v>0</v>
      </c>
      <c r="CF440" s="510">
        <v>48732</v>
      </c>
      <c r="CG440" s="1011">
        <v>0</v>
      </c>
      <c r="CH440" s="510">
        <v>0</v>
      </c>
      <c r="CI440" s="1011">
        <v>0</v>
      </c>
    </row>
    <row r="441" spans="1:87" x14ac:dyDescent="0.2">
      <c r="A441" s="449">
        <v>187</v>
      </c>
      <c r="B441" s="453">
        <v>19495</v>
      </c>
      <c r="C441" s="454" t="s">
        <v>4696</v>
      </c>
      <c r="D441" s="454" t="s">
        <v>1390</v>
      </c>
      <c r="E441" s="454" t="s">
        <v>4697</v>
      </c>
      <c r="F441" s="454" t="s">
        <v>520</v>
      </c>
      <c r="G441" s="454" t="s">
        <v>13063</v>
      </c>
      <c r="H441" s="455">
        <v>24515883000130</v>
      </c>
      <c r="I441" s="462">
        <v>42450</v>
      </c>
      <c r="J441" s="457">
        <v>54973716</v>
      </c>
      <c r="K441" s="454" t="s">
        <v>4699</v>
      </c>
      <c r="L441" s="458" t="s">
        <v>1446</v>
      </c>
      <c r="M441" s="454" t="s">
        <v>4700</v>
      </c>
      <c r="N441" s="459">
        <v>5821140</v>
      </c>
      <c r="O441" s="460">
        <v>55143741</v>
      </c>
      <c r="P441" s="462">
        <v>306765</v>
      </c>
      <c r="Q441" s="462">
        <v>103</v>
      </c>
      <c r="R441" s="462">
        <v>43979</v>
      </c>
      <c r="S441" s="463">
        <v>440</v>
      </c>
      <c r="T441" s="464">
        <v>3.6</v>
      </c>
      <c r="U441" s="465">
        <v>1584</v>
      </c>
      <c r="V441" s="465">
        <v>15120</v>
      </c>
      <c r="W441" s="466">
        <v>0</v>
      </c>
      <c r="X441" s="467">
        <v>1</v>
      </c>
      <c r="Y441" s="466">
        <v>25056</v>
      </c>
      <c r="Z441" s="468" t="s">
        <v>516</v>
      </c>
      <c r="AA441" s="466">
        <v>103622.39999999999</v>
      </c>
      <c r="AB441" s="466">
        <v>103622.39999999999</v>
      </c>
      <c r="AC441" s="467">
        <v>0</v>
      </c>
      <c r="AD441" s="466">
        <v>0</v>
      </c>
      <c r="AE441" s="468" t="s">
        <v>516</v>
      </c>
      <c r="AF441" s="466">
        <v>0</v>
      </c>
      <c r="AG441" s="466">
        <v>0</v>
      </c>
      <c r="AH441" s="466">
        <v>22843.3</v>
      </c>
      <c r="AI441" s="466">
        <v>6624.25</v>
      </c>
      <c r="AJ441" s="469" t="s">
        <v>1813</v>
      </c>
      <c r="AK441" s="470" t="s">
        <v>1814</v>
      </c>
      <c r="AL441" s="471" t="s">
        <v>4701</v>
      </c>
      <c r="AM441" s="470" t="s">
        <v>4702</v>
      </c>
      <c r="AN441" s="470" t="s">
        <v>4698</v>
      </c>
      <c r="AO441" s="470" t="s">
        <v>4703</v>
      </c>
      <c r="AP441" s="470" t="s">
        <v>4704</v>
      </c>
      <c r="AQ441" s="470" t="s">
        <v>4696</v>
      </c>
      <c r="AR441" s="472" t="s">
        <v>515</v>
      </c>
      <c r="AS441" s="473" t="s">
        <v>1385</v>
      </c>
      <c r="AT441" s="472" t="s">
        <v>1390</v>
      </c>
      <c r="AU441" s="472" t="s">
        <v>420</v>
      </c>
      <c r="AV441" s="472">
        <v>2020</v>
      </c>
      <c r="AW441" s="474" t="s">
        <v>15078</v>
      </c>
      <c r="AX441" s="475" t="s">
        <v>15079</v>
      </c>
      <c r="AY441" s="515">
        <v>1</v>
      </c>
      <c r="AZ441" s="474" t="s">
        <v>15079</v>
      </c>
      <c r="BA441" s="472" t="s">
        <v>1390</v>
      </c>
      <c r="BB441" s="472" t="s">
        <v>1385</v>
      </c>
      <c r="BC441" s="472" t="s">
        <v>1385</v>
      </c>
      <c r="BD441" s="472" t="s">
        <v>1385</v>
      </c>
      <c r="BE441" s="472" t="s">
        <v>1385</v>
      </c>
      <c r="BF441" s="472">
        <v>25056</v>
      </c>
      <c r="BG441" s="472">
        <v>0</v>
      </c>
      <c r="BH441" s="472" t="s">
        <v>1385</v>
      </c>
      <c r="BI441" s="510">
        <v>0</v>
      </c>
      <c r="BJ441" s="510">
        <v>0</v>
      </c>
      <c r="BK441" s="510">
        <v>0</v>
      </c>
      <c r="BL441" s="510">
        <v>0</v>
      </c>
      <c r="BM441" s="510">
        <v>0</v>
      </c>
      <c r="BN441" s="510">
        <v>4000</v>
      </c>
      <c r="BO441" s="510">
        <v>0</v>
      </c>
      <c r="BP441" s="510">
        <v>0</v>
      </c>
      <c r="BQ441" s="510">
        <v>0</v>
      </c>
      <c r="BR441" s="510">
        <v>0</v>
      </c>
      <c r="BS441" s="510">
        <v>0</v>
      </c>
      <c r="BT441" s="510">
        <v>0</v>
      </c>
      <c r="BU441" s="510">
        <v>0</v>
      </c>
      <c r="BV441" s="510">
        <v>0</v>
      </c>
      <c r="BW441" s="510">
        <v>0</v>
      </c>
      <c r="BX441" s="510">
        <v>30000</v>
      </c>
      <c r="BY441" s="1011">
        <v>0</v>
      </c>
      <c r="BZ441" s="510">
        <v>0</v>
      </c>
      <c r="CA441" s="1011">
        <v>0</v>
      </c>
      <c r="CB441" s="510">
        <v>0</v>
      </c>
      <c r="CC441" s="1011">
        <v>0</v>
      </c>
      <c r="CD441" s="510">
        <v>0</v>
      </c>
      <c r="CE441" s="1011">
        <v>0</v>
      </c>
      <c r="CF441" s="510">
        <v>48566.400000000001</v>
      </c>
      <c r="CG441" s="1011">
        <v>0</v>
      </c>
      <c r="CH441" s="510">
        <v>0</v>
      </c>
      <c r="CI441" s="1011">
        <v>0</v>
      </c>
    </row>
    <row r="442" spans="1:87" x14ac:dyDescent="0.2">
      <c r="A442" s="449">
        <v>57</v>
      </c>
      <c r="B442" s="453">
        <v>19496</v>
      </c>
      <c r="C442" s="454" t="s">
        <v>4705</v>
      </c>
      <c r="D442" s="454" t="s">
        <v>517</v>
      </c>
      <c r="E442" s="454" t="s">
        <v>4706</v>
      </c>
      <c r="F442" s="454" t="s">
        <v>521</v>
      </c>
      <c r="G442" s="454" t="s">
        <v>13064</v>
      </c>
      <c r="H442" s="455">
        <v>4101831000100</v>
      </c>
      <c r="I442" s="462">
        <v>36802</v>
      </c>
      <c r="J442" s="457">
        <v>37550403</v>
      </c>
      <c r="K442" s="454" t="s">
        <v>4707</v>
      </c>
      <c r="L442" s="458" t="s">
        <v>1446</v>
      </c>
      <c r="M442" s="454" t="s">
        <v>4708</v>
      </c>
      <c r="N442" s="459">
        <v>4884000</v>
      </c>
      <c r="O442" s="460">
        <v>59219520</v>
      </c>
      <c r="P442" s="462">
        <v>102361</v>
      </c>
      <c r="Q442" s="462">
        <v>52</v>
      </c>
      <c r="R442" s="462">
        <v>43934</v>
      </c>
      <c r="S442" s="463">
        <v>716</v>
      </c>
      <c r="T442" s="464">
        <v>5.4</v>
      </c>
      <c r="U442" s="465">
        <v>3866.4</v>
      </c>
      <c r="V442" s="465">
        <v>18720</v>
      </c>
      <c r="W442" s="466">
        <v>0</v>
      </c>
      <c r="X442" s="467">
        <v>1</v>
      </c>
      <c r="Y442" s="466">
        <v>33879.599999999999</v>
      </c>
      <c r="Z442" s="468" t="s">
        <v>516</v>
      </c>
      <c r="AA442" s="466">
        <v>131084.79999999999</v>
      </c>
      <c r="AB442" s="466">
        <v>131084.79999999999</v>
      </c>
      <c r="AC442" s="467">
        <v>0</v>
      </c>
      <c r="AD442" s="466">
        <v>0</v>
      </c>
      <c r="AE442" s="468" t="s">
        <v>516</v>
      </c>
      <c r="AF442" s="466">
        <v>0</v>
      </c>
      <c r="AG442" s="466">
        <v>0</v>
      </c>
      <c r="AH442" s="466">
        <v>51762.2</v>
      </c>
      <c r="AI442" s="466">
        <v>9199.4699999999993</v>
      </c>
      <c r="AJ442" s="469" t="s">
        <v>4709</v>
      </c>
      <c r="AK442" s="470" t="s">
        <v>1625</v>
      </c>
      <c r="AL442" s="471" t="s">
        <v>4710</v>
      </c>
      <c r="AM442" s="470" t="s">
        <v>13065</v>
      </c>
      <c r="AN442" s="470" t="s">
        <v>1385</v>
      </c>
      <c r="AO442" s="470" t="s">
        <v>14915</v>
      </c>
      <c r="AP442" s="470" t="s">
        <v>4711</v>
      </c>
      <c r="AQ442" s="470" t="s">
        <v>4705</v>
      </c>
      <c r="AR442" s="472" t="s">
        <v>515</v>
      </c>
      <c r="AS442" s="473" t="s">
        <v>1385</v>
      </c>
      <c r="AT442" s="472" t="s">
        <v>517</v>
      </c>
      <c r="AU442" s="472" t="s">
        <v>420</v>
      </c>
      <c r="AV442" s="472">
        <v>2020</v>
      </c>
      <c r="AW442" s="474" t="s">
        <v>15078</v>
      </c>
      <c r="AX442" s="475" t="s">
        <v>15079</v>
      </c>
      <c r="AY442" s="515">
        <v>1</v>
      </c>
      <c r="AZ442" s="474" t="s">
        <v>15079</v>
      </c>
      <c r="BA442" s="472" t="s">
        <v>517</v>
      </c>
      <c r="BB442" s="472" t="s">
        <v>1385</v>
      </c>
      <c r="BC442" s="472" t="s">
        <v>1385</v>
      </c>
      <c r="BD442" s="472" t="s">
        <v>1385</v>
      </c>
      <c r="BE442" s="472" t="s">
        <v>1385</v>
      </c>
      <c r="BF442" s="472">
        <v>33879.599999999999</v>
      </c>
      <c r="BG442" s="472">
        <v>0</v>
      </c>
      <c r="BH442" s="472" t="s">
        <v>1385</v>
      </c>
      <c r="BI442" s="510">
        <v>0</v>
      </c>
      <c r="BJ442" s="510">
        <v>0</v>
      </c>
      <c r="BK442" s="510">
        <v>0</v>
      </c>
      <c r="BL442" s="510">
        <v>3500</v>
      </c>
      <c r="BM442" s="510">
        <v>0</v>
      </c>
      <c r="BN442" s="510">
        <v>5000</v>
      </c>
      <c r="BO442" s="510">
        <v>0</v>
      </c>
      <c r="BP442" s="510">
        <v>0</v>
      </c>
      <c r="BQ442" s="510">
        <v>0</v>
      </c>
      <c r="BR442" s="510">
        <v>0</v>
      </c>
      <c r="BS442" s="510">
        <v>0</v>
      </c>
      <c r="BT442" s="510">
        <v>0</v>
      </c>
      <c r="BU442" s="510">
        <v>0</v>
      </c>
      <c r="BV442" s="510">
        <v>0</v>
      </c>
      <c r="BW442" s="510">
        <v>0</v>
      </c>
      <c r="BX442" s="510">
        <v>30000</v>
      </c>
      <c r="BY442" s="1011">
        <v>0</v>
      </c>
      <c r="BZ442" s="510">
        <v>0</v>
      </c>
      <c r="CA442" s="1011">
        <v>0</v>
      </c>
      <c r="CB442" s="510">
        <v>22000</v>
      </c>
      <c r="CC442" s="1011">
        <v>0</v>
      </c>
      <c r="CD442" s="510">
        <v>0</v>
      </c>
      <c r="CE442" s="1011">
        <v>0</v>
      </c>
      <c r="CF442" s="510">
        <v>45205.2</v>
      </c>
      <c r="CG442" s="1011">
        <v>0</v>
      </c>
      <c r="CH442" s="510">
        <v>0</v>
      </c>
      <c r="CI442" s="1011">
        <v>0</v>
      </c>
    </row>
    <row r="443" spans="1:87" x14ac:dyDescent="0.2">
      <c r="A443" s="449">
        <v>176</v>
      </c>
      <c r="B443" s="453">
        <v>19497</v>
      </c>
      <c r="C443" s="454" t="s">
        <v>4712</v>
      </c>
      <c r="D443" s="454" t="s">
        <v>4286</v>
      </c>
      <c r="E443" s="454" t="s">
        <v>4713</v>
      </c>
      <c r="F443" s="454" t="s">
        <v>520</v>
      </c>
      <c r="G443" s="454" t="s">
        <v>13066</v>
      </c>
      <c r="H443" s="455">
        <v>23776318000164</v>
      </c>
      <c r="I443" s="462">
        <v>42314</v>
      </c>
      <c r="J443" s="457">
        <v>53951441</v>
      </c>
      <c r="K443" s="454" t="s">
        <v>4714</v>
      </c>
      <c r="L443" s="458">
        <v>30</v>
      </c>
      <c r="M443" s="454" t="s">
        <v>4674</v>
      </c>
      <c r="N443" s="459">
        <v>4951010</v>
      </c>
      <c r="O443" s="460">
        <v>55171292</v>
      </c>
      <c r="P443" s="462">
        <v>309225</v>
      </c>
      <c r="Q443" s="462">
        <v>51</v>
      </c>
      <c r="R443" s="462">
        <v>43983</v>
      </c>
      <c r="S443" s="463">
        <v>738</v>
      </c>
      <c r="T443" s="464">
        <v>3.6</v>
      </c>
      <c r="U443" s="465">
        <v>2656.8</v>
      </c>
      <c r="V443" s="465">
        <v>21240</v>
      </c>
      <c r="W443" s="466">
        <v>0</v>
      </c>
      <c r="X443" s="467">
        <v>1</v>
      </c>
      <c r="Y443" s="466">
        <v>35845.199999999997</v>
      </c>
      <c r="Z443" s="468" t="s">
        <v>516</v>
      </c>
      <c r="AA443" s="466">
        <v>128595.6</v>
      </c>
      <c r="AB443" s="466">
        <v>128595.6</v>
      </c>
      <c r="AC443" s="467">
        <v>0</v>
      </c>
      <c r="AD443" s="466">
        <v>0</v>
      </c>
      <c r="AE443" s="468" t="s">
        <v>516</v>
      </c>
      <c r="AF443" s="466">
        <v>0</v>
      </c>
      <c r="AG443" s="466">
        <v>0</v>
      </c>
      <c r="AH443" s="466">
        <v>24415.39</v>
      </c>
      <c r="AI443" s="466">
        <v>13567.59</v>
      </c>
      <c r="AJ443" s="469" t="s">
        <v>2755</v>
      </c>
      <c r="AK443" s="470" t="s">
        <v>2756</v>
      </c>
      <c r="AL443" s="471" t="s">
        <v>4715</v>
      </c>
      <c r="AM443" s="470" t="s">
        <v>13067</v>
      </c>
      <c r="AN443" s="470" t="s">
        <v>4716</v>
      </c>
      <c r="AO443" s="470" t="s">
        <v>4717</v>
      </c>
      <c r="AP443" s="470" t="s">
        <v>4718</v>
      </c>
      <c r="AQ443" s="470" t="s">
        <v>4712</v>
      </c>
      <c r="AR443" s="472" t="s">
        <v>515</v>
      </c>
      <c r="AS443" s="473">
        <v>3.6</v>
      </c>
      <c r="AT443" s="472" t="s">
        <v>4286</v>
      </c>
      <c r="AU443" s="472" t="s">
        <v>420</v>
      </c>
      <c r="AV443" s="472">
        <v>2020</v>
      </c>
      <c r="AW443" s="474" t="s">
        <v>15078</v>
      </c>
      <c r="AX443" s="475" t="s">
        <v>15079</v>
      </c>
      <c r="AY443" s="515">
        <v>1</v>
      </c>
      <c r="AZ443" s="474" t="s">
        <v>15079</v>
      </c>
      <c r="BA443" s="472" t="s">
        <v>4286</v>
      </c>
      <c r="BB443" s="472" t="s">
        <v>1385</v>
      </c>
      <c r="BC443" s="472" t="s">
        <v>1385</v>
      </c>
      <c r="BD443" s="472" t="s">
        <v>1385</v>
      </c>
      <c r="BE443" s="472" t="s">
        <v>1385</v>
      </c>
      <c r="BF443" s="472">
        <v>35845.199999999997</v>
      </c>
      <c r="BG443" s="472">
        <v>0</v>
      </c>
      <c r="BH443" s="472" t="s">
        <v>1385</v>
      </c>
      <c r="BI443" s="510">
        <v>0</v>
      </c>
      <c r="BJ443" s="510">
        <v>0</v>
      </c>
      <c r="BK443" s="510">
        <v>0</v>
      </c>
      <c r="BL443" s="510">
        <v>0</v>
      </c>
      <c r="BM443" s="510">
        <v>0</v>
      </c>
      <c r="BN443" s="510">
        <v>5000</v>
      </c>
      <c r="BO443" s="510">
        <v>0</v>
      </c>
      <c r="BP443" s="510">
        <v>0</v>
      </c>
      <c r="BQ443" s="510">
        <v>0</v>
      </c>
      <c r="BR443" s="510">
        <v>0</v>
      </c>
      <c r="BS443" s="510">
        <v>0</v>
      </c>
      <c r="BT443" s="510">
        <v>0</v>
      </c>
      <c r="BU443" s="510">
        <v>0</v>
      </c>
      <c r="BV443" s="510">
        <v>0</v>
      </c>
      <c r="BW443" s="510">
        <v>0</v>
      </c>
      <c r="BX443" s="510">
        <v>30000</v>
      </c>
      <c r="BY443" s="1011">
        <v>0</v>
      </c>
      <c r="BZ443" s="510">
        <v>0</v>
      </c>
      <c r="CA443" s="1011">
        <v>0</v>
      </c>
      <c r="CB443" s="510">
        <v>0</v>
      </c>
      <c r="CC443" s="1011">
        <v>0</v>
      </c>
      <c r="CD443" s="510">
        <v>0</v>
      </c>
      <c r="CE443" s="1011">
        <v>0</v>
      </c>
      <c r="CF443" s="510">
        <v>62750.400000000001</v>
      </c>
      <c r="CG443" s="1011">
        <v>0</v>
      </c>
      <c r="CH443" s="510">
        <v>0</v>
      </c>
      <c r="CI443" s="1011">
        <v>0</v>
      </c>
    </row>
    <row r="444" spans="1:87" x14ac:dyDescent="0.2">
      <c r="A444" s="449">
        <v>175</v>
      </c>
      <c r="B444" s="453">
        <v>19498</v>
      </c>
      <c r="C444" s="454" t="s">
        <v>4719</v>
      </c>
      <c r="D444" s="454" t="s">
        <v>1390</v>
      </c>
      <c r="E444" s="454" t="s">
        <v>4720</v>
      </c>
      <c r="F444" s="454" t="s">
        <v>520</v>
      </c>
      <c r="G444" s="454" t="s">
        <v>13068</v>
      </c>
      <c r="H444" s="455">
        <v>23604271000151</v>
      </c>
      <c r="I444" s="462">
        <v>42284</v>
      </c>
      <c r="J444" s="457">
        <v>54041600</v>
      </c>
      <c r="K444" s="454" t="s">
        <v>4722</v>
      </c>
      <c r="L444" s="458" t="s">
        <v>4723</v>
      </c>
      <c r="M444" s="454" t="s">
        <v>4724</v>
      </c>
      <c r="N444" s="459">
        <v>4938030</v>
      </c>
      <c r="O444" s="460">
        <v>58338323</v>
      </c>
      <c r="P444" s="462">
        <v>305599</v>
      </c>
      <c r="Q444" s="462">
        <v>101</v>
      </c>
      <c r="R444" s="462">
        <v>43969</v>
      </c>
      <c r="S444" s="463">
        <v>396</v>
      </c>
      <c r="T444" s="464">
        <v>3.6</v>
      </c>
      <c r="U444" s="465">
        <v>1425.6</v>
      </c>
      <c r="V444" s="465">
        <v>13680</v>
      </c>
      <c r="W444" s="466">
        <v>0</v>
      </c>
      <c r="X444" s="467">
        <v>1</v>
      </c>
      <c r="Y444" s="466">
        <v>22658.400000000001</v>
      </c>
      <c r="Z444" s="468" t="s">
        <v>516</v>
      </c>
      <c r="AA444" s="466">
        <v>97725.6</v>
      </c>
      <c r="AB444" s="466">
        <v>97725.6</v>
      </c>
      <c r="AC444" s="467">
        <v>0</v>
      </c>
      <c r="AD444" s="466">
        <v>0</v>
      </c>
      <c r="AE444" s="468" t="s">
        <v>516</v>
      </c>
      <c r="AF444" s="466">
        <v>0</v>
      </c>
      <c r="AG444" s="466">
        <v>0</v>
      </c>
      <c r="AH444" s="466">
        <v>19235.599999999999</v>
      </c>
      <c r="AI444" s="466">
        <v>0</v>
      </c>
      <c r="AJ444" s="469" t="s">
        <v>1481</v>
      </c>
      <c r="AK444" s="470" t="s">
        <v>1632</v>
      </c>
      <c r="AL444" s="471" t="s">
        <v>4725</v>
      </c>
      <c r="AM444" s="470" t="s">
        <v>4726</v>
      </c>
      <c r="AN444" s="470" t="s">
        <v>4721</v>
      </c>
      <c r="AO444" s="470" t="s">
        <v>4727</v>
      </c>
      <c r="AP444" s="470" t="s">
        <v>4728</v>
      </c>
      <c r="AQ444" s="470" t="s">
        <v>4719</v>
      </c>
      <c r="AR444" s="472" t="s">
        <v>515</v>
      </c>
      <c r="AS444" s="473" t="s">
        <v>1385</v>
      </c>
      <c r="AT444" s="472" t="s">
        <v>1390</v>
      </c>
      <c r="AU444" s="472" t="s">
        <v>420</v>
      </c>
      <c r="AV444" s="472">
        <v>2020</v>
      </c>
      <c r="AW444" s="474" t="s">
        <v>15078</v>
      </c>
      <c r="AX444" s="475" t="s">
        <v>15079</v>
      </c>
      <c r="AY444" s="515">
        <v>1</v>
      </c>
      <c r="AZ444" s="474" t="s">
        <v>15079</v>
      </c>
      <c r="BA444" s="472" t="s">
        <v>1390</v>
      </c>
      <c r="BB444" s="472" t="s">
        <v>1385</v>
      </c>
      <c r="BC444" s="472" t="s">
        <v>1385</v>
      </c>
      <c r="BD444" s="472" t="s">
        <v>1385</v>
      </c>
      <c r="BE444" s="472" t="s">
        <v>1385</v>
      </c>
      <c r="BF444" s="472">
        <v>22658.400000000001</v>
      </c>
      <c r="BG444" s="472">
        <v>0</v>
      </c>
      <c r="BH444" s="472" t="s">
        <v>1385</v>
      </c>
      <c r="BI444" s="510">
        <v>0</v>
      </c>
      <c r="BJ444" s="510">
        <v>0.6</v>
      </c>
      <c r="BK444" s="510">
        <v>0</v>
      </c>
      <c r="BL444" s="510">
        <v>0</v>
      </c>
      <c r="BM444" s="510">
        <v>0</v>
      </c>
      <c r="BN444" s="510">
        <v>3500</v>
      </c>
      <c r="BO444" s="510">
        <v>0</v>
      </c>
      <c r="BP444" s="510">
        <v>0</v>
      </c>
      <c r="BQ444" s="510">
        <v>0</v>
      </c>
      <c r="BR444" s="510">
        <v>0</v>
      </c>
      <c r="BS444" s="510">
        <v>0</v>
      </c>
      <c r="BT444" s="510">
        <v>0</v>
      </c>
      <c r="BU444" s="510">
        <v>0</v>
      </c>
      <c r="BV444" s="510">
        <v>0</v>
      </c>
      <c r="BW444" s="510">
        <v>0</v>
      </c>
      <c r="BX444" s="510">
        <v>30000</v>
      </c>
      <c r="BY444" s="1011">
        <v>0</v>
      </c>
      <c r="BZ444" s="510">
        <v>0</v>
      </c>
      <c r="CA444" s="1011">
        <v>0</v>
      </c>
      <c r="CB444" s="510">
        <v>0</v>
      </c>
      <c r="CC444" s="1011">
        <v>0</v>
      </c>
      <c r="CD444" s="510">
        <v>0</v>
      </c>
      <c r="CE444" s="1011">
        <v>0</v>
      </c>
      <c r="CF444" s="510">
        <v>45067.199999999997</v>
      </c>
      <c r="CG444" s="1011">
        <v>0</v>
      </c>
      <c r="CH444" s="510">
        <v>0</v>
      </c>
      <c r="CI444" s="1011">
        <v>0</v>
      </c>
    </row>
    <row r="445" spans="1:87" x14ac:dyDescent="0.2">
      <c r="A445" s="449">
        <v>170</v>
      </c>
      <c r="B445" s="453">
        <v>19499</v>
      </c>
      <c r="C445" s="454" t="s">
        <v>4729</v>
      </c>
      <c r="D445" s="454" t="s">
        <v>1390</v>
      </c>
      <c r="E445" s="454" t="s">
        <v>4730</v>
      </c>
      <c r="F445" s="454" t="s">
        <v>520</v>
      </c>
      <c r="G445" s="454" t="s">
        <v>13069</v>
      </c>
      <c r="H445" s="455">
        <v>20161563000179</v>
      </c>
      <c r="I445" s="462">
        <v>41736</v>
      </c>
      <c r="J445" s="457">
        <v>54041074</v>
      </c>
      <c r="K445" s="454" t="s">
        <v>4731</v>
      </c>
      <c r="L445" s="458">
        <v>89</v>
      </c>
      <c r="M445" s="454" t="s">
        <v>4732</v>
      </c>
      <c r="N445" s="459">
        <v>4943120</v>
      </c>
      <c r="O445" s="460">
        <v>58344623</v>
      </c>
      <c r="P445" s="462">
        <v>307680</v>
      </c>
      <c r="Q445" s="462">
        <v>97</v>
      </c>
      <c r="R445" s="462">
        <v>43969</v>
      </c>
      <c r="S445" s="463">
        <v>462</v>
      </c>
      <c r="T445" s="464">
        <v>3.6</v>
      </c>
      <c r="U445" s="465">
        <v>1663.2</v>
      </c>
      <c r="V445" s="465">
        <v>15120</v>
      </c>
      <c r="W445" s="466">
        <v>0</v>
      </c>
      <c r="X445" s="467">
        <v>1</v>
      </c>
      <c r="Y445" s="466">
        <v>25174.799999999999</v>
      </c>
      <c r="Z445" s="468" t="s">
        <v>516</v>
      </c>
      <c r="AA445" s="466">
        <v>103611.6</v>
      </c>
      <c r="AB445" s="466">
        <v>103611.6</v>
      </c>
      <c r="AC445" s="467">
        <v>0</v>
      </c>
      <c r="AD445" s="466">
        <v>0</v>
      </c>
      <c r="AE445" s="468" t="s">
        <v>516</v>
      </c>
      <c r="AF445" s="466">
        <v>0</v>
      </c>
      <c r="AG445" s="466">
        <v>0</v>
      </c>
      <c r="AH445" s="466">
        <v>15119.61</v>
      </c>
      <c r="AI445" s="466">
        <v>13991.38</v>
      </c>
      <c r="AJ445" s="469" t="s">
        <v>1489</v>
      </c>
      <c r="AK445" s="470" t="s">
        <v>520</v>
      </c>
      <c r="AL445" s="471" t="s">
        <v>4733</v>
      </c>
      <c r="AM445" s="470" t="s">
        <v>4734</v>
      </c>
      <c r="AN445" s="470" t="s">
        <v>4735</v>
      </c>
      <c r="AO445" s="470" t="s">
        <v>4736</v>
      </c>
      <c r="AP445" s="470" t="s">
        <v>4737</v>
      </c>
      <c r="AQ445" s="470" t="s">
        <v>4729</v>
      </c>
      <c r="AR445" s="472" t="s">
        <v>515</v>
      </c>
      <c r="AS445" s="473" t="s">
        <v>1385</v>
      </c>
      <c r="AT445" s="472" t="s">
        <v>1390</v>
      </c>
      <c r="AU445" s="472" t="s">
        <v>420</v>
      </c>
      <c r="AV445" s="472">
        <v>2020</v>
      </c>
      <c r="AW445" s="474" t="s">
        <v>15078</v>
      </c>
      <c r="AX445" s="475" t="s">
        <v>15079</v>
      </c>
      <c r="AY445" s="515">
        <v>1</v>
      </c>
      <c r="AZ445" s="474" t="s">
        <v>15079</v>
      </c>
      <c r="BA445" s="472" t="s">
        <v>1390</v>
      </c>
      <c r="BB445" s="472" t="s">
        <v>1385</v>
      </c>
      <c r="BC445" s="472" t="s">
        <v>1385</v>
      </c>
      <c r="BD445" s="472" t="s">
        <v>1385</v>
      </c>
      <c r="BE445" s="472" t="s">
        <v>1385</v>
      </c>
      <c r="BF445" s="472">
        <v>25174.799999999999</v>
      </c>
      <c r="BG445" s="472">
        <v>0</v>
      </c>
      <c r="BH445" s="472" t="s">
        <v>1385</v>
      </c>
      <c r="BI445" s="510">
        <v>0</v>
      </c>
      <c r="BJ445" s="510">
        <v>172.81</v>
      </c>
      <c r="BK445" s="510">
        <v>0</v>
      </c>
      <c r="BL445" s="510">
        <v>0</v>
      </c>
      <c r="BM445" s="510">
        <v>0</v>
      </c>
      <c r="BN445" s="510">
        <v>4000</v>
      </c>
      <c r="BO445" s="510">
        <v>0</v>
      </c>
      <c r="BP445" s="510">
        <v>0</v>
      </c>
      <c r="BQ445" s="510">
        <v>0</v>
      </c>
      <c r="BR445" s="510">
        <v>0</v>
      </c>
      <c r="BS445" s="510">
        <v>0</v>
      </c>
      <c r="BT445" s="510">
        <v>0</v>
      </c>
      <c r="BU445" s="510">
        <v>0</v>
      </c>
      <c r="BV445" s="510">
        <v>0</v>
      </c>
      <c r="BW445" s="510">
        <v>0</v>
      </c>
      <c r="BX445" s="510">
        <v>30000</v>
      </c>
      <c r="BY445" s="1011">
        <v>0</v>
      </c>
      <c r="BZ445" s="510">
        <v>0</v>
      </c>
      <c r="CA445" s="1011">
        <v>0</v>
      </c>
      <c r="CB445" s="510">
        <v>0</v>
      </c>
      <c r="CC445" s="1011">
        <v>0</v>
      </c>
      <c r="CD445" s="510">
        <v>0</v>
      </c>
      <c r="CE445" s="1011">
        <v>0</v>
      </c>
      <c r="CF445" s="510">
        <v>48436.800000000003</v>
      </c>
      <c r="CG445" s="1011">
        <v>0</v>
      </c>
      <c r="CH445" s="510">
        <v>0</v>
      </c>
      <c r="CI445" s="1011">
        <v>0</v>
      </c>
    </row>
    <row r="446" spans="1:87" x14ac:dyDescent="0.2">
      <c r="A446" s="449">
        <v>73</v>
      </c>
      <c r="B446" s="453">
        <v>19500</v>
      </c>
      <c r="C446" s="454" t="s">
        <v>4738</v>
      </c>
      <c r="D446" s="454" t="s">
        <v>517</v>
      </c>
      <c r="E446" s="454" t="s">
        <v>4738</v>
      </c>
      <c r="F446" s="454" t="s">
        <v>520</v>
      </c>
      <c r="G446" s="454" t="s">
        <v>13070</v>
      </c>
      <c r="H446" s="455">
        <v>3904267000100</v>
      </c>
      <c r="I446" s="462">
        <v>36678</v>
      </c>
      <c r="J446" s="457">
        <v>37628879</v>
      </c>
      <c r="K446" s="454" t="s">
        <v>4740</v>
      </c>
      <c r="L446" s="458">
        <v>240</v>
      </c>
      <c r="M446" s="454" t="s">
        <v>4741</v>
      </c>
      <c r="N446" s="459">
        <v>5877200</v>
      </c>
      <c r="O446" s="460">
        <v>58732818</v>
      </c>
      <c r="P446" s="462">
        <v>301020</v>
      </c>
      <c r="Q446" s="462">
        <v>138</v>
      </c>
      <c r="R446" s="462">
        <v>43969</v>
      </c>
      <c r="S446" s="463">
        <v>801</v>
      </c>
      <c r="T446" s="464">
        <v>5.4</v>
      </c>
      <c r="U446" s="465">
        <v>4325.3999999999996</v>
      </c>
      <c r="V446" s="465">
        <v>18720</v>
      </c>
      <c r="W446" s="466">
        <v>0</v>
      </c>
      <c r="X446" s="467">
        <v>1</v>
      </c>
      <c r="Y446" s="466">
        <v>34568.1</v>
      </c>
      <c r="Z446" s="468" t="s">
        <v>516</v>
      </c>
      <c r="AA446" s="466">
        <v>134047.70000000001</v>
      </c>
      <c r="AB446" s="466">
        <v>134047.70000000001</v>
      </c>
      <c r="AC446" s="467">
        <v>0</v>
      </c>
      <c r="AD446" s="466">
        <v>0</v>
      </c>
      <c r="AE446" s="468" t="s">
        <v>516</v>
      </c>
      <c r="AF446" s="466">
        <v>1000</v>
      </c>
      <c r="AG446" s="466">
        <v>1000</v>
      </c>
      <c r="AH446" s="466">
        <v>17305.07</v>
      </c>
      <c r="AI446" s="466">
        <v>9353.17</v>
      </c>
      <c r="AJ446" s="469" t="s">
        <v>1489</v>
      </c>
      <c r="AK446" s="470" t="s">
        <v>520</v>
      </c>
      <c r="AL446" s="471" t="s">
        <v>4742</v>
      </c>
      <c r="AM446" s="470" t="s">
        <v>13071</v>
      </c>
      <c r="AN446" s="470" t="s">
        <v>4739</v>
      </c>
      <c r="AO446" s="470" t="s">
        <v>4743</v>
      </c>
      <c r="AP446" s="470" t="s">
        <v>4744</v>
      </c>
      <c r="AQ446" s="470" t="s">
        <v>4738</v>
      </c>
      <c r="AR446" s="472" t="s">
        <v>515</v>
      </c>
      <c r="AS446" s="473" t="s">
        <v>1385</v>
      </c>
      <c r="AT446" s="472" t="s">
        <v>517</v>
      </c>
      <c r="AU446" s="472" t="s">
        <v>420</v>
      </c>
      <c r="AV446" s="472">
        <v>2020</v>
      </c>
      <c r="AW446" s="474" t="s">
        <v>15078</v>
      </c>
      <c r="AX446" s="475" t="s">
        <v>15079</v>
      </c>
      <c r="AY446" s="515">
        <v>1</v>
      </c>
      <c r="AZ446" s="474" t="s">
        <v>15079</v>
      </c>
      <c r="BA446" s="472" t="s">
        <v>517</v>
      </c>
      <c r="BB446" s="472" t="s">
        <v>1385</v>
      </c>
      <c r="BC446" s="472" t="s">
        <v>1385</v>
      </c>
      <c r="BD446" s="472" t="s">
        <v>1385</v>
      </c>
      <c r="BE446" s="472" t="s">
        <v>1385</v>
      </c>
      <c r="BF446" s="509">
        <v>34568.1</v>
      </c>
      <c r="BG446" s="472">
        <v>0</v>
      </c>
      <c r="BH446" s="472" t="s">
        <v>1385</v>
      </c>
      <c r="BI446" s="510">
        <v>0</v>
      </c>
      <c r="BJ446" s="510">
        <v>0</v>
      </c>
      <c r="BK446" s="510">
        <v>0</v>
      </c>
      <c r="BL446" s="510">
        <v>2540.2199999999998</v>
      </c>
      <c r="BM446" s="510">
        <v>0</v>
      </c>
      <c r="BN446" s="510">
        <v>4100</v>
      </c>
      <c r="BO446" s="510">
        <v>1000</v>
      </c>
      <c r="BP446" s="510">
        <v>1000</v>
      </c>
      <c r="BQ446" s="510">
        <v>0</v>
      </c>
      <c r="BR446" s="510">
        <v>0</v>
      </c>
      <c r="BS446" s="510">
        <v>0</v>
      </c>
      <c r="BT446" s="510">
        <v>0</v>
      </c>
      <c r="BU446" s="510">
        <v>2500</v>
      </c>
      <c r="BV446" s="510">
        <v>2500</v>
      </c>
      <c r="BW446" s="510">
        <v>0</v>
      </c>
      <c r="BX446" s="510">
        <v>30000</v>
      </c>
      <c r="BY446" s="1011">
        <v>0</v>
      </c>
      <c r="BZ446" s="510">
        <v>0</v>
      </c>
      <c r="CA446" s="1011">
        <v>0</v>
      </c>
      <c r="CB446" s="510">
        <v>22000</v>
      </c>
      <c r="CC446" s="1011">
        <v>0</v>
      </c>
      <c r="CD446" s="510">
        <v>0</v>
      </c>
      <c r="CE446" s="1011">
        <v>0</v>
      </c>
      <c r="CF446" s="510">
        <v>46479.6</v>
      </c>
      <c r="CG446" s="1011">
        <v>0</v>
      </c>
      <c r="CH446" s="510">
        <v>0</v>
      </c>
      <c r="CI446" s="1011">
        <v>0</v>
      </c>
    </row>
    <row r="447" spans="1:87" x14ac:dyDescent="0.2">
      <c r="A447" s="449">
        <v>173</v>
      </c>
      <c r="B447" s="453">
        <v>19501</v>
      </c>
      <c r="C447" s="454" t="s">
        <v>4745</v>
      </c>
      <c r="D447" s="454" t="s">
        <v>1390</v>
      </c>
      <c r="E447" s="454" t="s">
        <v>4746</v>
      </c>
      <c r="F447" s="454" t="s">
        <v>520</v>
      </c>
      <c r="G447" s="454" t="s">
        <v>13072</v>
      </c>
      <c r="H447" s="455">
        <v>23177417000120</v>
      </c>
      <c r="I447" s="462">
        <v>42221</v>
      </c>
      <c r="J447" s="457">
        <v>54041520</v>
      </c>
      <c r="K447" s="454" t="s">
        <v>4748</v>
      </c>
      <c r="L447" s="458">
        <v>111</v>
      </c>
      <c r="M447" s="454" t="s">
        <v>4749</v>
      </c>
      <c r="N447" s="459">
        <v>415030</v>
      </c>
      <c r="O447" s="460">
        <v>58975361</v>
      </c>
      <c r="P447" s="462">
        <v>306730</v>
      </c>
      <c r="Q447" s="462">
        <v>99</v>
      </c>
      <c r="R447" s="462">
        <v>43969</v>
      </c>
      <c r="S447" s="463">
        <v>465</v>
      </c>
      <c r="T447" s="464">
        <v>3.6</v>
      </c>
      <c r="U447" s="465">
        <v>1674</v>
      </c>
      <c r="V447" s="465">
        <v>15120</v>
      </c>
      <c r="W447" s="466">
        <v>0</v>
      </c>
      <c r="X447" s="467">
        <v>1</v>
      </c>
      <c r="Y447" s="466">
        <v>25191</v>
      </c>
      <c r="Z447" s="468" t="s">
        <v>516</v>
      </c>
      <c r="AA447" s="466">
        <v>103541.4</v>
      </c>
      <c r="AB447" s="466">
        <v>103541.4</v>
      </c>
      <c r="AC447" s="467">
        <v>0</v>
      </c>
      <c r="AD447" s="466">
        <v>0</v>
      </c>
      <c r="AE447" s="468" t="s">
        <v>516</v>
      </c>
      <c r="AF447" s="466">
        <v>0</v>
      </c>
      <c r="AG447" s="466">
        <v>0</v>
      </c>
      <c r="AH447" s="466">
        <v>16649.16</v>
      </c>
      <c r="AI447" s="466">
        <v>7744.68</v>
      </c>
      <c r="AJ447" s="469" t="s">
        <v>1813</v>
      </c>
      <c r="AK447" s="470" t="s">
        <v>1814</v>
      </c>
      <c r="AL447" s="471" t="s">
        <v>4750</v>
      </c>
      <c r="AM447" s="470" t="s">
        <v>4751</v>
      </c>
      <c r="AN447" s="470" t="s">
        <v>4747</v>
      </c>
      <c r="AO447" s="470" t="s">
        <v>4752</v>
      </c>
      <c r="AP447" s="470" t="s">
        <v>4753</v>
      </c>
      <c r="AQ447" s="470" t="s">
        <v>4745</v>
      </c>
      <c r="AR447" s="472" t="s">
        <v>515</v>
      </c>
      <c r="AS447" s="473" t="s">
        <v>1385</v>
      </c>
      <c r="AT447" s="472" t="s">
        <v>1390</v>
      </c>
      <c r="AU447" s="472" t="s">
        <v>420</v>
      </c>
      <c r="AV447" s="472">
        <v>2020</v>
      </c>
      <c r="AW447" s="474" t="s">
        <v>15078</v>
      </c>
      <c r="AX447" s="475" t="s">
        <v>15079</v>
      </c>
      <c r="AY447" s="515">
        <v>1</v>
      </c>
      <c r="AZ447" s="474" t="s">
        <v>15079</v>
      </c>
      <c r="BA447" s="472" t="s">
        <v>1390</v>
      </c>
      <c r="BB447" s="472" t="s">
        <v>1385</v>
      </c>
      <c r="BC447" s="472" t="s">
        <v>1385</v>
      </c>
      <c r="BD447" s="472" t="s">
        <v>1385</v>
      </c>
      <c r="BE447" s="472" t="s">
        <v>1385</v>
      </c>
      <c r="BF447" s="472">
        <v>25191</v>
      </c>
      <c r="BG447" s="472">
        <v>0</v>
      </c>
      <c r="BH447" s="472" t="s">
        <v>1385</v>
      </c>
      <c r="BI447" s="510">
        <v>0</v>
      </c>
      <c r="BJ447" s="510">
        <v>0</v>
      </c>
      <c r="BK447" s="510">
        <v>0</v>
      </c>
      <c r="BL447" s="510">
        <v>0</v>
      </c>
      <c r="BM447" s="510">
        <v>0</v>
      </c>
      <c r="BN447" s="510">
        <v>4000</v>
      </c>
      <c r="BO447" s="510">
        <v>0</v>
      </c>
      <c r="BP447" s="510">
        <v>0</v>
      </c>
      <c r="BQ447" s="510">
        <v>0</v>
      </c>
      <c r="BR447" s="510">
        <v>0</v>
      </c>
      <c r="BS447" s="510">
        <v>0</v>
      </c>
      <c r="BT447" s="510">
        <v>0</v>
      </c>
      <c r="BU447" s="510">
        <v>0</v>
      </c>
      <c r="BV447" s="510">
        <v>0</v>
      </c>
      <c r="BW447" s="510">
        <v>0</v>
      </c>
      <c r="BX447" s="510">
        <v>30000</v>
      </c>
      <c r="BY447" s="1011">
        <v>0</v>
      </c>
      <c r="BZ447" s="510">
        <v>0</v>
      </c>
      <c r="CA447" s="1011">
        <v>0</v>
      </c>
      <c r="CB447" s="510">
        <v>0</v>
      </c>
      <c r="CC447" s="1011">
        <v>0</v>
      </c>
      <c r="CD447" s="510">
        <v>0</v>
      </c>
      <c r="CE447" s="1011">
        <v>0</v>
      </c>
      <c r="CF447" s="510">
        <v>48350.400000000001</v>
      </c>
      <c r="CG447" s="1011">
        <v>0</v>
      </c>
      <c r="CH447" s="510">
        <v>0</v>
      </c>
      <c r="CI447" s="1011">
        <v>0</v>
      </c>
    </row>
    <row r="448" spans="1:87" x14ac:dyDescent="0.2">
      <c r="A448" s="449">
        <v>130</v>
      </c>
      <c r="B448" s="453">
        <v>19502</v>
      </c>
      <c r="C448" s="454" t="s">
        <v>4754</v>
      </c>
      <c r="D448" s="454" t="s">
        <v>1390</v>
      </c>
      <c r="E448" s="454" t="s">
        <v>4755</v>
      </c>
      <c r="F448" s="454" t="s">
        <v>526</v>
      </c>
      <c r="G448" s="454" t="s">
        <v>13073</v>
      </c>
      <c r="H448" s="455">
        <v>19400978000179</v>
      </c>
      <c r="I448" s="462">
        <v>41611</v>
      </c>
      <c r="J448" s="457">
        <v>49190296</v>
      </c>
      <c r="K448" s="454" t="s">
        <v>4756</v>
      </c>
      <c r="L448" s="458">
        <v>183</v>
      </c>
      <c r="M448" s="454" t="s">
        <v>4757</v>
      </c>
      <c r="N448" s="459">
        <v>8142185</v>
      </c>
      <c r="O448" s="460">
        <v>20254087</v>
      </c>
      <c r="P448" s="462">
        <v>167960</v>
      </c>
      <c r="Q448" s="462">
        <v>130</v>
      </c>
      <c r="R448" s="462">
        <v>43928</v>
      </c>
      <c r="S448" s="463">
        <v>491</v>
      </c>
      <c r="T448" s="464">
        <v>3.6</v>
      </c>
      <c r="U448" s="465">
        <v>1767.6</v>
      </c>
      <c r="V448" s="465">
        <v>15120</v>
      </c>
      <c r="W448" s="466">
        <v>0</v>
      </c>
      <c r="X448" s="467">
        <v>1</v>
      </c>
      <c r="Y448" s="466">
        <v>25331.4</v>
      </c>
      <c r="Z448" s="468" t="s">
        <v>516</v>
      </c>
      <c r="AA448" s="466">
        <v>107123.4</v>
      </c>
      <c r="AB448" s="466">
        <v>107123.4</v>
      </c>
      <c r="AC448" s="467">
        <v>0</v>
      </c>
      <c r="AD448" s="466">
        <v>0</v>
      </c>
      <c r="AE448" s="468" t="s">
        <v>516</v>
      </c>
      <c r="AF448" s="466">
        <v>0</v>
      </c>
      <c r="AG448" s="466">
        <v>0</v>
      </c>
      <c r="AH448" s="466">
        <v>18747.93</v>
      </c>
      <c r="AI448" s="466">
        <v>2328.52</v>
      </c>
      <c r="AJ448" s="469" t="s">
        <v>1410</v>
      </c>
      <c r="AK448" s="470" t="s">
        <v>1411</v>
      </c>
      <c r="AL448" s="471" t="s">
        <v>4758</v>
      </c>
      <c r="AM448" s="470" t="s">
        <v>13074</v>
      </c>
      <c r="AN448" s="470" t="s">
        <v>1385</v>
      </c>
      <c r="AO448" s="470" t="s">
        <v>4759</v>
      </c>
      <c r="AP448" s="470" t="s">
        <v>4760</v>
      </c>
      <c r="AQ448" s="470" t="s">
        <v>4754</v>
      </c>
      <c r="AR448" s="472" t="s">
        <v>515</v>
      </c>
      <c r="AS448" s="473" t="s">
        <v>1385</v>
      </c>
      <c r="AT448" s="472" t="s">
        <v>1390</v>
      </c>
      <c r="AU448" s="472" t="s">
        <v>420</v>
      </c>
      <c r="AV448" s="472">
        <v>2020</v>
      </c>
      <c r="AW448" s="474" t="s">
        <v>15078</v>
      </c>
      <c r="AX448" s="475" t="s">
        <v>15079</v>
      </c>
      <c r="AY448" s="515">
        <v>1</v>
      </c>
      <c r="AZ448" s="474" t="s">
        <v>15079</v>
      </c>
      <c r="BA448" s="472" t="s">
        <v>1390</v>
      </c>
      <c r="BB448" s="472" t="s">
        <v>1385</v>
      </c>
      <c r="BC448" s="472" t="s">
        <v>1385</v>
      </c>
      <c r="BD448" s="472" t="s">
        <v>1385</v>
      </c>
      <c r="BE448" s="472" t="s">
        <v>1385</v>
      </c>
      <c r="BF448" s="472">
        <v>25331.4</v>
      </c>
      <c r="BG448" s="472">
        <v>0</v>
      </c>
      <c r="BH448" s="472" t="s">
        <v>1385</v>
      </c>
      <c r="BI448" s="510">
        <v>0</v>
      </c>
      <c r="BJ448" s="510">
        <v>0</v>
      </c>
      <c r="BK448" s="510">
        <v>0</v>
      </c>
      <c r="BL448" s="510">
        <v>0</v>
      </c>
      <c r="BM448" s="510">
        <v>0</v>
      </c>
      <c r="BN448" s="510">
        <v>4000</v>
      </c>
      <c r="BO448" s="510">
        <v>0</v>
      </c>
      <c r="BP448" s="510">
        <v>0</v>
      </c>
      <c r="BQ448" s="510">
        <v>0</v>
      </c>
      <c r="BR448" s="510">
        <v>0</v>
      </c>
      <c r="BS448" s="510">
        <v>0</v>
      </c>
      <c r="BT448" s="510">
        <v>0</v>
      </c>
      <c r="BU448" s="510">
        <v>0</v>
      </c>
      <c r="BV448" s="510">
        <v>0</v>
      </c>
      <c r="BW448" s="510">
        <v>0</v>
      </c>
      <c r="BX448" s="510">
        <v>30000</v>
      </c>
      <c r="BY448" s="1011">
        <v>0</v>
      </c>
      <c r="BZ448" s="510">
        <v>0</v>
      </c>
      <c r="CA448" s="1011">
        <v>0</v>
      </c>
      <c r="CB448" s="510">
        <v>0</v>
      </c>
      <c r="CC448" s="1011">
        <v>0</v>
      </c>
      <c r="CD448" s="510">
        <v>0</v>
      </c>
      <c r="CE448" s="1011">
        <v>0</v>
      </c>
      <c r="CF448" s="510">
        <v>51792</v>
      </c>
      <c r="CG448" s="1011">
        <v>0</v>
      </c>
      <c r="CH448" s="510">
        <v>0</v>
      </c>
      <c r="CI448" s="1011">
        <v>0</v>
      </c>
    </row>
    <row r="449" spans="1:87" x14ac:dyDescent="0.2">
      <c r="A449" s="449">
        <v>133</v>
      </c>
      <c r="B449" s="453">
        <v>19503</v>
      </c>
      <c r="C449" s="454" t="s">
        <v>4761</v>
      </c>
      <c r="D449" s="454" t="s">
        <v>517</v>
      </c>
      <c r="E449" s="454" t="s">
        <v>4762</v>
      </c>
      <c r="F449" s="454" t="s">
        <v>526</v>
      </c>
      <c r="G449" s="454" t="s">
        <v>13075</v>
      </c>
      <c r="H449" s="455">
        <v>22705176000181</v>
      </c>
      <c r="I449" s="462">
        <v>42135</v>
      </c>
      <c r="J449" s="457">
        <v>52677524</v>
      </c>
      <c r="K449" s="454" t="s">
        <v>4763</v>
      </c>
      <c r="L449" s="458" t="s">
        <v>1446</v>
      </c>
      <c r="M449" s="454" t="s">
        <v>4764</v>
      </c>
      <c r="N449" s="459">
        <v>8452340</v>
      </c>
      <c r="O449" s="460">
        <v>25618190</v>
      </c>
      <c r="P449" s="462">
        <v>134140</v>
      </c>
      <c r="Q449" s="462">
        <v>133</v>
      </c>
      <c r="R449" s="462">
        <v>43928</v>
      </c>
      <c r="S449" s="463">
        <v>682</v>
      </c>
      <c r="T449" s="464">
        <v>5.4</v>
      </c>
      <c r="U449" s="465">
        <v>3682.8</v>
      </c>
      <c r="V449" s="465">
        <v>17100</v>
      </c>
      <c r="W449" s="466">
        <v>0</v>
      </c>
      <c r="X449" s="467">
        <v>1</v>
      </c>
      <c r="Y449" s="466">
        <v>31174.2</v>
      </c>
      <c r="Z449" s="468" t="s">
        <v>516</v>
      </c>
      <c r="AA449" s="466">
        <v>125512.6</v>
      </c>
      <c r="AB449" s="466">
        <v>125512.6</v>
      </c>
      <c r="AC449" s="467">
        <v>0</v>
      </c>
      <c r="AD449" s="466">
        <v>0</v>
      </c>
      <c r="AE449" s="468" t="s">
        <v>516</v>
      </c>
      <c r="AF449" s="466">
        <v>1400</v>
      </c>
      <c r="AG449" s="466">
        <v>1400</v>
      </c>
      <c r="AH449" s="466">
        <v>8487.02</v>
      </c>
      <c r="AI449" s="466">
        <v>6234.84</v>
      </c>
      <c r="AJ449" s="469" t="s">
        <v>1410</v>
      </c>
      <c r="AK449" s="470" t="s">
        <v>1411</v>
      </c>
      <c r="AL449" s="471" t="s">
        <v>4765</v>
      </c>
      <c r="AM449" s="470" t="s">
        <v>4766</v>
      </c>
      <c r="AN449" s="470" t="s">
        <v>280</v>
      </c>
      <c r="AO449" s="470" t="s">
        <v>4767</v>
      </c>
      <c r="AP449" s="470" t="s">
        <v>1766</v>
      </c>
      <c r="AQ449" s="470" t="s">
        <v>4761</v>
      </c>
      <c r="AR449" s="472" t="s">
        <v>515</v>
      </c>
      <c r="AS449" s="473" t="s">
        <v>1385</v>
      </c>
      <c r="AT449" s="472" t="s">
        <v>517</v>
      </c>
      <c r="AU449" s="472" t="s">
        <v>420</v>
      </c>
      <c r="AV449" s="472">
        <v>2020</v>
      </c>
      <c r="AW449" s="474" t="s">
        <v>15078</v>
      </c>
      <c r="AX449" s="475" t="s">
        <v>15079</v>
      </c>
      <c r="AY449" s="515">
        <v>1</v>
      </c>
      <c r="AZ449" s="474" t="s">
        <v>15079</v>
      </c>
      <c r="BA449" s="472" t="s">
        <v>517</v>
      </c>
      <c r="BB449" s="472" t="s">
        <v>1385</v>
      </c>
      <c r="BC449" s="472" t="s">
        <v>1385</v>
      </c>
      <c r="BD449" s="472" t="s">
        <v>1385</v>
      </c>
      <c r="BE449" s="472" t="s">
        <v>1385</v>
      </c>
      <c r="BF449" s="472">
        <v>31174.2</v>
      </c>
      <c r="BG449" s="472">
        <v>0</v>
      </c>
      <c r="BH449" s="472" t="s">
        <v>1385</v>
      </c>
      <c r="BI449" s="510">
        <v>0</v>
      </c>
      <c r="BJ449" s="510">
        <v>0</v>
      </c>
      <c r="BK449" s="510">
        <v>0</v>
      </c>
      <c r="BL449" s="510">
        <v>0</v>
      </c>
      <c r="BM449" s="510">
        <v>0</v>
      </c>
      <c r="BN449" s="510">
        <v>875</v>
      </c>
      <c r="BO449" s="510">
        <v>600</v>
      </c>
      <c r="BP449" s="510">
        <v>1400</v>
      </c>
      <c r="BQ449" s="510">
        <v>0</v>
      </c>
      <c r="BR449" s="510">
        <v>0</v>
      </c>
      <c r="BS449" s="510">
        <v>0</v>
      </c>
      <c r="BT449" s="510">
        <v>0</v>
      </c>
      <c r="BU449" s="510">
        <v>2500</v>
      </c>
      <c r="BV449" s="510">
        <v>2500</v>
      </c>
      <c r="BW449" s="510">
        <v>0</v>
      </c>
      <c r="BX449" s="510">
        <v>30000</v>
      </c>
      <c r="BY449" s="1011">
        <v>0</v>
      </c>
      <c r="BZ449" s="510">
        <v>0</v>
      </c>
      <c r="CA449" s="1011">
        <v>0</v>
      </c>
      <c r="CB449" s="510">
        <v>22000</v>
      </c>
      <c r="CC449" s="1011">
        <v>0</v>
      </c>
      <c r="CD449" s="510">
        <v>0</v>
      </c>
      <c r="CE449" s="1011">
        <v>0</v>
      </c>
      <c r="CF449" s="510">
        <v>41738.400000000001</v>
      </c>
      <c r="CG449" s="1011">
        <v>0</v>
      </c>
      <c r="CH449" s="510">
        <v>0</v>
      </c>
      <c r="CI449" s="1011">
        <v>0</v>
      </c>
    </row>
    <row r="450" spans="1:87" x14ac:dyDescent="0.2">
      <c r="A450" s="449">
        <v>99</v>
      </c>
      <c r="B450" s="453">
        <v>19504</v>
      </c>
      <c r="C450" s="454" t="s">
        <v>4768</v>
      </c>
      <c r="D450" s="454" t="s">
        <v>1390</v>
      </c>
      <c r="E450" s="454" t="s">
        <v>4769</v>
      </c>
      <c r="F450" s="454" t="s">
        <v>518</v>
      </c>
      <c r="G450" s="454" t="s">
        <v>13076</v>
      </c>
      <c r="H450" s="455">
        <v>22134439000140</v>
      </c>
      <c r="I450" s="462">
        <v>42082</v>
      </c>
      <c r="J450" s="457">
        <v>52026086</v>
      </c>
      <c r="K450" s="454" t="s">
        <v>4771</v>
      </c>
      <c r="L450" s="458">
        <v>20</v>
      </c>
      <c r="M450" s="454" t="s">
        <v>4772</v>
      </c>
      <c r="N450" s="459">
        <v>8490870</v>
      </c>
      <c r="O450" s="460">
        <v>22858442</v>
      </c>
      <c r="P450" s="462">
        <v>49762</v>
      </c>
      <c r="Q450" s="462">
        <v>68</v>
      </c>
      <c r="R450" s="462">
        <v>43934</v>
      </c>
      <c r="S450" s="463">
        <v>240</v>
      </c>
      <c r="T450" s="464">
        <v>3.6</v>
      </c>
      <c r="U450" s="465">
        <v>864</v>
      </c>
      <c r="V450" s="465">
        <v>12240</v>
      </c>
      <c r="W450" s="466">
        <v>0</v>
      </c>
      <c r="X450" s="467">
        <v>1</v>
      </c>
      <c r="Y450" s="466">
        <v>19656</v>
      </c>
      <c r="Z450" s="468" t="s">
        <v>516</v>
      </c>
      <c r="AA450" s="466">
        <v>94550.399999999994</v>
      </c>
      <c r="AB450" s="466">
        <v>94550.399999999994</v>
      </c>
      <c r="AC450" s="467">
        <v>0</v>
      </c>
      <c r="AD450" s="466">
        <v>0</v>
      </c>
      <c r="AE450" s="468" t="s">
        <v>516</v>
      </c>
      <c r="AF450" s="466">
        <v>0</v>
      </c>
      <c r="AG450" s="466">
        <v>0</v>
      </c>
      <c r="AH450" s="466">
        <v>9270.75</v>
      </c>
      <c r="AI450" s="466">
        <v>5241.6000000000004</v>
      </c>
      <c r="AJ450" s="469" t="s">
        <v>2520</v>
      </c>
      <c r="AK450" s="470" t="s">
        <v>4773</v>
      </c>
      <c r="AL450" s="471" t="s">
        <v>4774</v>
      </c>
      <c r="AM450" s="470" t="s">
        <v>4775</v>
      </c>
      <c r="AN450" s="470" t="s">
        <v>4770</v>
      </c>
      <c r="AO450" s="470" t="s">
        <v>14989</v>
      </c>
      <c r="AP450" s="470" t="s">
        <v>4776</v>
      </c>
      <c r="AQ450" s="470" t="s">
        <v>4768</v>
      </c>
      <c r="AR450" s="472" t="s">
        <v>515</v>
      </c>
      <c r="AS450" s="473" t="s">
        <v>1385</v>
      </c>
      <c r="AT450" s="472" t="s">
        <v>1390</v>
      </c>
      <c r="AU450" s="472" t="s">
        <v>420</v>
      </c>
      <c r="AV450" s="472">
        <v>2020</v>
      </c>
      <c r="AW450" s="474" t="s">
        <v>15078</v>
      </c>
      <c r="AX450" s="475" t="s">
        <v>15079</v>
      </c>
      <c r="AY450" s="515">
        <v>1</v>
      </c>
      <c r="AZ450" s="474" t="s">
        <v>15079</v>
      </c>
      <c r="BA450" s="472" t="s">
        <v>1390</v>
      </c>
      <c r="BB450" s="472" t="s">
        <v>1385</v>
      </c>
      <c r="BC450" s="472" t="s">
        <v>1385</v>
      </c>
      <c r="BD450" s="472" t="s">
        <v>1385</v>
      </c>
      <c r="BE450" s="472" t="s">
        <v>1385</v>
      </c>
      <c r="BF450" s="472">
        <v>19656</v>
      </c>
      <c r="BG450" s="472">
        <v>0</v>
      </c>
      <c r="BH450" s="472" t="s">
        <v>1385</v>
      </c>
      <c r="BI450" s="510">
        <v>0</v>
      </c>
      <c r="BJ450" s="510">
        <v>0</v>
      </c>
      <c r="BK450" s="510">
        <v>0</v>
      </c>
      <c r="BL450" s="510">
        <v>0</v>
      </c>
      <c r="BM450" s="510">
        <v>0</v>
      </c>
      <c r="BN450" s="510">
        <v>3000</v>
      </c>
      <c r="BO450" s="510">
        <v>0</v>
      </c>
      <c r="BP450" s="510">
        <v>0</v>
      </c>
      <c r="BQ450" s="510">
        <v>0</v>
      </c>
      <c r="BR450" s="510">
        <v>0</v>
      </c>
      <c r="BS450" s="510">
        <v>0</v>
      </c>
      <c r="BT450" s="510">
        <v>0</v>
      </c>
      <c r="BU450" s="510">
        <v>0</v>
      </c>
      <c r="BV450" s="510">
        <v>0</v>
      </c>
      <c r="BW450" s="510">
        <v>0</v>
      </c>
      <c r="BX450" s="510">
        <v>30000</v>
      </c>
      <c r="BY450" s="1011">
        <v>0</v>
      </c>
      <c r="BZ450" s="510">
        <v>0</v>
      </c>
      <c r="CA450" s="1011">
        <v>0</v>
      </c>
      <c r="CB450" s="510">
        <v>0</v>
      </c>
      <c r="CC450" s="1011">
        <v>0</v>
      </c>
      <c r="CD450" s="510">
        <v>0</v>
      </c>
      <c r="CE450" s="1011">
        <v>0</v>
      </c>
      <c r="CF450" s="510">
        <v>44894.400000000001</v>
      </c>
      <c r="CG450" s="1011">
        <v>0</v>
      </c>
      <c r="CH450" s="510">
        <v>0</v>
      </c>
      <c r="CI450" s="1011">
        <v>0</v>
      </c>
    </row>
    <row r="451" spans="1:87" x14ac:dyDescent="0.2">
      <c r="A451" s="449">
        <v>132</v>
      </c>
      <c r="B451" s="453">
        <v>19505</v>
      </c>
      <c r="C451" s="454" t="s">
        <v>4777</v>
      </c>
      <c r="D451" s="454" t="s">
        <v>517</v>
      </c>
      <c r="E451" s="454" t="s">
        <v>4778</v>
      </c>
      <c r="F451" s="454" t="s">
        <v>526</v>
      </c>
      <c r="G451" s="454" t="s">
        <v>13077</v>
      </c>
      <c r="H451" s="455">
        <v>21039991000196</v>
      </c>
      <c r="I451" s="462">
        <v>41885</v>
      </c>
      <c r="J451" s="457">
        <v>50916041</v>
      </c>
      <c r="K451" s="454" t="s">
        <v>4779</v>
      </c>
      <c r="L451" s="458">
        <v>72</v>
      </c>
      <c r="M451" s="454" t="s">
        <v>2807</v>
      </c>
      <c r="N451" s="459">
        <v>8245045</v>
      </c>
      <c r="O451" s="460">
        <v>20311513</v>
      </c>
      <c r="P451" s="462">
        <v>130489</v>
      </c>
      <c r="Q451" s="462">
        <v>132</v>
      </c>
      <c r="R451" s="462">
        <v>43928</v>
      </c>
      <c r="S451" s="463">
        <v>903</v>
      </c>
      <c r="T451" s="464">
        <v>5.4</v>
      </c>
      <c r="U451" s="465">
        <v>4876.2</v>
      </c>
      <c r="V451" s="465">
        <v>20340</v>
      </c>
      <c r="W451" s="466">
        <v>0</v>
      </c>
      <c r="X451" s="467">
        <v>1</v>
      </c>
      <c r="Y451" s="466">
        <v>37824.300000000003</v>
      </c>
      <c r="Z451" s="468" t="s">
        <v>516</v>
      </c>
      <c r="AA451" s="466">
        <v>136541.5</v>
      </c>
      <c r="AB451" s="466">
        <v>136541.5</v>
      </c>
      <c r="AC451" s="467">
        <v>0</v>
      </c>
      <c r="AD451" s="466">
        <v>0</v>
      </c>
      <c r="AE451" s="468" t="s">
        <v>516</v>
      </c>
      <c r="AF451" s="466">
        <v>2000</v>
      </c>
      <c r="AG451" s="466">
        <v>2000</v>
      </c>
      <c r="AH451" s="466">
        <v>11625.07</v>
      </c>
      <c r="AI451" s="466">
        <v>4853.51</v>
      </c>
      <c r="AJ451" s="469" t="s">
        <v>1839</v>
      </c>
      <c r="AK451" s="470" t="s">
        <v>526</v>
      </c>
      <c r="AL451" s="471" t="s">
        <v>4780</v>
      </c>
      <c r="AM451" s="470" t="s">
        <v>13078</v>
      </c>
      <c r="AN451" s="470" t="s">
        <v>1385</v>
      </c>
      <c r="AO451" s="470" t="s">
        <v>13079</v>
      </c>
      <c r="AP451" s="470" t="s">
        <v>4781</v>
      </c>
      <c r="AQ451" s="470" t="s">
        <v>4777</v>
      </c>
      <c r="AR451" s="472" t="s">
        <v>515</v>
      </c>
      <c r="AS451" s="473" t="s">
        <v>1385</v>
      </c>
      <c r="AT451" s="472" t="s">
        <v>517</v>
      </c>
      <c r="AU451" s="472" t="s">
        <v>420</v>
      </c>
      <c r="AV451" s="472">
        <v>2020</v>
      </c>
      <c r="AW451" s="474" t="s">
        <v>15078</v>
      </c>
      <c r="AX451" s="475" t="s">
        <v>15079</v>
      </c>
      <c r="AY451" s="515">
        <v>1</v>
      </c>
      <c r="AZ451" s="474" t="s">
        <v>15079</v>
      </c>
      <c r="BA451" s="472" t="s">
        <v>517</v>
      </c>
      <c r="BB451" s="472" t="s">
        <v>1385</v>
      </c>
      <c r="BC451" s="472" t="s">
        <v>1385</v>
      </c>
      <c r="BD451" s="472" t="s">
        <v>1385</v>
      </c>
      <c r="BE451" s="472" t="s">
        <v>1385</v>
      </c>
      <c r="BF451" s="472">
        <v>37824.300000000003</v>
      </c>
      <c r="BG451" s="472">
        <v>0</v>
      </c>
      <c r="BH451" s="472" t="s">
        <v>1385</v>
      </c>
      <c r="BI451" s="510">
        <v>0</v>
      </c>
      <c r="BJ451" s="510">
        <v>0</v>
      </c>
      <c r="BK451" s="510">
        <v>0</v>
      </c>
      <c r="BL451" s="510">
        <v>0</v>
      </c>
      <c r="BM451" s="510">
        <v>0</v>
      </c>
      <c r="BN451" s="510">
        <v>5000</v>
      </c>
      <c r="BO451" s="510">
        <v>0</v>
      </c>
      <c r="BP451" s="510">
        <v>2000</v>
      </c>
      <c r="BQ451" s="510">
        <v>0</v>
      </c>
      <c r="BR451" s="510">
        <v>0</v>
      </c>
      <c r="BS451" s="510">
        <v>0</v>
      </c>
      <c r="BT451" s="510">
        <v>0</v>
      </c>
      <c r="BU451" s="510">
        <v>0</v>
      </c>
      <c r="BV451" s="510">
        <v>0</v>
      </c>
      <c r="BW451" s="510">
        <v>0</v>
      </c>
      <c r="BX451" s="510">
        <v>30000</v>
      </c>
      <c r="BY451" s="1011">
        <v>0</v>
      </c>
      <c r="BZ451" s="510">
        <v>0</v>
      </c>
      <c r="CA451" s="1011">
        <v>0</v>
      </c>
      <c r="CB451" s="510">
        <v>22000</v>
      </c>
      <c r="CC451" s="1011">
        <v>0</v>
      </c>
      <c r="CD451" s="510">
        <v>0</v>
      </c>
      <c r="CE451" s="1011">
        <v>0</v>
      </c>
      <c r="CF451" s="510">
        <v>46717.2</v>
      </c>
      <c r="CG451" s="1011">
        <v>0</v>
      </c>
      <c r="CH451" s="510">
        <v>0</v>
      </c>
      <c r="CI451" s="1011">
        <v>0</v>
      </c>
    </row>
    <row r="452" spans="1:87" x14ac:dyDescent="0.2">
      <c r="A452" s="449">
        <v>131</v>
      </c>
      <c r="B452" s="453">
        <v>19506</v>
      </c>
      <c r="C452" s="454" t="s">
        <v>4782</v>
      </c>
      <c r="D452" s="454" t="s">
        <v>517</v>
      </c>
      <c r="E452" s="454" t="s">
        <v>4783</v>
      </c>
      <c r="F452" s="454" t="s">
        <v>526</v>
      </c>
      <c r="G452" s="454" t="s">
        <v>13080</v>
      </c>
      <c r="H452" s="455">
        <v>20992497000189</v>
      </c>
      <c r="I452" s="462">
        <v>41873</v>
      </c>
      <c r="J452" s="457">
        <v>50919350</v>
      </c>
      <c r="K452" s="454" t="s">
        <v>4784</v>
      </c>
      <c r="L452" s="458">
        <v>221</v>
      </c>
      <c r="M452" s="454" t="s">
        <v>4785</v>
      </c>
      <c r="N452" s="459">
        <v>8061015</v>
      </c>
      <c r="O452" s="460">
        <v>20316004</v>
      </c>
      <c r="P452" s="462">
        <v>160485</v>
      </c>
      <c r="Q452" s="462">
        <v>131</v>
      </c>
      <c r="R452" s="462">
        <v>43928</v>
      </c>
      <c r="S452" s="463">
        <v>768</v>
      </c>
      <c r="T452" s="464">
        <v>5.4</v>
      </c>
      <c r="U452" s="465">
        <v>4147.2</v>
      </c>
      <c r="V452" s="465">
        <v>18720</v>
      </c>
      <c r="W452" s="466">
        <v>0</v>
      </c>
      <c r="X452" s="467">
        <v>1</v>
      </c>
      <c r="Y452" s="466">
        <v>39916.800000000003</v>
      </c>
      <c r="Z452" s="468" t="s">
        <v>516</v>
      </c>
      <c r="AA452" s="466">
        <v>137618.79999999999</v>
      </c>
      <c r="AB452" s="466">
        <v>137618.79999999999</v>
      </c>
      <c r="AC452" s="467">
        <v>0</v>
      </c>
      <c r="AD452" s="466">
        <v>0</v>
      </c>
      <c r="AE452" s="468" t="s">
        <v>516</v>
      </c>
      <c r="AF452" s="466">
        <v>0</v>
      </c>
      <c r="AG452" s="466">
        <v>0</v>
      </c>
      <c r="AH452" s="466">
        <v>1483.87</v>
      </c>
      <c r="AI452" s="466">
        <v>214.42</v>
      </c>
      <c r="AJ452" s="469" t="s">
        <v>1839</v>
      </c>
      <c r="AK452" s="470" t="s">
        <v>526</v>
      </c>
      <c r="AL452" s="471" t="s">
        <v>4786</v>
      </c>
      <c r="AM452" s="470" t="s">
        <v>4787</v>
      </c>
      <c r="AN452" s="470" t="s">
        <v>280</v>
      </c>
      <c r="AO452" s="470" t="s">
        <v>13081</v>
      </c>
      <c r="AP452" s="470" t="s">
        <v>4788</v>
      </c>
      <c r="AQ452" s="470" t="s">
        <v>4782</v>
      </c>
      <c r="AR452" s="472" t="s">
        <v>515</v>
      </c>
      <c r="AS452" s="473" t="s">
        <v>1385</v>
      </c>
      <c r="AT452" s="472" t="s">
        <v>517</v>
      </c>
      <c r="AU452" s="472" t="s">
        <v>420</v>
      </c>
      <c r="AV452" s="472">
        <v>2020</v>
      </c>
      <c r="AW452" s="474" t="s">
        <v>15078</v>
      </c>
      <c r="AX452" s="475" t="s">
        <v>15079</v>
      </c>
      <c r="AY452" s="515">
        <v>1</v>
      </c>
      <c r="AZ452" s="474" t="s">
        <v>15079</v>
      </c>
      <c r="BA452" s="472" t="s">
        <v>517</v>
      </c>
      <c r="BB452" s="472" t="s">
        <v>516</v>
      </c>
      <c r="BC452" s="472">
        <v>3</v>
      </c>
      <c r="BD452" s="472">
        <v>3744</v>
      </c>
      <c r="BE452" s="472">
        <v>0</v>
      </c>
      <c r="BF452" s="472">
        <v>39916.800000000003</v>
      </c>
      <c r="BG452" s="472">
        <v>0</v>
      </c>
      <c r="BH452" s="472" t="s">
        <v>1385</v>
      </c>
      <c r="BI452" s="510">
        <v>0</v>
      </c>
      <c r="BJ452" s="510">
        <v>0</v>
      </c>
      <c r="BK452" s="510">
        <v>0</v>
      </c>
      <c r="BL452" s="510">
        <v>0</v>
      </c>
      <c r="BM452" s="510">
        <v>0</v>
      </c>
      <c r="BN452" s="510">
        <v>5000</v>
      </c>
      <c r="BO452" s="510">
        <v>0</v>
      </c>
      <c r="BP452" s="510">
        <v>0</v>
      </c>
      <c r="BQ452" s="510">
        <v>0</v>
      </c>
      <c r="BR452" s="510">
        <v>0</v>
      </c>
      <c r="BS452" s="510">
        <v>0</v>
      </c>
      <c r="BT452" s="510">
        <v>0</v>
      </c>
      <c r="BU452" s="510">
        <v>0</v>
      </c>
      <c r="BV452" s="510">
        <v>0</v>
      </c>
      <c r="BW452" s="510">
        <v>0</v>
      </c>
      <c r="BX452" s="510">
        <v>30000</v>
      </c>
      <c r="BY452" s="1011">
        <v>0</v>
      </c>
      <c r="BZ452" s="510">
        <v>0</v>
      </c>
      <c r="CA452" s="1011">
        <v>0</v>
      </c>
      <c r="CB452" s="510">
        <v>22000</v>
      </c>
      <c r="CC452" s="1011">
        <v>0</v>
      </c>
      <c r="CD452" s="510">
        <v>0</v>
      </c>
      <c r="CE452" s="1011">
        <v>0</v>
      </c>
      <c r="CF452" s="510">
        <v>45702</v>
      </c>
      <c r="CG452" s="1011">
        <v>0</v>
      </c>
      <c r="CH452" s="510">
        <v>0</v>
      </c>
      <c r="CI452" s="1011">
        <v>0</v>
      </c>
    </row>
    <row r="453" spans="1:87" x14ac:dyDescent="0.2">
      <c r="A453" s="449">
        <v>129</v>
      </c>
      <c r="B453" s="453">
        <v>19507</v>
      </c>
      <c r="C453" s="454" t="s">
        <v>4789</v>
      </c>
      <c r="D453" s="454" t="s">
        <v>517</v>
      </c>
      <c r="E453" s="454" t="s">
        <v>4790</v>
      </c>
      <c r="F453" s="454" t="s">
        <v>526</v>
      </c>
      <c r="G453" s="454" t="s">
        <v>13082</v>
      </c>
      <c r="H453" s="455">
        <v>20350446000153</v>
      </c>
      <c r="I453" s="462">
        <v>41780</v>
      </c>
      <c r="J453" s="457">
        <v>49869159</v>
      </c>
      <c r="K453" s="454" t="s">
        <v>4791</v>
      </c>
      <c r="L453" s="458">
        <v>600</v>
      </c>
      <c r="M453" s="454" t="s">
        <v>4792</v>
      </c>
      <c r="N453" s="459">
        <v>8040370</v>
      </c>
      <c r="O453" s="460">
        <v>20516394</v>
      </c>
      <c r="P453" s="462">
        <v>170251</v>
      </c>
      <c r="Q453" s="462">
        <v>129</v>
      </c>
      <c r="R453" s="462">
        <v>43928</v>
      </c>
      <c r="S453" s="463">
        <v>840</v>
      </c>
      <c r="T453" s="464">
        <v>5.4</v>
      </c>
      <c r="U453" s="465">
        <v>4536</v>
      </c>
      <c r="V453" s="465">
        <v>18720</v>
      </c>
      <c r="W453" s="466">
        <v>0</v>
      </c>
      <c r="X453" s="467">
        <v>1</v>
      </c>
      <c r="Y453" s="466">
        <v>34884</v>
      </c>
      <c r="Z453" s="468" t="s">
        <v>516</v>
      </c>
      <c r="AA453" s="466">
        <v>133201.60000000001</v>
      </c>
      <c r="AB453" s="466">
        <v>133201.60000000001</v>
      </c>
      <c r="AC453" s="467">
        <v>0</v>
      </c>
      <c r="AD453" s="466">
        <v>0</v>
      </c>
      <c r="AE453" s="468" t="s">
        <v>516</v>
      </c>
      <c r="AF453" s="466">
        <v>0</v>
      </c>
      <c r="AG453" s="466">
        <v>0</v>
      </c>
      <c r="AH453" s="466">
        <v>2259.77</v>
      </c>
      <c r="AI453" s="466">
        <v>15704.84</v>
      </c>
      <c r="AJ453" s="469" t="s">
        <v>4086</v>
      </c>
      <c r="AK453" s="470" t="s">
        <v>4793</v>
      </c>
      <c r="AL453" s="471" t="s">
        <v>4794</v>
      </c>
      <c r="AM453" s="470" t="s">
        <v>4795</v>
      </c>
      <c r="AN453" s="470" t="s">
        <v>1385</v>
      </c>
      <c r="AO453" s="470" t="s">
        <v>4796</v>
      </c>
      <c r="AP453" s="470" t="s">
        <v>4797</v>
      </c>
      <c r="AQ453" s="470" t="s">
        <v>4789</v>
      </c>
      <c r="AR453" s="472" t="s">
        <v>515</v>
      </c>
      <c r="AS453" s="473" t="s">
        <v>1385</v>
      </c>
      <c r="AT453" s="472" t="s">
        <v>517</v>
      </c>
      <c r="AU453" s="472" t="s">
        <v>420</v>
      </c>
      <c r="AV453" s="472">
        <v>2020</v>
      </c>
      <c r="AW453" s="474" t="s">
        <v>15078</v>
      </c>
      <c r="AX453" s="475" t="s">
        <v>15079</v>
      </c>
      <c r="AY453" s="515">
        <v>1</v>
      </c>
      <c r="AZ453" s="474" t="s">
        <v>15079</v>
      </c>
      <c r="BA453" s="472" t="s">
        <v>517</v>
      </c>
      <c r="BB453" s="472" t="s">
        <v>1385</v>
      </c>
      <c r="BC453" s="472" t="s">
        <v>1385</v>
      </c>
      <c r="BD453" s="472" t="s">
        <v>1385</v>
      </c>
      <c r="BE453" s="472" t="s">
        <v>1385</v>
      </c>
      <c r="BF453" s="472">
        <v>34884</v>
      </c>
      <c r="BG453" s="472">
        <v>0</v>
      </c>
      <c r="BH453" s="472" t="s">
        <v>1385</v>
      </c>
      <c r="BI453" s="510">
        <v>0</v>
      </c>
      <c r="BJ453" s="510">
        <v>0</v>
      </c>
      <c r="BK453" s="510">
        <v>0</v>
      </c>
      <c r="BL453" s="510">
        <v>0</v>
      </c>
      <c r="BM453" s="510">
        <v>0</v>
      </c>
      <c r="BN453" s="510">
        <v>1500</v>
      </c>
      <c r="BO453" s="510">
        <v>0</v>
      </c>
      <c r="BP453" s="510">
        <v>0</v>
      </c>
      <c r="BQ453" s="510">
        <v>0</v>
      </c>
      <c r="BR453" s="510">
        <v>0</v>
      </c>
      <c r="BS453" s="510">
        <v>0</v>
      </c>
      <c r="BT453" s="510">
        <v>0</v>
      </c>
      <c r="BU453" s="510">
        <v>0</v>
      </c>
      <c r="BV453" s="510">
        <v>0</v>
      </c>
      <c r="BW453" s="510">
        <v>0</v>
      </c>
      <c r="BX453" s="510">
        <v>30000</v>
      </c>
      <c r="BY453" s="1011">
        <v>0</v>
      </c>
      <c r="BZ453" s="510">
        <v>0</v>
      </c>
      <c r="CA453" s="1011">
        <v>0</v>
      </c>
      <c r="CB453" s="510">
        <v>22000</v>
      </c>
      <c r="CC453" s="1011">
        <v>0</v>
      </c>
      <c r="CD453" s="510">
        <v>0</v>
      </c>
      <c r="CE453" s="1011">
        <v>0</v>
      </c>
      <c r="CF453" s="510">
        <v>46317.599999999999</v>
      </c>
      <c r="CG453" s="1011">
        <v>0</v>
      </c>
      <c r="CH453" s="510">
        <v>0</v>
      </c>
      <c r="CI453" s="1011">
        <v>0</v>
      </c>
    </row>
    <row r="454" spans="1:87" x14ac:dyDescent="0.2">
      <c r="A454" s="449">
        <v>134</v>
      </c>
      <c r="B454" s="453">
        <v>19508</v>
      </c>
      <c r="C454" s="454" t="s">
        <v>4798</v>
      </c>
      <c r="D454" s="454" t="s">
        <v>1390</v>
      </c>
      <c r="E454" s="454" t="s">
        <v>4799</v>
      </c>
      <c r="F454" s="454" t="s">
        <v>513</v>
      </c>
      <c r="G454" s="454" t="s">
        <v>13083</v>
      </c>
      <c r="H454" s="455">
        <v>20268929000103</v>
      </c>
      <c r="I454" s="462">
        <v>41730</v>
      </c>
      <c r="J454" s="457" t="s">
        <v>4800</v>
      </c>
      <c r="K454" s="454" t="s">
        <v>4801</v>
      </c>
      <c r="L454" s="458" t="s">
        <v>1446</v>
      </c>
      <c r="M454" s="454" t="s">
        <v>2877</v>
      </c>
      <c r="N454" s="459">
        <v>8390355</v>
      </c>
      <c r="O454" s="460">
        <v>27517983</v>
      </c>
      <c r="P454" s="462">
        <v>154914</v>
      </c>
      <c r="Q454" s="462">
        <v>134</v>
      </c>
      <c r="R454" s="462">
        <v>43937</v>
      </c>
      <c r="S454" s="463">
        <v>339</v>
      </c>
      <c r="T454" s="464">
        <v>3.6</v>
      </c>
      <c r="U454" s="465">
        <v>1220.4000000000001</v>
      </c>
      <c r="V454" s="465">
        <v>13680</v>
      </c>
      <c r="W454" s="466">
        <v>0</v>
      </c>
      <c r="X454" s="467">
        <v>1</v>
      </c>
      <c r="Y454" s="466">
        <v>22350.6</v>
      </c>
      <c r="Z454" s="468" t="s">
        <v>516</v>
      </c>
      <c r="AA454" s="466">
        <v>100477.8</v>
      </c>
      <c r="AB454" s="466">
        <v>100477.8</v>
      </c>
      <c r="AC454" s="467">
        <v>0</v>
      </c>
      <c r="AD454" s="466">
        <v>0</v>
      </c>
      <c r="AE454" s="468" t="s">
        <v>516</v>
      </c>
      <c r="AF454" s="466">
        <v>0</v>
      </c>
      <c r="AG454" s="466">
        <v>0</v>
      </c>
      <c r="AH454" s="466">
        <v>6355.47</v>
      </c>
      <c r="AI454" s="466">
        <v>3551.14</v>
      </c>
      <c r="AJ454" s="469" t="s">
        <v>2030</v>
      </c>
      <c r="AK454" s="470" t="s">
        <v>513</v>
      </c>
      <c r="AL454" s="471" t="s">
        <v>4802</v>
      </c>
      <c r="AM454" s="470" t="s">
        <v>13084</v>
      </c>
      <c r="AN454" s="470" t="s">
        <v>1385</v>
      </c>
      <c r="AO454" s="470" t="s">
        <v>4803</v>
      </c>
      <c r="AP454" s="470" t="s">
        <v>4804</v>
      </c>
      <c r="AQ454" s="470" t="s">
        <v>4798</v>
      </c>
      <c r="AR454" s="472" t="s">
        <v>515</v>
      </c>
      <c r="AS454" s="473" t="s">
        <v>1385</v>
      </c>
      <c r="AT454" s="472" t="s">
        <v>1390</v>
      </c>
      <c r="AU454" s="472" t="s">
        <v>420</v>
      </c>
      <c r="AV454" s="472">
        <v>2020</v>
      </c>
      <c r="AW454" s="474" t="s">
        <v>15078</v>
      </c>
      <c r="AX454" s="475" t="s">
        <v>15079</v>
      </c>
      <c r="AY454" s="515">
        <v>1</v>
      </c>
      <c r="AZ454" s="474" t="s">
        <v>15079</v>
      </c>
      <c r="BA454" s="472" t="s">
        <v>1390</v>
      </c>
      <c r="BB454" s="472" t="s">
        <v>1385</v>
      </c>
      <c r="BC454" s="472" t="s">
        <v>1385</v>
      </c>
      <c r="BD454" s="472" t="s">
        <v>1385</v>
      </c>
      <c r="BE454" s="472" t="s">
        <v>1385</v>
      </c>
      <c r="BF454" s="472">
        <v>22350.6</v>
      </c>
      <c r="BG454" s="472">
        <v>0</v>
      </c>
      <c r="BH454" s="472" t="s">
        <v>1385</v>
      </c>
      <c r="BI454" s="510">
        <v>0</v>
      </c>
      <c r="BJ454" s="510">
        <v>0</v>
      </c>
      <c r="BK454" s="510">
        <v>0</v>
      </c>
      <c r="BL454" s="510">
        <v>0</v>
      </c>
      <c r="BM454" s="510">
        <v>0</v>
      </c>
      <c r="BN454" s="510">
        <v>3500</v>
      </c>
      <c r="BO454" s="510">
        <v>0</v>
      </c>
      <c r="BP454" s="510">
        <v>0</v>
      </c>
      <c r="BQ454" s="510">
        <v>0</v>
      </c>
      <c r="BR454" s="510">
        <v>0</v>
      </c>
      <c r="BS454" s="510">
        <v>0</v>
      </c>
      <c r="BT454" s="510">
        <v>0</v>
      </c>
      <c r="BU454" s="510">
        <v>0</v>
      </c>
      <c r="BV454" s="510">
        <v>0</v>
      </c>
      <c r="BW454" s="510">
        <v>0</v>
      </c>
      <c r="BX454" s="510">
        <v>30000</v>
      </c>
      <c r="BY454" s="1011">
        <v>0</v>
      </c>
      <c r="BZ454" s="510">
        <v>0</v>
      </c>
      <c r="CA454" s="1011">
        <v>0</v>
      </c>
      <c r="CB454" s="510">
        <v>0</v>
      </c>
      <c r="CC454" s="1011">
        <v>0</v>
      </c>
      <c r="CD454" s="510">
        <v>0</v>
      </c>
      <c r="CE454" s="1011">
        <v>0</v>
      </c>
      <c r="CF454" s="510">
        <v>48127.199999999997</v>
      </c>
      <c r="CG454" s="1011">
        <v>0</v>
      </c>
      <c r="CH454" s="510">
        <v>0</v>
      </c>
      <c r="CI454" s="1011">
        <v>0</v>
      </c>
    </row>
    <row r="455" spans="1:87" x14ac:dyDescent="0.2">
      <c r="A455" s="449">
        <v>136</v>
      </c>
      <c r="B455" s="453">
        <v>19509</v>
      </c>
      <c r="C455" s="454" t="s">
        <v>4805</v>
      </c>
      <c r="D455" s="454" t="s">
        <v>517</v>
      </c>
      <c r="E455" s="454" t="s">
        <v>4806</v>
      </c>
      <c r="F455" s="454" t="s">
        <v>513</v>
      </c>
      <c r="G455" s="454" t="s">
        <v>13085</v>
      </c>
      <c r="H455" s="455">
        <v>24687328000196</v>
      </c>
      <c r="I455" s="462">
        <v>42475</v>
      </c>
      <c r="J455" s="457">
        <v>54844541</v>
      </c>
      <c r="K455" s="454" t="s">
        <v>3372</v>
      </c>
      <c r="L455" s="458">
        <v>390</v>
      </c>
      <c r="M455" s="454" t="s">
        <v>4807</v>
      </c>
      <c r="N455" s="459">
        <v>8341240</v>
      </c>
      <c r="O455" s="460">
        <v>22533669</v>
      </c>
      <c r="P455" s="462">
        <v>155180</v>
      </c>
      <c r="Q455" s="462">
        <v>136</v>
      </c>
      <c r="R455" s="462">
        <v>43937</v>
      </c>
      <c r="S455" s="463">
        <v>363</v>
      </c>
      <c r="T455" s="464">
        <v>5.4</v>
      </c>
      <c r="U455" s="465">
        <v>1960.2</v>
      </c>
      <c r="V455" s="465">
        <v>15480</v>
      </c>
      <c r="W455" s="466">
        <v>0</v>
      </c>
      <c r="X455" s="467">
        <v>1</v>
      </c>
      <c r="Y455" s="466">
        <v>33126.300000000003</v>
      </c>
      <c r="Z455" s="468" t="s">
        <v>516</v>
      </c>
      <c r="AA455" s="466">
        <v>134143.5</v>
      </c>
      <c r="AB455" s="466">
        <v>134143.5</v>
      </c>
      <c r="AC455" s="467">
        <v>0</v>
      </c>
      <c r="AD455" s="466">
        <v>0</v>
      </c>
      <c r="AE455" s="468" t="s">
        <v>516</v>
      </c>
      <c r="AF455" s="466">
        <v>2000</v>
      </c>
      <c r="AG455" s="466">
        <v>2000</v>
      </c>
      <c r="AH455" s="466">
        <v>15407.4</v>
      </c>
      <c r="AI455" s="466">
        <v>10550.36</v>
      </c>
      <c r="AJ455" s="469" t="s">
        <v>2520</v>
      </c>
      <c r="AK455" s="470" t="s">
        <v>2521</v>
      </c>
      <c r="AL455" s="471" t="s">
        <v>4808</v>
      </c>
      <c r="AM455" s="470" t="s">
        <v>4809</v>
      </c>
      <c r="AN455" s="470" t="s">
        <v>1385</v>
      </c>
      <c r="AO455" s="470" t="s">
        <v>4810</v>
      </c>
      <c r="AP455" s="470" t="s">
        <v>4811</v>
      </c>
      <c r="AQ455" s="470" t="s">
        <v>4805</v>
      </c>
      <c r="AR455" s="472" t="s">
        <v>515</v>
      </c>
      <c r="AS455" s="473" t="s">
        <v>1385</v>
      </c>
      <c r="AT455" s="472" t="s">
        <v>517</v>
      </c>
      <c r="AU455" s="472" t="s">
        <v>420</v>
      </c>
      <c r="AV455" s="472">
        <v>2020</v>
      </c>
      <c r="AW455" s="474" t="s">
        <v>15078</v>
      </c>
      <c r="AX455" s="475" t="s">
        <v>15079</v>
      </c>
      <c r="AY455" s="515">
        <v>1</v>
      </c>
      <c r="AZ455" s="474" t="s">
        <v>15079</v>
      </c>
      <c r="BA455" s="472" t="s">
        <v>517</v>
      </c>
      <c r="BB455" s="472" t="s">
        <v>516</v>
      </c>
      <c r="BC455" s="472">
        <v>12</v>
      </c>
      <c r="BD455" s="509">
        <v>4644</v>
      </c>
      <c r="BE455" s="472">
        <v>0</v>
      </c>
      <c r="BF455" s="509">
        <v>33126.300000000003</v>
      </c>
      <c r="BG455" s="509">
        <v>0</v>
      </c>
      <c r="BH455" s="472" t="s">
        <v>1385</v>
      </c>
      <c r="BI455" s="510">
        <v>0</v>
      </c>
      <c r="BJ455" s="510">
        <v>0</v>
      </c>
      <c r="BK455" s="510">
        <v>0</v>
      </c>
      <c r="BL455" s="510">
        <v>0</v>
      </c>
      <c r="BM455" s="510">
        <v>0</v>
      </c>
      <c r="BN455" s="510">
        <v>3500</v>
      </c>
      <c r="BO455" s="510">
        <v>0</v>
      </c>
      <c r="BP455" s="510">
        <v>2000</v>
      </c>
      <c r="BQ455" s="510">
        <v>0</v>
      </c>
      <c r="BR455" s="510">
        <v>0</v>
      </c>
      <c r="BS455" s="510">
        <v>0</v>
      </c>
      <c r="BT455" s="510">
        <v>0</v>
      </c>
      <c r="BU455" s="510">
        <v>2500</v>
      </c>
      <c r="BV455" s="510">
        <v>2500</v>
      </c>
      <c r="BW455" s="510">
        <v>0</v>
      </c>
      <c r="BX455" s="510">
        <v>30000</v>
      </c>
      <c r="BY455" s="1011">
        <v>0</v>
      </c>
      <c r="BZ455" s="510">
        <v>0</v>
      </c>
      <c r="CA455" s="1011">
        <v>0</v>
      </c>
      <c r="CB455" s="510">
        <v>22000</v>
      </c>
      <c r="CC455" s="1011">
        <v>0</v>
      </c>
      <c r="CD455" s="510">
        <v>0</v>
      </c>
      <c r="CE455" s="1011">
        <v>0</v>
      </c>
      <c r="CF455" s="510">
        <v>49017.2</v>
      </c>
      <c r="CG455" s="1011">
        <v>0</v>
      </c>
      <c r="CH455" s="510">
        <v>0</v>
      </c>
      <c r="CI455" s="1011">
        <v>0</v>
      </c>
    </row>
    <row r="456" spans="1:87" x14ac:dyDescent="0.2">
      <c r="A456" s="449">
        <v>82</v>
      </c>
      <c r="B456" s="453">
        <v>19510</v>
      </c>
      <c r="C456" s="454" t="s">
        <v>4812</v>
      </c>
      <c r="D456" s="454" t="s">
        <v>1390</v>
      </c>
      <c r="E456" s="454" t="s">
        <v>4813</v>
      </c>
      <c r="F456" s="454" t="s">
        <v>529</v>
      </c>
      <c r="G456" s="454" t="s">
        <v>13086</v>
      </c>
      <c r="H456" s="455">
        <v>22369679000123</v>
      </c>
      <c r="I456" s="462">
        <v>42109</v>
      </c>
      <c r="J456" s="457">
        <v>52950298</v>
      </c>
      <c r="K456" s="454" t="s">
        <v>4814</v>
      </c>
      <c r="L456" s="458">
        <v>600</v>
      </c>
      <c r="M456" s="454" t="s">
        <v>4815</v>
      </c>
      <c r="N456" s="459">
        <v>4458000</v>
      </c>
      <c r="O456" s="460">
        <v>56118914</v>
      </c>
      <c r="P456" s="462">
        <v>563504</v>
      </c>
      <c r="Q456" s="462">
        <v>82</v>
      </c>
      <c r="R456" s="462">
        <v>43921</v>
      </c>
      <c r="S456" s="463">
        <v>436</v>
      </c>
      <c r="T456" s="464">
        <v>3.6</v>
      </c>
      <c r="U456" s="465">
        <v>1569.6</v>
      </c>
      <c r="V456" s="465">
        <v>15120</v>
      </c>
      <c r="W456" s="466">
        <v>0</v>
      </c>
      <c r="X456" s="467">
        <v>1</v>
      </c>
      <c r="Y456" s="466">
        <v>25034.400000000001</v>
      </c>
      <c r="Z456" s="468" t="s">
        <v>516</v>
      </c>
      <c r="AA456" s="466">
        <v>103248</v>
      </c>
      <c r="AB456" s="466">
        <v>103248</v>
      </c>
      <c r="AC456" s="467">
        <v>0</v>
      </c>
      <c r="AD456" s="466">
        <v>0</v>
      </c>
      <c r="AE456" s="468" t="s">
        <v>516</v>
      </c>
      <c r="AF456" s="466">
        <v>0</v>
      </c>
      <c r="AG456" s="466">
        <v>0</v>
      </c>
      <c r="AH456" s="466">
        <v>11705.65</v>
      </c>
      <c r="AI456" s="466">
        <v>3403.65</v>
      </c>
      <c r="AJ456" s="469" t="s">
        <v>1790</v>
      </c>
      <c r="AK456" s="470" t="s">
        <v>1791</v>
      </c>
      <c r="AL456" s="471" t="s">
        <v>4816</v>
      </c>
      <c r="AM456" s="470" t="s">
        <v>4817</v>
      </c>
      <c r="AN456" s="470" t="s">
        <v>13086</v>
      </c>
      <c r="AO456" s="470" t="s">
        <v>4818</v>
      </c>
      <c r="AP456" s="470" t="s">
        <v>4819</v>
      </c>
      <c r="AQ456" s="470" t="s">
        <v>4812</v>
      </c>
      <c r="AR456" s="472" t="s">
        <v>515</v>
      </c>
      <c r="AS456" s="473" t="s">
        <v>1385</v>
      </c>
      <c r="AT456" s="472" t="s">
        <v>1390</v>
      </c>
      <c r="AU456" s="472" t="s">
        <v>420</v>
      </c>
      <c r="AV456" s="472">
        <v>2020</v>
      </c>
      <c r="AW456" s="474" t="s">
        <v>15078</v>
      </c>
      <c r="AX456" s="475" t="s">
        <v>15079</v>
      </c>
      <c r="AY456" s="515">
        <v>1</v>
      </c>
      <c r="AZ456" s="474" t="s">
        <v>15079</v>
      </c>
      <c r="BA456" s="472" t="s">
        <v>1390</v>
      </c>
      <c r="BB456" s="472" t="s">
        <v>1385</v>
      </c>
      <c r="BC456" s="472" t="s">
        <v>1385</v>
      </c>
      <c r="BD456" s="472" t="s">
        <v>1385</v>
      </c>
      <c r="BE456" s="472" t="s">
        <v>1385</v>
      </c>
      <c r="BF456" s="472">
        <v>25034.400000000001</v>
      </c>
      <c r="BG456" s="472">
        <v>0</v>
      </c>
      <c r="BH456" s="472" t="s">
        <v>1385</v>
      </c>
      <c r="BI456" s="510">
        <v>0</v>
      </c>
      <c r="BJ456" s="510">
        <v>0</v>
      </c>
      <c r="BK456" s="510">
        <v>0</v>
      </c>
      <c r="BL456" s="510">
        <v>0</v>
      </c>
      <c r="BM456" s="510">
        <v>0</v>
      </c>
      <c r="BN456" s="510">
        <v>4000</v>
      </c>
      <c r="BO456" s="510">
        <v>0</v>
      </c>
      <c r="BP456" s="510">
        <v>0</v>
      </c>
      <c r="BQ456" s="510">
        <v>0</v>
      </c>
      <c r="BR456" s="510">
        <v>0</v>
      </c>
      <c r="BS456" s="510">
        <v>0</v>
      </c>
      <c r="BT456" s="510">
        <v>0</v>
      </c>
      <c r="BU456" s="510">
        <v>0</v>
      </c>
      <c r="BV456" s="510">
        <v>0</v>
      </c>
      <c r="BW456" s="510">
        <v>0</v>
      </c>
      <c r="BX456" s="510">
        <v>30000</v>
      </c>
      <c r="BY456" s="1011">
        <v>0</v>
      </c>
      <c r="BZ456" s="510">
        <v>0</v>
      </c>
      <c r="CA456" s="1011">
        <v>0</v>
      </c>
      <c r="CB456" s="510">
        <v>0</v>
      </c>
      <c r="CC456" s="1011">
        <v>0</v>
      </c>
      <c r="CD456" s="510">
        <v>0</v>
      </c>
      <c r="CE456" s="1011">
        <v>0</v>
      </c>
      <c r="CF456" s="510">
        <v>48213.599999999999</v>
      </c>
      <c r="CG456" s="1011">
        <v>0</v>
      </c>
      <c r="CH456" s="510">
        <v>0</v>
      </c>
      <c r="CI456" s="1011">
        <v>0</v>
      </c>
    </row>
    <row r="457" spans="1:87" x14ac:dyDescent="0.2">
      <c r="A457" s="449">
        <v>99</v>
      </c>
      <c r="B457" s="453">
        <v>19511</v>
      </c>
      <c r="C457" s="454" t="s">
        <v>4820</v>
      </c>
      <c r="D457" s="454" t="s">
        <v>1390</v>
      </c>
      <c r="E457" s="454" t="s">
        <v>4821</v>
      </c>
      <c r="F457" s="454" t="s">
        <v>523</v>
      </c>
      <c r="G457" s="454" t="s">
        <v>13087</v>
      </c>
      <c r="H457" s="455">
        <v>22416352000165</v>
      </c>
      <c r="I457" s="462">
        <v>42170</v>
      </c>
      <c r="J457" s="457">
        <v>52535886</v>
      </c>
      <c r="K457" s="454" t="s">
        <v>4822</v>
      </c>
      <c r="L457" s="458" t="s">
        <v>1446</v>
      </c>
      <c r="M457" s="454" t="s">
        <v>4823</v>
      </c>
      <c r="N457" s="459">
        <v>8490580</v>
      </c>
      <c r="O457" s="460">
        <v>29111611</v>
      </c>
      <c r="P457" s="462">
        <v>261184</v>
      </c>
      <c r="Q457" s="462">
        <v>99</v>
      </c>
      <c r="R457" s="462">
        <v>43921</v>
      </c>
      <c r="S457" s="463">
        <v>272</v>
      </c>
      <c r="T457" s="464">
        <v>3.6</v>
      </c>
      <c r="U457" s="465">
        <v>979.2</v>
      </c>
      <c r="V457" s="465">
        <v>12240</v>
      </c>
      <c r="W457" s="466">
        <v>0</v>
      </c>
      <c r="X457" s="467">
        <v>1</v>
      </c>
      <c r="Y457" s="466">
        <v>19828.8</v>
      </c>
      <c r="Z457" s="468" t="s">
        <v>516</v>
      </c>
      <c r="AA457" s="466">
        <v>94464</v>
      </c>
      <c r="AB457" s="466">
        <v>94464</v>
      </c>
      <c r="AC457" s="467">
        <v>0</v>
      </c>
      <c r="AD457" s="466">
        <v>0</v>
      </c>
      <c r="AE457" s="468" t="s">
        <v>516</v>
      </c>
      <c r="AF457" s="466">
        <v>0</v>
      </c>
      <c r="AG457" s="466">
        <v>0</v>
      </c>
      <c r="AH457" s="466">
        <v>16362.34</v>
      </c>
      <c r="AI457" s="466">
        <v>10825.88</v>
      </c>
      <c r="AJ457" s="469" t="s">
        <v>2050</v>
      </c>
      <c r="AK457" s="470" t="s">
        <v>2051</v>
      </c>
      <c r="AL457" s="471" t="s">
        <v>4824</v>
      </c>
      <c r="AM457" s="470" t="s">
        <v>13088</v>
      </c>
      <c r="AN457" s="470" t="s">
        <v>4825</v>
      </c>
      <c r="AO457" s="470" t="s">
        <v>13089</v>
      </c>
      <c r="AP457" s="470" t="s">
        <v>4826</v>
      </c>
      <c r="AQ457" s="470" t="s">
        <v>4820</v>
      </c>
      <c r="AR457" s="472" t="s">
        <v>515</v>
      </c>
      <c r="AS457" s="473" t="s">
        <v>1385</v>
      </c>
      <c r="AT457" s="472" t="s">
        <v>1390</v>
      </c>
      <c r="AU457" s="472" t="s">
        <v>420</v>
      </c>
      <c r="AV457" s="472">
        <v>2020</v>
      </c>
      <c r="AW457" s="474" t="s">
        <v>15078</v>
      </c>
      <c r="AX457" s="475" t="s">
        <v>15079</v>
      </c>
      <c r="AY457" s="515">
        <v>1</v>
      </c>
      <c r="AZ457" s="474" t="s">
        <v>15079</v>
      </c>
      <c r="BA457" s="472" t="s">
        <v>1390</v>
      </c>
      <c r="BB457" s="472" t="s">
        <v>1385</v>
      </c>
      <c r="BC457" s="472" t="s">
        <v>1385</v>
      </c>
      <c r="BD457" s="472" t="s">
        <v>1385</v>
      </c>
      <c r="BE457" s="472" t="s">
        <v>1385</v>
      </c>
      <c r="BF457" s="472">
        <v>19828.8</v>
      </c>
      <c r="BG457" s="472">
        <v>0</v>
      </c>
      <c r="BH457" s="472" t="s">
        <v>1385</v>
      </c>
      <c r="BI457" s="510">
        <v>0</v>
      </c>
      <c r="BJ457" s="510">
        <v>0</v>
      </c>
      <c r="BK457" s="510">
        <v>0</v>
      </c>
      <c r="BL457" s="510">
        <v>0</v>
      </c>
      <c r="BM457" s="510">
        <v>0</v>
      </c>
      <c r="BN457" s="510">
        <v>3500</v>
      </c>
      <c r="BO457" s="510">
        <v>0</v>
      </c>
      <c r="BP457" s="510">
        <v>0</v>
      </c>
      <c r="BQ457" s="510">
        <v>0</v>
      </c>
      <c r="BR457" s="510">
        <v>0</v>
      </c>
      <c r="BS457" s="510">
        <v>0</v>
      </c>
      <c r="BT457" s="510">
        <v>0</v>
      </c>
      <c r="BU457" s="510">
        <v>0</v>
      </c>
      <c r="BV457" s="510">
        <v>0</v>
      </c>
      <c r="BW457" s="510">
        <v>0</v>
      </c>
      <c r="BX457" s="510">
        <v>30000</v>
      </c>
      <c r="BY457" s="1011">
        <v>0</v>
      </c>
      <c r="BZ457" s="510">
        <v>0</v>
      </c>
      <c r="CA457" s="1011">
        <v>0</v>
      </c>
      <c r="CB457" s="510">
        <v>0</v>
      </c>
      <c r="CC457" s="1011">
        <v>0</v>
      </c>
      <c r="CD457" s="510">
        <v>0</v>
      </c>
      <c r="CE457" s="1011">
        <v>0</v>
      </c>
      <c r="CF457" s="510">
        <v>44635.199999999997</v>
      </c>
      <c r="CG457" s="1011">
        <v>0</v>
      </c>
      <c r="CH457" s="510">
        <v>0</v>
      </c>
      <c r="CI457" s="1011">
        <v>0</v>
      </c>
    </row>
    <row r="458" spans="1:87" x14ac:dyDescent="0.2">
      <c r="A458" s="449">
        <v>192</v>
      </c>
      <c r="B458" s="453">
        <v>19512</v>
      </c>
      <c r="C458" s="454" t="s">
        <v>4827</v>
      </c>
      <c r="D458" s="454" t="s">
        <v>4286</v>
      </c>
      <c r="E458" s="454" t="s">
        <v>4828</v>
      </c>
      <c r="F458" s="454" t="s">
        <v>520</v>
      </c>
      <c r="G458" s="454" t="s">
        <v>13090</v>
      </c>
      <c r="H458" s="455">
        <v>27389611000120</v>
      </c>
      <c r="I458" s="462">
        <v>42807</v>
      </c>
      <c r="J458" s="457">
        <v>57486654</v>
      </c>
      <c r="K458" s="454" t="s">
        <v>4830</v>
      </c>
      <c r="L458" s="458">
        <v>45</v>
      </c>
      <c r="M458" s="454" t="s">
        <v>4831</v>
      </c>
      <c r="N458" s="459">
        <v>7716215</v>
      </c>
      <c r="O458" s="460">
        <v>58334904</v>
      </c>
      <c r="P458" s="462">
        <v>309179</v>
      </c>
      <c r="Q458" s="462">
        <v>53</v>
      </c>
      <c r="R458" s="462">
        <v>43979</v>
      </c>
      <c r="S458" s="463">
        <v>697</v>
      </c>
      <c r="T458" s="464">
        <v>3.6</v>
      </c>
      <c r="U458" s="465">
        <v>2509.1999999999998</v>
      </c>
      <c r="V458" s="465">
        <v>18000</v>
      </c>
      <c r="W458" s="466">
        <v>0</v>
      </c>
      <c r="X458" s="467">
        <v>1</v>
      </c>
      <c r="Y458" s="466">
        <v>30763.8</v>
      </c>
      <c r="Z458" s="468" t="s">
        <v>516</v>
      </c>
      <c r="AA458" s="466">
        <v>116717.4</v>
      </c>
      <c r="AB458" s="466">
        <v>116717.4</v>
      </c>
      <c r="AC458" s="467">
        <v>0</v>
      </c>
      <c r="AD458" s="466">
        <v>0</v>
      </c>
      <c r="AE458" s="468" t="s">
        <v>516</v>
      </c>
      <c r="AF458" s="466">
        <v>0</v>
      </c>
      <c r="AG458" s="466">
        <v>0</v>
      </c>
      <c r="AH458" s="466">
        <v>31770.39</v>
      </c>
      <c r="AI458" s="466">
        <v>10815.95</v>
      </c>
      <c r="AJ458" s="469" t="s">
        <v>2755</v>
      </c>
      <c r="AK458" s="470" t="s">
        <v>3748</v>
      </c>
      <c r="AL458" s="471" t="s">
        <v>4832</v>
      </c>
      <c r="AM458" s="470" t="s">
        <v>13091</v>
      </c>
      <c r="AN458" s="470" t="s">
        <v>4829</v>
      </c>
      <c r="AO458" s="470" t="s">
        <v>4833</v>
      </c>
      <c r="AP458" s="470" t="s">
        <v>4834</v>
      </c>
      <c r="AQ458" s="470" t="s">
        <v>4827</v>
      </c>
      <c r="AR458" s="472" t="s">
        <v>515</v>
      </c>
      <c r="AS458" s="473">
        <v>3.6</v>
      </c>
      <c r="AT458" s="472" t="s">
        <v>4286</v>
      </c>
      <c r="AU458" s="472" t="s">
        <v>420</v>
      </c>
      <c r="AV458" s="472">
        <v>2020</v>
      </c>
      <c r="AW458" s="474" t="s">
        <v>15078</v>
      </c>
      <c r="AX458" s="475" t="s">
        <v>15079</v>
      </c>
      <c r="AY458" s="515">
        <v>1</v>
      </c>
      <c r="AZ458" s="474" t="s">
        <v>15079</v>
      </c>
      <c r="BA458" s="472" t="s">
        <v>4286</v>
      </c>
      <c r="BB458" s="472" t="s">
        <v>1385</v>
      </c>
      <c r="BC458" s="472" t="s">
        <v>1385</v>
      </c>
      <c r="BD458" s="472" t="s">
        <v>1385</v>
      </c>
      <c r="BE458" s="472" t="s">
        <v>1385</v>
      </c>
      <c r="BF458" s="472">
        <v>30763.8</v>
      </c>
      <c r="BG458" s="472">
        <v>0</v>
      </c>
      <c r="BH458" s="472" t="s">
        <v>1385</v>
      </c>
      <c r="BI458" s="510">
        <v>0</v>
      </c>
      <c r="BJ458" s="510">
        <v>0</v>
      </c>
      <c r="BK458" s="510">
        <v>0</v>
      </c>
      <c r="BL458" s="510">
        <v>0</v>
      </c>
      <c r="BM458" s="510">
        <v>0</v>
      </c>
      <c r="BN458" s="510">
        <v>5000</v>
      </c>
      <c r="BO458" s="510">
        <v>0</v>
      </c>
      <c r="BP458" s="510">
        <v>0</v>
      </c>
      <c r="BQ458" s="510">
        <v>0</v>
      </c>
      <c r="BR458" s="510">
        <v>0</v>
      </c>
      <c r="BS458" s="510">
        <v>0</v>
      </c>
      <c r="BT458" s="510">
        <v>0</v>
      </c>
      <c r="BU458" s="510">
        <v>0</v>
      </c>
      <c r="BV458" s="510">
        <v>0</v>
      </c>
      <c r="BW458" s="510">
        <v>0</v>
      </c>
      <c r="BX458" s="510">
        <v>30000</v>
      </c>
      <c r="BY458" s="1011">
        <v>0</v>
      </c>
      <c r="BZ458" s="510">
        <v>0</v>
      </c>
      <c r="CA458" s="1011">
        <v>0</v>
      </c>
      <c r="CB458" s="510">
        <v>0</v>
      </c>
      <c r="CC458" s="1011">
        <v>0</v>
      </c>
      <c r="CD458" s="510">
        <v>0</v>
      </c>
      <c r="CE458" s="1011">
        <v>0</v>
      </c>
      <c r="CF458" s="510">
        <v>55953.599999999999</v>
      </c>
      <c r="CG458" s="1011">
        <v>0</v>
      </c>
      <c r="CH458" s="510">
        <v>0</v>
      </c>
      <c r="CI458" s="1011">
        <v>0</v>
      </c>
    </row>
    <row r="459" spans="1:87" x14ac:dyDescent="0.2">
      <c r="A459" s="449">
        <v>191</v>
      </c>
      <c r="B459" s="453">
        <v>19513</v>
      </c>
      <c r="C459" s="454" t="s">
        <v>4835</v>
      </c>
      <c r="D459" s="454" t="s">
        <v>1390</v>
      </c>
      <c r="E459" s="454" t="s">
        <v>4836</v>
      </c>
      <c r="F459" s="454" t="s">
        <v>520</v>
      </c>
      <c r="G459" s="454" t="s">
        <v>13092</v>
      </c>
      <c r="H459" s="455">
        <v>28118789000107</v>
      </c>
      <c r="I459" s="462">
        <v>42902</v>
      </c>
      <c r="J459" s="457">
        <v>57418403</v>
      </c>
      <c r="K459" s="454" t="s">
        <v>4837</v>
      </c>
      <c r="L459" s="458">
        <v>33</v>
      </c>
      <c r="M459" s="454" t="s">
        <v>3747</v>
      </c>
      <c r="N459" s="459">
        <v>4941050</v>
      </c>
      <c r="O459" s="460">
        <v>58327032</v>
      </c>
      <c r="P459" s="462">
        <v>306692</v>
      </c>
      <c r="Q459" s="462">
        <v>107</v>
      </c>
      <c r="R459" s="462">
        <v>43983</v>
      </c>
      <c r="S459" s="463">
        <v>532</v>
      </c>
      <c r="T459" s="464">
        <v>3.6</v>
      </c>
      <c r="U459" s="465">
        <v>1915.2</v>
      </c>
      <c r="V459" s="465">
        <v>16560</v>
      </c>
      <c r="W459" s="466">
        <v>0</v>
      </c>
      <c r="X459" s="467">
        <v>1</v>
      </c>
      <c r="Y459" s="466">
        <v>27712.799999999999</v>
      </c>
      <c r="Z459" s="468" t="s">
        <v>516</v>
      </c>
      <c r="AA459" s="466">
        <v>109562.4</v>
      </c>
      <c r="AB459" s="466">
        <v>109562.4</v>
      </c>
      <c r="AC459" s="467">
        <v>0</v>
      </c>
      <c r="AD459" s="466">
        <v>0</v>
      </c>
      <c r="AE459" s="468" t="s">
        <v>516</v>
      </c>
      <c r="AF459" s="466">
        <v>0</v>
      </c>
      <c r="AG459" s="466">
        <v>0</v>
      </c>
      <c r="AH459" s="466">
        <v>0</v>
      </c>
      <c r="AI459" s="466">
        <v>7218.63</v>
      </c>
      <c r="AJ459" s="469" t="s">
        <v>2755</v>
      </c>
      <c r="AK459" s="470" t="s">
        <v>3748</v>
      </c>
      <c r="AL459" s="471" t="s">
        <v>4838</v>
      </c>
      <c r="AM459" s="470" t="s">
        <v>4839</v>
      </c>
      <c r="AN459" s="470" t="s">
        <v>4840</v>
      </c>
      <c r="AO459" s="470" t="s">
        <v>4841</v>
      </c>
      <c r="AP459" s="470" t="s">
        <v>3747</v>
      </c>
      <c r="AQ459" s="470" t="s">
        <v>4835</v>
      </c>
      <c r="AR459" s="472" t="s">
        <v>515</v>
      </c>
      <c r="AS459" s="473" t="s">
        <v>1385</v>
      </c>
      <c r="AT459" s="472" t="s">
        <v>1390</v>
      </c>
      <c r="AU459" s="472" t="s">
        <v>420</v>
      </c>
      <c r="AV459" s="472">
        <v>2020</v>
      </c>
      <c r="AW459" s="474" t="s">
        <v>15078</v>
      </c>
      <c r="AX459" s="475" t="s">
        <v>15079</v>
      </c>
      <c r="AY459" s="515">
        <v>1</v>
      </c>
      <c r="AZ459" s="474" t="s">
        <v>15079</v>
      </c>
      <c r="BA459" s="472" t="s">
        <v>1390</v>
      </c>
      <c r="BB459" s="472" t="s">
        <v>1385</v>
      </c>
      <c r="BC459" s="472" t="s">
        <v>1385</v>
      </c>
      <c r="BD459" s="472" t="s">
        <v>1385</v>
      </c>
      <c r="BE459" s="472" t="s">
        <v>1385</v>
      </c>
      <c r="BF459" s="472">
        <v>27712.799999999999</v>
      </c>
      <c r="BG459" s="472">
        <v>0</v>
      </c>
      <c r="BH459" s="472" t="s">
        <v>1385</v>
      </c>
      <c r="BI459" s="510">
        <v>0</v>
      </c>
      <c r="BJ459" s="510">
        <v>0</v>
      </c>
      <c r="BK459" s="510">
        <v>0</v>
      </c>
      <c r="BL459" s="510">
        <v>0</v>
      </c>
      <c r="BM459" s="510">
        <v>0</v>
      </c>
      <c r="BN459" s="510">
        <v>4000</v>
      </c>
      <c r="BO459" s="510">
        <v>0</v>
      </c>
      <c r="BP459" s="510">
        <v>0</v>
      </c>
      <c r="BQ459" s="510">
        <v>0</v>
      </c>
      <c r="BR459" s="510">
        <v>0</v>
      </c>
      <c r="BS459" s="510">
        <v>0</v>
      </c>
      <c r="BT459" s="510">
        <v>0</v>
      </c>
      <c r="BU459" s="510">
        <v>0</v>
      </c>
      <c r="BV459" s="510">
        <v>0</v>
      </c>
      <c r="BW459" s="510">
        <v>0</v>
      </c>
      <c r="BX459" s="510">
        <v>30000</v>
      </c>
      <c r="BY459" s="1011">
        <v>0</v>
      </c>
      <c r="BZ459" s="510">
        <v>0</v>
      </c>
      <c r="CA459" s="1011">
        <v>0</v>
      </c>
      <c r="CB459" s="510">
        <v>0</v>
      </c>
      <c r="CC459" s="1011">
        <v>0</v>
      </c>
      <c r="CD459" s="510">
        <v>0</v>
      </c>
      <c r="CE459" s="1011">
        <v>0</v>
      </c>
      <c r="CF459" s="510">
        <v>51849.599999999999</v>
      </c>
      <c r="CG459" s="1011">
        <v>0</v>
      </c>
      <c r="CH459" s="510">
        <v>0</v>
      </c>
      <c r="CI459" s="1011">
        <v>0</v>
      </c>
    </row>
    <row r="460" spans="1:87" x14ac:dyDescent="0.2">
      <c r="A460" s="449">
        <v>190</v>
      </c>
      <c r="B460" s="453">
        <v>19514</v>
      </c>
      <c r="C460" s="454" t="s">
        <v>4842</v>
      </c>
      <c r="D460" s="454" t="s">
        <v>1390</v>
      </c>
      <c r="E460" s="454" t="s">
        <v>4843</v>
      </c>
      <c r="F460" s="454" t="s">
        <v>520</v>
      </c>
      <c r="G460" s="454" t="s">
        <v>13093</v>
      </c>
      <c r="H460" s="455">
        <v>26905231000138</v>
      </c>
      <c r="I460" s="462">
        <v>42753</v>
      </c>
      <c r="J460" s="457">
        <v>56702981</v>
      </c>
      <c r="K460" s="454" t="s">
        <v>4844</v>
      </c>
      <c r="L460" s="458">
        <v>450</v>
      </c>
      <c r="M460" s="454" t="s">
        <v>4845</v>
      </c>
      <c r="N460" s="459">
        <v>5791220</v>
      </c>
      <c r="O460" s="460">
        <v>58417037</v>
      </c>
      <c r="P460" s="462">
        <v>352155</v>
      </c>
      <c r="Q460" s="462">
        <v>106</v>
      </c>
      <c r="R460" s="462">
        <v>43979</v>
      </c>
      <c r="S460" s="463">
        <v>385</v>
      </c>
      <c r="T460" s="464">
        <v>3.6</v>
      </c>
      <c r="U460" s="465">
        <v>1386</v>
      </c>
      <c r="V460" s="465">
        <v>13680</v>
      </c>
      <c r="W460" s="466">
        <v>0</v>
      </c>
      <c r="X460" s="467">
        <v>1</v>
      </c>
      <c r="Y460" s="466">
        <v>22599</v>
      </c>
      <c r="Z460" s="468" t="s">
        <v>516</v>
      </c>
      <c r="AA460" s="466">
        <v>97738.2</v>
      </c>
      <c r="AB460" s="466">
        <v>97738.2</v>
      </c>
      <c r="AC460" s="467">
        <v>0</v>
      </c>
      <c r="AD460" s="466">
        <v>0</v>
      </c>
      <c r="AE460" s="468" t="s">
        <v>516</v>
      </c>
      <c r="AF460" s="466">
        <v>0</v>
      </c>
      <c r="AG460" s="466">
        <v>0</v>
      </c>
      <c r="AH460" s="466">
        <v>15175.26</v>
      </c>
      <c r="AI460" s="466">
        <v>3028.4</v>
      </c>
      <c r="AJ460" s="469" t="s">
        <v>1489</v>
      </c>
      <c r="AK460" s="470" t="s">
        <v>520</v>
      </c>
      <c r="AL460" s="471" t="s">
        <v>4846</v>
      </c>
      <c r="AM460" s="470" t="s">
        <v>4847</v>
      </c>
      <c r="AN460" s="470" t="s">
        <v>4848</v>
      </c>
      <c r="AO460" s="470" t="s">
        <v>4849</v>
      </c>
      <c r="AP460" s="470" t="s">
        <v>2833</v>
      </c>
      <c r="AQ460" s="470" t="s">
        <v>4842</v>
      </c>
      <c r="AR460" s="472" t="s">
        <v>515</v>
      </c>
      <c r="AS460" s="473" t="s">
        <v>1385</v>
      </c>
      <c r="AT460" s="472" t="s">
        <v>1390</v>
      </c>
      <c r="AU460" s="472" t="s">
        <v>420</v>
      </c>
      <c r="AV460" s="472">
        <v>2020</v>
      </c>
      <c r="AW460" s="474" t="s">
        <v>15078</v>
      </c>
      <c r="AX460" s="475" t="s">
        <v>15079</v>
      </c>
      <c r="AY460" s="515">
        <v>1</v>
      </c>
      <c r="AZ460" s="474" t="s">
        <v>15079</v>
      </c>
      <c r="BA460" s="472" t="s">
        <v>1390</v>
      </c>
      <c r="BB460" s="472" t="s">
        <v>1385</v>
      </c>
      <c r="BC460" s="472" t="s">
        <v>1385</v>
      </c>
      <c r="BD460" s="472" t="s">
        <v>1385</v>
      </c>
      <c r="BE460" s="472" t="s">
        <v>1385</v>
      </c>
      <c r="BF460" s="472">
        <v>22599</v>
      </c>
      <c r="BG460" s="472">
        <v>0</v>
      </c>
      <c r="BH460" s="472" t="s">
        <v>1385</v>
      </c>
      <c r="BI460" s="510">
        <v>0</v>
      </c>
      <c r="BJ460" s="510">
        <v>3925.4</v>
      </c>
      <c r="BK460" s="510">
        <v>0</v>
      </c>
      <c r="BL460" s="510">
        <v>0</v>
      </c>
      <c r="BM460" s="510">
        <v>0</v>
      </c>
      <c r="BN460" s="510">
        <v>3500</v>
      </c>
      <c r="BO460" s="510">
        <v>0</v>
      </c>
      <c r="BP460" s="510">
        <v>0</v>
      </c>
      <c r="BQ460" s="510">
        <v>0</v>
      </c>
      <c r="BR460" s="510">
        <v>0</v>
      </c>
      <c r="BS460" s="510">
        <v>0</v>
      </c>
      <c r="BT460" s="510">
        <v>0</v>
      </c>
      <c r="BU460" s="510">
        <v>0</v>
      </c>
      <c r="BV460" s="510">
        <v>0</v>
      </c>
      <c r="BW460" s="510">
        <v>0</v>
      </c>
      <c r="BX460" s="510">
        <v>30000</v>
      </c>
      <c r="BY460" s="1011">
        <v>0</v>
      </c>
      <c r="BZ460" s="510">
        <v>0</v>
      </c>
      <c r="CA460" s="1011">
        <v>0</v>
      </c>
      <c r="CB460" s="510">
        <v>0</v>
      </c>
      <c r="CC460" s="1011">
        <v>0</v>
      </c>
      <c r="CD460" s="510">
        <v>0</v>
      </c>
      <c r="CE460" s="1011">
        <v>0</v>
      </c>
      <c r="CF460" s="510">
        <v>45139.199999999997</v>
      </c>
      <c r="CG460" s="1011">
        <v>0</v>
      </c>
      <c r="CH460" s="510">
        <v>0</v>
      </c>
      <c r="CI460" s="1011">
        <v>0</v>
      </c>
    </row>
    <row r="461" spans="1:87" x14ac:dyDescent="0.2">
      <c r="A461" s="449">
        <v>186</v>
      </c>
      <c r="B461" s="453">
        <v>19515</v>
      </c>
      <c r="C461" s="454" t="s">
        <v>4850</v>
      </c>
      <c r="D461" s="454" t="s">
        <v>1390</v>
      </c>
      <c r="E461" s="454" t="s">
        <v>4851</v>
      </c>
      <c r="F461" s="454" t="s">
        <v>520</v>
      </c>
      <c r="G461" s="454" t="s">
        <v>13094</v>
      </c>
      <c r="H461" s="455">
        <v>24347383000137</v>
      </c>
      <c r="I461" s="462">
        <v>42412</v>
      </c>
      <c r="J461" s="457">
        <v>55080707</v>
      </c>
      <c r="K461" s="454" t="s">
        <v>4852</v>
      </c>
      <c r="L461" s="458">
        <v>701</v>
      </c>
      <c r="M461" s="454" t="s">
        <v>3139</v>
      </c>
      <c r="N461" s="459">
        <v>5664015</v>
      </c>
      <c r="O461" s="460">
        <v>35012726</v>
      </c>
      <c r="P461" s="462">
        <v>306846</v>
      </c>
      <c r="Q461" s="462">
        <v>102</v>
      </c>
      <c r="R461" s="462">
        <v>44022</v>
      </c>
      <c r="S461" s="463">
        <v>570</v>
      </c>
      <c r="T461" s="464">
        <v>3.6</v>
      </c>
      <c r="U461" s="465">
        <v>2052</v>
      </c>
      <c r="V461" s="465">
        <v>16560</v>
      </c>
      <c r="W461" s="466">
        <v>0</v>
      </c>
      <c r="X461" s="467">
        <v>1</v>
      </c>
      <c r="Y461" s="466">
        <v>27918</v>
      </c>
      <c r="Z461" s="468" t="s">
        <v>516</v>
      </c>
      <c r="AA461" s="466">
        <v>110062.8</v>
      </c>
      <c r="AB461" s="466">
        <v>110062.8</v>
      </c>
      <c r="AC461" s="467">
        <v>0</v>
      </c>
      <c r="AD461" s="466">
        <v>0</v>
      </c>
      <c r="AE461" s="468" t="s">
        <v>516</v>
      </c>
      <c r="AF461" s="466">
        <v>0</v>
      </c>
      <c r="AG461" s="466">
        <v>0</v>
      </c>
      <c r="AH461" s="466">
        <v>30482.71</v>
      </c>
      <c r="AI461" s="466">
        <v>9484.2000000000007</v>
      </c>
      <c r="AJ461" s="469" t="s">
        <v>1813</v>
      </c>
      <c r="AK461" s="470" t="s">
        <v>1814</v>
      </c>
      <c r="AL461" s="471" t="s">
        <v>4853</v>
      </c>
      <c r="AM461" s="470" t="s">
        <v>4854</v>
      </c>
      <c r="AN461" s="470" t="s">
        <v>4855</v>
      </c>
      <c r="AO461" s="470" t="s">
        <v>4856</v>
      </c>
      <c r="AP461" s="470" t="s">
        <v>4857</v>
      </c>
      <c r="AQ461" s="470" t="s">
        <v>4850</v>
      </c>
      <c r="AR461" s="472" t="s">
        <v>515</v>
      </c>
      <c r="AS461" s="473" t="s">
        <v>1385</v>
      </c>
      <c r="AT461" s="472" t="s">
        <v>1390</v>
      </c>
      <c r="AU461" s="472" t="s">
        <v>420</v>
      </c>
      <c r="AV461" s="472">
        <v>2020</v>
      </c>
      <c r="AW461" s="474" t="s">
        <v>15078</v>
      </c>
      <c r="AX461" s="475" t="s">
        <v>15079</v>
      </c>
      <c r="AY461" s="515">
        <v>1</v>
      </c>
      <c r="AZ461" s="474" t="s">
        <v>15079</v>
      </c>
      <c r="BA461" s="472" t="s">
        <v>1390</v>
      </c>
      <c r="BB461" s="472" t="s">
        <v>1385</v>
      </c>
      <c r="BC461" s="472" t="s">
        <v>1385</v>
      </c>
      <c r="BD461" s="472" t="s">
        <v>1385</v>
      </c>
      <c r="BE461" s="472" t="s">
        <v>1385</v>
      </c>
      <c r="BF461" s="472">
        <v>27918</v>
      </c>
      <c r="BG461" s="472">
        <v>0</v>
      </c>
      <c r="BH461" s="472" t="s">
        <v>1385</v>
      </c>
      <c r="BI461" s="510">
        <v>0</v>
      </c>
      <c r="BJ461" s="510">
        <v>0</v>
      </c>
      <c r="BK461" s="510">
        <v>0</v>
      </c>
      <c r="BL461" s="510">
        <v>0</v>
      </c>
      <c r="BM461" s="510">
        <v>0</v>
      </c>
      <c r="BN461" s="510">
        <v>5000</v>
      </c>
      <c r="BO461" s="510">
        <v>0</v>
      </c>
      <c r="BP461" s="510">
        <v>0</v>
      </c>
      <c r="BQ461" s="510">
        <v>0</v>
      </c>
      <c r="BR461" s="510">
        <v>0</v>
      </c>
      <c r="BS461" s="510">
        <v>0</v>
      </c>
      <c r="BT461" s="510">
        <v>0</v>
      </c>
      <c r="BU461" s="510">
        <v>0</v>
      </c>
      <c r="BV461" s="510">
        <v>0</v>
      </c>
      <c r="BW461" s="510">
        <v>0</v>
      </c>
      <c r="BX461" s="510">
        <v>30000</v>
      </c>
      <c r="BY461" s="1011">
        <v>0</v>
      </c>
      <c r="BZ461" s="510">
        <v>0</v>
      </c>
      <c r="CA461" s="1011">
        <v>0</v>
      </c>
      <c r="CB461" s="510">
        <v>0</v>
      </c>
      <c r="CC461" s="1011">
        <v>0</v>
      </c>
      <c r="CD461" s="510">
        <v>0</v>
      </c>
      <c r="CE461" s="1011">
        <v>0</v>
      </c>
      <c r="CF461" s="510">
        <v>52144.800000000003</v>
      </c>
      <c r="CG461" s="1011">
        <v>0</v>
      </c>
      <c r="CH461" s="510">
        <v>0</v>
      </c>
      <c r="CI461" s="1011">
        <v>0</v>
      </c>
    </row>
    <row r="462" spans="1:87" x14ac:dyDescent="0.2">
      <c r="A462" s="449">
        <v>188</v>
      </c>
      <c r="B462" s="453">
        <v>19516</v>
      </c>
      <c r="C462" s="454" t="s">
        <v>4858</v>
      </c>
      <c r="D462" s="454" t="s">
        <v>1390</v>
      </c>
      <c r="E462" s="454" t="s">
        <v>4859</v>
      </c>
      <c r="F462" s="454" t="s">
        <v>520</v>
      </c>
      <c r="G462" s="454" t="s">
        <v>13095</v>
      </c>
      <c r="H462" s="455">
        <v>26213288000176</v>
      </c>
      <c r="I462" s="462">
        <v>42485</v>
      </c>
      <c r="J462" s="457" t="s">
        <v>280</v>
      </c>
      <c r="K462" s="454" t="s">
        <v>4860</v>
      </c>
      <c r="L462" s="458">
        <v>350</v>
      </c>
      <c r="M462" s="454" t="s">
        <v>4861</v>
      </c>
      <c r="N462" s="459">
        <v>5887000</v>
      </c>
      <c r="O462" s="460">
        <v>58212869</v>
      </c>
      <c r="P462" s="462">
        <v>304495</v>
      </c>
      <c r="Q462" s="462">
        <v>104</v>
      </c>
      <c r="R462" s="462">
        <v>43969</v>
      </c>
      <c r="S462" s="463">
        <v>331</v>
      </c>
      <c r="T462" s="464">
        <v>3.6</v>
      </c>
      <c r="U462" s="465">
        <v>1191.5999999999999</v>
      </c>
      <c r="V462" s="465">
        <v>13680</v>
      </c>
      <c r="W462" s="466">
        <v>0</v>
      </c>
      <c r="X462" s="467">
        <v>1</v>
      </c>
      <c r="Y462" s="466">
        <v>22307.4</v>
      </c>
      <c r="Z462" s="468" t="s">
        <v>516</v>
      </c>
      <c r="AA462" s="466">
        <v>93947.4</v>
      </c>
      <c r="AB462" s="466">
        <v>93947.4</v>
      </c>
      <c r="AC462" s="467">
        <v>0</v>
      </c>
      <c r="AD462" s="466">
        <v>0</v>
      </c>
      <c r="AE462" s="468" t="s">
        <v>516</v>
      </c>
      <c r="AF462" s="466">
        <v>0</v>
      </c>
      <c r="AG462" s="466">
        <v>0</v>
      </c>
      <c r="AH462" s="466">
        <v>22390.59</v>
      </c>
      <c r="AI462" s="466">
        <v>7114.48</v>
      </c>
      <c r="AJ462" s="469" t="s">
        <v>1813</v>
      </c>
      <c r="AK462" s="470" t="s">
        <v>1814</v>
      </c>
      <c r="AL462" s="471" t="s">
        <v>4862</v>
      </c>
      <c r="AM462" s="470" t="s">
        <v>4863</v>
      </c>
      <c r="AN462" s="470" t="s">
        <v>4864</v>
      </c>
      <c r="AO462" s="470" t="s">
        <v>4865</v>
      </c>
      <c r="AP462" s="470" t="s">
        <v>4866</v>
      </c>
      <c r="AQ462" s="470" t="s">
        <v>4858</v>
      </c>
      <c r="AR462" s="472" t="s">
        <v>515</v>
      </c>
      <c r="AS462" s="473" t="s">
        <v>1385</v>
      </c>
      <c r="AT462" s="472" t="s">
        <v>1390</v>
      </c>
      <c r="AU462" s="472" t="s">
        <v>420</v>
      </c>
      <c r="AV462" s="472">
        <v>2020</v>
      </c>
      <c r="AW462" s="474" t="s">
        <v>15078</v>
      </c>
      <c r="AX462" s="475" t="s">
        <v>15079</v>
      </c>
      <c r="AY462" s="515">
        <v>1</v>
      </c>
      <c r="AZ462" s="474" t="s">
        <v>15079</v>
      </c>
      <c r="BA462" s="472" t="s">
        <v>1390</v>
      </c>
      <c r="BB462" s="472" t="s">
        <v>1385</v>
      </c>
      <c r="BC462" s="472" t="s">
        <v>1385</v>
      </c>
      <c r="BD462" s="472" t="s">
        <v>1385</v>
      </c>
      <c r="BE462" s="472" t="s">
        <v>1385</v>
      </c>
      <c r="BF462" s="472">
        <v>22307.4</v>
      </c>
      <c r="BG462" s="472">
        <v>0</v>
      </c>
      <c r="BH462" s="472" t="s">
        <v>1385</v>
      </c>
      <c r="BI462" s="510">
        <v>0</v>
      </c>
      <c r="BJ462" s="510">
        <v>0</v>
      </c>
      <c r="BK462" s="510">
        <v>0</v>
      </c>
      <c r="BL462" s="510">
        <v>0</v>
      </c>
      <c r="BM462" s="510">
        <v>0</v>
      </c>
      <c r="BN462" s="510">
        <v>2950</v>
      </c>
      <c r="BO462" s="510">
        <v>0</v>
      </c>
      <c r="BP462" s="510">
        <v>0</v>
      </c>
      <c r="BQ462" s="510">
        <v>0</v>
      </c>
      <c r="BR462" s="510">
        <v>0</v>
      </c>
      <c r="BS462" s="510">
        <v>0</v>
      </c>
      <c r="BT462" s="510">
        <v>0</v>
      </c>
      <c r="BU462" s="510">
        <v>0</v>
      </c>
      <c r="BV462" s="510">
        <v>0</v>
      </c>
      <c r="BW462" s="510">
        <v>0</v>
      </c>
      <c r="BX462" s="510">
        <v>30000</v>
      </c>
      <c r="BY462" s="1011">
        <v>0</v>
      </c>
      <c r="BZ462" s="510">
        <v>0</v>
      </c>
      <c r="CA462" s="1011">
        <v>0</v>
      </c>
      <c r="CB462" s="510">
        <v>0</v>
      </c>
      <c r="CC462" s="1011">
        <v>0</v>
      </c>
      <c r="CD462" s="510">
        <v>0</v>
      </c>
      <c r="CE462" s="1011">
        <v>0</v>
      </c>
      <c r="CF462" s="510">
        <v>41640</v>
      </c>
      <c r="CG462" s="1011">
        <v>0</v>
      </c>
      <c r="CH462" s="510">
        <v>0</v>
      </c>
      <c r="CI462" s="1011">
        <v>0</v>
      </c>
    </row>
    <row r="463" spans="1:87" x14ac:dyDescent="0.2">
      <c r="A463" s="449">
        <v>189</v>
      </c>
      <c r="B463" s="453">
        <v>19517</v>
      </c>
      <c r="C463" s="454" t="s">
        <v>4867</v>
      </c>
      <c r="D463" s="454" t="s">
        <v>1390</v>
      </c>
      <c r="E463" s="454" t="s">
        <v>4868</v>
      </c>
      <c r="F463" s="454" t="s">
        <v>520</v>
      </c>
      <c r="G463" s="454" t="s">
        <v>13096</v>
      </c>
      <c r="H463" s="455">
        <v>25054043000180</v>
      </c>
      <c r="I463" s="462">
        <v>42524</v>
      </c>
      <c r="J463" s="457">
        <v>55167055</v>
      </c>
      <c r="K463" s="454" t="s">
        <v>4870</v>
      </c>
      <c r="L463" s="458">
        <v>877</v>
      </c>
      <c r="M463" s="454" t="s">
        <v>4871</v>
      </c>
      <c r="N463" s="459">
        <v>5879000</v>
      </c>
      <c r="O463" s="460">
        <v>58740474</v>
      </c>
      <c r="P463" s="462">
        <v>304932</v>
      </c>
      <c r="Q463" s="462">
        <v>105</v>
      </c>
      <c r="R463" s="462">
        <v>43969</v>
      </c>
      <c r="S463" s="463">
        <v>655</v>
      </c>
      <c r="T463" s="464">
        <v>3.6</v>
      </c>
      <c r="U463" s="465">
        <v>2358</v>
      </c>
      <c r="V463" s="465">
        <v>18000</v>
      </c>
      <c r="W463" s="466">
        <v>0</v>
      </c>
      <c r="X463" s="467">
        <v>1</v>
      </c>
      <c r="Y463" s="466">
        <v>30537</v>
      </c>
      <c r="Z463" s="468" t="s">
        <v>516</v>
      </c>
      <c r="AA463" s="466">
        <v>116238.6</v>
      </c>
      <c r="AB463" s="466">
        <v>116238.6</v>
      </c>
      <c r="AC463" s="467">
        <v>0</v>
      </c>
      <c r="AD463" s="466">
        <v>0</v>
      </c>
      <c r="AE463" s="468" t="s">
        <v>516</v>
      </c>
      <c r="AF463" s="466">
        <v>2000</v>
      </c>
      <c r="AG463" s="466">
        <v>2000</v>
      </c>
      <c r="AH463" s="466">
        <v>22369.599999999999</v>
      </c>
      <c r="AI463" s="466">
        <v>8759.31</v>
      </c>
      <c r="AJ463" s="469" t="s">
        <v>1489</v>
      </c>
      <c r="AK463" s="470" t="s">
        <v>520</v>
      </c>
      <c r="AL463" s="471" t="s">
        <v>4872</v>
      </c>
      <c r="AM463" s="470" t="s">
        <v>4873</v>
      </c>
      <c r="AN463" s="470" t="s">
        <v>4869</v>
      </c>
      <c r="AO463" s="470" t="s">
        <v>4874</v>
      </c>
      <c r="AP463" s="470" t="s">
        <v>4871</v>
      </c>
      <c r="AQ463" s="470" t="s">
        <v>4867</v>
      </c>
      <c r="AR463" s="472" t="s">
        <v>515</v>
      </c>
      <c r="AS463" s="473" t="s">
        <v>1385</v>
      </c>
      <c r="AT463" s="472" t="s">
        <v>1390</v>
      </c>
      <c r="AU463" s="472" t="s">
        <v>420</v>
      </c>
      <c r="AV463" s="472">
        <v>2020</v>
      </c>
      <c r="AW463" s="474" t="s">
        <v>15078</v>
      </c>
      <c r="AX463" s="475" t="s">
        <v>15079</v>
      </c>
      <c r="AY463" s="515">
        <v>1</v>
      </c>
      <c r="AZ463" s="474" t="s">
        <v>15079</v>
      </c>
      <c r="BA463" s="472" t="s">
        <v>1390</v>
      </c>
      <c r="BB463" s="472" t="s">
        <v>1385</v>
      </c>
      <c r="BC463" s="472" t="s">
        <v>1385</v>
      </c>
      <c r="BD463" s="472" t="s">
        <v>1385</v>
      </c>
      <c r="BE463" s="472" t="s">
        <v>1385</v>
      </c>
      <c r="BF463" s="472">
        <v>30537</v>
      </c>
      <c r="BG463" s="472">
        <v>0</v>
      </c>
      <c r="BH463" s="472" t="s">
        <v>1385</v>
      </c>
      <c r="BI463" s="510">
        <v>0</v>
      </c>
      <c r="BJ463" s="510">
        <v>0</v>
      </c>
      <c r="BK463" s="510">
        <v>0</v>
      </c>
      <c r="BL463" s="510">
        <v>0</v>
      </c>
      <c r="BM463" s="510">
        <v>0</v>
      </c>
      <c r="BN463" s="510">
        <v>5000</v>
      </c>
      <c r="BO463" s="510">
        <v>0</v>
      </c>
      <c r="BP463" s="510">
        <v>2000</v>
      </c>
      <c r="BQ463" s="510">
        <v>0</v>
      </c>
      <c r="BR463" s="510">
        <v>0</v>
      </c>
      <c r="BS463" s="510">
        <v>0</v>
      </c>
      <c r="BT463" s="510">
        <v>0</v>
      </c>
      <c r="BU463" s="510">
        <v>0</v>
      </c>
      <c r="BV463" s="510">
        <v>0</v>
      </c>
      <c r="BW463" s="510">
        <v>0</v>
      </c>
      <c r="BX463" s="510">
        <v>30000</v>
      </c>
      <c r="BY463" s="1011">
        <v>0</v>
      </c>
      <c r="BZ463" s="510">
        <v>0</v>
      </c>
      <c r="CA463" s="1011">
        <v>0</v>
      </c>
      <c r="CB463" s="510">
        <v>0</v>
      </c>
      <c r="CC463" s="1011">
        <v>0</v>
      </c>
      <c r="CD463" s="510">
        <v>0</v>
      </c>
      <c r="CE463" s="1011">
        <v>0</v>
      </c>
      <c r="CF463" s="510">
        <v>55701.599999999999</v>
      </c>
      <c r="CG463" s="1011">
        <v>0</v>
      </c>
      <c r="CH463" s="510">
        <v>0</v>
      </c>
      <c r="CI463" s="1011">
        <v>0</v>
      </c>
    </row>
    <row r="464" spans="1:87" x14ac:dyDescent="0.2">
      <c r="A464" s="449">
        <v>61</v>
      </c>
      <c r="B464" s="453">
        <v>19518</v>
      </c>
      <c r="C464" s="454" t="s">
        <v>4875</v>
      </c>
      <c r="D464" s="454" t="s">
        <v>1390</v>
      </c>
      <c r="E464" s="454" t="s">
        <v>4876</v>
      </c>
      <c r="F464" s="454" t="s">
        <v>518</v>
      </c>
      <c r="G464" s="454" t="s">
        <v>13097</v>
      </c>
      <c r="H464" s="455">
        <v>4905490000126</v>
      </c>
      <c r="I464" s="462">
        <v>37145</v>
      </c>
      <c r="J464" s="457">
        <v>37497600</v>
      </c>
      <c r="K464" s="454" t="s">
        <v>4878</v>
      </c>
      <c r="L464" s="458">
        <v>226</v>
      </c>
      <c r="M464" s="454" t="s">
        <v>518</v>
      </c>
      <c r="N464" s="459">
        <v>8295300</v>
      </c>
      <c r="O464" s="460">
        <v>20791496</v>
      </c>
      <c r="P464" s="462">
        <v>46852</v>
      </c>
      <c r="Q464" s="462">
        <v>30</v>
      </c>
      <c r="R464" s="462">
        <v>43934</v>
      </c>
      <c r="S464" s="463">
        <v>630</v>
      </c>
      <c r="T464" s="464">
        <v>3.6</v>
      </c>
      <c r="U464" s="465">
        <v>2268</v>
      </c>
      <c r="V464" s="465">
        <v>18000</v>
      </c>
      <c r="W464" s="466">
        <v>0</v>
      </c>
      <c r="X464" s="467">
        <v>1</v>
      </c>
      <c r="Y464" s="466">
        <v>30402</v>
      </c>
      <c r="Z464" s="468" t="s">
        <v>516</v>
      </c>
      <c r="AA464" s="466">
        <v>115894.8</v>
      </c>
      <c r="AB464" s="466">
        <v>115894.8</v>
      </c>
      <c r="AC464" s="467">
        <v>0</v>
      </c>
      <c r="AD464" s="466">
        <v>0</v>
      </c>
      <c r="AE464" s="468" t="s">
        <v>516</v>
      </c>
      <c r="AF464" s="466">
        <v>0</v>
      </c>
      <c r="AG464" s="466">
        <v>0</v>
      </c>
      <c r="AH464" s="466">
        <v>14786.06</v>
      </c>
      <c r="AI464" s="466">
        <v>4998.88</v>
      </c>
      <c r="AJ464" s="469" t="s">
        <v>1674</v>
      </c>
      <c r="AK464" s="470" t="s">
        <v>518</v>
      </c>
      <c r="AL464" s="471" t="s">
        <v>4879</v>
      </c>
      <c r="AM464" s="470" t="s">
        <v>4880</v>
      </c>
      <c r="AN464" s="470" t="s">
        <v>4877</v>
      </c>
      <c r="AO464" s="470" t="s">
        <v>14990</v>
      </c>
      <c r="AP464" s="470" t="s">
        <v>4881</v>
      </c>
      <c r="AQ464" s="470" t="s">
        <v>4875</v>
      </c>
      <c r="AR464" s="472" t="s">
        <v>515</v>
      </c>
      <c r="AS464" s="473" t="s">
        <v>1385</v>
      </c>
      <c r="AT464" s="472" t="s">
        <v>1390</v>
      </c>
      <c r="AU464" s="472" t="s">
        <v>420</v>
      </c>
      <c r="AV464" s="472">
        <v>2020</v>
      </c>
      <c r="AW464" s="474" t="s">
        <v>15078</v>
      </c>
      <c r="AX464" s="475" t="s">
        <v>15079</v>
      </c>
      <c r="AY464" s="515">
        <v>1</v>
      </c>
      <c r="AZ464" s="474" t="s">
        <v>15079</v>
      </c>
      <c r="BA464" s="472" t="s">
        <v>1390</v>
      </c>
      <c r="BB464" s="472" t="s">
        <v>1385</v>
      </c>
      <c r="BC464" s="472" t="s">
        <v>1385</v>
      </c>
      <c r="BD464" s="472" t="s">
        <v>1385</v>
      </c>
      <c r="BE464" s="472" t="s">
        <v>1385</v>
      </c>
      <c r="BF464" s="472">
        <v>30402</v>
      </c>
      <c r="BG464" s="472">
        <v>0</v>
      </c>
      <c r="BH464" s="472" t="s">
        <v>1385</v>
      </c>
      <c r="BI464" s="510">
        <v>0</v>
      </c>
      <c r="BJ464" s="510">
        <v>0</v>
      </c>
      <c r="BK464" s="510">
        <v>0</v>
      </c>
      <c r="BL464" s="510">
        <v>0</v>
      </c>
      <c r="BM464" s="510">
        <v>0</v>
      </c>
      <c r="BN464" s="510">
        <v>5000</v>
      </c>
      <c r="BO464" s="510">
        <v>0</v>
      </c>
      <c r="BP464" s="510">
        <v>0</v>
      </c>
      <c r="BQ464" s="510">
        <v>0</v>
      </c>
      <c r="BR464" s="510">
        <v>0</v>
      </c>
      <c r="BS464" s="510">
        <v>0</v>
      </c>
      <c r="BT464" s="510">
        <v>0</v>
      </c>
      <c r="BU464" s="510">
        <v>0</v>
      </c>
      <c r="BV464" s="510">
        <v>0</v>
      </c>
      <c r="BW464" s="510">
        <v>0</v>
      </c>
      <c r="BX464" s="510">
        <v>30000</v>
      </c>
      <c r="BY464" s="1011">
        <v>0</v>
      </c>
      <c r="BZ464" s="510">
        <v>0</v>
      </c>
      <c r="CA464" s="1011">
        <v>0</v>
      </c>
      <c r="CB464" s="510">
        <v>0</v>
      </c>
      <c r="CC464" s="1011">
        <v>0</v>
      </c>
      <c r="CD464" s="510">
        <v>0</v>
      </c>
      <c r="CE464" s="1011">
        <v>0</v>
      </c>
      <c r="CF464" s="510">
        <v>55492.800000000003</v>
      </c>
      <c r="CG464" s="1011">
        <v>0</v>
      </c>
      <c r="CH464" s="510">
        <v>0</v>
      </c>
      <c r="CI464" s="1011">
        <v>0</v>
      </c>
    </row>
    <row r="465" spans="1:87" x14ac:dyDescent="0.2">
      <c r="A465" s="449">
        <v>84</v>
      </c>
      <c r="B465" s="453">
        <v>19519</v>
      </c>
      <c r="C465" s="454" t="s">
        <v>4882</v>
      </c>
      <c r="D465" s="454" t="s">
        <v>1390</v>
      </c>
      <c r="E465" s="454" t="s">
        <v>4883</v>
      </c>
      <c r="F465" s="454" t="s">
        <v>519</v>
      </c>
      <c r="G465" s="454" t="s">
        <v>13098</v>
      </c>
      <c r="H465" s="455">
        <v>25102177000120</v>
      </c>
      <c r="I465" s="462">
        <v>42523</v>
      </c>
      <c r="J465" s="457">
        <v>55401937</v>
      </c>
      <c r="K465" s="454" t="s">
        <v>4885</v>
      </c>
      <c r="L465" s="458">
        <v>110</v>
      </c>
      <c r="M465" s="454" t="s">
        <v>4886</v>
      </c>
      <c r="N465" s="459">
        <v>5524010</v>
      </c>
      <c r="O465" s="460">
        <v>37518220</v>
      </c>
      <c r="P465" s="462">
        <v>126465</v>
      </c>
      <c r="Q465" s="462">
        <v>52</v>
      </c>
      <c r="R465" s="462">
        <v>43881</v>
      </c>
      <c r="S465" s="463">
        <v>393</v>
      </c>
      <c r="T465" s="464">
        <v>3.6</v>
      </c>
      <c r="U465" s="465">
        <v>1414.8</v>
      </c>
      <c r="V465" s="465">
        <v>13680</v>
      </c>
      <c r="W465" s="466">
        <v>0</v>
      </c>
      <c r="X465" s="467">
        <v>1</v>
      </c>
      <c r="Y465" s="466">
        <v>0</v>
      </c>
      <c r="Z465" s="468" t="s">
        <v>514</v>
      </c>
      <c r="AA465" s="466">
        <v>0</v>
      </c>
      <c r="AB465" s="466">
        <v>0</v>
      </c>
      <c r="AC465" s="467">
        <v>0</v>
      </c>
      <c r="AD465" s="466">
        <v>0</v>
      </c>
      <c r="AE465" s="468" t="s">
        <v>516</v>
      </c>
      <c r="AF465" s="466">
        <v>0</v>
      </c>
      <c r="AG465" s="466">
        <v>0</v>
      </c>
      <c r="AH465" s="466">
        <v>832.87</v>
      </c>
      <c r="AI465" s="466">
        <v>1901.4</v>
      </c>
      <c r="AJ465" s="469" t="s">
        <v>1940</v>
      </c>
      <c r="AK465" s="470" t="s">
        <v>1941</v>
      </c>
      <c r="AL465" s="471" t="s">
        <v>4887</v>
      </c>
      <c r="AM465" s="470" t="s">
        <v>4888</v>
      </c>
      <c r="AN465" s="470" t="s">
        <v>4884</v>
      </c>
      <c r="AO465" s="470" t="s">
        <v>4889</v>
      </c>
      <c r="AP465" s="470" t="s">
        <v>4890</v>
      </c>
      <c r="AQ465" s="470" t="s">
        <v>4882</v>
      </c>
      <c r="AR465" s="472" t="s">
        <v>515</v>
      </c>
      <c r="AS465" s="473" t="s">
        <v>1385</v>
      </c>
      <c r="AT465" s="472" t="s">
        <v>1390</v>
      </c>
      <c r="AU465" s="472" t="s">
        <v>420</v>
      </c>
      <c r="AV465" s="472">
        <v>2020</v>
      </c>
      <c r="AW465" s="474" t="s">
        <v>15078</v>
      </c>
      <c r="AX465" s="475" t="s">
        <v>15079</v>
      </c>
      <c r="AY465" s="515">
        <v>1</v>
      </c>
      <c r="AZ465" s="474" t="s">
        <v>15079</v>
      </c>
      <c r="BA465" s="472" t="s">
        <v>1385</v>
      </c>
      <c r="BB465" s="472" t="s">
        <v>1385</v>
      </c>
      <c r="BC465" s="472" t="s">
        <v>1385</v>
      </c>
      <c r="BD465" s="472" t="s">
        <v>1385</v>
      </c>
      <c r="BE465" s="472" t="s">
        <v>1385</v>
      </c>
      <c r="BF465" s="472">
        <v>22642.2</v>
      </c>
      <c r="BG465" s="472">
        <v>0</v>
      </c>
      <c r="BH465" s="472" t="s">
        <v>516</v>
      </c>
      <c r="BI465" s="510">
        <v>0</v>
      </c>
      <c r="BJ465" s="510">
        <v>0</v>
      </c>
      <c r="BK465" s="510">
        <v>0</v>
      </c>
      <c r="BL465" s="510">
        <v>0</v>
      </c>
      <c r="BM465" s="510">
        <v>0</v>
      </c>
      <c r="BN465" s="510">
        <v>0</v>
      </c>
      <c r="BO465" s="510">
        <v>0</v>
      </c>
      <c r="BP465" s="510">
        <v>0</v>
      </c>
      <c r="BQ465" s="510">
        <v>0</v>
      </c>
      <c r="BR465" s="510">
        <v>0</v>
      </c>
      <c r="BS465" s="510">
        <v>0</v>
      </c>
      <c r="BT465" s="510">
        <v>0</v>
      </c>
      <c r="BU465" s="510">
        <v>0</v>
      </c>
      <c r="BV465" s="510">
        <v>0</v>
      </c>
      <c r="BW465" s="510">
        <v>0</v>
      </c>
      <c r="BX465" s="510">
        <v>0</v>
      </c>
      <c r="BY465" s="1011">
        <v>0</v>
      </c>
      <c r="BZ465" s="510">
        <v>0</v>
      </c>
      <c r="CA465" s="1011">
        <v>0</v>
      </c>
      <c r="CB465" s="510">
        <v>0</v>
      </c>
      <c r="CC465" s="1011">
        <v>0</v>
      </c>
      <c r="CD465" s="510">
        <v>0</v>
      </c>
      <c r="CE465" s="1011">
        <v>0</v>
      </c>
      <c r="CF465" s="510">
        <v>0</v>
      </c>
      <c r="CG465" s="1011">
        <v>0</v>
      </c>
      <c r="CH465" s="510">
        <v>0</v>
      </c>
      <c r="CI465" s="1011">
        <v>0</v>
      </c>
    </row>
    <row r="466" spans="1:87" x14ac:dyDescent="0.2">
      <c r="A466" s="449">
        <v>85</v>
      </c>
      <c r="B466" s="453">
        <v>19520</v>
      </c>
      <c r="C466" s="454" t="s">
        <v>4891</v>
      </c>
      <c r="D466" s="454" t="s">
        <v>4286</v>
      </c>
      <c r="E466" s="454" t="s">
        <v>4892</v>
      </c>
      <c r="F466" s="454" t="s">
        <v>519</v>
      </c>
      <c r="G466" s="454" t="s">
        <v>13099</v>
      </c>
      <c r="H466" s="455">
        <v>25106500000133</v>
      </c>
      <c r="I466" s="462">
        <v>42522</v>
      </c>
      <c r="J466" s="457">
        <v>55157521</v>
      </c>
      <c r="K466" s="454" t="s">
        <v>4894</v>
      </c>
      <c r="L466" s="458">
        <v>670</v>
      </c>
      <c r="M466" s="454" t="s">
        <v>2709</v>
      </c>
      <c r="N466" s="459">
        <v>5528001</v>
      </c>
      <c r="O466" s="460">
        <v>37511006</v>
      </c>
      <c r="P466" s="462">
        <v>122290</v>
      </c>
      <c r="Q466" s="462">
        <v>83</v>
      </c>
      <c r="R466" s="462">
        <v>43881</v>
      </c>
      <c r="S466" s="463">
        <v>615</v>
      </c>
      <c r="T466" s="464">
        <v>3.6</v>
      </c>
      <c r="U466" s="465">
        <v>2214</v>
      </c>
      <c r="V466" s="465">
        <v>18000</v>
      </c>
      <c r="W466" s="466">
        <v>0</v>
      </c>
      <c r="X466" s="467">
        <v>1</v>
      </c>
      <c r="Y466" s="466">
        <v>0</v>
      </c>
      <c r="Z466" s="468" t="s">
        <v>514</v>
      </c>
      <c r="AA466" s="466">
        <v>0</v>
      </c>
      <c r="AB466" s="466">
        <v>0</v>
      </c>
      <c r="AC466" s="467">
        <v>0</v>
      </c>
      <c r="AD466" s="466">
        <v>0</v>
      </c>
      <c r="AE466" s="468" t="s">
        <v>516</v>
      </c>
      <c r="AF466" s="466">
        <v>0</v>
      </c>
      <c r="AG466" s="466">
        <v>0</v>
      </c>
      <c r="AH466" s="466">
        <v>100.98</v>
      </c>
      <c r="AI466" s="466">
        <v>1570.87</v>
      </c>
      <c r="AJ466" s="469" t="s">
        <v>4895</v>
      </c>
      <c r="AK466" s="470" t="s">
        <v>4896</v>
      </c>
      <c r="AL466" s="471" t="s">
        <v>4897</v>
      </c>
      <c r="AM466" s="470" t="s">
        <v>4898</v>
      </c>
      <c r="AN466" s="470" t="s">
        <v>4893</v>
      </c>
      <c r="AO466" s="470" t="s">
        <v>4899</v>
      </c>
      <c r="AP466" s="470" t="s">
        <v>4900</v>
      </c>
      <c r="AQ466" s="470" t="s">
        <v>4891</v>
      </c>
      <c r="AR466" s="472" t="s">
        <v>515</v>
      </c>
      <c r="AS466" s="473">
        <v>3.6</v>
      </c>
      <c r="AT466" s="472" t="s">
        <v>4286</v>
      </c>
      <c r="AU466" s="472" t="s">
        <v>420</v>
      </c>
      <c r="AV466" s="472">
        <v>2020</v>
      </c>
      <c r="AW466" s="474" t="s">
        <v>15078</v>
      </c>
      <c r="AX466" s="475" t="s">
        <v>15079</v>
      </c>
      <c r="AY466" s="515">
        <v>1</v>
      </c>
      <c r="AZ466" s="474" t="s">
        <v>15079</v>
      </c>
      <c r="BA466" s="472" t="s">
        <v>1385</v>
      </c>
      <c r="BB466" s="472" t="s">
        <v>1385</v>
      </c>
      <c r="BC466" s="472" t="s">
        <v>1385</v>
      </c>
      <c r="BD466" s="472" t="s">
        <v>1385</v>
      </c>
      <c r="BE466" s="472" t="s">
        <v>1385</v>
      </c>
      <c r="BF466" s="472">
        <v>30321</v>
      </c>
      <c r="BG466" s="472">
        <v>0</v>
      </c>
      <c r="BH466" s="472" t="s">
        <v>516</v>
      </c>
      <c r="BI466" s="510">
        <v>0</v>
      </c>
      <c r="BJ466" s="510">
        <v>0</v>
      </c>
      <c r="BK466" s="510">
        <v>0</v>
      </c>
      <c r="BL466" s="510">
        <v>0</v>
      </c>
      <c r="BM466" s="510">
        <v>0</v>
      </c>
      <c r="BN466" s="510">
        <v>0</v>
      </c>
      <c r="BO466" s="510">
        <v>0</v>
      </c>
      <c r="BP466" s="510">
        <v>0</v>
      </c>
      <c r="BQ466" s="510">
        <v>0</v>
      </c>
      <c r="BR466" s="510">
        <v>0</v>
      </c>
      <c r="BS466" s="510">
        <v>0</v>
      </c>
      <c r="BT466" s="510">
        <v>0</v>
      </c>
      <c r="BU466" s="510">
        <v>0</v>
      </c>
      <c r="BV466" s="510">
        <v>0</v>
      </c>
      <c r="BW466" s="510">
        <v>0</v>
      </c>
      <c r="BX466" s="510">
        <v>0</v>
      </c>
      <c r="BY466" s="1011">
        <v>0</v>
      </c>
      <c r="BZ466" s="510">
        <v>0</v>
      </c>
      <c r="CA466" s="1011">
        <v>0</v>
      </c>
      <c r="CB466" s="510">
        <v>0</v>
      </c>
      <c r="CC466" s="1011">
        <v>0</v>
      </c>
      <c r="CD466" s="510">
        <v>0</v>
      </c>
      <c r="CE466" s="1011">
        <v>0</v>
      </c>
      <c r="CF466" s="510">
        <v>0</v>
      </c>
      <c r="CG466" s="1011">
        <v>0</v>
      </c>
      <c r="CH466" s="510">
        <v>0</v>
      </c>
      <c r="CI466" s="1011">
        <v>0</v>
      </c>
    </row>
    <row r="467" spans="1:87" x14ac:dyDescent="0.2">
      <c r="A467" s="449">
        <v>106</v>
      </c>
      <c r="B467" s="453">
        <v>19521</v>
      </c>
      <c r="C467" s="454" t="s">
        <v>4901</v>
      </c>
      <c r="D467" s="454" t="s">
        <v>1390</v>
      </c>
      <c r="E467" s="454" t="s">
        <v>4902</v>
      </c>
      <c r="F467" s="454" t="s">
        <v>521</v>
      </c>
      <c r="G467" s="454" t="s">
        <v>13100</v>
      </c>
      <c r="H467" s="455">
        <v>26163299000199</v>
      </c>
      <c r="I467" s="462">
        <v>42608</v>
      </c>
      <c r="J467" s="457">
        <v>57409854</v>
      </c>
      <c r="K467" s="454" t="s">
        <v>4903</v>
      </c>
      <c r="L467" s="458">
        <v>5000</v>
      </c>
      <c r="M467" s="454" t="s">
        <v>4904</v>
      </c>
      <c r="N467" s="459">
        <v>4849032</v>
      </c>
      <c r="O467" s="460">
        <v>55269847</v>
      </c>
      <c r="P467" s="462">
        <v>327207</v>
      </c>
      <c r="Q467" s="462">
        <v>107</v>
      </c>
      <c r="R467" s="462">
        <v>43934</v>
      </c>
      <c r="S467" s="463">
        <v>507</v>
      </c>
      <c r="T467" s="464">
        <v>3.6</v>
      </c>
      <c r="U467" s="465">
        <v>1825.2</v>
      </c>
      <c r="V467" s="465">
        <v>16560</v>
      </c>
      <c r="W467" s="466">
        <v>0</v>
      </c>
      <c r="X467" s="467">
        <v>1</v>
      </c>
      <c r="Y467" s="466">
        <v>27577.8</v>
      </c>
      <c r="Z467" s="468" t="s">
        <v>516</v>
      </c>
      <c r="AA467" s="466">
        <v>106338.6</v>
      </c>
      <c r="AB467" s="466">
        <v>106338.6</v>
      </c>
      <c r="AC467" s="467">
        <v>0</v>
      </c>
      <c r="AD467" s="466">
        <v>0</v>
      </c>
      <c r="AE467" s="468" t="s">
        <v>516</v>
      </c>
      <c r="AF467" s="466">
        <v>0</v>
      </c>
      <c r="AG467" s="466">
        <v>0</v>
      </c>
      <c r="AH467" s="466">
        <v>21397.5</v>
      </c>
      <c r="AI467" s="466">
        <v>0</v>
      </c>
      <c r="AJ467" s="469" t="s">
        <v>1657</v>
      </c>
      <c r="AK467" s="470" t="s">
        <v>3495</v>
      </c>
      <c r="AL467" s="471" t="s">
        <v>4905</v>
      </c>
      <c r="AM467" s="470" t="s">
        <v>3452</v>
      </c>
      <c r="AN467" s="470" t="s">
        <v>1385</v>
      </c>
      <c r="AO467" s="470" t="s">
        <v>14957</v>
      </c>
      <c r="AP467" s="470" t="s">
        <v>4906</v>
      </c>
      <c r="AQ467" s="470" t="s">
        <v>4901</v>
      </c>
      <c r="AR467" s="472" t="s">
        <v>515</v>
      </c>
      <c r="AS467" s="473" t="s">
        <v>1385</v>
      </c>
      <c r="AT467" s="472" t="s">
        <v>1390</v>
      </c>
      <c r="AU467" s="472" t="s">
        <v>420</v>
      </c>
      <c r="AV467" s="472">
        <v>2020</v>
      </c>
      <c r="AW467" s="474" t="s">
        <v>15078</v>
      </c>
      <c r="AX467" s="475" t="s">
        <v>15079</v>
      </c>
      <c r="AY467" s="515">
        <v>1</v>
      </c>
      <c r="AZ467" s="474" t="s">
        <v>15079</v>
      </c>
      <c r="BA467" s="472" t="s">
        <v>1390</v>
      </c>
      <c r="BB467" s="472" t="s">
        <v>1385</v>
      </c>
      <c r="BC467" s="472" t="s">
        <v>1385</v>
      </c>
      <c r="BD467" s="472" t="s">
        <v>1385</v>
      </c>
      <c r="BE467" s="472" t="s">
        <v>1385</v>
      </c>
      <c r="BF467" s="509">
        <v>27577.8</v>
      </c>
      <c r="BG467" s="509">
        <v>0</v>
      </c>
      <c r="BH467" s="472" t="s">
        <v>1385</v>
      </c>
      <c r="BI467" s="510">
        <v>0</v>
      </c>
      <c r="BJ467" s="510">
        <v>0</v>
      </c>
      <c r="BK467" s="510">
        <v>0</v>
      </c>
      <c r="BL467" s="510">
        <v>0</v>
      </c>
      <c r="BM467" s="510">
        <v>0</v>
      </c>
      <c r="BN467" s="510">
        <v>4000</v>
      </c>
      <c r="BO467" s="510">
        <v>0</v>
      </c>
      <c r="BP467" s="510">
        <v>0</v>
      </c>
      <c r="BQ467" s="510">
        <v>0</v>
      </c>
      <c r="BR467" s="510">
        <v>0</v>
      </c>
      <c r="BS467" s="510">
        <v>0</v>
      </c>
      <c r="BT467" s="510">
        <v>0</v>
      </c>
      <c r="BU467" s="510">
        <v>0</v>
      </c>
      <c r="BV467" s="510">
        <v>0</v>
      </c>
      <c r="BW467" s="510">
        <v>0</v>
      </c>
      <c r="BX467" s="510">
        <v>30000</v>
      </c>
      <c r="BY467" s="1011">
        <v>0</v>
      </c>
      <c r="BZ467" s="510">
        <v>0</v>
      </c>
      <c r="CA467" s="1011">
        <v>0</v>
      </c>
      <c r="CB467" s="510">
        <v>0</v>
      </c>
      <c r="CC467" s="1011">
        <v>0</v>
      </c>
      <c r="CD467" s="510">
        <v>0</v>
      </c>
      <c r="CE467" s="1011">
        <v>0</v>
      </c>
      <c r="CF467" s="510">
        <v>48760.800000000003</v>
      </c>
      <c r="CG467" s="1011">
        <v>0</v>
      </c>
      <c r="CH467" s="510">
        <v>0</v>
      </c>
      <c r="CI467" s="1011">
        <v>0</v>
      </c>
    </row>
    <row r="468" spans="1:87" x14ac:dyDescent="0.2">
      <c r="A468" s="449">
        <v>107</v>
      </c>
      <c r="B468" s="453">
        <v>19522</v>
      </c>
      <c r="C468" s="454" t="s">
        <v>4907</v>
      </c>
      <c r="D468" s="454" t="s">
        <v>1390</v>
      </c>
      <c r="E468" s="454" t="s">
        <v>4908</v>
      </c>
      <c r="F468" s="454" t="s">
        <v>521</v>
      </c>
      <c r="G468" s="454" t="s">
        <v>13101</v>
      </c>
      <c r="H468" s="455">
        <v>25968444000146</v>
      </c>
      <c r="I468" s="462">
        <v>42578</v>
      </c>
      <c r="J468" s="457">
        <v>56023863</v>
      </c>
      <c r="K468" s="454" t="s">
        <v>4909</v>
      </c>
      <c r="L468" s="458" t="s">
        <v>1446</v>
      </c>
      <c r="M468" s="454" t="s">
        <v>4910</v>
      </c>
      <c r="N468" s="459">
        <v>4856080</v>
      </c>
      <c r="O468" s="460">
        <v>55273132</v>
      </c>
      <c r="P468" s="462">
        <v>100377</v>
      </c>
      <c r="Q468" s="462">
        <v>106</v>
      </c>
      <c r="R468" s="462">
        <v>43934</v>
      </c>
      <c r="S468" s="463">
        <v>969</v>
      </c>
      <c r="T468" s="464">
        <v>3.6</v>
      </c>
      <c r="U468" s="465">
        <v>3488.4</v>
      </c>
      <c r="V468" s="465">
        <v>21240</v>
      </c>
      <c r="W468" s="466">
        <v>0</v>
      </c>
      <c r="X468" s="467">
        <v>1</v>
      </c>
      <c r="Y468" s="466">
        <v>37092.6</v>
      </c>
      <c r="Z468" s="468" t="s">
        <v>516</v>
      </c>
      <c r="AA468" s="466">
        <v>130440.6</v>
      </c>
      <c r="AB468" s="466">
        <v>130440.6</v>
      </c>
      <c r="AC468" s="467">
        <v>0</v>
      </c>
      <c r="AD468" s="466">
        <v>0</v>
      </c>
      <c r="AE468" s="468" t="s">
        <v>516</v>
      </c>
      <c r="AF468" s="466">
        <v>0</v>
      </c>
      <c r="AG468" s="466">
        <v>0</v>
      </c>
      <c r="AH468" s="466">
        <v>58064.42</v>
      </c>
      <c r="AI468" s="466">
        <v>17058.29</v>
      </c>
      <c r="AJ468" s="469" t="s">
        <v>1657</v>
      </c>
      <c r="AK468" s="470" t="s">
        <v>3495</v>
      </c>
      <c r="AL468" s="471" t="s">
        <v>4911</v>
      </c>
      <c r="AM468" s="470" t="s">
        <v>13102</v>
      </c>
      <c r="AN468" s="470" t="s">
        <v>1385</v>
      </c>
      <c r="AO468" s="470" t="s">
        <v>14958</v>
      </c>
      <c r="AP468" s="470" t="s">
        <v>4910</v>
      </c>
      <c r="AQ468" s="470" t="s">
        <v>4907</v>
      </c>
      <c r="AR468" s="472" t="s">
        <v>515</v>
      </c>
      <c r="AS468" s="473" t="s">
        <v>1385</v>
      </c>
      <c r="AT468" s="472" t="s">
        <v>1390</v>
      </c>
      <c r="AU468" s="472" t="s">
        <v>420</v>
      </c>
      <c r="AV468" s="472">
        <v>2020</v>
      </c>
      <c r="AW468" s="474" t="s">
        <v>15078</v>
      </c>
      <c r="AX468" s="475" t="s">
        <v>15079</v>
      </c>
      <c r="AY468" s="515">
        <v>1</v>
      </c>
      <c r="AZ468" s="474" t="s">
        <v>15079</v>
      </c>
      <c r="BA468" s="472" t="s">
        <v>1390</v>
      </c>
      <c r="BB468" s="472" t="s">
        <v>1385</v>
      </c>
      <c r="BC468" s="472" t="s">
        <v>1385</v>
      </c>
      <c r="BD468" s="472" t="s">
        <v>1385</v>
      </c>
      <c r="BE468" s="472" t="s">
        <v>1385</v>
      </c>
      <c r="BF468" s="472">
        <v>37092.6</v>
      </c>
      <c r="BG468" s="472">
        <v>0</v>
      </c>
      <c r="BH468" s="472" t="s">
        <v>1385</v>
      </c>
      <c r="BI468" s="510">
        <v>0</v>
      </c>
      <c r="BJ468" s="510">
        <v>2143.66</v>
      </c>
      <c r="BK468" s="510">
        <v>0</v>
      </c>
      <c r="BL468" s="510">
        <v>0</v>
      </c>
      <c r="BM468" s="510">
        <v>0</v>
      </c>
      <c r="BN468" s="510">
        <v>5000</v>
      </c>
      <c r="BO468" s="510">
        <v>0</v>
      </c>
      <c r="BP468" s="510">
        <v>0</v>
      </c>
      <c r="BQ468" s="510">
        <v>0</v>
      </c>
      <c r="BR468" s="510">
        <v>0</v>
      </c>
      <c r="BS468" s="510">
        <v>0</v>
      </c>
      <c r="BT468" s="510">
        <v>0</v>
      </c>
      <c r="BU468" s="510">
        <v>0</v>
      </c>
      <c r="BV468" s="510">
        <v>0</v>
      </c>
      <c r="BW468" s="510">
        <v>0</v>
      </c>
      <c r="BX468" s="510">
        <v>30000</v>
      </c>
      <c r="BY468" s="1011">
        <v>0</v>
      </c>
      <c r="BZ468" s="510">
        <v>0</v>
      </c>
      <c r="CA468" s="1011">
        <v>0</v>
      </c>
      <c r="CB468" s="510">
        <v>0</v>
      </c>
      <c r="CC468" s="1011">
        <v>0</v>
      </c>
      <c r="CD468" s="510">
        <v>0</v>
      </c>
      <c r="CE468" s="1011">
        <v>0</v>
      </c>
      <c r="CF468" s="510">
        <v>63348</v>
      </c>
      <c r="CG468" s="1011">
        <v>0</v>
      </c>
      <c r="CH468" s="510">
        <v>0</v>
      </c>
      <c r="CI468" s="1011">
        <v>0</v>
      </c>
    </row>
    <row r="469" spans="1:87" x14ac:dyDescent="0.2">
      <c r="A469" s="449">
        <v>86</v>
      </c>
      <c r="B469" s="453">
        <v>19523</v>
      </c>
      <c r="C469" s="454" t="s">
        <v>4913</v>
      </c>
      <c r="D469" s="454" t="s">
        <v>1390</v>
      </c>
      <c r="E469" s="454" t="s">
        <v>4914</v>
      </c>
      <c r="F469" s="454" t="s">
        <v>529</v>
      </c>
      <c r="G469" s="454" t="s">
        <v>13103</v>
      </c>
      <c r="H469" s="455">
        <v>26013370000157</v>
      </c>
      <c r="I469" s="462">
        <v>42587</v>
      </c>
      <c r="J469" s="457">
        <v>55846858</v>
      </c>
      <c r="K469" s="454" t="s">
        <v>4915</v>
      </c>
      <c r="L469" s="458">
        <v>770</v>
      </c>
      <c r="M469" s="454" t="s">
        <v>4916</v>
      </c>
      <c r="N469" s="459">
        <v>4462105</v>
      </c>
      <c r="O469" s="460">
        <v>56114106</v>
      </c>
      <c r="P469" s="462">
        <v>563440</v>
      </c>
      <c r="Q469" s="462">
        <v>85</v>
      </c>
      <c r="R469" s="462">
        <v>43921</v>
      </c>
      <c r="S469" s="463">
        <v>886</v>
      </c>
      <c r="T469" s="464">
        <v>3.6</v>
      </c>
      <c r="U469" s="465">
        <v>3189.6</v>
      </c>
      <c r="V469" s="465">
        <v>21240</v>
      </c>
      <c r="W469" s="466">
        <v>0</v>
      </c>
      <c r="X469" s="467">
        <v>1</v>
      </c>
      <c r="Y469" s="466">
        <v>36644.400000000001</v>
      </c>
      <c r="Z469" s="468" t="s">
        <v>516</v>
      </c>
      <c r="AA469" s="466">
        <v>129920.4</v>
      </c>
      <c r="AB469" s="466">
        <v>129920.4</v>
      </c>
      <c r="AC469" s="467">
        <v>0</v>
      </c>
      <c r="AD469" s="466">
        <v>0</v>
      </c>
      <c r="AE469" s="468" t="s">
        <v>516</v>
      </c>
      <c r="AF469" s="466">
        <v>0</v>
      </c>
      <c r="AG469" s="466">
        <v>0</v>
      </c>
      <c r="AH469" s="466">
        <v>41512.129999999997</v>
      </c>
      <c r="AI469" s="466">
        <v>11280.18</v>
      </c>
      <c r="AJ469" s="469" t="s">
        <v>1544</v>
      </c>
      <c r="AK469" s="470" t="s">
        <v>1545</v>
      </c>
      <c r="AL469" s="471" t="s">
        <v>4917</v>
      </c>
      <c r="AM469" s="470" t="s">
        <v>1385</v>
      </c>
      <c r="AN469" s="470" t="s">
        <v>13103</v>
      </c>
      <c r="AO469" s="470" t="s">
        <v>1385</v>
      </c>
      <c r="AP469" s="470" t="s">
        <v>4918</v>
      </c>
      <c r="AQ469" s="470" t="s">
        <v>4913</v>
      </c>
      <c r="AR469" s="472" t="s">
        <v>515</v>
      </c>
      <c r="AS469" s="473" t="s">
        <v>1385</v>
      </c>
      <c r="AT469" s="472" t="s">
        <v>1390</v>
      </c>
      <c r="AU469" s="472" t="s">
        <v>420</v>
      </c>
      <c r="AV469" s="472">
        <v>2020</v>
      </c>
      <c r="AW469" s="474" t="s">
        <v>15078</v>
      </c>
      <c r="AX469" s="475" t="s">
        <v>15079</v>
      </c>
      <c r="AY469" s="515">
        <v>1</v>
      </c>
      <c r="AZ469" s="474" t="s">
        <v>15079</v>
      </c>
      <c r="BA469" s="472" t="s">
        <v>1390</v>
      </c>
      <c r="BB469" s="472" t="s">
        <v>1385</v>
      </c>
      <c r="BC469" s="472" t="s">
        <v>1385</v>
      </c>
      <c r="BD469" s="472" t="s">
        <v>1385</v>
      </c>
      <c r="BE469" s="472" t="s">
        <v>1385</v>
      </c>
      <c r="BF469" s="472">
        <v>36644.400000000001</v>
      </c>
      <c r="BG469" s="472">
        <v>0</v>
      </c>
      <c r="BH469" s="472" t="s">
        <v>1385</v>
      </c>
      <c r="BI469" s="510">
        <v>0</v>
      </c>
      <c r="BJ469" s="510">
        <v>0</v>
      </c>
      <c r="BK469" s="510">
        <v>0</v>
      </c>
      <c r="BL469" s="510">
        <v>0</v>
      </c>
      <c r="BM469" s="510">
        <v>0</v>
      </c>
      <c r="BN469" s="510">
        <v>5000</v>
      </c>
      <c r="BO469" s="510">
        <v>0</v>
      </c>
      <c r="BP469" s="510">
        <v>0</v>
      </c>
      <c r="BQ469" s="510">
        <v>0</v>
      </c>
      <c r="BR469" s="510">
        <v>0</v>
      </c>
      <c r="BS469" s="510">
        <v>0</v>
      </c>
      <c r="BT469" s="510">
        <v>0</v>
      </c>
      <c r="BU469" s="510">
        <v>0</v>
      </c>
      <c r="BV469" s="510">
        <v>0</v>
      </c>
      <c r="BW469" s="510">
        <v>0</v>
      </c>
      <c r="BX469" s="510">
        <v>30000</v>
      </c>
      <c r="BY469" s="1011">
        <v>0</v>
      </c>
      <c r="BZ469" s="510">
        <v>0</v>
      </c>
      <c r="CA469" s="1011">
        <v>0</v>
      </c>
      <c r="CB469" s="510">
        <v>0</v>
      </c>
      <c r="CC469" s="1011">
        <v>0</v>
      </c>
      <c r="CD469" s="510">
        <v>0</v>
      </c>
      <c r="CE469" s="1011">
        <v>0</v>
      </c>
      <c r="CF469" s="510">
        <v>63276</v>
      </c>
      <c r="CG469" s="1011">
        <v>0</v>
      </c>
      <c r="CH469" s="510">
        <v>0</v>
      </c>
      <c r="CI469" s="1011">
        <v>0</v>
      </c>
    </row>
    <row r="470" spans="1:87" x14ac:dyDescent="0.2">
      <c r="A470" s="449">
        <v>104</v>
      </c>
      <c r="B470" s="453">
        <v>19524</v>
      </c>
      <c r="C470" s="454" t="s">
        <v>4919</v>
      </c>
      <c r="D470" s="454" t="s">
        <v>1390</v>
      </c>
      <c r="E470" s="454" t="s">
        <v>4920</v>
      </c>
      <c r="F470" s="454" t="s">
        <v>523</v>
      </c>
      <c r="G470" s="454" t="s">
        <v>13104</v>
      </c>
      <c r="H470" s="455">
        <v>24960751000118</v>
      </c>
      <c r="I470" s="462">
        <v>42538</v>
      </c>
      <c r="J470" s="457">
        <v>54977827</v>
      </c>
      <c r="K470" s="454" t="s">
        <v>4922</v>
      </c>
      <c r="L470" s="458">
        <v>880</v>
      </c>
      <c r="M470" s="454" t="s">
        <v>4923</v>
      </c>
      <c r="N470" s="459">
        <v>8032650</v>
      </c>
      <c r="O470" s="460">
        <v>25137300</v>
      </c>
      <c r="P470" s="462">
        <v>261176</v>
      </c>
      <c r="Q470" s="462">
        <v>104</v>
      </c>
      <c r="R470" s="462">
        <v>43921</v>
      </c>
      <c r="S470" s="463">
        <v>454</v>
      </c>
      <c r="T470" s="464">
        <v>3.6</v>
      </c>
      <c r="U470" s="465">
        <v>1634.4</v>
      </c>
      <c r="V470" s="465">
        <v>15120</v>
      </c>
      <c r="W470" s="466">
        <v>0</v>
      </c>
      <c r="X470" s="467">
        <v>1</v>
      </c>
      <c r="Y470" s="466">
        <v>25131.599999999999</v>
      </c>
      <c r="Z470" s="468" t="s">
        <v>516</v>
      </c>
      <c r="AA470" s="466">
        <v>103381.2</v>
      </c>
      <c r="AB470" s="466">
        <v>103381.2</v>
      </c>
      <c r="AC470" s="467">
        <v>0</v>
      </c>
      <c r="AD470" s="466">
        <v>0</v>
      </c>
      <c r="AE470" s="468" t="s">
        <v>516</v>
      </c>
      <c r="AF470" s="466">
        <v>0</v>
      </c>
      <c r="AG470" s="466">
        <v>0</v>
      </c>
      <c r="AH470" s="466">
        <v>14725.69</v>
      </c>
      <c r="AI470" s="466">
        <v>3742.58</v>
      </c>
      <c r="AJ470" s="469" t="s">
        <v>4924</v>
      </c>
      <c r="AK470" s="470" t="s">
        <v>4925</v>
      </c>
      <c r="AL470" s="471" t="s">
        <v>4926</v>
      </c>
      <c r="AM470" s="470" t="s">
        <v>4927</v>
      </c>
      <c r="AN470" s="470" t="s">
        <v>4921</v>
      </c>
      <c r="AO470" s="470" t="s">
        <v>13105</v>
      </c>
      <c r="AP470" s="470" t="s">
        <v>4928</v>
      </c>
      <c r="AQ470" s="470" t="s">
        <v>4919</v>
      </c>
      <c r="AR470" s="472" t="s">
        <v>515</v>
      </c>
      <c r="AS470" s="473" t="s">
        <v>1385</v>
      </c>
      <c r="AT470" s="472" t="s">
        <v>1390</v>
      </c>
      <c r="AU470" s="472" t="s">
        <v>420</v>
      </c>
      <c r="AV470" s="472">
        <v>2020</v>
      </c>
      <c r="AW470" s="474" t="s">
        <v>15078</v>
      </c>
      <c r="AX470" s="475" t="s">
        <v>15079</v>
      </c>
      <c r="AY470" s="515">
        <v>1</v>
      </c>
      <c r="AZ470" s="474" t="s">
        <v>15079</v>
      </c>
      <c r="BA470" s="472" t="s">
        <v>1390</v>
      </c>
      <c r="BB470" s="472" t="s">
        <v>1385</v>
      </c>
      <c r="BC470" s="472" t="s">
        <v>1385</v>
      </c>
      <c r="BD470" s="472" t="s">
        <v>1385</v>
      </c>
      <c r="BE470" s="472" t="s">
        <v>1385</v>
      </c>
      <c r="BF470" s="472">
        <v>25131.599999999999</v>
      </c>
      <c r="BG470" s="472">
        <v>0</v>
      </c>
      <c r="BH470" s="472" t="s">
        <v>1385</v>
      </c>
      <c r="BI470" s="510">
        <v>0</v>
      </c>
      <c r="BJ470" s="510">
        <v>0</v>
      </c>
      <c r="BK470" s="510">
        <v>0</v>
      </c>
      <c r="BL470" s="510">
        <v>0</v>
      </c>
      <c r="BM470" s="510">
        <v>0</v>
      </c>
      <c r="BN470" s="510">
        <v>4000</v>
      </c>
      <c r="BO470" s="510">
        <v>0</v>
      </c>
      <c r="BP470" s="510">
        <v>0</v>
      </c>
      <c r="BQ470" s="510">
        <v>0</v>
      </c>
      <c r="BR470" s="510">
        <v>0</v>
      </c>
      <c r="BS470" s="510">
        <v>0</v>
      </c>
      <c r="BT470" s="510">
        <v>0</v>
      </c>
      <c r="BU470" s="510">
        <v>0</v>
      </c>
      <c r="BV470" s="510">
        <v>0</v>
      </c>
      <c r="BW470" s="510">
        <v>0</v>
      </c>
      <c r="BX470" s="510">
        <v>30000</v>
      </c>
      <c r="BY470" s="1011">
        <v>0</v>
      </c>
      <c r="BZ470" s="510">
        <v>0</v>
      </c>
      <c r="CA470" s="1011">
        <v>0</v>
      </c>
      <c r="CB470" s="510">
        <v>0</v>
      </c>
      <c r="CC470" s="1011">
        <v>0</v>
      </c>
      <c r="CD470" s="510">
        <v>0</v>
      </c>
      <c r="CE470" s="1011">
        <v>0</v>
      </c>
      <c r="CF470" s="510">
        <v>48249.599999999999</v>
      </c>
      <c r="CG470" s="1011">
        <v>0</v>
      </c>
      <c r="CH470" s="510">
        <v>0</v>
      </c>
      <c r="CI470" s="1011">
        <v>0</v>
      </c>
    </row>
    <row r="471" spans="1:87" x14ac:dyDescent="0.2">
      <c r="A471" s="449">
        <v>85</v>
      </c>
      <c r="B471" s="453">
        <v>19525</v>
      </c>
      <c r="C471" s="454" t="s">
        <v>4929</v>
      </c>
      <c r="D471" s="454" t="s">
        <v>1390</v>
      </c>
      <c r="E471" s="454" t="s">
        <v>4930</v>
      </c>
      <c r="F471" s="454" t="s">
        <v>529</v>
      </c>
      <c r="G471" s="454" t="s">
        <v>13106</v>
      </c>
      <c r="H471" s="455">
        <v>28981343000101</v>
      </c>
      <c r="I471" s="462">
        <v>42937</v>
      </c>
      <c r="J471" s="457">
        <v>58394079</v>
      </c>
      <c r="K471" s="454" t="s">
        <v>4931</v>
      </c>
      <c r="L471" s="458" t="s">
        <v>1446</v>
      </c>
      <c r="M471" s="454" t="s">
        <v>4932</v>
      </c>
      <c r="N471" s="459">
        <v>4434090</v>
      </c>
      <c r="O471" s="460">
        <v>56116785</v>
      </c>
      <c r="P471" s="462">
        <v>563385</v>
      </c>
      <c r="Q471" s="462">
        <v>87</v>
      </c>
      <c r="R471" s="462">
        <v>43921</v>
      </c>
      <c r="S471" s="463">
        <v>929</v>
      </c>
      <c r="T471" s="464">
        <v>3.6</v>
      </c>
      <c r="U471" s="465">
        <v>3344.4</v>
      </c>
      <c r="V471" s="465">
        <v>21240</v>
      </c>
      <c r="W471" s="466">
        <v>0</v>
      </c>
      <c r="X471" s="467">
        <v>1</v>
      </c>
      <c r="Y471" s="466">
        <v>36876.6</v>
      </c>
      <c r="Z471" s="468" t="s">
        <v>516</v>
      </c>
      <c r="AA471" s="466">
        <v>130311</v>
      </c>
      <c r="AB471" s="466">
        <v>130311</v>
      </c>
      <c r="AC471" s="467">
        <v>0</v>
      </c>
      <c r="AD471" s="466">
        <v>0</v>
      </c>
      <c r="AE471" s="468" t="s">
        <v>516</v>
      </c>
      <c r="AF471" s="466">
        <v>0</v>
      </c>
      <c r="AG471" s="466">
        <v>0</v>
      </c>
      <c r="AH471" s="466">
        <v>32159.31</v>
      </c>
      <c r="AI471" s="466">
        <v>12292.2</v>
      </c>
      <c r="AJ471" s="469" t="s">
        <v>1481</v>
      </c>
      <c r="AK471" s="470" t="s">
        <v>1482</v>
      </c>
      <c r="AL471" s="471" t="s">
        <v>4933</v>
      </c>
      <c r="AM471" s="470" t="s">
        <v>13107</v>
      </c>
      <c r="AN471" s="470" t="s">
        <v>13106</v>
      </c>
      <c r="AO471" s="470" t="s">
        <v>13108</v>
      </c>
      <c r="AP471" s="470" t="s">
        <v>4932</v>
      </c>
      <c r="AQ471" s="470" t="s">
        <v>4929</v>
      </c>
      <c r="AR471" s="472" t="s">
        <v>515</v>
      </c>
      <c r="AS471" s="473" t="s">
        <v>1385</v>
      </c>
      <c r="AT471" s="472" t="s">
        <v>1390</v>
      </c>
      <c r="AU471" s="472" t="s">
        <v>420</v>
      </c>
      <c r="AV471" s="472">
        <v>2020</v>
      </c>
      <c r="AW471" s="474" t="s">
        <v>15078</v>
      </c>
      <c r="AX471" s="475" t="s">
        <v>15079</v>
      </c>
      <c r="AY471" s="515">
        <v>1</v>
      </c>
      <c r="AZ471" s="474" t="s">
        <v>15079</v>
      </c>
      <c r="BA471" s="472" t="s">
        <v>1390</v>
      </c>
      <c r="BB471" s="472" t="s">
        <v>1385</v>
      </c>
      <c r="BC471" s="472" t="s">
        <v>1385</v>
      </c>
      <c r="BD471" s="472" t="s">
        <v>1385</v>
      </c>
      <c r="BE471" s="472" t="s">
        <v>1385</v>
      </c>
      <c r="BF471" s="472">
        <v>36876.6</v>
      </c>
      <c r="BG471" s="472">
        <v>0</v>
      </c>
      <c r="BH471" s="472" t="s">
        <v>1385</v>
      </c>
      <c r="BI471" s="510">
        <v>0</v>
      </c>
      <c r="BJ471" s="510">
        <v>0</v>
      </c>
      <c r="BK471" s="510">
        <v>0</v>
      </c>
      <c r="BL471" s="510">
        <v>0</v>
      </c>
      <c r="BM471" s="510">
        <v>0</v>
      </c>
      <c r="BN471" s="510">
        <v>5000</v>
      </c>
      <c r="BO471" s="510">
        <v>0</v>
      </c>
      <c r="BP471" s="510">
        <v>0</v>
      </c>
      <c r="BQ471" s="510">
        <v>0</v>
      </c>
      <c r="BR471" s="510">
        <v>0</v>
      </c>
      <c r="BS471" s="510">
        <v>0</v>
      </c>
      <c r="BT471" s="510">
        <v>0</v>
      </c>
      <c r="BU471" s="510">
        <v>0</v>
      </c>
      <c r="BV471" s="510">
        <v>0</v>
      </c>
      <c r="BW471" s="510">
        <v>0</v>
      </c>
      <c r="BX471" s="510">
        <v>30000</v>
      </c>
      <c r="BY471" s="1011">
        <v>0</v>
      </c>
      <c r="BZ471" s="510">
        <v>0</v>
      </c>
      <c r="CA471" s="1011">
        <v>0</v>
      </c>
      <c r="CB471" s="510">
        <v>0</v>
      </c>
      <c r="CC471" s="1011">
        <v>0</v>
      </c>
      <c r="CD471" s="510">
        <v>0</v>
      </c>
      <c r="CE471" s="1011">
        <v>0</v>
      </c>
      <c r="CF471" s="510">
        <v>63434.400000000001</v>
      </c>
      <c r="CG471" s="1011">
        <v>0</v>
      </c>
      <c r="CH471" s="510">
        <v>0</v>
      </c>
      <c r="CI471" s="1011">
        <v>0</v>
      </c>
    </row>
    <row r="472" spans="1:87" x14ac:dyDescent="0.2">
      <c r="A472" s="449">
        <v>68</v>
      </c>
      <c r="B472" s="453">
        <v>19526</v>
      </c>
      <c r="C472" s="454" t="s">
        <v>4934</v>
      </c>
      <c r="D472" s="454" t="s">
        <v>517</v>
      </c>
      <c r="E472" s="454" t="s">
        <v>4934</v>
      </c>
      <c r="F472" s="454" t="s">
        <v>520</v>
      </c>
      <c r="G472" s="454" t="s">
        <v>13109</v>
      </c>
      <c r="H472" s="455">
        <v>3811000000160</v>
      </c>
      <c r="I472" s="462">
        <v>36654</v>
      </c>
      <c r="J472" s="457">
        <v>37629247</v>
      </c>
      <c r="K472" s="454" t="s">
        <v>4936</v>
      </c>
      <c r="L472" s="458">
        <v>80</v>
      </c>
      <c r="M472" s="454" t="s">
        <v>4937</v>
      </c>
      <c r="N472" s="459">
        <v>5869270</v>
      </c>
      <c r="O472" s="460">
        <v>58725454</v>
      </c>
      <c r="P472" s="462">
        <v>300767</v>
      </c>
      <c r="Q472" s="462">
        <v>133</v>
      </c>
      <c r="R472" s="462">
        <v>43979</v>
      </c>
      <c r="S472" s="463">
        <v>193</v>
      </c>
      <c r="T472" s="464">
        <v>5.4</v>
      </c>
      <c r="U472" s="465">
        <v>1042.2</v>
      </c>
      <c r="V472" s="465">
        <v>13860</v>
      </c>
      <c r="W472" s="466">
        <v>0</v>
      </c>
      <c r="X472" s="467">
        <v>1</v>
      </c>
      <c r="Y472" s="466">
        <v>28590.3</v>
      </c>
      <c r="Z472" s="468" t="s">
        <v>516</v>
      </c>
      <c r="AA472" s="466">
        <v>123516.3</v>
      </c>
      <c r="AB472" s="466">
        <v>123516.3</v>
      </c>
      <c r="AC472" s="467">
        <v>0</v>
      </c>
      <c r="AD472" s="466">
        <v>0</v>
      </c>
      <c r="AE472" s="468" t="s">
        <v>516</v>
      </c>
      <c r="AF472" s="466">
        <v>0</v>
      </c>
      <c r="AG472" s="466">
        <v>0</v>
      </c>
      <c r="AH472" s="466">
        <v>28510.959999999999</v>
      </c>
      <c r="AI472" s="466">
        <v>9240.6200000000008</v>
      </c>
      <c r="AJ472" s="469" t="s">
        <v>1470</v>
      </c>
      <c r="AK472" s="470" t="s">
        <v>3856</v>
      </c>
      <c r="AL472" s="471" t="s">
        <v>4938</v>
      </c>
      <c r="AM472" s="470" t="s">
        <v>4939</v>
      </c>
      <c r="AN472" s="470" t="s">
        <v>4935</v>
      </c>
      <c r="AO472" s="470" t="s">
        <v>4940</v>
      </c>
      <c r="AP472" s="470" t="s">
        <v>4941</v>
      </c>
      <c r="AQ472" s="470" t="s">
        <v>4934</v>
      </c>
      <c r="AR472" s="472" t="s">
        <v>515</v>
      </c>
      <c r="AS472" s="473" t="s">
        <v>1385</v>
      </c>
      <c r="AT472" s="472" t="s">
        <v>517</v>
      </c>
      <c r="AU472" s="472" t="s">
        <v>420</v>
      </c>
      <c r="AV472" s="472">
        <v>2020</v>
      </c>
      <c r="AW472" s="474" t="s">
        <v>15078</v>
      </c>
      <c r="AX472" s="475" t="s">
        <v>15079</v>
      </c>
      <c r="AY472" s="515">
        <v>1</v>
      </c>
      <c r="AZ472" s="474" t="s">
        <v>15079</v>
      </c>
      <c r="BA472" s="472" t="s">
        <v>517</v>
      </c>
      <c r="BB472" s="472" t="s">
        <v>516</v>
      </c>
      <c r="BC472" s="472">
        <v>6</v>
      </c>
      <c r="BD472" s="472">
        <v>4158</v>
      </c>
      <c r="BE472" s="472">
        <v>0</v>
      </c>
      <c r="BF472" s="472">
        <v>28590.3</v>
      </c>
      <c r="BG472" s="472">
        <v>0</v>
      </c>
      <c r="BH472" s="472" t="s">
        <v>1385</v>
      </c>
      <c r="BI472" s="510">
        <v>0</v>
      </c>
      <c r="BJ472" s="510">
        <v>0</v>
      </c>
      <c r="BK472" s="510">
        <v>0</v>
      </c>
      <c r="BL472" s="510">
        <v>3500</v>
      </c>
      <c r="BM472" s="510">
        <v>0</v>
      </c>
      <c r="BN472" s="510">
        <v>2000</v>
      </c>
      <c r="BO472" s="510">
        <v>0</v>
      </c>
      <c r="BP472" s="510">
        <v>0</v>
      </c>
      <c r="BQ472" s="510">
        <v>0</v>
      </c>
      <c r="BR472" s="510">
        <v>0</v>
      </c>
      <c r="BS472" s="510">
        <v>0</v>
      </c>
      <c r="BT472" s="510">
        <v>0</v>
      </c>
      <c r="BU472" s="510">
        <v>2500</v>
      </c>
      <c r="BV472" s="510">
        <v>2500</v>
      </c>
      <c r="BW472" s="510">
        <v>0</v>
      </c>
      <c r="BX472" s="510">
        <v>30000</v>
      </c>
      <c r="BY472" s="1011">
        <v>0</v>
      </c>
      <c r="BZ472" s="510">
        <v>0</v>
      </c>
      <c r="CA472" s="1011">
        <v>0</v>
      </c>
      <c r="CB472" s="510">
        <v>22000</v>
      </c>
      <c r="CC472" s="1011">
        <v>0</v>
      </c>
      <c r="CD472" s="510">
        <v>0</v>
      </c>
      <c r="CE472" s="1011">
        <v>0</v>
      </c>
      <c r="CF472" s="510">
        <v>42926</v>
      </c>
      <c r="CG472" s="1011">
        <v>0</v>
      </c>
      <c r="CH472" s="510">
        <v>0</v>
      </c>
      <c r="CI472" s="1011">
        <v>0</v>
      </c>
    </row>
    <row r="473" spans="1:87" x14ac:dyDescent="0.2">
      <c r="A473" s="449">
        <v>87</v>
      </c>
      <c r="B473" s="453">
        <v>19527</v>
      </c>
      <c r="C473" s="454" t="s">
        <v>4942</v>
      </c>
      <c r="D473" s="454" t="s">
        <v>1390</v>
      </c>
      <c r="E473" s="454" t="s">
        <v>4943</v>
      </c>
      <c r="F473" s="454" t="s">
        <v>529</v>
      </c>
      <c r="G473" s="454" t="s">
        <v>13110</v>
      </c>
      <c r="H473" s="455">
        <v>28718378000144</v>
      </c>
      <c r="I473" s="462">
        <v>42883</v>
      </c>
      <c r="J473" s="457">
        <v>58119035</v>
      </c>
      <c r="K473" s="454" t="s">
        <v>4564</v>
      </c>
      <c r="L473" s="458">
        <v>2292</v>
      </c>
      <c r="M473" s="454" t="s">
        <v>4536</v>
      </c>
      <c r="N473" s="459">
        <v>4428000</v>
      </c>
      <c r="O473" s="460">
        <v>56258870</v>
      </c>
      <c r="P473" s="462">
        <v>567747</v>
      </c>
      <c r="Q473" s="462">
        <v>86</v>
      </c>
      <c r="R473" s="462">
        <v>43921</v>
      </c>
      <c r="S473" s="463">
        <v>744</v>
      </c>
      <c r="T473" s="464">
        <v>3.6</v>
      </c>
      <c r="U473" s="465">
        <v>2678.4</v>
      </c>
      <c r="V473" s="465">
        <v>21240</v>
      </c>
      <c r="W473" s="466">
        <v>0</v>
      </c>
      <c r="X473" s="467">
        <v>1</v>
      </c>
      <c r="Y473" s="466">
        <v>35877.599999999999</v>
      </c>
      <c r="Z473" s="468" t="s">
        <v>516</v>
      </c>
      <c r="AA473" s="466">
        <v>128527.2</v>
      </c>
      <c r="AB473" s="466">
        <v>128527.2</v>
      </c>
      <c r="AC473" s="467">
        <v>0</v>
      </c>
      <c r="AD473" s="466">
        <v>0</v>
      </c>
      <c r="AE473" s="468" t="s">
        <v>516</v>
      </c>
      <c r="AF473" s="466">
        <v>0</v>
      </c>
      <c r="AG473" s="466">
        <v>0</v>
      </c>
      <c r="AH473" s="466">
        <v>27632.67</v>
      </c>
      <c r="AI473" s="466">
        <v>19060.96</v>
      </c>
      <c r="AJ473" s="469" t="s">
        <v>1481</v>
      </c>
      <c r="AK473" s="470" t="s">
        <v>1482</v>
      </c>
      <c r="AL473" s="471" t="s">
        <v>4944</v>
      </c>
      <c r="AM473" s="470" t="s">
        <v>4945</v>
      </c>
      <c r="AN473" s="470" t="s">
        <v>13110</v>
      </c>
      <c r="AO473" s="470" t="s">
        <v>13111</v>
      </c>
      <c r="AP473" s="470" t="s">
        <v>4946</v>
      </c>
      <c r="AQ473" s="470" t="s">
        <v>4942</v>
      </c>
      <c r="AR473" s="472" t="s">
        <v>515</v>
      </c>
      <c r="AS473" s="473" t="s">
        <v>1385</v>
      </c>
      <c r="AT473" s="472" t="s">
        <v>1390</v>
      </c>
      <c r="AU473" s="472" t="s">
        <v>420</v>
      </c>
      <c r="AV473" s="472">
        <v>2020</v>
      </c>
      <c r="AW473" s="474" t="s">
        <v>15078</v>
      </c>
      <c r="AX473" s="475" t="s">
        <v>15079</v>
      </c>
      <c r="AY473" s="515">
        <v>1</v>
      </c>
      <c r="AZ473" s="474" t="s">
        <v>15079</v>
      </c>
      <c r="BA473" s="472" t="s">
        <v>1390</v>
      </c>
      <c r="BB473" s="472" t="s">
        <v>1385</v>
      </c>
      <c r="BC473" s="472" t="s">
        <v>1385</v>
      </c>
      <c r="BD473" s="472" t="s">
        <v>1385</v>
      </c>
      <c r="BE473" s="472" t="s">
        <v>1385</v>
      </c>
      <c r="BF473" s="509">
        <v>35877.599999999999</v>
      </c>
      <c r="BG473" s="509">
        <v>0</v>
      </c>
      <c r="BH473" s="472" t="s">
        <v>1385</v>
      </c>
      <c r="BI473" s="510">
        <v>0</v>
      </c>
      <c r="BJ473" s="510">
        <v>0</v>
      </c>
      <c r="BK473" s="510">
        <v>0</v>
      </c>
      <c r="BL473" s="510">
        <v>0</v>
      </c>
      <c r="BM473" s="510">
        <v>0</v>
      </c>
      <c r="BN473" s="510">
        <v>5000</v>
      </c>
      <c r="BO473" s="510">
        <v>0</v>
      </c>
      <c r="BP473" s="510">
        <v>0</v>
      </c>
      <c r="BQ473" s="510">
        <v>0</v>
      </c>
      <c r="BR473" s="510">
        <v>0</v>
      </c>
      <c r="BS473" s="510">
        <v>0</v>
      </c>
      <c r="BT473" s="510">
        <v>0</v>
      </c>
      <c r="BU473" s="510">
        <v>0</v>
      </c>
      <c r="BV473" s="510">
        <v>0</v>
      </c>
      <c r="BW473" s="510">
        <v>0</v>
      </c>
      <c r="BX473" s="510">
        <v>30000</v>
      </c>
      <c r="BY473" s="1011">
        <v>0</v>
      </c>
      <c r="BZ473" s="510">
        <v>0</v>
      </c>
      <c r="CA473" s="1011">
        <v>0</v>
      </c>
      <c r="CB473" s="510">
        <v>0</v>
      </c>
      <c r="CC473" s="1011">
        <v>0</v>
      </c>
      <c r="CD473" s="510">
        <v>0</v>
      </c>
      <c r="CE473" s="1011">
        <v>0</v>
      </c>
      <c r="CF473" s="510">
        <v>62649.599999999999</v>
      </c>
      <c r="CG473" s="1011">
        <v>0</v>
      </c>
      <c r="CH473" s="510">
        <v>0</v>
      </c>
      <c r="CI473" s="1011">
        <v>0</v>
      </c>
    </row>
    <row r="474" spans="1:87" x14ac:dyDescent="0.2">
      <c r="A474" s="449">
        <v>193</v>
      </c>
      <c r="B474" s="453">
        <v>19528</v>
      </c>
      <c r="C474" s="454" t="s">
        <v>4947</v>
      </c>
      <c r="D474" s="454" t="s">
        <v>4286</v>
      </c>
      <c r="E474" s="454" t="s">
        <v>4948</v>
      </c>
      <c r="F474" s="454" t="s">
        <v>520</v>
      </c>
      <c r="G474" s="454" t="s">
        <v>13112</v>
      </c>
      <c r="H474" s="455">
        <v>27940335000146</v>
      </c>
      <c r="I474" s="462">
        <v>42835</v>
      </c>
      <c r="J474" s="457">
        <v>57286590</v>
      </c>
      <c r="K474" s="454" t="s">
        <v>4950</v>
      </c>
      <c r="L474" s="458" t="s">
        <v>1446</v>
      </c>
      <c r="M474" s="454" t="s">
        <v>4951</v>
      </c>
      <c r="N474" s="459">
        <v>4965070</v>
      </c>
      <c r="O474" s="460">
        <v>58324919</v>
      </c>
      <c r="P474" s="462">
        <v>309292</v>
      </c>
      <c r="Q474" s="462">
        <v>54</v>
      </c>
      <c r="R474" s="462">
        <v>43969</v>
      </c>
      <c r="S474" s="463">
        <v>714</v>
      </c>
      <c r="T474" s="464">
        <v>3.6</v>
      </c>
      <c r="U474" s="465">
        <v>2570.4</v>
      </c>
      <c r="V474" s="465">
        <v>21240</v>
      </c>
      <c r="W474" s="466">
        <v>0</v>
      </c>
      <c r="X474" s="467">
        <v>1</v>
      </c>
      <c r="Y474" s="466">
        <v>35715.599999999999</v>
      </c>
      <c r="Z474" s="468" t="s">
        <v>516</v>
      </c>
      <c r="AA474" s="466">
        <v>128617.2</v>
      </c>
      <c r="AB474" s="466">
        <v>128617.2</v>
      </c>
      <c r="AC474" s="467">
        <v>0</v>
      </c>
      <c r="AD474" s="466">
        <v>0</v>
      </c>
      <c r="AE474" s="468" t="s">
        <v>516</v>
      </c>
      <c r="AF474" s="466">
        <v>0</v>
      </c>
      <c r="AG474" s="466">
        <v>0</v>
      </c>
      <c r="AH474" s="466">
        <v>20378.79</v>
      </c>
      <c r="AI474" s="466">
        <v>5499.24</v>
      </c>
      <c r="AJ474" s="469" t="s">
        <v>2755</v>
      </c>
      <c r="AK474" s="470" t="s">
        <v>3748</v>
      </c>
      <c r="AL474" s="471" t="s">
        <v>4952</v>
      </c>
      <c r="AM474" s="470" t="s">
        <v>4953</v>
      </c>
      <c r="AN474" s="470" t="s">
        <v>4949</v>
      </c>
      <c r="AO474" s="470" t="s">
        <v>4954</v>
      </c>
      <c r="AP474" s="470" t="s">
        <v>4955</v>
      </c>
      <c r="AQ474" s="470" t="s">
        <v>4947</v>
      </c>
      <c r="AR474" s="472" t="s">
        <v>515</v>
      </c>
      <c r="AS474" s="473">
        <v>3.6</v>
      </c>
      <c r="AT474" s="472" t="s">
        <v>4286</v>
      </c>
      <c r="AU474" s="472" t="s">
        <v>420</v>
      </c>
      <c r="AV474" s="472">
        <v>2020</v>
      </c>
      <c r="AW474" s="474" t="s">
        <v>15078</v>
      </c>
      <c r="AX474" s="475" t="s">
        <v>15079</v>
      </c>
      <c r="AY474" s="515">
        <v>1</v>
      </c>
      <c r="AZ474" s="474" t="s">
        <v>15079</v>
      </c>
      <c r="BA474" s="472" t="s">
        <v>4286</v>
      </c>
      <c r="BB474" s="472" t="s">
        <v>1385</v>
      </c>
      <c r="BC474" s="472" t="s">
        <v>1385</v>
      </c>
      <c r="BD474" s="472" t="s">
        <v>1385</v>
      </c>
      <c r="BE474" s="472" t="s">
        <v>1385</v>
      </c>
      <c r="BF474" s="509">
        <v>35715.599999999999</v>
      </c>
      <c r="BG474" s="509">
        <v>0</v>
      </c>
      <c r="BH474" s="472" t="s">
        <v>1385</v>
      </c>
      <c r="BI474" s="510">
        <v>0</v>
      </c>
      <c r="BJ474" s="510">
        <v>0</v>
      </c>
      <c r="BK474" s="510">
        <v>0</v>
      </c>
      <c r="BL474" s="510">
        <v>0</v>
      </c>
      <c r="BM474" s="510">
        <v>0</v>
      </c>
      <c r="BN474" s="510">
        <v>5000</v>
      </c>
      <c r="BO474" s="510">
        <v>0</v>
      </c>
      <c r="BP474" s="510">
        <v>0</v>
      </c>
      <c r="BQ474" s="510">
        <v>0</v>
      </c>
      <c r="BR474" s="510">
        <v>0</v>
      </c>
      <c r="BS474" s="510">
        <v>0</v>
      </c>
      <c r="BT474" s="510">
        <v>0</v>
      </c>
      <c r="BU474" s="510">
        <v>0</v>
      </c>
      <c r="BV474" s="510">
        <v>0</v>
      </c>
      <c r="BW474" s="510">
        <v>0</v>
      </c>
      <c r="BX474" s="510">
        <v>30000</v>
      </c>
      <c r="BY474" s="1011">
        <v>0</v>
      </c>
      <c r="BZ474" s="510">
        <v>0</v>
      </c>
      <c r="CA474" s="1011">
        <v>0</v>
      </c>
      <c r="CB474" s="510">
        <v>0</v>
      </c>
      <c r="CC474" s="1011">
        <v>0</v>
      </c>
      <c r="CD474" s="510">
        <v>0</v>
      </c>
      <c r="CE474" s="1011">
        <v>0</v>
      </c>
      <c r="CF474" s="510">
        <v>62901.599999999999</v>
      </c>
      <c r="CG474" s="1011">
        <v>0</v>
      </c>
      <c r="CH474" s="510">
        <v>0</v>
      </c>
      <c r="CI474" s="1011">
        <v>0</v>
      </c>
    </row>
    <row r="475" spans="1:87" x14ac:dyDescent="0.2">
      <c r="A475" s="449">
        <v>138</v>
      </c>
      <c r="B475" s="453">
        <v>19529</v>
      </c>
      <c r="C475" s="454" t="s">
        <v>4956</v>
      </c>
      <c r="D475" s="454" t="s">
        <v>517</v>
      </c>
      <c r="E475" s="454" t="s">
        <v>4957</v>
      </c>
      <c r="F475" s="454" t="s">
        <v>526</v>
      </c>
      <c r="G475" s="454" t="s">
        <v>13113</v>
      </c>
      <c r="H475" s="455">
        <v>28373647000188</v>
      </c>
      <c r="I475" s="462">
        <v>42933</v>
      </c>
      <c r="J475" s="457">
        <v>57732779</v>
      </c>
      <c r="K475" s="454" t="s">
        <v>4958</v>
      </c>
      <c r="L475" s="458" t="s">
        <v>1446</v>
      </c>
      <c r="M475" s="454" t="s">
        <v>4959</v>
      </c>
      <c r="N475" s="459">
        <v>8160475</v>
      </c>
      <c r="O475" s="460">
        <v>25665653</v>
      </c>
      <c r="P475" s="462">
        <v>136770</v>
      </c>
      <c r="Q475" s="462">
        <v>138</v>
      </c>
      <c r="R475" s="462">
        <v>43928</v>
      </c>
      <c r="S475" s="463">
        <v>343</v>
      </c>
      <c r="T475" s="464">
        <v>5.4</v>
      </c>
      <c r="U475" s="465">
        <v>1852.2</v>
      </c>
      <c r="V475" s="465">
        <v>15480</v>
      </c>
      <c r="W475" s="466">
        <v>0</v>
      </c>
      <c r="X475" s="467">
        <v>1</v>
      </c>
      <c r="Y475" s="466">
        <v>32964.300000000003</v>
      </c>
      <c r="Z475" s="468" t="s">
        <v>516</v>
      </c>
      <c r="AA475" s="466">
        <v>134219.1</v>
      </c>
      <c r="AB475" s="466">
        <v>134219.1</v>
      </c>
      <c r="AC475" s="467">
        <v>0</v>
      </c>
      <c r="AD475" s="466">
        <v>0</v>
      </c>
      <c r="AE475" s="468" t="s">
        <v>516</v>
      </c>
      <c r="AF475" s="466">
        <v>0</v>
      </c>
      <c r="AG475" s="466">
        <v>0</v>
      </c>
      <c r="AH475" s="466">
        <v>21706.959999999999</v>
      </c>
      <c r="AI475" s="466">
        <v>12299.09</v>
      </c>
      <c r="AJ475" s="469" t="s">
        <v>1839</v>
      </c>
      <c r="AK475" s="470" t="s">
        <v>526</v>
      </c>
      <c r="AL475" s="471" t="s">
        <v>4960</v>
      </c>
      <c r="AM475" s="470" t="s">
        <v>4961</v>
      </c>
      <c r="AN475" s="470" t="s">
        <v>280</v>
      </c>
      <c r="AO475" s="470" t="s">
        <v>13114</v>
      </c>
      <c r="AP475" s="470" t="s">
        <v>4959</v>
      </c>
      <c r="AQ475" s="470" t="s">
        <v>4956</v>
      </c>
      <c r="AR475" s="472" t="s">
        <v>515</v>
      </c>
      <c r="AS475" s="473" t="s">
        <v>1385</v>
      </c>
      <c r="AT475" s="472" t="s">
        <v>517</v>
      </c>
      <c r="AU475" s="472" t="s">
        <v>420</v>
      </c>
      <c r="AV475" s="472">
        <v>2020</v>
      </c>
      <c r="AW475" s="474" t="s">
        <v>15078</v>
      </c>
      <c r="AX475" s="475" t="s">
        <v>15079</v>
      </c>
      <c r="AY475" s="515">
        <v>1</v>
      </c>
      <c r="AZ475" s="474" t="s">
        <v>15079</v>
      </c>
      <c r="BA475" s="472" t="s">
        <v>517</v>
      </c>
      <c r="BB475" s="472" t="s">
        <v>516</v>
      </c>
      <c r="BC475" s="472">
        <v>8</v>
      </c>
      <c r="BD475" s="472">
        <v>4644</v>
      </c>
      <c r="BE475" s="472">
        <v>0</v>
      </c>
      <c r="BF475" s="472">
        <v>32964.300000000003</v>
      </c>
      <c r="BG475" s="472">
        <v>0</v>
      </c>
      <c r="BH475" s="472" t="s">
        <v>1385</v>
      </c>
      <c r="BI475" s="510">
        <v>0</v>
      </c>
      <c r="BJ475" s="510">
        <v>51.4</v>
      </c>
      <c r="BK475" s="510">
        <v>0</v>
      </c>
      <c r="BL475" s="510">
        <v>0</v>
      </c>
      <c r="BM475" s="510">
        <v>0</v>
      </c>
      <c r="BN475" s="510">
        <v>1900</v>
      </c>
      <c r="BO475" s="510">
        <v>0</v>
      </c>
      <c r="BP475" s="510">
        <v>0</v>
      </c>
      <c r="BQ475" s="510">
        <v>0</v>
      </c>
      <c r="BR475" s="510">
        <v>0</v>
      </c>
      <c r="BS475" s="510">
        <v>0</v>
      </c>
      <c r="BT475" s="510">
        <v>0</v>
      </c>
      <c r="BU475" s="510">
        <v>2500</v>
      </c>
      <c r="BV475" s="510">
        <v>2500</v>
      </c>
      <c r="BW475" s="510">
        <v>0</v>
      </c>
      <c r="BX475" s="510">
        <v>30000</v>
      </c>
      <c r="BY475" s="1011">
        <v>0</v>
      </c>
      <c r="BZ475" s="510">
        <v>0</v>
      </c>
      <c r="CA475" s="1011">
        <v>0</v>
      </c>
      <c r="CB475" s="510">
        <v>22000</v>
      </c>
      <c r="CC475" s="1011">
        <v>0</v>
      </c>
      <c r="CD475" s="510">
        <v>0</v>
      </c>
      <c r="CE475" s="1011">
        <v>0</v>
      </c>
      <c r="CF475" s="510">
        <v>49254.8</v>
      </c>
      <c r="CG475" s="1011">
        <v>0</v>
      </c>
      <c r="CH475" s="510">
        <v>0</v>
      </c>
      <c r="CI475" s="1011">
        <v>0</v>
      </c>
    </row>
    <row r="476" spans="1:87" x14ac:dyDescent="0.2">
      <c r="A476" s="449">
        <v>88</v>
      </c>
      <c r="B476" s="453">
        <v>19530</v>
      </c>
      <c r="C476" s="454" t="s">
        <v>4962</v>
      </c>
      <c r="D476" s="454" t="s">
        <v>1390</v>
      </c>
      <c r="E476" s="454" t="s">
        <v>4963</v>
      </c>
      <c r="F476" s="454" t="s">
        <v>529</v>
      </c>
      <c r="G476" s="454" t="s">
        <v>4964</v>
      </c>
      <c r="H476" s="455">
        <v>31655369000166</v>
      </c>
      <c r="I476" s="462">
        <v>43279</v>
      </c>
      <c r="J476" s="457">
        <v>60833688</v>
      </c>
      <c r="K476" s="454" t="s">
        <v>4965</v>
      </c>
      <c r="L476" s="458">
        <v>515</v>
      </c>
      <c r="M476" s="454" t="s">
        <v>4194</v>
      </c>
      <c r="N476" s="459">
        <v>4373030</v>
      </c>
      <c r="O476" s="460">
        <v>55620265</v>
      </c>
      <c r="P476" s="462">
        <v>563547</v>
      </c>
      <c r="Q476" s="462">
        <v>88</v>
      </c>
      <c r="R476" s="462">
        <v>43921</v>
      </c>
      <c r="S476" s="463">
        <v>400</v>
      </c>
      <c r="T476" s="464">
        <v>3.6</v>
      </c>
      <c r="U476" s="465">
        <v>1440</v>
      </c>
      <c r="V476" s="465">
        <v>13680</v>
      </c>
      <c r="W476" s="466">
        <v>0</v>
      </c>
      <c r="X476" s="467">
        <v>1</v>
      </c>
      <c r="Y476" s="466">
        <v>22680</v>
      </c>
      <c r="Z476" s="468" t="s">
        <v>516</v>
      </c>
      <c r="AA476" s="466">
        <v>101289.60000000001</v>
      </c>
      <c r="AB476" s="466">
        <v>101289.60000000001</v>
      </c>
      <c r="AC476" s="467">
        <v>0</v>
      </c>
      <c r="AD476" s="466">
        <v>0</v>
      </c>
      <c r="AE476" s="468" t="s">
        <v>516</v>
      </c>
      <c r="AF476" s="466">
        <v>0</v>
      </c>
      <c r="AG476" s="466">
        <v>0</v>
      </c>
      <c r="AH476" s="466">
        <v>13141.61</v>
      </c>
      <c r="AI476" s="466">
        <v>9673</v>
      </c>
      <c r="AJ476" s="469" t="s">
        <v>1790</v>
      </c>
      <c r="AK476" s="470" t="s">
        <v>4966</v>
      </c>
      <c r="AL476" s="471" t="s">
        <v>4967</v>
      </c>
      <c r="AM476" s="470" t="s">
        <v>14936</v>
      </c>
      <c r="AN476" s="470" t="s">
        <v>4964</v>
      </c>
      <c r="AO476" s="470" t="s">
        <v>1385</v>
      </c>
      <c r="AP476" s="470" t="s">
        <v>4194</v>
      </c>
      <c r="AQ476" s="470" t="s">
        <v>4962</v>
      </c>
      <c r="AR476" s="472" t="s">
        <v>515</v>
      </c>
      <c r="AS476" s="473" t="s">
        <v>1385</v>
      </c>
      <c r="AT476" s="472" t="s">
        <v>1390</v>
      </c>
      <c r="AU476" s="472" t="s">
        <v>420</v>
      </c>
      <c r="AV476" s="472">
        <v>2020</v>
      </c>
      <c r="AW476" s="474" t="s">
        <v>15078</v>
      </c>
      <c r="AX476" s="475" t="s">
        <v>15079</v>
      </c>
      <c r="AY476" s="515">
        <v>1</v>
      </c>
      <c r="AZ476" s="474" t="s">
        <v>15079</v>
      </c>
      <c r="BA476" s="472" t="s">
        <v>1390</v>
      </c>
      <c r="BB476" s="472" t="s">
        <v>1385</v>
      </c>
      <c r="BC476" s="472" t="s">
        <v>1385</v>
      </c>
      <c r="BD476" s="472" t="s">
        <v>1385</v>
      </c>
      <c r="BE476" s="472" t="s">
        <v>1385</v>
      </c>
      <c r="BF476" s="472">
        <v>22680</v>
      </c>
      <c r="BG476" s="472">
        <v>0</v>
      </c>
      <c r="BH476" s="472" t="s">
        <v>1385</v>
      </c>
      <c r="BI476" s="510">
        <v>0</v>
      </c>
      <c r="BJ476" s="510">
        <v>0</v>
      </c>
      <c r="BK476" s="510">
        <v>0</v>
      </c>
      <c r="BL476" s="510">
        <v>0</v>
      </c>
      <c r="BM476" s="510">
        <v>0</v>
      </c>
      <c r="BN476" s="510">
        <v>250</v>
      </c>
      <c r="BO476" s="510">
        <v>0</v>
      </c>
      <c r="BP476" s="510">
        <v>0</v>
      </c>
      <c r="BQ476" s="510">
        <v>0</v>
      </c>
      <c r="BR476" s="510">
        <v>0</v>
      </c>
      <c r="BS476" s="510">
        <v>0</v>
      </c>
      <c r="BT476" s="510">
        <v>0</v>
      </c>
      <c r="BU476" s="510">
        <v>0</v>
      </c>
      <c r="BV476" s="510">
        <v>0</v>
      </c>
      <c r="BW476" s="510">
        <v>0</v>
      </c>
      <c r="BX476" s="510">
        <v>30000</v>
      </c>
      <c r="BY476" s="1011">
        <v>0</v>
      </c>
      <c r="BZ476" s="510">
        <v>0</v>
      </c>
      <c r="CA476" s="1011">
        <v>0</v>
      </c>
      <c r="CB476" s="510">
        <v>0</v>
      </c>
      <c r="CC476" s="1011">
        <v>0</v>
      </c>
      <c r="CD476" s="510">
        <v>0</v>
      </c>
      <c r="CE476" s="1011">
        <v>0</v>
      </c>
      <c r="CF476" s="510">
        <v>48609.599999999999</v>
      </c>
      <c r="CG476" s="1011">
        <v>0</v>
      </c>
      <c r="CH476" s="510">
        <v>0</v>
      </c>
      <c r="CI476" s="1011">
        <v>0</v>
      </c>
    </row>
    <row r="477" spans="1:87" x14ac:dyDescent="0.2">
      <c r="A477" s="449">
        <v>194</v>
      </c>
      <c r="B477" s="453">
        <v>19531</v>
      </c>
      <c r="C477" s="454" t="s">
        <v>4968</v>
      </c>
      <c r="D477" s="454" t="s">
        <v>4286</v>
      </c>
      <c r="E477" s="454" t="s">
        <v>4969</v>
      </c>
      <c r="F477" s="454" t="s">
        <v>520</v>
      </c>
      <c r="G477" s="454" t="s">
        <v>13115</v>
      </c>
      <c r="H477" s="455">
        <v>28796253000132</v>
      </c>
      <c r="I477" s="462">
        <v>42978</v>
      </c>
      <c r="J477" s="457">
        <v>58183850</v>
      </c>
      <c r="K477" s="454" t="s">
        <v>4970</v>
      </c>
      <c r="L477" s="458">
        <v>530</v>
      </c>
      <c r="M477" s="454" t="s">
        <v>4971</v>
      </c>
      <c r="N477" s="459">
        <v>5842090</v>
      </c>
      <c r="O477" s="460">
        <v>55133869</v>
      </c>
      <c r="P477" s="462">
        <v>308989</v>
      </c>
      <c r="Q477" s="462">
        <v>55</v>
      </c>
      <c r="R477" s="462">
        <v>43969</v>
      </c>
      <c r="S477" s="463">
        <v>243</v>
      </c>
      <c r="T477" s="464">
        <v>3.6</v>
      </c>
      <c r="U477" s="465">
        <v>874.8</v>
      </c>
      <c r="V477" s="465">
        <v>12240</v>
      </c>
      <c r="W477" s="466">
        <v>0</v>
      </c>
      <c r="X477" s="467">
        <v>1</v>
      </c>
      <c r="Y477" s="466">
        <v>19672.2</v>
      </c>
      <c r="Z477" s="468" t="s">
        <v>516</v>
      </c>
      <c r="AA477" s="466">
        <v>90873</v>
      </c>
      <c r="AB477" s="466">
        <v>90873</v>
      </c>
      <c r="AC477" s="467">
        <v>0</v>
      </c>
      <c r="AD477" s="466">
        <v>0</v>
      </c>
      <c r="AE477" s="468" t="s">
        <v>516</v>
      </c>
      <c r="AF477" s="466">
        <v>0</v>
      </c>
      <c r="AG477" s="466">
        <v>0</v>
      </c>
      <c r="AH477" s="466">
        <v>101.84</v>
      </c>
      <c r="AI477" s="466">
        <v>627.76</v>
      </c>
      <c r="AJ477" s="469" t="s">
        <v>1813</v>
      </c>
      <c r="AK477" s="470" t="s">
        <v>1814</v>
      </c>
      <c r="AL477" s="471" t="s">
        <v>4972</v>
      </c>
      <c r="AM477" s="470" t="s">
        <v>4973</v>
      </c>
      <c r="AN477" s="470" t="s">
        <v>4974</v>
      </c>
      <c r="AO477" s="470" t="s">
        <v>4975</v>
      </c>
      <c r="AP477" s="470" t="s">
        <v>4976</v>
      </c>
      <c r="AQ477" s="470" t="s">
        <v>4968</v>
      </c>
      <c r="AR477" s="472" t="s">
        <v>515</v>
      </c>
      <c r="AS477" s="473">
        <v>3.6</v>
      </c>
      <c r="AT477" s="472" t="s">
        <v>4286</v>
      </c>
      <c r="AU477" s="472" t="s">
        <v>420</v>
      </c>
      <c r="AV477" s="472">
        <v>2020</v>
      </c>
      <c r="AW477" s="474" t="s">
        <v>15078</v>
      </c>
      <c r="AX477" s="475" t="s">
        <v>15079</v>
      </c>
      <c r="AY477" s="515">
        <v>1</v>
      </c>
      <c r="AZ477" s="474" t="s">
        <v>15079</v>
      </c>
      <c r="BA477" s="472" t="s">
        <v>4286</v>
      </c>
      <c r="BB477" s="472" t="s">
        <v>1385</v>
      </c>
      <c r="BC477" s="472" t="s">
        <v>1385</v>
      </c>
      <c r="BD477" s="472" t="s">
        <v>1385</v>
      </c>
      <c r="BE477" s="472" t="s">
        <v>1385</v>
      </c>
      <c r="BF477" s="472">
        <v>19672.2</v>
      </c>
      <c r="BG477" s="472">
        <v>0</v>
      </c>
      <c r="BH477" s="472" t="s">
        <v>1385</v>
      </c>
      <c r="BI477" s="510">
        <v>0</v>
      </c>
      <c r="BJ477" s="510">
        <v>0</v>
      </c>
      <c r="BK477" s="510">
        <v>0</v>
      </c>
      <c r="BL477" s="510">
        <v>0</v>
      </c>
      <c r="BM477" s="510">
        <v>0</v>
      </c>
      <c r="BN477" s="510">
        <v>0</v>
      </c>
      <c r="BO477" s="510">
        <v>0</v>
      </c>
      <c r="BP477" s="510">
        <v>0</v>
      </c>
      <c r="BQ477" s="510">
        <v>0</v>
      </c>
      <c r="BR477" s="510">
        <v>0</v>
      </c>
      <c r="BS477" s="510">
        <v>0</v>
      </c>
      <c r="BT477" s="510">
        <v>0</v>
      </c>
      <c r="BU477" s="510">
        <v>0</v>
      </c>
      <c r="BV477" s="510">
        <v>0</v>
      </c>
      <c r="BW477" s="510">
        <v>0</v>
      </c>
      <c r="BX477" s="510">
        <v>30000</v>
      </c>
      <c r="BY477" s="1011">
        <v>0</v>
      </c>
      <c r="BZ477" s="510">
        <v>0</v>
      </c>
      <c r="CA477" s="1011">
        <v>0</v>
      </c>
      <c r="CB477" s="510">
        <v>0</v>
      </c>
      <c r="CC477" s="1011">
        <v>0</v>
      </c>
      <c r="CD477" s="510">
        <v>0</v>
      </c>
      <c r="CE477" s="1011">
        <v>0</v>
      </c>
      <c r="CF477" s="510">
        <v>41200.800000000003</v>
      </c>
      <c r="CG477" s="1011">
        <v>0</v>
      </c>
      <c r="CH477" s="510">
        <v>0</v>
      </c>
      <c r="CI477" s="1011">
        <v>0</v>
      </c>
    </row>
    <row r="478" spans="1:87" x14ac:dyDescent="0.2">
      <c r="A478" s="449">
        <v>195</v>
      </c>
      <c r="B478" s="453">
        <v>19532</v>
      </c>
      <c r="C478" s="454" t="s">
        <v>4977</v>
      </c>
      <c r="D478" s="454" t="s">
        <v>4286</v>
      </c>
      <c r="E478" s="454" t="s">
        <v>4978</v>
      </c>
      <c r="F478" s="454" t="s">
        <v>520</v>
      </c>
      <c r="G478" s="454" t="s">
        <v>13116</v>
      </c>
      <c r="H478" s="455">
        <v>28129713000179</v>
      </c>
      <c r="I478" s="462">
        <v>42894</v>
      </c>
      <c r="J478" s="457">
        <v>57424241</v>
      </c>
      <c r="K478" s="454" t="s">
        <v>3666</v>
      </c>
      <c r="L478" s="458" t="s">
        <v>1446</v>
      </c>
      <c r="M478" s="454" t="s">
        <v>4979</v>
      </c>
      <c r="N478" s="459">
        <v>5706300</v>
      </c>
      <c r="O478" s="460">
        <v>33790522</v>
      </c>
      <c r="P478" s="462">
        <v>309039</v>
      </c>
      <c r="Q478" s="462">
        <v>56</v>
      </c>
      <c r="R478" s="462">
        <v>43969</v>
      </c>
      <c r="S478" s="463">
        <v>281</v>
      </c>
      <c r="T478" s="464">
        <v>3.6</v>
      </c>
      <c r="U478" s="465">
        <v>1011.6</v>
      </c>
      <c r="V478" s="465">
        <v>12240</v>
      </c>
      <c r="W478" s="466">
        <v>0</v>
      </c>
      <c r="X478" s="467">
        <v>1</v>
      </c>
      <c r="Y478" s="466">
        <v>19877.400000000001</v>
      </c>
      <c r="Z478" s="468" t="s">
        <v>516</v>
      </c>
      <c r="AA478" s="466">
        <v>91337.4</v>
      </c>
      <c r="AB478" s="466">
        <v>91337.4</v>
      </c>
      <c r="AC478" s="467">
        <v>0</v>
      </c>
      <c r="AD478" s="466">
        <v>0</v>
      </c>
      <c r="AE478" s="468" t="s">
        <v>516</v>
      </c>
      <c r="AF478" s="466">
        <v>0</v>
      </c>
      <c r="AG478" s="466">
        <v>0</v>
      </c>
      <c r="AH478" s="466">
        <v>14677.46</v>
      </c>
      <c r="AI478" s="466">
        <v>9388.24</v>
      </c>
      <c r="AJ478" s="469" t="s">
        <v>4980</v>
      </c>
      <c r="AK478" s="470" t="s">
        <v>2562</v>
      </c>
      <c r="AL478" s="471" t="s">
        <v>4981</v>
      </c>
      <c r="AM478" s="470" t="s">
        <v>13117</v>
      </c>
      <c r="AN478" s="470" t="s">
        <v>4982</v>
      </c>
      <c r="AO478" s="470" t="s">
        <v>4983</v>
      </c>
      <c r="AP478" s="470" t="s">
        <v>4984</v>
      </c>
      <c r="AQ478" s="470" t="s">
        <v>4977</v>
      </c>
      <c r="AR478" s="472" t="s">
        <v>515</v>
      </c>
      <c r="AS478" s="473">
        <v>3.6</v>
      </c>
      <c r="AT478" s="472" t="s">
        <v>4286</v>
      </c>
      <c r="AU478" s="472" t="s">
        <v>420</v>
      </c>
      <c r="AV478" s="472">
        <v>2020</v>
      </c>
      <c r="AW478" s="474" t="s">
        <v>15078</v>
      </c>
      <c r="AX478" s="475" t="s">
        <v>15079</v>
      </c>
      <c r="AY478" s="515">
        <v>1</v>
      </c>
      <c r="AZ478" s="474" t="s">
        <v>15079</v>
      </c>
      <c r="BA478" s="472" t="s">
        <v>4286</v>
      </c>
      <c r="BB478" s="472" t="s">
        <v>1385</v>
      </c>
      <c r="BC478" s="472" t="s">
        <v>1385</v>
      </c>
      <c r="BD478" s="472" t="s">
        <v>1385</v>
      </c>
      <c r="BE478" s="472" t="s">
        <v>1385</v>
      </c>
      <c r="BF478" s="472">
        <v>19877.400000000001</v>
      </c>
      <c r="BG478" s="472">
        <v>0</v>
      </c>
      <c r="BH478" s="472" t="s">
        <v>1385</v>
      </c>
      <c r="BI478" s="510">
        <v>0</v>
      </c>
      <c r="BJ478" s="510">
        <v>0</v>
      </c>
      <c r="BK478" s="510">
        <v>0</v>
      </c>
      <c r="BL478" s="510">
        <v>0</v>
      </c>
      <c r="BM478" s="510">
        <v>0</v>
      </c>
      <c r="BN478" s="510">
        <v>3500</v>
      </c>
      <c r="BO478" s="510">
        <v>0</v>
      </c>
      <c r="BP478" s="510">
        <v>0</v>
      </c>
      <c r="BQ478" s="510">
        <v>0</v>
      </c>
      <c r="BR478" s="510">
        <v>0</v>
      </c>
      <c r="BS478" s="510">
        <v>0</v>
      </c>
      <c r="BT478" s="510">
        <v>0</v>
      </c>
      <c r="BU478" s="510">
        <v>0</v>
      </c>
      <c r="BV478" s="510">
        <v>0</v>
      </c>
      <c r="BW478" s="510">
        <v>0</v>
      </c>
      <c r="BX478" s="510">
        <v>30000</v>
      </c>
      <c r="BY478" s="1011">
        <v>0</v>
      </c>
      <c r="BZ478" s="510">
        <v>0</v>
      </c>
      <c r="CA478" s="1011">
        <v>0</v>
      </c>
      <c r="CB478" s="510">
        <v>0</v>
      </c>
      <c r="CC478" s="1011">
        <v>0</v>
      </c>
      <c r="CD478" s="510">
        <v>0</v>
      </c>
      <c r="CE478" s="1011">
        <v>0</v>
      </c>
      <c r="CF478" s="510">
        <v>41460</v>
      </c>
      <c r="CG478" s="1011">
        <v>0</v>
      </c>
      <c r="CH478" s="510">
        <v>0</v>
      </c>
      <c r="CI478" s="1011">
        <v>0</v>
      </c>
    </row>
    <row r="479" spans="1:87" x14ac:dyDescent="0.2">
      <c r="A479" s="449">
        <v>110</v>
      </c>
      <c r="B479" s="453">
        <v>19533</v>
      </c>
      <c r="C479" s="454" t="s">
        <v>4985</v>
      </c>
      <c r="D479" s="454" t="s">
        <v>1390</v>
      </c>
      <c r="E479" s="454" t="s">
        <v>4986</v>
      </c>
      <c r="F479" s="454" t="s">
        <v>521</v>
      </c>
      <c r="G479" s="454" t="s">
        <v>13118</v>
      </c>
      <c r="H479" s="455">
        <v>29363682000189</v>
      </c>
      <c r="I479" s="462">
        <v>43105</v>
      </c>
      <c r="J479" s="457">
        <v>58730184</v>
      </c>
      <c r="K479" s="454" t="s">
        <v>4987</v>
      </c>
      <c r="L479" s="458">
        <v>32</v>
      </c>
      <c r="M479" s="454" t="s">
        <v>4988</v>
      </c>
      <c r="N479" s="459">
        <v>4870500</v>
      </c>
      <c r="O479" s="460">
        <v>55267695</v>
      </c>
      <c r="P479" s="462">
        <v>88342</v>
      </c>
      <c r="Q479" s="462">
        <v>109</v>
      </c>
      <c r="R479" s="462">
        <v>43934</v>
      </c>
      <c r="S479" s="463">
        <v>582</v>
      </c>
      <c r="T479" s="464">
        <v>3.6</v>
      </c>
      <c r="U479" s="465">
        <v>2095.1999999999998</v>
      </c>
      <c r="V479" s="465">
        <v>16560</v>
      </c>
      <c r="W479" s="466">
        <v>0</v>
      </c>
      <c r="X479" s="467">
        <v>1</v>
      </c>
      <c r="Y479" s="466">
        <v>27982.799999999999</v>
      </c>
      <c r="Z479" s="468" t="s">
        <v>516</v>
      </c>
      <c r="AA479" s="466">
        <v>95756.4</v>
      </c>
      <c r="AB479" s="466">
        <v>95756.4</v>
      </c>
      <c r="AC479" s="467">
        <v>0</v>
      </c>
      <c r="AD479" s="466">
        <v>0</v>
      </c>
      <c r="AE479" s="468" t="s">
        <v>516</v>
      </c>
      <c r="AF479" s="466">
        <v>2000</v>
      </c>
      <c r="AG479" s="466">
        <v>2000</v>
      </c>
      <c r="AH479" s="466">
        <v>27812.7</v>
      </c>
      <c r="AI479" s="466">
        <v>7464.08</v>
      </c>
      <c r="AJ479" s="469" t="s">
        <v>1624</v>
      </c>
      <c r="AK479" s="470" t="s">
        <v>1625</v>
      </c>
      <c r="AL479" s="471" t="s">
        <v>4989</v>
      </c>
      <c r="AM479" s="470" t="s">
        <v>4990</v>
      </c>
      <c r="AN479" s="470" t="s">
        <v>1385</v>
      </c>
      <c r="AO479" s="470" t="s">
        <v>14962</v>
      </c>
      <c r="AP479" s="470" t="s">
        <v>4991</v>
      </c>
      <c r="AQ479" s="470" t="s">
        <v>4985</v>
      </c>
      <c r="AR479" s="472" t="s">
        <v>515</v>
      </c>
      <c r="AS479" s="473" t="s">
        <v>1385</v>
      </c>
      <c r="AT479" s="472" t="s">
        <v>1390</v>
      </c>
      <c r="AU479" s="472" t="s">
        <v>420</v>
      </c>
      <c r="AV479" s="472">
        <v>2020</v>
      </c>
      <c r="AW479" s="474" t="s">
        <v>15078</v>
      </c>
      <c r="AX479" s="475" t="s">
        <v>15079</v>
      </c>
      <c r="AY479" s="515">
        <v>1</v>
      </c>
      <c r="AZ479" s="474" t="s">
        <v>15079</v>
      </c>
      <c r="BA479" s="472" t="s">
        <v>1390</v>
      </c>
      <c r="BB479" s="472" t="s">
        <v>1385</v>
      </c>
      <c r="BC479" s="472" t="s">
        <v>1385</v>
      </c>
      <c r="BD479" s="472" t="s">
        <v>1385</v>
      </c>
      <c r="BE479" s="472" t="s">
        <v>1385</v>
      </c>
      <c r="BF479" s="472">
        <v>27982.799999999999</v>
      </c>
      <c r="BG479" s="472">
        <v>0</v>
      </c>
      <c r="BH479" s="472" t="s">
        <v>1385</v>
      </c>
      <c r="BI479" s="510">
        <v>0</v>
      </c>
      <c r="BJ479" s="510">
        <v>119.76</v>
      </c>
      <c r="BK479" s="510">
        <v>0</v>
      </c>
      <c r="BL479" s="510">
        <v>0</v>
      </c>
      <c r="BM479" s="510">
        <v>0</v>
      </c>
      <c r="BN479" s="510">
        <v>5000</v>
      </c>
      <c r="BO479" s="510">
        <v>0</v>
      </c>
      <c r="BP479" s="510">
        <v>2000</v>
      </c>
      <c r="BQ479" s="510">
        <v>0</v>
      </c>
      <c r="BR479" s="510">
        <v>0</v>
      </c>
      <c r="BS479" s="510">
        <v>0</v>
      </c>
      <c r="BT479" s="510">
        <v>0</v>
      </c>
      <c r="BU479" s="510">
        <v>0</v>
      </c>
      <c r="BV479" s="510">
        <v>0</v>
      </c>
      <c r="BW479" s="510">
        <v>0</v>
      </c>
      <c r="BX479" s="510">
        <v>30000</v>
      </c>
      <c r="BY479" s="1011">
        <v>0</v>
      </c>
      <c r="BZ479" s="510">
        <v>0</v>
      </c>
      <c r="CA479" s="1011">
        <v>0</v>
      </c>
      <c r="CB479" s="510">
        <v>0</v>
      </c>
      <c r="CC479" s="1011">
        <v>0</v>
      </c>
      <c r="CD479" s="510">
        <v>0</v>
      </c>
      <c r="CE479" s="1011">
        <v>0</v>
      </c>
      <c r="CF479" s="510">
        <v>37773.599999999999</v>
      </c>
      <c r="CG479" s="1011">
        <v>0</v>
      </c>
      <c r="CH479" s="510">
        <v>0</v>
      </c>
      <c r="CI479" s="1011">
        <v>0</v>
      </c>
    </row>
    <row r="480" spans="1:87" x14ac:dyDescent="0.2">
      <c r="A480" s="449">
        <v>83</v>
      </c>
      <c r="B480" s="453">
        <v>19534</v>
      </c>
      <c r="C480" s="454" t="s">
        <v>4992</v>
      </c>
      <c r="D480" s="454" t="s">
        <v>1390</v>
      </c>
      <c r="E480" s="454" t="s">
        <v>4993</v>
      </c>
      <c r="F480" s="454" t="s">
        <v>524</v>
      </c>
      <c r="G480" s="454" t="s">
        <v>13119</v>
      </c>
      <c r="H480" s="455">
        <v>4027196000169</v>
      </c>
      <c r="I480" s="462">
        <v>36762</v>
      </c>
      <c r="J480" s="457">
        <v>37499670</v>
      </c>
      <c r="K480" s="454" t="s">
        <v>2400</v>
      </c>
      <c r="L480" s="458" t="s">
        <v>1446</v>
      </c>
      <c r="M480" s="454" t="s">
        <v>524</v>
      </c>
      <c r="N480" s="459">
        <v>4230045</v>
      </c>
      <c r="O480" s="460">
        <v>20618944</v>
      </c>
      <c r="P480" s="462">
        <v>203699</v>
      </c>
      <c r="Q480" s="462">
        <v>90</v>
      </c>
      <c r="R480" s="462">
        <v>43906</v>
      </c>
      <c r="S480" s="463">
        <v>144</v>
      </c>
      <c r="T480" s="464">
        <v>3.6</v>
      </c>
      <c r="U480" s="465">
        <v>518.4</v>
      </c>
      <c r="V480" s="465">
        <v>10800</v>
      </c>
      <c r="W480" s="466">
        <v>0</v>
      </c>
      <c r="X480" s="467">
        <v>1</v>
      </c>
      <c r="Y480" s="466">
        <v>21837.599999999999</v>
      </c>
      <c r="Z480" s="468" t="s">
        <v>516</v>
      </c>
      <c r="AA480" s="466">
        <v>101040.8</v>
      </c>
      <c r="AB480" s="466">
        <v>101040.8</v>
      </c>
      <c r="AC480" s="467">
        <v>0</v>
      </c>
      <c r="AD480" s="466">
        <v>0</v>
      </c>
      <c r="AE480" s="468" t="s">
        <v>516</v>
      </c>
      <c r="AF480" s="466">
        <v>0</v>
      </c>
      <c r="AG480" s="466">
        <v>0</v>
      </c>
      <c r="AH480" s="466">
        <v>30072.97</v>
      </c>
      <c r="AI480" s="466">
        <v>13825.92</v>
      </c>
      <c r="AJ480" s="469" t="s">
        <v>1750</v>
      </c>
      <c r="AK480" s="470" t="s">
        <v>1751</v>
      </c>
      <c r="AL480" s="471" t="s">
        <v>4995</v>
      </c>
      <c r="AM480" s="470" t="s">
        <v>15169</v>
      </c>
      <c r="AN480" s="470" t="s">
        <v>4994</v>
      </c>
      <c r="AO480" s="470" t="s">
        <v>13120</v>
      </c>
      <c r="AP480" s="470" t="s">
        <v>4996</v>
      </c>
      <c r="AQ480" s="470" t="s">
        <v>4992</v>
      </c>
      <c r="AR480" s="472" t="s">
        <v>515</v>
      </c>
      <c r="AS480" s="473" t="s">
        <v>1385</v>
      </c>
      <c r="AT480" s="472" t="s">
        <v>1390</v>
      </c>
      <c r="AU480" s="472" t="s">
        <v>420</v>
      </c>
      <c r="AV480" s="472">
        <v>2020</v>
      </c>
      <c r="AW480" s="474" t="s">
        <v>15078</v>
      </c>
      <c r="AX480" s="475" t="s">
        <v>15079</v>
      </c>
      <c r="AY480" s="515">
        <v>1</v>
      </c>
      <c r="AZ480" s="474" t="s">
        <v>15079</v>
      </c>
      <c r="BA480" s="472" t="s">
        <v>1390</v>
      </c>
      <c r="BB480" s="472" t="s">
        <v>516</v>
      </c>
      <c r="BC480" s="472">
        <v>5</v>
      </c>
      <c r="BD480" s="472">
        <v>3240</v>
      </c>
      <c r="BE480" s="472">
        <v>0</v>
      </c>
      <c r="BF480" s="472">
        <v>21837.599999999999</v>
      </c>
      <c r="BG480" s="472">
        <v>0</v>
      </c>
      <c r="BH480" s="472" t="s">
        <v>1385</v>
      </c>
      <c r="BI480" s="510">
        <v>0</v>
      </c>
      <c r="BJ480" s="510">
        <v>0</v>
      </c>
      <c r="BK480" s="510">
        <v>0</v>
      </c>
      <c r="BL480" s="510">
        <v>0</v>
      </c>
      <c r="BM480" s="510">
        <v>0</v>
      </c>
      <c r="BN480" s="510">
        <v>2000</v>
      </c>
      <c r="BO480" s="510">
        <v>0</v>
      </c>
      <c r="BP480" s="510">
        <v>0</v>
      </c>
      <c r="BQ480" s="510">
        <v>0</v>
      </c>
      <c r="BR480" s="510">
        <v>0</v>
      </c>
      <c r="BS480" s="510">
        <v>0</v>
      </c>
      <c r="BT480" s="510">
        <v>0</v>
      </c>
      <c r="BU480" s="510">
        <v>0</v>
      </c>
      <c r="BV480" s="510">
        <v>0</v>
      </c>
      <c r="BW480" s="510">
        <v>0</v>
      </c>
      <c r="BX480" s="510">
        <v>30000</v>
      </c>
      <c r="BY480" s="1011">
        <v>0</v>
      </c>
      <c r="BZ480" s="510">
        <v>0</v>
      </c>
      <c r="CA480" s="1011">
        <v>0</v>
      </c>
      <c r="CB480" s="510">
        <v>0</v>
      </c>
      <c r="CC480" s="1011">
        <v>0</v>
      </c>
      <c r="CD480" s="510">
        <v>0</v>
      </c>
      <c r="CE480" s="1011">
        <v>0</v>
      </c>
      <c r="CF480" s="510">
        <v>49203.199999999997</v>
      </c>
      <c r="CG480" s="1011">
        <v>0</v>
      </c>
      <c r="CH480" s="510">
        <v>0</v>
      </c>
      <c r="CI480" s="1011">
        <v>0</v>
      </c>
    </row>
    <row r="481" spans="1:87" x14ac:dyDescent="0.2">
      <c r="A481" s="449">
        <v>108</v>
      </c>
      <c r="B481" s="453">
        <v>19535</v>
      </c>
      <c r="C481" s="454" t="s">
        <v>4997</v>
      </c>
      <c r="D481" s="454" t="s">
        <v>1390</v>
      </c>
      <c r="E481" s="454" t="s">
        <v>4998</v>
      </c>
      <c r="F481" s="454" t="s">
        <v>521</v>
      </c>
      <c r="G481" s="454" t="s">
        <v>13121</v>
      </c>
      <c r="H481" s="455">
        <v>28929604000136</v>
      </c>
      <c r="I481" s="462">
        <v>43027</v>
      </c>
      <c r="J481" s="457">
        <v>58345418</v>
      </c>
      <c r="K481" s="454" t="s">
        <v>4999</v>
      </c>
      <c r="L481" s="458">
        <v>47</v>
      </c>
      <c r="M481" s="454" t="s">
        <v>5000</v>
      </c>
      <c r="N481" s="459">
        <v>4844550</v>
      </c>
      <c r="O481" s="460">
        <v>33972970</v>
      </c>
      <c r="P481" s="462">
        <v>90223</v>
      </c>
      <c r="Q481" s="462">
        <v>108</v>
      </c>
      <c r="R481" s="462">
        <v>43934</v>
      </c>
      <c r="S481" s="463">
        <v>508</v>
      </c>
      <c r="T481" s="464">
        <v>3.6</v>
      </c>
      <c r="U481" s="465">
        <v>1828.8</v>
      </c>
      <c r="V481" s="465">
        <v>16560</v>
      </c>
      <c r="W481" s="466">
        <v>0</v>
      </c>
      <c r="X481" s="467">
        <v>1</v>
      </c>
      <c r="Y481" s="466">
        <v>27583.200000000001</v>
      </c>
      <c r="Z481" s="468" t="s">
        <v>516</v>
      </c>
      <c r="AA481" s="466">
        <v>109854.39999999999</v>
      </c>
      <c r="AB481" s="466">
        <v>109854.39999999999</v>
      </c>
      <c r="AC481" s="467">
        <v>0</v>
      </c>
      <c r="AD481" s="466">
        <v>0</v>
      </c>
      <c r="AE481" s="468" t="s">
        <v>516</v>
      </c>
      <c r="AF481" s="466">
        <v>1600</v>
      </c>
      <c r="AG481" s="466">
        <v>1600</v>
      </c>
      <c r="AH481" s="466">
        <v>20497.96</v>
      </c>
      <c r="AI481" s="466">
        <v>6006.08</v>
      </c>
      <c r="AJ481" s="469" t="s">
        <v>1657</v>
      </c>
      <c r="AK481" s="470" t="s">
        <v>3495</v>
      </c>
      <c r="AL481" s="471" t="s">
        <v>5001</v>
      </c>
      <c r="AM481" s="470" t="s">
        <v>5002</v>
      </c>
      <c r="AN481" s="470" t="s">
        <v>1385</v>
      </c>
      <c r="AO481" s="470" t="s">
        <v>14959</v>
      </c>
      <c r="AP481" s="470" t="s">
        <v>5003</v>
      </c>
      <c r="AQ481" s="470" t="s">
        <v>4997</v>
      </c>
      <c r="AR481" s="472" t="s">
        <v>515</v>
      </c>
      <c r="AS481" s="473" t="s">
        <v>1385</v>
      </c>
      <c r="AT481" s="472" t="s">
        <v>1390</v>
      </c>
      <c r="AU481" s="472" t="s">
        <v>420</v>
      </c>
      <c r="AV481" s="472">
        <v>2020</v>
      </c>
      <c r="AW481" s="474" t="s">
        <v>15078</v>
      </c>
      <c r="AX481" s="475" t="s">
        <v>15079</v>
      </c>
      <c r="AY481" s="515">
        <v>1</v>
      </c>
      <c r="AZ481" s="474" t="s">
        <v>15079</v>
      </c>
      <c r="BA481" s="472" t="s">
        <v>1390</v>
      </c>
      <c r="BB481" s="472" t="s">
        <v>1385</v>
      </c>
      <c r="BC481" s="472" t="s">
        <v>1385</v>
      </c>
      <c r="BD481" s="472" t="s">
        <v>1385</v>
      </c>
      <c r="BE481" s="472" t="s">
        <v>1385</v>
      </c>
      <c r="BF481" s="472">
        <v>27583.200000000001</v>
      </c>
      <c r="BG481" s="472">
        <v>0</v>
      </c>
      <c r="BH481" s="472" t="s">
        <v>1385</v>
      </c>
      <c r="BI481" s="510">
        <v>0</v>
      </c>
      <c r="BJ481" s="510">
        <v>0</v>
      </c>
      <c r="BK481" s="510">
        <v>0</v>
      </c>
      <c r="BL481" s="510">
        <v>0</v>
      </c>
      <c r="BM481" s="510">
        <v>0</v>
      </c>
      <c r="BN481" s="510">
        <v>4000</v>
      </c>
      <c r="BO481" s="510">
        <v>400</v>
      </c>
      <c r="BP481" s="510">
        <v>1600</v>
      </c>
      <c r="BQ481" s="510">
        <v>0</v>
      </c>
      <c r="BR481" s="510">
        <v>0</v>
      </c>
      <c r="BS481" s="510">
        <v>0</v>
      </c>
      <c r="BT481" s="510">
        <v>0</v>
      </c>
      <c r="BU481" s="510">
        <v>0</v>
      </c>
      <c r="BV481" s="510">
        <v>0</v>
      </c>
      <c r="BW481" s="510">
        <v>0</v>
      </c>
      <c r="BX481" s="510">
        <v>30000</v>
      </c>
      <c r="BY481" s="1011">
        <v>0</v>
      </c>
      <c r="BZ481" s="510">
        <v>0</v>
      </c>
      <c r="CA481" s="1011">
        <v>0</v>
      </c>
      <c r="CB481" s="510">
        <v>0</v>
      </c>
      <c r="CC481" s="1011">
        <v>0</v>
      </c>
      <c r="CD481" s="510">
        <v>0</v>
      </c>
      <c r="CE481" s="1011">
        <v>0</v>
      </c>
      <c r="CF481" s="510">
        <v>51871.199999999997</v>
      </c>
      <c r="CG481" s="1011">
        <v>0</v>
      </c>
      <c r="CH481" s="510">
        <v>0</v>
      </c>
      <c r="CI481" s="1011">
        <v>0</v>
      </c>
    </row>
    <row r="482" spans="1:87" x14ac:dyDescent="0.2">
      <c r="A482" s="449">
        <v>109</v>
      </c>
      <c r="B482" s="453">
        <v>19536</v>
      </c>
      <c r="C482" s="454" t="s">
        <v>5004</v>
      </c>
      <c r="D482" s="454" t="s">
        <v>1390</v>
      </c>
      <c r="E482" s="454" t="s">
        <v>5005</v>
      </c>
      <c r="F482" s="454" t="s">
        <v>521</v>
      </c>
      <c r="G482" s="454" t="s">
        <v>13122</v>
      </c>
      <c r="H482" s="455">
        <v>28929808000177</v>
      </c>
      <c r="I482" s="462">
        <v>43028</v>
      </c>
      <c r="J482" s="457">
        <v>58345671</v>
      </c>
      <c r="K482" s="454" t="s">
        <v>5006</v>
      </c>
      <c r="L482" s="458">
        <v>144</v>
      </c>
      <c r="M482" s="454" t="s">
        <v>4904</v>
      </c>
      <c r="N482" s="459">
        <v>4849032</v>
      </c>
      <c r="O482" s="460">
        <v>59325438</v>
      </c>
      <c r="P482" s="462">
        <v>350454</v>
      </c>
      <c r="Q482" s="462">
        <v>110</v>
      </c>
      <c r="R482" s="462">
        <v>43934</v>
      </c>
      <c r="S482" s="463">
        <v>647</v>
      </c>
      <c r="T482" s="464">
        <v>3.6</v>
      </c>
      <c r="U482" s="465">
        <v>2329.1999999999998</v>
      </c>
      <c r="V482" s="465">
        <v>18000</v>
      </c>
      <c r="W482" s="466">
        <v>0</v>
      </c>
      <c r="X482" s="467">
        <v>1</v>
      </c>
      <c r="Y482" s="466">
        <v>30493.8</v>
      </c>
      <c r="Z482" s="468" t="s">
        <v>516</v>
      </c>
      <c r="AA482" s="466">
        <v>116245.8</v>
      </c>
      <c r="AB482" s="466">
        <v>116245.8</v>
      </c>
      <c r="AC482" s="467">
        <v>0</v>
      </c>
      <c r="AD482" s="466">
        <v>0</v>
      </c>
      <c r="AE482" s="468" t="s">
        <v>516</v>
      </c>
      <c r="AF482" s="466">
        <v>0</v>
      </c>
      <c r="AG482" s="466">
        <v>0</v>
      </c>
      <c r="AH482" s="466">
        <v>4633.6099999999997</v>
      </c>
      <c r="AI482" s="466">
        <v>16337.96</v>
      </c>
      <c r="AJ482" s="469" t="s">
        <v>1624</v>
      </c>
      <c r="AK482" s="470" t="s">
        <v>1625</v>
      </c>
      <c r="AL482" s="471" t="s">
        <v>5007</v>
      </c>
      <c r="AM482" s="470" t="s">
        <v>14960</v>
      </c>
      <c r="AN482" s="470" t="s">
        <v>1385</v>
      </c>
      <c r="AO482" s="470" t="s">
        <v>14961</v>
      </c>
      <c r="AP482" s="470" t="s">
        <v>5008</v>
      </c>
      <c r="AQ482" s="470" t="s">
        <v>5004</v>
      </c>
      <c r="AR482" s="472" t="s">
        <v>515</v>
      </c>
      <c r="AS482" s="473" t="s">
        <v>1385</v>
      </c>
      <c r="AT482" s="472" t="s">
        <v>1390</v>
      </c>
      <c r="AU482" s="472" t="s">
        <v>420</v>
      </c>
      <c r="AV482" s="472">
        <v>2020</v>
      </c>
      <c r="AW482" s="474" t="s">
        <v>15078</v>
      </c>
      <c r="AX482" s="475" t="s">
        <v>15079</v>
      </c>
      <c r="AY482" s="515">
        <v>1</v>
      </c>
      <c r="AZ482" s="474" t="s">
        <v>15079</v>
      </c>
      <c r="BA482" s="472" t="s">
        <v>1390</v>
      </c>
      <c r="BB482" s="472" t="s">
        <v>1385</v>
      </c>
      <c r="BC482" s="472" t="s">
        <v>1385</v>
      </c>
      <c r="BD482" s="472" t="s">
        <v>1385</v>
      </c>
      <c r="BE482" s="472" t="s">
        <v>1385</v>
      </c>
      <c r="BF482" s="472">
        <v>30493.8</v>
      </c>
      <c r="BG482" s="472">
        <v>0</v>
      </c>
      <c r="BH482" s="472" t="s">
        <v>1385</v>
      </c>
      <c r="BI482" s="510">
        <v>0</v>
      </c>
      <c r="BJ482" s="510">
        <v>26887.68</v>
      </c>
      <c r="BK482" s="510">
        <v>0</v>
      </c>
      <c r="BL482" s="510">
        <v>0</v>
      </c>
      <c r="BM482" s="510">
        <v>0</v>
      </c>
      <c r="BN482" s="510">
        <v>5000</v>
      </c>
      <c r="BO482" s="510">
        <v>0</v>
      </c>
      <c r="BP482" s="510">
        <v>0</v>
      </c>
      <c r="BQ482" s="510">
        <v>0</v>
      </c>
      <c r="BR482" s="510">
        <v>0</v>
      </c>
      <c r="BS482" s="510">
        <v>0</v>
      </c>
      <c r="BT482" s="510">
        <v>0</v>
      </c>
      <c r="BU482" s="510">
        <v>0</v>
      </c>
      <c r="BV482" s="510">
        <v>0</v>
      </c>
      <c r="BW482" s="510">
        <v>0</v>
      </c>
      <c r="BX482" s="510">
        <v>30000</v>
      </c>
      <c r="BY482" s="1011">
        <v>0</v>
      </c>
      <c r="BZ482" s="510">
        <v>0</v>
      </c>
      <c r="CA482" s="1011">
        <v>0</v>
      </c>
      <c r="CB482" s="510">
        <v>0</v>
      </c>
      <c r="CC482" s="1011">
        <v>0</v>
      </c>
      <c r="CD482" s="510">
        <v>0</v>
      </c>
      <c r="CE482" s="1011">
        <v>0</v>
      </c>
      <c r="CF482" s="510">
        <v>55752</v>
      </c>
      <c r="CG482" s="1011">
        <v>0</v>
      </c>
      <c r="CH482" s="510">
        <v>0</v>
      </c>
      <c r="CI482" s="1011">
        <v>0</v>
      </c>
    </row>
    <row r="483" spans="1:87" x14ac:dyDescent="0.2">
      <c r="A483" s="449">
        <v>76</v>
      </c>
      <c r="B483" s="453">
        <v>19542</v>
      </c>
      <c r="C483" s="454" t="s">
        <v>5009</v>
      </c>
      <c r="D483" s="454" t="s">
        <v>1390</v>
      </c>
      <c r="E483" s="454" t="s">
        <v>5010</v>
      </c>
      <c r="F483" s="454" t="s">
        <v>527</v>
      </c>
      <c r="G483" s="454" t="s">
        <v>13123</v>
      </c>
      <c r="H483" s="455">
        <v>3882553000103</v>
      </c>
      <c r="I483" s="462">
        <v>36685</v>
      </c>
      <c r="J483" s="457">
        <v>37554913</v>
      </c>
      <c r="K483" s="454" t="s">
        <v>5011</v>
      </c>
      <c r="L483" s="458">
        <v>18</v>
      </c>
      <c r="M483" s="454" t="s">
        <v>5012</v>
      </c>
      <c r="N483" s="459">
        <v>3673070</v>
      </c>
      <c r="O483" s="460">
        <v>27915782</v>
      </c>
      <c r="P483" s="462">
        <v>180699</v>
      </c>
      <c r="Q483" s="462">
        <v>36</v>
      </c>
      <c r="R483" s="462">
        <v>43936</v>
      </c>
      <c r="S483" s="463">
        <v>535</v>
      </c>
      <c r="T483" s="464">
        <v>3.6</v>
      </c>
      <c r="U483" s="465">
        <v>1926</v>
      </c>
      <c r="V483" s="465">
        <v>16560</v>
      </c>
      <c r="W483" s="466">
        <v>0</v>
      </c>
      <c r="X483" s="467">
        <v>1</v>
      </c>
      <c r="Y483" s="466">
        <v>27729</v>
      </c>
      <c r="Z483" s="468" t="s">
        <v>516</v>
      </c>
      <c r="AA483" s="466">
        <v>109650.6</v>
      </c>
      <c r="AB483" s="466">
        <v>109650.6</v>
      </c>
      <c r="AC483" s="467">
        <v>0</v>
      </c>
      <c r="AD483" s="466">
        <v>0</v>
      </c>
      <c r="AE483" s="468" t="s">
        <v>516</v>
      </c>
      <c r="AF483" s="466">
        <v>0</v>
      </c>
      <c r="AG483" s="466">
        <v>0</v>
      </c>
      <c r="AH483" s="466">
        <v>0</v>
      </c>
      <c r="AI483" s="466">
        <v>3739.32</v>
      </c>
      <c r="AJ483" s="469" t="s">
        <v>4600</v>
      </c>
      <c r="AK483" s="470" t="s">
        <v>4601</v>
      </c>
      <c r="AL483" s="471" t="s">
        <v>5013</v>
      </c>
      <c r="AM483" s="470" t="s">
        <v>10194</v>
      </c>
      <c r="AN483" s="470" t="s">
        <v>13123</v>
      </c>
      <c r="AO483" s="470" t="s">
        <v>13124</v>
      </c>
      <c r="AP483" s="470" t="s">
        <v>5014</v>
      </c>
      <c r="AQ483" s="470" t="s">
        <v>5009</v>
      </c>
      <c r="AR483" s="472" t="s">
        <v>515</v>
      </c>
      <c r="AS483" s="473" t="s">
        <v>1385</v>
      </c>
      <c r="AT483" s="472" t="s">
        <v>1390</v>
      </c>
      <c r="AU483" s="472" t="s">
        <v>420</v>
      </c>
      <c r="AV483" s="472">
        <v>2020</v>
      </c>
      <c r="AW483" s="474" t="s">
        <v>15078</v>
      </c>
      <c r="AX483" s="475" t="s">
        <v>15079</v>
      </c>
      <c r="AY483" s="515">
        <v>1</v>
      </c>
      <c r="AZ483" s="474" t="s">
        <v>15079</v>
      </c>
      <c r="BA483" s="472" t="s">
        <v>1390</v>
      </c>
      <c r="BB483" s="472" t="s">
        <v>1385</v>
      </c>
      <c r="BC483" s="472" t="s">
        <v>1385</v>
      </c>
      <c r="BD483" s="472" t="s">
        <v>1385</v>
      </c>
      <c r="BE483" s="472" t="s">
        <v>1385</v>
      </c>
      <c r="BF483" s="472">
        <v>27729</v>
      </c>
      <c r="BG483" s="472">
        <v>0</v>
      </c>
      <c r="BH483" s="472" t="s">
        <v>1385</v>
      </c>
      <c r="BI483" s="510">
        <v>0</v>
      </c>
      <c r="BJ483" s="510">
        <v>0</v>
      </c>
      <c r="BK483" s="510">
        <v>0</v>
      </c>
      <c r="BL483" s="510">
        <v>0</v>
      </c>
      <c r="BM483" s="510">
        <v>0</v>
      </c>
      <c r="BN483" s="510">
        <v>4000</v>
      </c>
      <c r="BO483" s="510">
        <v>0</v>
      </c>
      <c r="BP483" s="510">
        <v>0</v>
      </c>
      <c r="BQ483" s="510">
        <v>0</v>
      </c>
      <c r="BR483" s="510">
        <v>0</v>
      </c>
      <c r="BS483" s="510">
        <v>0</v>
      </c>
      <c r="BT483" s="510">
        <v>0</v>
      </c>
      <c r="BU483" s="510">
        <v>0</v>
      </c>
      <c r="BV483" s="510">
        <v>0</v>
      </c>
      <c r="BW483" s="510">
        <v>0</v>
      </c>
      <c r="BX483" s="510">
        <v>30000</v>
      </c>
      <c r="BY483" s="1011">
        <v>0</v>
      </c>
      <c r="BZ483" s="510">
        <v>0</v>
      </c>
      <c r="CA483" s="1011">
        <v>0</v>
      </c>
      <c r="CB483" s="510">
        <v>0</v>
      </c>
      <c r="CC483" s="1011">
        <v>0</v>
      </c>
      <c r="CD483" s="510">
        <v>0</v>
      </c>
      <c r="CE483" s="1011">
        <v>0</v>
      </c>
      <c r="CF483" s="510">
        <v>51921.599999999999</v>
      </c>
      <c r="CG483" s="1011">
        <v>0</v>
      </c>
      <c r="CH483" s="510">
        <v>0</v>
      </c>
      <c r="CI483" s="1011">
        <v>0</v>
      </c>
    </row>
    <row r="484" spans="1:87" x14ac:dyDescent="0.2">
      <c r="A484" s="449">
        <v>51</v>
      </c>
      <c r="B484" s="453">
        <v>19551</v>
      </c>
      <c r="C484" s="454" t="s">
        <v>5015</v>
      </c>
      <c r="D484" s="454" t="s">
        <v>2950</v>
      </c>
      <c r="E484" s="454" t="s">
        <v>5016</v>
      </c>
      <c r="F484" s="454" t="s">
        <v>519</v>
      </c>
      <c r="G484" s="454" t="s">
        <v>13125</v>
      </c>
      <c r="H484" s="455">
        <v>4146275000199</v>
      </c>
      <c r="I484" s="462">
        <v>36781</v>
      </c>
      <c r="J484" s="457">
        <v>37354744</v>
      </c>
      <c r="K484" s="454" t="s">
        <v>3917</v>
      </c>
      <c r="L484" s="458">
        <v>849</v>
      </c>
      <c r="M484" s="454" t="s">
        <v>3918</v>
      </c>
      <c r="N484" s="459">
        <v>5570030</v>
      </c>
      <c r="O484" s="460">
        <v>37830669</v>
      </c>
      <c r="P484" s="462">
        <v>122206</v>
      </c>
      <c r="Q484" s="462">
        <v>9</v>
      </c>
      <c r="R484" s="462">
        <v>43881</v>
      </c>
      <c r="S484" s="463">
        <v>1002</v>
      </c>
      <c r="T484" s="464">
        <v>5.4</v>
      </c>
      <c r="U484" s="465">
        <v>5410.8</v>
      </c>
      <c r="V484" s="465">
        <v>20340</v>
      </c>
      <c r="W484" s="466">
        <v>0</v>
      </c>
      <c r="X484" s="467">
        <v>1</v>
      </c>
      <c r="Y484" s="466">
        <v>0</v>
      </c>
      <c r="Z484" s="468" t="s">
        <v>514</v>
      </c>
      <c r="AA484" s="466">
        <v>0</v>
      </c>
      <c r="AB484" s="466">
        <v>0</v>
      </c>
      <c r="AC484" s="467">
        <v>0</v>
      </c>
      <c r="AD484" s="466">
        <v>0</v>
      </c>
      <c r="AE484" s="468" t="s">
        <v>516</v>
      </c>
      <c r="AF484" s="466">
        <v>0</v>
      </c>
      <c r="AG484" s="466">
        <v>0</v>
      </c>
      <c r="AH484" s="466">
        <v>23070.51</v>
      </c>
      <c r="AI484" s="466">
        <v>11763.8</v>
      </c>
      <c r="AJ484" s="469" t="s">
        <v>2443</v>
      </c>
      <c r="AK484" s="470" t="s">
        <v>2444</v>
      </c>
      <c r="AL484" s="471" t="s">
        <v>5018</v>
      </c>
      <c r="AM484" s="470" t="s">
        <v>13126</v>
      </c>
      <c r="AN484" s="470" t="s">
        <v>5017</v>
      </c>
      <c r="AO484" s="470" t="s">
        <v>13127</v>
      </c>
      <c r="AP484" s="470" t="s">
        <v>5019</v>
      </c>
      <c r="AQ484" s="470" t="s">
        <v>5015</v>
      </c>
      <c r="AR484" s="472" t="s">
        <v>515</v>
      </c>
      <c r="AS484" s="473" t="s">
        <v>1385</v>
      </c>
      <c r="AT484" s="472" t="s">
        <v>2950</v>
      </c>
      <c r="AU484" s="472" t="s">
        <v>420</v>
      </c>
      <c r="AV484" s="472">
        <v>2020</v>
      </c>
      <c r="AW484" s="474" t="s">
        <v>15078</v>
      </c>
      <c r="AX484" s="475" t="s">
        <v>15079</v>
      </c>
      <c r="AY484" s="515">
        <v>1</v>
      </c>
      <c r="AZ484" s="474" t="s">
        <v>15079</v>
      </c>
      <c r="BA484" s="472" t="s">
        <v>1385</v>
      </c>
      <c r="BB484" s="472" t="s">
        <v>516</v>
      </c>
      <c r="BC484" s="472">
        <v>6</v>
      </c>
      <c r="BD484" s="472">
        <v>6102</v>
      </c>
      <c r="BE484" s="472">
        <v>0</v>
      </c>
      <c r="BF484" s="472">
        <v>47779.199999999997</v>
      </c>
      <c r="BG484" s="472">
        <v>0</v>
      </c>
      <c r="BH484" s="472" t="s">
        <v>516</v>
      </c>
      <c r="BI484" s="510">
        <v>0</v>
      </c>
      <c r="BJ484" s="510">
        <v>0</v>
      </c>
      <c r="BK484" s="510">
        <v>0</v>
      </c>
      <c r="BL484" s="510">
        <v>0</v>
      </c>
      <c r="BM484" s="510">
        <v>0</v>
      </c>
      <c r="BN484" s="510">
        <v>0</v>
      </c>
      <c r="BO484" s="510">
        <v>0</v>
      </c>
      <c r="BP484" s="510">
        <v>0</v>
      </c>
      <c r="BQ484" s="510">
        <v>0</v>
      </c>
      <c r="BR484" s="510">
        <v>0</v>
      </c>
      <c r="BS484" s="510">
        <v>0</v>
      </c>
      <c r="BT484" s="510">
        <v>0</v>
      </c>
      <c r="BU484" s="510">
        <v>0</v>
      </c>
      <c r="BV484" s="510">
        <v>0</v>
      </c>
      <c r="BW484" s="510">
        <v>0</v>
      </c>
      <c r="BX484" s="510">
        <v>0</v>
      </c>
      <c r="BY484" s="1011">
        <v>0</v>
      </c>
      <c r="BZ484" s="510">
        <v>0</v>
      </c>
      <c r="CA484" s="1011">
        <v>0</v>
      </c>
      <c r="CB484" s="510">
        <v>0</v>
      </c>
      <c r="CC484" s="1011">
        <v>0</v>
      </c>
      <c r="CD484" s="510">
        <v>0</v>
      </c>
      <c r="CE484" s="1011">
        <v>0</v>
      </c>
      <c r="CF484" s="510">
        <v>0</v>
      </c>
      <c r="CG484" s="1011">
        <v>0</v>
      </c>
      <c r="CH484" s="510">
        <v>0</v>
      </c>
      <c r="CI484" s="1011">
        <v>0</v>
      </c>
    </row>
    <row r="485" spans="1:87" x14ac:dyDescent="0.2">
      <c r="A485" s="449">
        <v>55</v>
      </c>
      <c r="B485" s="453">
        <v>19569</v>
      </c>
      <c r="C485" s="454" t="s">
        <v>5020</v>
      </c>
      <c r="D485" s="454" t="s">
        <v>517</v>
      </c>
      <c r="E485" s="454" t="s">
        <v>5021</v>
      </c>
      <c r="F485" s="454" t="s">
        <v>524</v>
      </c>
      <c r="G485" s="454" t="s">
        <v>13128</v>
      </c>
      <c r="H485" s="455">
        <v>4347227000169</v>
      </c>
      <c r="I485" s="462">
        <v>36886</v>
      </c>
      <c r="J485" s="457">
        <v>37499793</v>
      </c>
      <c r="K485" s="454" t="s">
        <v>5022</v>
      </c>
      <c r="L485" s="458">
        <v>16</v>
      </c>
      <c r="M485" s="454" t="s">
        <v>2709</v>
      </c>
      <c r="N485" s="459">
        <v>4195060</v>
      </c>
      <c r="O485" s="460">
        <v>23317700</v>
      </c>
      <c r="P485" s="462">
        <v>209336</v>
      </c>
      <c r="Q485" s="462">
        <v>60</v>
      </c>
      <c r="R485" s="462">
        <v>43979</v>
      </c>
      <c r="S485" s="463">
        <v>734</v>
      </c>
      <c r="T485" s="464">
        <v>5.4</v>
      </c>
      <c r="U485" s="465">
        <v>3963.6</v>
      </c>
      <c r="V485" s="465">
        <v>18720</v>
      </c>
      <c r="W485" s="466">
        <v>0</v>
      </c>
      <c r="X485" s="467">
        <v>1</v>
      </c>
      <c r="Y485" s="466">
        <v>34025.4</v>
      </c>
      <c r="Z485" s="468" t="s">
        <v>516</v>
      </c>
      <c r="AA485" s="466">
        <v>131587</v>
      </c>
      <c r="AB485" s="466">
        <v>131587</v>
      </c>
      <c r="AC485" s="467">
        <v>0</v>
      </c>
      <c r="AD485" s="466">
        <v>0</v>
      </c>
      <c r="AE485" s="468" t="s">
        <v>516</v>
      </c>
      <c r="AF485" s="466">
        <v>0</v>
      </c>
      <c r="AG485" s="466">
        <v>0</v>
      </c>
      <c r="AH485" s="466">
        <v>13810.53</v>
      </c>
      <c r="AI485" s="466">
        <v>9035.31</v>
      </c>
      <c r="AJ485" s="469" t="s">
        <v>2511</v>
      </c>
      <c r="AK485" s="470" t="s">
        <v>2512</v>
      </c>
      <c r="AL485" s="471" t="s">
        <v>5023</v>
      </c>
      <c r="AM485" s="470" t="s">
        <v>15143</v>
      </c>
      <c r="AN485" s="470" t="s">
        <v>13129</v>
      </c>
      <c r="AO485" s="470" t="s">
        <v>13130</v>
      </c>
      <c r="AP485" s="470" t="s">
        <v>5024</v>
      </c>
      <c r="AQ485" s="470" t="s">
        <v>5020</v>
      </c>
      <c r="AR485" s="472" t="s">
        <v>515</v>
      </c>
      <c r="AS485" s="473" t="s">
        <v>1385</v>
      </c>
      <c r="AT485" s="472" t="s">
        <v>517</v>
      </c>
      <c r="AU485" s="472" t="s">
        <v>420</v>
      </c>
      <c r="AV485" s="472">
        <v>2020</v>
      </c>
      <c r="AW485" s="474" t="s">
        <v>15078</v>
      </c>
      <c r="AX485" s="475" t="s">
        <v>15079</v>
      </c>
      <c r="AY485" s="515">
        <v>1</v>
      </c>
      <c r="AZ485" s="474" t="s">
        <v>15079</v>
      </c>
      <c r="BA485" s="472" t="s">
        <v>517</v>
      </c>
      <c r="BB485" s="472" t="s">
        <v>1385</v>
      </c>
      <c r="BC485" s="472" t="s">
        <v>1385</v>
      </c>
      <c r="BD485" s="472" t="s">
        <v>1385</v>
      </c>
      <c r="BE485" s="472" t="s">
        <v>1385</v>
      </c>
      <c r="BF485" s="472">
        <v>34025.4</v>
      </c>
      <c r="BG485" s="472">
        <v>0</v>
      </c>
      <c r="BH485" s="472" t="s">
        <v>1385</v>
      </c>
      <c r="BI485" s="510">
        <v>0</v>
      </c>
      <c r="BJ485" s="510">
        <v>0</v>
      </c>
      <c r="BK485" s="510">
        <v>0</v>
      </c>
      <c r="BL485" s="510">
        <v>0</v>
      </c>
      <c r="BM485" s="510">
        <v>0</v>
      </c>
      <c r="BN485" s="510">
        <v>5000</v>
      </c>
      <c r="BO485" s="510">
        <v>0</v>
      </c>
      <c r="BP485" s="510">
        <v>0</v>
      </c>
      <c r="BQ485" s="510">
        <v>0</v>
      </c>
      <c r="BR485" s="510">
        <v>0</v>
      </c>
      <c r="BS485" s="510">
        <v>0</v>
      </c>
      <c r="BT485" s="510">
        <v>0</v>
      </c>
      <c r="BU485" s="510">
        <v>2500</v>
      </c>
      <c r="BV485" s="510">
        <v>2500</v>
      </c>
      <c r="BW485" s="510">
        <v>0</v>
      </c>
      <c r="BX485" s="510">
        <v>30000</v>
      </c>
      <c r="BY485" s="1011">
        <v>0</v>
      </c>
      <c r="BZ485" s="510">
        <v>0</v>
      </c>
      <c r="CA485" s="1011">
        <v>0</v>
      </c>
      <c r="CB485" s="510">
        <v>22000</v>
      </c>
      <c r="CC485" s="1011">
        <v>0</v>
      </c>
      <c r="CD485" s="510">
        <v>0</v>
      </c>
      <c r="CE485" s="1011">
        <v>0</v>
      </c>
      <c r="CF485" s="510">
        <v>45561.599999999999</v>
      </c>
      <c r="CG485" s="1011">
        <v>0</v>
      </c>
      <c r="CH485" s="510">
        <v>0</v>
      </c>
      <c r="CI485" s="1011">
        <v>0</v>
      </c>
    </row>
    <row r="486" spans="1:87" x14ac:dyDescent="0.2">
      <c r="A486" s="449">
        <v>121</v>
      </c>
      <c r="B486" s="453">
        <v>19577</v>
      </c>
      <c r="C486" s="454" t="s">
        <v>5025</v>
      </c>
      <c r="D486" s="454" t="s">
        <v>1390</v>
      </c>
      <c r="E486" s="454" t="s">
        <v>5026</v>
      </c>
      <c r="F486" s="454" t="s">
        <v>528</v>
      </c>
      <c r="G486" s="454" t="s">
        <v>13131</v>
      </c>
      <c r="H486" s="455">
        <v>3893086000117</v>
      </c>
      <c r="I486" s="462">
        <v>38659</v>
      </c>
      <c r="J486" s="457">
        <v>37370400</v>
      </c>
      <c r="K486" s="454" t="s">
        <v>5027</v>
      </c>
      <c r="L486" s="458">
        <v>12</v>
      </c>
      <c r="M486" s="454" t="s">
        <v>1639</v>
      </c>
      <c r="N486" s="459">
        <v>2987020</v>
      </c>
      <c r="O486" s="460">
        <v>39465681</v>
      </c>
      <c r="P486" s="462">
        <v>391851</v>
      </c>
      <c r="Q486" s="462">
        <v>121</v>
      </c>
      <c r="R486" s="462">
        <v>43938</v>
      </c>
      <c r="S486" s="463">
        <v>547</v>
      </c>
      <c r="T486" s="464">
        <v>3.6</v>
      </c>
      <c r="U486" s="465">
        <v>1969.2</v>
      </c>
      <c r="V486" s="465">
        <v>16560</v>
      </c>
      <c r="W486" s="466">
        <v>0</v>
      </c>
      <c r="X486" s="467">
        <v>1</v>
      </c>
      <c r="Y486" s="466">
        <v>27793.8</v>
      </c>
      <c r="Z486" s="468" t="s">
        <v>516</v>
      </c>
      <c r="AA486" s="466">
        <v>109837.8</v>
      </c>
      <c r="AB486" s="466">
        <v>109837.8</v>
      </c>
      <c r="AC486" s="467">
        <v>0</v>
      </c>
      <c r="AD486" s="466">
        <v>0</v>
      </c>
      <c r="AE486" s="468" t="s">
        <v>516</v>
      </c>
      <c r="AF486" s="466">
        <v>0</v>
      </c>
      <c r="AG486" s="466">
        <v>0</v>
      </c>
      <c r="AH486" s="466">
        <v>12118.56</v>
      </c>
      <c r="AI486" s="466">
        <v>18248.439999999999</v>
      </c>
      <c r="AJ486" s="469" t="s">
        <v>1571</v>
      </c>
      <c r="AK486" s="470" t="s">
        <v>528</v>
      </c>
      <c r="AL486" s="471" t="s">
        <v>5028</v>
      </c>
      <c r="AM486" s="470" t="s">
        <v>13132</v>
      </c>
      <c r="AN486" s="470" t="s">
        <v>5029</v>
      </c>
      <c r="AO486" s="470" t="s">
        <v>13133</v>
      </c>
      <c r="AP486" s="470" t="s">
        <v>2225</v>
      </c>
      <c r="AQ486" s="470" t="s">
        <v>5025</v>
      </c>
      <c r="AR486" s="472" t="s">
        <v>515</v>
      </c>
      <c r="AS486" s="473" t="s">
        <v>1385</v>
      </c>
      <c r="AT486" s="472" t="s">
        <v>1390</v>
      </c>
      <c r="AU486" s="472" t="s">
        <v>420</v>
      </c>
      <c r="AV486" s="472">
        <v>2020</v>
      </c>
      <c r="AW486" s="474" t="s">
        <v>15078</v>
      </c>
      <c r="AX486" s="475" t="s">
        <v>15079</v>
      </c>
      <c r="AY486" s="515">
        <v>1</v>
      </c>
      <c r="AZ486" s="474" t="s">
        <v>15079</v>
      </c>
      <c r="BA486" s="472" t="s">
        <v>1390</v>
      </c>
      <c r="BB486" s="472" t="s">
        <v>1385</v>
      </c>
      <c r="BC486" s="472" t="s">
        <v>1385</v>
      </c>
      <c r="BD486" s="472" t="s">
        <v>1385</v>
      </c>
      <c r="BE486" s="472" t="s">
        <v>1385</v>
      </c>
      <c r="BF486" s="472">
        <v>27793.8</v>
      </c>
      <c r="BG486" s="472">
        <v>0</v>
      </c>
      <c r="BH486" s="472" t="s">
        <v>1385</v>
      </c>
      <c r="BI486" s="510">
        <v>0</v>
      </c>
      <c r="BJ486" s="510">
        <v>3216.87</v>
      </c>
      <c r="BK486" s="510">
        <v>0</v>
      </c>
      <c r="BL486" s="510">
        <v>0</v>
      </c>
      <c r="BM486" s="510">
        <v>0</v>
      </c>
      <c r="BN486" s="510">
        <v>4000</v>
      </c>
      <c r="BO486" s="510">
        <v>0</v>
      </c>
      <c r="BP486" s="510">
        <v>0</v>
      </c>
      <c r="BQ486" s="510">
        <v>0</v>
      </c>
      <c r="BR486" s="510">
        <v>0</v>
      </c>
      <c r="BS486" s="510">
        <v>0</v>
      </c>
      <c r="BT486" s="510">
        <v>0</v>
      </c>
      <c r="BU486" s="510">
        <v>0</v>
      </c>
      <c r="BV486" s="510">
        <v>0</v>
      </c>
      <c r="BW486" s="510">
        <v>0</v>
      </c>
      <c r="BX486" s="510">
        <v>30000</v>
      </c>
      <c r="BY486" s="1011">
        <v>0</v>
      </c>
      <c r="BZ486" s="510">
        <v>0</v>
      </c>
      <c r="CA486" s="1011">
        <v>0</v>
      </c>
      <c r="CB486" s="510">
        <v>0</v>
      </c>
      <c r="CC486" s="1011">
        <v>0</v>
      </c>
      <c r="CD486" s="510">
        <v>0</v>
      </c>
      <c r="CE486" s="1011">
        <v>0</v>
      </c>
      <c r="CF486" s="510">
        <v>52044</v>
      </c>
      <c r="CG486" s="1011">
        <v>0</v>
      </c>
      <c r="CH486" s="510">
        <v>0</v>
      </c>
      <c r="CI486" s="1011">
        <v>0</v>
      </c>
    </row>
    <row r="487" spans="1:87" x14ac:dyDescent="0.2">
      <c r="A487" s="449">
        <v>79</v>
      </c>
      <c r="B487" s="453">
        <v>19585</v>
      </c>
      <c r="C487" s="454" t="s">
        <v>5030</v>
      </c>
      <c r="D487" s="454" t="s">
        <v>517</v>
      </c>
      <c r="E487" s="454" t="s">
        <v>5031</v>
      </c>
      <c r="F487" s="454" t="s">
        <v>513</v>
      </c>
      <c r="G487" s="454" t="s">
        <v>13134</v>
      </c>
      <c r="H487" s="455">
        <v>4191768000140</v>
      </c>
      <c r="I487" s="462">
        <v>36825</v>
      </c>
      <c r="J487" s="457">
        <v>37532693</v>
      </c>
      <c r="K487" s="454" t="s">
        <v>5032</v>
      </c>
      <c r="L487" s="458">
        <v>73</v>
      </c>
      <c r="M487" s="454" t="s">
        <v>5033</v>
      </c>
      <c r="N487" s="459">
        <v>8331855</v>
      </c>
      <c r="O487" s="460">
        <v>27319322</v>
      </c>
      <c r="P487" s="462">
        <v>150935</v>
      </c>
      <c r="Q487" s="462">
        <v>79</v>
      </c>
      <c r="R487" s="462">
        <v>43937</v>
      </c>
      <c r="S487" s="463">
        <v>787</v>
      </c>
      <c r="T487" s="464">
        <v>5.4</v>
      </c>
      <c r="U487" s="465">
        <v>4249.8</v>
      </c>
      <c r="V487" s="465">
        <v>18720</v>
      </c>
      <c r="W487" s="466">
        <v>0</v>
      </c>
      <c r="X487" s="467">
        <v>1</v>
      </c>
      <c r="Y487" s="466">
        <v>42878.7</v>
      </c>
      <c r="Z487" s="468" t="s">
        <v>516</v>
      </c>
      <c r="AA487" s="466">
        <v>156737.1</v>
      </c>
      <c r="AB487" s="466">
        <v>156737.1</v>
      </c>
      <c r="AC487" s="467">
        <v>0</v>
      </c>
      <c r="AD487" s="466">
        <v>0</v>
      </c>
      <c r="AE487" s="468" t="s">
        <v>516</v>
      </c>
      <c r="AF487" s="466">
        <v>0</v>
      </c>
      <c r="AG487" s="466">
        <v>0</v>
      </c>
      <c r="AH487" s="466">
        <v>11585.01</v>
      </c>
      <c r="AI487" s="466">
        <v>16098.47</v>
      </c>
      <c r="AJ487" s="469" t="s">
        <v>2030</v>
      </c>
      <c r="AK487" s="470" t="s">
        <v>513</v>
      </c>
      <c r="AL487" s="471" t="s">
        <v>5034</v>
      </c>
      <c r="AM487" s="470" t="s">
        <v>5035</v>
      </c>
      <c r="AN487" s="470" t="s">
        <v>5036</v>
      </c>
      <c r="AO487" s="470" t="s">
        <v>5037</v>
      </c>
      <c r="AP487" s="470" t="s">
        <v>5038</v>
      </c>
      <c r="AQ487" s="470" t="s">
        <v>5030</v>
      </c>
      <c r="AR487" s="472" t="s">
        <v>515</v>
      </c>
      <c r="AS487" s="473" t="s">
        <v>1385</v>
      </c>
      <c r="AT487" s="472" t="s">
        <v>517</v>
      </c>
      <c r="AU487" s="472" t="s">
        <v>420</v>
      </c>
      <c r="AV487" s="472">
        <v>2020</v>
      </c>
      <c r="AW487" s="474" t="s">
        <v>15078</v>
      </c>
      <c r="AX487" s="475" t="s">
        <v>15079</v>
      </c>
      <c r="AY487" s="515">
        <v>1</v>
      </c>
      <c r="AZ487" s="474" t="s">
        <v>15079</v>
      </c>
      <c r="BA487" s="472" t="s">
        <v>517</v>
      </c>
      <c r="BB487" s="472" t="s">
        <v>516</v>
      </c>
      <c r="BC487" s="472">
        <v>9</v>
      </c>
      <c r="BD487" s="472">
        <v>5616</v>
      </c>
      <c r="BE487" s="472">
        <v>0</v>
      </c>
      <c r="BF487" s="472">
        <v>42878.7</v>
      </c>
      <c r="BG487" s="472">
        <v>0</v>
      </c>
      <c r="BH487" s="472" t="s">
        <v>1385</v>
      </c>
      <c r="BI487" s="510">
        <v>0</v>
      </c>
      <c r="BJ487" s="510">
        <v>0</v>
      </c>
      <c r="BK487" s="510">
        <v>0</v>
      </c>
      <c r="BL487" s="510">
        <v>338.84</v>
      </c>
      <c r="BM487" s="510">
        <v>0</v>
      </c>
      <c r="BN487" s="510">
        <v>5000</v>
      </c>
      <c r="BO487" s="510">
        <v>0</v>
      </c>
      <c r="BP487" s="510">
        <v>0</v>
      </c>
      <c r="BQ487" s="510">
        <v>0</v>
      </c>
      <c r="BR487" s="510">
        <v>0</v>
      </c>
      <c r="BS487" s="510">
        <v>0</v>
      </c>
      <c r="BT487" s="510">
        <v>0</v>
      </c>
      <c r="BU487" s="510">
        <v>2500</v>
      </c>
      <c r="BV487" s="510">
        <v>2500</v>
      </c>
      <c r="BW487" s="510">
        <v>0</v>
      </c>
      <c r="BX487" s="510">
        <v>30000</v>
      </c>
      <c r="BY487" s="1011">
        <v>0</v>
      </c>
      <c r="BZ487" s="510">
        <v>0</v>
      </c>
      <c r="CA487" s="1011">
        <v>0</v>
      </c>
      <c r="CB487" s="510">
        <v>22000</v>
      </c>
      <c r="CC487" s="1011">
        <v>0</v>
      </c>
      <c r="CD487" s="510">
        <v>0</v>
      </c>
      <c r="CE487" s="1011">
        <v>0</v>
      </c>
      <c r="CF487" s="510">
        <v>61858.400000000001</v>
      </c>
      <c r="CG487" s="1011">
        <v>0</v>
      </c>
      <c r="CH487" s="510">
        <v>0</v>
      </c>
      <c r="CI487" s="1011">
        <v>0</v>
      </c>
    </row>
    <row r="488" spans="1:87" x14ac:dyDescent="0.2">
      <c r="A488" s="449">
        <v>108</v>
      </c>
      <c r="B488" s="453">
        <v>19593</v>
      </c>
      <c r="C488" s="454" t="s">
        <v>5039</v>
      </c>
      <c r="D488" s="454" t="s">
        <v>1390</v>
      </c>
      <c r="E488" s="454" t="s">
        <v>5040</v>
      </c>
      <c r="F488" s="454" t="s">
        <v>513</v>
      </c>
      <c r="G488" s="454" t="s">
        <v>13135</v>
      </c>
      <c r="H488" s="455">
        <v>4101129000147</v>
      </c>
      <c r="I488" s="462">
        <v>36768</v>
      </c>
      <c r="J488" s="457">
        <v>37531247</v>
      </c>
      <c r="K488" s="454" t="s">
        <v>5041</v>
      </c>
      <c r="L488" s="458" t="s">
        <v>1446</v>
      </c>
      <c r="M488" s="454" t="s">
        <v>5042</v>
      </c>
      <c r="N488" s="459">
        <v>8371770</v>
      </c>
      <c r="O488" s="460">
        <v>27316504</v>
      </c>
      <c r="P488" s="462">
        <v>151729</v>
      </c>
      <c r="Q488" s="462">
        <v>108</v>
      </c>
      <c r="R488" s="462">
        <v>43937</v>
      </c>
      <c r="S488" s="463">
        <v>610</v>
      </c>
      <c r="T488" s="464">
        <v>3.6</v>
      </c>
      <c r="U488" s="465">
        <v>2196</v>
      </c>
      <c r="V488" s="465">
        <v>18000</v>
      </c>
      <c r="W488" s="466">
        <v>0</v>
      </c>
      <c r="X488" s="467">
        <v>1</v>
      </c>
      <c r="Y488" s="466">
        <v>30294</v>
      </c>
      <c r="Z488" s="468" t="s">
        <v>516</v>
      </c>
      <c r="AA488" s="466">
        <v>115822.8</v>
      </c>
      <c r="AB488" s="466">
        <v>115822.8</v>
      </c>
      <c r="AC488" s="467">
        <v>0</v>
      </c>
      <c r="AD488" s="466">
        <v>0</v>
      </c>
      <c r="AE488" s="468" t="s">
        <v>516</v>
      </c>
      <c r="AF488" s="466">
        <v>0</v>
      </c>
      <c r="AG488" s="466">
        <v>0</v>
      </c>
      <c r="AH488" s="466">
        <v>28466.13</v>
      </c>
      <c r="AI488" s="466">
        <v>3373.8</v>
      </c>
      <c r="AJ488" s="469" t="s">
        <v>2520</v>
      </c>
      <c r="AK488" s="470" t="s">
        <v>2521</v>
      </c>
      <c r="AL488" s="471" t="s">
        <v>5043</v>
      </c>
      <c r="AM488" s="470" t="s">
        <v>5044</v>
      </c>
      <c r="AN488" s="470" t="s">
        <v>1385</v>
      </c>
      <c r="AO488" s="470" t="s">
        <v>5045</v>
      </c>
      <c r="AP488" s="470" t="s">
        <v>5046</v>
      </c>
      <c r="AQ488" s="470" t="s">
        <v>5039</v>
      </c>
      <c r="AR488" s="472" t="s">
        <v>515</v>
      </c>
      <c r="AS488" s="473" t="s">
        <v>1385</v>
      </c>
      <c r="AT488" s="472" t="s">
        <v>1390</v>
      </c>
      <c r="AU488" s="472" t="s">
        <v>420</v>
      </c>
      <c r="AV488" s="472">
        <v>2020</v>
      </c>
      <c r="AW488" s="474" t="s">
        <v>15078</v>
      </c>
      <c r="AX488" s="475" t="s">
        <v>15079</v>
      </c>
      <c r="AY488" s="515">
        <v>1</v>
      </c>
      <c r="AZ488" s="474" t="s">
        <v>15079</v>
      </c>
      <c r="BA488" s="472" t="s">
        <v>1390</v>
      </c>
      <c r="BB488" s="472" t="s">
        <v>1385</v>
      </c>
      <c r="BC488" s="472" t="s">
        <v>1385</v>
      </c>
      <c r="BD488" s="472" t="s">
        <v>1385</v>
      </c>
      <c r="BE488" s="472" t="s">
        <v>1385</v>
      </c>
      <c r="BF488" s="472">
        <v>30294</v>
      </c>
      <c r="BG488" s="472">
        <v>0</v>
      </c>
      <c r="BH488" s="472" t="s">
        <v>1385</v>
      </c>
      <c r="BI488" s="510">
        <v>0</v>
      </c>
      <c r="BJ488" s="510">
        <v>0</v>
      </c>
      <c r="BK488" s="510">
        <v>0</v>
      </c>
      <c r="BL488" s="510">
        <v>0</v>
      </c>
      <c r="BM488" s="510">
        <v>0</v>
      </c>
      <c r="BN488" s="510">
        <v>5000</v>
      </c>
      <c r="BO488" s="510">
        <v>0</v>
      </c>
      <c r="BP488" s="510">
        <v>0</v>
      </c>
      <c r="BQ488" s="510">
        <v>0</v>
      </c>
      <c r="BR488" s="510">
        <v>0</v>
      </c>
      <c r="BS488" s="510">
        <v>0</v>
      </c>
      <c r="BT488" s="510">
        <v>0</v>
      </c>
      <c r="BU488" s="510">
        <v>0</v>
      </c>
      <c r="BV488" s="510">
        <v>0</v>
      </c>
      <c r="BW488" s="510">
        <v>0</v>
      </c>
      <c r="BX488" s="510">
        <v>30000</v>
      </c>
      <c r="BY488" s="1011">
        <v>0</v>
      </c>
      <c r="BZ488" s="510">
        <v>0</v>
      </c>
      <c r="CA488" s="1011">
        <v>0</v>
      </c>
      <c r="CB488" s="510">
        <v>0</v>
      </c>
      <c r="CC488" s="1011">
        <v>0</v>
      </c>
      <c r="CD488" s="510">
        <v>0</v>
      </c>
      <c r="CE488" s="1011">
        <v>0</v>
      </c>
      <c r="CF488" s="510">
        <v>55528.800000000003</v>
      </c>
      <c r="CG488" s="1011">
        <v>0</v>
      </c>
      <c r="CH488" s="510">
        <v>0</v>
      </c>
      <c r="CI488" s="1011">
        <v>0</v>
      </c>
    </row>
    <row r="489" spans="1:87" x14ac:dyDescent="0.2">
      <c r="A489" s="449">
        <v>34</v>
      </c>
      <c r="B489" s="453">
        <v>19607</v>
      </c>
      <c r="C489" s="454" t="s">
        <v>5047</v>
      </c>
      <c r="D489" s="454" t="s">
        <v>517</v>
      </c>
      <c r="E489" s="454" t="s">
        <v>5048</v>
      </c>
      <c r="F489" s="454" t="s">
        <v>528</v>
      </c>
      <c r="G489" s="454" t="s">
        <v>13136</v>
      </c>
      <c r="H489" s="455">
        <v>4805173000138</v>
      </c>
      <c r="I489" s="462">
        <v>37098</v>
      </c>
      <c r="J489" s="457">
        <v>37468910</v>
      </c>
      <c r="K489" s="454" t="s">
        <v>5049</v>
      </c>
      <c r="L489" s="458">
        <v>38</v>
      </c>
      <c r="M489" s="454" t="s">
        <v>528</v>
      </c>
      <c r="N489" s="459">
        <v>2990120</v>
      </c>
      <c r="O489" s="460">
        <v>39411791</v>
      </c>
      <c r="P489" s="462">
        <v>258000</v>
      </c>
      <c r="Q489" s="462">
        <v>34</v>
      </c>
      <c r="R489" s="462">
        <v>43938</v>
      </c>
      <c r="S489" s="463">
        <v>708</v>
      </c>
      <c r="T489" s="464">
        <v>5.4</v>
      </c>
      <c r="U489" s="465">
        <v>3823.2</v>
      </c>
      <c r="V489" s="465">
        <v>18720</v>
      </c>
      <c r="W489" s="466">
        <v>0</v>
      </c>
      <c r="X489" s="467">
        <v>1</v>
      </c>
      <c r="Y489" s="466">
        <v>33814.800000000003</v>
      </c>
      <c r="Z489" s="468" t="s">
        <v>516</v>
      </c>
      <c r="AA489" s="466">
        <v>127186</v>
      </c>
      <c r="AB489" s="466">
        <v>127186</v>
      </c>
      <c r="AC489" s="467">
        <v>0</v>
      </c>
      <c r="AD489" s="466">
        <v>0</v>
      </c>
      <c r="AE489" s="468" t="s">
        <v>516</v>
      </c>
      <c r="AF489" s="466">
        <v>0</v>
      </c>
      <c r="AG489" s="466">
        <v>0</v>
      </c>
      <c r="AH489" s="466">
        <v>37053.279999999999</v>
      </c>
      <c r="AI489" s="466">
        <v>4518.51</v>
      </c>
      <c r="AJ489" s="469" t="s">
        <v>1571</v>
      </c>
      <c r="AK489" s="470" t="s">
        <v>528</v>
      </c>
      <c r="AL489" s="471" t="s">
        <v>5050</v>
      </c>
      <c r="AM489" s="470" t="s">
        <v>5051</v>
      </c>
      <c r="AN489" s="470" t="s">
        <v>1385</v>
      </c>
      <c r="AO489" s="470" t="s">
        <v>13137</v>
      </c>
      <c r="AP489" s="470" t="s">
        <v>5052</v>
      </c>
      <c r="AQ489" s="470" t="s">
        <v>5047</v>
      </c>
      <c r="AR489" s="472" t="s">
        <v>515</v>
      </c>
      <c r="AS489" s="473" t="s">
        <v>1385</v>
      </c>
      <c r="AT489" s="472" t="s">
        <v>517</v>
      </c>
      <c r="AU489" s="472" t="s">
        <v>420</v>
      </c>
      <c r="AV489" s="472">
        <v>2020</v>
      </c>
      <c r="AW489" s="474" t="s">
        <v>15078</v>
      </c>
      <c r="AX489" s="475" t="s">
        <v>15079</v>
      </c>
      <c r="AY489" s="515">
        <v>1</v>
      </c>
      <c r="AZ489" s="474" t="s">
        <v>15079</v>
      </c>
      <c r="BA489" s="472" t="s">
        <v>517</v>
      </c>
      <c r="BB489" s="472" t="s">
        <v>1385</v>
      </c>
      <c r="BC489" s="472" t="s">
        <v>1385</v>
      </c>
      <c r="BD489" s="472" t="s">
        <v>1385</v>
      </c>
      <c r="BE489" s="472" t="s">
        <v>1385</v>
      </c>
      <c r="BF489" s="472">
        <v>33814.800000000003</v>
      </c>
      <c r="BG489" s="472">
        <v>0</v>
      </c>
      <c r="BH489" s="472" t="s">
        <v>1385</v>
      </c>
      <c r="BI489" s="510">
        <v>0</v>
      </c>
      <c r="BJ489" s="510">
        <v>20.9</v>
      </c>
      <c r="BK489" s="510">
        <v>0</v>
      </c>
      <c r="BL489" s="510">
        <v>0</v>
      </c>
      <c r="BM489" s="510">
        <v>0</v>
      </c>
      <c r="BN489" s="510">
        <v>3400</v>
      </c>
      <c r="BO489" s="510">
        <v>0</v>
      </c>
      <c r="BP489" s="510">
        <v>0</v>
      </c>
      <c r="BQ489" s="510">
        <v>0</v>
      </c>
      <c r="BR489" s="510">
        <v>0</v>
      </c>
      <c r="BS489" s="510">
        <v>0</v>
      </c>
      <c r="BT489" s="510">
        <v>0</v>
      </c>
      <c r="BU489" s="510">
        <v>2500</v>
      </c>
      <c r="BV489" s="510">
        <v>2500</v>
      </c>
      <c r="BW489" s="510">
        <v>0</v>
      </c>
      <c r="BX489" s="510">
        <v>30000</v>
      </c>
      <c r="BY489" s="1011">
        <v>0</v>
      </c>
      <c r="BZ489" s="510">
        <v>0</v>
      </c>
      <c r="CA489" s="1011">
        <v>0</v>
      </c>
      <c r="CB489" s="510">
        <v>22000</v>
      </c>
      <c r="CC489" s="1011">
        <v>0</v>
      </c>
      <c r="CD489" s="510">
        <v>0</v>
      </c>
      <c r="CE489" s="1011">
        <v>0</v>
      </c>
      <c r="CF489" s="510">
        <v>41371.199999999997</v>
      </c>
      <c r="CG489" s="1011">
        <v>0</v>
      </c>
      <c r="CH489" s="510">
        <v>0</v>
      </c>
      <c r="CI489" s="1011">
        <v>0</v>
      </c>
    </row>
    <row r="490" spans="1:87" x14ac:dyDescent="0.2">
      <c r="A490" s="449">
        <v>49</v>
      </c>
      <c r="B490" s="453">
        <v>19615</v>
      </c>
      <c r="C490" s="454" t="s">
        <v>5053</v>
      </c>
      <c r="D490" s="454" t="s">
        <v>517</v>
      </c>
      <c r="E490" s="454" t="s">
        <v>5054</v>
      </c>
      <c r="F490" s="454" t="s">
        <v>513</v>
      </c>
      <c r="G490" s="454" t="s">
        <v>13138</v>
      </c>
      <c r="H490" s="455">
        <v>4136584000188</v>
      </c>
      <c r="I490" s="462">
        <v>36831</v>
      </c>
      <c r="J490" s="457">
        <v>37533088</v>
      </c>
      <c r="K490" s="454" t="s">
        <v>5055</v>
      </c>
      <c r="L490" s="458">
        <v>135</v>
      </c>
      <c r="M490" s="454" t="s">
        <v>5056</v>
      </c>
      <c r="N490" s="459">
        <v>8380200</v>
      </c>
      <c r="O490" s="460">
        <v>27313699</v>
      </c>
      <c r="P490" s="462">
        <v>149759</v>
      </c>
      <c r="Q490" s="462">
        <v>49</v>
      </c>
      <c r="R490" s="462">
        <v>43937</v>
      </c>
      <c r="S490" s="463">
        <v>1111</v>
      </c>
      <c r="T490" s="464">
        <v>5.4</v>
      </c>
      <c r="U490" s="465">
        <v>5999.4</v>
      </c>
      <c r="V490" s="465">
        <v>20340</v>
      </c>
      <c r="W490" s="466">
        <v>0</v>
      </c>
      <c r="X490" s="467">
        <v>1</v>
      </c>
      <c r="Y490" s="466">
        <v>39509.1</v>
      </c>
      <c r="Z490" s="468" t="s">
        <v>516</v>
      </c>
      <c r="AA490" s="466">
        <v>143853.1</v>
      </c>
      <c r="AB490" s="466">
        <v>143853.1</v>
      </c>
      <c r="AC490" s="467">
        <v>0</v>
      </c>
      <c r="AD490" s="466">
        <v>0</v>
      </c>
      <c r="AE490" s="468" t="s">
        <v>516</v>
      </c>
      <c r="AF490" s="466">
        <v>2000</v>
      </c>
      <c r="AG490" s="466">
        <v>2000</v>
      </c>
      <c r="AH490" s="466">
        <v>53119.58</v>
      </c>
      <c r="AI490" s="466">
        <v>26154.3</v>
      </c>
      <c r="AJ490" s="469" t="s">
        <v>2030</v>
      </c>
      <c r="AK490" s="470" t="s">
        <v>513</v>
      </c>
      <c r="AL490" s="471" t="s">
        <v>5057</v>
      </c>
      <c r="AM490" s="470" t="s">
        <v>13139</v>
      </c>
      <c r="AN490" s="470" t="s">
        <v>1385</v>
      </c>
      <c r="AO490" s="470" t="s">
        <v>5058</v>
      </c>
      <c r="AP490" s="470" t="s">
        <v>5059</v>
      </c>
      <c r="AQ490" s="470" t="s">
        <v>5053</v>
      </c>
      <c r="AR490" s="472" t="s">
        <v>515</v>
      </c>
      <c r="AS490" s="473" t="s">
        <v>1385</v>
      </c>
      <c r="AT490" s="472" t="s">
        <v>517</v>
      </c>
      <c r="AU490" s="472" t="s">
        <v>420</v>
      </c>
      <c r="AV490" s="472">
        <v>2020</v>
      </c>
      <c r="AW490" s="474" t="s">
        <v>15078</v>
      </c>
      <c r="AX490" s="475" t="s">
        <v>15079</v>
      </c>
      <c r="AY490" s="515">
        <v>1</v>
      </c>
      <c r="AZ490" s="474" t="s">
        <v>15079</v>
      </c>
      <c r="BA490" s="472" t="s">
        <v>517</v>
      </c>
      <c r="BB490" s="472" t="s">
        <v>1385</v>
      </c>
      <c r="BC490" s="472" t="s">
        <v>1385</v>
      </c>
      <c r="BD490" s="472" t="s">
        <v>1385</v>
      </c>
      <c r="BE490" s="472" t="s">
        <v>1385</v>
      </c>
      <c r="BF490" s="472">
        <v>39509.1</v>
      </c>
      <c r="BG490" s="472">
        <v>0</v>
      </c>
      <c r="BH490" s="472" t="s">
        <v>1385</v>
      </c>
      <c r="BI490" s="510">
        <v>0</v>
      </c>
      <c r="BJ490" s="510">
        <v>0</v>
      </c>
      <c r="BK490" s="510">
        <v>0</v>
      </c>
      <c r="BL490" s="510">
        <v>0</v>
      </c>
      <c r="BM490" s="510">
        <v>0</v>
      </c>
      <c r="BN490" s="510">
        <v>5000</v>
      </c>
      <c r="BO490" s="510">
        <v>0</v>
      </c>
      <c r="BP490" s="510">
        <v>2000</v>
      </c>
      <c r="BQ490" s="510">
        <v>0</v>
      </c>
      <c r="BR490" s="510">
        <v>0</v>
      </c>
      <c r="BS490" s="510">
        <v>0</v>
      </c>
      <c r="BT490" s="510">
        <v>0</v>
      </c>
      <c r="BU490" s="510">
        <v>2500</v>
      </c>
      <c r="BV490" s="510">
        <v>2500</v>
      </c>
      <c r="BW490" s="510">
        <v>0</v>
      </c>
      <c r="BX490" s="510">
        <v>30000</v>
      </c>
      <c r="BY490" s="1011">
        <v>0</v>
      </c>
      <c r="BZ490" s="510">
        <v>0</v>
      </c>
      <c r="CA490" s="1011">
        <v>0</v>
      </c>
      <c r="CB490" s="510">
        <v>22000</v>
      </c>
      <c r="CC490" s="1011">
        <v>0</v>
      </c>
      <c r="CD490" s="510">
        <v>0</v>
      </c>
      <c r="CE490" s="1011">
        <v>0</v>
      </c>
      <c r="CF490" s="510">
        <v>52344</v>
      </c>
      <c r="CG490" s="1011">
        <v>0</v>
      </c>
      <c r="CH490" s="510">
        <v>0</v>
      </c>
      <c r="CI490" s="1011">
        <v>0</v>
      </c>
    </row>
    <row r="491" spans="1:87" x14ac:dyDescent="0.2">
      <c r="A491" s="449">
        <v>125</v>
      </c>
      <c r="B491" s="453">
        <v>19623</v>
      </c>
      <c r="C491" s="454" t="s">
        <v>5060</v>
      </c>
      <c r="D491" s="454" t="s">
        <v>1390</v>
      </c>
      <c r="E491" s="454" t="s">
        <v>5061</v>
      </c>
      <c r="F491" s="454" t="s">
        <v>513</v>
      </c>
      <c r="G491" s="454" t="s">
        <v>13140</v>
      </c>
      <c r="H491" s="455">
        <v>4180802000181</v>
      </c>
      <c r="I491" s="462">
        <v>36836</v>
      </c>
      <c r="J491" s="457">
        <v>37531514</v>
      </c>
      <c r="K491" s="454" t="s">
        <v>3029</v>
      </c>
      <c r="L491" s="458">
        <v>10</v>
      </c>
      <c r="M491" s="454" t="s">
        <v>2925</v>
      </c>
      <c r="N491" s="459">
        <v>8391280</v>
      </c>
      <c r="O491" s="460">
        <v>27533517</v>
      </c>
      <c r="P491" s="462">
        <v>154620</v>
      </c>
      <c r="Q491" s="462">
        <v>125</v>
      </c>
      <c r="R491" s="462">
        <v>43937</v>
      </c>
      <c r="S491" s="463">
        <v>380</v>
      </c>
      <c r="T491" s="464">
        <v>3.6</v>
      </c>
      <c r="U491" s="465">
        <v>1368</v>
      </c>
      <c r="V491" s="465">
        <v>13680</v>
      </c>
      <c r="W491" s="466">
        <v>0</v>
      </c>
      <c r="X491" s="467">
        <v>1</v>
      </c>
      <c r="Y491" s="466">
        <v>22572</v>
      </c>
      <c r="Z491" s="468" t="s">
        <v>516</v>
      </c>
      <c r="AA491" s="466">
        <v>97747.199999999997</v>
      </c>
      <c r="AB491" s="466">
        <v>97747.199999999997</v>
      </c>
      <c r="AC491" s="467">
        <v>0</v>
      </c>
      <c r="AD491" s="466">
        <v>0</v>
      </c>
      <c r="AE491" s="468" t="s">
        <v>516</v>
      </c>
      <c r="AF491" s="466">
        <v>0</v>
      </c>
      <c r="AG491" s="466">
        <v>0</v>
      </c>
      <c r="AH491" s="466">
        <v>11856.66</v>
      </c>
      <c r="AI491" s="466">
        <v>4928.0600000000004</v>
      </c>
      <c r="AJ491" s="469" t="s">
        <v>2030</v>
      </c>
      <c r="AK491" s="470" t="s">
        <v>513</v>
      </c>
      <c r="AL491" s="471" t="s">
        <v>5062</v>
      </c>
      <c r="AM491" s="470" t="s">
        <v>5063</v>
      </c>
      <c r="AN491" s="470" t="s">
        <v>1385</v>
      </c>
      <c r="AO491" s="470" t="s">
        <v>5064</v>
      </c>
      <c r="AP491" s="470" t="s">
        <v>5065</v>
      </c>
      <c r="AQ491" s="470" t="s">
        <v>5060</v>
      </c>
      <c r="AR491" s="472" t="s">
        <v>515</v>
      </c>
      <c r="AS491" s="473" t="s">
        <v>1385</v>
      </c>
      <c r="AT491" s="472" t="s">
        <v>1390</v>
      </c>
      <c r="AU491" s="472" t="s">
        <v>420</v>
      </c>
      <c r="AV491" s="472">
        <v>2020</v>
      </c>
      <c r="AW491" s="474" t="s">
        <v>15078</v>
      </c>
      <c r="AX491" s="475" t="s">
        <v>15079</v>
      </c>
      <c r="AY491" s="515">
        <v>1</v>
      </c>
      <c r="AZ491" s="474" t="s">
        <v>15079</v>
      </c>
      <c r="BA491" s="472" t="s">
        <v>1390</v>
      </c>
      <c r="BB491" s="472" t="s">
        <v>1385</v>
      </c>
      <c r="BC491" s="472" t="s">
        <v>1385</v>
      </c>
      <c r="BD491" s="472" t="s">
        <v>1385</v>
      </c>
      <c r="BE491" s="472" t="s">
        <v>1385</v>
      </c>
      <c r="BF491" s="472">
        <v>22572</v>
      </c>
      <c r="BG491" s="472">
        <v>0</v>
      </c>
      <c r="BH491" s="472" t="s">
        <v>1385</v>
      </c>
      <c r="BI491" s="510">
        <v>0</v>
      </c>
      <c r="BJ491" s="510">
        <v>0</v>
      </c>
      <c r="BK491" s="510">
        <v>0</v>
      </c>
      <c r="BL491" s="510">
        <v>0</v>
      </c>
      <c r="BM491" s="510">
        <v>0</v>
      </c>
      <c r="BN491" s="510">
        <v>980</v>
      </c>
      <c r="BO491" s="510">
        <v>0</v>
      </c>
      <c r="BP491" s="510">
        <v>0</v>
      </c>
      <c r="BQ491" s="510">
        <v>0</v>
      </c>
      <c r="BR491" s="510">
        <v>0</v>
      </c>
      <c r="BS491" s="510">
        <v>0</v>
      </c>
      <c r="BT491" s="510">
        <v>0</v>
      </c>
      <c r="BU491" s="510">
        <v>0</v>
      </c>
      <c r="BV491" s="510">
        <v>0</v>
      </c>
      <c r="BW491" s="510">
        <v>0</v>
      </c>
      <c r="BX491" s="510">
        <v>30000</v>
      </c>
      <c r="BY491" s="1011">
        <v>0</v>
      </c>
      <c r="BZ491" s="510">
        <v>0</v>
      </c>
      <c r="CA491" s="1011">
        <v>0</v>
      </c>
      <c r="CB491" s="510">
        <v>0</v>
      </c>
      <c r="CC491" s="1011">
        <v>0</v>
      </c>
      <c r="CD491" s="510">
        <v>0</v>
      </c>
      <c r="CE491" s="1011">
        <v>0</v>
      </c>
      <c r="CF491" s="510">
        <v>45175.199999999997</v>
      </c>
      <c r="CG491" s="1011">
        <v>0</v>
      </c>
      <c r="CH491" s="510">
        <v>0</v>
      </c>
      <c r="CI491" s="1011">
        <v>0</v>
      </c>
    </row>
    <row r="492" spans="1:87" x14ac:dyDescent="0.2">
      <c r="A492" s="449">
        <v>50</v>
      </c>
      <c r="B492" s="453">
        <v>19631</v>
      </c>
      <c r="C492" s="454" t="s">
        <v>5066</v>
      </c>
      <c r="D492" s="454" t="s">
        <v>517</v>
      </c>
      <c r="E492" s="454" t="s">
        <v>5067</v>
      </c>
      <c r="F492" s="454" t="s">
        <v>525</v>
      </c>
      <c r="G492" s="454" t="s">
        <v>13141</v>
      </c>
      <c r="H492" s="455">
        <v>4423280000100</v>
      </c>
      <c r="I492" s="462">
        <v>36984</v>
      </c>
      <c r="J492" s="457">
        <v>37380478</v>
      </c>
      <c r="K492" s="454" t="s">
        <v>5068</v>
      </c>
      <c r="L492" s="458">
        <v>168</v>
      </c>
      <c r="M492" s="454" t="s">
        <v>1740</v>
      </c>
      <c r="N492" s="459">
        <v>2442090</v>
      </c>
      <c r="O492" s="460">
        <v>22323985</v>
      </c>
      <c r="P492" s="462">
        <v>332561</v>
      </c>
      <c r="Q492" s="462">
        <v>50</v>
      </c>
      <c r="R492" s="462">
        <v>43950</v>
      </c>
      <c r="S492" s="463">
        <v>827</v>
      </c>
      <c r="T492" s="464">
        <v>5.4</v>
      </c>
      <c r="U492" s="465">
        <v>4465.8</v>
      </c>
      <c r="V492" s="465">
        <v>18720</v>
      </c>
      <c r="W492" s="466">
        <v>0</v>
      </c>
      <c r="X492" s="467">
        <v>1</v>
      </c>
      <c r="Y492" s="466">
        <v>40394.699999999997</v>
      </c>
      <c r="Z492" s="468" t="s">
        <v>516</v>
      </c>
      <c r="AA492" s="466">
        <v>152381.1</v>
      </c>
      <c r="AB492" s="466">
        <v>152381.1</v>
      </c>
      <c r="AC492" s="467">
        <v>0</v>
      </c>
      <c r="AD492" s="466">
        <v>0</v>
      </c>
      <c r="AE492" s="468" t="s">
        <v>516</v>
      </c>
      <c r="AF492" s="466">
        <v>0</v>
      </c>
      <c r="AG492" s="466">
        <v>0</v>
      </c>
      <c r="AH492" s="466">
        <v>48824.1</v>
      </c>
      <c r="AI492" s="466">
        <v>17926.79</v>
      </c>
      <c r="AJ492" s="469" t="s">
        <v>1448</v>
      </c>
      <c r="AK492" s="470" t="s">
        <v>1449</v>
      </c>
      <c r="AL492" s="471" t="s">
        <v>5069</v>
      </c>
      <c r="AM492" s="470" t="s">
        <v>5070</v>
      </c>
      <c r="AN492" s="470" t="s">
        <v>5071</v>
      </c>
      <c r="AO492" s="470" t="s">
        <v>5072</v>
      </c>
      <c r="AP492" s="470" t="s">
        <v>5073</v>
      </c>
      <c r="AQ492" s="470" t="s">
        <v>5066</v>
      </c>
      <c r="AR492" s="472" t="s">
        <v>515</v>
      </c>
      <c r="AS492" s="473" t="s">
        <v>1385</v>
      </c>
      <c r="AT492" s="472" t="s">
        <v>517</v>
      </c>
      <c r="AU492" s="472" t="s">
        <v>420</v>
      </c>
      <c r="AV492" s="472">
        <v>2020</v>
      </c>
      <c r="AW492" s="474" t="s">
        <v>15078</v>
      </c>
      <c r="AX492" s="475" t="s">
        <v>15079</v>
      </c>
      <c r="AY492" s="515">
        <v>1</v>
      </c>
      <c r="AZ492" s="474" t="s">
        <v>15079</v>
      </c>
      <c r="BA492" s="472" t="s">
        <v>517</v>
      </c>
      <c r="BB492" s="472" t="s">
        <v>516</v>
      </c>
      <c r="BC492" s="472">
        <v>3</v>
      </c>
      <c r="BD492" s="472">
        <v>3744</v>
      </c>
      <c r="BE492" s="472">
        <v>0</v>
      </c>
      <c r="BF492" s="472">
        <v>40394.699999999997</v>
      </c>
      <c r="BG492" s="472">
        <v>0</v>
      </c>
      <c r="BH492" s="472" t="s">
        <v>1385</v>
      </c>
      <c r="BI492" s="510">
        <v>0</v>
      </c>
      <c r="BJ492" s="510">
        <v>0</v>
      </c>
      <c r="BK492" s="510">
        <v>0</v>
      </c>
      <c r="BL492" s="510">
        <v>3500</v>
      </c>
      <c r="BM492" s="510">
        <v>0</v>
      </c>
      <c r="BN492" s="510">
        <v>5000</v>
      </c>
      <c r="BO492" s="510">
        <v>0</v>
      </c>
      <c r="BP492" s="510">
        <v>0</v>
      </c>
      <c r="BQ492" s="510">
        <v>0</v>
      </c>
      <c r="BR492" s="510">
        <v>0</v>
      </c>
      <c r="BS492" s="510">
        <v>0</v>
      </c>
      <c r="BT492" s="510">
        <v>0</v>
      </c>
      <c r="BU492" s="510">
        <v>2500</v>
      </c>
      <c r="BV492" s="510">
        <v>2500</v>
      </c>
      <c r="BW492" s="510">
        <v>0</v>
      </c>
      <c r="BX492" s="510">
        <v>30000</v>
      </c>
      <c r="BY492" s="1011">
        <v>0</v>
      </c>
      <c r="BZ492" s="510">
        <v>0</v>
      </c>
      <c r="CA492" s="1011">
        <v>0</v>
      </c>
      <c r="CB492" s="510">
        <v>22000</v>
      </c>
      <c r="CC492" s="1011">
        <v>0</v>
      </c>
      <c r="CD492" s="510">
        <v>0</v>
      </c>
      <c r="CE492" s="1011">
        <v>0</v>
      </c>
      <c r="CF492" s="510">
        <v>59986.400000000001</v>
      </c>
      <c r="CG492" s="1011">
        <v>0</v>
      </c>
      <c r="CH492" s="510">
        <v>0</v>
      </c>
      <c r="CI492" s="1011">
        <v>0</v>
      </c>
    </row>
    <row r="493" spans="1:87" x14ac:dyDescent="0.2">
      <c r="A493" s="449">
        <v>83</v>
      </c>
      <c r="B493" s="453">
        <v>19640</v>
      </c>
      <c r="C493" s="454" t="s">
        <v>5074</v>
      </c>
      <c r="D493" s="454" t="s">
        <v>2950</v>
      </c>
      <c r="E493" s="454" t="s">
        <v>5075</v>
      </c>
      <c r="F493" s="454" t="s">
        <v>513</v>
      </c>
      <c r="G493" s="454" t="s">
        <v>13142</v>
      </c>
      <c r="H493" s="455">
        <v>4530352000100</v>
      </c>
      <c r="I493" s="462">
        <v>36857</v>
      </c>
      <c r="J493" s="457">
        <v>37532855</v>
      </c>
      <c r="K493" s="454" t="s">
        <v>3372</v>
      </c>
      <c r="L493" s="458">
        <v>201</v>
      </c>
      <c r="M493" s="454" t="s">
        <v>513</v>
      </c>
      <c r="N493" s="459">
        <v>83412</v>
      </c>
      <c r="O493" s="460">
        <v>27318120</v>
      </c>
      <c r="P493" s="462">
        <v>151028</v>
      </c>
      <c r="Q493" s="462">
        <v>83</v>
      </c>
      <c r="R493" s="462">
        <v>43937</v>
      </c>
      <c r="S493" s="463">
        <v>958</v>
      </c>
      <c r="T493" s="464">
        <v>5.4</v>
      </c>
      <c r="U493" s="465">
        <v>5173.2</v>
      </c>
      <c r="V493" s="465">
        <v>20340</v>
      </c>
      <c r="W493" s="466">
        <v>0</v>
      </c>
      <c r="X493" s="467">
        <v>1</v>
      </c>
      <c r="Y493" s="466">
        <v>38269.800000000003</v>
      </c>
      <c r="Z493" s="468" t="s">
        <v>516</v>
      </c>
      <c r="AA493" s="466">
        <v>154734.20000000001</v>
      </c>
      <c r="AB493" s="466">
        <v>154734.20000000001</v>
      </c>
      <c r="AC493" s="467">
        <v>0</v>
      </c>
      <c r="AD493" s="466">
        <v>0</v>
      </c>
      <c r="AE493" s="468" t="s">
        <v>516</v>
      </c>
      <c r="AF493" s="466">
        <v>0</v>
      </c>
      <c r="AG493" s="466">
        <v>0</v>
      </c>
      <c r="AH493" s="466">
        <v>25786.53</v>
      </c>
      <c r="AI493" s="466">
        <v>10205.280000000001</v>
      </c>
      <c r="AJ493" s="469" t="s">
        <v>2520</v>
      </c>
      <c r="AK493" s="470" t="s">
        <v>2521</v>
      </c>
      <c r="AL493" s="471" t="s">
        <v>5076</v>
      </c>
      <c r="AM493" s="470" t="s">
        <v>13143</v>
      </c>
      <c r="AN493" s="470" t="s">
        <v>5077</v>
      </c>
      <c r="AO493" s="470" t="s">
        <v>5078</v>
      </c>
      <c r="AP493" s="470" t="s">
        <v>5079</v>
      </c>
      <c r="AQ493" s="470" t="s">
        <v>5074</v>
      </c>
      <c r="AR493" s="472" t="s">
        <v>515</v>
      </c>
      <c r="AS493" s="473" t="s">
        <v>1385</v>
      </c>
      <c r="AT493" s="472" t="s">
        <v>2950</v>
      </c>
      <c r="AU493" s="472" t="s">
        <v>420</v>
      </c>
      <c r="AV493" s="472">
        <v>2020</v>
      </c>
      <c r="AW493" s="474" t="s">
        <v>15078</v>
      </c>
      <c r="AX493" s="475" t="s">
        <v>15079</v>
      </c>
      <c r="AY493" s="515">
        <v>1</v>
      </c>
      <c r="AZ493" s="474" t="s">
        <v>15079</v>
      </c>
      <c r="BA493" s="472" t="s">
        <v>2950</v>
      </c>
      <c r="BB493" s="472" t="s">
        <v>1385</v>
      </c>
      <c r="BC493" s="472" t="s">
        <v>1385</v>
      </c>
      <c r="BD493" s="472" t="s">
        <v>1385</v>
      </c>
      <c r="BE493" s="472" t="s">
        <v>1385</v>
      </c>
      <c r="BF493" s="472">
        <v>38269.800000000003</v>
      </c>
      <c r="BG493" s="472">
        <v>0</v>
      </c>
      <c r="BH493" s="472" t="s">
        <v>1385</v>
      </c>
      <c r="BI493" s="510">
        <v>0</v>
      </c>
      <c r="BJ493" s="510">
        <v>0</v>
      </c>
      <c r="BK493" s="510">
        <v>0</v>
      </c>
      <c r="BL493" s="510">
        <v>3500</v>
      </c>
      <c r="BM493" s="510">
        <v>0</v>
      </c>
      <c r="BN493" s="510">
        <v>5000</v>
      </c>
      <c r="BO493" s="510">
        <v>0</v>
      </c>
      <c r="BP493" s="510">
        <v>0</v>
      </c>
      <c r="BQ493" s="510">
        <v>0</v>
      </c>
      <c r="BR493" s="510">
        <v>0</v>
      </c>
      <c r="BS493" s="510">
        <v>0</v>
      </c>
      <c r="BT493" s="510">
        <v>0</v>
      </c>
      <c r="BU493" s="510">
        <v>0</v>
      </c>
      <c r="BV493" s="510">
        <v>0</v>
      </c>
      <c r="BW493" s="510">
        <v>0</v>
      </c>
      <c r="BX493" s="510">
        <v>30000</v>
      </c>
      <c r="BY493" s="1011">
        <v>0</v>
      </c>
      <c r="BZ493" s="510">
        <v>0</v>
      </c>
      <c r="CA493" s="1011">
        <v>0</v>
      </c>
      <c r="CB493" s="510">
        <v>22000</v>
      </c>
      <c r="CC493" s="1011">
        <v>0</v>
      </c>
      <c r="CD493" s="510">
        <v>0</v>
      </c>
      <c r="CE493" s="1011">
        <v>0</v>
      </c>
      <c r="CF493" s="510">
        <v>64464.4</v>
      </c>
      <c r="CG493" s="1011">
        <v>0</v>
      </c>
      <c r="CH493" s="510">
        <v>0</v>
      </c>
      <c r="CI493" s="1011">
        <v>0</v>
      </c>
    </row>
    <row r="494" spans="1:87" x14ac:dyDescent="0.2">
      <c r="A494" s="449">
        <v>111</v>
      </c>
      <c r="B494" s="453">
        <v>19641</v>
      </c>
      <c r="C494" s="454" t="s">
        <v>5080</v>
      </c>
      <c r="D494" s="454" t="s">
        <v>4286</v>
      </c>
      <c r="E494" s="454" t="s">
        <v>5081</v>
      </c>
      <c r="F494" s="454" t="s">
        <v>521</v>
      </c>
      <c r="G494" s="454" t="s">
        <v>5082</v>
      </c>
      <c r="H494" s="455">
        <v>30379339000101</v>
      </c>
      <c r="I494" s="462">
        <v>43227</v>
      </c>
      <c r="J494" s="457">
        <v>59646098</v>
      </c>
      <c r="K494" s="454" t="s">
        <v>5083</v>
      </c>
      <c r="L494" s="458" t="s">
        <v>1446</v>
      </c>
      <c r="M494" s="454" t="s">
        <v>5084</v>
      </c>
      <c r="N494" s="459">
        <v>4832100</v>
      </c>
      <c r="O494" s="460">
        <v>59243637</v>
      </c>
      <c r="P494" s="462">
        <v>93893</v>
      </c>
      <c r="Q494" s="462">
        <v>111</v>
      </c>
      <c r="R494" s="462">
        <v>43934</v>
      </c>
      <c r="S494" s="463">
        <v>540</v>
      </c>
      <c r="T494" s="464">
        <v>3.6</v>
      </c>
      <c r="U494" s="465">
        <v>1944</v>
      </c>
      <c r="V494" s="465">
        <v>16560</v>
      </c>
      <c r="W494" s="466">
        <v>0</v>
      </c>
      <c r="X494" s="467">
        <v>1</v>
      </c>
      <c r="Y494" s="466">
        <v>27756</v>
      </c>
      <c r="Z494" s="468" t="s">
        <v>516</v>
      </c>
      <c r="AA494" s="466">
        <v>110188.8</v>
      </c>
      <c r="AB494" s="466">
        <v>110188.8</v>
      </c>
      <c r="AC494" s="467">
        <v>0</v>
      </c>
      <c r="AD494" s="466">
        <v>0</v>
      </c>
      <c r="AE494" s="468" t="s">
        <v>516</v>
      </c>
      <c r="AF494" s="466">
        <v>0</v>
      </c>
      <c r="AG494" s="466">
        <v>0</v>
      </c>
      <c r="AH494" s="466">
        <v>19443.599999999999</v>
      </c>
      <c r="AI494" s="466">
        <v>5583.72</v>
      </c>
      <c r="AJ494" s="469" t="s">
        <v>1624</v>
      </c>
      <c r="AK494" s="470" t="s">
        <v>1625</v>
      </c>
      <c r="AL494" s="471" t="s">
        <v>5085</v>
      </c>
      <c r="AM494" s="470" t="s">
        <v>13144</v>
      </c>
      <c r="AN494" s="470" t="s">
        <v>1385</v>
      </c>
      <c r="AO494" s="470" t="s">
        <v>14963</v>
      </c>
      <c r="AP494" s="470" t="s">
        <v>5084</v>
      </c>
      <c r="AQ494" s="470" t="s">
        <v>5080</v>
      </c>
      <c r="AR494" s="472" t="s">
        <v>515</v>
      </c>
      <c r="AS494" s="473">
        <v>3.6</v>
      </c>
      <c r="AT494" s="472" t="s">
        <v>4286</v>
      </c>
      <c r="AU494" s="472" t="s">
        <v>420</v>
      </c>
      <c r="AV494" s="472">
        <v>2020</v>
      </c>
      <c r="AW494" s="474" t="s">
        <v>15078</v>
      </c>
      <c r="AX494" s="475" t="s">
        <v>15079</v>
      </c>
      <c r="AY494" s="515">
        <v>1</v>
      </c>
      <c r="AZ494" s="474" t="s">
        <v>15079</v>
      </c>
      <c r="BA494" s="472" t="s">
        <v>4286</v>
      </c>
      <c r="BB494" s="472" t="s">
        <v>1385</v>
      </c>
      <c r="BC494" s="472" t="s">
        <v>1385</v>
      </c>
      <c r="BD494" s="472" t="s">
        <v>1385</v>
      </c>
      <c r="BE494" s="472" t="s">
        <v>1385</v>
      </c>
      <c r="BF494" s="472">
        <v>27756</v>
      </c>
      <c r="BG494" s="472">
        <v>0</v>
      </c>
      <c r="BH494" s="472" t="s">
        <v>1385</v>
      </c>
      <c r="BI494" s="510">
        <v>0</v>
      </c>
      <c r="BJ494" s="510">
        <v>0</v>
      </c>
      <c r="BK494" s="510">
        <v>0</v>
      </c>
      <c r="BL494" s="510">
        <v>0</v>
      </c>
      <c r="BM494" s="510">
        <v>0</v>
      </c>
      <c r="BN494" s="510">
        <v>4000</v>
      </c>
      <c r="BO494" s="510">
        <v>0</v>
      </c>
      <c r="BP494" s="510">
        <v>0</v>
      </c>
      <c r="BQ494" s="510">
        <v>0</v>
      </c>
      <c r="BR494" s="510">
        <v>0</v>
      </c>
      <c r="BS494" s="510">
        <v>0</v>
      </c>
      <c r="BT494" s="510">
        <v>0</v>
      </c>
      <c r="BU494" s="510">
        <v>0</v>
      </c>
      <c r="BV494" s="510">
        <v>0</v>
      </c>
      <c r="BW494" s="510">
        <v>0</v>
      </c>
      <c r="BX494" s="510">
        <v>30000</v>
      </c>
      <c r="BY494" s="1011">
        <v>0</v>
      </c>
      <c r="BZ494" s="510">
        <v>0</v>
      </c>
      <c r="CA494" s="1011">
        <v>0</v>
      </c>
      <c r="CB494" s="510">
        <v>0</v>
      </c>
      <c r="CC494" s="1011">
        <v>0</v>
      </c>
      <c r="CD494" s="510">
        <v>0</v>
      </c>
      <c r="CE494" s="1011">
        <v>0</v>
      </c>
      <c r="CF494" s="510">
        <v>52432.800000000003</v>
      </c>
      <c r="CG494" s="1011">
        <v>0</v>
      </c>
      <c r="CH494" s="510">
        <v>0</v>
      </c>
      <c r="CI494" s="1011">
        <v>0</v>
      </c>
    </row>
    <row r="495" spans="1:87" x14ac:dyDescent="0.2">
      <c r="A495" s="449">
        <v>103</v>
      </c>
      <c r="B495" s="453">
        <v>19642</v>
      </c>
      <c r="C495" s="454" t="s">
        <v>5086</v>
      </c>
      <c r="D495" s="454" t="s">
        <v>1390</v>
      </c>
      <c r="E495" s="454" t="s">
        <v>5087</v>
      </c>
      <c r="F495" s="454" t="s">
        <v>518</v>
      </c>
      <c r="G495" s="454" t="s">
        <v>5088</v>
      </c>
      <c r="H495" s="455">
        <v>30888816000164</v>
      </c>
      <c r="I495" s="462">
        <v>43307</v>
      </c>
      <c r="J495" s="457">
        <v>60141247</v>
      </c>
      <c r="K495" s="454" t="s">
        <v>5089</v>
      </c>
      <c r="L495" s="458">
        <v>250</v>
      </c>
      <c r="M495" s="454" t="s">
        <v>2307</v>
      </c>
      <c r="N495" s="459">
        <v>3584170</v>
      </c>
      <c r="O495" s="460">
        <v>22170754</v>
      </c>
      <c r="P495" s="462">
        <v>50256</v>
      </c>
      <c r="Q495" s="462">
        <v>69</v>
      </c>
      <c r="R495" s="462">
        <v>43934</v>
      </c>
      <c r="S495" s="463">
        <v>340</v>
      </c>
      <c r="T495" s="464">
        <v>3.6</v>
      </c>
      <c r="U495" s="465">
        <v>1224</v>
      </c>
      <c r="V495" s="465">
        <v>13680</v>
      </c>
      <c r="W495" s="466">
        <v>0</v>
      </c>
      <c r="X495" s="467">
        <v>1</v>
      </c>
      <c r="Y495" s="466">
        <v>22356</v>
      </c>
      <c r="Z495" s="468" t="s">
        <v>516</v>
      </c>
      <c r="AA495" s="466">
        <v>100756.8</v>
      </c>
      <c r="AB495" s="466">
        <v>100756.8</v>
      </c>
      <c r="AC495" s="467">
        <v>0</v>
      </c>
      <c r="AD495" s="466">
        <v>0</v>
      </c>
      <c r="AE495" s="468" t="s">
        <v>516</v>
      </c>
      <c r="AF495" s="466">
        <v>0</v>
      </c>
      <c r="AG495" s="466">
        <v>0</v>
      </c>
      <c r="AH495" s="466">
        <v>12195.15</v>
      </c>
      <c r="AI495" s="466">
        <v>6056.87</v>
      </c>
      <c r="AJ495" s="469" t="s">
        <v>1560</v>
      </c>
      <c r="AK495" s="470" t="s">
        <v>1776</v>
      </c>
      <c r="AL495" s="471" t="s">
        <v>5090</v>
      </c>
      <c r="AM495" s="470" t="s">
        <v>5091</v>
      </c>
      <c r="AN495" s="470" t="s">
        <v>5088</v>
      </c>
      <c r="AO495" s="470" t="s">
        <v>5092</v>
      </c>
      <c r="AP495" s="470" t="s">
        <v>2307</v>
      </c>
      <c r="AQ495" s="470" t="s">
        <v>5086</v>
      </c>
      <c r="AR495" s="472" t="s">
        <v>515</v>
      </c>
      <c r="AS495" s="473" t="s">
        <v>1385</v>
      </c>
      <c r="AT495" s="472" t="s">
        <v>1390</v>
      </c>
      <c r="AU495" s="472" t="s">
        <v>420</v>
      </c>
      <c r="AV495" s="472">
        <v>2020</v>
      </c>
      <c r="AW495" s="474" t="s">
        <v>15078</v>
      </c>
      <c r="AX495" s="475" t="s">
        <v>15079</v>
      </c>
      <c r="AY495" s="515">
        <v>1</v>
      </c>
      <c r="AZ495" s="474" t="s">
        <v>15079</v>
      </c>
      <c r="BA495" s="472" t="s">
        <v>1390</v>
      </c>
      <c r="BB495" s="472" t="s">
        <v>1385</v>
      </c>
      <c r="BC495" s="472" t="s">
        <v>1385</v>
      </c>
      <c r="BD495" s="472" t="s">
        <v>1385</v>
      </c>
      <c r="BE495" s="472" t="s">
        <v>1385</v>
      </c>
      <c r="BF495" s="472">
        <v>22356</v>
      </c>
      <c r="BG495" s="472">
        <v>0</v>
      </c>
      <c r="BH495" s="472" t="s">
        <v>1385</v>
      </c>
      <c r="BI495" s="510">
        <v>0</v>
      </c>
      <c r="BJ495" s="510">
        <v>0</v>
      </c>
      <c r="BK495" s="510">
        <v>0</v>
      </c>
      <c r="BL495" s="510">
        <v>0</v>
      </c>
      <c r="BM495" s="510">
        <v>0</v>
      </c>
      <c r="BN495" s="510">
        <v>3500</v>
      </c>
      <c r="BO495" s="510">
        <v>0</v>
      </c>
      <c r="BP495" s="510">
        <v>0</v>
      </c>
      <c r="BQ495" s="510">
        <v>0</v>
      </c>
      <c r="BR495" s="510">
        <v>0</v>
      </c>
      <c r="BS495" s="510">
        <v>0</v>
      </c>
      <c r="BT495" s="510">
        <v>0</v>
      </c>
      <c r="BU495" s="510">
        <v>0</v>
      </c>
      <c r="BV495" s="510">
        <v>0</v>
      </c>
      <c r="BW495" s="510">
        <v>0</v>
      </c>
      <c r="BX495" s="510">
        <v>30000</v>
      </c>
      <c r="BY495" s="1011">
        <v>0</v>
      </c>
      <c r="BZ495" s="510">
        <v>0</v>
      </c>
      <c r="CA495" s="1011">
        <v>0</v>
      </c>
      <c r="CB495" s="510">
        <v>0</v>
      </c>
      <c r="CC495" s="1011">
        <v>0</v>
      </c>
      <c r="CD495" s="510">
        <v>0</v>
      </c>
      <c r="CE495" s="1011">
        <v>0</v>
      </c>
      <c r="CF495" s="510">
        <v>48400.800000000003</v>
      </c>
      <c r="CG495" s="1011">
        <v>0</v>
      </c>
      <c r="CH495" s="510">
        <v>0</v>
      </c>
      <c r="CI495" s="1011">
        <v>0</v>
      </c>
    </row>
    <row r="496" spans="1:87" x14ac:dyDescent="0.2">
      <c r="A496" s="449">
        <v>196</v>
      </c>
      <c r="B496" s="453">
        <v>19643</v>
      </c>
      <c r="C496" s="454" t="s">
        <v>5093</v>
      </c>
      <c r="D496" s="454" t="s">
        <v>4286</v>
      </c>
      <c r="E496" s="454" t="s">
        <v>5094</v>
      </c>
      <c r="F496" s="454" t="s">
        <v>520</v>
      </c>
      <c r="G496" s="454" t="s">
        <v>5095</v>
      </c>
      <c r="H496" s="455">
        <v>30794823000105</v>
      </c>
      <c r="I496" s="462">
        <v>43277</v>
      </c>
      <c r="J496" s="457">
        <v>60078383</v>
      </c>
      <c r="K496" s="454" t="s">
        <v>5096</v>
      </c>
      <c r="L496" s="458">
        <v>113</v>
      </c>
      <c r="M496" s="454" t="s">
        <v>5097</v>
      </c>
      <c r="N496" s="459">
        <v>5760050</v>
      </c>
      <c r="O496" s="460">
        <v>58411199</v>
      </c>
      <c r="P496" s="462">
        <v>308873</v>
      </c>
      <c r="Q496" s="462">
        <v>197</v>
      </c>
      <c r="R496" s="462">
        <v>43969</v>
      </c>
      <c r="S496" s="463">
        <v>91</v>
      </c>
      <c r="T496" s="464">
        <v>3.6</v>
      </c>
      <c r="U496" s="465">
        <v>327.60000000000002</v>
      </c>
      <c r="V496" s="465">
        <v>10800</v>
      </c>
      <c r="W496" s="466">
        <v>0</v>
      </c>
      <c r="X496" s="467">
        <v>1</v>
      </c>
      <c r="Y496" s="466">
        <v>16691.400000000001</v>
      </c>
      <c r="Z496" s="468" t="s">
        <v>516</v>
      </c>
      <c r="AA496" s="466">
        <v>87892.2</v>
      </c>
      <c r="AB496" s="466">
        <v>87892.2</v>
      </c>
      <c r="AC496" s="467">
        <v>0</v>
      </c>
      <c r="AD496" s="466">
        <v>0</v>
      </c>
      <c r="AE496" s="468" t="s">
        <v>516</v>
      </c>
      <c r="AF496" s="466">
        <v>0</v>
      </c>
      <c r="AG496" s="466">
        <v>0</v>
      </c>
      <c r="AH496" s="466">
        <v>16518.009999999998</v>
      </c>
      <c r="AI496" s="466">
        <v>3813.76</v>
      </c>
      <c r="AJ496" s="469" t="s">
        <v>1489</v>
      </c>
      <c r="AK496" s="470" t="s">
        <v>520</v>
      </c>
      <c r="AL496" s="471" t="s">
        <v>5098</v>
      </c>
      <c r="AM496" s="470" t="s">
        <v>13145</v>
      </c>
      <c r="AN496" s="470" t="s">
        <v>5099</v>
      </c>
      <c r="AO496" s="470" t="s">
        <v>280</v>
      </c>
      <c r="AP496" s="470" t="s">
        <v>5100</v>
      </c>
      <c r="AQ496" s="470" t="s">
        <v>5093</v>
      </c>
      <c r="AR496" s="472" t="s">
        <v>515</v>
      </c>
      <c r="AS496" s="473">
        <v>3.6</v>
      </c>
      <c r="AT496" s="472" t="s">
        <v>4286</v>
      </c>
      <c r="AU496" s="472" t="s">
        <v>420</v>
      </c>
      <c r="AV496" s="472">
        <v>2020</v>
      </c>
      <c r="AW496" s="474" t="s">
        <v>15078</v>
      </c>
      <c r="AX496" s="475" t="s">
        <v>15079</v>
      </c>
      <c r="AY496" s="515">
        <v>1</v>
      </c>
      <c r="AZ496" s="474" t="s">
        <v>15079</v>
      </c>
      <c r="BA496" s="472" t="s">
        <v>4286</v>
      </c>
      <c r="BB496" s="472" t="s">
        <v>1385</v>
      </c>
      <c r="BC496" s="472" t="s">
        <v>1385</v>
      </c>
      <c r="BD496" s="472" t="s">
        <v>1385</v>
      </c>
      <c r="BE496" s="472" t="s">
        <v>1385</v>
      </c>
      <c r="BF496" s="472">
        <v>16691.400000000001</v>
      </c>
      <c r="BG496" s="472">
        <v>0</v>
      </c>
      <c r="BH496" s="472" t="s">
        <v>1385</v>
      </c>
      <c r="BI496" s="510">
        <v>0</v>
      </c>
      <c r="BJ496" s="510">
        <v>0</v>
      </c>
      <c r="BK496" s="510">
        <v>0</v>
      </c>
      <c r="BL496" s="510">
        <v>0</v>
      </c>
      <c r="BM496" s="510">
        <v>0</v>
      </c>
      <c r="BN496" s="510">
        <v>2000</v>
      </c>
      <c r="BO496" s="510">
        <v>0</v>
      </c>
      <c r="BP496" s="510">
        <v>0</v>
      </c>
      <c r="BQ496" s="510">
        <v>0</v>
      </c>
      <c r="BR496" s="510">
        <v>0</v>
      </c>
      <c r="BS496" s="510">
        <v>0</v>
      </c>
      <c r="BT496" s="510">
        <v>0</v>
      </c>
      <c r="BU496" s="510">
        <v>0</v>
      </c>
      <c r="BV496" s="510">
        <v>0</v>
      </c>
      <c r="BW496" s="510">
        <v>0</v>
      </c>
      <c r="BX496" s="510">
        <v>30000</v>
      </c>
      <c r="BY496" s="1011">
        <v>0</v>
      </c>
      <c r="BZ496" s="510">
        <v>0</v>
      </c>
      <c r="CA496" s="1011">
        <v>0</v>
      </c>
      <c r="CB496" s="510">
        <v>0</v>
      </c>
      <c r="CC496" s="1011">
        <v>0</v>
      </c>
      <c r="CD496" s="510">
        <v>0</v>
      </c>
      <c r="CE496" s="1011">
        <v>0</v>
      </c>
      <c r="CF496" s="510">
        <v>41200.800000000003</v>
      </c>
      <c r="CG496" s="1011">
        <v>0</v>
      </c>
      <c r="CH496" s="510">
        <v>0</v>
      </c>
      <c r="CI496" s="1011">
        <v>0</v>
      </c>
    </row>
    <row r="497" spans="1:87" x14ac:dyDescent="0.2">
      <c r="A497" s="449">
        <v>112</v>
      </c>
      <c r="B497" s="453">
        <v>19644</v>
      </c>
      <c r="C497" s="454" t="s">
        <v>5101</v>
      </c>
      <c r="D497" s="454" t="s">
        <v>4286</v>
      </c>
      <c r="E497" s="454" t="s">
        <v>5102</v>
      </c>
      <c r="F497" s="454" t="s">
        <v>521</v>
      </c>
      <c r="G497" s="454" t="s">
        <v>5103</v>
      </c>
      <c r="H497" s="455">
        <v>30940211000175</v>
      </c>
      <c r="I497" s="462">
        <v>43297</v>
      </c>
      <c r="J497" s="457">
        <v>60188898</v>
      </c>
      <c r="K497" s="454" t="s">
        <v>5104</v>
      </c>
      <c r="L497" s="458" t="s">
        <v>1446</v>
      </c>
      <c r="M497" s="454" t="s">
        <v>3294</v>
      </c>
      <c r="N497" s="459">
        <v>4853040</v>
      </c>
      <c r="O497" s="460">
        <v>59313167</v>
      </c>
      <c r="P497" s="462">
        <v>99409</v>
      </c>
      <c r="Q497" s="462">
        <v>112</v>
      </c>
      <c r="R497" s="462">
        <v>43934</v>
      </c>
      <c r="S497" s="463">
        <v>171</v>
      </c>
      <c r="T497" s="464">
        <v>3.6</v>
      </c>
      <c r="U497" s="465">
        <v>615.6</v>
      </c>
      <c r="V497" s="465">
        <v>10800</v>
      </c>
      <c r="W497" s="466">
        <v>0</v>
      </c>
      <c r="X497" s="467">
        <v>1</v>
      </c>
      <c r="Y497" s="466">
        <v>17123.400000000001</v>
      </c>
      <c r="Z497" s="468" t="s">
        <v>516</v>
      </c>
      <c r="AA497" s="466">
        <v>92053.8</v>
      </c>
      <c r="AB497" s="466">
        <v>92053.8</v>
      </c>
      <c r="AC497" s="467">
        <v>0</v>
      </c>
      <c r="AD497" s="466">
        <v>0</v>
      </c>
      <c r="AE497" s="468" t="s">
        <v>516</v>
      </c>
      <c r="AF497" s="466">
        <v>0</v>
      </c>
      <c r="AG497" s="466">
        <v>0</v>
      </c>
      <c r="AH497" s="466">
        <v>6949.71</v>
      </c>
      <c r="AI497" s="466">
        <v>11336.6</v>
      </c>
      <c r="AJ497" s="469" t="s">
        <v>1624</v>
      </c>
      <c r="AK497" s="470" t="s">
        <v>1625</v>
      </c>
      <c r="AL497" s="471" t="s">
        <v>5105</v>
      </c>
      <c r="AM497" s="470" t="s">
        <v>13146</v>
      </c>
      <c r="AN497" s="470" t="s">
        <v>1385</v>
      </c>
      <c r="AO497" s="470" t="s">
        <v>14964</v>
      </c>
      <c r="AP497" s="470" t="s">
        <v>5106</v>
      </c>
      <c r="AQ497" s="470" t="s">
        <v>5101</v>
      </c>
      <c r="AR497" s="472" t="s">
        <v>515</v>
      </c>
      <c r="AS497" s="473">
        <v>3.6</v>
      </c>
      <c r="AT497" s="472" t="s">
        <v>4286</v>
      </c>
      <c r="AU497" s="472" t="s">
        <v>420</v>
      </c>
      <c r="AV497" s="472">
        <v>2020</v>
      </c>
      <c r="AW497" s="474" t="s">
        <v>15078</v>
      </c>
      <c r="AX497" s="475" t="s">
        <v>15079</v>
      </c>
      <c r="AY497" s="515">
        <v>1</v>
      </c>
      <c r="AZ497" s="474" t="s">
        <v>15079</v>
      </c>
      <c r="BA497" s="472" t="s">
        <v>4286</v>
      </c>
      <c r="BB497" s="472" t="s">
        <v>1385</v>
      </c>
      <c r="BC497" s="472" t="s">
        <v>1385</v>
      </c>
      <c r="BD497" s="472" t="s">
        <v>1385</v>
      </c>
      <c r="BE497" s="472" t="s">
        <v>1385</v>
      </c>
      <c r="BF497" s="472">
        <v>17123.400000000001</v>
      </c>
      <c r="BG497" s="472">
        <v>0</v>
      </c>
      <c r="BH497" s="472" t="s">
        <v>1385</v>
      </c>
      <c r="BI497" s="510">
        <v>0</v>
      </c>
      <c r="BJ497" s="510">
        <v>0</v>
      </c>
      <c r="BK497" s="510">
        <v>0</v>
      </c>
      <c r="BL497" s="510">
        <v>0</v>
      </c>
      <c r="BM497" s="510">
        <v>0</v>
      </c>
      <c r="BN497" s="510">
        <v>3000</v>
      </c>
      <c r="BO497" s="510">
        <v>0</v>
      </c>
      <c r="BP497" s="510">
        <v>0</v>
      </c>
      <c r="BQ497" s="510">
        <v>0</v>
      </c>
      <c r="BR497" s="510">
        <v>0</v>
      </c>
      <c r="BS497" s="510">
        <v>0</v>
      </c>
      <c r="BT497" s="510">
        <v>0</v>
      </c>
      <c r="BU497" s="510">
        <v>0</v>
      </c>
      <c r="BV497" s="510">
        <v>0</v>
      </c>
      <c r="BW497" s="510">
        <v>0</v>
      </c>
      <c r="BX497" s="510">
        <v>30000</v>
      </c>
      <c r="BY497" s="1011">
        <v>0</v>
      </c>
      <c r="BZ497" s="510">
        <v>0</v>
      </c>
      <c r="CA497" s="1011">
        <v>0</v>
      </c>
      <c r="CB497" s="510">
        <v>0</v>
      </c>
      <c r="CC497" s="1011">
        <v>0</v>
      </c>
      <c r="CD497" s="510">
        <v>0</v>
      </c>
      <c r="CE497" s="1011">
        <v>0</v>
      </c>
      <c r="CF497" s="510">
        <v>44930.400000000001</v>
      </c>
      <c r="CG497" s="1011">
        <v>0</v>
      </c>
      <c r="CH497" s="510">
        <v>0</v>
      </c>
      <c r="CI497" s="1011">
        <v>0</v>
      </c>
    </row>
    <row r="498" spans="1:87" x14ac:dyDescent="0.2">
      <c r="A498" s="449">
        <v>197</v>
      </c>
      <c r="B498" s="453">
        <v>19645</v>
      </c>
      <c r="C498" s="454" t="s">
        <v>5107</v>
      </c>
      <c r="D498" s="454" t="s">
        <v>4286</v>
      </c>
      <c r="E498" s="454" t="s">
        <v>5108</v>
      </c>
      <c r="F498" s="454" t="s">
        <v>520</v>
      </c>
      <c r="G498" s="454" t="s">
        <v>5109</v>
      </c>
      <c r="H498" s="455">
        <v>30689120000109</v>
      </c>
      <c r="I498" s="462">
        <v>43264</v>
      </c>
      <c r="J498" s="457">
        <v>59938773</v>
      </c>
      <c r="K498" s="454" t="s">
        <v>5110</v>
      </c>
      <c r="L498" s="458" t="s">
        <v>1446</v>
      </c>
      <c r="M498" s="454" t="s">
        <v>5111</v>
      </c>
      <c r="N498" s="459">
        <v>5886140</v>
      </c>
      <c r="O498" s="460">
        <v>58210883</v>
      </c>
      <c r="P498" s="462">
        <v>309330</v>
      </c>
      <c r="Q498" s="462">
        <v>196</v>
      </c>
      <c r="R498" s="462">
        <v>43983</v>
      </c>
      <c r="S498" s="463">
        <v>135</v>
      </c>
      <c r="T498" s="464">
        <v>3.6</v>
      </c>
      <c r="U498" s="465">
        <v>486</v>
      </c>
      <c r="V498" s="465">
        <v>10800</v>
      </c>
      <c r="W498" s="466">
        <v>0</v>
      </c>
      <c r="X498" s="467">
        <v>1</v>
      </c>
      <c r="Y498" s="466">
        <v>16929</v>
      </c>
      <c r="Z498" s="468" t="s">
        <v>516</v>
      </c>
      <c r="AA498" s="466">
        <v>88403.4</v>
      </c>
      <c r="AB498" s="466">
        <v>88403.4</v>
      </c>
      <c r="AC498" s="467">
        <v>0</v>
      </c>
      <c r="AD498" s="466">
        <v>0</v>
      </c>
      <c r="AE498" s="468" t="s">
        <v>516</v>
      </c>
      <c r="AF498" s="466">
        <v>0</v>
      </c>
      <c r="AG498" s="466">
        <v>0</v>
      </c>
      <c r="AH498" s="466">
        <v>11449.19</v>
      </c>
      <c r="AI498" s="466">
        <v>3161.74</v>
      </c>
      <c r="AJ498" s="469" t="s">
        <v>1489</v>
      </c>
      <c r="AK498" s="470" t="s">
        <v>520</v>
      </c>
      <c r="AL498" s="471" t="s">
        <v>5112</v>
      </c>
      <c r="AM498" s="470" t="s">
        <v>13147</v>
      </c>
      <c r="AN498" s="470" t="s">
        <v>5113</v>
      </c>
      <c r="AO498" s="470" t="s">
        <v>280</v>
      </c>
      <c r="AP498" s="470" t="s">
        <v>5114</v>
      </c>
      <c r="AQ498" s="470" t="s">
        <v>5107</v>
      </c>
      <c r="AR498" s="472" t="s">
        <v>515</v>
      </c>
      <c r="AS498" s="473">
        <v>3.6</v>
      </c>
      <c r="AT498" s="472" t="s">
        <v>4286</v>
      </c>
      <c r="AU498" s="472" t="s">
        <v>420</v>
      </c>
      <c r="AV498" s="472">
        <v>2020</v>
      </c>
      <c r="AW498" s="474" t="s">
        <v>15078</v>
      </c>
      <c r="AX498" s="475" t="s">
        <v>15079</v>
      </c>
      <c r="AY498" s="515">
        <v>1</v>
      </c>
      <c r="AZ498" s="474" t="s">
        <v>15079</v>
      </c>
      <c r="BA498" s="472" t="s">
        <v>4286</v>
      </c>
      <c r="BB498" s="472" t="s">
        <v>1385</v>
      </c>
      <c r="BC498" s="472" t="s">
        <v>1385</v>
      </c>
      <c r="BD498" s="472" t="s">
        <v>1385</v>
      </c>
      <c r="BE498" s="472" t="s">
        <v>1385</v>
      </c>
      <c r="BF498" s="472">
        <v>16929</v>
      </c>
      <c r="BG498" s="472">
        <v>0</v>
      </c>
      <c r="BH498" s="472" t="s">
        <v>1385</v>
      </c>
      <c r="BI498" s="510">
        <v>0</v>
      </c>
      <c r="BJ498" s="510">
        <v>0</v>
      </c>
      <c r="BK498" s="510">
        <v>0</v>
      </c>
      <c r="BL498" s="510">
        <v>0</v>
      </c>
      <c r="BM498" s="510">
        <v>0</v>
      </c>
      <c r="BN498" s="510">
        <v>2000</v>
      </c>
      <c r="BO498" s="510">
        <v>0</v>
      </c>
      <c r="BP498" s="510">
        <v>0</v>
      </c>
      <c r="BQ498" s="510">
        <v>0</v>
      </c>
      <c r="BR498" s="510">
        <v>0</v>
      </c>
      <c r="BS498" s="510">
        <v>0</v>
      </c>
      <c r="BT498" s="510">
        <v>0</v>
      </c>
      <c r="BU498" s="510">
        <v>0</v>
      </c>
      <c r="BV498" s="510">
        <v>0</v>
      </c>
      <c r="BW498" s="510">
        <v>0</v>
      </c>
      <c r="BX498" s="510">
        <v>30000</v>
      </c>
      <c r="BY498" s="1011">
        <v>0</v>
      </c>
      <c r="BZ498" s="510">
        <v>0</v>
      </c>
      <c r="CA498" s="1011">
        <v>0</v>
      </c>
      <c r="CB498" s="510">
        <v>0</v>
      </c>
      <c r="CC498" s="1011">
        <v>0</v>
      </c>
      <c r="CD498" s="510">
        <v>0</v>
      </c>
      <c r="CE498" s="1011">
        <v>0</v>
      </c>
      <c r="CF498" s="510">
        <v>41474.400000000001</v>
      </c>
      <c r="CG498" s="1011">
        <v>0</v>
      </c>
      <c r="CH498" s="510">
        <v>0</v>
      </c>
      <c r="CI498" s="1011">
        <v>0</v>
      </c>
    </row>
    <row r="499" spans="1:87" x14ac:dyDescent="0.2">
      <c r="A499" s="449">
        <v>113</v>
      </c>
      <c r="B499" s="453">
        <v>19646</v>
      </c>
      <c r="C499" s="454" t="s">
        <v>5115</v>
      </c>
      <c r="D499" s="454" t="s">
        <v>1390</v>
      </c>
      <c r="E499" s="454" t="s">
        <v>5116</v>
      </c>
      <c r="F499" s="454" t="s">
        <v>521</v>
      </c>
      <c r="G499" s="454" t="s">
        <v>5117</v>
      </c>
      <c r="H499" s="455">
        <v>30800337000144</v>
      </c>
      <c r="I499" s="462">
        <v>43278</v>
      </c>
      <c r="J499" s="457">
        <v>60080825</v>
      </c>
      <c r="K499" s="454" t="s">
        <v>5118</v>
      </c>
      <c r="L499" s="458">
        <v>41</v>
      </c>
      <c r="M499" s="454" t="s">
        <v>5119</v>
      </c>
      <c r="N499" s="459">
        <v>4852202</v>
      </c>
      <c r="O499" s="460">
        <v>55283370</v>
      </c>
      <c r="P499" s="462">
        <v>81607</v>
      </c>
      <c r="Q499" s="462">
        <v>114</v>
      </c>
      <c r="R499" s="462">
        <v>43934</v>
      </c>
      <c r="S499" s="463">
        <v>264</v>
      </c>
      <c r="T499" s="464">
        <v>3.6</v>
      </c>
      <c r="U499" s="465">
        <v>950.4</v>
      </c>
      <c r="V499" s="465">
        <v>12240</v>
      </c>
      <c r="W499" s="466">
        <v>0</v>
      </c>
      <c r="X499" s="467">
        <v>1</v>
      </c>
      <c r="Y499" s="466">
        <v>19785.599999999999</v>
      </c>
      <c r="Z499" s="468" t="s">
        <v>516</v>
      </c>
      <c r="AA499" s="466">
        <v>105134.39999999999</v>
      </c>
      <c r="AB499" s="466">
        <v>105134.39999999999</v>
      </c>
      <c r="AC499" s="467">
        <v>0</v>
      </c>
      <c r="AD499" s="466">
        <v>0</v>
      </c>
      <c r="AE499" s="468" t="s">
        <v>516</v>
      </c>
      <c r="AF499" s="466">
        <v>0</v>
      </c>
      <c r="AG499" s="466">
        <v>0</v>
      </c>
      <c r="AH499" s="466">
        <v>9669.2199999999993</v>
      </c>
      <c r="AI499" s="466">
        <v>2732.32</v>
      </c>
      <c r="AJ499" s="469" t="s">
        <v>1624</v>
      </c>
      <c r="AK499" s="470" t="s">
        <v>1625</v>
      </c>
      <c r="AL499" s="471" t="s">
        <v>5120</v>
      </c>
      <c r="AM499" s="470" t="s">
        <v>13148</v>
      </c>
      <c r="AN499" s="470" t="s">
        <v>1385</v>
      </c>
      <c r="AO499" s="470" t="s">
        <v>14965</v>
      </c>
      <c r="AP499" s="470" t="s">
        <v>5122</v>
      </c>
      <c r="AQ499" s="470" t="s">
        <v>5115</v>
      </c>
      <c r="AR499" s="472" t="s">
        <v>515</v>
      </c>
      <c r="AS499" s="473" t="s">
        <v>1385</v>
      </c>
      <c r="AT499" s="472" t="s">
        <v>1390</v>
      </c>
      <c r="AU499" s="472" t="s">
        <v>420</v>
      </c>
      <c r="AV499" s="472">
        <v>2020</v>
      </c>
      <c r="AW499" s="474" t="s">
        <v>15078</v>
      </c>
      <c r="AX499" s="475" t="s">
        <v>15079</v>
      </c>
      <c r="AY499" s="515">
        <v>1</v>
      </c>
      <c r="AZ499" s="474" t="s">
        <v>15079</v>
      </c>
      <c r="BA499" s="472" t="s">
        <v>1390</v>
      </c>
      <c r="BB499" s="472" t="s">
        <v>1385</v>
      </c>
      <c r="BC499" s="472" t="s">
        <v>1385</v>
      </c>
      <c r="BD499" s="472" t="s">
        <v>1385</v>
      </c>
      <c r="BE499" s="472" t="s">
        <v>1385</v>
      </c>
      <c r="BF499" s="472">
        <v>19785.599999999999</v>
      </c>
      <c r="BG499" s="472">
        <v>0</v>
      </c>
      <c r="BH499" s="472" t="s">
        <v>1385</v>
      </c>
      <c r="BI499" s="510">
        <v>0</v>
      </c>
      <c r="BJ499" s="510">
        <v>0</v>
      </c>
      <c r="BK499" s="510">
        <v>0</v>
      </c>
      <c r="BL499" s="510">
        <v>0</v>
      </c>
      <c r="BM499" s="510">
        <v>0</v>
      </c>
      <c r="BN499" s="510">
        <v>3500</v>
      </c>
      <c r="BO499" s="510">
        <v>0</v>
      </c>
      <c r="BP499" s="510">
        <v>0</v>
      </c>
      <c r="BQ499" s="510">
        <v>0</v>
      </c>
      <c r="BR499" s="510">
        <v>0</v>
      </c>
      <c r="BS499" s="510">
        <v>0</v>
      </c>
      <c r="BT499" s="510">
        <v>0</v>
      </c>
      <c r="BU499" s="510">
        <v>0</v>
      </c>
      <c r="BV499" s="510">
        <v>0</v>
      </c>
      <c r="BW499" s="510">
        <v>0</v>
      </c>
      <c r="BX499" s="510">
        <v>30000</v>
      </c>
      <c r="BY499" s="1011">
        <v>0</v>
      </c>
      <c r="BZ499" s="510">
        <v>0</v>
      </c>
      <c r="CA499" s="1011">
        <v>0</v>
      </c>
      <c r="CB499" s="510">
        <v>0</v>
      </c>
      <c r="CC499" s="1011">
        <v>0</v>
      </c>
      <c r="CD499" s="510">
        <v>0</v>
      </c>
      <c r="CE499" s="1011">
        <v>0</v>
      </c>
      <c r="CF499" s="510">
        <v>55348.800000000003</v>
      </c>
      <c r="CG499" s="1011">
        <v>0</v>
      </c>
      <c r="CH499" s="510">
        <v>0</v>
      </c>
      <c r="CI499" s="1011">
        <v>0</v>
      </c>
    </row>
    <row r="500" spans="1:87" x14ac:dyDescent="0.2">
      <c r="A500" s="449">
        <v>114</v>
      </c>
      <c r="B500" s="453">
        <v>19647</v>
      </c>
      <c r="C500" s="454" t="s">
        <v>5123</v>
      </c>
      <c r="D500" s="454" t="s">
        <v>1390</v>
      </c>
      <c r="E500" s="454" t="s">
        <v>5124</v>
      </c>
      <c r="F500" s="454" t="s">
        <v>521</v>
      </c>
      <c r="G500" s="454" t="s">
        <v>5125</v>
      </c>
      <c r="H500" s="455">
        <v>30968975000179</v>
      </c>
      <c r="I500" s="462">
        <v>43299</v>
      </c>
      <c r="J500" s="457">
        <v>60228660</v>
      </c>
      <c r="K500" s="454" t="s">
        <v>5126</v>
      </c>
      <c r="L500" s="458">
        <v>13</v>
      </c>
      <c r="M500" s="454" t="s">
        <v>5127</v>
      </c>
      <c r="N500" s="459">
        <v>4865010</v>
      </c>
      <c r="O500" s="460">
        <v>59220076</v>
      </c>
      <c r="P500" s="462">
        <v>96515</v>
      </c>
      <c r="Q500" s="462">
        <v>113</v>
      </c>
      <c r="R500" s="462">
        <v>43934</v>
      </c>
      <c r="S500" s="463">
        <v>212</v>
      </c>
      <c r="T500" s="464">
        <v>3.6</v>
      </c>
      <c r="U500" s="465">
        <v>763.2</v>
      </c>
      <c r="V500" s="465">
        <v>12240</v>
      </c>
      <c r="W500" s="466">
        <v>0</v>
      </c>
      <c r="X500" s="467">
        <v>1</v>
      </c>
      <c r="Y500" s="466">
        <v>19504.8</v>
      </c>
      <c r="Z500" s="468" t="s">
        <v>516</v>
      </c>
      <c r="AA500" s="466">
        <v>105278.39999999999</v>
      </c>
      <c r="AB500" s="466">
        <v>105278.39999999999</v>
      </c>
      <c r="AC500" s="467">
        <v>0</v>
      </c>
      <c r="AD500" s="466">
        <v>0</v>
      </c>
      <c r="AE500" s="468" t="s">
        <v>516</v>
      </c>
      <c r="AF500" s="466">
        <v>0</v>
      </c>
      <c r="AG500" s="466">
        <v>0</v>
      </c>
      <c r="AH500" s="466">
        <v>11694.18</v>
      </c>
      <c r="AI500" s="466">
        <v>3317.1</v>
      </c>
      <c r="AJ500" s="469" t="s">
        <v>1657</v>
      </c>
      <c r="AK500" s="470" t="s">
        <v>3495</v>
      </c>
      <c r="AL500" s="471" t="s">
        <v>5128</v>
      </c>
      <c r="AM500" s="470" t="s">
        <v>13149</v>
      </c>
      <c r="AN500" s="470" t="s">
        <v>1385</v>
      </c>
      <c r="AO500" s="470" t="s">
        <v>14966</v>
      </c>
      <c r="AP500" s="470" t="s">
        <v>5127</v>
      </c>
      <c r="AQ500" s="470" t="s">
        <v>5123</v>
      </c>
      <c r="AR500" s="472" t="s">
        <v>515</v>
      </c>
      <c r="AS500" s="473" t="s">
        <v>1385</v>
      </c>
      <c r="AT500" s="472" t="s">
        <v>1390</v>
      </c>
      <c r="AU500" s="472" t="s">
        <v>420</v>
      </c>
      <c r="AV500" s="472">
        <v>2020</v>
      </c>
      <c r="AW500" s="474" t="s">
        <v>15078</v>
      </c>
      <c r="AX500" s="475" t="s">
        <v>15079</v>
      </c>
      <c r="AY500" s="515">
        <v>1</v>
      </c>
      <c r="AZ500" s="474" t="s">
        <v>15079</v>
      </c>
      <c r="BA500" s="472" t="s">
        <v>1390</v>
      </c>
      <c r="BB500" s="472" t="s">
        <v>1385</v>
      </c>
      <c r="BC500" s="472" t="s">
        <v>1385</v>
      </c>
      <c r="BD500" s="472" t="s">
        <v>1385</v>
      </c>
      <c r="BE500" s="472" t="s">
        <v>1385</v>
      </c>
      <c r="BF500" s="472">
        <v>19504.8</v>
      </c>
      <c r="BG500" s="472">
        <v>0</v>
      </c>
      <c r="BH500" s="472" t="s">
        <v>1385</v>
      </c>
      <c r="BI500" s="510">
        <v>0</v>
      </c>
      <c r="BJ500" s="510">
        <v>0</v>
      </c>
      <c r="BK500" s="510">
        <v>0</v>
      </c>
      <c r="BL500" s="510">
        <v>0</v>
      </c>
      <c r="BM500" s="510">
        <v>0</v>
      </c>
      <c r="BN500" s="510">
        <v>3000</v>
      </c>
      <c r="BO500" s="510">
        <v>0</v>
      </c>
      <c r="BP500" s="510">
        <v>0</v>
      </c>
      <c r="BQ500" s="510">
        <v>0</v>
      </c>
      <c r="BR500" s="510">
        <v>0</v>
      </c>
      <c r="BS500" s="510">
        <v>0</v>
      </c>
      <c r="BT500" s="510">
        <v>0</v>
      </c>
      <c r="BU500" s="510">
        <v>0</v>
      </c>
      <c r="BV500" s="510">
        <v>0</v>
      </c>
      <c r="BW500" s="510">
        <v>0</v>
      </c>
      <c r="BX500" s="510">
        <v>30000</v>
      </c>
      <c r="BY500" s="1011">
        <v>0</v>
      </c>
      <c r="BZ500" s="510">
        <v>0</v>
      </c>
      <c r="CA500" s="1011">
        <v>0</v>
      </c>
      <c r="CB500" s="510">
        <v>0</v>
      </c>
      <c r="CC500" s="1011">
        <v>0</v>
      </c>
      <c r="CD500" s="510">
        <v>0</v>
      </c>
      <c r="CE500" s="1011">
        <v>0</v>
      </c>
      <c r="CF500" s="510">
        <v>55773.599999999999</v>
      </c>
      <c r="CG500" s="1011">
        <v>0</v>
      </c>
      <c r="CH500" s="510">
        <v>0</v>
      </c>
      <c r="CI500" s="1011">
        <v>0</v>
      </c>
    </row>
    <row r="501" spans="1:87" x14ac:dyDescent="0.2">
      <c r="A501" s="449">
        <v>198</v>
      </c>
      <c r="B501" s="453">
        <v>19648</v>
      </c>
      <c r="C501" s="454" t="s">
        <v>5129</v>
      </c>
      <c r="D501" s="454" t="s">
        <v>4286</v>
      </c>
      <c r="E501" s="454" t="s">
        <v>5130</v>
      </c>
      <c r="F501" s="454" t="s">
        <v>520</v>
      </c>
      <c r="G501" s="454" t="s">
        <v>5131</v>
      </c>
      <c r="H501" s="455">
        <v>33138357000190</v>
      </c>
      <c r="I501" s="462">
        <v>43549</v>
      </c>
      <c r="J501" s="457" t="s">
        <v>280</v>
      </c>
      <c r="K501" s="454" t="s">
        <v>5132</v>
      </c>
      <c r="L501" s="458">
        <v>220</v>
      </c>
      <c r="M501" s="454" t="s">
        <v>5133</v>
      </c>
      <c r="N501" s="459">
        <v>4940070</v>
      </c>
      <c r="O501" s="460">
        <v>58311529</v>
      </c>
      <c r="P501" s="462">
        <v>309306</v>
      </c>
      <c r="Q501" s="462">
        <v>198</v>
      </c>
      <c r="R501" s="462">
        <v>43969</v>
      </c>
      <c r="S501" s="463">
        <v>318</v>
      </c>
      <c r="T501" s="464">
        <v>3.6</v>
      </c>
      <c r="U501" s="465">
        <v>1144.8</v>
      </c>
      <c r="V501" s="465">
        <v>13680</v>
      </c>
      <c r="W501" s="466">
        <v>0</v>
      </c>
      <c r="X501" s="467">
        <v>1</v>
      </c>
      <c r="Y501" s="466">
        <v>22237.200000000001</v>
      </c>
      <c r="Z501" s="468" t="s">
        <v>516</v>
      </c>
      <c r="AA501" s="466">
        <v>96850.8</v>
      </c>
      <c r="AB501" s="466">
        <v>96850.8</v>
      </c>
      <c r="AC501" s="467">
        <v>0</v>
      </c>
      <c r="AD501" s="466">
        <v>0</v>
      </c>
      <c r="AE501" s="468" t="s">
        <v>516</v>
      </c>
      <c r="AF501" s="466">
        <v>0</v>
      </c>
      <c r="AG501" s="466">
        <v>0</v>
      </c>
      <c r="AH501" s="466">
        <v>3499.46</v>
      </c>
      <c r="AI501" s="466">
        <v>674.96</v>
      </c>
      <c r="AJ501" s="469" t="s">
        <v>1470</v>
      </c>
      <c r="AK501" s="470" t="s">
        <v>3856</v>
      </c>
      <c r="AL501" s="471" t="s">
        <v>5134</v>
      </c>
      <c r="AM501" s="470" t="s">
        <v>5135</v>
      </c>
      <c r="AN501" s="470" t="s">
        <v>5131</v>
      </c>
      <c r="AO501" s="470" t="s">
        <v>5136</v>
      </c>
      <c r="AP501" s="470" t="s">
        <v>5137</v>
      </c>
      <c r="AQ501" s="470" t="s">
        <v>5129</v>
      </c>
      <c r="AR501" s="472" t="s">
        <v>515</v>
      </c>
      <c r="AS501" s="473">
        <v>3.6</v>
      </c>
      <c r="AT501" s="472" t="s">
        <v>4286</v>
      </c>
      <c r="AU501" s="472" t="s">
        <v>420</v>
      </c>
      <c r="AV501" s="472">
        <v>2020</v>
      </c>
      <c r="AW501" s="474" t="s">
        <v>15078</v>
      </c>
      <c r="AX501" s="475" t="s">
        <v>15079</v>
      </c>
      <c r="AY501" s="515">
        <v>1</v>
      </c>
      <c r="AZ501" s="474" t="s">
        <v>15079</v>
      </c>
      <c r="BA501" s="472" t="s">
        <v>4286</v>
      </c>
      <c r="BB501" s="472" t="s">
        <v>1385</v>
      </c>
      <c r="BC501" s="472" t="s">
        <v>1385</v>
      </c>
      <c r="BD501" s="472" t="s">
        <v>1385</v>
      </c>
      <c r="BE501" s="472" t="s">
        <v>1385</v>
      </c>
      <c r="BF501" s="472">
        <v>22237.200000000001</v>
      </c>
      <c r="BG501" s="472">
        <v>0</v>
      </c>
      <c r="BH501" s="472" t="s">
        <v>1385</v>
      </c>
      <c r="BI501" s="510">
        <v>0</v>
      </c>
      <c r="BJ501" s="510">
        <v>0</v>
      </c>
      <c r="BK501" s="510">
        <v>0</v>
      </c>
      <c r="BL501" s="510">
        <v>0</v>
      </c>
      <c r="BM501" s="510">
        <v>0</v>
      </c>
      <c r="BN501" s="510">
        <v>3500</v>
      </c>
      <c r="BO501" s="510">
        <v>0</v>
      </c>
      <c r="BP501" s="510">
        <v>0</v>
      </c>
      <c r="BQ501" s="510">
        <v>0</v>
      </c>
      <c r="BR501" s="510">
        <v>0</v>
      </c>
      <c r="BS501" s="510">
        <v>0</v>
      </c>
      <c r="BT501" s="510">
        <v>0</v>
      </c>
      <c r="BU501" s="510">
        <v>0</v>
      </c>
      <c r="BV501" s="510">
        <v>0</v>
      </c>
      <c r="BW501" s="510">
        <v>0</v>
      </c>
      <c r="BX501" s="510">
        <v>30000</v>
      </c>
      <c r="BY501" s="1011">
        <v>0</v>
      </c>
      <c r="BZ501" s="510">
        <v>0</v>
      </c>
      <c r="CA501" s="1011">
        <v>0</v>
      </c>
      <c r="CB501" s="510">
        <v>0</v>
      </c>
      <c r="CC501" s="1011">
        <v>0</v>
      </c>
      <c r="CD501" s="510">
        <v>0</v>
      </c>
      <c r="CE501" s="1011">
        <v>0</v>
      </c>
      <c r="CF501" s="510">
        <v>44613.599999999999</v>
      </c>
      <c r="CG501" s="1011">
        <v>0</v>
      </c>
      <c r="CH501" s="510">
        <v>0</v>
      </c>
      <c r="CI501" s="1011">
        <v>0</v>
      </c>
    </row>
    <row r="502" spans="1:87" x14ac:dyDescent="0.2">
      <c r="A502" s="449">
        <v>199</v>
      </c>
      <c r="B502" s="453">
        <v>19649</v>
      </c>
      <c r="C502" s="454" t="s">
        <v>5138</v>
      </c>
      <c r="D502" s="454" t="s">
        <v>4286</v>
      </c>
      <c r="E502" s="454" t="s">
        <v>5139</v>
      </c>
      <c r="F502" s="454" t="s">
        <v>520</v>
      </c>
      <c r="G502" s="454" t="s">
        <v>5140</v>
      </c>
      <c r="H502" s="455">
        <v>33414051000119</v>
      </c>
      <c r="I502" s="462">
        <v>43522</v>
      </c>
      <c r="J502" s="457">
        <v>0</v>
      </c>
      <c r="K502" s="454" t="s">
        <v>5141</v>
      </c>
      <c r="L502" s="458">
        <v>240</v>
      </c>
      <c r="M502" s="454" t="s">
        <v>5142</v>
      </c>
      <c r="N502" s="459">
        <v>5752001</v>
      </c>
      <c r="O502" s="460">
        <v>58410668</v>
      </c>
      <c r="P502" s="462">
        <v>309209</v>
      </c>
      <c r="Q502" s="462">
        <v>199</v>
      </c>
      <c r="R502" s="462">
        <v>43969</v>
      </c>
      <c r="S502" s="463">
        <v>256</v>
      </c>
      <c r="T502" s="464">
        <v>3.6</v>
      </c>
      <c r="U502" s="465">
        <v>921.6</v>
      </c>
      <c r="V502" s="465">
        <v>12240</v>
      </c>
      <c r="W502" s="466">
        <v>0</v>
      </c>
      <c r="X502" s="467">
        <v>1</v>
      </c>
      <c r="Y502" s="466">
        <v>19742.400000000001</v>
      </c>
      <c r="Z502" s="468" t="s">
        <v>516</v>
      </c>
      <c r="AA502" s="466">
        <v>91036.800000000003</v>
      </c>
      <c r="AB502" s="466">
        <v>91036.800000000003</v>
      </c>
      <c r="AC502" s="467">
        <v>0</v>
      </c>
      <c r="AD502" s="466">
        <v>0</v>
      </c>
      <c r="AE502" s="468" t="s">
        <v>516</v>
      </c>
      <c r="AF502" s="466">
        <v>0</v>
      </c>
      <c r="AG502" s="466">
        <v>0</v>
      </c>
      <c r="AH502" s="466">
        <v>8669.15</v>
      </c>
      <c r="AI502" s="466">
        <v>1961.12</v>
      </c>
      <c r="AJ502" s="469" t="s">
        <v>5143</v>
      </c>
      <c r="AK502" s="470" t="s">
        <v>5144</v>
      </c>
      <c r="AL502" s="471" t="s">
        <v>5145</v>
      </c>
      <c r="AM502" s="470" t="s">
        <v>5146</v>
      </c>
      <c r="AN502" s="470" t="s">
        <v>5147</v>
      </c>
      <c r="AO502" s="470" t="s">
        <v>5148</v>
      </c>
      <c r="AP502" s="470" t="s">
        <v>5149</v>
      </c>
      <c r="AQ502" s="470" t="s">
        <v>5138</v>
      </c>
      <c r="AR502" s="472" t="s">
        <v>515</v>
      </c>
      <c r="AS502" s="473">
        <v>3.6</v>
      </c>
      <c r="AT502" s="472" t="s">
        <v>4286</v>
      </c>
      <c r="AU502" s="472" t="s">
        <v>420</v>
      </c>
      <c r="AV502" s="472">
        <v>2020</v>
      </c>
      <c r="AW502" s="474" t="s">
        <v>15078</v>
      </c>
      <c r="AX502" s="475" t="s">
        <v>15079</v>
      </c>
      <c r="AY502" s="515">
        <v>1</v>
      </c>
      <c r="AZ502" s="474" t="s">
        <v>15079</v>
      </c>
      <c r="BA502" s="472" t="s">
        <v>4286</v>
      </c>
      <c r="BB502" s="472" t="s">
        <v>1385</v>
      </c>
      <c r="BC502" s="472" t="s">
        <v>1385</v>
      </c>
      <c r="BD502" s="472" t="s">
        <v>1385</v>
      </c>
      <c r="BE502" s="472" t="s">
        <v>1385</v>
      </c>
      <c r="BF502" s="472">
        <v>19742.400000000001</v>
      </c>
      <c r="BG502" s="472">
        <v>0</v>
      </c>
      <c r="BH502" s="472" t="s">
        <v>1385</v>
      </c>
      <c r="BI502" s="510">
        <v>0</v>
      </c>
      <c r="BJ502" s="510">
        <v>0</v>
      </c>
      <c r="BK502" s="510">
        <v>0</v>
      </c>
      <c r="BL502" s="510">
        <v>0</v>
      </c>
      <c r="BM502" s="510">
        <v>0</v>
      </c>
      <c r="BN502" s="510">
        <v>3500</v>
      </c>
      <c r="BO502" s="510">
        <v>0</v>
      </c>
      <c r="BP502" s="510">
        <v>0</v>
      </c>
      <c r="BQ502" s="510">
        <v>0</v>
      </c>
      <c r="BR502" s="510">
        <v>0</v>
      </c>
      <c r="BS502" s="510">
        <v>0</v>
      </c>
      <c r="BT502" s="510">
        <v>0</v>
      </c>
      <c r="BU502" s="510">
        <v>0</v>
      </c>
      <c r="BV502" s="510">
        <v>0</v>
      </c>
      <c r="BW502" s="510">
        <v>0</v>
      </c>
      <c r="BX502" s="510">
        <v>30000</v>
      </c>
      <c r="BY502" s="510">
        <v>0</v>
      </c>
      <c r="BZ502" s="510">
        <v>0</v>
      </c>
      <c r="CA502" s="510">
        <v>0</v>
      </c>
      <c r="CB502" s="510">
        <v>0</v>
      </c>
      <c r="CC502" s="510">
        <v>0</v>
      </c>
      <c r="CD502" s="510">
        <v>0</v>
      </c>
      <c r="CE502" s="510">
        <v>0</v>
      </c>
      <c r="CF502" s="510">
        <v>41294.400000000001</v>
      </c>
      <c r="CG502" s="510">
        <v>0</v>
      </c>
      <c r="CH502" s="510">
        <v>0</v>
      </c>
      <c r="CI502" s="510">
        <v>0</v>
      </c>
    </row>
    <row r="503" spans="1:87" x14ac:dyDescent="0.2">
      <c r="A503" s="449">
        <v>139</v>
      </c>
      <c r="B503" s="453">
        <v>19650</v>
      </c>
      <c r="C503" s="454" t="s">
        <v>5150</v>
      </c>
      <c r="D503" s="454" t="s">
        <v>1390</v>
      </c>
      <c r="E503" s="454" t="s">
        <v>5151</v>
      </c>
      <c r="F503" s="454" t="s">
        <v>526</v>
      </c>
      <c r="G503" s="454" t="s">
        <v>13150</v>
      </c>
      <c r="H503" s="455">
        <v>34199285000153</v>
      </c>
      <c r="I503" s="462">
        <v>43634</v>
      </c>
      <c r="J503" s="457">
        <v>63198398</v>
      </c>
      <c r="K503" s="454" t="s">
        <v>5152</v>
      </c>
      <c r="L503" s="458">
        <v>6620</v>
      </c>
      <c r="M503" s="454" t="s">
        <v>1411</v>
      </c>
      <c r="N503" s="459">
        <v>8115000</v>
      </c>
      <c r="O503" s="460">
        <v>20250014</v>
      </c>
      <c r="P503" s="462">
        <v>139150</v>
      </c>
      <c r="Q503" s="462">
        <v>139</v>
      </c>
      <c r="R503" s="462">
        <v>43928</v>
      </c>
      <c r="S503" s="463">
        <v>482</v>
      </c>
      <c r="T503" s="464">
        <v>3.6</v>
      </c>
      <c r="U503" s="465">
        <v>1735.2</v>
      </c>
      <c r="V503" s="465">
        <v>15120</v>
      </c>
      <c r="W503" s="466">
        <v>0</v>
      </c>
      <c r="X503" s="467">
        <v>1</v>
      </c>
      <c r="Y503" s="466">
        <v>25282.799999999999</v>
      </c>
      <c r="Z503" s="468" t="s">
        <v>516</v>
      </c>
      <c r="AA503" s="466">
        <v>103914</v>
      </c>
      <c r="AB503" s="466">
        <v>103914</v>
      </c>
      <c r="AC503" s="467">
        <v>0</v>
      </c>
      <c r="AD503" s="466">
        <v>0</v>
      </c>
      <c r="AE503" s="468" t="s">
        <v>516</v>
      </c>
      <c r="AF503" s="466">
        <v>0</v>
      </c>
      <c r="AG503" s="466">
        <v>0</v>
      </c>
      <c r="AH503" s="466">
        <v>2599.65</v>
      </c>
      <c r="AI503" s="466">
        <v>6492.86</v>
      </c>
      <c r="AJ503" s="469" t="s">
        <v>1839</v>
      </c>
      <c r="AK503" s="470" t="s">
        <v>526</v>
      </c>
      <c r="AL503" s="471" t="s">
        <v>5153</v>
      </c>
      <c r="AM503" s="470" t="s">
        <v>11209</v>
      </c>
      <c r="AN503" s="470" t="s">
        <v>1385</v>
      </c>
      <c r="AO503" s="470" t="s">
        <v>13151</v>
      </c>
      <c r="AP503" s="470" t="s">
        <v>5154</v>
      </c>
      <c r="AQ503" s="470" t="s">
        <v>5150</v>
      </c>
      <c r="AR503" s="472" t="s">
        <v>515</v>
      </c>
      <c r="AS503" s="473" t="s">
        <v>1385</v>
      </c>
      <c r="AT503" s="472" t="s">
        <v>1390</v>
      </c>
      <c r="AU503" s="472" t="s">
        <v>420</v>
      </c>
      <c r="AV503" s="472">
        <v>2020</v>
      </c>
      <c r="AW503" s="474" t="s">
        <v>15078</v>
      </c>
      <c r="AX503" s="475" t="s">
        <v>15079</v>
      </c>
      <c r="AY503" s="515">
        <v>1</v>
      </c>
      <c r="AZ503" s="474" t="s">
        <v>15079</v>
      </c>
      <c r="BA503" s="472" t="s">
        <v>1390</v>
      </c>
      <c r="BB503" s="472" t="s">
        <v>1385</v>
      </c>
      <c r="BC503" s="472" t="s">
        <v>1385</v>
      </c>
      <c r="BD503" s="472" t="s">
        <v>1385</v>
      </c>
      <c r="BE503" s="472" t="s">
        <v>1385</v>
      </c>
      <c r="BF503" s="472">
        <v>25282.799999999999</v>
      </c>
      <c r="BG503" s="472">
        <v>0</v>
      </c>
      <c r="BH503" s="472" t="s">
        <v>1385</v>
      </c>
      <c r="BI503" s="510">
        <v>0</v>
      </c>
      <c r="BJ503" s="510">
        <v>0</v>
      </c>
      <c r="BK503" s="510">
        <v>0</v>
      </c>
      <c r="BL503" s="510">
        <v>0</v>
      </c>
      <c r="BM503" s="510">
        <v>0</v>
      </c>
      <c r="BN503" s="510">
        <v>4000</v>
      </c>
      <c r="BO503" s="510">
        <v>0</v>
      </c>
      <c r="BP503" s="510">
        <v>0</v>
      </c>
      <c r="BQ503" s="510">
        <v>0</v>
      </c>
      <c r="BR503" s="510">
        <v>0</v>
      </c>
      <c r="BS503" s="510">
        <v>0</v>
      </c>
      <c r="BT503" s="510">
        <v>0</v>
      </c>
      <c r="BU503" s="510">
        <v>0</v>
      </c>
      <c r="BV503" s="510">
        <v>0</v>
      </c>
      <c r="BW503" s="510">
        <v>0</v>
      </c>
      <c r="BX503" s="510">
        <v>30000</v>
      </c>
      <c r="BY503" s="1011">
        <v>0</v>
      </c>
      <c r="BZ503" s="510">
        <v>0</v>
      </c>
      <c r="CA503" s="1011">
        <v>0</v>
      </c>
      <c r="CB503" s="510">
        <v>0</v>
      </c>
      <c r="CC503" s="1011">
        <v>0</v>
      </c>
      <c r="CD503" s="510">
        <v>0</v>
      </c>
      <c r="CE503" s="1011">
        <v>0</v>
      </c>
      <c r="CF503" s="510">
        <v>48631.199999999997</v>
      </c>
      <c r="CG503" s="1011">
        <v>0</v>
      </c>
      <c r="CH503" s="510">
        <v>0</v>
      </c>
      <c r="CI503" s="1011">
        <v>0</v>
      </c>
    </row>
    <row r="504" spans="1:87" x14ac:dyDescent="0.2">
      <c r="A504" s="449">
        <v>115</v>
      </c>
      <c r="B504" s="453">
        <v>19651</v>
      </c>
      <c r="C504" s="454" t="s">
        <v>5155</v>
      </c>
      <c r="D504" s="454" t="s">
        <v>1390</v>
      </c>
      <c r="E504" s="454" t="s">
        <v>5156</v>
      </c>
      <c r="F504" s="454" t="s">
        <v>521</v>
      </c>
      <c r="G504" s="454" t="s">
        <v>5157</v>
      </c>
      <c r="H504" s="455">
        <v>34407276000100</v>
      </c>
      <c r="I504" s="462">
        <v>43644</v>
      </c>
      <c r="J504" s="457">
        <v>63524929</v>
      </c>
      <c r="K504" s="454" t="s">
        <v>5158</v>
      </c>
      <c r="L504" s="458">
        <v>3411</v>
      </c>
      <c r="M504" s="454" t="s">
        <v>5159</v>
      </c>
      <c r="N504" s="459">
        <v>4846010</v>
      </c>
      <c r="O504" s="460">
        <v>59764700</v>
      </c>
      <c r="P504" s="462">
        <v>102400</v>
      </c>
      <c r="Q504" s="462">
        <v>115</v>
      </c>
      <c r="R504" s="462">
        <v>43934</v>
      </c>
      <c r="S504" s="463">
        <v>494</v>
      </c>
      <c r="T504" s="464">
        <v>3.6</v>
      </c>
      <c r="U504" s="465">
        <v>1778.4</v>
      </c>
      <c r="V504" s="465">
        <v>15120</v>
      </c>
      <c r="W504" s="466">
        <v>0</v>
      </c>
      <c r="X504" s="467">
        <v>1</v>
      </c>
      <c r="Y504" s="466">
        <v>25347.599999999999</v>
      </c>
      <c r="Z504" s="468" t="s">
        <v>516</v>
      </c>
      <c r="AA504" s="466">
        <v>104137.2</v>
      </c>
      <c r="AB504" s="466">
        <v>104137.2</v>
      </c>
      <c r="AC504" s="467">
        <v>0</v>
      </c>
      <c r="AD504" s="466">
        <v>0</v>
      </c>
      <c r="AE504" s="468" t="s">
        <v>516</v>
      </c>
      <c r="AF504" s="466">
        <v>0</v>
      </c>
      <c r="AG504" s="466">
        <v>0</v>
      </c>
      <c r="AH504" s="466">
        <v>19197.07</v>
      </c>
      <c r="AI504" s="466">
        <v>4660.3599999999997</v>
      </c>
      <c r="AJ504" s="469" t="s">
        <v>1624</v>
      </c>
      <c r="AK504" s="470" t="s">
        <v>1625</v>
      </c>
      <c r="AL504" s="471" t="s">
        <v>13152</v>
      </c>
      <c r="AM504" s="470" t="s">
        <v>5121</v>
      </c>
      <c r="AN504" s="470" t="s">
        <v>1385</v>
      </c>
      <c r="AO504" s="470" t="s">
        <v>14967</v>
      </c>
      <c r="AP504" s="470" t="s">
        <v>5159</v>
      </c>
      <c r="AQ504" s="470" t="s">
        <v>5155</v>
      </c>
      <c r="AR504" s="472" t="s">
        <v>515</v>
      </c>
      <c r="AS504" s="473" t="s">
        <v>1385</v>
      </c>
      <c r="AT504" s="472" t="s">
        <v>1390</v>
      </c>
      <c r="AU504" s="472" t="s">
        <v>420</v>
      </c>
      <c r="AV504" s="472">
        <v>2020</v>
      </c>
      <c r="AW504" s="474" t="s">
        <v>15078</v>
      </c>
      <c r="AX504" s="475" t="s">
        <v>15079</v>
      </c>
      <c r="AY504" s="515">
        <v>1</v>
      </c>
      <c r="AZ504" s="474" t="s">
        <v>15079</v>
      </c>
      <c r="BA504" s="472" t="s">
        <v>1390</v>
      </c>
      <c r="BB504" s="472" t="s">
        <v>1385</v>
      </c>
      <c r="BC504" s="472" t="s">
        <v>1385</v>
      </c>
      <c r="BD504" s="472" t="s">
        <v>1385</v>
      </c>
      <c r="BE504" s="472" t="s">
        <v>1385</v>
      </c>
      <c r="BF504" s="472">
        <v>25347.599999999999</v>
      </c>
      <c r="BG504" s="472">
        <v>0</v>
      </c>
      <c r="BH504" s="472" t="s">
        <v>1385</v>
      </c>
      <c r="BI504" s="510">
        <v>0</v>
      </c>
      <c r="BJ504" s="510">
        <v>0</v>
      </c>
      <c r="BK504" s="510">
        <v>0</v>
      </c>
      <c r="BL504" s="510">
        <v>0</v>
      </c>
      <c r="BM504" s="510">
        <v>0</v>
      </c>
      <c r="BN504" s="510">
        <v>4000</v>
      </c>
      <c r="BO504" s="510">
        <v>0</v>
      </c>
      <c r="BP504" s="510">
        <v>0</v>
      </c>
      <c r="BQ504" s="510">
        <v>0</v>
      </c>
      <c r="BR504" s="510">
        <v>0</v>
      </c>
      <c r="BS504" s="510">
        <v>0</v>
      </c>
      <c r="BT504" s="510">
        <v>0</v>
      </c>
      <c r="BU504" s="510">
        <v>0</v>
      </c>
      <c r="BV504" s="510">
        <v>0</v>
      </c>
      <c r="BW504" s="510">
        <v>0</v>
      </c>
      <c r="BX504" s="510">
        <v>30000</v>
      </c>
      <c r="BY504" s="1011">
        <v>0</v>
      </c>
      <c r="BZ504" s="510">
        <v>0</v>
      </c>
      <c r="CA504" s="1011">
        <v>0</v>
      </c>
      <c r="CB504" s="510">
        <v>0</v>
      </c>
      <c r="CC504" s="1011">
        <v>0</v>
      </c>
      <c r="CD504" s="510">
        <v>0</v>
      </c>
      <c r="CE504" s="1011">
        <v>0</v>
      </c>
      <c r="CF504" s="510">
        <v>48789.599999999999</v>
      </c>
      <c r="CG504" s="1011">
        <v>0</v>
      </c>
      <c r="CH504" s="510">
        <v>0</v>
      </c>
      <c r="CI504" s="1011">
        <v>0</v>
      </c>
    </row>
    <row r="505" spans="1:87" x14ac:dyDescent="0.2">
      <c r="A505" s="449">
        <v>89</v>
      </c>
      <c r="B505" s="453">
        <v>19652</v>
      </c>
      <c r="C505" s="454" t="s">
        <v>13153</v>
      </c>
      <c r="D505" s="454" t="s">
        <v>1390</v>
      </c>
      <c r="E505" s="454" t="s">
        <v>13154</v>
      </c>
      <c r="F505" s="454" t="s">
        <v>529</v>
      </c>
      <c r="G505" s="454" t="s">
        <v>14938</v>
      </c>
      <c r="H505" s="455">
        <v>36965377000122</v>
      </c>
      <c r="I505" s="462">
        <v>43930</v>
      </c>
      <c r="J505" s="457">
        <v>0</v>
      </c>
      <c r="K505" s="454" t="s">
        <v>14939</v>
      </c>
      <c r="L505" s="458">
        <v>314</v>
      </c>
      <c r="M505" s="454" t="s">
        <v>4317</v>
      </c>
      <c r="N505" s="459">
        <v>4470310</v>
      </c>
      <c r="O505" s="460">
        <v>55600260</v>
      </c>
      <c r="P505" s="462">
        <v>649808</v>
      </c>
      <c r="Q505" s="462">
        <v>89</v>
      </c>
      <c r="R505" s="462">
        <v>44040</v>
      </c>
      <c r="S505" s="463">
        <v>349</v>
      </c>
      <c r="T505" s="464">
        <v>3.6</v>
      </c>
      <c r="U505" s="465">
        <v>1256.4000000000001</v>
      </c>
      <c r="V505" s="465">
        <v>13680</v>
      </c>
      <c r="W505" s="466">
        <v>0</v>
      </c>
      <c r="X505" s="467">
        <v>1</v>
      </c>
      <c r="Y505" s="466">
        <v>22404.6</v>
      </c>
      <c r="Z505" s="468" t="s">
        <v>514</v>
      </c>
      <c r="AA505" s="466">
        <v>44872.800000000003</v>
      </c>
      <c r="AB505" s="466">
        <v>44872.800000000003</v>
      </c>
      <c r="AC505" s="467">
        <v>0</v>
      </c>
      <c r="AD505" s="466">
        <v>0</v>
      </c>
      <c r="AE505" s="468" t="s">
        <v>516</v>
      </c>
      <c r="AF505" s="466">
        <v>0</v>
      </c>
      <c r="AG505" s="466">
        <v>0</v>
      </c>
      <c r="AH505" s="466">
        <v>0</v>
      </c>
      <c r="AI505" s="466">
        <v>0</v>
      </c>
      <c r="AJ505" s="469" t="s">
        <v>1790</v>
      </c>
      <c r="AK505" s="470" t="s">
        <v>4966</v>
      </c>
      <c r="AL505" s="471" t="s">
        <v>14940</v>
      </c>
      <c r="AM505" s="470" t="s">
        <v>14941</v>
      </c>
      <c r="AN505" s="470" t="s">
        <v>14938</v>
      </c>
      <c r="AO505" s="470" t="s">
        <v>14942</v>
      </c>
      <c r="AP505" s="470" t="s">
        <v>13155</v>
      </c>
      <c r="AQ505" s="470" t="s">
        <v>13153</v>
      </c>
      <c r="AR505" s="472" t="s">
        <v>515</v>
      </c>
      <c r="AS505" s="473" t="s">
        <v>1385</v>
      </c>
      <c r="AT505" s="472" t="s">
        <v>1390</v>
      </c>
      <c r="AU505" s="472" t="s">
        <v>420</v>
      </c>
      <c r="AV505" s="472">
        <v>2020</v>
      </c>
      <c r="AW505" s="474" t="s">
        <v>15078</v>
      </c>
      <c r="AX505" s="475" t="s">
        <v>15079</v>
      </c>
      <c r="AY505" s="515">
        <v>1</v>
      </c>
      <c r="AZ505" s="474" t="s">
        <v>15079</v>
      </c>
      <c r="BA505" s="472" t="s">
        <v>1390</v>
      </c>
      <c r="BB505" s="472" t="s">
        <v>1385</v>
      </c>
      <c r="BC505" s="472" t="s">
        <v>1385</v>
      </c>
      <c r="BD505" s="472" t="s">
        <v>1385</v>
      </c>
      <c r="BE505" s="472" t="s">
        <v>1385</v>
      </c>
      <c r="BF505" s="472">
        <v>22404.6</v>
      </c>
      <c r="BG505" s="472">
        <v>0</v>
      </c>
      <c r="BH505" s="472" t="s">
        <v>1385</v>
      </c>
      <c r="BI505" s="510">
        <v>0</v>
      </c>
      <c r="BJ505" s="510">
        <v>0</v>
      </c>
      <c r="BK505" s="510">
        <v>0</v>
      </c>
      <c r="BL505" s="510">
        <v>0</v>
      </c>
      <c r="BM505" s="510">
        <v>0</v>
      </c>
      <c r="BN505" s="510">
        <v>0</v>
      </c>
      <c r="BO505" s="510">
        <v>0</v>
      </c>
      <c r="BP505" s="510">
        <v>0</v>
      </c>
      <c r="BQ505" s="510">
        <v>0</v>
      </c>
      <c r="BR505" s="510">
        <v>0</v>
      </c>
      <c r="BS505" s="510">
        <v>0</v>
      </c>
      <c r="BT505" s="510">
        <v>0</v>
      </c>
      <c r="BU505" s="510">
        <v>0</v>
      </c>
      <c r="BV505" s="510">
        <v>0</v>
      </c>
      <c r="BW505" s="510">
        <v>0</v>
      </c>
      <c r="BX505" s="510">
        <v>0</v>
      </c>
      <c r="BY505" s="1011">
        <v>0</v>
      </c>
      <c r="BZ505" s="510">
        <v>0</v>
      </c>
      <c r="CA505" s="1011">
        <v>0</v>
      </c>
      <c r="CB505" s="510">
        <v>0</v>
      </c>
      <c r="CC505" s="1011">
        <v>0</v>
      </c>
      <c r="CD505" s="510">
        <v>0</v>
      </c>
      <c r="CE505" s="1011">
        <v>0</v>
      </c>
      <c r="CF505" s="510">
        <v>44872.800000000003</v>
      </c>
      <c r="CG505" s="1011">
        <v>0</v>
      </c>
      <c r="CH505" s="510">
        <v>0</v>
      </c>
      <c r="CI505" s="1011">
        <v>0</v>
      </c>
    </row>
    <row r="506" spans="1:87" x14ac:dyDescent="0.2">
      <c r="A506" s="449">
        <v>80</v>
      </c>
      <c r="B506" s="453">
        <v>19658</v>
      </c>
      <c r="C506" s="454" t="s">
        <v>5160</v>
      </c>
      <c r="D506" s="454" t="s">
        <v>1390</v>
      </c>
      <c r="E506" s="454" t="s">
        <v>5161</v>
      </c>
      <c r="F506" s="454" t="s">
        <v>525</v>
      </c>
      <c r="G506" s="454" t="s">
        <v>13156</v>
      </c>
      <c r="H506" s="455">
        <v>4751687000158</v>
      </c>
      <c r="I506" s="462">
        <v>37195</v>
      </c>
      <c r="J506" s="457">
        <v>37389173</v>
      </c>
      <c r="K506" s="454" t="s">
        <v>2593</v>
      </c>
      <c r="L506" s="458" t="s">
        <v>1446</v>
      </c>
      <c r="M506" s="454" t="s">
        <v>2594</v>
      </c>
      <c r="N506" s="459">
        <v>2181190</v>
      </c>
      <c r="O506" s="460">
        <v>26363447</v>
      </c>
      <c r="P506" s="462">
        <v>335196</v>
      </c>
      <c r="Q506" s="462">
        <v>80</v>
      </c>
      <c r="R506" s="462">
        <v>43950</v>
      </c>
      <c r="S506" s="463">
        <v>166</v>
      </c>
      <c r="T506" s="464">
        <v>3.6</v>
      </c>
      <c r="U506" s="465">
        <v>597.6</v>
      </c>
      <c r="V506" s="465">
        <v>10800</v>
      </c>
      <c r="W506" s="466">
        <v>0</v>
      </c>
      <c r="X506" s="467">
        <v>1</v>
      </c>
      <c r="Y506" s="466">
        <v>21956.400000000001</v>
      </c>
      <c r="Z506" s="468" t="s">
        <v>516</v>
      </c>
      <c r="AA506" s="466">
        <v>101152.4</v>
      </c>
      <c r="AB506" s="466">
        <v>101152.4</v>
      </c>
      <c r="AC506" s="467">
        <v>0</v>
      </c>
      <c r="AD506" s="466">
        <v>0</v>
      </c>
      <c r="AE506" s="468" t="s">
        <v>516</v>
      </c>
      <c r="AF506" s="466">
        <v>0</v>
      </c>
      <c r="AG506" s="466">
        <v>0</v>
      </c>
      <c r="AH506" s="466">
        <v>15422.91</v>
      </c>
      <c r="AI506" s="466">
        <v>0</v>
      </c>
      <c r="AJ506" s="469" t="s">
        <v>2315</v>
      </c>
      <c r="AK506" s="470" t="s">
        <v>2316</v>
      </c>
      <c r="AL506" s="471" t="s">
        <v>5163</v>
      </c>
      <c r="AM506" s="470" t="s">
        <v>5164</v>
      </c>
      <c r="AN506" s="470" t="s">
        <v>5162</v>
      </c>
      <c r="AO506" s="470" t="s">
        <v>5165</v>
      </c>
      <c r="AP506" s="470" t="s">
        <v>5166</v>
      </c>
      <c r="AQ506" s="470" t="s">
        <v>5160</v>
      </c>
      <c r="AR506" s="472" t="s">
        <v>515</v>
      </c>
      <c r="AS506" s="473" t="s">
        <v>1385</v>
      </c>
      <c r="AT506" s="472" t="s">
        <v>1390</v>
      </c>
      <c r="AU506" s="472" t="s">
        <v>420</v>
      </c>
      <c r="AV506" s="472">
        <v>2020</v>
      </c>
      <c r="AW506" s="474" t="s">
        <v>15078</v>
      </c>
      <c r="AX506" s="475" t="s">
        <v>15079</v>
      </c>
      <c r="AY506" s="515">
        <v>1</v>
      </c>
      <c r="AZ506" s="474" t="s">
        <v>15079</v>
      </c>
      <c r="BA506" s="472" t="s">
        <v>1390</v>
      </c>
      <c r="BB506" s="472" t="s">
        <v>516</v>
      </c>
      <c r="BC506" s="472">
        <v>6</v>
      </c>
      <c r="BD506" s="472">
        <v>3240</v>
      </c>
      <c r="BE506" s="472">
        <v>0</v>
      </c>
      <c r="BF506" s="472">
        <v>21956.400000000001</v>
      </c>
      <c r="BG506" s="472">
        <v>0</v>
      </c>
      <c r="BH506" s="472" t="s">
        <v>1385</v>
      </c>
      <c r="BI506" s="510">
        <v>0</v>
      </c>
      <c r="BJ506" s="510">
        <v>0</v>
      </c>
      <c r="BK506" s="510">
        <v>0</v>
      </c>
      <c r="BL506" s="510">
        <v>0</v>
      </c>
      <c r="BM506" s="510">
        <v>0</v>
      </c>
      <c r="BN506" s="510">
        <v>3000</v>
      </c>
      <c r="BO506" s="510">
        <v>0</v>
      </c>
      <c r="BP506" s="510">
        <v>0</v>
      </c>
      <c r="BQ506" s="510">
        <v>0</v>
      </c>
      <c r="BR506" s="510">
        <v>0</v>
      </c>
      <c r="BS506" s="510">
        <v>0</v>
      </c>
      <c r="BT506" s="510">
        <v>0</v>
      </c>
      <c r="BU506" s="510">
        <v>0</v>
      </c>
      <c r="BV506" s="510">
        <v>0</v>
      </c>
      <c r="BW506" s="510">
        <v>0</v>
      </c>
      <c r="BX506" s="510">
        <v>30000</v>
      </c>
      <c r="BY506" s="1011">
        <v>0</v>
      </c>
      <c r="BZ506" s="510">
        <v>0</v>
      </c>
      <c r="CA506" s="1011">
        <v>0</v>
      </c>
      <c r="CB506" s="510">
        <v>0</v>
      </c>
      <c r="CC506" s="1011">
        <v>0</v>
      </c>
      <c r="CD506" s="510">
        <v>0</v>
      </c>
      <c r="CE506" s="1011">
        <v>0</v>
      </c>
      <c r="CF506" s="510">
        <v>49196</v>
      </c>
      <c r="CG506" s="1011">
        <v>0</v>
      </c>
      <c r="CH506" s="510">
        <v>0</v>
      </c>
      <c r="CI506" s="1011">
        <v>0</v>
      </c>
    </row>
    <row r="507" spans="1:87" x14ac:dyDescent="0.2">
      <c r="A507" s="449">
        <v>82</v>
      </c>
      <c r="B507" s="453">
        <v>19666</v>
      </c>
      <c r="C507" s="454" t="s">
        <v>5167</v>
      </c>
      <c r="D507" s="454" t="s">
        <v>1390</v>
      </c>
      <c r="E507" s="454" t="s">
        <v>5168</v>
      </c>
      <c r="F507" s="454" t="s">
        <v>527</v>
      </c>
      <c r="G507" s="454" t="s">
        <v>13157</v>
      </c>
      <c r="H507" s="455">
        <v>4420653000180</v>
      </c>
      <c r="I507" s="462">
        <v>36984</v>
      </c>
      <c r="J507" s="457">
        <v>37554743</v>
      </c>
      <c r="K507" s="454" t="s">
        <v>5169</v>
      </c>
      <c r="L507" s="458" t="s">
        <v>1446</v>
      </c>
      <c r="M507" s="454" t="s">
        <v>5170</v>
      </c>
      <c r="N507" s="459">
        <v>3823100</v>
      </c>
      <c r="O507" s="460">
        <v>25467997</v>
      </c>
      <c r="P507" s="462">
        <v>180745</v>
      </c>
      <c r="Q507" s="462">
        <v>43</v>
      </c>
      <c r="R507" s="462">
        <v>43927</v>
      </c>
      <c r="S507" s="463">
        <v>417</v>
      </c>
      <c r="T507" s="464">
        <v>3.6</v>
      </c>
      <c r="U507" s="465">
        <v>1501.2</v>
      </c>
      <c r="V507" s="465">
        <v>15120</v>
      </c>
      <c r="W507" s="466">
        <v>0</v>
      </c>
      <c r="X507" s="467">
        <v>1</v>
      </c>
      <c r="Y507" s="466">
        <v>24931.8</v>
      </c>
      <c r="Z507" s="468" t="s">
        <v>516</v>
      </c>
      <c r="AA507" s="466">
        <v>103152.6</v>
      </c>
      <c r="AB507" s="466">
        <v>103152.6</v>
      </c>
      <c r="AC507" s="467">
        <v>0</v>
      </c>
      <c r="AD507" s="466">
        <v>0</v>
      </c>
      <c r="AE507" s="468" t="s">
        <v>516</v>
      </c>
      <c r="AF507" s="466">
        <v>0</v>
      </c>
      <c r="AG507" s="466">
        <v>0</v>
      </c>
      <c r="AH507" s="466">
        <v>15584.66</v>
      </c>
      <c r="AI507" s="466">
        <v>0</v>
      </c>
      <c r="AJ507" s="469" t="s">
        <v>2004</v>
      </c>
      <c r="AK507" s="470" t="s">
        <v>2005</v>
      </c>
      <c r="AL507" s="471" t="s">
        <v>5171</v>
      </c>
      <c r="AM507" s="470" t="s">
        <v>5172</v>
      </c>
      <c r="AN507" s="470" t="s">
        <v>13158</v>
      </c>
      <c r="AO507" s="470" t="s">
        <v>13159</v>
      </c>
      <c r="AP507" s="470" t="s">
        <v>5173</v>
      </c>
      <c r="AQ507" s="470" t="s">
        <v>5167</v>
      </c>
      <c r="AR507" s="472" t="s">
        <v>515</v>
      </c>
      <c r="AS507" s="473" t="s">
        <v>1385</v>
      </c>
      <c r="AT507" s="472" t="s">
        <v>1390</v>
      </c>
      <c r="AU507" s="472" t="s">
        <v>420</v>
      </c>
      <c r="AV507" s="472">
        <v>2020</v>
      </c>
      <c r="AW507" s="474" t="s">
        <v>15078</v>
      </c>
      <c r="AX507" s="475" t="s">
        <v>15079</v>
      </c>
      <c r="AY507" s="515">
        <v>1</v>
      </c>
      <c r="AZ507" s="474" t="s">
        <v>15079</v>
      </c>
      <c r="BA507" s="472" t="s">
        <v>1390</v>
      </c>
      <c r="BB507" s="472" t="s">
        <v>1385</v>
      </c>
      <c r="BC507" s="472" t="s">
        <v>1385</v>
      </c>
      <c r="BD507" s="472" t="s">
        <v>1385</v>
      </c>
      <c r="BE507" s="472" t="s">
        <v>1385</v>
      </c>
      <c r="BF507" s="472">
        <v>24931.8</v>
      </c>
      <c r="BG507" s="472">
        <v>0</v>
      </c>
      <c r="BH507" s="472" t="s">
        <v>1385</v>
      </c>
      <c r="BI507" s="510">
        <v>0</v>
      </c>
      <c r="BJ507" s="510">
        <v>263.20999999999998</v>
      </c>
      <c r="BK507" s="510">
        <v>0</v>
      </c>
      <c r="BL507" s="510">
        <v>0</v>
      </c>
      <c r="BM507" s="510">
        <v>0</v>
      </c>
      <c r="BN507" s="510">
        <v>4000</v>
      </c>
      <c r="BO507" s="510">
        <v>0</v>
      </c>
      <c r="BP507" s="510">
        <v>0</v>
      </c>
      <c r="BQ507" s="510">
        <v>0</v>
      </c>
      <c r="BR507" s="510">
        <v>0</v>
      </c>
      <c r="BS507" s="510">
        <v>0</v>
      </c>
      <c r="BT507" s="510">
        <v>0</v>
      </c>
      <c r="BU507" s="510">
        <v>0</v>
      </c>
      <c r="BV507" s="510">
        <v>0</v>
      </c>
      <c r="BW507" s="510">
        <v>0</v>
      </c>
      <c r="BX507" s="510">
        <v>30000</v>
      </c>
      <c r="BY507" s="1011">
        <v>0</v>
      </c>
      <c r="BZ507" s="510">
        <v>0</v>
      </c>
      <c r="CA507" s="1011">
        <v>0</v>
      </c>
      <c r="CB507" s="510">
        <v>0</v>
      </c>
      <c r="CC507" s="1011">
        <v>0</v>
      </c>
      <c r="CD507" s="510">
        <v>0</v>
      </c>
      <c r="CE507" s="1011">
        <v>0</v>
      </c>
      <c r="CF507" s="510">
        <v>48220.800000000003</v>
      </c>
      <c r="CG507" s="1011">
        <v>0</v>
      </c>
      <c r="CH507" s="510">
        <v>0</v>
      </c>
      <c r="CI507" s="1011">
        <v>0</v>
      </c>
    </row>
    <row r="508" spans="1:87" x14ac:dyDescent="0.2">
      <c r="A508" s="449">
        <v>65</v>
      </c>
      <c r="B508" s="453">
        <v>19674</v>
      </c>
      <c r="C508" s="454" t="s">
        <v>5174</v>
      </c>
      <c r="D508" s="454" t="s">
        <v>2950</v>
      </c>
      <c r="E508" s="454" t="s">
        <v>5175</v>
      </c>
      <c r="F508" s="454" t="s">
        <v>521</v>
      </c>
      <c r="G508" s="454" t="s">
        <v>13160</v>
      </c>
      <c r="H508" s="455">
        <v>4465390000126</v>
      </c>
      <c r="I508" s="462">
        <v>37015</v>
      </c>
      <c r="J508" s="457">
        <v>37550535</v>
      </c>
      <c r="K508" s="454" t="s">
        <v>3352</v>
      </c>
      <c r="L508" s="458" t="s">
        <v>1446</v>
      </c>
      <c r="M508" s="454" t="s">
        <v>4904</v>
      </c>
      <c r="N508" s="459">
        <v>4849330</v>
      </c>
      <c r="O508" s="460">
        <v>59765515</v>
      </c>
      <c r="P508" s="462">
        <v>97902</v>
      </c>
      <c r="Q508" s="462">
        <v>63</v>
      </c>
      <c r="R508" s="462">
        <v>43934</v>
      </c>
      <c r="S508" s="463">
        <v>929</v>
      </c>
      <c r="T508" s="464">
        <v>5.4</v>
      </c>
      <c r="U508" s="465">
        <v>5016.6000000000004</v>
      </c>
      <c r="V508" s="465">
        <v>20340</v>
      </c>
      <c r="W508" s="466">
        <v>0</v>
      </c>
      <c r="X508" s="467">
        <v>1</v>
      </c>
      <c r="Y508" s="466">
        <v>38034.9</v>
      </c>
      <c r="Z508" s="468" t="s">
        <v>516</v>
      </c>
      <c r="AA508" s="466">
        <v>159992.1</v>
      </c>
      <c r="AB508" s="466">
        <v>159992.1</v>
      </c>
      <c r="AC508" s="467">
        <v>0</v>
      </c>
      <c r="AD508" s="466">
        <v>0</v>
      </c>
      <c r="AE508" s="468" t="s">
        <v>516</v>
      </c>
      <c r="AF508" s="466">
        <v>1000</v>
      </c>
      <c r="AG508" s="466">
        <v>1000</v>
      </c>
      <c r="AH508" s="466">
        <v>25527.35</v>
      </c>
      <c r="AI508" s="466">
        <v>5398.17</v>
      </c>
      <c r="AJ508" s="469" t="s">
        <v>1624</v>
      </c>
      <c r="AK508" s="470" t="s">
        <v>1625</v>
      </c>
      <c r="AL508" s="471" t="s">
        <v>5176</v>
      </c>
      <c r="AM508" s="470" t="s">
        <v>9726</v>
      </c>
      <c r="AN508" s="470" t="s">
        <v>1385</v>
      </c>
      <c r="AO508" s="470" t="s">
        <v>5177</v>
      </c>
      <c r="AP508" s="470" t="s">
        <v>5178</v>
      </c>
      <c r="AQ508" s="470" t="s">
        <v>5174</v>
      </c>
      <c r="AR508" s="472" t="s">
        <v>515</v>
      </c>
      <c r="AS508" s="473" t="s">
        <v>1385</v>
      </c>
      <c r="AT508" s="472" t="s">
        <v>2950</v>
      </c>
      <c r="AU508" s="472" t="s">
        <v>420</v>
      </c>
      <c r="AV508" s="472">
        <v>2020</v>
      </c>
      <c r="AW508" s="474" t="s">
        <v>15078</v>
      </c>
      <c r="AX508" s="475" t="s">
        <v>15079</v>
      </c>
      <c r="AY508" s="515">
        <v>1</v>
      </c>
      <c r="AZ508" s="474" t="s">
        <v>15079</v>
      </c>
      <c r="BA508" s="472" t="s">
        <v>2950</v>
      </c>
      <c r="BB508" s="472" t="s">
        <v>1385</v>
      </c>
      <c r="BC508" s="472" t="s">
        <v>1385</v>
      </c>
      <c r="BD508" s="472" t="s">
        <v>1385</v>
      </c>
      <c r="BE508" s="472" t="s">
        <v>1385</v>
      </c>
      <c r="BF508" s="472">
        <v>38034.9</v>
      </c>
      <c r="BG508" s="472">
        <v>0</v>
      </c>
      <c r="BH508" s="472" t="s">
        <v>1385</v>
      </c>
      <c r="BI508" s="510">
        <v>0</v>
      </c>
      <c r="BJ508" s="510">
        <v>0</v>
      </c>
      <c r="BK508" s="510">
        <v>0</v>
      </c>
      <c r="BL508" s="510">
        <v>307.5</v>
      </c>
      <c r="BM508" s="510">
        <v>0</v>
      </c>
      <c r="BN508" s="510">
        <v>5000</v>
      </c>
      <c r="BO508" s="510">
        <v>1000</v>
      </c>
      <c r="BP508" s="510">
        <v>1000</v>
      </c>
      <c r="BQ508" s="510">
        <v>0</v>
      </c>
      <c r="BR508" s="510">
        <v>0</v>
      </c>
      <c r="BS508" s="510">
        <v>0</v>
      </c>
      <c r="BT508" s="510">
        <v>0</v>
      </c>
      <c r="BU508" s="510">
        <v>2500</v>
      </c>
      <c r="BV508" s="510">
        <v>2500</v>
      </c>
      <c r="BW508" s="510">
        <v>0</v>
      </c>
      <c r="BX508" s="510">
        <v>30000</v>
      </c>
      <c r="BY508" s="1011">
        <v>0</v>
      </c>
      <c r="BZ508" s="510">
        <v>0</v>
      </c>
      <c r="CA508" s="1011">
        <v>0</v>
      </c>
      <c r="CB508" s="510">
        <v>22000</v>
      </c>
      <c r="CC508" s="1011">
        <v>0</v>
      </c>
      <c r="CD508" s="510">
        <v>0</v>
      </c>
      <c r="CE508" s="1011">
        <v>0</v>
      </c>
      <c r="CF508" s="510">
        <v>68957.2</v>
      </c>
      <c r="CG508" s="1011">
        <v>0</v>
      </c>
      <c r="CH508" s="510">
        <v>0</v>
      </c>
      <c r="CI508" s="1011">
        <v>0</v>
      </c>
    </row>
    <row r="509" spans="1:87" x14ac:dyDescent="0.2">
      <c r="A509" s="449">
        <v>82</v>
      </c>
      <c r="B509" s="453">
        <v>19682</v>
      </c>
      <c r="C509" s="454" t="s">
        <v>5179</v>
      </c>
      <c r="D509" s="454" t="s">
        <v>1390</v>
      </c>
      <c r="E509" s="454" t="s">
        <v>5180</v>
      </c>
      <c r="F509" s="454" t="s">
        <v>521</v>
      </c>
      <c r="G509" s="454" t="s">
        <v>13161</v>
      </c>
      <c r="H509" s="455">
        <v>5893419000133</v>
      </c>
      <c r="I509" s="462">
        <v>37788</v>
      </c>
      <c r="J509" s="457">
        <v>37586254</v>
      </c>
      <c r="K509" s="454" t="s">
        <v>5181</v>
      </c>
      <c r="L509" s="458" t="s">
        <v>1446</v>
      </c>
      <c r="M509" s="454" t="s">
        <v>1916</v>
      </c>
      <c r="N509" s="459">
        <v>4890210</v>
      </c>
      <c r="O509" s="460">
        <v>59211616</v>
      </c>
      <c r="P509" s="462">
        <v>90509</v>
      </c>
      <c r="Q509" s="462">
        <v>29</v>
      </c>
      <c r="R509" s="462">
        <v>43934</v>
      </c>
      <c r="S509" s="463">
        <v>472</v>
      </c>
      <c r="T509" s="464">
        <v>3.6</v>
      </c>
      <c r="U509" s="465">
        <v>1699.2</v>
      </c>
      <c r="V509" s="465">
        <v>15120</v>
      </c>
      <c r="W509" s="466">
        <v>0</v>
      </c>
      <c r="X509" s="467">
        <v>1</v>
      </c>
      <c r="Y509" s="466">
        <v>25228.799999999999</v>
      </c>
      <c r="Z509" s="468" t="s">
        <v>516</v>
      </c>
      <c r="AA509" s="466">
        <v>103759.2</v>
      </c>
      <c r="AB509" s="466">
        <v>103759.2</v>
      </c>
      <c r="AC509" s="467">
        <v>0</v>
      </c>
      <c r="AD509" s="466">
        <v>0</v>
      </c>
      <c r="AE509" s="468" t="s">
        <v>516</v>
      </c>
      <c r="AF509" s="466">
        <v>0</v>
      </c>
      <c r="AG509" s="466">
        <v>0</v>
      </c>
      <c r="AH509" s="466">
        <v>19662.89</v>
      </c>
      <c r="AI509" s="466">
        <v>9518.6299999999992</v>
      </c>
      <c r="AJ509" s="469" t="s">
        <v>1624</v>
      </c>
      <c r="AK509" s="470" t="s">
        <v>1625</v>
      </c>
      <c r="AL509" s="471" t="s">
        <v>5182</v>
      </c>
      <c r="AM509" s="470" t="s">
        <v>13162</v>
      </c>
      <c r="AN509" s="470" t="s">
        <v>1385</v>
      </c>
      <c r="AO509" s="470" t="s">
        <v>14930</v>
      </c>
      <c r="AP509" s="470" t="s">
        <v>5183</v>
      </c>
      <c r="AQ509" s="470" t="s">
        <v>5179</v>
      </c>
      <c r="AR509" s="472" t="s">
        <v>515</v>
      </c>
      <c r="AS509" s="473" t="s">
        <v>1385</v>
      </c>
      <c r="AT509" s="472" t="s">
        <v>1390</v>
      </c>
      <c r="AU509" s="472" t="s">
        <v>420</v>
      </c>
      <c r="AV509" s="472">
        <v>2020</v>
      </c>
      <c r="AW509" s="474" t="s">
        <v>15078</v>
      </c>
      <c r="AX509" s="475" t="s">
        <v>15079</v>
      </c>
      <c r="AY509" s="515">
        <v>1</v>
      </c>
      <c r="AZ509" s="474" t="s">
        <v>15079</v>
      </c>
      <c r="BA509" s="472" t="s">
        <v>1390</v>
      </c>
      <c r="BB509" s="472" t="s">
        <v>1385</v>
      </c>
      <c r="BC509" s="472" t="s">
        <v>1385</v>
      </c>
      <c r="BD509" s="472" t="s">
        <v>1385</v>
      </c>
      <c r="BE509" s="472" t="s">
        <v>1385</v>
      </c>
      <c r="BF509" s="472">
        <v>25228.799999999999</v>
      </c>
      <c r="BG509" s="472">
        <v>0</v>
      </c>
      <c r="BH509" s="472" t="s">
        <v>1385</v>
      </c>
      <c r="BI509" s="510">
        <v>0</v>
      </c>
      <c r="BJ509" s="510">
        <v>0</v>
      </c>
      <c r="BK509" s="510">
        <v>0</v>
      </c>
      <c r="BL509" s="510">
        <v>0</v>
      </c>
      <c r="BM509" s="510">
        <v>0</v>
      </c>
      <c r="BN509" s="510">
        <v>4000</v>
      </c>
      <c r="BO509" s="510">
        <v>0</v>
      </c>
      <c r="BP509" s="510">
        <v>0</v>
      </c>
      <c r="BQ509" s="510">
        <v>0</v>
      </c>
      <c r="BR509" s="510">
        <v>0</v>
      </c>
      <c r="BS509" s="510">
        <v>0</v>
      </c>
      <c r="BT509" s="510">
        <v>0</v>
      </c>
      <c r="BU509" s="510">
        <v>0</v>
      </c>
      <c r="BV509" s="510">
        <v>0</v>
      </c>
      <c r="BW509" s="510">
        <v>0</v>
      </c>
      <c r="BX509" s="510">
        <v>30000</v>
      </c>
      <c r="BY509" s="1011">
        <v>0</v>
      </c>
      <c r="BZ509" s="510">
        <v>0</v>
      </c>
      <c r="CA509" s="1011">
        <v>0</v>
      </c>
      <c r="CB509" s="510">
        <v>0</v>
      </c>
      <c r="CC509" s="1011">
        <v>0</v>
      </c>
      <c r="CD509" s="510">
        <v>0</v>
      </c>
      <c r="CE509" s="1011">
        <v>0</v>
      </c>
      <c r="CF509" s="510">
        <v>48530.400000000001</v>
      </c>
      <c r="CG509" s="1011">
        <v>0</v>
      </c>
      <c r="CH509" s="510">
        <v>0</v>
      </c>
      <c r="CI509" s="1011">
        <v>0</v>
      </c>
    </row>
    <row r="510" spans="1:87" x14ac:dyDescent="0.2">
      <c r="A510" s="449">
        <v>48</v>
      </c>
      <c r="B510" s="453">
        <v>19691</v>
      </c>
      <c r="C510" s="454" t="s">
        <v>5184</v>
      </c>
      <c r="D510" s="454" t="s">
        <v>517</v>
      </c>
      <c r="E510" s="454" t="s">
        <v>5185</v>
      </c>
      <c r="F510" s="454" t="s">
        <v>518</v>
      </c>
      <c r="G510" s="454" t="s">
        <v>13163</v>
      </c>
      <c r="H510" s="455">
        <v>4348244000110</v>
      </c>
      <c r="I510" s="462">
        <v>36866</v>
      </c>
      <c r="J510" s="457">
        <v>37468782</v>
      </c>
      <c r="K510" s="454" t="s">
        <v>5187</v>
      </c>
      <c r="L510" s="458">
        <v>50</v>
      </c>
      <c r="M510" s="454" t="s">
        <v>3703</v>
      </c>
      <c r="N510" s="459">
        <v>8260330</v>
      </c>
      <c r="O510" s="460">
        <v>25227057</v>
      </c>
      <c r="P510" s="462">
        <v>50124</v>
      </c>
      <c r="Q510" s="462">
        <v>93</v>
      </c>
      <c r="R510" s="462">
        <v>43943</v>
      </c>
      <c r="S510" s="463">
        <v>1155</v>
      </c>
      <c r="T510" s="464">
        <v>5.4</v>
      </c>
      <c r="U510" s="465">
        <v>6237</v>
      </c>
      <c r="V510" s="465">
        <v>20340</v>
      </c>
      <c r="W510" s="466">
        <v>0</v>
      </c>
      <c r="X510" s="467">
        <v>1</v>
      </c>
      <c r="Y510" s="466">
        <v>39865.5</v>
      </c>
      <c r="Z510" s="468" t="s">
        <v>516</v>
      </c>
      <c r="AA510" s="466">
        <v>143885.5</v>
      </c>
      <c r="AB510" s="466">
        <v>143885.5</v>
      </c>
      <c r="AC510" s="467">
        <v>0</v>
      </c>
      <c r="AD510" s="466">
        <v>0</v>
      </c>
      <c r="AE510" s="468" t="s">
        <v>516</v>
      </c>
      <c r="AF510" s="466">
        <v>0</v>
      </c>
      <c r="AG510" s="466">
        <v>0</v>
      </c>
      <c r="AH510" s="466">
        <v>10590.39</v>
      </c>
      <c r="AI510" s="466">
        <v>12277.35</v>
      </c>
      <c r="AJ510" s="469" t="s">
        <v>1674</v>
      </c>
      <c r="AK510" s="470" t="s">
        <v>518</v>
      </c>
      <c r="AL510" s="471" t="s">
        <v>5188</v>
      </c>
      <c r="AM510" s="470" t="s">
        <v>13164</v>
      </c>
      <c r="AN510" s="470" t="s">
        <v>5186</v>
      </c>
      <c r="AO510" s="470" t="s">
        <v>14991</v>
      </c>
      <c r="AP510" s="470" t="s">
        <v>5190</v>
      </c>
      <c r="AQ510" s="470" t="s">
        <v>5184</v>
      </c>
      <c r="AR510" s="472" t="s">
        <v>515</v>
      </c>
      <c r="AS510" s="473" t="s">
        <v>1385</v>
      </c>
      <c r="AT510" s="472" t="s">
        <v>517</v>
      </c>
      <c r="AU510" s="472" t="s">
        <v>420</v>
      </c>
      <c r="AV510" s="472">
        <v>2020</v>
      </c>
      <c r="AW510" s="474" t="s">
        <v>15078</v>
      </c>
      <c r="AX510" s="475" t="s">
        <v>15079</v>
      </c>
      <c r="AY510" s="515">
        <v>1</v>
      </c>
      <c r="AZ510" s="474" t="s">
        <v>15079</v>
      </c>
      <c r="BA510" s="472" t="s">
        <v>517</v>
      </c>
      <c r="BB510" s="472" t="s">
        <v>1385</v>
      </c>
      <c r="BC510" s="472" t="s">
        <v>1385</v>
      </c>
      <c r="BD510" s="472" t="s">
        <v>1385</v>
      </c>
      <c r="BE510" s="472" t="s">
        <v>1385</v>
      </c>
      <c r="BF510" s="472">
        <v>39865.5</v>
      </c>
      <c r="BG510" s="472">
        <v>0</v>
      </c>
      <c r="BH510" s="472" t="s">
        <v>1385</v>
      </c>
      <c r="BI510" s="510">
        <v>0</v>
      </c>
      <c r="BJ510" s="510">
        <v>175.95</v>
      </c>
      <c r="BK510" s="510">
        <v>0</v>
      </c>
      <c r="BL510" s="510">
        <v>1.5</v>
      </c>
      <c r="BM510" s="510">
        <v>0</v>
      </c>
      <c r="BN510" s="510">
        <v>2900</v>
      </c>
      <c r="BO510" s="510">
        <v>0</v>
      </c>
      <c r="BP510" s="510">
        <v>0</v>
      </c>
      <c r="BQ510" s="510">
        <v>0</v>
      </c>
      <c r="BR510" s="510">
        <v>0</v>
      </c>
      <c r="BS510" s="510">
        <v>0</v>
      </c>
      <c r="BT510" s="510">
        <v>0</v>
      </c>
      <c r="BU510" s="510">
        <v>2500</v>
      </c>
      <c r="BV510" s="510">
        <v>2500</v>
      </c>
      <c r="BW510" s="510">
        <v>0</v>
      </c>
      <c r="BX510" s="510">
        <v>30000</v>
      </c>
      <c r="BY510" s="1011">
        <v>0</v>
      </c>
      <c r="BZ510" s="510">
        <v>0</v>
      </c>
      <c r="CA510" s="1011">
        <v>0</v>
      </c>
      <c r="CB510" s="510">
        <v>22000</v>
      </c>
      <c r="CC510" s="1011">
        <v>0</v>
      </c>
      <c r="CD510" s="510">
        <v>0</v>
      </c>
      <c r="CE510" s="1011">
        <v>0</v>
      </c>
      <c r="CF510" s="510">
        <v>52020</v>
      </c>
      <c r="CG510" s="1011">
        <v>0</v>
      </c>
      <c r="CH510" s="510">
        <v>0</v>
      </c>
      <c r="CI510" s="1011">
        <v>0</v>
      </c>
    </row>
    <row r="511" spans="1:87" x14ac:dyDescent="0.2">
      <c r="A511" s="449">
        <v>48</v>
      </c>
      <c r="B511" s="453">
        <v>19704</v>
      </c>
      <c r="C511" s="454" t="s">
        <v>5191</v>
      </c>
      <c r="D511" s="454" t="s">
        <v>517</v>
      </c>
      <c r="E511" s="454" t="s">
        <v>5192</v>
      </c>
      <c r="F511" s="454" t="s">
        <v>522</v>
      </c>
      <c r="G511" s="454" t="s">
        <v>13165</v>
      </c>
      <c r="H511" s="455">
        <v>4534760000130</v>
      </c>
      <c r="I511" s="462">
        <v>36984</v>
      </c>
      <c r="J511" s="457">
        <v>37587730</v>
      </c>
      <c r="K511" s="454" t="s">
        <v>4007</v>
      </c>
      <c r="L511" s="458">
        <v>6975</v>
      </c>
      <c r="M511" s="454" t="s">
        <v>4008</v>
      </c>
      <c r="N511" s="459">
        <v>2675070</v>
      </c>
      <c r="O511" s="460">
        <v>39842202</v>
      </c>
      <c r="P511" s="462">
        <v>90789</v>
      </c>
      <c r="Q511" s="462">
        <v>80</v>
      </c>
      <c r="R511" s="462">
        <v>43922</v>
      </c>
      <c r="S511" s="463">
        <v>1040</v>
      </c>
      <c r="T511" s="464">
        <v>5.4</v>
      </c>
      <c r="U511" s="465">
        <v>5616</v>
      </c>
      <c r="V511" s="465">
        <v>20340</v>
      </c>
      <c r="W511" s="466">
        <v>0</v>
      </c>
      <c r="X511" s="467">
        <v>1</v>
      </c>
      <c r="Y511" s="466">
        <v>38934</v>
      </c>
      <c r="Z511" s="468" t="s">
        <v>516</v>
      </c>
      <c r="AA511" s="466">
        <v>143353.60000000001</v>
      </c>
      <c r="AB511" s="466">
        <v>143353.60000000001</v>
      </c>
      <c r="AC511" s="467">
        <v>0</v>
      </c>
      <c r="AD511" s="466">
        <v>0</v>
      </c>
      <c r="AE511" s="468" t="s">
        <v>516</v>
      </c>
      <c r="AF511" s="466">
        <v>2000</v>
      </c>
      <c r="AG511" s="466">
        <v>2000</v>
      </c>
      <c r="AH511" s="466">
        <v>19649.64</v>
      </c>
      <c r="AI511" s="466">
        <v>20939.830000000002</v>
      </c>
      <c r="AJ511" s="469" t="s">
        <v>1438</v>
      </c>
      <c r="AK511" s="470" t="s">
        <v>12345</v>
      </c>
      <c r="AL511" s="471" t="s">
        <v>5193</v>
      </c>
      <c r="AM511" s="470" t="s">
        <v>13166</v>
      </c>
      <c r="AN511" s="470" t="s">
        <v>1385</v>
      </c>
      <c r="AO511" s="470" t="s">
        <v>13167</v>
      </c>
      <c r="AP511" s="470" t="s">
        <v>5194</v>
      </c>
      <c r="AQ511" s="470" t="s">
        <v>5191</v>
      </c>
      <c r="AR511" s="472" t="s">
        <v>515</v>
      </c>
      <c r="AS511" s="473" t="s">
        <v>1385</v>
      </c>
      <c r="AT511" s="472" t="s">
        <v>517</v>
      </c>
      <c r="AU511" s="472" t="s">
        <v>420</v>
      </c>
      <c r="AV511" s="472">
        <v>2020</v>
      </c>
      <c r="AW511" s="474" t="s">
        <v>15078</v>
      </c>
      <c r="AX511" s="475" t="s">
        <v>15079</v>
      </c>
      <c r="AY511" s="515">
        <v>1</v>
      </c>
      <c r="AZ511" s="474" t="s">
        <v>15079</v>
      </c>
      <c r="BA511" s="472" t="s">
        <v>517</v>
      </c>
      <c r="BB511" s="472" t="s">
        <v>1385</v>
      </c>
      <c r="BC511" s="472" t="s">
        <v>1385</v>
      </c>
      <c r="BD511" s="472" t="s">
        <v>1385</v>
      </c>
      <c r="BE511" s="472" t="s">
        <v>1385</v>
      </c>
      <c r="BF511" s="509">
        <v>38934</v>
      </c>
      <c r="BG511" s="509">
        <v>0</v>
      </c>
      <c r="BH511" s="472" t="s">
        <v>1385</v>
      </c>
      <c r="BI511" s="510">
        <v>0</v>
      </c>
      <c r="BJ511" s="510">
        <v>0</v>
      </c>
      <c r="BK511" s="510">
        <v>0</v>
      </c>
      <c r="BL511" s="510">
        <v>732.1</v>
      </c>
      <c r="BM511" s="510">
        <v>0</v>
      </c>
      <c r="BN511" s="510">
        <v>2150</v>
      </c>
      <c r="BO511" s="510">
        <v>0</v>
      </c>
      <c r="BP511" s="510">
        <v>2000</v>
      </c>
      <c r="BQ511" s="510">
        <v>0</v>
      </c>
      <c r="BR511" s="510">
        <v>0</v>
      </c>
      <c r="BS511" s="510">
        <v>0</v>
      </c>
      <c r="BT511" s="510">
        <v>0</v>
      </c>
      <c r="BU511" s="510">
        <v>2500</v>
      </c>
      <c r="BV511" s="510">
        <v>2500</v>
      </c>
      <c r="BW511" s="510">
        <v>0</v>
      </c>
      <c r="BX511" s="510">
        <v>30000</v>
      </c>
      <c r="BY511" s="1011">
        <v>0</v>
      </c>
      <c r="BZ511" s="510">
        <v>0</v>
      </c>
      <c r="CA511" s="1011">
        <v>0</v>
      </c>
      <c r="CB511" s="510">
        <v>22000</v>
      </c>
      <c r="CC511" s="1011">
        <v>0</v>
      </c>
      <c r="CD511" s="510">
        <v>0</v>
      </c>
      <c r="CE511" s="1011">
        <v>0</v>
      </c>
      <c r="CF511" s="510">
        <v>52419.6</v>
      </c>
      <c r="CG511" s="1011">
        <v>0</v>
      </c>
      <c r="CH511" s="510">
        <v>0</v>
      </c>
      <c r="CI511" s="1011">
        <v>0</v>
      </c>
    </row>
    <row r="512" spans="1:87" x14ac:dyDescent="0.2">
      <c r="A512" s="449">
        <v>84</v>
      </c>
      <c r="B512" s="453">
        <v>19712</v>
      </c>
      <c r="C512" s="454" t="s">
        <v>5195</v>
      </c>
      <c r="D512" s="454" t="s">
        <v>517</v>
      </c>
      <c r="E512" s="454" t="s">
        <v>5196</v>
      </c>
      <c r="F512" s="454" t="s">
        <v>520</v>
      </c>
      <c r="G512" s="454" t="s">
        <v>13168</v>
      </c>
      <c r="H512" s="455">
        <v>4398888000113</v>
      </c>
      <c r="I512" s="462">
        <v>36992</v>
      </c>
      <c r="J512" s="457">
        <v>37627694</v>
      </c>
      <c r="K512" s="454" t="s">
        <v>5198</v>
      </c>
      <c r="L512" s="458">
        <v>251</v>
      </c>
      <c r="M512" s="454" t="s">
        <v>5199</v>
      </c>
      <c r="N512" s="459">
        <v>4904140</v>
      </c>
      <c r="O512" s="460">
        <v>58916564</v>
      </c>
      <c r="P512" s="462">
        <v>301631</v>
      </c>
      <c r="Q512" s="462">
        <v>149</v>
      </c>
      <c r="R512" s="462">
        <v>43979</v>
      </c>
      <c r="S512" s="463">
        <v>382</v>
      </c>
      <c r="T512" s="464">
        <v>5.4</v>
      </c>
      <c r="U512" s="465">
        <v>2062.8000000000002</v>
      </c>
      <c r="V512" s="465">
        <v>15480</v>
      </c>
      <c r="W512" s="466">
        <v>0</v>
      </c>
      <c r="X512" s="467">
        <v>1</v>
      </c>
      <c r="Y512" s="466">
        <v>26314.2</v>
      </c>
      <c r="Z512" s="468" t="s">
        <v>516</v>
      </c>
      <c r="AA512" s="466">
        <v>113507.8</v>
      </c>
      <c r="AB512" s="466">
        <v>113507.8</v>
      </c>
      <c r="AC512" s="467">
        <v>0</v>
      </c>
      <c r="AD512" s="466">
        <v>0</v>
      </c>
      <c r="AE512" s="468" t="s">
        <v>516</v>
      </c>
      <c r="AF512" s="466">
        <v>0</v>
      </c>
      <c r="AG512" s="466">
        <v>0</v>
      </c>
      <c r="AH512" s="466">
        <v>13307.45</v>
      </c>
      <c r="AI512" s="466">
        <v>6257.67</v>
      </c>
      <c r="AJ512" s="469" t="s">
        <v>1470</v>
      </c>
      <c r="AK512" s="470" t="s">
        <v>1471</v>
      </c>
      <c r="AL512" s="471" t="s">
        <v>5200</v>
      </c>
      <c r="AM512" s="470" t="s">
        <v>13169</v>
      </c>
      <c r="AN512" s="470" t="s">
        <v>5197</v>
      </c>
      <c r="AO512" s="470" t="s">
        <v>5201</v>
      </c>
      <c r="AP512" s="470" t="s">
        <v>5202</v>
      </c>
      <c r="AQ512" s="470" t="s">
        <v>5195</v>
      </c>
      <c r="AR512" s="472" t="s">
        <v>515</v>
      </c>
      <c r="AS512" s="473" t="s">
        <v>1385</v>
      </c>
      <c r="AT512" s="472" t="s">
        <v>517</v>
      </c>
      <c r="AU512" s="472" t="s">
        <v>420</v>
      </c>
      <c r="AV512" s="472">
        <v>2020</v>
      </c>
      <c r="AW512" s="474" t="s">
        <v>15078</v>
      </c>
      <c r="AX512" s="475" t="s">
        <v>15079</v>
      </c>
      <c r="AY512" s="515">
        <v>1</v>
      </c>
      <c r="AZ512" s="474" t="s">
        <v>15079</v>
      </c>
      <c r="BA512" s="472" t="s">
        <v>517</v>
      </c>
      <c r="BB512" s="472" t="s">
        <v>1385</v>
      </c>
      <c r="BC512" s="472" t="s">
        <v>1385</v>
      </c>
      <c r="BD512" s="472" t="s">
        <v>1385</v>
      </c>
      <c r="BE512" s="472" t="s">
        <v>1385</v>
      </c>
      <c r="BF512" s="472">
        <v>26314.2</v>
      </c>
      <c r="BG512" s="472">
        <v>0</v>
      </c>
      <c r="BH512" s="472" t="s">
        <v>1385</v>
      </c>
      <c r="BI512" s="510">
        <v>0</v>
      </c>
      <c r="BJ512" s="510">
        <v>0</v>
      </c>
      <c r="BK512" s="510">
        <v>0</v>
      </c>
      <c r="BL512" s="510">
        <v>0</v>
      </c>
      <c r="BM512" s="510">
        <v>0</v>
      </c>
      <c r="BN512" s="510">
        <v>3500</v>
      </c>
      <c r="BO512" s="510">
        <v>0</v>
      </c>
      <c r="BP512" s="510">
        <v>0</v>
      </c>
      <c r="BQ512" s="510">
        <v>0</v>
      </c>
      <c r="BR512" s="510">
        <v>0</v>
      </c>
      <c r="BS512" s="510">
        <v>0</v>
      </c>
      <c r="BT512" s="510">
        <v>0</v>
      </c>
      <c r="BU512" s="510">
        <v>2500</v>
      </c>
      <c r="BV512" s="510">
        <v>2500</v>
      </c>
      <c r="BW512" s="510">
        <v>0</v>
      </c>
      <c r="BX512" s="510">
        <v>30000</v>
      </c>
      <c r="BY512" s="1011">
        <v>0</v>
      </c>
      <c r="BZ512" s="510">
        <v>0</v>
      </c>
      <c r="CA512" s="1011">
        <v>0</v>
      </c>
      <c r="CB512" s="510">
        <v>22000</v>
      </c>
      <c r="CC512" s="1011">
        <v>0</v>
      </c>
      <c r="CD512" s="510">
        <v>0</v>
      </c>
      <c r="CE512" s="1011">
        <v>0</v>
      </c>
      <c r="CF512" s="510">
        <v>35193.599999999999</v>
      </c>
      <c r="CG512" s="1011">
        <v>0</v>
      </c>
      <c r="CH512" s="510">
        <v>0</v>
      </c>
      <c r="CI512" s="1011">
        <v>0</v>
      </c>
    </row>
    <row r="513" spans="1:87" x14ac:dyDescent="0.2">
      <c r="A513" s="449">
        <v>110</v>
      </c>
      <c r="B513" s="453">
        <v>87319</v>
      </c>
      <c r="C513" s="454" t="s">
        <v>5203</v>
      </c>
      <c r="D513" s="454" t="s">
        <v>517</v>
      </c>
      <c r="E513" s="454" t="s">
        <v>5203</v>
      </c>
      <c r="F513" s="454" t="s">
        <v>520</v>
      </c>
      <c r="G513" s="454" t="s">
        <v>12683</v>
      </c>
      <c r="H513" s="455">
        <v>1298714000190</v>
      </c>
      <c r="I513" s="462">
        <v>35248</v>
      </c>
      <c r="J513" s="457">
        <v>37627813</v>
      </c>
      <c r="K513" s="454" t="s">
        <v>5204</v>
      </c>
      <c r="L513" s="458">
        <v>51</v>
      </c>
      <c r="M513" s="454" t="s">
        <v>4861</v>
      </c>
      <c r="N513" s="459">
        <v>5887190</v>
      </c>
      <c r="O513" s="460">
        <v>58248274</v>
      </c>
      <c r="P513" s="462">
        <v>304037</v>
      </c>
      <c r="Q513" s="462">
        <v>175</v>
      </c>
      <c r="R513" s="462">
        <v>43979</v>
      </c>
      <c r="S513" s="463">
        <v>905</v>
      </c>
      <c r="T513" s="464">
        <v>5.4</v>
      </c>
      <c r="U513" s="465">
        <v>4887</v>
      </c>
      <c r="V513" s="465">
        <v>20340</v>
      </c>
      <c r="W513" s="466">
        <v>0</v>
      </c>
      <c r="X513" s="467">
        <v>1</v>
      </c>
      <c r="Y513" s="466">
        <v>37840.5</v>
      </c>
      <c r="Z513" s="468" t="s">
        <v>516</v>
      </c>
      <c r="AA513" s="466">
        <v>140272.9</v>
      </c>
      <c r="AB513" s="466">
        <v>140272.9</v>
      </c>
      <c r="AC513" s="467">
        <v>0</v>
      </c>
      <c r="AD513" s="466">
        <v>0</v>
      </c>
      <c r="AE513" s="468" t="s">
        <v>516</v>
      </c>
      <c r="AF513" s="466">
        <v>0</v>
      </c>
      <c r="AG513" s="466">
        <v>0</v>
      </c>
      <c r="AH513" s="466">
        <v>17001.52</v>
      </c>
      <c r="AI513" s="466">
        <v>7031.88</v>
      </c>
      <c r="AJ513" s="469" t="s">
        <v>1470</v>
      </c>
      <c r="AK513" s="470" t="s">
        <v>3856</v>
      </c>
      <c r="AL513" s="471" t="s">
        <v>5205</v>
      </c>
      <c r="AM513" s="470" t="s">
        <v>5206</v>
      </c>
      <c r="AN513" s="470" t="s">
        <v>5207</v>
      </c>
      <c r="AO513" s="470" t="s">
        <v>5208</v>
      </c>
      <c r="AP513" s="470" t="s">
        <v>5209</v>
      </c>
      <c r="AQ513" s="470" t="s">
        <v>5203</v>
      </c>
      <c r="AR513" s="472" t="s">
        <v>515</v>
      </c>
      <c r="AS513" s="473" t="s">
        <v>1385</v>
      </c>
      <c r="AT513" s="472" t="s">
        <v>517</v>
      </c>
      <c r="AU513" s="472" t="s">
        <v>420</v>
      </c>
      <c r="AV513" s="472">
        <v>2020</v>
      </c>
      <c r="AW513" s="474" t="s">
        <v>15078</v>
      </c>
      <c r="AX513" s="475" t="s">
        <v>15079</v>
      </c>
      <c r="AY513" s="515">
        <v>1</v>
      </c>
      <c r="AZ513" s="474" t="s">
        <v>15079</v>
      </c>
      <c r="BA513" s="472" t="s">
        <v>517</v>
      </c>
      <c r="BB513" s="472" t="s">
        <v>1385</v>
      </c>
      <c r="BC513" s="472" t="s">
        <v>1385</v>
      </c>
      <c r="BD513" s="472" t="s">
        <v>1385</v>
      </c>
      <c r="BE513" s="472" t="s">
        <v>1385</v>
      </c>
      <c r="BF513" s="472">
        <v>37840.5</v>
      </c>
      <c r="BG513" s="472">
        <v>0</v>
      </c>
      <c r="BH513" s="472" t="s">
        <v>1385</v>
      </c>
      <c r="BI513" s="510">
        <v>0</v>
      </c>
      <c r="BJ513" s="510">
        <v>0</v>
      </c>
      <c r="BK513" s="510">
        <v>0</v>
      </c>
      <c r="BL513" s="510">
        <v>1010.81</v>
      </c>
      <c r="BM513" s="510">
        <v>0</v>
      </c>
      <c r="BN513" s="510">
        <v>5000</v>
      </c>
      <c r="BO513" s="510">
        <v>0</v>
      </c>
      <c r="BP513" s="510">
        <v>0</v>
      </c>
      <c r="BQ513" s="510">
        <v>0</v>
      </c>
      <c r="BR513" s="510">
        <v>0</v>
      </c>
      <c r="BS513" s="510">
        <v>0</v>
      </c>
      <c r="BT513" s="510">
        <v>0</v>
      </c>
      <c r="BU513" s="510">
        <v>0</v>
      </c>
      <c r="BV513" s="510">
        <v>0</v>
      </c>
      <c r="BW513" s="510">
        <v>0</v>
      </c>
      <c r="BX513" s="510">
        <v>30000</v>
      </c>
      <c r="BY513" s="1011">
        <v>0</v>
      </c>
      <c r="BZ513" s="510">
        <v>0</v>
      </c>
      <c r="CA513" s="1011">
        <v>0</v>
      </c>
      <c r="CB513" s="510">
        <v>22000</v>
      </c>
      <c r="CC513" s="1011">
        <v>0</v>
      </c>
      <c r="CD513" s="510">
        <v>0</v>
      </c>
      <c r="CE513" s="1011">
        <v>0</v>
      </c>
      <c r="CF513" s="510">
        <v>50432.4</v>
      </c>
      <c r="CG513" s="1011">
        <v>0</v>
      </c>
      <c r="CH513" s="510">
        <v>0</v>
      </c>
      <c r="CI513" s="1011">
        <v>0</v>
      </c>
    </row>
    <row r="514" spans="1:87" x14ac:dyDescent="0.2">
      <c r="A514" s="449">
        <v>70</v>
      </c>
      <c r="B514" s="453">
        <v>90018</v>
      </c>
      <c r="C514" s="454" t="s">
        <v>5210</v>
      </c>
      <c r="D514" s="454" t="s">
        <v>1390</v>
      </c>
      <c r="E514" s="454" t="s">
        <v>5211</v>
      </c>
      <c r="F514" s="454" t="s">
        <v>519</v>
      </c>
      <c r="G514" s="454" t="s">
        <v>13170</v>
      </c>
      <c r="H514" s="455">
        <v>50960145000102</v>
      </c>
      <c r="I514" s="462">
        <v>30194</v>
      </c>
      <c r="J514" s="457">
        <v>37356690</v>
      </c>
      <c r="K514" s="454" t="s">
        <v>5213</v>
      </c>
      <c r="L514" s="458">
        <v>49</v>
      </c>
      <c r="M514" s="454" t="s">
        <v>519</v>
      </c>
      <c r="N514" s="459">
        <v>5505050</v>
      </c>
      <c r="O514" s="460">
        <v>38197850</v>
      </c>
      <c r="P514" s="462">
        <v>116109</v>
      </c>
      <c r="Q514" s="462">
        <v>56</v>
      </c>
      <c r="R514" s="462">
        <v>43881</v>
      </c>
      <c r="S514" s="463">
        <v>115</v>
      </c>
      <c r="T514" s="464">
        <v>3.6</v>
      </c>
      <c r="U514" s="465">
        <v>414</v>
      </c>
      <c r="V514" s="465">
        <v>10800</v>
      </c>
      <c r="W514" s="466">
        <v>0</v>
      </c>
      <c r="X514" s="467">
        <v>1</v>
      </c>
      <c r="Y514" s="466">
        <v>0</v>
      </c>
      <c r="Z514" s="468" t="s">
        <v>514</v>
      </c>
      <c r="AA514" s="466">
        <v>0</v>
      </c>
      <c r="AB514" s="466">
        <v>0</v>
      </c>
      <c r="AC514" s="467">
        <v>0</v>
      </c>
      <c r="AD514" s="466">
        <v>0</v>
      </c>
      <c r="AE514" s="468" t="s">
        <v>516</v>
      </c>
      <c r="AF514" s="466">
        <v>0</v>
      </c>
      <c r="AG514" s="466">
        <v>0</v>
      </c>
      <c r="AH514" s="466">
        <v>7527.49</v>
      </c>
      <c r="AI514" s="466">
        <v>2823.98</v>
      </c>
      <c r="AJ514" s="469" t="s">
        <v>1606</v>
      </c>
      <c r="AK514" s="470" t="s">
        <v>519</v>
      </c>
      <c r="AL514" s="471" t="s">
        <v>5214</v>
      </c>
      <c r="AM514" s="470" t="s">
        <v>5215</v>
      </c>
      <c r="AN514" s="470" t="s">
        <v>5212</v>
      </c>
      <c r="AO514" s="470" t="s">
        <v>5216</v>
      </c>
      <c r="AP514" s="470" t="s">
        <v>5217</v>
      </c>
      <c r="AQ514" s="470" t="s">
        <v>5210</v>
      </c>
      <c r="AR514" s="472" t="s">
        <v>515</v>
      </c>
      <c r="AS514" s="473" t="s">
        <v>1385</v>
      </c>
      <c r="AT514" s="472" t="s">
        <v>1390</v>
      </c>
      <c r="AU514" s="472" t="s">
        <v>420</v>
      </c>
      <c r="AV514" s="472">
        <v>2020</v>
      </c>
      <c r="AW514" s="474" t="s">
        <v>15078</v>
      </c>
      <c r="AX514" s="475" t="s">
        <v>15079</v>
      </c>
      <c r="AY514" s="515">
        <v>1</v>
      </c>
      <c r="AZ514" s="474" t="s">
        <v>15079</v>
      </c>
      <c r="BA514" s="472" t="s">
        <v>1385</v>
      </c>
      <c r="BB514" s="472" t="s">
        <v>1385</v>
      </c>
      <c r="BC514" s="472" t="s">
        <v>1385</v>
      </c>
      <c r="BD514" s="472" t="s">
        <v>1385</v>
      </c>
      <c r="BE514" s="472" t="s">
        <v>1385</v>
      </c>
      <c r="BF514" s="509">
        <v>16821</v>
      </c>
      <c r="BG514" s="509">
        <v>0</v>
      </c>
      <c r="BH514" s="472" t="s">
        <v>516</v>
      </c>
      <c r="BI514" s="510">
        <v>0</v>
      </c>
      <c r="BJ514" s="510">
        <v>0</v>
      </c>
      <c r="BK514" s="510">
        <v>0</v>
      </c>
      <c r="BL514" s="510">
        <v>0</v>
      </c>
      <c r="BM514" s="510">
        <v>0</v>
      </c>
      <c r="BN514" s="510">
        <v>0</v>
      </c>
      <c r="BO514" s="510">
        <v>0</v>
      </c>
      <c r="BP514" s="510">
        <v>0</v>
      </c>
      <c r="BQ514" s="510">
        <v>0</v>
      </c>
      <c r="BR514" s="510">
        <v>0</v>
      </c>
      <c r="BS514" s="510">
        <v>0</v>
      </c>
      <c r="BT514" s="510">
        <v>0</v>
      </c>
      <c r="BU514" s="510">
        <v>0</v>
      </c>
      <c r="BV514" s="510">
        <v>0</v>
      </c>
      <c r="BW514" s="510">
        <v>0</v>
      </c>
      <c r="BX514" s="510">
        <v>0</v>
      </c>
      <c r="BY514" s="1011">
        <v>0</v>
      </c>
      <c r="BZ514" s="510">
        <v>0</v>
      </c>
      <c r="CA514" s="1011">
        <v>0</v>
      </c>
      <c r="CB514" s="510">
        <v>0</v>
      </c>
      <c r="CC514" s="1011">
        <v>0</v>
      </c>
      <c r="CD514" s="510">
        <v>0</v>
      </c>
      <c r="CE514" s="1011">
        <v>0</v>
      </c>
      <c r="CF514" s="510">
        <v>0</v>
      </c>
      <c r="CG514" s="1011">
        <v>0</v>
      </c>
      <c r="CH514" s="510">
        <v>0</v>
      </c>
      <c r="CI514" s="1011">
        <v>0</v>
      </c>
    </row>
    <row r="515" spans="1:87" x14ac:dyDescent="0.2">
      <c r="A515" s="449">
        <v>62</v>
      </c>
      <c r="B515" s="453">
        <v>90026</v>
      </c>
      <c r="C515" s="454" t="s">
        <v>5218</v>
      </c>
      <c r="D515" s="454" t="s">
        <v>1390</v>
      </c>
      <c r="E515" s="454" t="s">
        <v>5219</v>
      </c>
      <c r="F515" s="454" t="s">
        <v>519</v>
      </c>
      <c r="G515" s="454" t="s">
        <v>13171</v>
      </c>
      <c r="H515" s="455">
        <v>50861111000160</v>
      </c>
      <c r="I515" s="462">
        <v>30173</v>
      </c>
      <c r="J515" s="457">
        <v>37356356</v>
      </c>
      <c r="K515" s="454" t="s">
        <v>5221</v>
      </c>
      <c r="L515" s="458">
        <v>405</v>
      </c>
      <c r="M515" s="454" t="s">
        <v>5222</v>
      </c>
      <c r="N515" s="459">
        <v>5590020</v>
      </c>
      <c r="O515" s="460">
        <v>37267849</v>
      </c>
      <c r="P515" s="462">
        <v>116230</v>
      </c>
      <c r="Q515" s="462">
        <v>47</v>
      </c>
      <c r="R515" s="462">
        <v>43881</v>
      </c>
      <c r="S515" s="463">
        <v>296</v>
      </c>
      <c r="T515" s="464">
        <v>3.6</v>
      </c>
      <c r="U515" s="465">
        <v>1065.5999999999999</v>
      </c>
      <c r="V515" s="465">
        <v>12240</v>
      </c>
      <c r="W515" s="466">
        <v>0</v>
      </c>
      <c r="X515" s="467">
        <v>1</v>
      </c>
      <c r="Y515" s="466">
        <v>0</v>
      </c>
      <c r="Z515" s="468" t="s">
        <v>514</v>
      </c>
      <c r="AA515" s="466">
        <v>0</v>
      </c>
      <c r="AB515" s="466">
        <v>0</v>
      </c>
      <c r="AC515" s="467">
        <v>0</v>
      </c>
      <c r="AD515" s="466">
        <v>0</v>
      </c>
      <c r="AE515" s="468" t="s">
        <v>516</v>
      </c>
      <c r="AF515" s="466">
        <v>0</v>
      </c>
      <c r="AG515" s="466">
        <v>0</v>
      </c>
      <c r="AH515" s="466">
        <v>854.91</v>
      </c>
      <c r="AI515" s="466">
        <v>4905.38</v>
      </c>
      <c r="AJ515" s="469" t="s">
        <v>1606</v>
      </c>
      <c r="AK515" s="470" t="s">
        <v>519</v>
      </c>
      <c r="AL515" s="471" t="s">
        <v>5223</v>
      </c>
      <c r="AM515" s="470" t="s">
        <v>13172</v>
      </c>
      <c r="AN515" s="470" t="s">
        <v>5220</v>
      </c>
      <c r="AO515" s="470" t="s">
        <v>5224</v>
      </c>
      <c r="AP515" s="470" t="s">
        <v>5225</v>
      </c>
      <c r="AQ515" s="470" t="s">
        <v>5218</v>
      </c>
      <c r="AR515" s="472" t="s">
        <v>515</v>
      </c>
      <c r="AS515" s="473" t="s">
        <v>1385</v>
      </c>
      <c r="AT515" s="472" t="s">
        <v>1390</v>
      </c>
      <c r="AU515" s="472" t="s">
        <v>420</v>
      </c>
      <c r="AV515" s="472">
        <v>2020</v>
      </c>
      <c r="AW515" s="474" t="s">
        <v>15078</v>
      </c>
      <c r="AX515" s="475" t="s">
        <v>15079</v>
      </c>
      <c r="AY515" s="515">
        <v>1</v>
      </c>
      <c r="AZ515" s="474" t="s">
        <v>15079</v>
      </c>
      <c r="BA515" s="472" t="s">
        <v>1385</v>
      </c>
      <c r="BB515" s="472" t="s">
        <v>1385</v>
      </c>
      <c r="BC515" s="472" t="s">
        <v>1385</v>
      </c>
      <c r="BD515" s="472" t="s">
        <v>1385</v>
      </c>
      <c r="BE515" s="472" t="s">
        <v>1385</v>
      </c>
      <c r="BF515" s="472">
        <v>19958.400000000001</v>
      </c>
      <c r="BG515" s="472">
        <v>0</v>
      </c>
      <c r="BH515" s="472" t="s">
        <v>516</v>
      </c>
      <c r="BI515" s="510">
        <v>0</v>
      </c>
      <c r="BJ515" s="510">
        <v>0</v>
      </c>
      <c r="BK515" s="510">
        <v>0</v>
      </c>
      <c r="BL515" s="510">
        <v>0</v>
      </c>
      <c r="BM515" s="510">
        <v>0</v>
      </c>
      <c r="BN515" s="510">
        <v>0</v>
      </c>
      <c r="BO515" s="510">
        <v>0</v>
      </c>
      <c r="BP515" s="510">
        <v>0</v>
      </c>
      <c r="BQ515" s="510">
        <v>0</v>
      </c>
      <c r="BR515" s="510">
        <v>0</v>
      </c>
      <c r="BS515" s="510">
        <v>0</v>
      </c>
      <c r="BT515" s="510">
        <v>0</v>
      </c>
      <c r="BU515" s="510">
        <v>0</v>
      </c>
      <c r="BV515" s="510">
        <v>0</v>
      </c>
      <c r="BW515" s="510">
        <v>0</v>
      </c>
      <c r="BX515" s="510">
        <v>0</v>
      </c>
      <c r="BY515" s="1011">
        <v>0</v>
      </c>
      <c r="BZ515" s="510">
        <v>0</v>
      </c>
      <c r="CA515" s="1011">
        <v>0</v>
      </c>
      <c r="CB515" s="510">
        <v>0</v>
      </c>
      <c r="CC515" s="1011">
        <v>0</v>
      </c>
      <c r="CD515" s="510">
        <v>0</v>
      </c>
      <c r="CE515" s="1011">
        <v>0</v>
      </c>
      <c r="CF515" s="510">
        <v>0</v>
      </c>
      <c r="CG515" s="1011">
        <v>0</v>
      </c>
      <c r="CH515" s="510">
        <v>0</v>
      </c>
      <c r="CI515" s="1011">
        <v>0</v>
      </c>
    </row>
    <row r="516" spans="1:87" x14ac:dyDescent="0.2">
      <c r="A516" s="449">
        <v>53</v>
      </c>
      <c r="B516" s="453">
        <v>90034</v>
      </c>
      <c r="C516" s="454" t="s">
        <v>5226</v>
      </c>
      <c r="D516" s="454" t="s">
        <v>1390</v>
      </c>
      <c r="E516" s="454" t="s">
        <v>5227</v>
      </c>
      <c r="F516" s="454" t="s">
        <v>519</v>
      </c>
      <c r="G516" s="454" t="s">
        <v>13173</v>
      </c>
      <c r="H516" s="455">
        <v>50862911000104</v>
      </c>
      <c r="I516" s="462">
        <v>30160</v>
      </c>
      <c r="J516" s="457">
        <v>37357220</v>
      </c>
      <c r="K516" s="454" t="s">
        <v>5229</v>
      </c>
      <c r="L516" s="458">
        <v>405</v>
      </c>
      <c r="M516" s="454" t="s">
        <v>5230</v>
      </c>
      <c r="N516" s="459">
        <v>5515040</v>
      </c>
      <c r="O516" s="460">
        <v>37217397</v>
      </c>
      <c r="P516" s="462">
        <v>125248</v>
      </c>
      <c r="Q516" s="462">
        <v>36</v>
      </c>
      <c r="R516" s="462">
        <v>43881</v>
      </c>
      <c r="S516" s="463">
        <v>151</v>
      </c>
      <c r="T516" s="464">
        <v>3.6</v>
      </c>
      <c r="U516" s="465">
        <v>543.6</v>
      </c>
      <c r="V516" s="465">
        <v>10800</v>
      </c>
      <c r="W516" s="466">
        <v>0</v>
      </c>
      <c r="X516" s="467">
        <v>1</v>
      </c>
      <c r="Y516" s="466">
        <v>0</v>
      </c>
      <c r="Z516" s="468" t="s">
        <v>514</v>
      </c>
      <c r="AA516" s="466">
        <v>0</v>
      </c>
      <c r="AB516" s="466">
        <v>0</v>
      </c>
      <c r="AC516" s="467">
        <v>0</v>
      </c>
      <c r="AD516" s="466">
        <v>0</v>
      </c>
      <c r="AE516" s="468" t="s">
        <v>516</v>
      </c>
      <c r="AF516" s="466">
        <v>0</v>
      </c>
      <c r="AG516" s="466">
        <v>0</v>
      </c>
      <c r="AH516" s="466">
        <v>1376.85</v>
      </c>
      <c r="AI516" s="466">
        <v>624.20000000000005</v>
      </c>
      <c r="AJ516" s="469" t="s">
        <v>2443</v>
      </c>
      <c r="AK516" s="470" t="s">
        <v>2444</v>
      </c>
      <c r="AL516" s="471" t="s">
        <v>5231</v>
      </c>
      <c r="AM516" s="470" t="s">
        <v>5232</v>
      </c>
      <c r="AN516" s="470" t="s">
        <v>5228</v>
      </c>
      <c r="AO516" s="470" t="s">
        <v>5233</v>
      </c>
      <c r="AP516" s="470" t="s">
        <v>5234</v>
      </c>
      <c r="AQ516" s="470" t="s">
        <v>5226</v>
      </c>
      <c r="AR516" s="472" t="s">
        <v>515</v>
      </c>
      <c r="AS516" s="473" t="s">
        <v>1385</v>
      </c>
      <c r="AT516" s="472" t="s">
        <v>1390</v>
      </c>
      <c r="AU516" s="472" t="s">
        <v>420</v>
      </c>
      <c r="AV516" s="472">
        <v>2020</v>
      </c>
      <c r="AW516" s="474" t="s">
        <v>15078</v>
      </c>
      <c r="AX516" s="475" t="s">
        <v>15079</v>
      </c>
      <c r="AY516" s="515">
        <v>1</v>
      </c>
      <c r="AZ516" s="474" t="s">
        <v>15079</v>
      </c>
      <c r="BA516" s="472" t="s">
        <v>1385</v>
      </c>
      <c r="BB516" s="472" t="s">
        <v>516</v>
      </c>
      <c r="BC516" s="472">
        <v>5</v>
      </c>
      <c r="BD516" s="472">
        <v>3240</v>
      </c>
      <c r="BE516" s="472">
        <v>0</v>
      </c>
      <c r="BF516" s="472">
        <v>21875.4</v>
      </c>
      <c r="BG516" s="472">
        <v>0</v>
      </c>
      <c r="BH516" s="472" t="s">
        <v>516</v>
      </c>
      <c r="BI516" s="510">
        <v>0</v>
      </c>
      <c r="BJ516" s="510">
        <v>0</v>
      </c>
      <c r="BK516" s="510">
        <v>0</v>
      </c>
      <c r="BL516" s="510">
        <v>0</v>
      </c>
      <c r="BM516" s="510">
        <v>0</v>
      </c>
      <c r="BN516" s="510">
        <v>0</v>
      </c>
      <c r="BO516" s="510">
        <v>0</v>
      </c>
      <c r="BP516" s="510">
        <v>0</v>
      </c>
      <c r="BQ516" s="510">
        <v>0</v>
      </c>
      <c r="BR516" s="510">
        <v>0</v>
      </c>
      <c r="BS516" s="510">
        <v>0</v>
      </c>
      <c r="BT516" s="510">
        <v>0</v>
      </c>
      <c r="BU516" s="510">
        <v>0</v>
      </c>
      <c r="BV516" s="510">
        <v>0</v>
      </c>
      <c r="BW516" s="510">
        <v>0</v>
      </c>
      <c r="BX516" s="510">
        <v>0</v>
      </c>
      <c r="BY516" s="1011">
        <v>0</v>
      </c>
      <c r="BZ516" s="510">
        <v>0</v>
      </c>
      <c r="CA516" s="1011">
        <v>0</v>
      </c>
      <c r="CB516" s="510">
        <v>0</v>
      </c>
      <c r="CC516" s="1011">
        <v>0</v>
      </c>
      <c r="CD516" s="510">
        <v>0</v>
      </c>
      <c r="CE516" s="1011">
        <v>0</v>
      </c>
      <c r="CF516" s="510">
        <v>0</v>
      </c>
      <c r="CG516" s="1011">
        <v>0</v>
      </c>
      <c r="CH516" s="510">
        <v>0</v>
      </c>
      <c r="CI516" s="1011">
        <v>0</v>
      </c>
    </row>
    <row r="517" spans="1:87" x14ac:dyDescent="0.2">
      <c r="A517" s="449">
        <v>61</v>
      </c>
      <c r="B517" s="453">
        <v>90042</v>
      </c>
      <c r="C517" s="454" t="s">
        <v>5235</v>
      </c>
      <c r="D517" s="454" t="s">
        <v>1390</v>
      </c>
      <c r="E517" s="454" t="s">
        <v>5236</v>
      </c>
      <c r="F517" s="454" t="s">
        <v>519</v>
      </c>
      <c r="G517" s="454" t="s">
        <v>13174</v>
      </c>
      <c r="H517" s="455">
        <v>52571742000170</v>
      </c>
      <c r="I517" s="462">
        <v>30428</v>
      </c>
      <c r="J517" s="457">
        <v>37355449</v>
      </c>
      <c r="K517" s="454" t="s">
        <v>5238</v>
      </c>
      <c r="L517" s="458">
        <v>45</v>
      </c>
      <c r="M517" s="454" t="s">
        <v>5239</v>
      </c>
      <c r="N517" s="459">
        <v>5625050</v>
      </c>
      <c r="O517" s="460">
        <v>37425646</v>
      </c>
      <c r="P517" s="462">
        <v>119310</v>
      </c>
      <c r="Q517" s="462">
        <v>46</v>
      </c>
      <c r="R517" s="462">
        <v>43881</v>
      </c>
      <c r="S517" s="463">
        <v>317</v>
      </c>
      <c r="T517" s="464">
        <v>3.6</v>
      </c>
      <c r="U517" s="465">
        <v>1141.2</v>
      </c>
      <c r="V517" s="465">
        <v>13680</v>
      </c>
      <c r="W517" s="466">
        <v>0</v>
      </c>
      <c r="X517" s="467">
        <v>1</v>
      </c>
      <c r="Y517" s="466">
        <v>0</v>
      </c>
      <c r="Z517" s="468" t="s">
        <v>514</v>
      </c>
      <c r="AA517" s="466">
        <v>0</v>
      </c>
      <c r="AB517" s="466">
        <v>0</v>
      </c>
      <c r="AC517" s="467">
        <v>0</v>
      </c>
      <c r="AD517" s="466">
        <v>0</v>
      </c>
      <c r="AE517" s="468" t="s">
        <v>516</v>
      </c>
      <c r="AF517" s="466">
        <v>0</v>
      </c>
      <c r="AG517" s="466">
        <v>0</v>
      </c>
      <c r="AH517" s="466">
        <v>134.61000000000001</v>
      </c>
      <c r="AI517" s="466">
        <v>4384.9799999999996</v>
      </c>
      <c r="AJ517" s="469" t="s">
        <v>2443</v>
      </c>
      <c r="AK517" s="470" t="s">
        <v>2444</v>
      </c>
      <c r="AL517" s="471" t="s">
        <v>5240</v>
      </c>
      <c r="AM517" s="470" t="s">
        <v>5241</v>
      </c>
      <c r="AN517" s="470" t="s">
        <v>5237</v>
      </c>
      <c r="AO517" s="470" t="s">
        <v>5242</v>
      </c>
      <c r="AP517" s="470" t="s">
        <v>5243</v>
      </c>
      <c r="AQ517" s="470" t="s">
        <v>5235</v>
      </c>
      <c r="AR517" s="472" t="s">
        <v>515</v>
      </c>
      <c r="AS517" s="473" t="s">
        <v>1385</v>
      </c>
      <c r="AT517" s="472" t="s">
        <v>1390</v>
      </c>
      <c r="AU517" s="472" t="s">
        <v>420</v>
      </c>
      <c r="AV517" s="472">
        <v>2020</v>
      </c>
      <c r="AW517" s="474" t="s">
        <v>15078</v>
      </c>
      <c r="AX517" s="475" t="s">
        <v>15079</v>
      </c>
      <c r="AY517" s="515">
        <v>1</v>
      </c>
      <c r="AZ517" s="474" t="s">
        <v>15079</v>
      </c>
      <c r="BA517" s="472" t="s">
        <v>1385</v>
      </c>
      <c r="BB517" s="472" t="s">
        <v>1385</v>
      </c>
      <c r="BC517" s="472" t="s">
        <v>1385</v>
      </c>
      <c r="BD517" s="472" t="s">
        <v>1385</v>
      </c>
      <c r="BE517" s="472" t="s">
        <v>1385</v>
      </c>
      <c r="BF517" s="472">
        <v>22231.8</v>
      </c>
      <c r="BG517" s="472">
        <v>0</v>
      </c>
      <c r="BH517" s="472" t="s">
        <v>516</v>
      </c>
      <c r="BI517" s="510">
        <v>0</v>
      </c>
      <c r="BJ517" s="510">
        <v>0</v>
      </c>
      <c r="BK517" s="510">
        <v>0</v>
      </c>
      <c r="BL517" s="510">
        <v>0</v>
      </c>
      <c r="BM517" s="510">
        <v>0</v>
      </c>
      <c r="BN517" s="510">
        <v>0</v>
      </c>
      <c r="BO517" s="510">
        <v>0</v>
      </c>
      <c r="BP517" s="510">
        <v>0</v>
      </c>
      <c r="BQ517" s="510">
        <v>0</v>
      </c>
      <c r="BR517" s="510">
        <v>0</v>
      </c>
      <c r="BS517" s="510">
        <v>0</v>
      </c>
      <c r="BT517" s="510">
        <v>0</v>
      </c>
      <c r="BU517" s="510">
        <v>0</v>
      </c>
      <c r="BV517" s="510">
        <v>0</v>
      </c>
      <c r="BW517" s="510">
        <v>0</v>
      </c>
      <c r="BX517" s="510">
        <v>0</v>
      </c>
      <c r="BY517" s="1011">
        <v>0</v>
      </c>
      <c r="BZ517" s="510">
        <v>0</v>
      </c>
      <c r="CA517" s="1011">
        <v>0</v>
      </c>
      <c r="CB517" s="510">
        <v>0</v>
      </c>
      <c r="CC517" s="1011">
        <v>0</v>
      </c>
      <c r="CD517" s="510">
        <v>0</v>
      </c>
      <c r="CE517" s="1011">
        <v>0</v>
      </c>
      <c r="CF517" s="510">
        <v>0</v>
      </c>
      <c r="CG517" s="1011">
        <v>0</v>
      </c>
      <c r="CH517" s="510">
        <v>0</v>
      </c>
      <c r="CI517" s="1011">
        <v>0</v>
      </c>
    </row>
    <row r="518" spans="1:87" x14ac:dyDescent="0.2">
      <c r="A518" s="449">
        <v>66</v>
      </c>
      <c r="B518" s="453">
        <v>90051</v>
      </c>
      <c r="C518" s="454" t="s">
        <v>5244</v>
      </c>
      <c r="D518" s="454" t="s">
        <v>1390</v>
      </c>
      <c r="E518" s="454" t="s">
        <v>5245</v>
      </c>
      <c r="F518" s="454" t="s">
        <v>519</v>
      </c>
      <c r="G518" s="454" t="s">
        <v>13175</v>
      </c>
      <c r="H518" s="455">
        <v>50949791000179</v>
      </c>
      <c r="I518" s="462">
        <v>30221</v>
      </c>
      <c r="J518" s="457">
        <v>37356160</v>
      </c>
      <c r="K518" s="454" t="s">
        <v>5247</v>
      </c>
      <c r="L518" s="458">
        <v>30</v>
      </c>
      <c r="M518" s="454" t="s">
        <v>2709</v>
      </c>
      <c r="N518" s="459">
        <v>5528040</v>
      </c>
      <c r="O518" s="460">
        <v>37510224</v>
      </c>
      <c r="P518" s="462">
        <v>122109</v>
      </c>
      <c r="Q518" s="462">
        <v>51</v>
      </c>
      <c r="R518" s="462">
        <v>43881</v>
      </c>
      <c r="S518" s="463">
        <v>174</v>
      </c>
      <c r="T518" s="464">
        <v>3.6</v>
      </c>
      <c r="U518" s="465">
        <v>626.4</v>
      </c>
      <c r="V518" s="465">
        <v>10800</v>
      </c>
      <c r="W518" s="466">
        <v>0</v>
      </c>
      <c r="X518" s="467">
        <v>1</v>
      </c>
      <c r="Y518" s="466">
        <v>0</v>
      </c>
      <c r="Z518" s="468" t="s">
        <v>514</v>
      </c>
      <c r="AA518" s="466">
        <v>0</v>
      </c>
      <c r="AB518" s="466">
        <v>0</v>
      </c>
      <c r="AC518" s="467">
        <v>0</v>
      </c>
      <c r="AD518" s="466">
        <v>0</v>
      </c>
      <c r="AE518" s="468" t="s">
        <v>516</v>
      </c>
      <c r="AF518" s="466">
        <v>0</v>
      </c>
      <c r="AG518" s="466">
        <v>0</v>
      </c>
      <c r="AH518" s="466">
        <v>608.39</v>
      </c>
      <c r="AI518" s="466">
        <v>0</v>
      </c>
      <c r="AJ518" s="469" t="s">
        <v>2443</v>
      </c>
      <c r="AK518" s="470" t="s">
        <v>2444</v>
      </c>
      <c r="AL518" s="471" t="s">
        <v>5248</v>
      </c>
      <c r="AM518" s="470" t="s">
        <v>13176</v>
      </c>
      <c r="AN518" s="470" t="s">
        <v>5246</v>
      </c>
      <c r="AO518" s="470" t="s">
        <v>5249</v>
      </c>
      <c r="AP518" s="470" t="s">
        <v>5250</v>
      </c>
      <c r="AQ518" s="470" t="s">
        <v>5244</v>
      </c>
      <c r="AR518" s="472" t="s">
        <v>515</v>
      </c>
      <c r="AS518" s="473" t="s">
        <v>1385</v>
      </c>
      <c r="AT518" s="472" t="s">
        <v>1390</v>
      </c>
      <c r="AU518" s="472" t="s">
        <v>420</v>
      </c>
      <c r="AV518" s="472">
        <v>2020</v>
      </c>
      <c r="AW518" s="474" t="s">
        <v>15078</v>
      </c>
      <c r="AX518" s="475" t="s">
        <v>15079</v>
      </c>
      <c r="AY518" s="515">
        <v>1</v>
      </c>
      <c r="AZ518" s="474" t="s">
        <v>15079</v>
      </c>
      <c r="BA518" s="472" t="s">
        <v>1385</v>
      </c>
      <c r="BB518" s="472" t="s">
        <v>1385</v>
      </c>
      <c r="BC518" s="472" t="s">
        <v>1385</v>
      </c>
      <c r="BD518" s="472" t="s">
        <v>1385</v>
      </c>
      <c r="BE518" s="472" t="s">
        <v>1385</v>
      </c>
      <c r="BF518" s="472">
        <v>17139.599999999999</v>
      </c>
      <c r="BG518" s="472">
        <v>0</v>
      </c>
      <c r="BH518" s="472" t="s">
        <v>516</v>
      </c>
      <c r="BI518" s="510">
        <v>0</v>
      </c>
      <c r="BJ518" s="510">
        <v>0</v>
      </c>
      <c r="BK518" s="510">
        <v>0</v>
      </c>
      <c r="BL518" s="510">
        <v>0</v>
      </c>
      <c r="BM518" s="510">
        <v>0</v>
      </c>
      <c r="BN518" s="510">
        <v>0</v>
      </c>
      <c r="BO518" s="510">
        <v>0</v>
      </c>
      <c r="BP518" s="510">
        <v>0</v>
      </c>
      <c r="BQ518" s="510">
        <v>0</v>
      </c>
      <c r="BR518" s="510">
        <v>0</v>
      </c>
      <c r="BS518" s="510">
        <v>0</v>
      </c>
      <c r="BT518" s="510">
        <v>0</v>
      </c>
      <c r="BU518" s="510">
        <v>0</v>
      </c>
      <c r="BV518" s="510">
        <v>0</v>
      </c>
      <c r="BW518" s="510">
        <v>0</v>
      </c>
      <c r="BX518" s="510">
        <v>0</v>
      </c>
      <c r="BY518" s="1011">
        <v>0</v>
      </c>
      <c r="BZ518" s="510">
        <v>0</v>
      </c>
      <c r="CA518" s="1011">
        <v>0</v>
      </c>
      <c r="CB518" s="510">
        <v>0</v>
      </c>
      <c r="CC518" s="1011">
        <v>0</v>
      </c>
      <c r="CD518" s="510">
        <v>0</v>
      </c>
      <c r="CE518" s="1011">
        <v>0</v>
      </c>
      <c r="CF518" s="510">
        <v>0</v>
      </c>
      <c r="CG518" s="1011">
        <v>0</v>
      </c>
      <c r="CH518" s="510">
        <v>0</v>
      </c>
      <c r="CI518" s="1011">
        <v>0</v>
      </c>
    </row>
    <row r="519" spans="1:87" x14ac:dyDescent="0.2">
      <c r="A519" s="449">
        <v>52</v>
      </c>
      <c r="B519" s="453">
        <v>90069</v>
      </c>
      <c r="C519" s="454" t="s">
        <v>5251</v>
      </c>
      <c r="D519" s="454" t="s">
        <v>1390</v>
      </c>
      <c r="E519" s="454" t="s">
        <v>5252</v>
      </c>
      <c r="F519" s="454" t="s">
        <v>519</v>
      </c>
      <c r="G519" s="454" t="s">
        <v>13177</v>
      </c>
      <c r="H519" s="455">
        <v>50863091000167</v>
      </c>
      <c r="I519" s="462">
        <v>30160</v>
      </c>
      <c r="J519" s="457">
        <v>37355155</v>
      </c>
      <c r="K519" s="454" t="s">
        <v>5253</v>
      </c>
      <c r="L519" s="458">
        <v>12</v>
      </c>
      <c r="M519" s="454" t="s">
        <v>519</v>
      </c>
      <c r="N519" s="459">
        <v>5545080</v>
      </c>
      <c r="O519" s="460">
        <v>37825295</v>
      </c>
      <c r="P519" s="462">
        <v>124136</v>
      </c>
      <c r="Q519" s="462">
        <v>35</v>
      </c>
      <c r="R519" s="462">
        <v>43881</v>
      </c>
      <c r="S519" s="463">
        <v>211</v>
      </c>
      <c r="T519" s="464">
        <v>3.6</v>
      </c>
      <c r="U519" s="465">
        <v>759.6</v>
      </c>
      <c r="V519" s="465">
        <v>12240</v>
      </c>
      <c r="W519" s="466">
        <v>0</v>
      </c>
      <c r="X519" s="467">
        <v>1</v>
      </c>
      <c r="Y519" s="466">
        <v>0</v>
      </c>
      <c r="Z519" s="468" t="s">
        <v>514</v>
      </c>
      <c r="AA519" s="466">
        <v>0</v>
      </c>
      <c r="AB519" s="466">
        <v>0</v>
      </c>
      <c r="AC519" s="467">
        <v>0</v>
      </c>
      <c r="AD519" s="466">
        <v>0</v>
      </c>
      <c r="AE519" s="468" t="s">
        <v>516</v>
      </c>
      <c r="AF519" s="466">
        <v>0</v>
      </c>
      <c r="AG519" s="466">
        <v>0</v>
      </c>
      <c r="AH519" s="466">
        <v>2902.47</v>
      </c>
      <c r="AI519" s="466">
        <v>1245.78</v>
      </c>
      <c r="AJ519" s="469" t="s">
        <v>1606</v>
      </c>
      <c r="AK519" s="470" t="s">
        <v>519</v>
      </c>
      <c r="AL519" s="471" t="s">
        <v>5254</v>
      </c>
      <c r="AM519" s="470" t="s">
        <v>5255</v>
      </c>
      <c r="AN519" s="470" t="s">
        <v>5256</v>
      </c>
      <c r="AO519" s="470" t="s">
        <v>5257</v>
      </c>
      <c r="AP519" s="470" t="s">
        <v>5258</v>
      </c>
      <c r="AQ519" s="470" t="s">
        <v>5251</v>
      </c>
      <c r="AR519" s="472" t="s">
        <v>515</v>
      </c>
      <c r="AS519" s="473" t="s">
        <v>1385</v>
      </c>
      <c r="AT519" s="472" t="s">
        <v>1390</v>
      </c>
      <c r="AU519" s="472" t="s">
        <v>420</v>
      </c>
      <c r="AV519" s="472">
        <v>2020</v>
      </c>
      <c r="AW519" s="474" t="s">
        <v>15078</v>
      </c>
      <c r="AX519" s="475" t="s">
        <v>15079</v>
      </c>
      <c r="AY519" s="515">
        <v>1</v>
      </c>
      <c r="AZ519" s="474" t="s">
        <v>15079</v>
      </c>
      <c r="BA519" s="472" t="s">
        <v>1385</v>
      </c>
      <c r="BB519" s="472" t="s">
        <v>1385</v>
      </c>
      <c r="BC519" s="472" t="s">
        <v>1385</v>
      </c>
      <c r="BD519" s="472" t="s">
        <v>1385</v>
      </c>
      <c r="BE519" s="472" t="s">
        <v>1385</v>
      </c>
      <c r="BF519" s="472">
        <v>19499.400000000001</v>
      </c>
      <c r="BG519" s="472">
        <v>0</v>
      </c>
      <c r="BH519" s="472" t="s">
        <v>516</v>
      </c>
      <c r="BI519" s="510">
        <v>0</v>
      </c>
      <c r="BJ519" s="510">
        <v>0</v>
      </c>
      <c r="BK519" s="510">
        <v>0</v>
      </c>
      <c r="BL519" s="510">
        <v>0</v>
      </c>
      <c r="BM519" s="510">
        <v>0</v>
      </c>
      <c r="BN519" s="510">
        <v>0</v>
      </c>
      <c r="BO519" s="510">
        <v>0</v>
      </c>
      <c r="BP519" s="510">
        <v>0</v>
      </c>
      <c r="BQ519" s="510">
        <v>0</v>
      </c>
      <c r="BR519" s="510">
        <v>0</v>
      </c>
      <c r="BS519" s="510">
        <v>0</v>
      </c>
      <c r="BT519" s="510">
        <v>0</v>
      </c>
      <c r="BU519" s="510">
        <v>0</v>
      </c>
      <c r="BV519" s="510">
        <v>0</v>
      </c>
      <c r="BW519" s="510">
        <v>0</v>
      </c>
      <c r="BX519" s="510">
        <v>0</v>
      </c>
      <c r="BY519" s="1011">
        <v>0</v>
      </c>
      <c r="BZ519" s="510">
        <v>0</v>
      </c>
      <c r="CA519" s="1011">
        <v>0</v>
      </c>
      <c r="CB519" s="510">
        <v>0</v>
      </c>
      <c r="CC519" s="1011">
        <v>0</v>
      </c>
      <c r="CD519" s="510">
        <v>0</v>
      </c>
      <c r="CE519" s="1011">
        <v>0</v>
      </c>
      <c r="CF519" s="510">
        <v>0</v>
      </c>
      <c r="CG519" s="1011">
        <v>0</v>
      </c>
      <c r="CH519" s="510">
        <v>0</v>
      </c>
      <c r="CI519" s="1011">
        <v>0</v>
      </c>
    </row>
    <row r="520" spans="1:87" x14ac:dyDescent="0.2">
      <c r="A520" s="449">
        <v>59</v>
      </c>
      <c r="B520" s="453">
        <v>90077</v>
      </c>
      <c r="C520" s="454" t="s">
        <v>5259</v>
      </c>
      <c r="D520" s="454" t="s">
        <v>1390</v>
      </c>
      <c r="E520" s="454" t="s">
        <v>5260</v>
      </c>
      <c r="F520" s="454" t="s">
        <v>519</v>
      </c>
      <c r="G520" s="454" t="s">
        <v>13178</v>
      </c>
      <c r="H520" s="455">
        <v>50958800000198</v>
      </c>
      <c r="I520" s="462">
        <v>30200</v>
      </c>
      <c r="J520" s="457">
        <v>37355350</v>
      </c>
      <c r="K520" s="454" t="s">
        <v>5262</v>
      </c>
      <c r="L520" s="458">
        <v>879</v>
      </c>
      <c r="M520" s="454" t="s">
        <v>3072</v>
      </c>
      <c r="N520" s="459">
        <v>5567050</v>
      </c>
      <c r="O520" s="460">
        <v>37821248</v>
      </c>
      <c r="P520" s="462">
        <v>115013</v>
      </c>
      <c r="Q520" s="462">
        <v>42</v>
      </c>
      <c r="R520" s="462">
        <v>43881</v>
      </c>
      <c r="S520" s="463">
        <v>323</v>
      </c>
      <c r="T520" s="464">
        <v>3.6</v>
      </c>
      <c r="U520" s="465">
        <v>1162.8</v>
      </c>
      <c r="V520" s="465">
        <v>13680</v>
      </c>
      <c r="W520" s="466">
        <v>0</v>
      </c>
      <c r="X520" s="467">
        <v>1</v>
      </c>
      <c r="Y520" s="466">
        <v>0</v>
      </c>
      <c r="Z520" s="468" t="s">
        <v>514</v>
      </c>
      <c r="AA520" s="466">
        <v>0</v>
      </c>
      <c r="AB520" s="466">
        <v>0</v>
      </c>
      <c r="AC520" s="467">
        <v>0</v>
      </c>
      <c r="AD520" s="466">
        <v>0</v>
      </c>
      <c r="AE520" s="468" t="s">
        <v>516</v>
      </c>
      <c r="AF520" s="466">
        <v>0</v>
      </c>
      <c r="AG520" s="466">
        <v>0</v>
      </c>
      <c r="AH520" s="466">
        <v>5915.21</v>
      </c>
      <c r="AI520" s="466">
        <v>6568.4</v>
      </c>
      <c r="AJ520" s="469" t="s">
        <v>5263</v>
      </c>
      <c r="AK520" s="470" t="s">
        <v>5264</v>
      </c>
      <c r="AL520" s="471" t="s">
        <v>5265</v>
      </c>
      <c r="AM520" s="470" t="s">
        <v>5266</v>
      </c>
      <c r="AN520" s="470" t="s">
        <v>5261</v>
      </c>
      <c r="AO520" s="470" t="s">
        <v>5267</v>
      </c>
      <c r="AP520" s="470" t="s">
        <v>5268</v>
      </c>
      <c r="AQ520" s="470" t="s">
        <v>5259</v>
      </c>
      <c r="AR520" s="472" t="s">
        <v>515</v>
      </c>
      <c r="AS520" s="473" t="s">
        <v>1385</v>
      </c>
      <c r="AT520" s="472" t="s">
        <v>1390</v>
      </c>
      <c r="AU520" s="472" t="s">
        <v>420</v>
      </c>
      <c r="AV520" s="472">
        <v>2020</v>
      </c>
      <c r="AW520" s="474" t="s">
        <v>15078</v>
      </c>
      <c r="AX520" s="475" t="s">
        <v>15079</v>
      </c>
      <c r="AY520" s="515">
        <v>1</v>
      </c>
      <c r="AZ520" s="474" t="s">
        <v>15079</v>
      </c>
      <c r="BA520" s="472" t="s">
        <v>1385</v>
      </c>
      <c r="BB520" s="472" t="s">
        <v>1385</v>
      </c>
      <c r="BC520" s="472" t="s">
        <v>1385</v>
      </c>
      <c r="BD520" s="472" t="s">
        <v>1385</v>
      </c>
      <c r="BE520" s="472" t="s">
        <v>1385</v>
      </c>
      <c r="BF520" s="472">
        <v>22264.2</v>
      </c>
      <c r="BG520" s="472">
        <v>0</v>
      </c>
      <c r="BH520" s="472" t="s">
        <v>516</v>
      </c>
      <c r="BI520" s="510">
        <v>0</v>
      </c>
      <c r="BJ520" s="510">
        <v>0</v>
      </c>
      <c r="BK520" s="510">
        <v>0</v>
      </c>
      <c r="BL520" s="510">
        <v>0</v>
      </c>
      <c r="BM520" s="510">
        <v>0</v>
      </c>
      <c r="BN520" s="510">
        <v>0</v>
      </c>
      <c r="BO520" s="510">
        <v>0</v>
      </c>
      <c r="BP520" s="510">
        <v>0</v>
      </c>
      <c r="BQ520" s="510">
        <v>0</v>
      </c>
      <c r="BR520" s="510">
        <v>0</v>
      </c>
      <c r="BS520" s="510">
        <v>0</v>
      </c>
      <c r="BT520" s="510">
        <v>0</v>
      </c>
      <c r="BU520" s="510">
        <v>0</v>
      </c>
      <c r="BV520" s="510">
        <v>0</v>
      </c>
      <c r="BW520" s="510">
        <v>0</v>
      </c>
      <c r="BX520" s="510">
        <v>0</v>
      </c>
      <c r="BY520" s="1011">
        <v>0</v>
      </c>
      <c r="BZ520" s="510">
        <v>0</v>
      </c>
      <c r="CA520" s="1011">
        <v>0</v>
      </c>
      <c r="CB520" s="510">
        <v>0</v>
      </c>
      <c r="CC520" s="1011">
        <v>0</v>
      </c>
      <c r="CD520" s="510">
        <v>0</v>
      </c>
      <c r="CE520" s="1011">
        <v>0</v>
      </c>
      <c r="CF520" s="510">
        <v>0</v>
      </c>
      <c r="CG520" s="1011">
        <v>0</v>
      </c>
      <c r="CH520" s="510">
        <v>0</v>
      </c>
      <c r="CI520" s="1011">
        <v>0</v>
      </c>
    </row>
    <row r="521" spans="1:87" x14ac:dyDescent="0.2">
      <c r="A521" s="449">
        <v>72</v>
      </c>
      <c r="B521" s="453">
        <v>90085</v>
      </c>
      <c r="C521" s="454" t="s">
        <v>5269</v>
      </c>
      <c r="D521" s="454" t="s">
        <v>1390</v>
      </c>
      <c r="E521" s="454" t="s">
        <v>5270</v>
      </c>
      <c r="F521" s="454" t="s">
        <v>519</v>
      </c>
      <c r="G521" s="454" t="s">
        <v>13179</v>
      </c>
      <c r="H521" s="455">
        <v>50862937000144</v>
      </c>
      <c r="I521" s="462">
        <v>30160</v>
      </c>
      <c r="J521" s="457">
        <v>37356844</v>
      </c>
      <c r="K521" s="454" t="s">
        <v>5272</v>
      </c>
      <c r="L521" s="458">
        <v>76</v>
      </c>
      <c r="M521" s="454" t="s">
        <v>2691</v>
      </c>
      <c r="N521" s="459">
        <v>5381000</v>
      </c>
      <c r="O521" s="460">
        <v>37685495</v>
      </c>
      <c r="P521" s="462">
        <v>121943</v>
      </c>
      <c r="Q521" s="462">
        <v>58</v>
      </c>
      <c r="R521" s="462">
        <v>43881</v>
      </c>
      <c r="S521" s="463">
        <v>244</v>
      </c>
      <c r="T521" s="464">
        <v>3.6</v>
      </c>
      <c r="U521" s="465">
        <v>878.4</v>
      </c>
      <c r="V521" s="465">
        <v>12240</v>
      </c>
      <c r="W521" s="466">
        <v>0</v>
      </c>
      <c r="X521" s="467">
        <v>1</v>
      </c>
      <c r="Y521" s="466">
        <v>0</v>
      </c>
      <c r="Z521" s="468" t="s">
        <v>514</v>
      </c>
      <c r="AA521" s="466">
        <v>0</v>
      </c>
      <c r="AB521" s="466">
        <v>0</v>
      </c>
      <c r="AC521" s="467">
        <v>0</v>
      </c>
      <c r="AD521" s="466">
        <v>0</v>
      </c>
      <c r="AE521" s="468" t="s">
        <v>516</v>
      </c>
      <c r="AF521" s="466">
        <v>0</v>
      </c>
      <c r="AG521" s="466">
        <v>0</v>
      </c>
      <c r="AH521" s="466">
        <v>8044.03</v>
      </c>
      <c r="AI521" s="466">
        <v>2749.6</v>
      </c>
      <c r="AJ521" s="469" t="s">
        <v>1606</v>
      </c>
      <c r="AK521" s="470" t="s">
        <v>519</v>
      </c>
      <c r="AL521" s="471" t="s">
        <v>5273</v>
      </c>
      <c r="AM521" s="470" t="s">
        <v>5274</v>
      </c>
      <c r="AN521" s="470" t="s">
        <v>5271</v>
      </c>
      <c r="AO521" s="470" t="s">
        <v>5275</v>
      </c>
      <c r="AP521" s="470" t="s">
        <v>5276</v>
      </c>
      <c r="AQ521" s="470" t="s">
        <v>5269</v>
      </c>
      <c r="AR521" s="472" t="s">
        <v>515</v>
      </c>
      <c r="AS521" s="473" t="s">
        <v>1385</v>
      </c>
      <c r="AT521" s="472" t="s">
        <v>1390</v>
      </c>
      <c r="AU521" s="472" t="s">
        <v>420</v>
      </c>
      <c r="AV521" s="472">
        <v>2020</v>
      </c>
      <c r="AW521" s="474" t="s">
        <v>15078</v>
      </c>
      <c r="AX521" s="475" t="s">
        <v>15079</v>
      </c>
      <c r="AY521" s="515">
        <v>1</v>
      </c>
      <c r="AZ521" s="474" t="s">
        <v>15079</v>
      </c>
      <c r="BA521" s="472" t="s">
        <v>1385</v>
      </c>
      <c r="BB521" s="472" t="s">
        <v>1385</v>
      </c>
      <c r="BC521" s="472" t="s">
        <v>1385</v>
      </c>
      <c r="BD521" s="472" t="s">
        <v>1385</v>
      </c>
      <c r="BE521" s="472" t="s">
        <v>1385</v>
      </c>
      <c r="BF521" s="472">
        <v>19677.599999999999</v>
      </c>
      <c r="BG521" s="472">
        <v>0</v>
      </c>
      <c r="BH521" s="472" t="s">
        <v>516</v>
      </c>
      <c r="BI521" s="510">
        <v>0</v>
      </c>
      <c r="BJ521" s="510">
        <v>0</v>
      </c>
      <c r="BK521" s="510">
        <v>0</v>
      </c>
      <c r="BL521" s="510">
        <v>0</v>
      </c>
      <c r="BM521" s="510">
        <v>0</v>
      </c>
      <c r="BN521" s="510">
        <v>0</v>
      </c>
      <c r="BO521" s="510">
        <v>0</v>
      </c>
      <c r="BP521" s="510">
        <v>0</v>
      </c>
      <c r="BQ521" s="510">
        <v>0</v>
      </c>
      <c r="BR521" s="510">
        <v>0</v>
      </c>
      <c r="BS521" s="510">
        <v>0</v>
      </c>
      <c r="BT521" s="510">
        <v>0</v>
      </c>
      <c r="BU521" s="510">
        <v>0</v>
      </c>
      <c r="BV521" s="510">
        <v>0</v>
      </c>
      <c r="BW521" s="510">
        <v>0</v>
      </c>
      <c r="BX521" s="510">
        <v>0</v>
      </c>
      <c r="BY521" s="1011">
        <v>0</v>
      </c>
      <c r="BZ521" s="510">
        <v>0</v>
      </c>
      <c r="CA521" s="1011">
        <v>0</v>
      </c>
      <c r="CB521" s="510">
        <v>0</v>
      </c>
      <c r="CC521" s="1011">
        <v>0</v>
      </c>
      <c r="CD521" s="510">
        <v>0</v>
      </c>
      <c r="CE521" s="1011">
        <v>0</v>
      </c>
      <c r="CF521" s="510">
        <v>0</v>
      </c>
      <c r="CG521" s="1011">
        <v>0</v>
      </c>
      <c r="CH521" s="510">
        <v>0</v>
      </c>
      <c r="CI521" s="1011">
        <v>0</v>
      </c>
    </row>
    <row r="522" spans="1:87" x14ac:dyDescent="0.2">
      <c r="A522" s="449">
        <v>77</v>
      </c>
      <c r="B522" s="453">
        <v>90093</v>
      </c>
      <c r="C522" s="454" t="s">
        <v>5277</v>
      </c>
      <c r="D522" s="454" t="s">
        <v>1390</v>
      </c>
      <c r="E522" s="454" t="s">
        <v>5278</v>
      </c>
      <c r="F522" s="454" t="s">
        <v>519</v>
      </c>
      <c r="G522" s="454" t="s">
        <v>13180</v>
      </c>
      <c r="H522" s="455">
        <v>50860030000146</v>
      </c>
      <c r="I522" s="462">
        <v>30175</v>
      </c>
      <c r="J522" s="457">
        <v>37357387</v>
      </c>
      <c r="K522" s="454" t="s">
        <v>5280</v>
      </c>
      <c r="L522" s="458">
        <v>345</v>
      </c>
      <c r="M522" s="454" t="s">
        <v>5281</v>
      </c>
      <c r="N522" s="459">
        <v>5352090</v>
      </c>
      <c r="O522" s="460">
        <v>37142618</v>
      </c>
      <c r="P522" s="462">
        <v>119604</v>
      </c>
      <c r="Q522" s="462">
        <v>63</v>
      </c>
      <c r="R522" s="462">
        <v>43881</v>
      </c>
      <c r="S522" s="463">
        <v>295</v>
      </c>
      <c r="T522" s="464">
        <v>3.6</v>
      </c>
      <c r="U522" s="465">
        <v>1062</v>
      </c>
      <c r="V522" s="465">
        <v>12240</v>
      </c>
      <c r="W522" s="466">
        <v>0</v>
      </c>
      <c r="X522" s="467">
        <v>1</v>
      </c>
      <c r="Y522" s="466">
        <v>0</v>
      </c>
      <c r="Z522" s="468" t="s">
        <v>514</v>
      </c>
      <c r="AA522" s="466">
        <v>0</v>
      </c>
      <c r="AB522" s="466">
        <v>0</v>
      </c>
      <c r="AC522" s="467">
        <v>0</v>
      </c>
      <c r="AD522" s="466">
        <v>0</v>
      </c>
      <c r="AE522" s="468" t="s">
        <v>516</v>
      </c>
      <c r="AF522" s="466">
        <v>0</v>
      </c>
      <c r="AG522" s="466">
        <v>0</v>
      </c>
      <c r="AH522" s="466">
        <v>4698.8</v>
      </c>
      <c r="AI522" s="466">
        <v>5325.8</v>
      </c>
      <c r="AJ522" s="469" t="s">
        <v>5282</v>
      </c>
      <c r="AK522" s="470" t="s">
        <v>5283</v>
      </c>
      <c r="AL522" s="471" t="s">
        <v>5284</v>
      </c>
      <c r="AM522" s="470" t="s">
        <v>5285</v>
      </c>
      <c r="AN522" s="470" t="s">
        <v>5279</v>
      </c>
      <c r="AO522" s="470" t="s">
        <v>5286</v>
      </c>
      <c r="AP522" s="470" t="s">
        <v>5287</v>
      </c>
      <c r="AQ522" s="470" t="s">
        <v>5277</v>
      </c>
      <c r="AR522" s="472" t="s">
        <v>515</v>
      </c>
      <c r="AS522" s="473" t="s">
        <v>1385</v>
      </c>
      <c r="AT522" s="472" t="s">
        <v>1390</v>
      </c>
      <c r="AU522" s="472" t="s">
        <v>420</v>
      </c>
      <c r="AV522" s="472">
        <v>2020</v>
      </c>
      <c r="AW522" s="474" t="s">
        <v>15078</v>
      </c>
      <c r="AX522" s="475" t="s">
        <v>15079</v>
      </c>
      <c r="AY522" s="515">
        <v>1</v>
      </c>
      <c r="AZ522" s="474" t="s">
        <v>15079</v>
      </c>
      <c r="BA522" s="472" t="s">
        <v>1385</v>
      </c>
      <c r="BB522" s="472" t="s">
        <v>1385</v>
      </c>
      <c r="BC522" s="472" t="s">
        <v>1385</v>
      </c>
      <c r="BD522" s="472" t="s">
        <v>1385</v>
      </c>
      <c r="BE522" s="472" t="s">
        <v>1385</v>
      </c>
      <c r="BF522" s="472">
        <v>19953</v>
      </c>
      <c r="BG522" s="472">
        <v>0</v>
      </c>
      <c r="BH522" s="472" t="s">
        <v>516</v>
      </c>
      <c r="BI522" s="510">
        <v>0</v>
      </c>
      <c r="BJ522" s="510">
        <v>0</v>
      </c>
      <c r="BK522" s="510">
        <v>0</v>
      </c>
      <c r="BL522" s="510">
        <v>0</v>
      </c>
      <c r="BM522" s="510">
        <v>0</v>
      </c>
      <c r="BN522" s="510">
        <v>0</v>
      </c>
      <c r="BO522" s="510">
        <v>0</v>
      </c>
      <c r="BP522" s="510">
        <v>0</v>
      </c>
      <c r="BQ522" s="510">
        <v>0</v>
      </c>
      <c r="BR522" s="510">
        <v>0</v>
      </c>
      <c r="BS522" s="510">
        <v>0</v>
      </c>
      <c r="BT522" s="510">
        <v>0</v>
      </c>
      <c r="BU522" s="510">
        <v>0</v>
      </c>
      <c r="BV522" s="510">
        <v>0</v>
      </c>
      <c r="BW522" s="510">
        <v>0</v>
      </c>
      <c r="BX522" s="510">
        <v>0</v>
      </c>
      <c r="BY522" s="1011">
        <v>0</v>
      </c>
      <c r="BZ522" s="510">
        <v>0</v>
      </c>
      <c r="CA522" s="1011">
        <v>0</v>
      </c>
      <c r="CB522" s="510">
        <v>0</v>
      </c>
      <c r="CC522" s="1011">
        <v>0</v>
      </c>
      <c r="CD522" s="510">
        <v>0</v>
      </c>
      <c r="CE522" s="1011">
        <v>0</v>
      </c>
      <c r="CF522" s="510">
        <v>0</v>
      </c>
      <c r="CG522" s="1011">
        <v>0</v>
      </c>
      <c r="CH522" s="510">
        <v>0</v>
      </c>
      <c r="CI522" s="1011">
        <v>0</v>
      </c>
    </row>
    <row r="523" spans="1:87" x14ac:dyDescent="0.2">
      <c r="A523" s="449">
        <v>64</v>
      </c>
      <c r="B523" s="453">
        <v>90107</v>
      </c>
      <c r="C523" s="454" t="s">
        <v>5288</v>
      </c>
      <c r="D523" s="454" t="s">
        <v>1390</v>
      </c>
      <c r="E523" s="454" t="s">
        <v>5289</v>
      </c>
      <c r="F523" s="454" t="s">
        <v>519</v>
      </c>
      <c r="G523" s="454" t="s">
        <v>13181</v>
      </c>
      <c r="H523" s="455">
        <v>51978302000170</v>
      </c>
      <c r="I523" s="462">
        <v>30246</v>
      </c>
      <c r="J523" s="457">
        <v>37356410</v>
      </c>
      <c r="K523" s="454" t="s">
        <v>5291</v>
      </c>
      <c r="L523" s="458">
        <v>100</v>
      </c>
      <c r="M523" s="454" t="s">
        <v>5292</v>
      </c>
      <c r="N523" s="459">
        <v>5583030</v>
      </c>
      <c r="O523" s="460">
        <v>37824787</v>
      </c>
      <c r="P523" s="462">
        <v>121501</v>
      </c>
      <c r="Q523" s="462">
        <v>49</v>
      </c>
      <c r="R523" s="462">
        <v>43881</v>
      </c>
      <c r="S523" s="463">
        <v>315</v>
      </c>
      <c r="T523" s="464">
        <v>3.6</v>
      </c>
      <c r="U523" s="465">
        <v>1134</v>
      </c>
      <c r="V523" s="465">
        <v>13680</v>
      </c>
      <c r="W523" s="466">
        <v>0</v>
      </c>
      <c r="X523" s="467">
        <v>1</v>
      </c>
      <c r="Y523" s="466">
        <v>0</v>
      </c>
      <c r="Z523" s="468" t="s">
        <v>514</v>
      </c>
      <c r="AA523" s="466">
        <v>0</v>
      </c>
      <c r="AB523" s="466">
        <v>0</v>
      </c>
      <c r="AC523" s="467">
        <v>0</v>
      </c>
      <c r="AD523" s="466">
        <v>0</v>
      </c>
      <c r="AE523" s="468" t="s">
        <v>516</v>
      </c>
      <c r="AF523" s="466">
        <v>0</v>
      </c>
      <c r="AG523" s="466">
        <v>0</v>
      </c>
      <c r="AH523" s="466">
        <v>16.61</v>
      </c>
      <c r="AI523" s="466">
        <v>6688.27</v>
      </c>
      <c r="AJ523" s="469" t="s">
        <v>2690</v>
      </c>
      <c r="AK523" s="470" t="s">
        <v>2691</v>
      </c>
      <c r="AL523" s="471" t="s">
        <v>5293</v>
      </c>
      <c r="AM523" s="470" t="s">
        <v>5294</v>
      </c>
      <c r="AN523" s="470" t="s">
        <v>5290</v>
      </c>
      <c r="AO523" s="470" t="s">
        <v>5295</v>
      </c>
      <c r="AP523" s="470" t="s">
        <v>5296</v>
      </c>
      <c r="AQ523" s="470" t="s">
        <v>5288</v>
      </c>
      <c r="AR523" s="472" t="s">
        <v>515</v>
      </c>
      <c r="AS523" s="473" t="s">
        <v>1385</v>
      </c>
      <c r="AT523" s="472" t="s">
        <v>1390</v>
      </c>
      <c r="AU523" s="472" t="s">
        <v>420</v>
      </c>
      <c r="AV523" s="472">
        <v>2020</v>
      </c>
      <c r="AW523" s="474" t="s">
        <v>15078</v>
      </c>
      <c r="AX523" s="475" t="s">
        <v>15079</v>
      </c>
      <c r="AY523" s="515">
        <v>1</v>
      </c>
      <c r="AZ523" s="474" t="s">
        <v>15079</v>
      </c>
      <c r="BA523" s="472" t="s">
        <v>1385</v>
      </c>
      <c r="BB523" s="472" t="s">
        <v>1385</v>
      </c>
      <c r="BC523" s="472" t="s">
        <v>1385</v>
      </c>
      <c r="BD523" s="472" t="s">
        <v>1385</v>
      </c>
      <c r="BE523" s="472" t="s">
        <v>1385</v>
      </c>
      <c r="BF523" s="472">
        <v>22221</v>
      </c>
      <c r="BG523" s="472">
        <v>0</v>
      </c>
      <c r="BH523" s="472" t="s">
        <v>516</v>
      </c>
      <c r="BI523" s="510">
        <v>0</v>
      </c>
      <c r="BJ523" s="510">
        <v>0</v>
      </c>
      <c r="BK523" s="510">
        <v>0</v>
      </c>
      <c r="BL523" s="510">
        <v>0</v>
      </c>
      <c r="BM523" s="510">
        <v>0</v>
      </c>
      <c r="BN523" s="510">
        <v>0</v>
      </c>
      <c r="BO523" s="510">
        <v>0</v>
      </c>
      <c r="BP523" s="510">
        <v>0</v>
      </c>
      <c r="BQ523" s="510">
        <v>0</v>
      </c>
      <c r="BR523" s="510">
        <v>0</v>
      </c>
      <c r="BS523" s="510">
        <v>0</v>
      </c>
      <c r="BT523" s="510">
        <v>0</v>
      </c>
      <c r="BU523" s="510">
        <v>0</v>
      </c>
      <c r="BV523" s="510">
        <v>0</v>
      </c>
      <c r="BW523" s="510">
        <v>0</v>
      </c>
      <c r="BX523" s="510">
        <v>0</v>
      </c>
      <c r="BY523" s="1011">
        <v>0</v>
      </c>
      <c r="BZ523" s="510">
        <v>0</v>
      </c>
      <c r="CA523" s="1011">
        <v>0</v>
      </c>
      <c r="CB523" s="510">
        <v>0</v>
      </c>
      <c r="CC523" s="1011">
        <v>0</v>
      </c>
      <c r="CD523" s="510">
        <v>0</v>
      </c>
      <c r="CE523" s="1011">
        <v>0</v>
      </c>
      <c r="CF523" s="510">
        <v>0</v>
      </c>
      <c r="CG523" s="1011">
        <v>0</v>
      </c>
      <c r="CH523" s="510">
        <v>0</v>
      </c>
      <c r="CI523" s="1011">
        <v>0</v>
      </c>
    </row>
    <row r="524" spans="1:87" x14ac:dyDescent="0.2">
      <c r="A524" s="449">
        <v>58</v>
      </c>
      <c r="B524" s="453">
        <v>90115</v>
      </c>
      <c r="C524" s="454" t="s">
        <v>5297</v>
      </c>
      <c r="D524" s="454" t="s">
        <v>1390</v>
      </c>
      <c r="E524" s="454" t="s">
        <v>5298</v>
      </c>
      <c r="F524" s="454" t="s">
        <v>519</v>
      </c>
      <c r="G524" s="454" t="s">
        <v>13182</v>
      </c>
      <c r="H524" s="455">
        <v>56319023000118</v>
      </c>
      <c r="I524" s="462">
        <v>31667</v>
      </c>
      <c r="J524" s="457">
        <v>37355333</v>
      </c>
      <c r="K524" s="454" t="s">
        <v>5300</v>
      </c>
      <c r="L524" s="458">
        <v>458</v>
      </c>
      <c r="M524" s="454" t="s">
        <v>5301</v>
      </c>
      <c r="N524" s="459">
        <v>5387070</v>
      </c>
      <c r="O524" s="460">
        <v>37120775</v>
      </c>
      <c r="P524" s="462">
        <v>121862</v>
      </c>
      <c r="Q524" s="462">
        <v>41</v>
      </c>
      <c r="R524" s="462">
        <v>43881</v>
      </c>
      <c r="S524" s="463">
        <v>302</v>
      </c>
      <c r="T524" s="464">
        <v>3.6</v>
      </c>
      <c r="U524" s="465">
        <v>1087.2</v>
      </c>
      <c r="V524" s="465">
        <v>13680</v>
      </c>
      <c r="W524" s="466">
        <v>0</v>
      </c>
      <c r="X524" s="467">
        <v>1</v>
      </c>
      <c r="Y524" s="466">
        <v>0</v>
      </c>
      <c r="Z524" s="468" t="s">
        <v>514</v>
      </c>
      <c r="AA524" s="466">
        <v>0</v>
      </c>
      <c r="AB524" s="466">
        <v>0</v>
      </c>
      <c r="AC524" s="467">
        <v>0</v>
      </c>
      <c r="AD524" s="466">
        <v>0</v>
      </c>
      <c r="AE524" s="468" t="s">
        <v>516</v>
      </c>
      <c r="AF524" s="466">
        <v>0</v>
      </c>
      <c r="AG524" s="466">
        <v>0</v>
      </c>
      <c r="AH524" s="466">
        <v>6300.37</v>
      </c>
      <c r="AI524" s="466">
        <v>5368.43</v>
      </c>
      <c r="AJ524" s="469" t="s">
        <v>2690</v>
      </c>
      <c r="AK524" s="470" t="s">
        <v>2691</v>
      </c>
      <c r="AL524" s="471" t="s">
        <v>5302</v>
      </c>
      <c r="AM524" s="470" t="s">
        <v>5303</v>
      </c>
      <c r="AN524" s="470" t="s">
        <v>5299</v>
      </c>
      <c r="AO524" s="470" t="s">
        <v>5304</v>
      </c>
      <c r="AP524" s="470" t="s">
        <v>5305</v>
      </c>
      <c r="AQ524" s="470" t="s">
        <v>5297</v>
      </c>
      <c r="AR524" s="472" t="s">
        <v>515</v>
      </c>
      <c r="AS524" s="473" t="s">
        <v>1385</v>
      </c>
      <c r="AT524" s="472" t="s">
        <v>1390</v>
      </c>
      <c r="AU524" s="472" t="s">
        <v>420</v>
      </c>
      <c r="AV524" s="472">
        <v>2020</v>
      </c>
      <c r="AW524" s="474" t="s">
        <v>15078</v>
      </c>
      <c r="AX524" s="475" t="s">
        <v>15079</v>
      </c>
      <c r="AY524" s="515">
        <v>1</v>
      </c>
      <c r="AZ524" s="474" t="s">
        <v>15079</v>
      </c>
      <c r="BA524" s="472" t="s">
        <v>1385</v>
      </c>
      <c r="BB524" s="472" t="s">
        <v>1385</v>
      </c>
      <c r="BC524" s="472" t="s">
        <v>1385</v>
      </c>
      <c r="BD524" s="472" t="s">
        <v>1385</v>
      </c>
      <c r="BE524" s="472" t="s">
        <v>1385</v>
      </c>
      <c r="BF524" s="472">
        <v>22150.799999999999</v>
      </c>
      <c r="BG524" s="472">
        <v>0</v>
      </c>
      <c r="BH524" s="472" t="s">
        <v>516</v>
      </c>
      <c r="BI524" s="510">
        <v>0</v>
      </c>
      <c r="BJ524" s="510">
        <v>0</v>
      </c>
      <c r="BK524" s="510">
        <v>0</v>
      </c>
      <c r="BL524" s="510">
        <v>0</v>
      </c>
      <c r="BM524" s="510">
        <v>0</v>
      </c>
      <c r="BN524" s="510">
        <v>0</v>
      </c>
      <c r="BO524" s="510">
        <v>0</v>
      </c>
      <c r="BP524" s="510">
        <v>0</v>
      </c>
      <c r="BQ524" s="510">
        <v>0</v>
      </c>
      <c r="BR524" s="510">
        <v>0</v>
      </c>
      <c r="BS524" s="510">
        <v>0</v>
      </c>
      <c r="BT524" s="510">
        <v>0</v>
      </c>
      <c r="BU524" s="510">
        <v>0</v>
      </c>
      <c r="BV524" s="510">
        <v>0</v>
      </c>
      <c r="BW524" s="510">
        <v>0</v>
      </c>
      <c r="BX524" s="510">
        <v>0</v>
      </c>
      <c r="BY524" s="1011">
        <v>0</v>
      </c>
      <c r="BZ524" s="510">
        <v>0</v>
      </c>
      <c r="CA524" s="1011">
        <v>0</v>
      </c>
      <c r="CB524" s="510">
        <v>0</v>
      </c>
      <c r="CC524" s="1011">
        <v>0</v>
      </c>
      <c r="CD524" s="510">
        <v>0</v>
      </c>
      <c r="CE524" s="1011">
        <v>0</v>
      </c>
      <c r="CF524" s="510">
        <v>0</v>
      </c>
      <c r="CG524" s="1011">
        <v>0</v>
      </c>
      <c r="CH524" s="510">
        <v>0</v>
      </c>
      <c r="CI524" s="1011">
        <v>0</v>
      </c>
    </row>
    <row r="525" spans="1:87" x14ac:dyDescent="0.2">
      <c r="A525" s="449">
        <v>63</v>
      </c>
      <c r="B525" s="453">
        <v>90123</v>
      </c>
      <c r="C525" s="454" t="s">
        <v>5306</v>
      </c>
      <c r="D525" s="454" t="s">
        <v>1390</v>
      </c>
      <c r="E525" s="454" t="s">
        <v>5307</v>
      </c>
      <c r="F525" s="454" t="s">
        <v>519</v>
      </c>
      <c r="G525" s="454" t="s">
        <v>13183</v>
      </c>
      <c r="H525" s="455">
        <v>56322993000172</v>
      </c>
      <c r="I525" s="462">
        <v>31673</v>
      </c>
      <c r="J525" s="457">
        <v>37356380</v>
      </c>
      <c r="K525" s="454" t="s">
        <v>5309</v>
      </c>
      <c r="L525" s="458">
        <v>105</v>
      </c>
      <c r="M525" s="454" t="s">
        <v>5310</v>
      </c>
      <c r="N525" s="459">
        <v>5528200</v>
      </c>
      <c r="O525" s="460">
        <v>37510256</v>
      </c>
      <c r="P525" s="462">
        <v>118004</v>
      </c>
      <c r="Q525" s="462">
        <v>48</v>
      </c>
      <c r="R525" s="462">
        <v>43881</v>
      </c>
      <c r="S525" s="463">
        <v>289</v>
      </c>
      <c r="T525" s="464">
        <v>3.6</v>
      </c>
      <c r="U525" s="465">
        <v>1040.4000000000001</v>
      </c>
      <c r="V525" s="465">
        <v>12240</v>
      </c>
      <c r="W525" s="466">
        <v>0</v>
      </c>
      <c r="X525" s="467">
        <v>1</v>
      </c>
      <c r="Y525" s="466">
        <v>0</v>
      </c>
      <c r="Z525" s="468" t="s">
        <v>514</v>
      </c>
      <c r="AA525" s="466">
        <v>0</v>
      </c>
      <c r="AB525" s="466">
        <v>0</v>
      </c>
      <c r="AC525" s="467">
        <v>0</v>
      </c>
      <c r="AD525" s="466">
        <v>0</v>
      </c>
      <c r="AE525" s="468" t="s">
        <v>516</v>
      </c>
      <c r="AF525" s="466">
        <v>0</v>
      </c>
      <c r="AG525" s="466">
        <v>0</v>
      </c>
      <c r="AH525" s="466">
        <v>405.56</v>
      </c>
      <c r="AI525" s="466">
        <v>0.01</v>
      </c>
      <c r="AJ525" s="469" t="s">
        <v>592</v>
      </c>
      <c r="AK525" s="470" t="s">
        <v>593</v>
      </c>
      <c r="AL525" s="471" t="s">
        <v>5311</v>
      </c>
      <c r="AM525" s="470" t="s">
        <v>13184</v>
      </c>
      <c r="AN525" s="470" t="s">
        <v>5308</v>
      </c>
      <c r="AO525" s="470" t="s">
        <v>5312</v>
      </c>
      <c r="AP525" s="470" t="s">
        <v>5313</v>
      </c>
      <c r="AQ525" s="470" t="s">
        <v>5306</v>
      </c>
      <c r="AR525" s="472" t="s">
        <v>515</v>
      </c>
      <c r="AS525" s="473" t="s">
        <v>1385</v>
      </c>
      <c r="AT525" s="472" t="s">
        <v>1390</v>
      </c>
      <c r="AU525" s="472" t="s">
        <v>420</v>
      </c>
      <c r="AV525" s="472">
        <v>2020</v>
      </c>
      <c r="AW525" s="474" t="s">
        <v>15078</v>
      </c>
      <c r="AX525" s="475" t="s">
        <v>15079</v>
      </c>
      <c r="AY525" s="515">
        <v>1</v>
      </c>
      <c r="AZ525" s="474" t="s">
        <v>15079</v>
      </c>
      <c r="BA525" s="472" t="s">
        <v>1385</v>
      </c>
      <c r="BB525" s="472" t="s">
        <v>1385</v>
      </c>
      <c r="BC525" s="472" t="s">
        <v>1385</v>
      </c>
      <c r="BD525" s="472" t="s">
        <v>1385</v>
      </c>
      <c r="BE525" s="472" t="s">
        <v>1385</v>
      </c>
      <c r="BF525" s="472">
        <v>19920.599999999999</v>
      </c>
      <c r="BG525" s="472">
        <v>0</v>
      </c>
      <c r="BH525" s="472" t="s">
        <v>516</v>
      </c>
      <c r="BI525" s="510">
        <v>0</v>
      </c>
      <c r="BJ525" s="510">
        <v>0</v>
      </c>
      <c r="BK525" s="510">
        <v>0</v>
      </c>
      <c r="BL525" s="510">
        <v>0</v>
      </c>
      <c r="BM525" s="510">
        <v>0</v>
      </c>
      <c r="BN525" s="510">
        <v>0</v>
      </c>
      <c r="BO525" s="510">
        <v>0</v>
      </c>
      <c r="BP525" s="510">
        <v>0</v>
      </c>
      <c r="BQ525" s="510">
        <v>0</v>
      </c>
      <c r="BR525" s="510">
        <v>0</v>
      </c>
      <c r="BS525" s="510">
        <v>0</v>
      </c>
      <c r="BT525" s="510">
        <v>0</v>
      </c>
      <c r="BU525" s="510">
        <v>0</v>
      </c>
      <c r="BV525" s="510">
        <v>0</v>
      </c>
      <c r="BW525" s="510">
        <v>0</v>
      </c>
      <c r="BX525" s="510">
        <v>0</v>
      </c>
      <c r="BY525" s="1011">
        <v>0</v>
      </c>
      <c r="BZ525" s="510">
        <v>0</v>
      </c>
      <c r="CA525" s="1011">
        <v>0</v>
      </c>
      <c r="CB525" s="510">
        <v>0</v>
      </c>
      <c r="CC525" s="1011">
        <v>0</v>
      </c>
      <c r="CD525" s="510">
        <v>0</v>
      </c>
      <c r="CE525" s="1011">
        <v>0</v>
      </c>
      <c r="CF525" s="510">
        <v>0</v>
      </c>
      <c r="CG525" s="1011">
        <v>0</v>
      </c>
      <c r="CH525" s="510">
        <v>0</v>
      </c>
      <c r="CI525" s="1011">
        <v>0</v>
      </c>
    </row>
    <row r="526" spans="1:87" x14ac:dyDescent="0.2">
      <c r="A526" s="449">
        <v>139</v>
      </c>
      <c r="B526" s="453">
        <v>90131</v>
      </c>
      <c r="C526" s="454" t="s">
        <v>5314</v>
      </c>
      <c r="D526" s="454" t="s">
        <v>1390</v>
      </c>
      <c r="E526" s="454" t="s">
        <v>5314</v>
      </c>
      <c r="F526" s="454" t="s">
        <v>520</v>
      </c>
      <c r="G526" s="454" t="s">
        <v>13185</v>
      </c>
      <c r="H526" s="455">
        <v>52400397000102</v>
      </c>
      <c r="I526" s="462">
        <v>30391</v>
      </c>
      <c r="J526" s="457">
        <v>37616170</v>
      </c>
      <c r="K526" s="454" t="s">
        <v>5316</v>
      </c>
      <c r="L526" s="458">
        <v>79</v>
      </c>
      <c r="M526" s="454" t="s">
        <v>5133</v>
      </c>
      <c r="N526" s="459">
        <v>4940140</v>
      </c>
      <c r="O526" s="460">
        <v>58310136</v>
      </c>
      <c r="P526" s="462">
        <v>305440</v>
      </c>
      <c r="Q526" s="462">
        <v>74</v>
      </c>
      <c r="R526" s="462">
        <v>43979</v>
      </c>
      <c r="S526" s="463">
        <v>600</v>
      </c>
      <c r="T526" s="464">
        <v>3.6</v>
      </c>
      <c r="U526" s="465">
        <v>2160</v>
      </c>
      <c r="V526" s="465">
        <v>16560</v>
      </c>
      <c r="W526" s="466">
        <v>0</v>
      </c>
      <c r="X526" s="467">
        <v>1</v>
      </c>
      <c r="Y526" s="466">
        <v>28080</v>
      </c>
      <c r="Z526" s="468" t="s">
        <v>516</v>
      </c>
      <c r="AA526" s="466">
        <v>110368.8</v>
      </c>
      <c r="AB526" s="466">
        <v>110368.8</v>
      </c>
      <c r="AC526" s="467">
        <v>0</v>
      </c>
      <c r="AD526" s="466">
        <v>0</v>
      </c>
      <c r="AE526" s="468" t="s">
        <v>516</v>
      </c>
      <c r="AF526" s="466">
        <v>0</v>
      </c>
      <c r="AG526" s="466">
        <v>0</v>
      </c>
      <c r="AH526" s="466">
        <v>16494.68</v>
      </c>
      <c r="AI526" s="466">
        <v>714.96</v>
      </c>
      <c r="AJ526" s="469" t="s">
        <v>1813</v>
      </c>
      <c r="AK526" s="470" t="s">
        <v>1814</v>
      </c>
      <c r="AL526" s="471" t="s">
        <v>5317</v>
      </c>
      <c r="AM526" s="470" t="s">
        <v>5318</v>
      </c>
      <c r="AN526" s="470" t="s">
        <v>5315</v>
      </c>
      <c r="AO526" s="470" t="s">
        <v>5319</v>
      </c>
      <c r="AP526" s="470" t="s">
        <v>5320</v>
      </c>
      <c r="AQ526" s="470" t="s">
        <v>5314</v>
      </c>
      <c r="AR526" s="472" t="s">
        <v>515</v>
      </c>
      <c r="AS526" s="473" t="s">
        <v>1385</v>
      </c>
      <c r="AT526" s="472" t="s">
        <v>1390</v>
      </c>
      <c r="AU526" s="472" t="s">
        <v>420</v>
      </c>
      <c r="AV526" s="472">
        <v>2020</v>
      </c>
      <c r="AW526" s="474" t="s">
        <v>15078</v>
      </c>
      <c r="AX526" s="475" t="s">
        <v>15079</v>
      </c>
      <c r="AY526" s="515">
        <v>1</v>
      </c>
      <c r="AZ526" s="474" t="s">
        <v>15079</v>
      </c>
      <c r="BA526" s="472" t="s">
        <v>1390</v>
      </c>
      <c r="BB526" s="472" t="s">
        <v>1385</v>
      </c>
      <c r="BC526" s="472" t="s">
        <v>1385</v>
      </c>
      <c r="BD526" s="472" t="s">
        <v>1385</v>
      </c>
      <c r="BE526" s="472" t="s">
        <v>1385</v>
      </c>
      <c r="BF526" s="472">
        <v>28080</v>
      </c>
      <c r="BG526" s="472">
        <v>0</v>
      </c>
      <c r="BH526" s="472" t="s">
        <v>1385</v>
      </c>
      <c r="BI526" s="510">
        <v>0</v>
      </c>
      <c r="BJ526" s="510">
        <v>0</v>
      </c>
      <c r="BK526" s="510">
        <v>0</v>
      </c>
      <c r="BL526" s="510">
        <v>0</v>
      </c>
      <c r="BM526" s="510">
        <v>0</v>
      </c>
      <c r="BN526" s="510">
        <v>5000</v>
      </c>
      <c r="BO526" s="510">
        <v>0</v>
      </c>
      <c r="BP526" s="510">
        <v>0</v>
      </c>
      <c r="BQ526" s="510">
        <v>0</v>
      </c>
      <c r="BR526" s="510">
        <v>0</v>
      </c>
      <c r="BS526" s="510">
        <v>0</v>
      </c>
      <c r="BT526" s="510">
        <v>0</v>
      </c>
      <c r="BU526" s="510">
        <v>0</v>
      </c>
      <c r="BV526" s="510">
        <v>0</v>
      </c>
      <c r="BW526" s="510">
        <v>0</v>
      </c>
      <c r="BX526" s="510">
        <v>30000</v>
      </c>
      <c r="BY526" s="1011">
        <v>0</v>
      </c>
      <c r="BZ526" s="510">
        <v>0</v>
      </c>
      <c r="CA526" s="1011">
        <v>0</v>
      </c>
      <c r="CB526" s="510">
        <v>0</v>
      </c>
      <c r="CC526" s="1011">
        <v>0</v>
      </c>
      <c r="CD526" s="510">
        <v>0</v>
      </c>
      <c r="CE526" s="1011">
        <v>0</v>
      </c>
      <c r="CF526" s="510">
        <v>52288.800000000003</v>
      </c>
      <c r="CG526" s="1011">
        <v>0</v>
      </c>
      <c r="CH526" s="510">
        <v>0</v>
      </c>
      <c r="CI526" s="1011">
        <v>0</v>
      </c>
    </row>
    <row r="527" spans="1:87" x14ac:dyDescent="0.2">
      <c r="A527" s="449">
        <v>128</v>
      </c>
      <c r="B527" s="453">
        <v>90140</v>
      </c>
      <c r="C527" s="454" t="s">
        <v>5321</v>
      </c>
      <c r="D527" s="454" t="s">
        <v>1390</v>
      </c>
      <c r="E527" s="454" t="s">
        <v>5322</v>
      </c>
      <c r="F527" s="454" t="s">
        <v>520</v>
      </c>
      <c r="G527" s="454" t="s">
        <v>13186</v>
      </c>
      <c r="H527" s="455">
        <v>50960004000190</v>
      </c>
      <c r="I527" s="462">
        <v>30194</v>
      </c>
      <c r="J527" s="457">
        <v>37616064</v>
      </c>
      <c r="K527" s="454" t="s">
        <v>5323</v>
      </c>
      <c r="L527" s="458">
        <v>15</v>
      </c>
      <c r="M527" s="454" t="s">
        <v>5324</v>
      </c>
      <c r="N527" s="459">
        <v>4942080</v>
      </c>
      <c r="O527" s="460">
        <v>58339357</v>
      </c>
      <c r="P527" s="462">
        <v>304720</v>
      </c>
      <c r="Q527" s="462">
        <v>63</v>
      </c>
      <c r="R527" s="462">
        <v>43969</v>
      </c>
      <c r="S527" s="463">
        <v>409</v>
      </c>
      <c r="T527" s="464">
        <v>3.6</v>
      </c>
      <c r="U527" s="465">
        <v>1472.4</v>
      </c>
      <c r="V527" s="465">
        <v>15120</v>
      </c>
      <c r="W527" s="466">
        <v>0</v>
      </c>
      <c r="X527" s="467">
        <v>1</v>
      </c>
      <c r="Y527" s="466">
        <v>24888.6</v>
      </c>
      <c r="Z527" s="468" t="s">
        <v>516</v>
      </c>
      <c r="AA527" s="466">
        <v>100114.2</v>
      </c>
      <c r="AB527" s="466">
        <v>100114.2</v>
      </c>
      <c r="AC527" s="467">
        <v>0</v>
      </c>
      <c r="AD527" s="466">
        <v>0</v>
      </c>
      <c r="AE527" s="468" t="s">
        <v>516</v>
      </c>
      <c r="AF527" s="466">
        <v>0</v>
      </c>
      <c r="AG527" s="466">
        <v>0</v>
      </c>
      <c r="AH527" s="466">
        <v>573.13</v>
      </c>
      <c r="AI527" s="466">
        <v>5256.15</v>
      </c>
      <c r="AJ527" s="469" t="s">
        <v>1515</v>
      </c>
      <c r="AK527" s="470" t="s">
        <v>1516</v>
      </c>
      <c r="AL527" s="471" t="s">
        <v>5325</v>
      </c>
      <c r="AM527" s="470" t="s">
        <v>5327</v>
      </c>
      <c r="AN527" s="470" t="s">
        <v>5326</v>
      </c>
      <c r="AO527" s="470" t="s">
        <v>5327</v>
      </c>
      <c r="AP527" s="470" t="s">
        <v>5328</v>
      </c>
      <c r="AQ527" s="470" t="s">
        <v>5321</v>
      </c>
      <c r="AR527" s="472" t="s">
        <v>515</v>
      </c>
      <c r="AS527" s="473" t="s">
        <v>1385</v>
      </c>
      <c r="AT527" s="472" t="s">
        <v>1390</v>
      </c>
      <c r="AU527" s="472" t="s">
        <v>420</v>
      </c>
      <c r="AV527" s="472">
        <v>2020</v>
      </c>
      <c r="AW527" s="474" t="s">
        <v>15078</v>
      </c>
      <c r="AX527" s="475" t="s">
        <v>15079</v>
      </c>
      <c r="AY527" s="515">
        <v>1</v>
      </c>
      <c r="AZ527" s="474" t="s">
        <v>15079</v>
      </c>
      <c r="BA527" s="472" t="s">
        <v>1390</v>
      </c>
      <c r="BB527" s="472" t="s">
        <v>1385</v>
      </c>
      <c r="BC527" s="472" t="s">
        <v>1385</v>
      </c>
      <c r="BD527" s="472" t="s">
        <v>1385</v>
      </c>
      <c r="BE527" s="472" t="s">
        <v>1385</v>
      </c>
      <c r="BF527" s="472">
        <v>24888.6</v>
      </c>
      <c r="BG527" s="472">
        <v>0</v>
      </c>
      <c r="BH527" s="472" t="s">
        <v>1385</v>
      </c>
      <c r="BI527" s="510">
        <v>0</v>
      </c>
      <c r="BJ527" s="510">
        <v>0</v>
      </c>
      <c r="BK527" s="510">
        <v>0</v>
      </c>
      <c r="BL527" s="510">
        <v>0</v>
      </c>
      <c r="BM527" s="510">
        <v>0</v>
      </c>
      <c r="BN527" s="510">
        <v>4000</v>
      </c>
      <c r="BO527" s="510">
        <v>0</v>
      </c>
      <c r="BP527" s="510">
        <v>0</v>
      </c>
      <c r="BQ527" s="510">
        <v>0</v>
      </c>
      <c r="BR527" s="510">
        <v>0</v>
      </c>
      <c r="BS527" s="510">
        <v>0</v>
      </c>
      <c r="BT527" s="510">
        <v>0</v>
      </c>
      <c r="BU527" s="510">
        <v>0</v>
      </c>
      <c r="BV527" s="510">
        <v>0</v>
      </c>
      <c r="BW527" s="510">
        <v>0</v>
      </c>
      <c r="BX527" s="510">
        <v>30000</v>
      </c>
      <c r="BY527" s="1011">
        <v>0</v>
      </c>
      <c r="BZ527" s="510">
        <v>0</v>
      </c>
      <c r="CA527" s="1011">
        <v>0</v>
      </c>
      <c r="CB527" s="510">
        <v>0</v>
      </c>
      <c r="CC527" s="1011">
        <v>0</v>
      </c>
      <c r="CD527" s="510">
        <v>0</v>
      </c>
      <c r="CE527" s="1011">
        <v>0</v>
      </c>
      <c r="CF527" s="510">
        <v>45225.599999999999</v>
      </c>
      <c r="CG527" s="1011">
        <v>0</v>
      </c>
      <c r="CH527" s="510">
        <v>0</v>
      </c>
      <c r="CI527" s="1011">
        <v>0</v>
      </c>
    </row>
    <row r="528" spans="1:87" x14ac:dyDescent="0.2">
      <c r="A528" s="449">
        <v>125</v>
      </c>
      <c r="B528" s="453">
        <v>90158</v>
      </c>
      <c r="C528" s="454" t="s">
        <v>5329</v>
      </c>
      <c r="D528" s="454" t="s">
        <v>1390</v>
      </c>
      <c r="E528" s="454" t="s">
        <v>5329</v>
      </c>
      <c r="F528" s="454" t="s">
        <v>520</v>
      </c>
      <c r="G528" s="454" t="s">
        <v>13187</v>
      </c>
      <c r="H528" s="455">
        <v>51931244000129</v>
      </c>
      <c r="I528" s="462">
        <v>30242</v>
      </c>
      <c r="J528" s="457">
        <v>37615890</v>
      </c>
      <c r="K528" s="454" t="s">
        <v>5331</v>
      </c>
      <c r="L528" s="458">
        <v>753</v>
      </c>
      <c r="M528" s="454" t="s">
        <v>4683</v>
      </c>
      <c r="N528" s="459">
        <v>5866000</v>
      </c>
      <c r="O528" s="460">
        <v>58735364</v>
      </c>
      <c r="P528" s="462">
        <v>304541</v>
      </c>
      <c r="Q528" s="462">
        <v>60</v>
      </c>
      <c r="R528" s="462">
        <v>43983</v>
      </c>
      <c r="S528" s="463">
        <v>462</v>
      </c>
      <c r="T528" s="464">
        <v>3.6</v>
      </c>
      <c r="U528" s="465">
        <v>1663.2</v>
      </c>
      <c r="V528" s="465">
        <v>15120</v>
      </c>
      <c r="W528" s="466">
        <v>0</v>
      </c>
      <c r="X528" s="467">
        <v>1</v>
      </c>
      <c r="Y528" s="466">
        <v>25174.799999999999</v>
      </c>
      <c r="Z528" s="468" t="s">
        <v>516</v>
      </c>
      <c r="AA528" s="466">
        <v>103410</v>
      </c>
      <c r="AB528" s="466">
        <v>103410</v>
      </c>
      <c r="AC528" s="467">
        <v>0</v>
      </c>
      <c r="AD528" s="466">
        <v>0</v>
      </c>
      <c r="AE528" s="468" t="s">
        <v>516</v>
      </c>
      <c r="AF528" s="466">
        <v>0</v>
      </c>
      <c r="AG528" s="466">
        <v>0</v>
      </c>
      <c r="AH528" s="466">
        <v>20818.82</v>
      </c>
      <c r="AI528" s="466">
        <v>18966.18</v>
      </c>
      <c r="AJ528" s="469" t="s">
        <v>1515</v>
      </c>
      <c r="AK528" s="470" t="s">
        <v>1516</v>
      </c>
      <c r="AL528" s="471" t="s">
        <v>5332</v>
      </c>
      <c r="AM528" s="470" t="s">
        <v>13188</v>
      </c>
      <c r="AN528" s="470" t="s">
        <v>5330</v>
      </c>
      <c r="AO528" s="470" t="s">
        <v>5333</v>
      </c>
      <c r="AP528" s="470" t="s">
        <v>5334</v>
      </c>
      <c r="AQ528" s="470" t="s">
        <v>5329</v>
      </c>
      <c r="AR528" s="472" t="s">
        <v>515</v>
      </c>
      <c r="AS528" s="473" t="s">
        <v>1385</v>
      </c>
      <c r="AT528" s="472" t="s">
        <v>1390</v>
      </c>
      <c r="AU528" s="472" t="s">
        <v>420</v>
      </c>
      <c r="AV528" s="472">
        <v>2020</v>
      </c>
      <c r="AW528" s="474" t="s">
        <v>15078</v>
      </c>
      <c r="AX528" s="475" t="s">
        <v>15079</v>
      </c>
      <c r="AY528" s="515">
        <v>1</v>
      </c>
      <c r="AZ528" s="474" t="s">
        <v>15079</v>
      </c>
      <c r="BA528" s="472" t="s">
        <v>1390</v>
      </c>
      <c r="BB528" s="472" t="s">
        <v>1385</v>
      </c>
      <c r="BC528" s="472" t="s">
        <v>1385</v>
      </c>
      <c r="BD528" s="472" t="s">
        <v>1385</v>
      </c>
      <c r="BE528" s="472" t="s">
        <v>1385</v>
      </c>
      <c r="BF528" s="472">
        <v>25174.799999999999</v>
      </c>
      <c r="BG528" s="472">
        <v>0</v>
      </c>
      <c r="BH528" s="472" t="s">
        <v>1385</v>
      </c>
      <c r="BI528" s="510">
        <v>0</v>
      </c>
      <c r="BJ528" s="510">
        <v>10043.9</v>
      </c>
      <c r="BK528" s="510">
        <v>0</v>
      </c>
      <c r="BL528" s="510">
        <v>0</v>
      </c>
      <c r="BM528" s="510">
        <v>0</v>
      </c>
      <c r="BN528" s="510">
        <v>4000</v>
      </c>
      <c r="BO528" s="510">
        <v>0</v>
      </c>
      <c r="BP528" s="510">
        <v>0</v>
      </c>
      <c r="BQ528" s="510">
        <v>0</v>
      </c>
      <c r="BR528" s="510">
        <v>0</v>
      </c>
      <c r="BS528" s="510">
        <v>0</v>
      </c>
      <c r="BT528" s="510">
        <v>0</v>
      </c>
      <c r="BU528" s="510">
        <v>0</v>
      </c>
      <c r="BV528" s="510">
        <v>0</v>
      </c>
      <c r="BW528" s="510">
        <v>0</v>
      </c>
      <c r="BX528" s="510">
        <v>30000</v>
      </c>
      <c r="BY528" s="1011">
        <v>0</v>
      </c>
      <c r="BZ528" s="510">
        <v>0</v>
      </c>
      <c r="CA528" s="1011">
        <v>0</v>
      </c>
      <c r="CB528" s="510">
        <v>0</v>
      </c>
      <c r="CC528" s="1011">
        <v>0</v>
      </c>
      <c r="CD528" s="510">
        <v>0</v>
      </c>
      <c r="CE528" s="1011">
        <v>0</v>
      </c>
      <c r="CF528" s="510">
        <v>48235.199999999997</v>
      </c>
      <c r="CG528" s="1011">
        <v>0</v>
      </c>
      <c r="CH528" s="510">
        <v>0</v>
      </c>
      <c r="CI528" s="1011">
        <v>0</v>
      </c>
    </row>
    <row r="529" spans="1:87" x14ac:dyDescent="0.2">
      <c r="A529" s="449">
        <v>147</v>
      </c>
      <c r="B529" s="453">
        <v>90166</v>
      </c>
      <c r="C529" s="454" t="s">
        <v>5335</v>
      </c>
      <c r="D529" s="454" t="s">
        <v>1390</v>
      </c>
      <c r="E529" s="454" t="s">
        <v>5335</v>
      </c>
      <c r="F529" s="454" t="s">
        <v>520</v>
      </c>
      <c r="G529" s="454" t="s">
        <v>13189</v>
      </c>
      <c r="H529" s="455">
        <v>52946878000118</v>
      </c>
      <c r="I529" s="462">
        <v>30607</v>
      </c>
      <c r="J529" s="457">
        <v>37616218</v>
      </c>
      <c r="K529" s="454" t="s">
        <v>5337</v>
      </c>
      <c r="L529" s="458">
        <v>38</v>
      </c>
      <c r="M529" s="454" t="s">
        <v>5338</v>
      </c>
      <c r="N529" s="459">
        <v>5796090</v>
      </c>
      <c r="O529" s="460">
        <v>58253533</v>
      </c>
      <c r="P529" s="462">
        <v>306498</v>
      </c>
      <c r="Q529" s="462">
        <v>82</v>
      </c>
      <c r="R529" s="462">
        <v>43969</v>
      </c>
      <c r="S529" s="463">
        <v>530</v>
      </c>
      <c r="T529" s="464">
        <v>3.6</v>
      </c>
      <c r="U529" s="465">
        <v>1908</v>
      </c>
      <c r="V529" s="465">
        <v>16560</v>
      </c>
      <c r="W529" s="466">
        <v>0</v>
      </c>
      <c r="X529" s="467">
        <v>1</v>
      </c>
      <c r="Y529" s="466">
        <v>27702</v>
      </c>
      <c r="Z529" s="468" t="s">
        <v>516</v>
      </c>
      <c r="AA529" s="466">
        <v>109760.4</v>
      </c>
      <c r="AB529" s="466">
        <v>109760.4</v>
      </c>
      <c r="AC529" s="467">
        <v>0</v>
      </c>
      <c r="AD529" s="466">
        <v>0</v>
      </c>
      <c r="AE529" s="468" t="s">
        <v>516</v>
      </c>
      <c r="AF529" s="466">
        <v>0</v>
      </c>
      <c r="AG529" s="466">
        <v>0</v>
      </c>
      <c r="AH529" s="466">
        <v>18652.25</v>
      </c>
      <c r="AI529" s="466">
        <v>4665.58</v>
      </c>
      <c r="AJ529" s="469" t="s">
        <v>1489</v>
      </c>
      <c r="AK529" s="470" t="s">
        <v>520</v>
      </c>
      <c r="AL529" s="471" t="s">
        <v>5339</v>
      </c>
      <c r="AM529" s="470" t="s">
        <v>5340</v>
      </c>
      <c r="AN529" s="470" t="s">
        <v>5336</v>
      </c>
      <c r="AO529" s="470" t="s">
        <v>5341</v>
      </c>
      <c r="AP529" s="470" t="s">
        <v>5342</v>
      </c>
      <c r="AQ529" s="470" t="s">
        <v>5335</v>
      </c>
      <c r="AR529" s="472" t="s">
        <v>515</v>
      </c>
      <c r="AS529" s="473" t="s">
        <v>1385</v>
      </c>
      <c r="AT529" s="472" t="s">
        <v>1390</v>
      </c>
      <c r="AU529" s="472" t="s">
        <v>420</v>
      </c>
      <c r="AV529" s="472">
        <v>2020</v>
      </c>
      <c r="AW529" s="474" t="s">
        <v>15078</v>
      </c>
      <c r="AX529" s="475" t="s">
        <v>15079</v>
      </c>
      <c r="AY529" s="515">
        <v>1</v>
      </c>
      <c r="AZ529" s="474" t="s">
        <v>15079</v>
      </c>
      <c r="BA529" s="472" t="s">
        <v>1390</v>
      </c>
      <c r="BB529" s="472" t="s">
        <v>1385</v>
      </c>
      <c r="BC529" s="472" t="s">
        <v>1385</v>
      </c>
      <c r="BD529" s="472" t="s">
        <v>1385</v>
      </c>
      <c r="BE529" s="472" t="s">
        <v>1385</v>
      </c>
      <c r="BF529" s="472">
        <v>27702</v>
      </c>
      <c r="BG529" s="472">
        <v>0</v>
      </c>
      <c r="BH529" s="472" t="s">
        <v>1385</v>
      </c>
      <c r="BI529" s="510">
        <v>0</v>
      </c>
      <c r="BJ529" s="510">
        <v>0</v>
      </c>
      <c r="BK529" s="510">
        <v>0</v>
      </c>
      <c r="BL529" s="510">
        <v>0</v>
      </c>
      <c r="BM529" s="510">
        <v>0</v>
      </c>
      <c r="BN529" s="510">
        <v>4000</v>
      </c>
      <c r="BO529" s="510">
        <v>0</v>
      </c>
      <c r="BP529" s="510">
        <v>0</v>
      </c>
      <c r="BQ529" s="510">
        <v>0</v>
      </c>
      <c r="BR529" s="510">
        <v>0</v>
      </c>
      <c r="BS529" s="510">
        <v>0</v>
      </c>
      <c r="BT529" s="510">
        <v>0</v>
      </c>
      <c r="BU529" s="510">
        <v>0</v>
      </c>
      <c r="BV529" s="510">
        <v>0</v>
      </c>
      <c r="BW529" s="510">
        <v>0</v>
      </c>
      <c r="BX529" s="510">
        <v>30000</v>
      </c>
      <c r="BY529" s="1011">
        <v>0</v>
      </c>
      <c r="BZ529" s="510">
        <v>0</v>
      </c>
      <c r="CA529" s="1011">
        <v>0</v>
      </c>
      <c r="CB529" s="510">
        <v>0</v>
      </c>
      <c r="CC529" s="1011">
        <v>0</v>
      </c>
      <c r="CD529" s="510">
        <v>0</v>
      </c>
      <c r="CE529" s="1011">
        <v>0</v>
      </c>
      <c r="CF529" s="510">
        <v>52058.400000000001</v>
      </c>
      <c r="CG529" s="1011">
        <v>0</v>
      </c>
      <c r="CH529" s="510">
        <v>0</v>
      </c>
      <c r="CI529" s="1011">
        <v>0</v>
      </c>
    </row>
    <row r="530" spans="1:87" x14ac:dyDescent="0.2">
      <c r="A530" s="449">
        <v>149</v>
      </c>
      <c r="B530" s="453">
        <v>90174</v>
      </c>
      <c r="C530" s="454" t="s">
        <v>5343</v>
      </c>
      <c r="D530" s="454" t="s">
        <v>1390</v>
      </c>
      <c r="E530" s="454" t="s">
        <v>5343</v>
      </c>
      <c r="F530" s="454" t="s">
        <v>520</v>
      </c>
      <c r="G530" s="454" t="s">
        <v>13190</v>
      </c>
      <c r="H530" s="455">
        <v>52043551000136</v>
      </c>
      <c r="I530" s="462">
        <v>30315</v>
      </c>
      <c r="J530" s="457">
        <v>37628062</v>
      </c>
      <c r="K530" s="454" t="s">
        <v>5345</v>
      </c>
      <c r="L530" s="458">
        <v>185</v>
      </c>
      <c r="M530" s="454" t="s">
        <v>5346</v>
      </c>
      <c r="N530" s="459">
        <v>5862180</v>
      </c>
      <c r="O530" s="460">
        <v>55113951</v>
      </c>
      <c r="P530" s="462">
        <v>306560</v>
      </c>
      <c r="Q530" s="462">
        <v>84</v>
      </c>
      <c r="R530" s="462">
        <v>43969</v>
      </c>
      <c r="S530" s="463">
        <v>529</v>
      </c>
      <c r="T530" s="464">
        <v>3.6</v>
      </c>
      <c r="U530" s="465">
        <v>1904.4</v>
      </c>
      <c r="V530" s="465">
        <v>16560</v>
      </c>
      <c r="W530" s="466">
        <v>0</v>
      </c>
      <c r="X530" s="467">
        <v>1</v>
      </c>
      <c r="Y530" s="466">
        <v>27696.6</v>
      </c>
      <c r="Z530" s="468" t="s">
        <v>516</v>
      </c>
      <c r="AA530" s="466">
        <v>109553.4</v>
      </c>
      <c r="AB530" s="466">
        <v>109553.4</v>
      </c>
      <c r="AC530" s="467">
        <v>0</v>
      </c>
      <c r="AD530" s="466">
        <v>0</v>
      </c>
      <c r="AE530" s="468" t="s">
        <v>516</v>
      </c>
      <c r="AF530" s="466">
        <v>0</v>
      </c>
      <c r="AG530" s="466">
        <v>0</v>
      </c>
      <c r="AH530" s="466">
        <v>7695.97</v>
      </c>
      <c r="AI530" s="466">
        <v>8382.2000000000007</v>
      </c>
      <c r="AJ530" s="469" t="s">
        <v>1813</v>
      </c>
      <c r="AK530" s="470" t="s">
        <v>5347</v>
      </c>
      <c r="AL530" s="471" t="s">
        <v>5348</v>
      </c>
      <c r="AM530" s="470" t="s">
        <v>5349</v>
      </c>
      <c r="AN530" s="470" t="s">
        <v>5344</v>
      </c>
      <c r="AO530" s="470" t="s">
        <v>5350</v>
      </c>
      <c r="AP530" s="470" t="s">
        <v>5351</v>
      </c>
      <c r="AQ530" s="470" t="s">
        <v>5343</v>
      </c>
      <c r="AR530" s="472" t="s">
        <v>515</v>
      </c>
      <c r="AS530" s="473" t="s">
        <v>1385</v>
      </c>
      <c r="AT530" s="472" t="s">
        <v>1390</v>
      </c>
      <c r="AU530" s="472" t="s">
        <v>420</v>
      </c>
      <c r="AV530" s="472">
        <v>2020</v>
      </c>
      <c r="AW530" s="474" t="s">
        <v>15078</v>
      </c>
      <c r="AX530" s="475" t="s">
        <v>15079</v>
      </c>
      <c r="AY530" s="515">
        <v>1</v>
      </c>
      <c r="AZ530" s="474" t="s">
        <v>15079</v>
      </c>
      <c r="BA530" s="472" t="s">
        <v>1390</v>
      </c>
      <c r="BB530" s="472" t="s">
        <v>1385</v>
      </c>
      <c r="BC530" s="472" t="s">
        <v>1385</v>
      </c>
      <c r="BD530" s="472" t="s">
        <v>1385</v>
      </c>
      <c r="BE530" s="472" t="s">
        <v>1385</v>
      </c>
      <c r="BF530" s="472">
        <v>27696.6</v>
      </c>
      <c r="BG530" s="472">
        <v>0</v>
      </c>
      <c r="BH530" s="472" t="s">
        <v>1385</v>
      </c>
      <c r="BI530" s="510">
        <v>0</v>
      </c>
      <c r="BJ530" s="510">
        <v>0</v>
      </c>
      <c r="BK530" s="510">
        <v>0</v>
      </c>
      <c r="BL530" s="510">
        <v>0</v>
      </c>
      <c r="BM530" s="510">
        <v>0</v>
      </c>
      <c r="BN530" s="510">
        <v>4000</v>
      </c>
      <c r="BO530" s="510">
        <v>0</v>
      </c>
      <c r="BP530" s="510">
        <v>0</v>
      </c>
      <c r="BQ530" s="510">
        <v>0</v>
      </c>
      <c r="BR530" s="510">
        <v>0</v>
      </c>
      <c r="BS530" s="510">
        <v>0</v>
      </c>
      <c r="BT530" s="510">
        <v>0</v>
      </c>
      <c r="BU530" s="510">
        <v>0</v>
      </c>
      <c r="BV530" s="510">
        <v>0</v>
      </c>
      <c r="BW530" s="510">
        <v>0</v>
      </c>
      <c r="BX530" s="510">
        <v>30000</v>
      </c>
      <c r="BY530" s="1011">
        <v>0</v>
      </c>
      <c r="BZ530" s="510">
        <v>0</v>
      </c>
      <c r="CA530" s="1011">
        <v>0</v>
      </c>
      <c r="CB530" s="510">
        <v>0</v>
      </c>
      <c r="CC530" s="1011">
        <v>0</v>
      </c>
      <c r="CD530" s="510">
        <v>0</v>
      </c>
      <c r="CE530" s="1011">
        <v>0</v>
      </c>
      <c r="CF530" s="510">
        <v>51856.800000000003</v>
      </c>
      <c r="CG530" s="1011">
        <v>0</v>
      </c>
      <c r="CH530" s="510">
        <v>0</v>
      </c>
      <c r="CI530" s="1011">
        <v>0</v>
      </c>
    </row>
    <row r="531" spans="1:87" x14ac:dyDescent="0.2">
      <c r="A531" s="449">
        <v>150</v>
      </c>
      <c r="B531" s="453">
        <v>90182</v>
      </c>
      <c r="C531" s="454" t="s">
        <v>5352</v>
      </c>
      <c r="D531" s="454" t="s">
        <v>1390</v>
      </c>
      <c r="E531" s="454" t="s">
        <v>5352</v>
      </c>
      <c r="F531" s="454" t="s">
        <v>520</v>
      </c>
      <c r="G531" s="454" t="s">
        <v>13191</v>
      </c>
      <c r="H531" s="455">
        <v>50951680000105</v>
      </c>
      <c r="I531" s="462">
        <v>30215</v>
      </c>
      <c r="J531" s="457">
        <v>37616234</v>
      </c>
      <c r="K531" s="454" t="s">
        <v>5353</v>
      </c>
      <c r="L531" s="458">
        <v>66</v>
      </c>
      <c r="M531" s="454" t="s">
        <v>5354</v>
      </c>
      <c r="N531" s="459">
        <v>5850120</v>
      </c>
      <c r="O531" s="460">
        <v>58168506</v>
      </c>
      <c r="P531" s="462">
        <v>306579</v>
      </c>
      <c r="Q531" s="462">
        <v>85</v>
      </c>
      <c r="R531" s="462">
        <v>43969</v>
      </c>
      <c r="S531" s="463">
        <v>586</v>
      </c>
      <c r="T531" s="464">
        <v>3.6</v>
      </c>
      <c r="U531" s="465">
        <v>2109.6</v>
      </c>
      <c r="V531" s="465">
        <v>16560</v>
      </c>
      <c r="W531" s="466">
        <v>0</v>
      </c>
      <c r="X531" s="467">
        <v>1</v>
      </c>
      <c r="Y531" s="466">
        <v>28004.400000000001</v>
      </c>
      <c r="Z531" s="468" t="s">
        <v>516</v>
      </c>
      <c r="AA531" s="466">
        <v>110250</v>
      </c>
      <c r="AB531" s="466">
        <v>110250</v>
      </c>
      <c r="AC531" s="467">
        <v>0</v>
      </c>
      <c r="AD531" s="466">
        <v>0</v>
      </c>
      <c r="AE531" s="468" t="s">
        <v>516</v>
      </c>
      <c r="AF531" s="466">
        <v>0</v>
      </c>
      <c r="AG531" s="466">
        <v>0</v>
      </c>
      <c r="AH531" s="466">
        <v>17973.37</v>
      </c>
      <c r="AI531" s="466">
        <v>18593.45</v>
      </c>
      <c r="AJ531" s="469" t="s">
        <v>1813</v>
      </c>
      <c r="AK531" s="470" t="s">
        <v>1814</v>
      </c>
      <c r="AL531" s="471" t="s">
        <v>5355</v>
      </c>
      <c r="AM531" s="470" t="s">
        <v>5356</v>
      </c>
      <c r="AN531" s="470" t="s">
        <v>5357</v>
      </c>
      <c r="AO531" s="470" t="s">
        <v>5358</v>
      </c>
      <c r="AP531" s="470" t="s">
        <v>5359</v>
      </c>
      <c r="AQ531" s="470" t="s">
        <v>5352</v>
      </c>
      <c r="AR531" s="472" t="s">
        <v>515</v>
      </c>
      <c r="AS531" s="473" t="s">
        <v>1385</v>
      </c>
      <c r="AT531" s="472" t="s">
        <v>1390</v>
      </c>
      <c r="AU531" s="472" t="s">
        <v>420</v>
      </c>
      <c r="AV531" s="472">
        <v>2020</v>
      </c>
      <c r="AW531" s="474" t="s">
        <v>15078</v>
      </c>
      <c r="AX531" s="475" t="s">
        <v>15079</v>
      </c>
      <c r="AY531" s="515">
        <v>1</v>
      </c>
      <c r="AZ531" s="474" t="s">
        <v>15079</v>
      </c>
      <c r="BA531" s="472" t="s">
        <v>1390</v>
      </c>
      <c r="BB531" s="472" t="s">
        <v>1385</v>
      </c>
      <c r="BC531" s="472" t="s">
        <v>1385</v>
      </c>
      <c r="BD531" s="472" t="s">
        <v>1385</v>
      </c>
      <c r="BE531" s="472" t="s">
        <v>1385</v>
      </c>
      <c r="BF531" s="472">
        <v>28004.400000000001</v>
      </c>
      <c r="BG531" s="472">
        <v>0</v>
      </c>
      <c r="BH531" s="472" t="s">
        <v>1385</v>
      </c>
      <c r="BI531" s="510">
        <v>0</v>
      </c>
      <c r="BJ531" s="510">
        <v>3348.7</v>
      </c>
      <c r="BK531" s="510">
        <v>0</v>
      </c>
      <c r="BL531" s="510">
        <v>0</v>
      </c>
      <c r="BM531" s="510">
        <v>0</v>
      </c>
      <c r="BN531" s="510">
        <v>5000</v>
      </c>
      <c r="BO531" s="510">
        <v>0</v>
      </c>
      <c r="BP531" s="510">
        <v>0</v>
      </c>
      <c r="BQ531" s="510">
        <v>0</v>
      </c>
      <c r="BR531" s="510">
        <v>0</v>
      </c>
      <c r="BS531" s="510">
        <v>0</v>
      </c>
      <c r="BT531" s="510">
        <v>0</v>
      </c>
      <c r="BU531" s="510">
        <v>0</v>
      </c>
      <c r="BV531" s="510">
        <v>0</v>
      </c>
      <c r="BW531" s="510">
        <v>0</v>
      </c>
      <c r="BX531" s="510">
        <v>30000</v>
      </c>
      <c r="BY531" s="1011">
        <v>0</v>
      </c>
      <c r="BZ531" s="510">
        <v>0</v>
      </c>
      <c r="CA531" s="1011">
        <v>0</v>
      </c>
      <c r="CB531" s="510">
        <v>0</v>
      </c>
      <c r="CC531" s="1011">
        <v>0</v>
      </c>
      <c r="CD531" s="510">
        <v>0</v>
      </c>
      <c r="CE531" s="1011">
        <v>0</v>
      </c>
      <c r="CF531" s="510">
        <v>52245.599999999999</v>
      </c>
      <c r="CG531" s="1011">
        <v>0</v>
      </c>
      <c r="CH531" s="510">
        <v>0</v>
      </c>
      <c r="CI531" s="1011">
        <v>0</v>
      </c>
    </row>
    <row r="532" spans="1:87" x14ac:dyDescent="0.2">
      <c r="A532" s="449">
        <v>145</v>
      </c>
      <c r="B532" s="453">
        <v>90191</v>
      </c>
      <c r="C532" s="454" t="s">
        <v>5360</v>
      </c>
      <c r="D532" s="454" t="s">
        <v>1390</v>
      </c>
      <c r="E532" s="454" t="s">
        <v>5360</v>
      </c>
      <c r="F532" s="454" t="s">
        <v>520</v>
      </c>
      <c r="G532" s="454" t="s">
        <v>13192</v>
      </c>
      <c r="H532" s="455">
        <v>52168994000153</v>
      </c>
      <c r="I532" s="462">
        <v>30375</v>
      </c>
      <c r="J532" s="457">
        <v>37615947</v>
      </c>
      <c r="K532" s="454" t="s">
        <v>5362</v>
      </c>
      <c r="L532" s="458">
        <v>80</v>
      </c>
      <c r="M532" s="454" t="s">
        <v>5363</v>
      </c>
      <c r="N532" s="459">
        <v>5845230</v>
      </c>
      <c r="O532" s="460">
        <v>55115812</v>
      </c>
      <c r="P532" s="462">
        <v>306110</v>
      </c>
      <c r="Q532" s="462">
        <v>80</v>
      </c>
      <c r="R532" s="462">
        <v>43979</v>
      </c>
      <c r="S532" s="463">
        <v>547</v>
      </c>
      <c r="T532" s="464">
        <v>3.6</v>
      </c>
      <c r="U532" s="465">
        <v>1969.2</v>
      </c>
      <c r="V532" s="465">
        <v>16560</v>
      </c>
      <c r="W532" s="466">
        <v>0</v>
      </c>
      <c r="X532" s="467">
        <v>1</v>
      </c>
      <c r="Y532" s="466">
        <v>27793.8</v>
      </c>
      <c r="Z532" s="468" t="s">
        <v>516</v>
      </c>
      <c r="AA532" s="466">
        <v>109866.6</v>
      </c>
      <c r="AB532" s="466">
        <v>109866.6</v>
      </c>
      <c r="AC532" s="467">
        <v>0</v>
      </c>
      <c r="AD532" s="466">
        <v>0</v>
      </c>
      <c r="AE532" s="468" t="s">
        <v>516</v>
      </c>
      <c r="AF532" s="466">
        <v>0</v>
      </c>
      <c r="AG532" s="466">
        <v>0</v>
      </c>
      <c r="AH532" s="466">
        <v>20343.240000000002</v>
      </c>
      <c r="AI532" s="466">
        <v>402.92</v>
      </c>
      <c r="AJ532" s="469" t="s">
        <v>1515</v>
      </c>
      <c r="AK532" s="470" t="s">
        <v>1516</v>
      </c>
      <c r="AL532" s="471" t="s">
        <v>5364</v>
      </c>
      <c r="AM532" s="470" t="s">
        <v>5365</v>
      </c>
      <c r="AN532" s="470" t="s">
        <v>5361</v>
      </c>
      <c r="AO532" s="470" t="s">
        <v>5366</v>
      </c>
      <c r="AP532" s="470" t="s">
        <v>5367</v>
      </c>
      <c r="AQ532" s="470" t="s">
        <v>5360</v>
      </c>
      <c r="AR532" s="472" t="s">
        <v>515</v>
      </c>
      <c r="AS532" s="473" t="s">
        <v>1385</v>
      </c>
      <c r="AT532" s="472" t="s">
        <v>1390</v>
      </c>
      <c r="AU532" s="472" t="s">
        <v>420</v>
      </c>
      <c r="AV532" s="472">
        <v>2020</v>
      </c>
      <c r="AW532" s="474" t="s">
        <v>15078</v>
      </c>
      <c r="AX532" s="475" t="s">
        <v>15079</v>
      </c>
      <c r="AY532" s="515">
        <v>1</v>
      </c>
      <c r="AZ532" s="474" t="s">
        <v>15079</v>
      </c>
      <c r="BA532" s="472" t="s">
        <v>1390</v>
      </c>
      <c r="BB532" s="472" t="s">
        <v>1385</v>
      </c>
      <c r="BC532" s="472" t="s">
        <v>1385</v>
      </c>
      <c r="BD532" s="472" t="s">
        <v>1385</v>
      </c>
      <c r="BE532" s="472" t="s">
        <v>1385</v>
      </c>
      <c r="BF532" s="472">
        <v>27793.8</v>
      </c>
      <c r="BG532" s="472">
        <v>0</v>
      </c>
      <c r="BH532" s="472" t="s">
        <v>1385</v>
      </c>
      <c r="BI532" s="510">
        <v>0</v>
      </c>
      <c r="BJ532" s="510">
        <v>0</v>
      </c>
      <c r="BK532" s="510">
        <v>0</v>
      </c>
      <c r="BL532" s="510">
        <v>0</v>
      </c>
      <c r="BM532" s="510">
        <v>0</v>
      </c>
      <c r="BN532" s="510">
        <v>4000</v>
      </c>
      <c r="BO532" s="510">
        <v>0</v>
      </c>
      <c r="BP532" s="510">
        <v>0</v>
      </c>
      <c r="BQ532" s="510">
        <v>0</v>
      </c>
      <c r="BR532" s="510">
        <v>0</v>
      </c>
      <c r="BS532" s="510">
        <v>0</v>
      </c>
      <c r="BT532" s="510">
        <v>0</v>
      </c>
      <c r="BU532" s="510">
        <v>0</v>
      </c>
      <c r="BV532" s="510">
        <v>0</v>
      </c>
      <c r="BW532" s="510">
        <v>0</v>
      </c>
      <c r="BX532" s="510">
        <v>30000</v>
      </c>
      <c r="BY532" s="1011">
        <v>0</v>
      </c>
      <c r="BZ532" s="510">
        <v>0</v>
      </c>
      <c r="CA532" s="1011">
        <v>0</v>
      </c>
      <c r="CB532" s="510">
        <v>0</v>
      </c>
      <c r="CC532" s="1011">
        <v>0</v>
      </c>
      <c r="CD532" s="510">
        <v>0</v>
      </c>
      <c r="CE532" s="1011">
        <v>0</v>
      </c>
      <c r="CF532" s="510">
        <v>52072.800000000003</v>
      </c>
      <c r="CG532" s="1011">
        <v>0</v>
      </c>
      <c r="CH532" s="510">
        <v>0</v>
      </c>
      <c r="CI532" s="1011">
        <v>0</v>
      </c>
    </row>
    <row r="533" spans="1:87" x14ac:dyDescent="0.2">
      <c r="A533" s="449">
        <v>132</v>
      </c>
      <c r="B533" s="453">
        <v>90204</v>
      </c>
      <c r="C533" s="454" t="s">
        <v>5368</v>
      </c>
      <c r="D533" s="454" t="s">
        <v>1390</v>
      </c>
      <c r="E533" s="454" t="s">
        <v>5368</v>
      </c>
      <c r="F533" s="454" t="s">
        <v>520</v>
      </c>
      <c r="G533" s="454" t="s">
        <v>13193</v>
      </c>
      <c r="H533" s="455">
        <v>52444908000198</v>
      </c>
      <c r="I533" s="462">
        <v>30400</v>
      </c>
      <c r="J533" s="457">
        <v>37628216</v>
      </c>
      <c r="K533" s="454" t="s">
        <v>5369</v>
      </c>
      <c r="L533" s="458">
        <v>116</v>
      </c>
      <c r="M533" s="454" t="s">
        <v>5370</v>
      </c>
      <c r="N533" s="459">
        <v>5762120</v>
      </c>
      <c r="O533" s="460">
        <v>58410973</v>
      </c>
      <c r="P533" s="462">
        <v>304908</v>
      </c>
      <c r="Q533" s="462">
        <v>67</v>
      </c>
      <c r="R533" s="462">
        <v>43969</v>
      </c>
      <c r="S533" s="463">
        <v>416</v>
      </c>
      <c r="T533" s="464">
        <v>3.6</v>
      </c>
      <c r="U533" s="465">
        <v>1497.6</v>
      </c>
      <c r="V533" s="465">
        <v>15120</v>
      </c>
      <c r="W533" s="466">
        <v>0</v>
      </c>
      <c r="X533" s="467">
        <v>1</v>
      </c>
      <c r="Y533" s="466">
        <v>24926.400000000001</v>
      </c>
      <c r="Z533" s="468" t="s">
        <v>516</v>
      </c>
      <c r="AA533" s="466">
        <v>103140</v>
      </c>
      <c r="AB533" s="466">
        <v>103140</v>
      </c>
      <c r="AC533" s="467">
        <v>0</v>
      </c>
      <c r="AD533" s="466">
        <v>0</v>
      </c>
      <c r="AE533" s="468" t="s">
        <v>516</v>
      </c>
      <c r="AF533" s="466">
        <v>0</v>
      </c>
      <c r="AG533" s="466">
        <v>0</v>
      </c>
      <c r="AH533" s="466">
        <v>14313.39</v>
      </c>
      <c r="AI533" s="466">
        <v>3414.79</v>
      </c>
      <c r="AJ533" s="469" t="s">
        <v>1489</v>
      </c>
      <c r="AK533" s="470" t="s">
        <v>520</v>
      </c>
      <c r="AL533" s="471" t="s">
        <v>5371</v>
      </c>
      <c r="AM533" s="470" t="s">
        <v>5372</v>
      </c>
      <c r="AN533" s="470" t="s">
        <v>5373</v>
      </c>
      <c r="AO533" s="470" t="s">
        <v>5374</v>
      </c>
      <c r="AP533" s="470" t="s">
        <v>5375</v>
      </c>
      <c r="AQ533" s="470" t="s">
        <v>5368</v>
      </c>
      <c r="AR533" s="472" t="s">
        <v>515</v>
      </c>
      <c r="AS533" s="473" t="s">
        <v>1385</v>
      </c>
      <c r="AT533" s="472" t="s">
        <v>1390</v>
      </c>
      <c r="AU533" s="472" t="s">
        <v>420</v>
      </c>
      <c r="AV533" s="472">
        <v>2020</v>
      </c>
      <c r="AW533" s="474" t="s">
        <v>15078</v>
      </c>
      <c r="AX533" s="475" t="s">
        <v>15079</v>
      </c>
      <c r="AY533" s="515">
        <v>1</v>
      </c>
      <c r="AZ533" s="474" t="s">
        <v>15079</v>
      </c>
      <c r="BA533" s="472" t="s">
        <v>1390</v>
      </c>
      <c r="BB533" s="472" t="s">
        <v>1385</v>
      </c>
      <c r="BC533" s="472" t="s">
        <v>1385</v>
      </c>
      <c r="BD533" s="472" t="s">
        <v>1385</v>
      </c>
      <c r="BE533" s="472" t="s">
        <v>1385</v>
      </c>
      <c r="BF533" s="472">
        <v>24926.400000000001</v>
      </c>
      <c r="BG533" s="472">
        <v>0</v>
      </c>
      <c r="BH533" s="472" t="s">
        <v>1385</v>
      </c>
      <c r="BI533" s="510">
        <v>0</v>
      </c>
      <c r="BJ533" s="510">
        <v>0</v>
      </c>
      <c r="BK533" s="510">
        <v>0</v>
      </c>
      <c r="BL533" s="510">
        <v>0</v>
      </c>
      <c r="BM533" s="510">
        <v>0</v>
      </c>
      <c r="BN533" s="510">
        <v>4000</v>
      </c>
      <c r="BO533" s="510">
        <v>0</v>
      </c>
      <c r="BP533" s="510">
        <v>0</v>
      </c>
      <c r="BQ533" s="510">
        <v>0</v>
      </c>
      <c r="BR533" s="510">
        <v>0</v>
      </c>
      <c r="BS533" s="510">
        <v>0</v>
      </c>
      <c r="BT533" s="510">
        <v>0</v>
      </c>
      <c r="BU533" s="510">
        <v>0</v>
      </c>
      <c r="BV533" s="510">
        <v>0</v>
      </c>
      <c r="BW533" s="510">
        <v>0</v>
      </c>
      <c r="BX533" s="510">
        <v>30000</v>
      </c>
      <c r="BY533" s="1011">
        <v>0</v>
      </c>
      <c r="BZ533" s="510">
        <v>0</v>
      </c>
      <c r="CA533" s="1011">
        <v>0</v>
      </c>
      <c r="CB533" s="510">
        <v>0</v>
      </c>
      <c r="CC533" s="1011">
        <v>0</v>
      </c>
      <c r="CD533" s="510">
        <v>0</v>
      </c>
      <c r="CE533" s="1011">
        <v>0</v>
      </c>
      <c r="CF533" s="510">
        <v>48213.599999999999</v>
      </c>
      <c r="CG533" s="1011">
        <v>0</v>
      </c>
      <c r="CH533" s="510">
        <v>0</v>
      </c>
      <c r="CI533" s="1011">
        <v>0</v>
      </c>
    </row>
    <row r="534" spans="1:87" x14ac:dyDescent="0.2">
      <c r="A534" s="449">
        <v>127</v>
      </c>
      <c r="B534" s="453">
        <v>90212</v>
      </c>
      <c r="C534" s="454" t="s">
        <v>5376</v>
      </c>
      <c r="D534" s="454" t="s">
        <v>1390</v>
      </c>
      <c r="E534" s="454" t="s">
        <v>5376</v>
      </c>
      <c r="F534" s="454" t="s">
        <v>520</v>
      </c>
      <c r="G534" s="454" t="s">
        <v>13194</v>
      </c>
      <c r="H534" s="455">
        <v>50951714000153</v>
      </c>
      <c r="I534" s="462">
        <v>30215</v>
      </c>
      <c r="J534" s="457">
        <v>37628194</v>
      </c>
      <c r="K534" s="454" t="s">
        <v>5377</v>
      </c>
      <c r="L534" s="458">
        <v>30</v>
      </c>
      <c r="M534" s="454" t="s">
        <v>5378</v>
      </c>
      <c r="N534" s="459">
        <v>5754020</v>
      </c>
      <c r="O534" s="460">
        <v>58452690</v>
      </c>
      <c r="P534" s="462">
        <v>304592</v>
      </c>
      <c r="Q534" s="462">
        <v>62</v>
      </c>
      <c r="R534" s="462">
        <v>43969</v>
      </c>
      <c r="S534" s="463">
        <v>683</v>
      </c>
      <c r="T534" s="464">
        <v>3.6</v>
      </c>
      <c r="U534" s="465">
        <v>2458.8000000000002</v>
      </c>
      <c r="V534" s="465">
        <v>18000</v>
      </c>
      <c r="W534" s="466">
        <v>0</v>
      </c>
      <c r="X534" s="467">
        <v>1</v>
      </c>
      <c r="Y534" s="466">
        <v>30688.2</v>
      </c>
      <c r="Z534" s="468" t="s">
        <v>516</v>
      </c>
      <c r="AA534" s="466">
        <v>116512.2</v>
      </c>
      <c r="AB534" s="466">
        <v>116512.2</v>
      </c>
      <c r="AC534" s="467">
        <v>0</v>
      </c>
      <c r="AD534" s="466">
        <v>0</v>
      </c>
      <c r="AE534" s="468" t="s">
        <v>516</v>
      </c>
      <c r="AF534" s="466">
        <v>0</v>
      </c>
      <c r="AG534" s="466">
        <v>0</v>
      </c>
      <c r="AH534" s="466">
        <v>22694.47</v>
      </c>
      <c r="AI534" s="466">
        <v>16903.5</v>
      </c>
      <c r="AJ534" s="469" t="s">
        <v>1515</v>
      </c>
      <c r="AK534" s="470" t="s">
        <v>1516</v>
      </c>
      <c r="AL534" s="471" t="s">
        <v>5379</v>
      </c>
      <c r="AM534" s="470" t="s">
        <v>5380</v>
      </c>
      <c r="AN534" s="470" t="s">
        <v>5381</v>
      </c>
      <c r="AO534" s="470" t="s">
        <v>5382</v>
      </c>
      <c r="AP534" s="470" t="s">
        <v>5383</v>
      </c>
      <c r="AQ534" s="470" t="s">
        <v>5376</v>
      </c>
      <c r="AR534" s="472" t="s">
        <v>515</v>
      </c>
      <c r="AS534" s="473" t="s">
        <v>1385</v>
      </c>
      <c r="AT534" s="472" t="s">
        <v>1390</v>
      </c>
      <c r="AU534" s="472" t="s">
        <v>420</v>
      </c>
      <c r="AV534" s="472">
        <v>2020</v>
      </c>
      <c r="AW534" s="474" t="s">
        <v>15078</v>
      </c>
      <c r="AX534" s="475" t="s">
        <v>15079</v>
      </c>
      <c r="AY534" s="515">
        <v>1</v>
      </c>
      <c r="AZ534" s="474" t="s">
        <v>15079</v>
      </c>
      <c r="BA534" s="472" t="s">
        <v>1390</v>
      </c>
      <c r="BB534" s="472" t="s">
        <v>1385</v>
      </c>
      <c r="BC534" s="472" t="s">
        <v>1385</v>
      </c>
      <c r="BD534" s="472" t="s">
        <v>1385</v>
      </c>
      <c r="BE534" s="472" t="s">
        <v>1385</v>
      </c>
      <c r="BF534" s="472">
        <v>30688.2</v>
      </c>
      <c r="BG534" s="472">
        <v>0</v>
      </c>
      <c r="BH534" s="472" t="s">
        <v>1385</v>
      </c>
      <c r="BI534" s="510">
        <v>0</v>
      </c>
      <c r="BJ534" s="510">
        <v>0</v>
      </c>
      <c r="BK534" s="510">
        <v>0</v>
      </c>
      <c r="BL534" s="510">
        <v>0</v>
      </c>
      <c r="BM534" s="510">
        <v>0</v>
      </c>
      <c r="BN534" s="510">
        <v>5000</v>
      </c>
      <c r="BO534" s="510">
        <v>0</v>
      </c>
      <c r="BP534" s="510">
        <v>0</v>
      </c>
      <c r="BQ534" s="510">
        <v>0</v>
      </c>
      <c r="BR534" s="510">
        <v>0</v>
      </c>
      <c r="BS534" s="510">
        <v>0</v>
      </c>
      <c r="BT534" s="510">
        <v>0</v>
      </c>
      <c r="BU534" s="510">
        <v>0</v>
      </c>
      <c r="BV534" s="510">
        <v>0</v>
      </c>
      <c r="BW534" s="510">
        <v>0</v>
      </c>
      <c r="BX534" s="510">
        <v>30000</v>
      </c>
      <c r="BY534" s="1011">
        <v>0</v>
      </c>
      <c r="BZ534" s="510">
        <v>0</v>
      </c>
      <c r="CA534" s="1011">
        <v>0</v>
      </c>
      <c r="CB534" s="510">
        <v>0</v>
      </c>
      <c r="CC534" s="1011">
        <v>0</v>
      </c>
      <c r="CD534" s="510">
        <v>0</v>
      </c>
      <c r="CE534" s="1011">
        <v>0</v>
      </c>
      <c r="CF534" s="510">
        <v>55824</v>
      </c>
      <c r="CG534" s="1011">
        <v>0</v>
      </c>
      <c r="CH534" s="510">
        <v>0</v>
      </c>
      <c r="CI534" s="1011">
        <v>0</v>
      </c>
    </row>
    <row r="535" spans="1:87" x14ac:dyDescent="0.2">
      <c r="A535" s="449">
        <v>122</v>
      </c>
      <c r="B535" s="453">
        <v>90221</v>
      </c>
      <c r="C535" s="454" t="s">
        <v>5384</v>
      </c>
      <c r="D535" s="454" t="s">
        <v>1390</v>
      </c>
      <c r="E535" s="454" t="s">
        <v>5385</v>
      </c>
      <c r="F535" s="454" t="s">
        <v>520</v>
      </c>
      <c r="G535" s="454" t="s">
        <v>13195</v>
      </c>
      <c r="H535" s="455">
        <v>52946852000170</v>
      </c>
      <c r="I535" s="462">
        <v>30607</v>
      </c>
      <c r="J535" s="457">
        <v>37628097</v>
      </c>
      <c r="K535" s="454" t="s">
        <v>5386</v>
      </c>
      <c r="L535" s="458">
        <v>470</v>
      </c>
      <c r="M535" s="454" t="s">
        <v>5387</v>
      </c>
      <c r="N535" s="459">
        <v>5759290</v>
      </c>
      <c r="O535" s="460">
        <v>58413192</v>
      </c>
      <c r="P535" s="462">
        <v>304355</v>
      </c>
      <c r="Q535" s="462">
        <v>57</v>
      </c>
      <c r="R535" s="462">
        <v>43969</v>
      </c>
      <c r="S535" s="463">
        <v>336</v>
      </c>
      <c r="T535" s="464">
        <v>3.6</v>
      </c>
      <c r="U535" s="465">
        <v>1209.5999999999999</v>
      </c>
      <c r="V535" s="465">
        <v>13680</v>
      </c>
      <c r="W535" s="466">
        <v>0</v>
      </c>
      <c r="X535" s="467">
        <v>1</v>
      </c>
      <c r="Y535" s="466">
        <v>22334.400000000001</v>
      </c>
      <c r="Z535" s="468" t="s">
        <v>516</v>
      </c>
      <c r="AA535" s="466">
        <v>97005.6</v>
      </c>
      <c r="AB535" s="466">
        <v>97005.6</v>
      </c>
      <c r="AC535" s="467">
        <v>0</v>
      </c>
      <c r="AD535" s="466">
        <v>0</v>
      </c>
      <c r="AE535" s="468" t="s">
        <v>516</v>
      </c>
      <c r="AF535" s="466">
        <v>0</v>
      </c>
      <c r="AG535" s="466">
        <v>0</v>
      </c>
      <c r="AH535" s="466">
        <v>40648.67</v>
      </c>
      <c r="AI535" s="466">
        <v>3800.87</v>
      </c>
      <c r="AJ535" s="469" t="s">
        <v>1489</v>
      </c>
      <c r="AK535" s="470" t="s">
        <v>520</v>
      </c>
      <c r="AL535" s="471" t="s">
        <v>5388</v>
      </c>
      <c r="AM535" s="470" t="s">
        <v>5389</v>
      </c>
      <c r="AN535" s="470" t="s">
        <v>5390</v>
      </c>
      <c r="AO535" s="470" t="s">
        <v>5391</v>
      </c>
      <c r="AP535" s="470" t="s">
        <v>5392</v>
      </c>
      <c r="AQ535" s="470" t="s">
        <v>5384</v>
      </c>
      <c r="AR535" s="472" t="s">
        <v>515</v>
      </c>
      <c r="AS535" s="473" t="s">
        <v>1385</v>
      </c>
      <c r="AT535" s="472" t="s">
        <v>1390</v>
      </c>
      <c r="AU535" s="472" t="s">
        <v>420</v>
      </c>
      <c r="AV535" s="472">
        <v>2020</v>
      </c>
      <c r="AW535" s="474" t="s">
        <v>15078</v>
      </c>
      <c r="AX535" s="475" t="s">
        <v>15079</v>
      </c>
      <c r="AY535" s="515">
        <v>1</v>
      </c>
      <c r="AZ535" s="474" t="s">
        <v>15079</v>
      </c>
      <c r="BA535" s="472" t="s">
        <v>1390</v>
      </c>
      <c r="BB535" s="472" t="s">
        <v>1385</v>
      </c>
      <c r="BC535" s="472" t="s">
        <v>1385</v>
      </c>
      <c r="BD535" s="472" t="s">
        <v>1385</v>
      </c>
      <c r="BE535" s="472" t="s">
        <v>1385</v>
      </c>
      <c r="BF535" s="472">
        <v>22334.400000000001</v>
      </c>
      <c r="BG535" s="472">
        <v>0</v>
      </c>
      <c r="BH535" s="472" t="s">
        <v>1385</v>
      </c>
      <c r="BI535" s="510">
        <v>0</v>
      </c>
      <c r="BJ535" s="510">
        <v>39.69</v>
      </c>
      <c r="BK535" s="510">
        <v>0</v>
      </c>
      <c r="BL535" s="510">
        <v>0</v>
      </c>
      <c r="BM535" s="510">
        <v>0</v>
      </c>
      <c r="BN535" s="510">
        <v>3500</v>
      </c>
      <c r="BO535" s="510">
        <v>0</v>
      </c>
      <c r="BP535" s="510">
        <v>0</v>
      </c>
      <c r="BQ535" s="510">
        <v>0</v>
      </c>
      <c r="BR535" s="510">
        <v>0</v>
      </c>
      <c r="BS535" s="510">
        <v>0</v>
      </c>
      <c r="BT535" s="510">
        <v>0</v>
      </c>
      <c r="BU535" s="510">
        <v>0</v>
      </c>
      <c r="BV535" s="510">
        <v>0</v>
      </c>
      <c r="BW535" s="510">
        <v>0</v>
      </c>
      <c r="BX535" s="510">
        <v>30000</v>
      </c>
      <c r="BY535" s="1011">
        <v>0</v>
      </c>
      <c r="BZ535" s="510">
        <v>0</v>
      </c>
      <c r="CA535" s="1011">
        <v>0</v>
      </c>
      <c r="CB535" s="510">
        <v>0</v>
      </c>
      <c r="CC535" s="1011">
        <v>0</v>
      </c>
      <c r="CD535" s="510">
        <v>0</v>
      </c>
      <c r="CE535" s="1011">
        <v>0</v>
      </c>
      <c r="CF535" s="510">
        <v>44671.199999999997</v>
      </c>
      <c r="CG535" s="1011">
        <v>0</v>
      </c>
      <c r="CH535" s="510">
        <v>0</v>
      </c>
      <c r="CI535" s="1011">
        <v>0</v>
      </c>
    </row>
    <row r="536" spans="1:87" x14ac:dyDescent="0.2">
      <c r="A536" s="449">
        <v>129</v>
      </c>
      <c r="B536" s="453">
        <v>90239</v>
      </c>
      <c r="C536" s="454" t="s">
        <v>5393</v>
      </c>
      <c r="D536" s="454" t="s">
        <v>1390</v>
      </c>
      <c r="E536" s="454" t="s">
        <v>5393</v>
      </c>
      <c r="F536" s="454" t="s">
        <v>520</v>
      </c>
      <c r="G536" s="454" t="s">
        <v>13196</v>
      </c>
      <c r="H536" s="455">
        <v>52946555000124</v>
      </c>
      <c r="I536" s="462">
        <v>30608</v>
      </c>
      <c r="J536" s="457">
        <v>37616072</v>
      </c>
      <c r="K536" s="454" t="s">
        <v>5395</v>
      </c>
      <c r="L536" s="458" t="s">
        <v>5396</v>
      </c>
      <c r="M536" s="454" t="s">
        <v>4834</v>
      </c>
      <c r="N536" s="459">
        <v>4939010</v>
      </c>
      <c r="O536" s="460">
        <v>58313175</v>
      </c>
      <c r="P536" s="462">
        <v>304770</v>
      </c>
      <c r="Q536" s="462">
        <v>64</v>
      </c>
      <c r="R536" s="462">
        <v>43969</v>
      </c>
      <c r="S536" s="463">
        <v>268</v>
      </c>
      <c r="T536" s="464">
        <v>3.6</v>
      </c>
      <c r="U536" s="465">
        <v>964.8</v>
      </c>
      <c r="V536" s="465">
        <v>12240</v>
      </c>
      <c r="W536" s="466">
        <v>0</v>
      </c>
      <c r="X536" s="467">
        <v>1</v>
      </c>
      <c r="Y536" s="466">
        <v>19807.2</v>
      </c>
      <c r="Z536" s="468" t="s">
        <v>516</v>
      </c>
      <c r="AA536" s="466">
        <v>91159.2</v>
      </c>
      <c r="AB536" s="466">
        <v>91159.2</v>
      </c>
      <c r="AC536" s="467">
        <v>0</v>
      </c>
      <c r="AD536" s="466">
        <v>0</v>
      </c>
      <c r="AE536" s="468" t="s">
        <v>516</v>
      </c>
      <c r="AF536" s="466">
        <v>0</v>
      </c>
      <c r="AG536" s="466">
        <v>0</v>
      </c>
      <c r="AH536" s="466">
        <v>10181.69</v>
      </c>
      <c r="AI536" s="466">
        <v>18054.96</v>
      </c>
      <c r="AJ536" s="469" t="s">
        <v>1515</v>
      </c>
      <c r="AK536" s="470" t="s">
        <v>1516</v>
      </c>
      <c r="AL536" s="471" t="s">
        <v>5397</v>
      </c>
      <c r="AM536" s="470" t="s">
        <v>13197</v>
      </c>
      <c r="AN536" s="470" t="s">
        <v>5394</v>
      </c>
      <c r="AO536" s="470" t="s">
        <v>5398</v>
      </c>
      <c r="AP536" s="470" t="s">
        <v>5399</v>
      </c>
      <c r="AQ536" s="470" t="s">
        <v>5393</v>
      </c>
      <c r="AR536" s="472" t="s">
        <v>515</v>
      </c>
      <c r="AS536" s="473" t="s">
        <v>1385</v>
      </c>
      <c r="AT536" s="472" t="s">
        <v>1390</v>
      </c>
      <c r="AU536" s="472" t="s">
        <v>420</v>
      </c>
      <c r="AV536" s="472">
        <v>2020</v>
      </c>
      <c r="AW536" s="474" t="s">
        <v>15078</v>
      </c>
      <c r="AX536" s="475" t="s">
        <v>15079</v>
      </c>
      <c r="AY536" s="515">
        <v>1</v>
      </c>
      <c r="AZ536" s="474" t="s">
        <v>15079</v>
      </c>
      <c r="BA536" s="472" t="s">
        <v>1390</v>
      </c>
      <c r="BB536" s="472" t="s">
        <v>1385</v>
      </c>
      <c r="BC536" s="472" t="s">
        <v>1385</v>
      </c>
      <c r="BD536" s="472" t="s">
        <v>1385</v>
      </c>
      <c r="BE536" s="472" t="s">
        <v>1385</v>
      </c>
      <c r="BF536" s="472">
        <v>19807.2</v>
      </c>
      <c r="BG536" s="472">
        <v>0</v>
      </c>
      <c r="BH536" s="472" t="s">
        <v>1385</v>
      </c>
      <c r="BI536" s="510">
        <v>0</v>
      </c>
      <c r="BJ536" s="510">
        <v>0</v>
      </c>
      <c r="BK536" s="510">
        <v>0</v>
      </c>
      <c r="BL536" s="510">
        <v>0</v>
      </c>
      <c r="BM536" s="510">
        <v>0</v>
      </c>
      <c r="BN536" s="510">
        <v>3500</v>
      </c>
      <c r="BO536" s="510">
        <v>0</v>
      </c>
      <c r="BP536" s="510">
        <v>0</v>
      </c>
      <c r="BQ536" s="510">
        <v>0</v>
      </c>
      <c r="BR536" s="510">
        <v>0</v>
      </c>
      <c r="BS536" s="510">
        <v>0</v>
      </c>
      <c r="BT536" s="510">
        <v>0</v>
      </c>
      <c r="BU536" s="510">
        <v>0</v>
      </c>
      <c r="BV536" s="510">
        <v>0</v>
      </c>
      <c r="BW536" s="510">
        <v>0</v>
      </c>
      <c r="BX536" s="510">
        <v>30000</v>
      </c>
      <c r="BY536" s="1011">
        <v>0</v>
      </c>
      <c r="BZ536" s="510">
        <v>0</v>
      </c>
      <c r="CA536" s="1011">
        <v>0</v>
      </c>
      <c r="CB536" s="510">
        <v>0</v>
      </c>
      <c r="CC536" s="1011">
        <v>0</v>
      </c>
      <c r="CD536" s="510">
        <v>0</v>
      </c>
      <c r="CE536" s="1011">
        <v>0</v>
      </c>
      <c r="CF536" s="510">
        <v>41352</v>
      </c>
      <c r="CG536" s="1011">
        <v>0</v>
      </c>
      <c r="CH536" s="510">
        <v>0</v>
      </c>
      <c r="CI536" s="1011">
        <v>0</v>
      </c>
    </row>
    <row r="537" spans="1:87" x14ac:dyDescent="0.2">
      <c r="A537" s="449">
        <v>146</v>
      </c>
      <c r="B537" s="453">
        <v>90247</v>
      </c>
      <c r="C537" s="454" t="s">
        <v>5400</v>
      </c>
      <c r="D537" s="454" t="s">
        <v>1390</v>
      </c>
      <c r="E537" s="454" t="s">
        <v>5400</v>
      </c>
      <c r="F537" s="454" t="s">
        <v>520</v>
      </c>
      <c r="G537" s="454" t="s">
        <v>13198</v>
      </c>
      <c r="H537" s="455">
        <v>53758694000197</v>
      </c>
      <c r="I537" s="462">
        <v>30921</v>
      </c>
      <c r="J537" s="457">
        <v>37627732</v>
      </c>
      <c r="K537" s="454" t="s">
        <v>5401</v>
      </c>
      <c r="L537" s="458">
        <v>177</v>
      </c>
      <c r="M537" s="454" t="s">
        <v>5402</v>
      </c>
      <c r="N537" s="459">
        <v>5820230</v>
      </c>
      <c r="O537" s="460">
        <v>58516555</v>
      </c>
      <c r="P537" s="462">
        <v>306463</v>
      </c>
      <c r="Q537" s="462">
        <v>81</v>
      </c>
      <c r="R537" s="462">
        <v>43969</v>
      </c>
      <c r="S537" s="463">
        <v>417</v>
      </c>
      <c r="T537" s="464">
        <v>3.6</v>
      </c>
      <c r="U537" s="465">
        <v>1501.2</v>
      </c>
      <c r="V537" s="465">
        <v>15120</v>
      </c>
      <c r="W537" s="466">
        <v>0</v>
      </c>
      <c r="X537" s="467">
        <v>1</v>
      </c>
      <c r="Y537" s="466">
        <v>24931.8</v>
      </c>
      <c r="Z537" s="468" t="s">
        <v>516</v>
      </c>
      <c r="AA537" s="466">
        <v>103433.4</v>
      </c>
      <c r="AB537" s="466">
        <v>103433.4</v>
      </c>
      <c r="AC537" s="467">
        <v>0</v>
      </c>
      <c r="AD537" s="466">
        <v>0</v>
      </c>
      <c r="AE537" s="468" t="s">
        <v>516</v>
      </c>
      <c r="AF537" s="466">
        <v>0</v>
      </c>
      <c r="AG537" s="466">
        <v>0</v>
      </c>
      <c r="AH537" s="466">
        <v>14946.22</v>
      </c>
      <c r="AI537" s="466">
        <v>3722.02</v>
      </c>
      <c r="AJ537" s="469" t="s">
        <v>1515</v>
      </c>
      <c r="AK537" s="470" t="s">
        <v>1516</v>
      </c>
      <c r="AL537" s="471" t="s">
        <v>5403</v>
      </c>
      <c r="AM537" s="470" t="s">
        <v>13199</v>
      </c>
      <c r="AN537" s="470" t="s">
        <v>5404</v>
      </c>
      <c r="AO537" s="470" t="s">
        <v>5405</v>
      </c>
      <c r="AP537" s="470" t="s">
        <v>5406</v>
      </c>
      <c r="AQ537" s="470" t="s">
        <v>5400</v>
      </c>
      <c r="AR537" s="472" t="s">
        <v>515</v>
      </c>
      <c r="AS537" s="473" t="s">
        <v>1385</v>
      </c>
      <c r="AT537" s="472" t="s">
        <v>1390</v>
      </c>
      <c r="AU537" s="472" t="s">
        <v>420</v>
      </c>
      <c r="AV537" s="472">
        <v>2020</v>
      </c>
      <c r="AW537" s="474" t="s">
        <v>15078</v>
      </c>
      <c r="AX537" s="475" t="s">
        <v>15079</v>
      </c>
      <c r="AY537" s="515">
        <v>1</v>
      </c>
      <c r="AZ537" s="474" t="s">
        <v>15079</v>
      </c>
      <c r="BA537" s="472" t="s">
        <v>1390</v>
      </c>
      <c r="BB537" s="472" t="s">
        <v>1385</v>
      </c>
      <c r="BC537" s="472" t="s">
        <v>1385</v>
      </c>
      <c r="BD537" s="472" t="s">
        <v>1385</v>
      </c>
      <c r="BE537" s="472" t="s">
        <v>1385</v>
      </c>
      <c r="BF537" s="472">
        <v>24931.8</v>
      </c>
      <c r="BG537" s="472">
        <v>0</v>
      </c>
      <c r="BH537" s="472" t="s">
        <v>1385</v>
      </c>
      <c r="BI537" s="510">
        <v>0</v>
      </c>
      <c r="BJ537" s="510">
        <v>0</v>
      </c>
      <c r="BK537" s="510">
        <v>0</v>
      </c>
      <c r="BL537" s="510">
        <v>0</v>
      </c>
      <c r="BM537" s="510">
        <v>0</v>
      </c>
      <c r="BN537" s="510">
        <v>4000</v>
      </c>
      <c r="BO537" s="510">
        <v>0</v>
      </c>
      <c r="BP537" s="510">
        <v>0</v>
      </c>
      <c r="BQ537" s="510">
        <v>0</v>
      </c>
      <c r="BR537" s="510">
        <v>0</v>
      </c>
      <c r="BS537" s="510">
        <v>0</v>
      </c>
      <c r="BT537" s="510">
        <v>0</v>
      </c>
      <c r="BU537" s="510">
        <v>0</v>
      </c>
      <c r="BV537" s="510">
        <v>0</v>
      </c>
      <c r="BW537" s="510">
        <v>0</v>
      </c>
      <c r="BX537" s="510">
        <v>30000</v>
      </c>
      <c r="BY537" s="1011">
        <v>0</v>
      </c>
      <c r="BZ537" s="510">
        <v>0</v>
      </c>
      <c r="CA537" s="1011">
        <v>0</v>
      </c>
      <c r="CB537" s="510">
        <v>0</v>
      </c>
      <c r="CC537" s="1011">
        <v>0</v>
      </c>
      <c r="CD537" s="510">
        <v>0</v>
      </c>
      <c r="CE537" s="1011">
        <v>0</v>
      </c>
      <c r="CF537" s="510">
        <v>48501.599999999999</v>
      </c>
      <c r="CG537" s="1011">
        <v>0</v>
      </c>
      <c r="CH537" s="510">
        <v>0</v>
      </c>
      <c r="CI537" s="1011">
        <v>0</v>
      </c>
    </row>
    <row r="538" spans="1:87" x14ac:dyDescent="0.2">
      <c r="A538" s="449">
        <v>143</v>
      </c>
      <c r="B538" s="453">
        <v>90255</v>
      </c>
      <c r="C538" s="454" t="s">
        <v>5407</v>
      </c>
      <c r="D538" s="454" t="s">
        <v>1390</v>
      </c>
      <c r="E538" s="454" t="s">
        <v>5408</v>
      </c>
      <c r="F538" s="454" t="s">
        <v>520</v>
      </c>
      <c r="G538" s="454" t="s">
        <v>13200</v>
      </c>
      <c r="H538" s="455">
        <v>53759338000198</v>
      </c>
      <c r="I538" s="462">
        <v>30923</v>
      </c>
      <c r="J538" s="457">
        <v>37615912</v>
      </c>
      <c r="K538" s="454" t="s">
        <v>5410</v>
      </c>
      <c r="L538" s="458">
        <v>229</v>
      </c>
      <c r="M538" s="454" t="s">
        <v>5411</v>
      </c>
      <c r="N538" s="459">
        <v>5814100</v>
      </c>
      <c r="O538" s="460">
        <v>58519986</v>
      </c>
      <c r="P538" s="462">
        <v>307613</v>
      </c>
      <c r="Q538" s="462">
        <v>78</v>
      </c>
      <c r="R538" s="462">
        <v>43969</v>
      </c>
      <c r="S538" s="463">
        <v>366</v>
      </c>
      <c r="T538" s="464">
        <v>3.6</v>
      </c>
      <c r="U538" s="465">
        <v>1317.6</v>
      </c>
      <c r="V538" s="465">
        <v>13680</v>
      </c>
      <c r="W538" s="466">
        <v>0</v>
      </c>
      <c r="X538" s="467">
        <v>1</v>
      </c>
      <c r="Y538" s="466">
        <v>22496.400000000001</v>
      </c>
      <c r="Z538" s="468" t="s">
        <v>516</v>
      </c>
      <c r="AA538" s="466">
        <v>97513.2</v>
      </c>
      <c r="AB538" s="466">
        <v>97513.2</v>
      </c>
      <c r="AC538" s="467">
        <v>0</v>
      </c>
      <c r="AD538" s="466">
        <v>0</v>
      </c>
      <c r="AE538" s="468" t="s">
        <v>516</v>
      </c>
      <c r="AF538" s="466">
        <v>0</v>
      </c>
      <c r="AG538" s="466">
        <v>0</v>
      </c>
      <c r="AH538" s="466">
        <v>22074.080000000002</v>
      </c>
      <c r="AI538" s="466">
        <v>8863.24</v>
      </c>
      <c r="AJ538" s="469" t="s">
        <v>1515</v>
      </c>
      <c r="AK538" s="470" t="s">
        <v>1516</v>
      </c>
      <c r="AL538" s="471" t="s">
        <v>5412</v>
      </c>
      <c r="AM538" s="470" t="s">
        <v>13201</v>
      </c>
      <c r="AN538" s="470" t="s">
        <v>5409</v>
      </c>
      <c r="AO538" s="470" t="s">
        <v>5413</v>
      </c>
      <c r="AP538" s="470" t="s">
        <v>5414</v>
      </c>
      <c r="AQ538" s="470" t="s">
        <v>5407</v>
      </c>
      <c r="AR538" s="472" t="s">
        <v>515</v>
      </c>
      <c r="AS538" s="473" t="s">
        <v>1385</v>
      </c>
      <c r="AT538" s="472" t="s">
        <v>1390</v>
      </c>
      <c r="AU538" s="472" t="s">
        <v>420</v>
      </c>
      <c r="AV538" s="472">
        <v>2020</v>
      </c>
      <c r="AW538" s="474" t="s">
        <v>15078</v>
      </c>
      <c r="AX538" s="475" t="s">
        <v>15079</v>
      </c>
      <c r="AY538" s="515">
        <v>1</v>
      </c>
      <c r="AZ538" s="474" t="s">
        <v>15079</v>
      </c>
      <c r="BA538" s="472" t="s">
        <v>1390</v>
      </c>
      <c r="BB538" s="472" t="s">
        <v>1385</v>
      </c>
      <c r="BC538" s="472" t="s">
        <v>1385</v>
      </c>
      <c r="BD538" s="472" t="s">
        <v>1385</v>
      </c>
      <c r="BE538" s="472" t="s">
        <v>1385</v>
      </c>
      <c r="BF538" s="472">
        <v>22496.400000000001</v>
      </c>
      <c r="BG538" s="472">
        <v>0</v>
      </c>
      <c r="BH538" s="472" t="s">
        <v>1385</v>
      </c>
      <c r="BI538" s="510">
        <v>0</v>
      </c>
      <c r="BJ538" s="510">
        <v>0</v>
      </c>
      <c r="BK538" s="510">
        <v>0</v>
      </c>
      <c r="BL538" s="510">
        <v>0</v>
      </c>
      <c r="BM538" s="510">
        <v>0</v>
      </c>
      <c r="BN538" s="510">
        <v>3500</v>
      </c>
      <c r="BO538" s="510">
        <v>0</v>
      </c>
      <c r="BP538" s="510">
        <v>0</v>
      </c>
      <c r="BQ538" s="510">
        <v>0</v>
      </c>
      <c r="BR538" s="510">
        <v>0</v>
      </c>
      <c r="BS538" s="510">
        <v>0</v>
      </c>
      <c r="BT538" s="510">
        <v>0</v>
      </c>
      <c r="BU538" s="510">
        <v>0</v>
      </c>
      <c r="BV538" s="510">
        <v>0</v>
      </c>
      <c r="BW538" s="510">
        <v>0</v>
      </c>
      <c r="BX538" s="510">
        <v>30000</v>
      </c>
      <c r="BY538" s="1011">
        <v>0</v>
      </c>
      <c r="BZ538" s="510">
        <v>0</v>
      </c>
      <c r="CA538" s="1011">
        <v>0</v>
      </c>
      <c r="CB538" s="510">
        <v>0</v>
      </c>
      <c r="CC538" s="1011">
        <v>0</v>
      </c>
      <c r="CD538" s="510">
        <v>0</v>
      </c>
      <c r="CE538" s="1011">
        <v>0</v>
      </c>
      <c r="CF538" s="510">
        <v>45016.800000000003</v>
      </c>
      <c r="CG538" s="1011">
        <v>0</v>
      </c>
      <c r="CH538" s="510">
        <v>0</v>
      </c>
      <c r="CI538" s="1011">
        <v>0</v>
      </c>
    </row>
    <row r="539" spans="1:87" x14ac:dyDescent="0.2">
      <c r="A539" s="449">
        <v>130</v>
      </c>
      <c r="B539" s="453">
        <v>90263</v>
      </c>
      <c r="C539" s="454" t="s">
        <v>5415</v>
      </c>
      <c r="D539" s="454" t="s">
        <v>1390</v>
      </c>
      <c r="E539" s="454" t="s">
        <v>5415</v>
      </c>
      <c r="F539" s="454" t="s">
        <v>520</v>
      </c>
      <c r="G539" s="454" t="s">
        <v>13202</v>
      </c>
      <c r="H539" s="455">
        <v>55070437000193</v>
      </c>
      <c r="I539" s="462">
        <v>31318</v>
      </c>
      <c r="J539" s="457">
        <v>37616099</v>
      </c>
      <c r="K539" s="454" t="s">
        <v>5416</v>
      </c>
      <c r="L539" s="458">
        <v>53</v>
      </c>
      <c r="M539" s="454" t="s">
        <v>5417</v>
      </c>
      <c r="N539" s="459">
        <v>5788310</v>
      </c>
      <c r="O539" s="460">
        <v>58415684</v>
      </c>
      <c r="P539" s="462">
        <v>304827</v>
      </c>
      <c r="Q539" s="462">
        <v>65</v>
      </c>
      <c r="R539" s="462">
        <v>43969</v>
      </c>
      <c r="S539" s="463">
        <v>251</v>
      </c>
      <c r="T539" s="464">
        <v>3.6</v>
      </c>
      <c r="U539" s="465">
        <v>903.6</v>
      </c>
      <c r="V539" s="465">
        <v>12240</v>
      </c>
      <c r="W539" s="466">
        <v>0</v>
      </c>
      <c r="X539" s="467">
        <v>1</v>
      </c>
      <c r="Y539" s="466">
        <v>19715.400000000001</v>
      </c>
      <c r="Z539" s="468" t="s">
        <v>516</v>
      </c>
      <c r="AA539" s="466">
        <v>90981</v>
      </c>
      <c r="AB539" s="466">
        <v>90981</v>
      </c>
      <c r="AC539" s="467">
        <v>0</v>
      </c>
      <c r="AD539" s="466">
        <v>0</v>
      </c>
      <c r="AE539" s="468" t="s">
        <v>516</v>
      </c>
      <c r="AF539" s="466">
        <v>0</v>
      </c>
      <c r="AG539" s="466">
        <v>0</v>
      </c>
      <c r="AH539" s="466">
        <v>17879.75</v>
      </c>
      <c r="AI539" s="466">
        <v>2821.8</v>
      </c>
      <c r="AJ539" s="469" t="s">
        <v>1489</v>
      </c>
      <c r="AK539" s="470" t="s">
        <v>520</v>
      </c>
      <c r="AL539" s="471" t="s">
        <v>5418</v>
      </c>
      <c r="AM539" s="470" t="s">
        <v>13203</v>
      </c>
      <c r="AN539" s="470" t="s">
        <v>5419</v>
      </c>
      <c r="AO539" s="470" t="s">
        <v>5420</v>
      </c>
      <c r="AP539" s="470" t="s">
        <v>520</v>
      </c>
      <c r="AQ539" s="470" t="s">
        <v>5415</v>
      </c>
      <c r="AR539" s="472" t="s">
        <v>515</v>
      </c>
      <c r="AS539" s="473" t="s">
        <v>1385</v>
      </c>
      <c r="AT539" s="472" t="s">
        <v>1390</v>
      </c>
      <c r="AU539" s="472" t="s">
        <v>420</v>
      </c>
      <c r="AV539" s="472">
        <v>2020</v>
      </c>
      <c r="AW539" s="474" t="s">
        <v>15078</v>
      </c>
      <c r="AX539" s="475" t="s">
        <v>15079</v>
      </c>
      <c r="AY539" s="515">
        <v>1</v>
      </c>
      <c r="AZ539" s="474" t="s">
        <v>15079</v>
      </c>
      <c r="BA539" s="472" t="s">
        <v>1390</v>
      </c>
      <c r="BB539" s="472" t="s">
        <v>1385</v>
      </c>
      <c r="BC539" s="472" t="s">
        <v>1385</v>
      </c>
      <c r="BD539" s="472" t="s">
        <v>1385</v>
      </c>
      <c r="BE539" s="472" t="s">
        <v>1385</v>
      </c>
      <c r="BF539" s="472">
        <v>19715.400000000001</v>
      </c>
      <c r="BG539" s="472">
        <v>0</v>
      </c>
      <c r="BH539" s="472" t="s">
        <v>1385</v>
      </c>
      <c r="BI539" s="510">
        <v>0</v>
      </c>
      <c r="BJ539" s="510">
        <v>4421.8</v>
      </c>
      <c r="BK539" s="510">
        <v>0</v>
      </c>
      <c r="BL539" s="510">
        <v>0</v>
      </c>
      <c r="BM539" s="510">
        <v>0</v>
      </c>
      <c r="BN539" s="510">
        <v>3500</v>
      </c>
      <c r="BO539" s="510">
        <v>0</v>
      </c>
      <c r="BP539" s="510">
        <v>0</v>
      </c>
      <c r="BQ539" s="510">
        <v>0</v>
      </c>
      <c r="BR539" s="510">
        <v>0</v>
      </c>
      <c r="BS539" s="510">
        <v>0</v>
      </c>
      <c r="BT539" s="510">
        <v>0</v>
      </c>
      <c r="BU539" s="510">
        <v>0</v>
      </c>
      <c r="BV539" s="510">
        <v>0</v>
      </c>
      <c r="BW539" s="510">
        <v>0</v>
      </c>
      <c r="BX539" s="510">
        <v>30000</v>
      </c>
      <c r="BY539" s="1011">
        <v>0</v>
      </c>
      <c r="BZ539" s="510">
        <v>0</v>
      </c>
      <c r="CA539" s="1011">
        <v>0</v>
      </c>
      <c r="CB539" s="510">
        <v>0</v>
      </c>
      <c r="CC539" s="1011">
        <v>0</v>
      </c>
      <c r="CD539" s="510">
        <v>0</v>
      </c>
      <c r="CE539" s="1011">
        <v>0</v>
      </c>
      <c r="CF539" s="510">
        <v>41265.599999999999</v>
      </c>
      <c r="CG539" s="1011">
        <v>0</v>
      </c>
      <c r="CH539" s="510">
        <v>0</v>
      </c>
      <c r="CI539" s="1011">
        <v>0</v>
      </c>
    </row>
    <row r="540" spans="1:87" x14ac:dyDescent="0.2">
      <c r="A540" s="449">
        <v>134</v>
      </c>
      <c r="B540" s="453">
        <v>90271</v>
      </c>
      <c r="C540" s="454" t="s">
        <v>5421</v>
      </c>
      <c r="D540" s="454" t="s">
        <v>1390</v>
      </c>
      <c r="E540" s="454" t="s">
        <v>5421</v>
      </c>
      <c r="F540" s="454" t="s">
        <v>520</v>
      </c>
      <c r="G540" s="454" t="s">
        <v>13204</v>
      </c>
      <c r="H540" s="455">
        <v>56276868000173</v>
      </c>
      <c r="I540" s="462">
        <v>31659</v>
      </c>
      <c r="J540" s="457">
        <v>37627716</v>
      </c>
      <c r="K540" s="454" t="s">
        <v>5422</v>
      </c>
      <c r="L540" s="458">
        <v>159</v>
      </c>
      <c r="M540" s="454" t="s">
        <v>5423</v>
      </c>
      <c r="N540" s="459">
        <v>5830220</v>
      </c>
      <c r="O540" s="460">
        <v>55141864</v>
      </c>
      <c r="P540" s="462">
        <v>305262</v>
      </c>
      <c r="Q540" s="462">
        <v>69</v>
      </c>
      <c r="R540" s="462">
        <v>43979</v>
      </c>
      <c r="S540" s="463">
        <v>366</v>
      </c>
      <c r="T540" s="464">
        <v>3.6</v>
      </c>
      <c r="U540" s="465">
        <v>1317.6</v>
      </c>
      <c r="V540" s="465">
        <v>13680</v>
      </c>
      <c r="W540" s="466">
        <v>0</v>
      </c>
      <c r="X540" s="467">
        <v>1</v>
      </c>
      <c r="Y540" s="466">
        <v>22496.400000000001</v>
      </c>
      <c r="Z540" s="468" t="s">
        <v>516</v>
      </c>
      <c r="AA540" s="466">
        <v>97383.6</v>
      </c>
      <c r="AB540" s="466">
        <v>97383.6</v>
      </c>
      <c r="AC540" s="467">
        <v>0</v>
      </c>
      <c r="AD540" s="466">
        <v>0</v>
      </c>
      <c r="AE540" s="468" t="s">
        <v>516</v>
      </c>
      <c r="AF540" s="466">
        <v>0</v>
      </c>
      <c r="AG540" s="466">
        <v>0</v>
      </c>
      <c r="AH540" s="466">
        <v>14691.56</v>
      </c>
      <c r="AI540" s="466">
        <v>4792.92</v>
      </c>
      <c r="AJ540" s="469" t="s">
        <v>1515</v>
      </c>
      <c r="AK540" s="470" t="s">
        <v>1516</v>
      </c>
      <c r="AL540" s="471" t="s">
        <v>5424</v>
      </c>
      <c r="AM540" s="470" t="s">
        <v>5425</v>
      </c>
      <c r="AN540" s="470" t="s">
        <v>5426</v>
      </c>
      <c r="AO540" s="470" t="s">
        <v>5427</v>
      </c>
      <c r="AP540" s="470" t="s">
        <v>5428</v>
      </c>
      <c r="AQ540" s="470" t="s">
        <v>5421</v>
      </c>
      <c r="AR540" s="472" t="s">
        <v>515</v>
      </c>
      <c r="AS540" s="473" t="s">
        <v>1385</v>
      </c>
      <c r="AT540" s="472" t="s">
        <v>1390</v>
      </c>
      <c r="AU540" s="472" t="s">
        <v>420</v>
      </c>
      <c r="AV540" s="472">
        <v>2020</v>
      </c>
      <c r="AW540" s="474" t="s">
        <v>15078</v>
      </c>
      <c r="AX540" s="475" t="s">
        <v>15079</v>
      </c>
      <c r="AY540" s="515">
        <v>1</v>
      </c>
      <c r="AZ540" s="474" t="s">
        <v>15079</v>
      </c>
      <c r="BA540" s="472" t="s">
        <v>1390</v>
      </c>
      <c r="BB540" s="472" t="s">
        <v>1385</v>
      </c>
      <c r="BC540" s="472" t="s">
        <v>1385</v>
      </c>
      <c r="BD540" s="472" t="s">
        <v>1385</v>
      </c>
      <c r="BE540" s="472" t="s">
        <v>1385</v>
      </c>
      <c r="BF540" s="472">
        <v>22496.400000000001</v>
      </c>
      <c r="BG540" s="472">
        <v>0</v>
      </c>
      <c r="BH540" s="472" t="s">
        <v>1385</v>
      </c>
      <c r="BI540" s="510">
        <v>0</v>
      </c>
      <c r="BJ540" s="510">
        <v>0</v>
      </c>
      <c r="BK540" s="510">
        <v>0</v>
      </c>
      <c r="BL540" s="510">
        <v>0</v>
      </c>
      <c r="BM540" s="510">
        <v>0</v>
      </c>
      <c r="BN540" s="510">
        <v>3500</v>
      </c>
      <c r="BO540" s="510">
        <v>0</v>
      </c>
      <c r="BP540" s="510">
        <v>0</v>
      </c>
      <c r="BQ540" s="510">
        <v>0</v>
      </c>
      <c r="BR540" s="510">
        <v>0</v>
      </c>
      <c r="BS540" s="510">
        <v>0</v>
      </c>
      <c r="BT540" s="510">
        <v>0</v>
      </c>
      <c r="BU540" s="510">
        <v>0</v>
      </c>
      <c r="BV540" s="510">
        <v>0</v>
      </c>
      <c r="BW540" s="510">
        <v>0</v>
      </c>
      <c r="BX540" s="510">
        <v>30000</v>
      </c>
      <c r="BY540" s="1011">
        <v>0</v>
      </c>
      <c r="BZ540" s="510">
        <v>0</v>
      </c>
      <c r="CA540" s="1011">
        <v>0</v>
      </c>
      <c r="CB540" s="510">
        <v>0</v>
      </c>
      <c r="CC540" s="1011">
        <v>0</v>
      </c>
      <c r="CD540" s="510">
        <v>0</v>
      </c>
      <c r="CE540" s="1011">
        <v>0</v>
      </c>
      <c r="CF540" s="510">
        <v>44887.199999999997</v>
      </c>
      <c r="CG540" s="1011">
        <v>0</v>
      </c>
      <c r="CH540" s="510">
        <v>0</v>
      </c>
      <c r="CI540" s="1011">
        <v>0</v>
      </c>
    </row>
    <row r="541" spans="1:87" x14ac:dyDescent="0.2">
      <c r="A541" s="449">
        <v>142</v>
      </c>
      <c r="B541" s="453">
        <v>90280</v>
      </c>
      <c r="C541" s="454" t="s">
        <v>5429</v>
      </c>
      <c r="D541" s="454" t="s">
        <v>1390</v>
      </c>
      <c r="E541" s="454" t="s">
        <v>5429</v>
      </c>
      <c r="F541" s="454" t="s">
        <v>520</v>
      </c>
      <c r="G541" s="454" t="s">
        <v>13205</v>
      </c>
      <c r="H541" s="455">
        <v>56315567000101</v>
      </c>
      <c r="I541" s="462">
        <v>31660</v>
      </c>
      <c r="J541" s="457">
        <v>37616200</v>
      </c>
      <c r="K541" s="454" t="s">
        <v>5431</v>
      </c>
      <c r="L541" s="458">
        <v>114</v>
      </c>
      <c r="M541" s="454" t="s">
        <v>5432</v>
      </c>
      <c r="N541" s="459">
        <v>4937080</v>
      </c>
      <c r="O541" s="460">
        <v>58312358</v>
      </c>
      <c r="P541" s="462">
        <v>305530</v>
      </c>
      <c r="Q541" s="462">
        <v>77</v>
      </c>
      <c r="R541" s="462">
        <v>43969</v>
      </c>
      <c r="S541" s="463">
        <v>338</v>
      </c>
      <c r="T541" s="464">
        <v>3.6</v>
      </c>
      <c r="U541" s="465">
        <v>1216.8</v>
      </c>
      <c r="V541" s="465">
        <v>13680</v>
      </c>
      <c r="W541" s="466">
        <v>0</v>
      </c>
      <c r="X541" s="467">
        <v>1</v>
      </c>
      <c r="Y541" s="466">
        <v>22345.200000000001</v>
      </c>
      <c r="Z541" s="468" t="s">
        <v>516</v>
      </c>
      <c r="AA541" s="466">
        <v>97182</v>
      </c>
      <c r="AB541" s="466">
        <v>97182</v>
      </c>
      <c r="AC541" s="467">
        <v>0</v>
      </c>
      <c r="AD541" s="466">
        <v>0</v>
      </c>
      <c r="AE541" s="468" t="s">
        <v>516</v>
      </c>
      <c r="AF541" s="466">
        <v>0</v>
      </c>
      <c r="AG541" s="466">
        <v>0</v>
      </c>
      <c r="AH541" s="466">
        <v>34492.17</v>
      </c>
      <c r="AI541" s="466">
        <v>2979.36</v>
      </c>
      <c r="AJ541" s="469" t="s">
        <v>1515</v>
      </c>
      <c r="AK541" s="470" t="s">
        <v>1516</v>
      </c>
      <c r="AL541" s="471" t="s">
        <v>5433</v>
      </c>
      <c r="AM541" s="470" t="s">
        <v>13206</v>
      </c>
      <c r="AN541" s="470" t="s">
        <v>5430</v>
      </c>
      <c r="AO541" s="470" t="s">
        <v>5434</v>
      </c>
      <c r="AP541" s="470" t="s">
        <v>5435</v>
      </c>
      <c r="AQ541" s="470" t="s">
        <v>5429</v>
      </c>
      <c r="AR541" s="472" t="s">
        <v>515</v>
      </c>
      <c r="AS541" s="473" t="s">
        <v>1385</v>
      </c>
      <c r="AT541" s="472" t="s">
        <v>1390</v>
      </c>
      <c r="AU541" s="472" t="s">
        <v>420</v>
      </c>
      <c r="AV541" s="472">
        <v>2020</v>
      </c>
      <c r="AW541" s="474" t="s">
        <v>15078</v>
      </c>
      <c r="AX541" s="475" t="s">
        <v>15079</v>
      </c>
      <c r="AY541" s="515">
        <v>1</v>
      </c>
      <c r="AZ541" s="474" t="s">
        <v>15079</v>
      </c>
      <c r="BA541" s="472" t="s">
        <v>1390</v>
      </c>
      <c r="BB541" s="472" t="s">
        <v>1385</v>
      </c>
      <c r="BC541" s="472" t="s">
        <v>1385</v>
      </c>
      <c r="BD541" s="472" t="s">
        <v>1385</v>
      </c>
      <c r="BE541" s="472" t="s">
        <v>1385</v>
      </c>
      <c r="BF541" s="472">
        <v>22345.200000000001</v>
      </c>
      <c r="BG541" s="472">
        <v>0</v>
      </c>
      <c r="BH541" s="472" t="s">
        <v>1385</v>
      </c>
      <c r="BI541" s="510">
        <v>0</v>
      </c>
      <c r="BJ541" s="510">
        <v>0</v>
      </c>
      <c r="BK541" s="510">
        <v>0</v>
      </c>
      <c r="BL541" s="510">
        <v>0</v>
      </c>
      <c r="BM541" s="510">
        <v>0</v>
      </c>
      <c r="BN541" s="510">
        <v>3500</v>
      </c>
      <c r="BO541" s="510">
        <v>0</v>
      </c>
      <c r="BP541" s="510">
        <v>0</v>
      </c>
      <c r="BQ541" s="510">
        <v>0</v>
      </c>
      <c r="BR541" s="510">
        <v>0</v>
      </c>
      <c r="BS541" s="510">
        <v>0</v>
      </c>
      <c r="BT541" s="510">
        <v>0</v>
      </c>
      <c r="BU541" s="510">
        <v>0</v>
      </c>
      <c r="BV541" s="510">
        <v>0</v>
      </c>
      <c r="BW541" s="510">
        <v>0</v>
      </c>
      <c r="BX541" s="510">
        <v>30000</v>
      </c>
      <c r="BY541" s="1011">
        <v>0</v>
      </c>
      <c r="BZ541" s="510">
        <v>0</v>
      </c>
      <c r="CA541" s="1011">
        <v>0</v>
      </c>
      <c r="CB541" s="510">
        <v>0</v>
      </c>
      <c r="CC541" s="1011">
        <v>0</v>
      </c>
      <c r="CD541" s="510">
        <v>0</v>
      </c>
      <c r="CE541" s="1011">
        <v>0</v>
      </c>
      <c r="CF541" s="510">
        <v>44836.800000000003</v>
      </c>
      <c r="CG541" s="1011">
        <v>0</v>
      </c>
      <c r="CH541" s="510">
        <v>0</v>
      </c>
      <c r="CI541" s="1011">
        <v>0</v>
      </c>
    </row>
    <row r="542" spans="1:87" x14ac:dyDescent="0.2">
      <c r="A542" s="449">
        <v>138</v>
      </c>
      <c r="B542" s="453">
        <v>90298</v>
      </c>
      <c r="C542" s="454" t="s">
        <v>5436</v>
      </c>
      <c r="D542" s="454" t="s">
        <v>1390</v>
      </c>
      <c r="E542" s="454" t="s">
        <v>5436</v>
      </c>
      <c r="F542" s="454" t="s">
        <v>520</v>
      </c>
      <c r="G542" s="454" t="s">
        <v>13207</v>
      </c>
      <c r="H542" s="455">
        <v>57062184000131</v>
      </c>
      <c r="I542" s="462">
        <v>31820</v>
      </c>
      <c r="J542" s="457">
        <v>37616161</v>
      </c>
      <c r="K542" s="454" t="s">
        <v>5437</v>
      </c>
      <c r="L542" s="458">
        <v>650</v>
      </c>
      <c r="M542" s="454" t="s">
        <v>5438</v>
      </c>
      <c r="N542" s="459">
        <v>5892360</v>
      </c>
      <c r="O542" s="460">
        <v>58212273</v>
      </c>
      <c r="P542" s="462">
        <v>305432</v>
      </c>
      <c r="Q542" s="462">
        <v>73</v>
      </c>
      <c r="R542" s="462">
        <v>43983</v>
      </c>
      <c r="S542" s="463">
        <v>486</v>
      </c>
      <c r="T542" s="464">
        <v>3.6</v>
      </c>
      <c r="U542" s="465">
        <v>1749.6</v>
      </c>
      <c r="V542" s="465">
        <v>15120</v>
      </c>
      <c r="W542" s="466">
        <v>0</v>
      </c>
      <c r="X542" s="467">
        <v>1</v>
      </c>
      <c r="Y542" s="466">
        <v>25304.400000000001</v>
      </c>
      <c r="Z542" s="468" t="s">
        <v>516</v>
      </c>
      <c r="AA542" s="466">
        <v>104050.8</v>
      </c>
      <c r="AB542" s="466">
        <v>104050.8</v>
      </c>
      <c r="AC542" s="467">
        <v>0</v>
      </c>
      <c r="AD542" s="466">
        <v>0</v>
      </c>
      <c r="AE542" s="468" t="s">
        <v>516</v>
      </c>
      <c r="AF542" s="466">
        <v>0</v>
      </c>
      <c r="AG542" s="466">
        <v>0</v>
      </c>
      <c r="AH542" s="466">
        <v>17833.98</v>
      </c>
      <c r="AI542" s="466">
        <v>15008.7</v>
      </c>
      <c r="AJ542" s="469" t="s">
        <v>5439</v>
      </c>
      <c r="AK542" s="470" t="s">
        <v>5440</v>
      </c>
      <c r="AL542" s="471" t="s">
        <v>5441</v>
      </c>
      <c r="AM542" s="470" t="s">
        <v>5442</v>
      </c>
      <c r="AN542" s="470" t="s">
        <v>5443</v>
      </c>
      <c r="AO542" s="470" t="s">
        <v>5444</v>
      </c>
      <c r="AP542" s="470" t="s">
        <v>5445</v>
      </c>
      <c r="AQ542" s="470" t="s">
        <v>5436</v>
      </c>
      <c r="AR542" s="472" t="s">
        <v>515</v>
      </c>
      <c r="AS542" s="473" t="s">
        <v>1385</v>
      </c>
      <c r="AT542" s="472" t="s">
        <v>1390</v>
      </c>
      <c r="AU542" s="472" t="s">
        <v>420</v>
      </c>
      <c r="AV542" s="472">
        <v>2020</v>
      </c>
      <c r="AW542" s="474" t="s">
        <v>15078</v>
      </c>
      <c r="AX542" s="475" t="s">
        <v>15079</v>
      </c>
      <c r="AY542" s="515">
        <v>1</v>
      </c>
      <c r="AZ542" s="474" t="s">
        <v>15079</v>
      </c>
      <c r="BA542" s="472" t="s">
        <v>1390</v>
      </c>
      <c r="BB542" s="472" t="s">
        <v>1385</v>
      </c>
      <c r="BC542" s="472" t="s">
        <v>1385</v>
      </c>
      <c r="BD542" s="472" t="s">
        <v>1385</v>
      </c>
      <c r="BE542" s="472" t="s">
        <v>1385</v>
      </c>
      <c r="BF542" s="472">
        <v>25304.400000000001</v>
      </c>
      <c r="BG542" s="472">
        <v>0</v>
      </c>
      <c r="BH542" s="472" t="s">
        <v>1385</v>
      </c>
      <c r="BI542" s="510">
        <v>0</v>
      </c>
      <c r="BJ542" s="510">
        <v>18580.349999999999</v>
      </c>
      <c r="BK542" s="510">
        <v>0</v>
      </c>
      <c r="BL542" s="510">
        <v>0</v>
      </c>
      <c r="BM542" s="510">
        <v>0</v>
      </c>
      <c r="BN542" s="510">
        <v>4000</v>
      </c>
      <c r="BO542" s="510">
        <v>0</v>
      </c>
      <c r="BP542" s="510">
        <v>0</v>
      </c>
      <c r="BQ542" s="510">
        <v>0</v>
      </c>
      <c r="BR542" s="510">
        <v>0</v>
      </c>
      <c r="BS542" s="510">
        <v>0</v>
      </c>
      <c r="BT542" s="510">
        <v>0</v>
      </c>
      <c r="BU542" s="510">
        <v>0</v>
      </c>
      <c r="BV542" s="510">
        <v>0</v>
      </c>
      <c r="BW542" s="510">
        <v>0</v>
      </c>
      <c r="BX542" s="510">
        <v>30000</v>
      </c>
      <c r="BY542" s="1011">
        <v>0</v>
      </c>
      <c r="BZ542" s="510">
        <v>0</v>
      </c>
      <c r="CA542" s="1011">
        <v>0</v>
      </c>
      <c r="CB542" s="510">
        <v>0</v>
      </c>
      <c r="CC542" s="1011">
        <v>0</v>
      </c>
      <c r="CD542" s="510">
        <v>0</v>
      </c>
      <c r="CE542" s="1011">
        <v>0</v>
      </c>
      <c r="CF542" s="510">
        <v>48746.400000000001</v>
      </c>
      <c r="CG542" s="1011">
        <v>0</v>
      </c>
      <c r="CH542" s="510">
        <v>0</v>
      </c>
      <c r="CI542" s="1011">
        <v>0</v>
      </c>
    </row>
    <row r="543" spans="1:87" x14ac:dyDescent="0.2">
      <c r="A543" s="449">
        <v>136</v>
      </c>
      <c r="B543" s="453">
        <v>90301</v>
      </c>
      <c r="C543" s="454" t="s">
        <v>5446</v>
      </c>
      <c r="D543" s="454" t="s">
        <v>1390</v>
      </c>
      <c r="E543" s="454" t="s">
        <v>5447</v>
      </c>
      <c r="F543" s="454" t="s">
        <v>520</v>
      </c>
      <c r="G543" s="454" t="s">
        <v>13208</v>
      </c>
      <c r="H543" s="455">
        <v>56319015000171</v>
      </c>
      <c r="I543" s="462">
        <v>31667</v>
      </c>
      <c r="J543" s="457">
        <v>37628836</v>
      </c>
      <c r="K543" s="454" t="s">
        <v>5449</v>
      </c>
      <c r="L543" s="458">
        <v>80</v>
      </c>
      <c r="M543" s="454" t="s">
        <v>1870</v>
      </c>
      <c r="N543" s="459">
        <v>5888050</v>
      </c>
      <c r="O543" s="460">
        <v>58247176</v>
      </c>
      <c r="P543" s="462">
        <v>305327</v>
      </c>
      <c r="Q543" s="462">
        <v>71</v>
      </c>
      <c r="R543" s="462">
        <v>43969</v>
      </c>
      <c r="S543" s="463">
        <v>323</v>
      </c>
      <c r="T543" s="464">
        <v>3.6</v>
      </c>
      <c r="U543" s="465">
        <v>1162.8</v>
      </c>
      <c r="V543" s="465">
        <v>13680</v>
      </c>
      <c r="W543" s="466">
        <v>0</v>
      </c>
      <c r="X543" s="467">
        <v>1</v>
      </c>
      <c r="Y543" s="466">
        <v>22264.2</v>
      </c>
      <c r="Z543" s="468" t="s">
        <v>516</v>
      </c>
      <c r="AA543" s="466">
        <v>96870.6</v>
      </c>
      <c r="AB543" s="466">
        <v>96870.6</v>
      </c>
      <c r="AC543" s="467">
        <v>0</v>
      </c>
      <c r="AD543" s="466">
        <v>0</v>
      </c>
      <c r="AE543" s="468" t="s">
        <v>516</v>
      </c>
      <c r="AF543" s="466">
        <v>0</v>
      </c>
      <c r="AG543" s="466">
        <v>0</v>
      </c>
      <c r="AH543" s="466">
        <v>23340.53</v>
      </c>
      <c r="AI543" s="466">
        <v>4149.22</v>
      </c>
      <c r="AJ543" s="469" t="s">
        <v>1470</v>
      </c>
      <c r="AK543" s="470" t="s">
        <v>1471</v>
      </c>
      <c r="AL543" s="471" t="s">
        <v>5450</v>
      </c>
      <c r="AM543" s="470" t="s">
        <v>13209</v>
      </c>
      <c r="AN543" s="470" t="s">
        <v>5448</v>
      </c>
      <c r="AO543" s="470" t="s">
        <v>5451</v>
      </c>
      <c r="AP543" s="470" t="s">
        <v>5452</v>
      </c>
      <c r="AQ543" s="470" t="s">
        <v>5446</v>
      </c>
      <c r="AR543" s="472" t="s">
        <v>515</v>
      </c>
      <c r="AS543" s="473" t="s">
        <v>1385</v>
      </c>
      <c r="AT543" s="472" t="s">
        <v>1390</v>
      </c>
      <c r="AU543" s="472" t="s">
        <v>420</v>
      </c>
      <c r="AV543" s="472">
        <v>2020</v>
      </c>
      <c r="AW543" s="474" t="s">
        <v>15078</v>
      </c>
      <c r="AX543" s="475" t="s">
        <v>15079</v>
      </c>
      <c r="AY543" s="515">
        <v>1</v>
      </c>
      <c r="AZ543" s="474" t="s">
        <v>15079</v>
      </c>
      <c r="BA543" s="472" t="s">
        <v>1390</v>
      </c>
      <c r="BB543" s="472" t="s">
        <v>1385</v>
      </c>
      <c r="BC543" s="472" t="s">
        <v>1385</v>
      </c>
      <c r="BD543" s="472" t="s">
        <v>1385</v>
      </c>
      <c r="BE543" s="472" t="s">
        <v>1385</v>
      </c>
      <c r="BF543" s="472">
        <v>22264.2</v>
      </c>
      <c r="BG543" s="472">
        <v>0</v>
      </c>
      <c r="BH543" s="472" t="s">
        <v>1385</v>
      </c>
      <c r="BI543" s="510">
        <v>0</v>
      </c>
      <c r="BJ543" s="510">
        <v>3.84</v>
      </c>
      <c r="BK543" s="510">
        <v>0</v>
      </c>
      <c r="BL543" s="510">
        <v>0</v>
      </c>
      <c r="BM543" s="510">
        <v>0</v>
      </c>
      <c r="BN543" s="510">
        <v>3500</v>
      </c>
      <c r="BO543" s="510">
        <v>0</v>
      </c>
      <c r="BP543" s="510">
        <v>0</v>
      </c>
      <c r="BQ543" s="510">
        <v>0</v>
      </c>
      <c r="BR543" s="510">
        <v>0</v>
      </c>
      <c r="BS543" s="510">
        <v>0</v>
      </c>
      <c r="BT543" s="510">
        <v>0</v>
      </c>
      <c r="BU543" s="510">
        <v>0</v>
      </c>
      <c r="BV543" s="510">
        <v>0</v>
      </c>
      <c r="BW543" s="510">
        <v>0</v>
      </c>
      <c r="BX543" s="510">
        <v>30000</v>
      </c>
      <c r="BY543" s="1011">
        <v>0</v>
      </c>
      <c r="BZ543" s="510">
        <v>0</v>
      </c>
      <c r="CA543" s="1011">
        <v>0</v>
      </c>
      <c r="CB543" s="510">
        <v>0</v>
      </c>
      <c r="CC543" s="1011">
        <v>0</v>
      </c>
      <c r="CD543" s="510">
        <v>0</v>
      </c>
      <c r="CE543" s="1011">
        <v>0</v>
      </c>
      <c r="CF543" s="510">
        <v>44606.400000000001</v>
      </c>
      <c r="CG543" s="1011">
        <v>0</v>
      </c>
      <c r="CH543" s="510">
        <v>0</v>
      </c>
      <c r="CI543" s="1011">
        <v>0</v>
      </c>
    </row>
    <row r="544" spans="1:87" x14ac:dyDescent="0.2">
      <c r="A544" s="449">
        <v>124</v>
      </c>
      <c r="B544" s="453">
        <v>90310</v>
      </c>
      <c r="C544" s="454" t="s">
        <v>5453</v>
      </c>
      <c r="D544" s="454" t="s">
        <v>1390</v>
      </c>
      <c r="E544" s="454" t="s">
        <v>5453</v>
      </c>
      <c r="F544" s="454" t="s">
        <v>520</v>
      </c>
      <c r="G544" s="454" t="s">
        <v>13210</v>
      </c>
      <c r="H544" s="455">
        <v>57059032000180</v>
      </c>
      <c r="I544" s="462">
        <v>31812</v>
      </c>
      <c r="J544" s="457">
        <v>37628089</v>
      </c>
      <c r="K544" s="454" t="s">
        <v>5454</v>
      </c>
      <c r="L544" s="458">
        <v>100</v>
      </c>
      <c r="M544" s="454" t="s">
        <v>5455</v>
      </c>
      <c r="N544" s="459">
        <v>5880320</v>
      </c>
      <c r="O544" s="460">
        <v>58736945</v>
      </c>
      <c r="P544" s="462">
        <v>304517</v>
      </c>
      <c r="Q544" s="462">
        <v>59</v>
      </c>
      <c r="R544" s="462">
        <v>43969</v>
      </c>
      <c r="S544" s="463">
        <v>344</v>
      </c>
      <c r="T544" s="464">
        <v>3.6</v>
      </c>
      <c r="U544" s="465">
        <v>1238.4000000000001</v>
      </c>
      <c r="V544" s="465">
        <v>13680</v>
      </c>
      <c r="W544" s="466">
        <v>0</v>
      </c>
      <c r="X544" s="467">
        <v>1</v>
      </c>
      <c r="Y544" s="466">
        <v>22377.599999999999</v>
      </c>
      <c r="Z544" s="468" t="s">
        <v>516</v>
      </c>
      <c r="AA544" s="466">
        <v>98192.8</v>
      </c>
      <c r="AB544" s="466">
        <v>98192.8</v>
      </c>
      <c r="AC544" s="467">
        <v>0</v>
      </c>
      <c r="AD544" s="466">
        <v>0</v>
      </c>
      <c r="AE544" s="468" t="s">
        <v>516</v>
      </c>
      <c r="AF544" s="466">
        <v>1000</v>
      </c>
      <c r="AG544" s="466">
        <v>1000</v>
      </c>
      <c r="AH544" s="466">
        <v>15613.07</v>
      </c>
      <c r="AI544" s="466">
        <v>3044.05</v>
      </c>
      <c r="AJ544" s="469" t="s">
        <v>1515</v>
      </c>
      <c r="AK544" s="470" t="s">
        <v>1516</v>
      </c>
      <c r="AL544" s="471" t="s">
        <v>5456</v>
      </c>
      <c r="AM544" s="470" t="s">
        <v>5457</v>
      </c>
      <c r="AN544" s="470" t="s">
        <v>5458</v>
      </c>
      <c r="AO544" s="470" t="s">
        <v>5459</v>
      </c>
      <c r="AP544" s="470" t="s">
        <v>5460</v>
      </c>
      <c r="AQ544" s="470" t="s">
        <v>5453</v>
      </c>
      <c r="AR544" s="472" t="s">
        <v>515</v>
      </c>
      <c r="AS544" s="473" t="s">
        <v>1385</v>
      </c>
      <c r="AT544" s="472" t="s">
        <v>1390</v>
      </c>
      <c r="AU544" s="472" t="s">
        <v>420</v>
      </c>
      <c r="AV544" s="472">
        <v>2020</v>
      </c>
      <c r="AW544" s="474" t="s">
        <v>15078</v>
      </c>
      <c r="AX544" s="475" t="s">
        <v>15079</v>
      </c>
      <c r="AY544" s="515">
        <v>1</v>
      </c>
      <c r="AZ544" s="474" t="s">
        <v>15079</v>
      </c>
      <c r="BA544" s="472" t="s">
        <v>1390</v>
      </c>
      <c r="BB544" s="472" t="s">
        <v>1385</v>
      </c>
      <c r="BC544" s="472" t="s">
        <v>1385</v>
      </c>
      <c r="BD544" s="472" t="s">
        <v>1385</v>
      </c>
      <c r="BE544" s="472" t="s">
        <v>1385</v>
      </c>
      <c r="BF544" s="472">
        <v>22377.599999999999</v>
      </c>
      <c r="BG544" s="472">
        <v>0</v>
      </c>
      <c r="BH544" s="472" t="s">
        <v>1385</v>
      </c>
      <c r="BI544" s="510">
        <v>0</v>
      </c>
      <c r="BJ544" s="510">
        <v>0</v>
      </c>
      <c r="BK544" s="510">
        <v>0</v>
      </c>
      <c r="BL544" s="510">
        <v>0</v>
      </c>
      <c r="BM544" s="510">
        <v>0</v>
      </c>
      <c r="BN544" s="510">
        <v>3500</v>
      </c>
      <c r="BO544" s="510">
        <v>1000</v>
      </c>
      <c r="BP544" s="510">
        <v>1000</v>
      </c>
      <c r="BQ544" s="510">
        <v>0</v>
      </c>
      <c r="BR544" s="510">
        <v>0</v>
      </c>
      <c r="BS544" s="510">
        <v>0</v>
      </c>
      <c r="BT544" s="510">
        <v>0</v>
      </c>
      <c r="BU544" s="510">
        <v>0</v>
      </c>
      <c r="BV544" s="510">
        <v>0</v>
      </c>
      <c r="BW544" s="510">
        <v>0</v>
      </c>
      <c r="BX544" s="510">
        <v>30000</v>
      </c>
      <c r="BY544" s="1011">
        <v>0</v>
      </c>
      <c r="BZ544" s="510">
        <v>0</v>
      </c>
      <c r="CA544" s="1011">
        <v>0</v>
      </c>
      <c r="CB544" s="510">
        <v>0</v>
      </c>
      <c r="CC544" s="1011">
        <v>0</v>
      </c>
      <c r="CD544" s="510">
        <v>0</v>
      </c>
      <c r="CE544" s="1011">
        <v>0</v>
      </c>
      <c r="CF544" s="510">
        <v>44815.199999999997</v>
      </c>
      <c r="CG544" s="1011">
        <v>0</v>
      </c>
      <c r="CH544" s="510">
        <v>0</v>
      </c>
      <c r="CI544" s="1011">
        <v>0</v>
      </c>
    </row>
    <row r="545" spans="1:87" x14ac:dyDescent="0.2">
      <c r="A545" s="449">
        <v>141</v>
      </c>
      <c r="B545" s="453">
        <v>90328</v>
      </c>
      <c r="C545" s="454" t="s">
        <v>5461</v>
      </c>
      <c r="D545" s="454" t="s">
        <v>1390</v>
      </c>
      <c r="E545" s="454" t="s">
        <v>5462</v>
      </c>
      <c r="F545" s="454" t="s">
        <v>520</v>
      </c>
      <c r="G545" s="454" t="s">
        <v>13211</v>
      </c>
      <c r="H545" s="455">
        <v>56316581000120</v>
      </c>
      <c r="I545" s="462">
        <v>31664</v>
      </c>
      <c r="J545" s="457">
        <v>44868700</v>
      </c>
      <c r="K545" s="454" t="s">
        <v>5463</v>
      </c>
      <c r="L545" s="458">
        <v>55</v>
      </c>
      <c r="M545" s="454" t="s">
        <v>5464</v>
      </c>
      <c r="N545" s="459">
        <v>5783040</v>
      </c>
      <c r="O545" s="460">
        <v>55120959</v>
      </c>
      <c r="P545" s="462">
        <v>305505</v>
      </c>
      <c r="Q545" s="462">
        <v>76</v>
      </c>
      <c r="R545" s="462">
        <v>43979</v>
      </c>
      <c r="S545" s="463">
        <v>413</v>
      </c>
      <c r="T545" s="464">
        <v>3.6</v>
      </c>
      <c r="U545" s="465">
        <v>1486.8</v>
      </c>
      <c r="V545" s="465">
        <v>15120</v>
      </c>
      <c r="W545" s="466">
        <v>0</v>
      </c>
      <c r="X545" s="467">
        <v>1</v>
      </c>
      <c r="Y545" s="466">
        <v>24910.2</v>
      </c>
      <c r="Z545" s="468" t="s">
        <v>516</v>
      </c>
      <c r="AA545" s="466">
        <v>103131</v>
      </c>
      <c r="AB545" s="466">
        <v>103131</v>
      </c>
      <c r="AC545" s="467">
        <v>0</v>
      </c>
      <c r="AD545" s="466">
        <v>0</v>
      </c>
      <c r="AE545" s="468" t="s">
        <v>516</v>
      </c>
      <c r="AF545" s="466">
        <v>0</v>
      </c>
      <c r="AG545" s="466">
        <v>0</v>
      </c>
      <c r="AH545" s="466">
        <v>729.67</v>
      </c>
      <c r="AI545" s="466">
        <v>424.71</v>
      </c>
      <c r="AJ545" s="469" t="s">
        <v>1470</v>
      </c>
      <c r="AK545" s="470" t="s">
        <v>1471</v>
      </c>
      <c r="AL545" s="471" t="s">
        <v>5465</v>
      </c>
      <c r="AM545" s="470" t="s">
        <v>5466</v>
      </c>
      <c r="AN545" s="470" t="s">
        <v>5467</v>
      </c>
      <c r="AO545" s="470" t="s">
        <v>5468</v>
      </c>
      <c r="AP545" s="470" t="s">
        <v>5469</v>
      </c>
      <c r="AQ545" s="470" t="s">
        <v>5461</v>
      </c>
      <c r="AR545" s="472" t="s">
        <v>515</v>
      </c>
      <c r="AS545" s="473" t="s">
        <v>1385</v>
      </c>
      <c r="AT545" s="472" t="s">
        <v>1390</v>
      </c>
      <c r="AU545" s="472" t="s">
        <v>420</v>
      </c>
      <c r="AV545" s="472">
        <v>2020</v>
      </c>
      <c r="AW545" s="474" t="s">
        <v>15078</v>
      </c>
      <c r="AX545" s="475" t="s">
        <v>15079</v>
      </c>
      <c r="AY545" s="515">
        <v>1</v>
      </c>
      <c r="AZ545" s="474" t="s">
        <v>15079</v>
      </c>
      <c r="BA545" s="472" t="s">
        <v>1390</v>
      </c>
      <c r="BB545" s="472" t="s">
        <v>1385</v>
      </c>
      <c r="BC545" s="472" t="s">
        <v>1385</v>
      </c>
      <c r="BD545" s="472" t="s">
        <v>1385</v>
      </c>
      <c r="BE545" s="472" t="s">
        <v>1385</v>
      </c>
      <c r="BF545" s="472">
        <v>24910.2</v>
      </c>
      <c r="BG545" s="472">
        <v>0</v>
      </c>
      <c r="BH545" s="472" t="s">
        <v>1385</v>
      </c>
      <c r="BI545" s="510">
        <v>0</v>
      </c>
      <c r="BJ545" s="510">
        <v>0</v>
      </c>
      <c r="BK545" s="510">
        <v>0</v>
      </c>
      <c r="BL545" s="510">
        <v>0</v>
      </c>
      <c r="BM545" s="510">
        <v>0</v>
      </c>
      <c r="BN545" s="510">
        <v>4000</v>
      </c>
      <c r="BO545" s="510">
        <v>0</v>
      </c>
      <c r="BP545" s="510">
        <v>0</v>
      </c>
      <c r="BQ545" s="510">
        <v>0</v>
      </c>
      <c r="BR545" s="510">
        <v>0</v>
      </c>
      <c r="BS545" s="510">
        <v>0</v>
      </c>
      <c r="BT545" s="510">
        <v>0</v>
      </c>
      <c r="BU545" s="510">
        <v>0</v>
      </c>
      <c r="BV545" s="510">
        <v>0</v>
      </c>
      <c r="BW545" s="510">
        <v>0</v>
      </c>
      <c r="BX545" s="510">
        <v>30000</v>
      </c>
      <c r="BY545" s="1011">
        <v>0</v>
      </c>
      <c r="BZ545" s="510">
        <v>0</v>
      </c>
      <c r="CA545" s="1011">
        <v>0</v>
      </c>
      <c r="CB545" s="510">
        <v>0</v>
      </c>
      <c r="CC545" s="1011">
        <v>0</v>
      </c>
      <c r="CD545" s="510">
        <v>0</v>
      </c>
      <c r="CE545" s="1011">
        <v>0</v>
      </c>
      <c r="CF545" s="510">
        <v>48220.800000000003</v>
      </c>
      <c r="CG545" s="1011">
        <v>0</v>
      </c>
      <c r="CH545" s="510">
        <v>0</v>
      </c>
      <c r="CI545" s="1011">
        <v>0</v>
      </c>
    </row>
    <row r="546" spans="1:87" x14ac:dyDescent="0.2">
      <c r="A546" s="449">
        <v>131</v>
      </c>
      <c r="B546" s="453">
        <v>90336</v>
      </c>
      <c r="C546" s="454" t="s">
        <v>5470</v>
      </c>
      <c r="D546" s="454" t="s">
        <v>1390</v>
      </c>
      <c r="E546" s="454" t="s">
        <v>5470</v>
      </c>
      <c r="F546" s="454" t="s">
        <v>520</v>
      </c>
      <c r="G546" s="454" t="s">
        <v>13212</v>
      </c>
      <c r="H546" s="455">
        <v>52043536000198</v>
      </c>
      <c r="I546" s="462">
        <v>30315</v>
      </c>
      <c r="J546" s="457">
        <v>37616102</v>
      </c>
      <c r="K546" s="454" t="s">
        <v>5471</v>
      </c>
      <c r="L546" s="458">
        <v>1732</v>
      </c>
      <c r="M546" s="454" t="s">
        <v>4280</v>
      </c>
      <c r="N546" s="459">
        <v>5762120</v>
      </c>
      <c r="O546" s="460">
        <v>55115855</v>
      </c>
      <c r="P546" s="462">
        <v>304886</v>
      </c>
      <c r="Q546" s="462">
        <v>66</v>
      </c>
      <c r="R546" s="462">
        <v>43979</v>
      </c>
      <c r="S546" s="463">
        <v>606</v>
      </c>
      <c r="T546" s="464">
        <v>3.6</v>
      </c>
      <c r="U546" s="465">
        <v>2181.6</v>
      </c>
      <c r="V546" s="465">
        <v>18000</v>
      </c>
      <c r="W546" s="466">
        <v>0</v>
      </c>
      <c r="X546" s="467">
        <v>1</v>
      </c>
      <c r="Y546" s="466">
        <v>30272.400000000001</v>
      </c>
      <c r="Z546" s="468" t="s">
        <v>516</v>
      </c>
      <c r="AA546" s="466">
        <v>115700.4</v>
      </c>
      <c r="AB546" s="466">
        <v>115700.4</v>
      </c>
      <c r="AC546" s="467">
        <v>0</v>
      </c>
      <c r="AD546" s="466">
        <v>0</v>
      </c>
      <c r="AE546" s="468" t="s">
        <v>516</v>
      </c>
      <c r="AF546" s="466">
        <v>0</v>
      </c>
      <c r="AG546" s="466">
        <v>0</v>
      </c>
      <c r="AH546" s="466">
        <v>16380.16</v>
      </c>
      <c r="AI546" s="466">
        <v>20471.12</v>
      </c>
      <c r="AJ546" s="469" t="s">
        <v>1515</v>
      </c>
      <c r="AK546" s="470" t="s">
        <v>1516</v>
      </c>
      <c r="AL546" s="471" t="s">
        <v>5472</v>
      </c>
      <c r="AM546" s="470" t="s">
        <v>5473</v>
      </c>
      <c r="AN546" s="470" t="s">
        <v>5474</v>
      </c>
      <c r="AO546" s="470" t="s">
        <v>5475</v>
      </c>
      <c r="AP546" s="470" t="s">
        <v>5476</v>
      </c>
      <c r="AQ546" s="470" t="s">
        <v>5470</v>
      </c>
      <c r="AR546" s="472" t="s">
        <v>515</v>
      </c>
      <c r="AS546" s="473" t="s">
        <v>1385</v>
      </c>
      <c r="AT546" s="472" t="s">
        <v>1390</v>
      </c>
      <c r="AU546" s="472" t="s">
        <v>420</v>
      </c>
      <c r="AV546" s="472">
        <v>2020</v>
      </c>
      <c r="AW546" s="474" t="s">
        <v>15078</v>
      </c>
      <c r="AX546" s="475" t="s">
        <v>15079</v>
      </c>
      <c r="AY546" s="515">
        <v>1</v>
      </c>
      <c r="AZ546" s="474" t="s">
        <v>15079</v>
      </c>
      <c r="BA546" s="472" t="s">
        <v>1390</v>
      </c>
      <c r="BB546" s="472" t="s">
        <v>1385</v>
      </c>
      <c r="BC546" s="472" t="s">
        <v>1385</v>
      </c>
      <c r="BD546" s="472" t="s">
        <v>1385</v>
      </c>
      <c r="BE546" s="472" t="s">
        <v>1385</v>
      </c>
      <c r="BF546" s="472">
        <v>30272.400000000001</v>
      </c>
      <c r="BG546" s="472">
        <v>0</v>
      </c>
      <c r="BH546" s="472" t="s">
        <v>1385</v>
      </c>
      <c r="BI546" s="510">
        <v>0</v>
      </c>
      <c r="BJ546" s="510">
        <v>19131.599999999999</v>
      </c>
      <c r="BK546" s="510">
        <v>0</v>
      </c>
      <c r="BL546" s="510">
        <v>0</v>
      </c>
      <c r="BM546" s="510">
        <v>0</v>
      </c>
      <c r="BN546" s="510">
        <v>5000</v>
      </c>
      <c r="BO546" s="510">
        <v>0</v>
      </c>
      <c r="BP546" s="510">
        <v>0</v>
      </c>
      <c r="BQ546" s="510">
        <v>0</v>
      </c>
      <c r="BR546" s="510">
        <v>0</v>
      </c>
      <c r="BS546" s="510">
        <v>0</v>
      </c>
      <c r="BT546" s="510">
        <v>0</v>
      </c>
      <c r="BU546" s="510">
        <v>0</v>
      </c>
      <c r="BV546" s="510">
        <v>0</v>
      </c>
      <c r="BW546" s="510">
        <v>0</v>
      </c>
      <c r="BX546" s="510">
        <v>30000</v>
      </c>
      <c r="BY546" s="1011">
        <v>0</v>
      </c>
      <c r="BZ546" s="510">
        <v>0</v>
      </c>
      <c r="CA546" s="1011">
        <v>0</v>
      </c>
      <c r="CB546" s="510">
        <v>0</v>
      </c>
      <c r="CC546" s="1011">
        <v>0</v>
      </c>
      <c r="CD546" s="510">
        <v>0</v>
      </c>
      <c r="CE546" s="1011">
        <v>0</v>
      </c>
      <c r="CF546" s="510">
        <v>55428</v>
      </c>
      <c r="CG546" s="1011">
        <v>0</v>
      </c>
      <c r="CH546" s="510">
        <v>0</v>
      </c>
      <c r="CI546" s="1011">
        <v>0</v>
      </c>
    </row>
    <row r="547" spans="1:87" x14ac:dyDescent="0.2">
      <c r="A547" s="449">
        <v>107</v>
      </c>
      <c r="B547" s="453">
        <v>90344</v>
      </c>
      <c r="C547" s="454" t="s">
        <v>5477</v>
      </c>
      <c r="D547" s="454" t="s">
        <v>1390</v>
      </c>
      <c r="E547" s="454" t="s">
        <v>5478</v>
      </c>
      <c r="F547" s="454" t="s">
        <v>528</v>
      </c>
      <c r="G547" s="454" t="s">
        <v>13213</v>
      </c>
      <c r="H547" s="455">
        <v>50545920000163</v>
      </c>
      <c r="I547" s="462">
        <v>37898</v>
      </c>
      <c r="J547" s="457">
        <v>38089610</v>
      </c>
      <c r="K547" s="454" t="s">
        <v>5479</v>
      </c>
      <c r="L547" s="458">
        <v>485</v>
      </c>
      <c r="M547" s="454" t="s">
        <v>3990</v>
      </c>
      <c r="N547" s="459">
        <v>5081000</v>
      </c>
      <c r="O547" s="460">
        <v>38315290</v>
      </c>
      <c r="P547" s="462">
        <v>263764</v>
      </c>
      <c r="Q547" s="462">
        <v>107</v>
      </c>
      <c r="R547" s="462">
        <v>43938</v>
      </c>
      <c r="S547" s="463">
        <v>108</v>
      </c>
      <c r="T547" s="464">
        <v>3.6</v>
      </c>
      <c r="U547" s="465">
        <v>388.8</v>
      </c>
      <c r="V547" s="465">
        <v>10800</v>
      </c>
      <c r="W547" s="466">
        <v>0</v>
      </c>
      <c r="X547" s="467">
        <v>1</v>
      </c>
      <c r="Y547" s="466">
        <v>20833.2</v>
      </c>
      <c r="Z547" s="468" t="s">
        <v>516</v>
      </c>
      <c r="AA547" s="466">
        <v>98675.6</v>
      </c>
      <c r="AB547" s="466">
        <v>98675.6</v>
      </c>
      <c r="AC547" s="467">
        <v>0</v>
      </c>
      <c r="AD547" s="466">
        <v>0</v>
      </c>
      <c r="AE547" s="468" t="s">
        <v>516</v>
      </c>
      <c r="AF547" s="466">
        <v>0</v>
      </c>
      <c r="AG547" s="466">
        <v>0</v>
      </c>
      <c r="AH547" s="466">
        <v>19585.36</v>
      </c>
      <c r="AI547" s="466">
        <v>22156.28</v>
      </c>
      <c r="AJ547" s="469" t="s">
        <v>1588</v>
      </c>
      <c r="AK547" s="470" t="s">
        <v>4400</v>
      </c>
      <c r="AL547" s="471" t="s">
        <v>15193</v>
      </c>
      <c r="AM547" s="470" t="s">
        <v>5480</v>
      </c>
      <c r="AN547" s="470" t="s">
        <v>5481</v>
      </c>
      <c r="AO547" s="470" t="s">
        <v>13214</v>
      </c>
      <c r="AP547" s="470" t="s">
        <v>5482</v>
      </c>
      <c r="AQ547" s="470" t="s">
        <v>5477</v>
      </c>
      <c r="AR547" s="472" t="s">
        <v>515</v>
      </c>
      <c r="AS547" s="473" t="s">
        <v>1385</v>
      </c>
      <c r="AT547" s="472" t="s">
        <v>1390</v>
      </c>
      <c r="AU547" s="472" t="s">
        <v>420</v>
      </c>
      <c r="AV547" s="472">
        <v>2020</v>
      </c>
      <c r="AW547" s="474" t="s">
        <v>15078</v>
      </c>
      <c r="AX547" s="475" t="s">
        <v>15079</v>
      </c>
      <c r="AY547" s="515">
        <v>1</v>
      </c>
      <c r="AZ547" s="474" t="s">
        <v>15079</v>
      </c>
      <c r="BA547" s="472" t="s">
        <v>1390</v>
      </c>
      <c r="BB547" s="472" t="s">
        <v>516</v>
      </c>
      <c r="BC547" s="472">
        <v>4</v>
      </c>
      <c r="BD547" s="472">
        <v>2700</v>
      </c>
      <c r="BE547" s="472">
        <v>0</v>
      </c>
      <c r="BF547" s="472">
        <v>20833.2</v>
      </c>
      <c r="BG547" s="472">
        <v>0</v>
      </c>
      <c r="BH547" s="472" t="s">
        <v>1385</v>
      </c>
      <c r="BI547" s="510">
        <v>0</v>
      </c>
      <c r="BJ547" s="510">
        <v>12265.2</v>
      </c>
      <c r="BK547" s="510">
        <v>0</v>
      </c>
      <c r="BL547" s="510">
        <v>0</v>
      </c>
      <c r="BM547" s="510">
        <v>0</v>
      </c>
      <c r="BN547" s="510">
        <v>2000</v>
      </c>
      <c r="BO547" s="510">
        <v>0</v>
      </c>
      <c r="BP547" s="510">
        <v>0</v>
      </c>
      <c r="BQ547" s="510">
        <v>0</v>
      </c>
      <c r="BR547" s="510">
        <v>0</v>
      </c>
      <c r="BS547" s="510">
        <v>0</v>
      </c>
      <c r="BT547" s="510">
        <v>0</v>
      </c>
      <c r="BU547" s="510">
        <v>0</v>
      </c>
      <c r="BV547" s="510">
        <v>0</v>
      </c>
      <c r="BW547" s="510">
        <v>0</v>
      </c>
      <c r="BX547" s="510">
        <v>30000</v>
      </c>
      <c r="BY547" s="1011">
        <v>0</v>
      </c>
      <c r="BZ547" s="510">
        <v>0</v>
      </c>
      <c r="CA547" s="1011">
        <v>0</v>
      </c>
      <c r="CB547" s="510">
        <v>0</v>
      </c>
      <c r="CC547" s="1011">
        <v>0</v>
      </c>
      <c r="CD547" s="510">
        <v>0</v>
      </c>
      <c r="CE547" s="1011">
        <v>0</v>
      </c>
      <c r="CF547" s="510">
        <v>47842.400000000001</v>
      </c>
      <c r="CG547" s="1011">
        <v>0</v>
      </c>
      <c r="CH547" s="510">
        <v>0</v>
      </c>
      <c r="CI547" s="1011">
        <v>0</v>
      </c>
    </row>
    <row r="548" spans="1:87" x14ac:dyDescent="0.2">
      <c r="A548" s="449">
        <v>110</v>
      </c>
      <c r="B548" s="453">
        <v>90352</v>
      </c>
      <c r="C548" s="454" t="s">
        <v>5483</v>
      </c>
      <c r="D548" s="454" t="s">
        <v>1390</v>
      </c>
      <c r="E548" s="454" t="s">
        <v>5484</v>
      </c>
      <c r="F548" s="454" t="s">
        <v>528</v>
      </c>
      <c r="G548" s="454" t="s">
        <v>13215</v>
      </c>
      <c r="H548" s="455">
        <v>50862945000190</v>
      </c>
      <c r="I548" s="462">
        <v>30160</v>
      </c>
      <c r="J548" s="457">
        <v>38089653</v>
      </c>
      <c r="K548" s="454" t="s">
        <v>5485</v>
      </c>
      <c r="L548" s="458" t="s">
        <v>1446</v>
      </c>
      <c r="M548" s="454" t="s">
        <v>3990</v>
      </c>
      <c r="N548" s="459">
        <v>5084000</v>
      </c>
      <c r="O548" s="460">
        <v>38323632</v>
      </c>
      <c r="P548" s="462">
        <v>212639</v>
      </c>
      <c r="Q548" s="462">
        <v>110</v>
      </c>
      <c r="R548" s="462">
        <v>43938</v>
      </c>
      <c r="S548" s="463">
        <v>239</v>
      </c>
      <c r="T548" s="464">
        <v>3.6</v>
      </c>
      <c r="U548" s="465">
        <v>860.4</v>
      </c>
      <c r="V548" s="465">
        <v>12240</v>
      </c>
      <c r="W548" s="466">
        <v>0</v>
      </c>
      <c r="X548" s="467">
        <v>1</v>
      </c>
      <c r="Y548" s="466">
        <v>25158.6</v>
      </c>
      <c r="Z548" s="468" t="s">
        <v>516</v>
      </c>
      <c r="AA548" s="466">
        <v>108681.8</v>
      </c>
      <c r="AB548" s="466">
        <v>108681.8</v>
      </c>
      <c r="AC548" s="467">
        <v>0</v>
      </c>
      <c r="AD548" s="466">
        <v>0</v>
      </c>
      <c r="AE548" s="468" t="s">
        <v>516</v>
      </c>
      <c r="AF548" s="466">
        <v>0</v>
      </c>
      <c r="AG548" s="466">
        <v>0</v>
      </c>
      <c r="AH548" s="466">
        <v>15133.12</v>
      </c>
      <c r="AI548" s="466">
        <v>8297.64</v>
      </c>
      <c r="AJ548" s="469" t="s">
        <v>1588</v>
      </c>
      <c r="AK548" s="470" t="s">
        <v>1589</v>
      </c>
      <c r="AL548" s="471" t="s">
        <v>5486</v>
      </c>
      <c r="AM548" s="470" t="s">
        <v>13216</v>
      </c>
      <c r="AN548" s="470" t="s">
        <v>5487</v>
      </c>
      <c r="AO548" s="470" t="s">
        <v>13217</v>
      </c>
      <c r="AP548" s="470" t="s">
        <v>5488</v>
      </c>
      <c r="AQ548" s="470" t="s">
        <v>5483</v>
      </c>
      <c r="AR548" s="472" t="s">
        <v>515</v>
      </c>
      <c r="AS548" s="473" t="s">
        <v>1385</v>
      </c>
      <c r="AT548" s="472" t="s">
        <v>1390</v>
      </c>
      <c r="AU548" s="472" t="s">
        <v>420</v>
      </c>
      <c r="AV548" s="472">
        <v>2020</v>
      </c>
      <c r="AW548" s="474" t="s">
        <v>15078</v>
      </c>
      <c r="AX548" s="475" t="s">
        <v>15079</v>
      </c>
      <c r="AY548" s="515">
        <v>1</v>
      </c>
      <c r="AZ548" s="474" t="s">
        <v>15079</v>
      </c>
      <c r="BA548" s="472" t="s">
        <v>1390</v>
      </c>
      <c r="BB548" s="472" t="s">
        <v>516</v>
      </c>
      <c r="BC548" s="472">
        <v>8</v>
      </c>
      <c r="BD548" s="472">
        <v>3672</v>
      </c>
      <c r="BE548" s="472">
        <v>0</v>
      </c>
      <c r="BF548" s="472">
        <v>25158.6</v>
      </c>
      <c r="BG548" s="472">
        <v>0</v>
      </c>
      <c r="BH548" s="472" t="s">
        <v>1385</v>
      </c>
      <c r="BI548" s="510">
        <v>0</v>
      </c>
      <c r="BJ548" s="510">
        <v>0</v>
      </c>
      <c r="BK548" s="510">
        <v>0</v>
      </c>
      <c r="BL548" s="510">
        <v>0</v>
      </c>
      <c r="BM548" s="510">
        <v>0</v>
      </c>
      <c r="BN548" s="510">
        <v>3000</v>
      </c>
      <c r="BO548" s="510">
        <v>0</v>
      </c>
      <c r="BP548" s="510">
        <v>0</v>
      </c>
      <c r="BQ548" s="510">
        <v>0</v>
      </c>
      <c r="BR548" s="510">
        <v>0</v>
      </c>
      <c r="BS548" s="510">
        <v>0</v>
      </c>
      <c r="BT548" s="510">
        <v>0</v>
      </c>
      <c r="BU548" s="510">
        <v>0</v>
      </c>
      <c r="BV548" s="510">
        <v>0</v>
      </c>
      <c r="BW548" s="510">
        <v>0</v>
      </c>
      <c r="BX548" s="510">
        <v>30000</v>
      </c>
      <c r="BY548" s="1011">
        <v>0</v>
      </c>
      <c r="BZ548" s="510">
        <v>0</v>
      </c>
      <c r="CA548" s="1011">
        <v>0</v>
      </c>
      <c r="CB548" s="510">
        <v>0</v>
      </c>
      <c r="CC548" s="1011">
        <v>0</v>
      </c>
      <c r="CD548" s="510">
        <v>0</v>
      </c>
      <c r="CE548" s="1011">
        <v>0</v>
      </c>
      <c r="CF548" s="510">
        <v>53523.199999999997</v>
      </c>
      <c r="CG548" s="1011">
        <v>0</v>
      </c>
      <c r="CH548" s="510">
        <v>0</v>
      </c>
      <c r="CI548" s="1011">
        <v>0</v>
      </c>
    </row>
    <row r="549" spans="1:87" x14ac:dyDescent="0.2">
      <c r="A549" s="449">
        <v>130</v>
      </c>
      <c r="B549" s="453">
        <v>90361</v>
      </c>
      <c r="C549" s="454" t="s">
        <v>5489</v>
      </c>
      <c r="D549" s="454" t="s">
        <v>1390</v>
      </c>
      <c r="E549" s="454" t="s">
        <v>5490</v>
      </c>
      <c r="F549" s="454" t="s">
        <v>528</v>
      </c>
      <c r="G549" s="454" t="s">
        <v>13218</v>
      </c>
      <c r="H549" s="455">
        <v>50549161000107</v>
      </c>
      <c r="I549" s="462">
        <v>30134</v>
      </c>
      <c r="J549" s="457">
        <v>37380095</v>
      </c>
      <c r="K549" s="454" t="s">
        <v>5491</v>
      </c>
      <c r="L549" s="458">
        <v>148</v>
      </c>
      <c r="M549" s="454" t="s">
        <v>5492</v>
      </c>
      <c r="N549" s="459">
        <v>5094000</v>
      </c>
      <c r="O549" s="460">
        <v>38323367</v>
      </c>
      <c r="P549" s="462">
        <v>254501</v>
      </c>
      <c r="Q549" s="462">
        <v>130</v>
      </c>
      <c r="R549" s="462">
        <v>43938</v>
      </c>
      <c r="S549" s="463">
        <v>126</v>
      </c>
      <c r="T549" s="464">
        <v>3.6</v>
      </c>
      <c r="U549" s="465">
        <v>453.6</v>
      </c>
      <c r="V549" s="465">
        <v>10800</v>
      </c>
      <c r="W549" s="466">
        <v>0</v>
      </c>
      <c r="X549" s="467">
        <v>1</v>
      </c>
      <c r="Y549" s="466">
        <v>21740.400000000001</v>
      </c>
      <c r="Z549" s="468" t="s">
        <v>516</v>
      </c>
      <c r="AA549" s="466">
        <v>100742</v>
      </c>
      <c r="AB549" s="466">
        <v>100742</v>
      </c>
      <c r="AC549" s="467">
        <v>0</v>
      </c>
      <c r="AD549" s="466">
        <v>0</v>
      </c>
      <c r="AE549" s="468" t="s">
        <v>516</v>
      </c>
      <c r="AF549" s="466">
        <v>0</v>
      </c>
      <c r="AG549" s="466">
        <v>0</v>
      </c>
      <c r="AH549" s="466">
        <v>11983.44</v>
      </c>
      <c r="AI549" s="466">
        <v>3398.72</v>
      </c>
      <c r="AJ549" s="469" t="s">
        <v>1588</v>
      </c>
      <c r="AK549" s="470" t="s">
        <v>1589</v>
      </c>
      <c r="AL549" s="471" t="s">
        <v>5493</v>
      </c>
      <c r="AM549" s="470" t="s">
        <v>13219</v>
      </c>
      <c r="AN549" s="470" t="s">
        <v>5494</v>
      </c>
      <c r="AO549" s="470" t="s">
        <v>13220</v>
      </c>
      <c r="AP549" s="470" t="s">
        <v>5495</v>
      </c>
      <c r="AQ549" s="470" t="s">
        <v>5489</v>
      </c>
      <c r="AR549" s="472" t="s">
        <v>515</v>
      </c>
      <c r="AS549" s="473" t="s">
        <v>1385</v>
      </c>
      <c r="AT549" s="472" t="s">
        <v>1390</v>
      </c>
      <c r="AU549" s="472" t="s">
        <v>420</v>
      </c>
      <c r="AV549" s="472">
        <v>2020</v>
      </c>
      <c r="AW549" s="474" t="s">
        <v>15078</v>
      </c>
      <c r="AX549" s="475" t="s">
        <v>15079</v>
      </c>
      <c r="AY549" s="515">
        <v>1</v>
      </c>
      <c r="AZ549" s="474" t="s">
        <v>15079</v>
      </c>
      <c r="BA549" s="472" t="s">
        <v>1390</v>
      </c>
      <c r="BB549" s="472" t="s">
        <v>516</v>
      </c>
      <c r="BC549" s="472">
        <v>5</v>
      </c>
      <c r="BD549" s="472">
        <v>3240</v>
      </c>
      <c r="BE549" s="472">
        <v>0</v>
      </c>
      <c r="BF549" s="472">
        <v>21740.400000000001</v>
      </c>
      <c r="BG549" s="472">
        <v>0</v>
      </c>
      <c r="BH549" s="472" t="s">
        <v>1385</v>
      </c>
      <c r="BI549" s="510">
        <v>0</v>
      </c>
      <c r="BJ549" s="510">
        <v>0</v>
      </c>
      <c r="BK549" s="510">
        <v>0</v>
      </c>
      <c r="BL549" s="510">
        <v>0</v>
      </c>
      <c r="BM549" s="510">
        <v>0</v>
      </c>
      <c r="BN549" s="510">
        <v>2000</v>
      </c>
      <c r="BO549" s="510">
        <v>0</v>
      </c>
      <c r="BP549" s="510">
        <v>0</v>
      </c>
      <c r="BQ549" s="510">
        <v>0</v>
      </c>
      <c r="BR549" s="510">
        <v>0</v>
      </c>
      <c r="BS549" s="510">
        <v>0</v>
      </c>
      <c r="BT549" s="510">
        <v>0</v>
      </c>
      <c r="BU549" s="510">
        <v>0</v>
      </c>
      <c r="BV549" s="510">
        <v>0</v>
      </c>
      <c r="BW549" s="510">
        <v>0</v>
      </c>
      <c r="BX549" s="510">
        <v>30000</v>
      </c>
      <c r="BY549" s="1011">
        <v>0</v>
      </c>
      <c r="BZ549" s="510">
        <v>0</v>
      </c>
      <c r="CA549" s="1011">
        <v>0</v>
      </c>
      <c r="CB549" s="510">
        <v>0</v>
      </c>
      <c r="CC549" s="1011">
        <v>0</v>
      </c>
      <c r="CD549" s="510">
        <v>0</v>
      </c>
      <c r="CE549" s="1011">
        <v>0</v>
      </c>
      <c r="CF549" s="510">
        <v>49001.599999999999</v>
      </c>
      <c r="CG549" s="1011">
        <v>0</v>
      </c>
      <c r="CH549" s="510">
        <v>0</v>
      </c>
      <c r="CI549" s="1011">
        <v>0</v>
      </c>
    </row>
    <row r="550" spans="1:87" x14ac:dyDescent="0.2">
      <c r="A550" s="449">
        <v>116</v>
      </c>
      <c r="B550" s="453">
        <v>90379</v>
      </c>
      <c r="C550" s="454" t="s">
        <v>5496</v>
      </c>
      <c r="D550" s="454" t="s">
        <v>1390</v>
      </c>
      <c r="E550" s="454" t="s">
        <v>5497</v>
      </c>
      <c r="F550" s="454" t="s">
        <v>528</v>
      </c>
      <c r="G550" s="454" t="s">
        <v>13221</v>
      </c>
      <c r="H550" s="455">
        <v>50860063000196</v>
      </c>
      <c r="I550" s="462">
        <v>30176</v>
      </c>
      <c r="J550" s="457">
        <v>37380117</v>
      </c>
      <c r="K550" s="454" t="s">
        <v>5498</v>
      </c>
      <c r="L550" s="458" t="s">
        <v>1446</v>
      </c>
      <c r="M550" s="454" t="s">
        <v>5499</v>
      </c>
      <c r="N550" s="459">
        <v>5069030</v>
      </c>
      <c r="O550" s="460">
        <v>36116215</v>
      </c>
      <c r="P550" s="462">
        <v>256598</v>
      </c>
      <c r="Q550" s="462">
        <v>116</v>
      </c>
      <c r="R550" s="462">
        <v>43938</v>
      </c>
      <c r="S550" s="463">
        <v>147</v>
      </c>
      <c r="T550" s="464">
        <v>3.6</v>
      </c>
      <c r="U550" s="465">
        <v>529.20000000000005</v>
      </c>
      <c r="V550" s="465">
        <v>10800</v>
      </c>
      <c r="W550" s="466">
        <v>0</v>
      </c>
      <c r="X550" s="467">
        <v>1</v>
      </c>
      <c r="Y550" s="466">
        <v>21853.8</v>
      </c>
      <c r="Z550" s="468" t="s">
        <v>516</v>
      </c>
      <c r="AA550" s="466">
        <v>101085.8</v>
      </c>
      <c r="AB550" s="466">
        <v>101085.8</v>
      </c>
      <c r="AC550" s="467">
        <v>0</v>
      </c>
      <c r="AD550" s="466">
        <v>0</v>
      </c>
      <c r="AE550" s="468" t="s">
        <v>516</v>
      </c>
      <c r="AF550" s="466">
        <v>0</v>
      </c>
      <c r="AG550" s="466">
        <v>0</v>
      </c>
      <c r="AH550" s="466">
        <v>14976.21</v>
      </c>
      <c r="AI550" s="466">
        <v>113.84</v>
      </c>
      <c r="AJ550" s="469" t="s">
        <v>1588</v>
      </c>
      <c r="AK550" s="470" t="s">
        <v>1589</v>
      </c>
      <c r="AL550" s="471" t="s">
        <v>5500</v>
      </c>
      <c r="AM550" s="470" t="s">
        <v>5501</v>
      </c>
      <c r="AN550" s="470" t="s">
        <v>5502</v>
      </c>
      <c r="AO550" s="470" t="s">
        <v>13222</v>
      </c>
      <c r="AP550" s="470" t="s">
        <v>5503</v>
      </c>
      <c r="AQ550" s="470" t="s">
        <v>5496</v>
      </c>
      <c r="AR550" s="472" t="s">
        <v>515</v>
      </c>
      <c r="AS550" s="473" t="s">
        <v>1385</v>
      </c>
      <c r="AT550" s="472" t="s">
        <v>1390</v>
      </c>
      <c r="AU550" s="472" t="s">
        <v>420</v>
      </c>
      <c r="AV550" s="472">
        <v>2020</v>
      </c>
      <c r="AW550" s="474" t="s">
        <v>15078</v>
      </c>
      <c r="AX550" s="475" t="s">
        <v>15079</v>
      </c>
      <c r="AY550" s="515">
        <v>1</v>
      </c>
      <c r="AZ550" s="474" t="s">
        <v>15079</v>
      </c>
      <c r="BA550" s="472" t="s">
        <v>1390</v>
      </c>
      <c r="BB550" s="472" t="s">
        <v>516</v>
      </c>
      <c r="BC550" s="472">
        <v>5</v>
      </c>
      <c r="BD550" s="472">
        <v>3240</v>
      </c>
      <c r="BE550" s="472">
        <v>0</v>
      </c>
      <c r="BF550" s="472">
        <v>21853.8</v>
      </c>
      <c r="BG550" s="472">
        <v>0</v>
      </c>
      <c r="BH550" s="472" t="s">
        <v>1385</v>
      </c>
      <c r="BI550" s="510">
        <v>0</v>
      </c>
      <c r="BJ550" s="510">
        <v>0</v>
      </c>
      <c r="BK550" s="510">
        <v>0</v>
      </c>
      <c r="BL550" s="510">
        <v>0</v>
      </c>
      <c r="BM550" s="510">
        <v>0</v>
      </c>
      <c r="BN550" s="510">
        <v>2000</v>
      </c>
      <c r="BO550" s="510">
        <v>0</v>
      </c>
      <c r="BP550" s="510">
        <v>0</v>
      </c>
      <c r="BQ550" s="510">
        <v>0</v>
      </c>
      <c r="BR550" s="510">
        <v>0</v>
      </c>
      <c r="BS550" s="510">
        <v>0</v>
      </c>
      <c r="BT550" s="510">
        <v>0</v>
      </c>
      <c r="BU550" s="510">
        <v>0</v>
      </c>
      <c r="BV550" s="510">
        <v>0</v>
      </c>
      <c r="BW550" s="510">
        <v>0</v>
      </c>
      <c r="BX550" s="510">
        <v>30000</v>
      </c>
      <c r="BY550" s="1011">
        <v>0</v>
      </c>
      <c r="BZ550" s="510">
        <v>0</v>
      </c>
      <c r="CA550" s="1011">
        <v>0</v>
      </c>
      <c r="CB550" s="510">
        <v>0</v>
      </c>
      <c r="CC550" s="1011">
        <v>0</v>
      </c>
      <c r="CD550" s="510">
        <v>0</v>
      </c>
      <c r="CE550" s="1011">
        <v>0</v>
      </c>
      <c r="CF550" s="510">
        <v>49232</v>
      </c>
      <c r="CG550" s="1011">
        <v>0</v>
      </c>
      <c r="CH550" s="510">
        <v>0</v>
      </c>
      <c r="CI550" s="1011">
        <v>0</v>
      </c>
    </row>
    <row r="551" spans="1:87" x14ac:dyDescent="0.2">
      <c r="A551" s="449">
        <v>127</v>
      </c>
      <c r="B551" s="453">
        <v>90387</v>
      </c>
      <c r="C551" s="454" t="s">
        <v>5504</v>
      </c>
      <c r="D551" s="454" t="s">
        <v>1390</v>
      </c>
      <c r="E551" s="454" t="s">
        <v>5505</v>
      </c>
      <c r="F551" s="454" t="s">
        <v>528</v>
      </c>
      <c r="G551" s="454" t="s">
        <v>13223</v>
      </c>
      <c r="H551" s="455">
        <v>50860089000134</v>
      </c>
      <c r="I551" s="462">
        <v>30176</v>
      </c>
      <c r="J551" s="457">
        <v>37375849</v>
      </c>
      <c r="K551" s="454" t="s">
        <v>5506</v>
      </c>
      <c r="L551" s="458" t="s">
        <v>1446</v>
      </c>
      <c r="M551" s="454" t="s">
        <v>5507</v>
      </c>
      <c r="N551" s="459">
        <v>5057080</v>
      </c>
      <c r="O551" s="460">
        <v>38312896</v>
      </c>
      <c r="P551" s="462">
        <v>292918</v>
      </c>
      <c r="Q551" s="462">
        <v>127</v>
      </c>
      <c r="R551" s="462">
        <v>43938</v>
      </c>
      <c r="S551" s="463">
        <v>123</v>
      </c>
      <c r="T551" s="464">
        <v>3.6</v>
      </c>
      <c r="U551" s="465">
        <v>442.8</v>
      </c>
      <c r="V551" s="465">
        <v>10800</v>
      </c>
      <c r="W551" s="466">
        <v>0</v>
      </c>
      <c r="X551" s="467">
        <v>1</v>
      </c>
      <c r="Y551" s="466">
        <v>21724.2</v>
      </c>
      <c r="Z551" s="468" t="s">
        <v>516</v>
      </c>
      <c r="AA551" s="466">
        <v>100711.4</v>
      </c>
      <c r="AB551" s="466">
        <v>100711.4</v>
      </c>
      <c r="AC551" s="467">
        <v>0</v>
      </c>
      <c r="AD551" s="466">
        <v>0</v>
      </c>
      <c r="AE551" s="468" t="s">
        <v>516</v>
      </c>
      <c r="AF551" s="466">
        <v>0</v>
      </c>
      <c r="AG551" s="466">
        <v>0</v>
      </c>
      <c r="AH551" s="466">
        <v>1199.71</v>
      </c>
      <c r="AI551" s="466">
        <v>7012.21</v>
      </c>
      <c r="AJ551" s="469" t="s">
        <v>1588</v>
      </c>
      <c r="AK551" s="470" t="s">
        <v>1589</v>
      </c>
      <c r="AL551" s="471" t="s">
        <v>5508</v>
      </c>
      <c r="AM551" s="470" t="s">
        <v>5509</v>
      </c>
      <c r="AN551" s="470" t="s">
        <v>13224</v>
      </c>
      <c r="AO551" s="470" t="s">
        <v>13225</v>
      </c>
      <c r="AP551" s="470" t="s">
        <v>5510</v>
      </c>
      <c r="AQ551" s="470" t="s">
        <v>5504</v>
      </c>
      <c r="AR551" s="472" t="s">
        <v>515</v>
      </c>
      <c r="AS551" s="473" t="s">
        <v>1385</v>
      </c>
      <c r="AT551" s="472" t="s">
        <v>1390</v>
      </c>
      <c r="AU551" s="472" t="s">
        <v>420</v>
      </c>
      <c r="AV551" s="472">
        <v>2020</v>
      </c>
      <c r="AW551" s="474" t="s">
        <v>15078</v>
      </c>
      <c r="AX551" s="475" t="s">
        <v>15079</v>
      </c>
      <c r="AY551" s="515">
        <v>1</v>
      </c>
      <c r="AZ551" s="474" t="s">
        <v>15079</v>
      </c>
      <c r="BA551" s="472" t="s">
        <v>1390</v>
      </c>
      <c r="BB551" s="472" t="s">
        <v>516</v>
      </c>
      <c r="BC551" s="472">
        <v>5</v>
      </c>
      <c r="BD551" s="472">
        <v>3240</v>
      </c>
      <c r="BE551" s="472">
        <v>0</v>
      </c>
      <c r="BF551" s="472">
        <v>21724.2</v>
      </c>
      <c r="BG551" s="472">
        <v>0</v>
      </c>
      <c r="BH551" s="472" t="s">
        <v>1385</v>
      </c>
      <c r="BI551" s="510">
        <v>0</v>
      </c>
      <c r="BJ551" s="510">
        <v>0</v>
      </c>
      <c r="BK551" s="510">
        <v>0</v>
      </c>
      <c r="BL551" s="510">
        <v>0</v>
      </c>
      <c r="BM551" s="510">
        <v>0</v>
      </c>
      <c r="BN551" s="510">
        <v>2000</v>
      </c>
      <c r="BO551" s="510">
        <v>0</v>
      </c>
      <c r="BP551" s="510">
        <v>0</v>
      </c>
      <c r="BQ551" s="510">
        <v>0</v>
      </c>
      <c r="BR551" s="510">
        <v>0</v>
      </c>
      <c r="BS551" s="510">
        <v>0</v>
      </c>
      <c r="BT551" s="510">
        <v>0</v>
      </c>
      <c r="BU551" s="510">
        <v>0</v>
      </c>
      <c r="BV551" s="510">
        <v>0</v>
      </c>
      <c r="BW551" s="510">
        <v>0</v>
      </c>
      <c r="BX551" s="510">
        <v>30000</v>
      </c>
      <c r="BY551" s="1011">
        <v>0</v>
      </c>
      <c r="BZ551" s="510">
        <v>0</v>
      </c>
      <c r="CA551" s="1011">
        <v>0</v>
      </c>
      <c r="CB551" s="510">
        <v>0</v>
      </c>
      <c r="CC551" s="1011">
        <v>0</v>
      </c>
      <c r="CD551" s="510">
        <v>0</v>
      </c>
      <c r="CE551" s="1011">
        <v>0</v>
      </c>
      <c r="CF551" s="510">
        <v>48987.199999999997</v>
      </c>
      <c r="CG551" s="1011">
        <v>0</v>
      </c>
      <c r="CH551" s="510">
        <v>0</v>
      </c>
      <c r="CI551" s="1011">
        <v>0</v>
      </c>
    </row>
    <row r="552" spans="1:87" x14ac:dyDescent="0.2">
      <c r="A552" s="449">
        <v>91</v>
      </c>
      <c r="B552" s="453">
        <v>90395</v>
      </c>
      <c r="C552" s="454" t="s">
        <v>5511</v>
      </c>
      <c r="D552" s="454" t="s">
        <v>1390</v>
      </c>
      <c r="E552" s="454" t="s">
        <v>5512</v>
      </c>
      <c r="F552" s="454" t="s">
        <v>528</v>
      </c>
      <c r="G552" s="454" t="s">
        <v>13226</v>
      </c>
      <c r="H552" s="455">
        <v>50860048000148</v>
      </c>
      <c r="I552" s="462">
        <v>30176</v>
      </c>
      <c r="J552" s="457">
        <v>37379992</v>
      </c>
      <c r="K552" s="454" t="s">
        <v>5513</v>
      </c>
      <c r="L552" s="458">
        <v>470</v>
      </c>
      <c r="M552" s="454" t="s">
        <v>5514</v>
      </c>
      <c r="N552" s="459">
        <v>5053070</v>
      </c>
      <c r="O552" s="460">
        <v>38683511</v>
      </c>
      <c r="P552" s="462">
        <v>254200</v>
      </c>
      <c r="Q552" s="462">
        <v>91</v>
      </c>
      <c r="R552" s="462">
        <v>43938</v>
      </c>
      <c r="S552" s="463">
        <v>139</v>
      </c>
      <c r="T552" s="464">
        <v>3.6</v>
      </c>
      <c r="U552" s="465">
        <v>500.4</v>
      </c>
      <c r="V552" s="465">
        <v>10800</v>
      </c>
      <c r="W552" s="466">
        <v>0</v>
      </c>
      <c r="X552" s="467">
        <v>1</v>
      </c>
      <c r="Y552" s="466">
        <v>16950.599999999999</v>
      </c>
      <c r="Z552" s="468" t="s">
        <v>516</v>
      </c>
      <c r="AA552" s="466">
        <v>98619.4</v>
      </c>
      <c r="AB552" s="466">
        <v>98619.4</v>
      </c>
      <c r="AC552" s="467">
        <v>0</v>
      </c>
      <c r="AD552" s="466">
        <v>0</v>
      </c>
      <c r="AE552" s="468" t="s">
        <v>516</v>
      </c>
      <c r="AF552" s="466">
        <v>0</v>
      </c>
      <c r="AG552" s="466">
        <v>0</v>
      </c>
      <c r="AH552" s="466">
        <v>11768.34</v>
      </c>
      <c r="AI552" s="466">
        <v>4819.88</v>
      </c>
      <c r="AJ552" s="469" t="s">
        <v>1588</v>
      </c>
      <c r="AK552" s="470" t="s">
        <v>1589</v>
      </c>
      <c r="AL552" s="471" t="s">
        <v>5515</v>
      </c>
      <c r="AM552" s="470" t="s">
        <v>5516</v>
      </c>
      <c r="AN552" s="470" t="s">
        <v>5517</v>
      </c>
      <c r="AO552" s="470" t="s">
        <v>13227</v>
      </c>
      <c r="AP552" s="470" t="s">
        <v>5518</v>
      </c>
      <c r="AQ552" s="470" t="s">
        <v>5511</v>
      </c>
      <c r="AR552" s="472" t="s">
        <v>515</v>
      </c>
      <c r="AS552" s="473" t="s">
        <v>1385</v>
      </c>
      <c r="AT552" s="472" t="s">
        <v>1390</v>
      </c>
      <c r="AU552" s="472" t="s">
        <v>420</v>
      </c>
      <c r="AV552" s="472">
        <v>2020</v>
      </c>
      <c r="AW552" s="474" t="s">
        <v>15078</v>
      </c>
      <c r="AX552" s="475" t="s">
        <v>15079</v>
      </c>
      <c r="AY552" s="515">
        <v>1</v>
      </c>
      <c r="AZ552" s="474" t="s">
        <v>15079</v>
      </c>
      <c r="BA552" s="472" t="s">
        <v>1390</v>
      </c>
      <c r="BB552" s="472" t="s">
        <v>1385</v>
      </c>
      <c r="BC552" s="472" t="s">
        <v>1385</v>
      </c>
      <c r="BD552" s="472" t="s">
        <v>1385</v>
      </c>
      <c r="BE552" s="472" t="s">
        <v>1385</v>
      </c>
      <c r="BF552" s="472">
        <v>16950.599999999999</v>
      </c>
      <c r="BG552" s="472">
        <v>0</v>
      </c>
      <c r="BH552" s="472" t="s">
        <v>1385</v>
      </c>
      <c r="BI552" s="510">
        <v>0</v>
      </c>
      <c r="BJ552" s="510">
        <v>0</v>
      </c>
      <c r="BK552" s="510">
        <v>0</v>
      </c>
      <c r="BL552" s="510">
        <v>0</v>
      </c>
      <c r="BM552" s="510">
        <v>0</v>
      </c>
      <c r="BN552" s="510">
        <v>2000</v>
      </c>
      <c r="BO552" s="510">
        <v>0</v>
      </c>
      <c r="BP552" s="510">
        <v>0</v>
      </c>
      <c r="BQ552" s="510">
        <v>0</v>
      </c>
      <c r="BR552" s="510">
        <v>0</v>
      </c>
      <c r="BS552" s="510">
        <v>0</v>
      </c>
      <c r="BT552" s="510">
        <v>0</v>
      </c>
      <c r="BU552" s="510">
        <v>0</v>
      </c>
      <c r="BV552" s="510">
        <v>0</v>
      </c>
      <c r="BW552" s="510">
        <v>0</v>
      </c>
      <c r="BX552" s="510">
        <v>30000</v>
      </c>
      <c r="BY552" s="1011">
        <v>0</v>
      </c>
      <c r="BZ552" s="510">
        <v>0</v>
      </c>
      <c r="CA552" s="1011">
        <v>0</v>
      </c>
      <c r="CB552" s="510">
        <v>0</v>
      </c>
      <c r="CC552" s="1011">
        <v>0</v>
      </c>
      <c r="CD552" s="510">
        <v>0</v>
      </c>
      <c r="CE552" s="1011">
        <v>0</v>
      </c>
      <c r="CF552" s="510">
        <v>51668.800000000003</v>
      </c>
      <c r="CG552" s="1011">
        <v>0</v>
      </c>
      <c r="CH552" s="510">
        <v>0</v>
      </c>
      <c r="CI552" s="1011">
        <v>0</v>
      </c>
    </row>
    <row r="553" spans="1:87" x14ac:dyDescent="0.2">
      <c r="A553" s="449">
        <v>117</v>
      </c>
      <c r="B553" s="453">
        <v>90409</v>
      </c>
      <c r="C553" s="454" t="s">
        <v>5519</v>
      </c>
      <c r="D553" s="454" t="s">
        <v>1390</v>
      </c>
      <c r="E553" s="454" t="s">
        <v>5520</v>
      </c>
      <c r="F553" s="454" t="s">
        <v>528</v>
      </c>
      <c r="G553" s="454" t="s">
        <v>13228</v>
      </c>
      <c r="H553" s="455">
        <v>50546118000198</v>
      </c>
      <c r="I553" s="462">
        <v>38659</v>
      </c>
      <c r="J553" s="457">
        <v>37382730</v>
      </c>
      <c r="K553" s="454" t="s">
        <v>5521</v>
      </c>
      <c r="L553" s="458" t="s">
        <v>1446</v>
      </c>
      <c r="M553" s="454" t="s">
        <v>5514</v>
      </c>
      <c r="N553" s="459">
        <v>5045050</v>
      </c>
      <c r="O553" s="460">
        <v>38730410</v>
      </c>
      <c r="P553" s="462">
        <v>267093</v>
      </c>
      <c r="Q553" s="462">
        <v>117</v>
      </c>
      <c r="R553" s="462">
        <v>43938</v>
      </c>
      <c r="S553" s="463">
        <v>211</v>
      </c>
      <c r="T553" s="464">
        <v>3.6</v>
      </c>
      <c r="U553" s="465">
        <v>759.6</v>
      </c>
      <c r="V553" s="465">
        <v>12240</v>
      </c>
      <c r="W553" s="466">
        <v>0</v>
      </c>
      <c r="X553" s="467">
        <v>1</v>
      </c>
      <c r="Y553" s="466">
        <v>25007.4</v>
      </c>
      <c r="Z553" s="468" t="s">
        <v>516</v>
      </c>
      <c r="AA553" s="466">
        <v>108379.4</v>
      </c>
      <c r="AB553" s="466">
        <v>108379.4</v>
      </c>
      <c r="AC553" s="467">
        <v>0</v>
      </c>
      <c r="AD553" s="466">
        <v>0</v>
      </c>
      <c r="AE553" s="468" t="s">
        <v>516</v>
      </c>
      <c r="AF553" s="466">
        <v>0</v>
      </c>
      <c r="AG553" s="466">
        <v>0</v>
      </c>
      <c r="AH553" s="466">
        <v>20754.91</v>
      </c>
      <c r="AI553" s="466">
        <v>6408.3</v>
      </c>
      <c r="AJ553" s="469" t="s">
        <v>1588</v>
      </c>
      <c r="AK553" s="470" t="s">
        <v>1589</v>
      </c>
      <c r="AL553" s="471" t="s">
        <v>5522</v>
      </c>
      <c r="AM553" s="470" t="s">
        <v>5523</v>
      </c>
      <c r="AN553" s="470" t="s">
        <v>5524</v>
      </c>
      <c r="AO553" s="470" t="s">
        <v>13229</v>
      </c>
      <c r="AP553" s="470" t="s">
        <v>5525</v>
      </c>
      <c r="AQ553" s="470" t="s">
        <v>5519</v>
      </c>
      <c r="AR553" s="472" t="s">
        <v>515</v>
      </c>
      <c r="AS553" s="473" t="s">
        <v>1385</v>
      </c>
      <c r="AT553" s="472" t="s">
        <v>1390</v>
      </c>
      <c r="AU553" s="472" t="s">
        <v>420</v>
      </c>
      <c r="AV553" s="472">
        <v>2020</v>
      </c>
      <c r="AW553" s="474" t="s">
        <v>15078</v>
      </c>
      <c r="AX553" s="475" t="s">
        <v>15079</v>
      </c>
      <c r="AY553" s="515">
        <v>1</v>
      </c>
      <c r="AZ553" s="474" t="s">
        <v>15079</v>
      </c>
      <c r="BA553" s="472" t="s">
        <v>1390</v>
      </c>
      <c r="BB553" s="472" t="s">
        <v>516</v>
      </c>
      <c r="BC553" s="472">
        <v>8</v>
      </c>
      <c r="BD553" s="472">
        <v>3672</v>
      </c>
      <c r="BE553" s="472">
        <v>0</v>
      </c>
      <c r="BF553" s="472">
        <v>25007.4</v>
      </c>
      <c r="BG553" s="472">
        <v>0</v>
      </c>
      <c r="BH553" s="472" t="s">
        <v>1385</v>
      </c>
      <c r="BI553" s="510">
        <v>0</v>
      </c>
      <c r="BJ553" s="510">
        <v>0</v>
      </c>
      <c r="BK553" s="510">
        <v>0</v>
      </c>
      <c r="BL553" s="510">
        <v>0</v>
      </c>
      <c r="BM553" s="510">
        <v>0</v>
      </c>
      <c r="BN553" s="510">
        <v>3000</v>
      </c>
      <c r="BO553" s="510">
        <v>0</v>
      </c>
      <c r="BP553" s="510">
        <v>0</v>
      </c>
      <c r="BQ553" s="510">
        <v>0</v>
      </c>
      <c r="BR553" s="510">
        <v>0</v>
      </c>
      <c r="BS553" s="510">
        <v>0</v>
      </c>
      <c r="BT553" s="510">
        <v>0</v>
      </c>
      <c r="BU553" s="510">
        <v>0</v>
      </c>
      <c r="BV553" s="510">
        <v>0</v>
      </c>
      <c r="BW553" s="510">
        <v>0</v>
      </c>
      <c r="BX553" s="510">
        <v>30000</v>
      </c>
      <c r="BY553" s="1011">
        <v>0</v>
      </c>
      <c r="BZ553" s="510">
        <v>0</v>
      </c>
      <c r="CA553" s="1011">
        <v>0</v>
      </c>
      <c r="CB553" s="510">
        <v>0</v>
      </c>
      <c r="CC553" s="1011">
        <v>0</v>
      </c>
      <c r="CD553" s="510">
        <v>0</v>
      </c>
      <c r="CE553" s="1011">
        <v>0</v>
      </c>
      <c r="CF553" s="510">
        <v>53372</v>
      </c>
      <c r="CG553" s="1011">
        <v>0</v>
      </c>
      <c r="CH553" s="510">
        <v>0</v>
      </c>
      <c r="CI553" s="1011">
        <v>0</v>
      </c>
    </row>
    <row r="554" spans="1:87" x14ac:dyDescent="0.2">
      <c r="A554" s="449">
        <v>129</v>
      </c>
      <c r="B554" s="453">
        <v>90417</v>
      </c>
      <c r="C554" s="454" t="s">
        <v>5526</v>
      </c>
      <c r="D554" s="454" t="s">
        <v>1390</v>
      </c>
      <c r="E554" s="454" t="s">
        <v>5527</v>
      </c>
      <c r="F554" s="454" t="s">
        <v>528</v>
      </c>
      <c r="G554" s="454" t="s">
        <v>13230</v>
      </c>
      <c r="H554" s="455">
        <v>50861467000102</v>
      </c>
      <c r="I554" s="462">
        <v>30130</v>
      </c>
      <c r="J554" s="457">
        <v>37375768</v>
      </c>
      <c r="K554" s="454" t="s">
        <v>5528</v>
      </c>
      <c r="L554" s="458">
        <v>250</v>
      </c>
      <c r="M554" s="454" t="s">
        <v>5529</v>
      </c>
      <c r="N554" s="459">
        <v>5019000</v>
      </c>
      <c r="O554" s="460">
        <v>38736281</v>
      </c>
      <c r="P554" s="462">
        <v>267107</v>
      </c>
      <c r="Q554" s="462">
        <v>129</v>
      </c>
      <c r="R554" s="462">
        <v>43938</v>
      </c>
      <c r="S554" s="463">
        <v>240</v>
      </c>
      <c r="T554" s="464">
        <v>3.6</v>
      </c>
      <c r="U554" s="465">
        <v>864</v>
      </c>
      <c r="V554" s="465">
        <v>12240</v>
      </c>
      <c r="W554" s="466">
        <v>0</v>
      </c>
      <c r="X554" s="467">
        <v>1</v>
      </c>
      <c r="Y554" s="466">
        <v>25164</v>
      </c>
      <c r="Z554" s="468" t="s">
        <v>516</v>
      </c>
      <c r="AA554" s="466">
        <v>108780.8</v>
      </c>
      <c r="AB554" s="466">
        <v>108780.8</v>
      </c>
      <c r="AC554" s="467">
        <v>0</v>
      </c>
      <c r="AD554" s="466">
        <v>0</v>
      </c>
      <c r="AE554" s="468" t="s">
        <v>516</v>
      </c>
      <c r="AF554" s="466">
        <v>0</v>
      </c>
      <c r="AG554" s="466">
        <v>0</v>
      </c>
      <c r="AH554" s="466">
        <v>33327.660000000003</v>
      </c>
      <c r="AI554" s="466">
        <v>10753.49</v>
      </c>
      <c r="AJ554" s="469" t="s">
        <v>5530</v>
      </c>
      <c r="AK554" s="470" t="s">
        <v>5531</v>
      </c>
      <c r="AL554" s="471" t="s">
        <v>5532</v>
      </c>
      <c r="AM554" s="470" t="s">
        <v>5533</v>
      </c>
      <c r="AN554" s="470" t="s">
        <v>5534</v>
      </c>
      <c r="AO554" s="470" t="s">
        <v>13231</v>
      </c>
      <c r="AP554" s="470" t="s">
        <v>5535</v>
      </c>
      <c r="AQ554" s="470" t="s">
        <v>5526</v>
      </c>
      <c r="AR554" s="472" t="s">
        <v>515</v>
      </c>
      <c r="AS554" s="473" t="s">
        <v>1385</v>
      </c>
      <c r="AT554" s="472" t="s">
        <v>1390</v>
      </c>
      <c r="AU554" s="472" t="s">
        <v>420</v>
      </c>
      <c r="AV554" s="472">
        <v>2020</v>
      </c>
      <c r="AW554" s="474" t="s">
        <v>15078</v>
      </c>
      <c r="AX554" s="475" t="s">
        <v>15079</v>
      </c>
      <c r="AY554" s="515">
        <v>1</v>
      </c>
      <c r="AZ554" s="474" t="s">
        <v>15079</v>
      </c>
      <c r="BA554" s="472" t="s">
        <v>1390</v>
      </c>
      <c r="BB554" s="472" t="s">
        <v>516</v>
      </c>
      <c r="BC554" s="472">
        <v>9</v>
      </c>
      <c r="BD554" s="472">
        <v>3672</v>
      </c>
      <c r="BE554" s="472">
        <v>0</v>
      </c>
      <c r="BF554" s="472">
        <v>25164</v>
      </c>
      <c r="BG554" s="472">
        <v>0</v>
      </c>
      <c r="BH554" s="472" t="s">
        <v>1385</v>
      </c>
      <c r="BI554" s="510">
        <v>0</v>
      </c>
      <c r="BJ554" s="510">
        <v>0</v>
      </c>
      <c r="BK554" s="510">
        <v>0</v>
      </c>
      <c r="BL554" s="510">
        <v>0</v>
      </c>
      <c r="BM554" s="510">
        <v>0</v>
      </c>
      <c r="BN554" s="510">
        <v>3000</v>
      </c>
      <c r="BO554" s="510">
        <v>0</v>
      </c>
      <c r="BP554" s="510">
        <v>0</v>
      </c>
      <c r="BQ554" s="510">
        <v>0</v>
      </c>
      <c r="BR554" s="510">
        <v>0</v>
      </c>
      <c r="BS554" s="510">
        <v>0</v>
      </c>
      <c r="BT554" s="510">
        <v>0</v>
      </c>
      <c r="BU554" s="510">
        <v>0</v>
      </c>
      <c r="BV554" s="510">
        <v>0</v>
      </c>
      <c r="BW554" s="510">
        <v>0</v>
      </c>
      <c r="BX554" s="510">
        <v>30000</v>
      </c>
      <c r="BY554" s="1011">
        <v>0</v>
      </c>
      <c r="BZ554" s="510">
        <v>0</v>
      </c>
      <c r="CA554" s="1011">
        <v>0</v>
      </c>
      <c r="CB554" s="510">
        <v>0</v>
      </c>
      <c r="CC554" s="1011">
        <v>0</v>
      </c>
      <c r="CD554" s="510">
        <v>0</v>
      </c>
      <c r="CE554" s="1011">
        <v>0</v>
      </c>
      <c r="CF554" s="510">
        <v>53616.800000000003</v>
      </c>
      <c r="CG554" s="1011">
        <v>0</v>
      </c>
      <c r="CH554" s="510">
        <v>0</v>
      </c>
      <c r="CI554" s="1011">
        <v>0</v>
      </c>
    </row>
    <row r="555" spans="1:87" x14ac:dyDescent="0.2">
      <c r="A555" s="449">
        <v>91</v>
      </c>
      <c r="B555" s="453">
        <v>90425</v>
      </c>
      <c r="C555" s="454" t="s">
        <v>5536</v>
      </c>
      <c r="D555" s="454" t="s">
        <v>1390</v>
      </c>
      <c r="E555" s="454" t="s">
        <v>5537</v>
      </c>
      <c r="F555" s="454" t="s">
        <v>524</v>
      </c>
      <c r="G555" s="454" t="s">
        <v>13232</v>
      </c>
      <c r="H555" s="455">
        <v>50548189000120</v>
      </c>
      <c r="I555" s="462">
        <v>30123</v>
      </c>
      <c r="J555" s="457">
        <v>37499297</v>
      </c>
      <c r="K555" s="454" t="s">
        <v>5539</v>
      </c>
      <c r="L555" s="458">
        <v>257</v>
      </c>
      <c r="M555" s="454" t="s">
        <v>5540</v>
      </c>
      <c r="N555" s="459">
        <v>1244001</v>
      </c>
      <c r="O555" s="460">
        <v>36613685</v>
      </c>
      <c r="P555" s="462">
        <v>205420</v>
      </c>
      <c r="Q555" s="462">
        <v>99</v>
      </c>
      <c r="R555" s="462">
        <v>43906</v>
      </c>
      <c r="S555" s="463">
        <v>314</v>
      </c>
      <c r="T555" s="464">
        <v>3.6</v>
      </c>
      <c r="U555" s="465">
        <v>1130.4000000000001</v>
      </c>
      <c r="V555" s="465">
        <v>13680</v>
      </c>
      <c r="W555" s="466">
        <v>0</v>
      </c>
      <c r="X555" s="467">
        <v>1</v>
      </c>
      <c r="Y555" s="466">
        <v>22215.599999999999</v>
      </c>
      <c r="Z555" s="468" t="s">
        <v>516</v>
      </c>
      <c r="AA555" s="466">
        <v>93805.2</v>
      </c>
      <c r="AB555" s="466">
        <v>93805.2</v>
      </c>
      <c r="AC555" s="467">
        <v>0</v>
      </c>
      <c r="AD555" s="466">
        <v>0</v>
      </c>
      <c r="AE555" s="468" t="s">
        <v>516</v>
      </c>
      <c r="AF555" s="466">
        <v>0</v>
      </c>
      <c r="AG555" s="466">
        <v>0</v>
      </c>
      <c r="AH555" s="466">
        <v>13773.48</v>
      </c>
      <c r="AI555" s="466">
        <v>0</v>
      </c>
      <c r="AJ555" s="469" t="s">
        <v>5541</v>
      </c>
      <c r="AK555" s="470" t="s">
        <v>5542</v>
      </c>
      <c r="AL555" s="471" t="s">
        <v>5543</v>
      </c>
      <c r="AM555" s="470" t="s">
        <v>15177</v>
      </c>
      <c r="AN555" s="470" t="s">
        <v>5538</v>
      </c>
      <c r="AO555" s="470" t="s">
        <v>13233</v>
      </c>
      <c r="AP555" s="470" t="s">
        <v>5544</v>
      </c>
      <c r="AQ555" s="470" t="s">
        <v>5536</v>
      </c>
      <c r="AR555" s="472" t="s">
        <v>515</v>
      </c>
      <c r="AS555" s="473" t="s">
        <v>1385</v>
      </c>
      <c r="AT555" s="472" t="s">
        <v>1390</v>
      </c>
      <c r="AU555" s="472" t="s">
        <v>420</v>
      </c>
      <c r="AV555" s="472">
        <v>2020</v>
      </c>
      <c r="AW555" s="474" t="s">
        <v>15078</v>
      </c>
      <c r="AX555" s="475" t="s">
        <v>15079</v>
      </c>
      <c r="AY555" s="515">
        <v>1</v>
      </c>
      <c r="AZ555" s="474" t="s">
        <v>15079</v>
      </c>
      <c r="BA555" s="472" t="s">
        <v>1390</v>
      </c>
      <c r="BB555" s="472" t="s">
        <v>1385</v>
      </c>
      <c r="BC555" s="472" t="s">
        <v>1385</v>
      </c>
      <c r="BD555" s="472" t="s">
        <v>1385</v>
      </c>
      <c r="BE555" s="472" t="s">
        <v>1385</v>
      </c>
      <c r="BF555" s="472">
        <v>22215.599999999999</v>
      </c>
      <c r="BG555" s="472">
        <v>0</v>
      </c>
      <c r="BH555" s="472" t="s">
        <v>1385</v>
      </c>
      <c r="BI555" s="510">
        <v>0</v>
      </c>
      <c r="BJ555" s="510">
        <v>0</v>
      </c>
      <c r="BK555" s="510">
        <v>0</v>
      </c>
      <c r="BL555" s="510">
        <v>0</v>
      </c>
      <c r="BM555" s="510">
        <v>0</v>
      </c>
      <c r="BN555" s="510">
        <v>3500</v>
      </c>
      <c r="BO555" s="510">
        <v>0</v>
      </c>
      <c r="BP555" s="510">
        <v>0</v>
      </c>
      <c r="BQ555" s="510">
        <v>0</v>
      </c>
      <c r="BR555" s="510">
        <v>0</v>
      </c>
      <c r="BS555" s="510">
        <v>0</v>
      </c>
      <c r="BT555" s="510">
        <v>0</v>
      </c>
      <c r="BU555" s="510">
        <v>0</v>
      </c>
      <c r="BV555" s="510">
        <v>0</v>
      </c>
      <c r="BW555" s="510">
        <v>0</v>
      </c>
      <c r="BX555" s="510">
        <v>30000</v>
      </c>
      <c r="BY555" s="1011">
        <v>0</v>
      </c>
      <c r="BZ555" s="510">
        <v>0</v>
      </c>
      <c r="CA555" s="1011">
        <v>0</v>
      </c>
      <c r="CB555" s="510">
        <v>0</v>
      </c>
      <c r="CC555" s="1011">
        <v>0</v>
      </c>
      <c r="CD555" s="510">
        <v>0</v>
      </c>
      <c r="CE555" s="1011">
        <v>0</v>
      </c>
      <c r="CF555" s="510">
        <v>41589.599999999999</v>
      </c>
      <c r="CG555" s="1011">
        <v>0</v>
      </c>
      <c r="CH555" s="510">
        <v>0</v>
      </c>
      <c r="CI555" s="1011">
        <v>0</v>
      </c>
    </row>
    <row r="556" spans="1:87" x14ac:dyDescent="0.2">
      <c r="A556" s="449">
        <v>78</v>
      </c>
      <c r="B556" s="453">
        <v>90433</v>
      </c>
      <c r="C556" s="454" t="s">
        <v>5545</v>
      </c>
      <c r="D556" s="454" t="s">
        <v>1390</v>
      </c>
      <c r="E556" s="454" t="s">
        <v>5546</v>
      </c>
      <c r="F556" s="454" t="s">
        <v>519</v>
      </c>
      <c r="G556" s="454" t="s">
        <v>13234</v>
      </c>
      <c r="H556" s="455">
        <v>50954346000105</v>
      </c>
      <c r="I556" s="462">
        <v>30209</v>
      </c>
      <c r="J556" s="457">
        <v>37357417</v>
      </c>
      <c r="K556" s="454" t="s">
        <v>5548</v>
      </c>
      <c r="L556" s="458">
        <v>97</v>
      </c>
      <c r="M556" s="454" t="s">
        <v>5549</v>
      </c>
      <c r="N556" s="459">
        <v>4533040</v>
      </c>
      <c r="O556" s="460">
        <v>30784891</v>
      </c>
      <c r="P556" s="462">
        <v>121927</v>
      </c>
      <c r="Q556" s="462">
        <v>64</v>
      </c>
      <c r="R556" s="462">
        <v>43881</v>
      </c>
      <c r="S556" s="463">
        <v>184</v>
      </c>
      <c r="T556" s="464">
        <v>3.6</v>
      </c>
      <c r="U556" s="465">
        <v>662.4</v>
      </c>
      <c r="V556" s="465">
        <v>10800</v>
      </c>
      <c r="W556" s="466">
        <v>0</v>
      </c>
      <c r="X556" s="467">
        <v>1</v>
      </c>
      <c r="Y556" s="466">
        <v>0</v>
      </c>
      <c r="Z556" s="468" t="s">
        <v>514</v>
      </c>
      <c r="AA556" s="466">
        <v>0</v>
      </c>
      <c r="AB556" s="466">
        <v>0</v>
      </c>
      <c r="AC556" s="467">
        <v>0</v>
      </c>
      <c r="AD556" s="466">
        <v>0</v>
      </c>
      <c r="AE556" s="468" t="s">
        <v>516</v>
      </c>
      <c r="AF556" s="466">
        <v>0</v>
      </c>
      <c r="AG556" s="466">
        <v>0</v>
      </c>
      <c r="AH556" s="466">
        <v>10015.84</v>
      </c>
      <c r="AI556" s="466">
        <v>3750.37</v>
      </c>
      <c r="AJ556" s="469" t="s">
        <v>5550</v>
      </c>
      <c r="AK556" s="470" t="s">
        <v>5551</v>
      </c>
      <c r="AL556" s="471" t="s">
        <v>5552</v>
      </c>
      <c r="AM556" s="470" t="s">
        <v>13235</v>
      </c>
      <c r="AN556" s="470" t="s">
        <v>5547</v>
      </c>
      <c r="AO556" s="470" t="s">
        <v>5553</v>
      </c>
      <c r="AP556" s="470" t="s">
        <v>5554</v>
      </c>
      <c r="AQ556" s="470" t="s">
        <v>5545</v>
      </c>
      <c r="AR556" s="472" t="s">
        <v>515</v>
      </c>
      <c r="AS556" s="473" t="s">
        <v>1385</v>
      </c>
      <c r="AT556" s="472" t="s">
        <v>1390</v>
      </c>
      <c r="AU556" s="472" t="s">
        <v>420</v>
      </c>
      <c r="AV556" s="472">
        <v>2020</v>
      </c>
      <c r="AW556" s="474" t="s">
        <v>15078</v>
      </c>
      <c r="AX556" s="475" t="s">
        <v>15079</v>
      </c>
      <c r="AY556" s="515">
        <v>1</v>
      </c>
      <c r="AZ556" s="474" t="s">
        <v>15079</v>
      </c>
      <c r="BA556" s="472" t="s">
        <v>1385</v>
      </c>
      <c r="BB556" s="472" t="s">
        <v>516</v>
      </c>
      <c r="BC556" s="472">
        <v>6</v>
      </c>
      <c r="BD556" s="472">
        <v>3240</v>
      </c>
      <c r="BE556" s="472">
        <v>0</v>
      </c>
      <c r="BF556" s="472">
        <v>22053.599999999999</v>
      </c>
      <c r="BG556" s="472">
        <v>0</v>
      </c>
      <c r="BH556" s="472" t="s">
        <v>516</v>
      </c>
      <c r="BI556" s="510">
        <v>0</v>
      </c>
      <c r="BJ556" s="510">
        <v>0</v>
      </c>
      <c r="BK556" s="510">
        <v>0</v>
      </c>
      <c r="BL556" s="510">
        <v>0</v>
      </c>
      <c r="BM556" s="510">
        <v>0</v>
      </c>
      <c r="BN556" s="510">
        <v>0</v>
      </c>
      <c r="BO556" s="510">
        <v>0</v>
      </c>
      <c r="BP556" s="510">
        <v>0</v>
      </c>
      <c r="BQ556" s="510">
        <v>0</v>
      </c>
      <c r="BR556" s="510">
        <v>0</v>
      </c>
      <c r="BS556" s="510">
        <v>0</v>
      </c>
      <c r="BT556" s="510">
        <v>0</v>
      </c>
      <c r="BU556" s="510">
        <v>0</v>
      </c>
      <c r="BV556" s="510">
        <v>0</v>
      </c>
      <c r="BW556" s="510">
        <v>0</v>
      </c>
      <c r="BX556" s="510">
        <v>0</v>
      </c>
      <c r="BY556" s="1011">
        <v>0</v>
      </c>
      <c r="BZ556" s="510">
        <v>0</v>
      </c>
      <c r="CA556" s="1011">
        <v>0</v>
      </c>
      <c r="CB556" s="510">
        <v>0</v>
      </c>
      <c r="CC556" s="1011">
        <v>0</v>
      </c>
      <c r="CD556" s="510">
        <v>0</v>
      </c>
      <c r="CE556" s="1011">
        <v>0</v>
      </c>
      <c r="CF556" s="510">
        <v>0</v>
      </c>
      <c r="CG556" s="1011">
        <v>0</v>
      </c>
      <c r="CH556" s="510">
        <v>0</v>
      </c>
      <c r="CI556" s="1011">
        <v>0</v>
      </c>
    </row>
    <row r="557" spans="1:87" x14ac:dyDescent="0.2">
      <c r="A557" s="449">
        <v>74</v>
      </c>
      <c r="B557" s="453">
        <v>90441</v>
      </c>
      <c r="C557" s="454" t="s">
        <v>5555</v>
      </c>
      <c r="D557" s="454" t="s">
        <v>1390</v>
      </c>
      <c r="E557" s="454" t="s">
        <v>5556</v>
      </c>
      <c r="F557" s="454" t="s">
        <v>519</v>
      </c>
      <c r="G557" s="454" t="s">
        <v>13236</v>
      </c>
      <c r="H557" s="455">
        <v>50862135000134</v>
      </c>
      <c r="I557" s="462">
        <v>30168</v>
      </c>
      <c r="J557" s="457">
        <v>37358596</v>
      </c>
      <c r="K557" s="454" t="s">
        <v>5558</v>
      </c>
      <c r="L557" s="458">
        <v>100</v>
      </c>
      <c r="M557" s="454" t="s">
        <v>5559</v>
      </c>
      <c r="N557" s="459">
        <v>5420000</v>
      </c>
      <c r="O557" s="460">
        <v>38121261</v>
      </c>
      <c r="P557" s="462">
        <v>114939</v>
      </c>
      <c r="Q557" s="462">
        <v>60</v>
      </c>
      <c r="R557" s="462">
        <v>43881</v>
      </c>
      <c r="S557" s="463">
        <v>98</v>
      </c>
      <c r="T557" s="464">
        <v>3.6</v>
      </c>
      <c r="U557" s="465">
        <v>352.8</v>
      </c>
      <c r="V557" s="465">
        <v>10800</v>
      </c>
      <c r="W557" s="466">
        <v>0</v>
      </c>
      <c r="X557" s="467">
        <v>1</v>
      </c>
      <c r="Y557" s="466">
        <v>0</v>
      </c>
      <c r="Z557" s="468" t="s">
        <v>514</v>
      </c>
      <c r="AA557" s="466">
        <v>0</v>
      </c>
      <c r="AB557" s="466">
        <v>0</v>
      </c>
      <c r="AC557" s="467">
        <v>0</v>
      </c>
      <c r="AD557" s="466">
        <v>0</v>
      </c>
      <c r="AE557" s="468" t="s">
        <v>516</v>
      </c>
      <c r="AF557" s="466">
        <v>0</v>
      </c>
      <c r="AG557" s="466">
        <v>0</v>
      </c>
      <c r="AH557" s="466">
        <v>6801.57</v>
      </c>
      <c r="AI557" s="466">
        <v>64.63</v>
      </c>
      <c r="AJ557" s="469" t="s">
        <v>5560</v>
      </c>
      <c r="AK557" s="470" t="s">
        <v>5559</v>
      </c>
      <c r="AL557" s="471" t="s">
        <v>5561</v>
      </c>
      <c r="AM557" s="470" t="s">
        <v>5562</v>
      </c>
      <c r="AN557" s="470" t="s">
        <v>5557</v>
      </c>
      <c r="AO557" s="470" t="s">
        <v>5563</v>
      </c>
      <c r="AP557" s="470" t="s">
        <v>5564</v>
      </c>
      <c r="AQ557" s="470" t="s">
        <v>5555</v>
      </c>
      <c r="AR557" s="472" t="s">
        <v>515</v>
      </c>
      <c r="AS557" s="473" t="s">
        <v>1385</v>
      </c>
      <c r="AT557" s="472" t="s">
        <v>1390</v>
      </c>
      <c r="AU557" s="472" t="s">
        <v>420</v>
      </c>
      <c r="AV557" s="472">
        <v>2020</v>
      </c>
      <c r="AW557" s="474" t="s">
        <v>15078</v>
      </c>
      <c r="AX557" s="475" t="s">
        <v>15079</v>
      </c>
      <c r="AY557" s="515">
        <v>1</v>
      </c>
      <c r="AZ557" s="474" t="s">
        <v>15079</v>
      </c>
      <c r="BA557" s="472" t="s">
        <v>1385</v>
      </c>
      <c r="BB557" s="472" t="s">
        <v>1385</v>
      </c>
      <c r="BC557" s="472" t="s">
        <v>1385</v>
      </c>
      <c r="BD557" s="472" t="s">
        <v>1385</v>
      </c>
      <c r="BE557" s="472" t="s">
        <v>1385</v>
      </c>
      <c r="BF557" s="472">
        <v>16729.2</v>
      </c>
      <c r="BG557" s="472">
        <v>0</v>
      </c>
      <c r="BH557" s="472" t="s">
        <v>516</v>
      </c>
      <c r="BI557" s="510">
        <v>0</v>
      </c>
      <c r="BJ557" s="510">
        <v>0</v>
      </c>
      <c r="BK557" s="510">
        <v>0</v>
      </c>
      <c r="BL557" s="510">
        <v>0</v>
      </c>
      <c r="BM557" s="510">
        <v>0</v>
      </c>
      <c r="BN557" s="510">
        <v>0</v>
      </c>
      <c r="BO557" s="510">
        <v>0</v>
      </c>
      <c r="BP557" s="510">
        <v>0</v>
      </c>
      <c r="BQ557" s="510">
        <v>0</v>
      </c>
      <c r="BR557" s="510">
        <v>0</v>
      </c>
      <c r="BS557" s="510">
        <v>0</v>
      </c>
      <c r="BT557" s="510">
        <v>0</v>
      </c>
      <c r="BU557" s="510">
        <v>0</v>
      </c>
      <c r="BV557" s="510">
        <v>0</v>
      </c>
      <c r="BW557" s="510">
        <v>0</v>
      </c>
      <c r="BX557" s="510">
        <v>0</v>
      </c>
      <c r="BY557" s="1011">
        <v>0</v>
      </c>
      <c r="BZ557" s="510">
        <v>0</v>
      </c>
      <c r="CA557" s="1011">
        <v>0</v>
      </c>
      <c r="CB557" s="510">
        <v>0</v>
      </c>
      <c r="CC557" s="1011">
        <v>0</v>
      </c>
      <c r="CD557" s="510">
        <v>0</v>
      </c>
      <c r="CE557" s="1011">
        <v>0</v>
      </c>
      <c r="CF557" s="510">
        <v>0</v>
      </c>
      <c r="CG557" s="1011">
        <v>0</v>
      </c>
      <c r="CH557" s="510">
        <v>0</v>
      </c>
      <c r="CI557" s="1011">
        <v>0</v>
      </c>
    </row>
    <row r="558" spans="1:87" x14ac:dyDescent="0.2">
      <c r="A558" s="449">
        <v>54</v>
      </c>
      <c r="B558" s="453">
        <v>90450</v>
      </c>
      <c r="C558" s="454" t="s">
        <v>5565</v>
      </c>
      <c r="D558" s="454" t="s">
        <v>1390</v>
      </c>
      <c r="E558" s="454" t="s">
        <v>5566</v>
      </c>
      <c r="F558" s="454" t="s">
        <v>519</v>
      </c>
      <c r="G558" s="454" t="s">
        <v>13237</v>
      </c>
      <c r="H558" s="455">
        <v>50859958000100</v>
      </c>
      <c r="I558" s="462">
        <v>30176</v>
      </c>
      <c r="J558" s="457">
        <v>37355201</v>
      </c>
      <c r="K558" s="454" t="s">
        <v>5568</v>
      </c>
      <c r="L558" s="458">
        <v>342</v>
      </c>
      <c r="M558" s="454" t="s">
        <v>5569</v>
      </c>
      <c r="N558" s="459">
        <v>5403010</v>
      </c>
      <c r="O558" s="460">
        <v>30888793</v>
      </c>
      <c r="P558" s="462">
        <v>124896</v>
      </c>
      <c r="Q558" s="462">
        <v>37</v>
      </c>
      <c r="R558" s="462">
        <v>43881</v>
      </c>
      <c r="S558" s="463">
        <v>219</v>
      </c>
      <c r="T558" s="464">
        <v>3.6</v>
      </c>
      <c r="U558" s="465">
        <v>788.4</v>
      </c>
      <c r="V558" s="465">
        <v>12240</v>
      </c>
      <c r="W558" s="466">
        <v>0</v>
      </c>
      <c r="X558" s="467">
        <v>1</v>
      </c>
      <c r="Y558" s="466">
        <v>0</v>
      </c>
      <c r="Z558" s="468" t="s">
        <v>514</v>
      </c>
      <c r="AA558" s="466">
        <v>0</v>
      </c>
      <c r="AB558" s="466">
        <v>0</v>
      </c>
      <c r="AC558" s="467">
        <v>0</v>
      </c>
      <c r="AD558" s="466">
        <v>0</v>
      </c>
      <c r="AE558" s="468" t="s">
        <v>516</v>
      </c>
      <c r="AF558" s="466">
        <v>0</v>
      </c>
      <c r="AG558" s="466">
        <v>0</v>
      </c>
      <c r="AH558" s="466">
        <v>12312.62</v>
      </c>
      <c r="AI558" s="466">
        <v>9886.8700000000008</v>
      </c>
      <c r="AJ558" s="469" t="s">
        <v>5570</v>
      </c>
      <c r="AK558" s="470" t="s">
        <v>5571</v>
      </c>
      <c r="AL558" s="471" t="s">
        <v>5572</v>
      </c>
      <c r="AM558" s="470" t="s">
        <v>5573</v>
      </c>
      <c r="AN558" s="470" t="s">
        <v>5567</v>
      </c>
      <c r="AO558" s="470" t="s">
        <v>5574</v>
      </c>
      <c r="AP558" s="470" t="s">
        <v>5575</v>
      </c>
      <c r="AQ558" s="470" t="s">
        <v>5565</v>
      </c>
      <c r="AR558" s="472" t="s">
        <v>515</v>
      </c>
      <c r="AS558" s="473" t="s">
        <v>1385</v>
      </c>
      <c r="AT558" s="472" t="s">
        <v>1390</v>
      </c>
      <c r="AU558" s="472" t="s">
        <v>420</v>
      </c>
      <c r="AV558" s="472">
        <v>2020</v>
      </c>
      <c r="AW558" s="474" t="s">
        <v>15078</v>
      </c>
      <c r="AX558" s="475" t="s">
        <v>15079</v>
      </c>
      <c r="AY558" s="515">
        <v>1</v>
      </c>
      <c r="AZ558" s="474" t="s">
        <v>15079</v>
      </c>
      <c r="BA558" s="472" t="s">
        <v>1385</v>
      </c>
      <c r="BB558" s="472" t="s">
        <v>516</v>
      </c>
      <c r="BC558" s="472">
        <v>8</v>
      </c>
      <c r="BD558" s="472">
        <v>3672</v>
      </c>
      <c r="BE558" s="472">
        <v>0</v>
      </c>
      <c r="BF558" s="472">
        <v>25050.6</v>
      </c>
      <c r="BG558" s="472">
        <v>0</v>
      </c>
      <c r="BH558" s="472" t="s">
        <v>516</v>
      </c>
      <c r="BI558" s="510">
        <v>0</v>
      </c>
      <c r="BJ558" s="510">
        <v>0</v>
      </c>
      <c r="BK558" s="510">
        <v>0</v>
      </c>
      <c r="BL558" s="510">
        <v>0</v>
      </c>
      <c r="BM558" s="510">
        <v>0</v>
      </c>
      <c r="BN558" s="510">
        <v>0</v>
      </c>
      <c r="BO558" s="510">
        <v>0</v>
      </c>
      <c r="BP558" s="510">
        <v>0</v>
      </c>
      <c r="BQ558" s="510">
        <v>0</v>
      </c>
      <c r="BR558" s="510">
        <v>0</v>
      </c>
      <c r="BS558" s="510">
        <v>0</v>
      </c>
      <c r="BT558" s="510">
        <v>0</v>
      </c>
      <c r="BU558" s="510">
        <v>0</v>
      </c>
      <c r="BV558" s="510">
        <v>0</v>
      </c>
      <c r="BW558" s="510">
        <v>0</v>
      </c>
      <c r="BX558" s="510">
        <v>0</v>
      </c>
      <c r="BY558" s="1011">
        <v>0</v>
      </c>
      <c r="BZ558" s="510">
        <v>0</v>
      </c>
      <c r="CA558" s="1011">
        <v>0</v>
      </c>
      <c r="CB558" s="510">
        <v>0</v>
      </c>
      <c r="CC558" s="1011">
        <v>0</v>
      </c>
      <c r="CD558" s="510">
        <v>0</v>
      </c>
      <c r="CE558" s="1011">
        <v>0</v>
      </c>
      <c r="CF558" s="510">
        <v>0</v>
      </c>
      <c r="CG558" s="1011">
        <v>0</v>
      </c>
      <c r="CH558" s="510">
        <v>0</v>
      </c>
      <c r="CI558" s="1011">
        <v>0</v>
      </c>
    </row>
    <row r="559" spans="1:87" x14ac:dyDescent="0.2">
      <c r="A559" s="449">
        <v>79</v>
      </c>
      <c r="B559" s="453">
        <v>90468</v>
      </c>
      <c r="C559" s="454" t="s">
        <v>5576</v>
      </c>
      <c r="D559" s="454" t="s">
        <v>1390</v>
      </c>
      <c r="E559" s="454" t="s">
        <v>5577</v>
      </c>
      <c r="F559" s="454" t="s">
        <v>519</v>
      </c>
      <c r="G559" s="454" t="s">
        <v>13238</v>
      </c>
      <c r="H559" s="455">
        <v>50862150000182</v>
      </c>
      <c r="I559" s="462">
        <v>30168</v>
      </c>
      <c r="J559" s="457">
        <v>37357441</v>
      </c>
      <c r="K559" s="454" t="s">
        <v>5579</v>
      </c>
      <c r="L559" s="458">
        <v>290</v>
      </c>
      <c r="M559" s="454" t="s">
        <v>5580</v>
      </c>
      <c r="N559" s="459">
        <v>5435030</v>
      </c>
      <c r="O559" s="460">
        <v>38197843</v>
      </c>
      <c r="P559" s="462">
        <v>116478</v>
      </c>
      <c r="Q559" s="462">
        <v>65</v>
      </c>
      <c r="R559" s="462">
        <v>43881</v>
      </c>
      <c r="S559" s="463">
        <v>131</v>
      </c>
      <c r="T559" s="464">
        <v>3.6</v>
      </c>
      <c r="U559" s="465">
        <v>471.6</v>
      </c>
      <c r="V559" s="465">
        <v>10800</v>
      </c>
      <c r="W559" s="466">
        <v>0</v>
      </c>
      <c r="X559" s="467">
        <v>1</v>
      </c>
      <c r="Y559" s="466">
        <v>0</v>
      </c>
      <c r="Z559" s="468" t="s">
        <v>514</v>
      </c>
      <c r="AA559" s="466">
        <v>0</v>
      </c>
      <c r="AB559" s="466">
        <v>0</v>
      </c>
      <c r="AC559" s="467">
        <v>0</v>
      </c>
      <c r="AD559" s="466">
        <v>0</v>
      </c>
      <c r="AE559" s="468" t="s">
        <v>516</v>
      </c>
      <c r="AF559" s="466">
        <v>0</v>
      </c>
      <c r="AG559" s="466">
        <v>0</v>
      </c>
      <c r="AH559" s="466">
        <v>1036.0899999999999</v>
      </c>
      <c r="AI559" s="466">
        <v>0</v>
      </c>
      <c r="AJ559" s="469" t="s">
        <v>5581</v>
      </c>
      <c r="AK559" s="470" t="s">
        <v>5582</v>
      </c>
      <c r="AL559" s="471" t="s">
        <v>5583</v>
      </c>
      <c r="AM559" s="470" t="s">
        <v>5584</v>
      </c>
      <c r="AN559" s="470" t="s">
        <v>5578</v>
      </c>
      <c r="AO559" s="470" t="s">
        <v>5585</v>
      </c>
      <c r="AP559" s="470" t="s">
        <v>5586</v>
      </c>
      <c r="AQ559" s="470" t="s">
        <v>5576</v>
      </c>
      <c r="AR559" s="472" t="s">
        <v>515</v>
      </c>
      <c r="AS559" s="473" t="s">
        <v>1385</v>
      </c>
      <c r="AT559" s="472" t="s">
        <v>1390</v>
      </c>
      <c r="AU559" s="472" t="s">
        <v>420</v>
      </c>
      <c r="AV559" s="472">
        <v>2020</v>
      </c>
      <c r="AW559" s="474" t="s">
        <v>15078</v>
      </c>
      <c r="AX559" s="475" t="s">
        <v>15079</v>
      </c>
      <c r="AY559" s="515">
        <v>1</v>
      </c>
      <c r="AZ559" s="474" t="s">
        <v>15079</v>
      </c>
      <c r="BA559" s="472" t="s">
        <v>1385</v>
      </c>
      <c r="BB559" s="472" t="s">
        <v>516</v>
      </c>
      <c r="BC559" s="472">
        <v>4</v>
      </c>
      <c r="BD559" s="472">
        <v>2700</v>
      </c>
      <c r="BE559" s="472">
        <v>0</v>
      </c>
      <c r="BF559" s="472">
        <v>20957.400000000001</v>
      </c>
      <c r="BG559" s="472">
        <v>0</v>
      </c>
      <c r="BH559" s="472" t="s">
        <v>516</v>
      </c>
      <c r="BI559" s="510">
        <v>0</v>
      </c>
      <c r="BJ559" s="510">
        <v>0</v>
      </c>
      <c r="BK559" s="510">
        <v>0</v>
      </c>
      <c r="BL559" s="510">
        <v>0</v>
      </c>
      <c r="BM559" s="510">
        <v>0</v>
      </c>
      <c r="BN559" s="510">
        <v>0</v>
      </c>
      <c r="BO559" s="510">
        <v>0</v>
      </c>
      <c r="BP559" s="510">
        <v>0</v>
      </c>
      <c r="BQ559" s="510">
        <v>0</v>
      </c>
      <c r="BR559" s="510">
        <v>0</v>
      </c>
      <c r="BS559" s="510">
        <v>0</v>
      </c>
      <c r="BT559" s="510">
        <v>0</v>
      </c>
      <c r="BU559" s="510">
        <v>0</v>
      </c>
      <c r="BV559" s="510">
        <v>0</v>
      </c>
      <c r="BW559" s="510">
        <v>0</v>
      </c>
      <c r="BX559" s="510">
        <v>0</v>
      </c>
      <c r="BY559" s="1011">
        <v>0</v>
      </c>
      <c r="BZ559" s="510">
        <v>0</v>
      </c>
      <c r="CA559" s="1011">
        <v>0</v>
      </c>
      <c r="CB559" s="510">
        <v>0</v>
      </c>
      <c r="CC559" s="1011">
        <v>0</v>
      </c>
      <c r="CD559" s="510">
        <v>0</v>
      </c>
      <c r="CE559" s="1011">
        <v>0</v>
      </c>
      <c r="CF559" s="510">
        <v>0</v>
      </c>
      <c r="CG559" s="1011">
        <v>0</v>
      </c>
      <c r="CH559" s="510">
        <v>0</v>
      </c>
      <c r="CI559" s="1011">
        <v>0</v>
      </c>
    </row>
    <row r="560" spans="1:87" x14ac:dyDescent="0.2">
      <c r="A560" s="449">
        <v>66</v>
      </c>
      <c r="B560" s="453">
        <v>90476</v>
      </c>
      <c r="C560" s="454" t="s">
        <v>5587</v>
      </c>
      <c r="D560" s="454" t="s">
        <v>1390</v>
      </c>
      <c r="E560" s="454" t="s">
        <v>5588</v>
      </c>
      <c r="F560" s="454" t="s">
        <v>529</v>
      </c>
      <c r="G560" s="454" t="s">
        <v>13239</v>
      </c>
      <c r="H560" s="455">
        <v>52029618000188</v>
      </c>
      <c r="I560" s="462">
        <v>30279</v>
      </c>
      <c r="J560" s="457">
        <v>37522558</v>
      </c>
      <c r="K560" s="454" t="s">
        <v>5589</v>
      </c>
      <c r="L560" s="458">
        <v>421</v>
      </c>
      <c r="M560" s="454" t="s">
        <v>5590</v>
      </c>
      <c r="N560" s="459">
        <v>4622000</v>
      </c>
      <c r="O560" s="460">
        <v>50445768</v>
      </c>
      <c r="P560" s="462">
        <v>563377</v>
      </c>
      <c r="Q560" s="462">
        <v>31</v>
      </c>
      <c r="R560" s="462">
        <v>43921</v>
      </c>
      <c r="S560" s="463">
        <v>302</v>
      </c>
      <c r="T560" s="464">
        <v>3.6</v>
      </c>
      <c r="U560" s="465">
        <v>1087.2</v>
      </c>
      <c r="V560" s="465">
        <v>13680</v>
      </c>
      <c r="W560" s="466">
        <v>0</v>
      </c>
      <c r="X560" s="467">
        <v>1</v>
      </c>
      <c r="Y560" s="466">
        <v>22150.799999999999</v>
      </c>
      <c r="Z560" s="468" t="s">
        <v>516</v>
      </c>
      <c r="AA560" s="466">
        <v>93726</v>
      </c>
      <c r="AB560" s="466">
        <v>93726</v>
      </c>
      <c r="AC560" s="467">
        <v>0</v>
      </c>
      <c r="AD560" s="466">
        <v>0</v>
      </c>
      <c r="AE560" s="468" t="s">
        <v>516</v>
      </c>
      <c r="AF560" s="466">
        <v>0</v>
      </c>
      <c r="AG560" s="466">
        <v>0</v>
      </c>
      <c r="AH560" s="466">
        <v>14616.76</v>
      </c>
      <c r="AI560" s="466">
        <v>10182.94</v>
      </c>
      <c r="AJ560" s="469" t="s">
        <v>5591</v>
      </c>
      <c r="AK560" s="470" t="s">
        <v>5592</v>
      </c>
      <c r="AL560" s="471" t="s">
        <v>5593</v>
      </c>
      <c r="AM560" s="470" t="s">
        <v>5594</v>
      </c>
      <c r="AN560" s="470" t="s">
        <v>13239</v>
      </c>
      <c r="AO560" s="470" t="s">
        <v>5595</v>
      </c>
      <c r="AP560" s="470" t="s">
        <v>5596</v>
      </c>
      <c r="AQ560" s="470" t="s">
        <v>5587</v>
      </c>
      <c r="AR560" s="472" t="s">
        <v>515</v>
      </c>
      <c r="AS560" s="473" t="s">
        <v>1385</v>
      </c>
      <c r="AT560" s="472" t="s">
        <v>1390</v>
      </c>
      <c r="AU560" s="472" t="s">
        <v>420</v>
      </c>
      <c r="AV560" s="472">
        <v>2020</v>
      </c>
      <c r="AW560" s="474" t="s">
        <v>15078</v>
      </c>
      <c r="AX560" s="475" t="s">
        <v>15079</v>
      </c>
      <c r="AY560" s="515">
        <v>1</v>
      </c>
      <c r="AZ560" s="474" t="s">
        <v>15079</v>
      </c>
      <c r="BA560" s="472" t="s">
        <v>1390</v>
      </c>
      <c r="BB560" s="472" t="s">
        <v>1385</v>
      </c>
      <c r="BC560" s="472" t="s">
        <v>1385</v>
      </c>
      <c r="BD560" s="472" t="s">
        <v>1385</v>
      </c>
      <c r="BE560" s="472" t="s">
        <v>1385</v>
      </c>
      <c r="BF560" s="472">
        <v>22150.799999999999</v>
      </c>
      <c r="BG560" s="472">
        <v>0</v>
      </c>
      <c r="BH560" s="472" t="s">
        <v>1385</v>
      </c>
      <c r="BI560" s="510">
        <v>0</v>
      </c>
      <c r="BJ560" s="510">
        <v>0</v>
      </c>
      <c r="BK560" s="510">
        <v>0</v>
      </c>
      <c r="BL560" s="510">
        <v>0</v>
      </c>
      <c r="BM560" s="510">
        <v>0</v>
      </c>
      <c r="BN560" s="510">
        <v>3500</v>
      </c>
      <c r="BO560" s="510">
        <v>0</v>
      </c>
      <c r="BP560" s="510">
        <v>0</v>
      </c>
      <c r="BQ560" s="510">
        <v>0</v>
      </c>
      <c r="BR560" s="510">
        <v>0</v>
      </c>
      <c r="BS560" s="510">
        <v>0</v>
      </c>
      <c r="BT560" s="510">
        <v>0</v>
      </c>
      <c r="BU560" s="510">
        <v>0</v>
      </c>
      <c r="BV560" s="510">
        <v>0</v>
      </c>
      <c r="BW560" s="510">
        <v>0</v>
      </c>
      <c r="BX560" s="510">
        <v>30000</v>
      </c>
      <c r="BY560" s="1011">
        <v>0</v>
      </c>
      <c r="BZ560" s="510">
        <v>0</v>
      </c>
      <c r="CA560" s="1011">
        <v>0</v>
      </c>
      <c r="CB560" s="510">
        <v>0</v>
      </c>
      <c r="CC560" s="1011">
        <v>0</v>
      </c>
      <c r="CD560" s="510">
        <v>0</v>
      </c>
      <c r="CE560" s="1011">
        <v>0</v>
      </c>
      <c r="CF560" s="510">
        <v>41575.199999999997</v>
      </c>
      <c r="CG560" s="1011">
        <v>0</v>
      </c>
      <c r="CH560" s="510">
        <v>0</v>
      </c>
      <c r="CI560" s="1011">
        <v>0</v>
      </c>
    </row>
    <row r="561" spans="1:87" x14ac:dyDescent="0.2">
      <c r="A561" s="449">
        <v>65</v>
      </c>
      <c r="B561" s="453">
        <v>90484</v>
      </c>
      <c r="C561" s="454" t="s">
        <v>5597</v>
      </c>
      <c r="D561" s="454" t="s">
        <v>1390</v>
      </c>
      <c r="E561" s="454" t="s">
        <v>5598</v>
      </c>
      <c r="F561" s="454" t="s">
        <v>519</v>
      </c>
      <c r="G561" s="454" t="s">
        <v>13240</v>
      </c>
      <c r="H561" s="455">
        <v>50713122000101</v>
      </c>
      <c r="I561" s="462">
        <v>30186</v>
      </c>
      <c r="J561" s="457">
        <v>37356445</v>
      </c>
      <c r="K561" s="454" t="s">
        <v>5600</v>
      </c>
      <c r="L561" s="458">
        <v>1511</v>
      </c>
      <c r="M561" s="454" t="s">
        <v>5601</v>
      </c>
      <c r="N561" s="459">
        <v>4563004</v>
      </c>
      <c r="O561" s="460">
        <v>55067220</v>
      </c>
      <c r="P561" s="462">
        <v>114734</v>
      </c>
      <c r="Q561" s="462">
        <v>50</v>
      </c>
      <c r="R561" s="462">
        <v>43881</v>
      </c>
      <c r="S561" s="463">
        <v>154</v>
      </c>
      <c r="T561" s="464">
        <v>3.6</v>
      </c>
      <c r="U561" s="465">
        <v>554.4</v>
      </c>
      <c r="V561" s="465">
        <v>10800</v>
      </c>
      <c r="W561" s="466">
        <v>0</v>
      </c>
      <c r="X561" s="467">
        <v>1</v>
      </c>
      <c r="Y561" s="466">
        <v>0</v>
      </c>
      <c r="Z561" s="468" t="s">
        <v>514</v>
      </c>
      <c r="AA561" s="466">
        <v>0</v>
      </c>
      <c r="AB561" s="466">
        <v>0</v>
      </c>
      <c r="AC561" s="467">
        <v>0</v>
      </c>
      <c r="AD561" s="466">
        <v>0</v>
      </c>
      <c r="AE561" s="468" t="s">
        <v>516</v>
      </c>
      <c r="AF561" s="466">
        <v>0</v>
      </c>
      <c r="AG561" s="466">
        <v>0</v>
      </c>
      <c r="AH561" s="466">
        <v>15739.82</v>
      </c>
      <c r="AI561" s="466">
        <v>5838.74</v>
      </c>
      <c r="AJ561" s="469" t="s">
        <v>5602</v>
      </c>
      <c r="AK561" s="470" t="s">
        <v>5603</v>
      </c>
      <c r="AL561" s="471" t="s">
        <v>5604</v>
      </c>
      <c r="AM561" s="470" t="s">
        <v>5605</v>
      </c>
      <c r="AN561" s="470" t="s">
        <v>5599</v>
      </c>
      <c r="AO561" s="470" t="s">
        <v>5606</v>
      </c>
      <c r="AP561" s="470" t="s">
        <v>5607</v>
      </c>
      <c r="AQ561" s="470" t="s">
        <v>5597</v>
      </c>
      <c r="AR561" s="472" t="s">
        <v>515</v>
      </c>
      <c r="AS561" s="473" t="s">
        <v>1385</v>
      </c>
      <c r="AT561" s="472" t="s">
        <v>1390</v>
      </c>
      <c r="AU561" s="472" t="s">
        <v>420</v>
      </c>
      <c r="AV561" s="472">
        <v>2020</v>
      </c>
      <c r="AW561" s="474" t="s">
        <v>15078</v>
      </c>
      <c r="AX561" s="475" t="s">
        <v>15079</v>
      </c>
      <c r="AY561" s="515">
        <v>1</v>
      </c>
      <c r="AZ561" s="474" t="s">
        <v>15079</v>
      </c>
      <c r="BA561" s="472" t="s">
        <v>1385</v>
      </c>
      <c r="BB561" s="472" t="s">
        <v>516</v>
      </c>
      <c r="BC561" s="472">
        <v>6</v>
      </c>
      <c r="BD561" s="472">
        <v>3240</v>
      </c>
      <c r="BE561" s="472">
        <v>0</v>
      </c>
      <c r="BF561" s="472">
        <v>21891.599999999999</v>
      </c>
      <c r="BG561" s="472">
        <v>0</v>
      </c>
      <c r="BH561" s="472" t="s">
        <v>516</v>
      </c>
      <c r="BI561" s="510">
        <v>0</v>
      </c>
      <c r="BJ561" s="510">
        <v>0</v>
      </c>
      <c r="BK561" s="510">
        <v>0</v>
      </c>
      <c r="BL561" s="510">
        <v>0</v>
      </c>
      <c r="BM561" s="510">
        <v>0</v>
      </c>
      <c r="BN561" s="510">
        <v>0</v>
      </c>
      <c r="BO561" s="510">
        <v>0</v>
      </c>
      <c r="BP561" s="510">
        <v>0</v>
      </c>
      <c r="BQ561" s="510">
        <v>0</v>
      </c>
      <c r="BR561" s="510">
        <v>0</v>
      </c>
      <c r="BS561" s="510">
        <v>0</v>
      </c>
      <c r="BT561" s="510">
        <v>0</v>
      </c>
      <c r="BU561" s="510">
        <v>0</v>
      </c>
      <c r="BV561" s="510">
        <v>0</v>
      </c>
      <c r="BW561" s="510">
        <v>0</v>
      </c>
      <c r="BX561" s="510">
        <v>0</v>
      </c>
      <c r="BY561" s="1011">
        <v>0</v>
      </c>
      <c r="BZ561" s="510">
        <v>0</v>
      </c>
      <c r="CA561" s="1011">
        <v>0</v>
      </c>
      <c r="CB561" s="510">
        <v>0</v>
      </c>
      <c r="CC561" s="1011">
        <v>0</v>
      </c>
      <c r="CD561" s="510">
        <v>0</v>
      </c>
      <c r="CE561" s="1011">
        <v>0</v>
      </c>
      <c r="CF561" s="510">
        <v>0</v>
      </c>
      <c r="CG561" s="1011">
        <v>0</v>
      </c>
      <c r="CH561" s="510">
        <v>0</v>
      </c>
      <c r="CI561" s="1011">
        <v>0</v>
      </c>
    </row>
    <row r="562" spans="1:87" x14ac:dyDescent="0.2">
      <c r="A562" s="449">
        <v>60</v>
      </c>
      <c r="B562" s="453">
        <v>90492</v>
      </c>
      <c r="C562" s="454" t="s">
        <v>5608</v>
      </c>
      <c r="D562" s="454" t="s">
        <v>1390</v>
      </c>
      <c r="E562" s="454" t="s">
        <v>5609</v>
      </c>
      <c r="F562" s="454" t="s">
        <v>529</v>
      </c>
      <c r="G562" s="454" t="s">
        <v>13241</v>
      </c>
      <c r="H562" s="455">
        <v>51932085000187</v>
      </c>
      <c r="I562" s="462">
        <v>30243</v>
      </c>
      <c r="J562" s="457">
        <v>37522469</v>
      </c>
      <c r="K562" s="454" t="s">
        <v>5610</v>
      </c>
      <c r="L562" s="458">
        <v>567</v>
      </c>
      <c r="M562" s="454" t="s">
        <v>529</v>
      </c>
      <c r="N562" s="459">
        <v>4752010</v>
      </c>
      <c r="O562" s="460">
        <v>56876086</v>
      </c>
      <c r="P562" s="462">
        <v>563296</v>
      </c>
      <c r="Q562" s="462">
        <v>9</v>
      </c>
      <c r="R562" s="462">
        <v>43921</v>
      </c>
      <c r="S562" s="463">
        <v>268</v>
      </c>
      <c r="T562" s="464">
        <v>3.6</v>
      </c>
      <c r="U562" s="465">
        <v>964.8</v>
      </c>
      <c r="V562" s="465">
        <v>12240</v>
      </c>
      <c r="W562" s="466">
        <v>0</v>
      </c>
      <c r="X562" s="467">
        <v>1</v>
      </c>
      <c r="Y562" s="466">
        <v>19807.2</v>
      </c>
      <c r="Z562" s="468" t="s">
        <v>516</v>
      </c>
      <c r="AA562" s="466">
        <v>91231.2</v>
      </c>
      <c r="AB562" s="466">
        <v>91231.2</v>
      </c>
      <c r="AC562" s="467">
        <v>0</v>
      </c>
      <c r="AD562" s="466">
        <v>0</v>
      </c>
      <c r="AE562" s="468" t="s">
        <v>516</v>
      </c>
      <c r="AF562" s="466">
        <v>0</v>
      </c>
      <c r="AG562" s="466">
        <v>0</v>
      </c>
      <c r="AH562" s="466">
        <v>7297.21</v>
      </c>
      <c r="AI562" s="466">
        <v>5281.92</v>
      </c>
      <c r="AJ562" s="469" t="s">
        <v>5611</v>
      </c>
      <c r="AK562" s="470" t="s">
        <v>529</v>
      </c>
      <c r="AL562" s="471" t="s">
        <v>5612</v>
      </c>
      <c r="AM562" s="470" t="s">
        <v>13242</v>
      </c>
      <c r="AN562" s="470" t="s">
        <v>13241</v>
      </c>
      <c r="AO562" s="470" t="s">
        <v>5614</v>
      </c>
      <c r="AP562" s="470" t="s">
        <v>5615</v>
      </c>
      <c r="AQ562" s="470" t="s">
        <v>5608</v>
      </c>
      <c r="AR562" s="472" t="s">
        <v>515</v>
      </c>
      <c r="AS562" s="473" t="s">
        <v>1385</v>
      </c>
      <c r="AT562" s="472" t="s">
        <v>1390</v>
      </c>
      <c r="AU562" s="472" t="s">
        <v>420</v>
      </c>
      <c r="AV562" s="472">
        <v>2020</v>
      </c>
      <c r="AW562" s="474" t="s">
        <v>15078</v>
      </c>
      <c r="AX562" s="475" t="s">
        <v>15079</v>
      </c>
      <c r="AY562" s="515">
        <v>1</v>
      </c>
      <c r="AZ562" s="474" t="s">
        <v>15079</v>
      </c>
      <c r="BA562" s="472" t="s">
        <v>1390</v>
      </c>
      <c r="BB562" s="472" t="s">
        <v>1385</v>
      </c>
      <c r="BC562" s="472" t="s">
        <v>1385</v>
      </c>
      <c r="BD562" s="472" t="s">
        <v>1385</v>
      </c>
      <c r="BE562" s="472" t="s">
        <v>1385</v>
      </c>
      <c r="BF562" s="472">
        <v>19807.2</v>
      </c>
      <c r="BG562" s="472">
        <v>0</v>
      </c>
      <c r="BH562" s="472" t="s">
        <v>1385</v>
      </c>
      <c r="BI562" s="510">
        <v>0</v>
      </c>
      <c r="BJ562" s="510">
        <v>0</v>
      </c>
      <c r="BK562" s="510">
        <v>0</v>
      </c>
      <c r="BL562" s="510">
        <v>0</v>
      </c>
      <c r="BM562" s="510">
        <v>0</v>
      </c>
      <c r="BN562" s="510">
        <v>3500</v>
      </c>
      <c r="BO562" s="510">
        <v>0</v>
      </c>
      <c r="BP562" s="510">
        <v>0</v>
      </c>
      <c r="BQ562" s="510">
        <v>0</v>
      </c>
      <c r="BR562" s="510">
        <v>0</v>
      </c>
      <c r="BS562" s="510">
        <v>0</v>
      </c>
      <c r="BT562" s="510">
        <v>0</v>
      </c>
      <c r="BU562" s="510">
        <v>0</v>
      </c>
      <c r="BV562" s="510">
        <v>0</v>
      </c>
      <c r="BW562" s="510">
        <v>0</v>
      </c>
      <c r="BX562" s="510">
        <v>30000</v>
      </c>
      <c r="BY562" s="1011">
        <v>0</v>
      </c>
      <c r="BZ562" s="510">
        <v>0</v>
      </c>
      <c r="CA562" s="1011">
        <v>0</v>
      </c>
      <c r="CB562" s="510">
        <v>0</v>
      </c>
      <c r="CC562" s="1011">
        <v>0</v>
      </c>
      <c r="CD562" s="510">
        <v>0</v>
      </c>
      <c r="CE562" s="1011">
        <v>0</v>
      </c>
      <c r="CF562" s="510">
        <v>41424</v>
      </c>
      <c r="CG562" s="1011">
        <v>0</v>
      </c>
      <c r="CH562" s="510">
        <v>0</v>
      </c>
      <c r="CI562" s="1011">
        <v>0</v>
      </c>
    </row>
    <row r="563" spans="1:87" x14ac:dyDescent="0.2">
      <c r="A563" s="449">
        <v>57</v>
      </c>
      <c r="B563" s="453">
        <v>90506</v>
      </c>
      <c r="C563" s="454" t="s">
        <v>5616</v>
      </c>
      <c r="D563" s="454" t="s">
        <v>1390</v>
      </c>
      <c r="E563" s="454" t="s">
        <v>5617</v>
      </c>
      <c r="F563" s="454" t="s">
        <v>529</v>
      </c>
      <c r="G563" s="454" t="s">
        <v>13243</v>
      </c>
      <c r="H563" s="455">
        <v>52039013000178</v>
      </c>
      <c r="I563" s="462">
        <v>30307</v>
      </c>
      <c r="J563" s="457">
        <v>37522493</v>
      </c>
      <c r="K563" s="454" t="s">
        <v>5618</v>
      </c>
      <c r="L563" s="458" t="s">
        <v>1446</v>
      </c>
      <c r="M563" s="454" t="s">
        <v>1545</v>
      </c>
      <c r="N563" s="459">
        <v>4675040</v>
      </c>
      <c r="O563" s="460">
        <v>55485232</v>
      </c>
      <c r="P563" s="462">
        <v>567704</v>
      </c>
      <c r="Q563" s="462">
        <v>20</v>
      </c>
      <c r="R563" s="462">
        <v>43921</v>
      </c>
      <c r="S563" s="463">
        <v>186</v>
      </c>
      <c r="T563" s="464">
        <v>3.6</v>
      </c>
      <c r="U563" s="465">
        <v>669.6</v>
      </c>
      <c r="V563" s="465">
        <v>10800</v>
      </c>
      <c r="W563" s="466">
        <v>0</v>
      </c>
      <c r="X563" s="467">
        <v>1</v>
      </c>
      <c r="Y563" s="466">
        <v>22064.400000000001</v>
      </c>
      <c r="Z563" s="468" t="s">
        <v>516</v>
      </c>
      <c r="AA563" s="466">
        <v>101440.4</v>
      </c>
      <c r="AB563" s="466">
        <v>101440.4</v>
      </c>
      <c r="AC563" s="467">
        <v>0</v>
      </c>
      <c r="AD563" s="466">
        <v>0</v>
      </c>
      <c r="AE563" s="468" t="s">
        <v>516</v>
      </c>
      <c r="AF563" s="466">
        <v>0</v>
      </c>
      <c r="AG563" s="466">
        <v>0</v>
      </c>
      <c r="AH563" s="466">
        <v>13304.66</v>
      </c>
      <c r="AI563" s="466">
        <v>7888.41</v>
      </c>
      <c r="AJ563" s="469" t="s">
        <v>1481</v>
      </c>
      <c r="AK563" s="470" t="s">
        <v>1482</v>
      </c>
      <c r="AL563" s="471" t="s">
        <v>5619</v>
      </c>
      <c r="AM563" s="470" t="s">
        <v>5620</v>
      </c>
      <c r="AN563" s="470" t="s">
        <v>13243</v>
      </c>
      <c r="AO563" s="470" t="s">
        <v>5621</v>
      </c>
      <c r="AP563" s="470" t="s">
        <v>5622</v>
      </c>
      <c r="AQ563" s="470" t="s">
        <v>5616</v>
      </c>
      <c r="AR563" s="472" t="s">
        <v>515</v>
      </c>
      <c r="AS563" s="473" t="s">
        <v>1385</v>
      </c>
      <c r="AT563" s="472" t="s">
        <v>1390</v>
      </c>
      <c r="AU563" s="472" t="s">
        <v>420</v>
      </c>
      <c r="AV563" s="472">
        <v>2020</v>
      </c>
      <c r="AW563" s="474" t="s">
        <v>15078</v>
      </c>
      <c r="AX563" s="475" t="s">
        <v>15079</v>
      </c>
      <c r="AY563" s="515">
        <v>1</v>
      </c>
      <c r="AZ563" s="474" t="s">
        <v>15079</v>
      </c>
      <c r="BA563" s="472" t="s">
        <v>1390</v>
      </c>
      <c r="BB563" s="472" t="s">
        <v>516</v>
      </c>
      <c r="BC563" s="472">
        <v>6</v>
      </c>
      <c r="BD563" s="472">
        <v>3240</v>
      </c>
      <c r="BE563" s="472">
        <v>0</v>
      </c>
      <c r="BF563" s="472">
        <v>22064.400000000001</v>
      </c>
      <c r="BG563" s="472">
        <v>0</v>
      </c>
      <c r="BH563" s="472" t="s">
        <v>1385</v>
      </c>
      <c r="BI563" s="510">
        <v>0</v>
      </c>
      <c r="BJ563" s="510">
        <v>0</v>
      </c>
      <c r="BK563" s="510">
        <v>0</v>
      </c>
      <c r="BL563" s="510">
        <v>0</v>
      </c>
      <c r="BM563" s="510">
        <v>0</v>
      </c>
      <c r="BN563" s="510">
        <v>3000</v>
      </c>
      <c r="BO563" s="510">
        <v>0</v>
      </c>
      <c r="BP563" s="510">
        <v>0</v>
      </c>
      <c r="BQ563" s="510">
        <v>0</v>
      </c>
      <c r="BR563" s="510">
        <v>0</v>
      </c>
      <c r="BS563" s="510">
        <v>0</v>
      </c>
      <c r="BT563" s="510">
        <v>0</v>
      </c>
      <c r="BU563" s="510">
        <v>0</v>
      </c>
      <c r="BV563" s="510">
        <v>0</v>
      </c>
      <c r="BW563" s="510">
        <v>0</v>
      </c>
      <c r="BX563" s="510">
        <v>30000</v>
      </c>
      <c r="BY563" s="1011">
        <v>0</v>
      </c>
      <c r="BZ563" s="510">
        <v>0</v>
      </c>
      <c r="CA563" s="1011">
        <v>0</v>
      </c>
      <c r="CB563" s="510">
        <v>0</v>
      </c>
      <c r="CC563" s="1011">
        <v>0</v>
      </c>
      <c r="CD563" s="510">
        <v>0</v>
      </c>
      <c r="CE563" s="1011">
        <v>0</v>
      </c>
      <c r="CF563" s="510">
        <v>49376</v>
      </c>
      <c r="CG563" s="1011">
        <v>0</v>
      </c>
      <c r="CH563" s="510">
        <v>0</v>
      </c>
      <c r="CI563" s="1011">
        <v>0</v>
      </c>
    </row>
    <row r="564" spans="1:87" x14ac:dyDescent="0.2">
      <c r="A564" s="449">
        <v>65</v>
      </c>
      <c r="B564" s="453">
        <v>90514</v>
      </c>
      <c r="C564" s="454" t="s">
        <v>5623</v>
      </c>
      <c r="D564" s="454" t="s">
        <v>1390</v>
      </c>
      <c r="E564" s="454" t="s">
        <v>5624</v>
      </c>
      <c r="F564" s="454" t="s">
        <v>529</v>
      </c>
      <c r="G564" s="454" t="s">
        <v>13244</v>
      </c>
      <c r="H564" s="455">
        <v>51930303000144</v>
      </c>
      <c r="I564" s="462">
        <v>30238</v>
      </c>
      <c r="J564" s="457">
        <v>37522566</v>
      </c>
      <c r="K564" s="454" t="s">
        <v>5625</v>
      </c>
      <c r="L564" s="458">
        <v>74</v>
      </c>
      <c r="M564" s="454" t="s">
        <v>1545</v>
      </c>
      <c r="N564" s="459">
        <v>4693210</v>
      </c>
      <c r="O564" s="460">
        <v>56315119</v>
      </c>
      <c r="P564" s="462">
        <v>563369</v>
      </c>
      <c r="Q564" s="462">
        <v>30</v>
      </c>
      <c r="R564" s="462">
        <v>43921</v>
      </c>
      <c r="S564" s="463">
        <v>264</v>
      </c>
      <c r="T564" s="464">
        <v>3.6</v>
      </c>
      <c r="U564" s="465">
        <v>950.4</v>
      </c>
      <c r="V564" s="465">
        <v>12240</v>
      </c>
      <c r="W564" s="466">
        <v>0</v>
      </c>
      <c r="X564" s="467">
        <v>1</v>
      </c>
      <c r="Y564" s="466">
        <v>19785.599999999999</v>
      </c>
      <c r="Z564" s="468" t="s">
        <v>516</v>
      </c>
      <c r="AA564" s="466">
        <v>91116</v>
      </c>
      <c r="AB564" s="466">
        <v>91116</v>
      </c>
      <c r="AC564" s="467">
        <v>0</v>
      </c>
      <c r="AD564" s="466">
        <v>0</v>
      </c>
      <c r="AE564" s="468" t="s">
        <v>516</v>
      </c>
      <c r="AF564" s="466">
        <v>0</v>
      </c>
      <c r="AG564" s="466">
        <v>0</v>
      </c>
      <c r="AH564" s="466">
        <v>14837.65</v>
      </c>
      <c r="AI564" s="466">
        <v>7018.7</v>
      </c>
      <c r="AJ564" s="469" t="s">
        <v>1544</v>
      </c>
      <c r="AK564" s="470" t="s">
        <v>1545</v>
      </c>
      <c r="AL564" s="471" t="s">
        <v>5626</v>
      </c>
      <c r="AM564" s="470" t="s">
        <v>5627</v>
      </c>
      <c r="AN564" s="470" t="s">
        <v>13244</v>
      </c>
      <c r="AO564" s="470" t="s">
        <v>5628</v>
      </c>
      <c r="AP564" s="470" t="s">
        <v>5629</v>
      </c>
      <c r="AQ564" s="470" t="s">
        <v>5623</v>
      </c>
      <c r="AR564" s="472" t="s">
        <v>515</v>
      </c>
      <c r="AS564" s="473" t="s">
        <v>1385</v>
      </c>
      <c r="AT564" s="472" t="s">
        <v>1390</v>
      </c>
      <c r="AU564" s="472" t="s">
        <v>420</v>
      </c>
      <c r="AV564" s="472">
        <v>2020</v>
      </c>
      <c r="AW564" s="474" t="s">
        <v>15078</v>
      </c>
      <c r="AX564" s="475" t="s">
        <v>15079</v>
      </c>
      <c r="AY564" s="515">
        <v>1</v>
      </c>
      <c r="AZ564" s="474" t="s">
        <v>15079</v>
      </c>
      <c r="BA564" s="472" t="s">
        <v>1390</v>
      </c>
      <c r="BB564" s="472" t="s">
        <v>1385</v>
      </c>
      <c r="BC564" s="472" t="s">
        <v>1385</v>
      </c>
      <c r="BD564" s="472" t="s">
        <v>1385</v>
      </c>
      <c r="BE564" s="472" t="s">
        <v>1385</v>
      </c>
      <c r="BF564" s="472">
        <v>19785.599999999999</v>
      </c>
      <c r="BG564" s="472">
        <v>0</v>
      </c>
      <c r="BH564" s="472" t="s">
        <v>1385</v>
      </c>
      <c r="BI564" s="510">
        <v>0</v>
      </c>
      <c r="BJ564" s="510">
        <v>0</v>
      </c>
      <c r="BK564" s="510">
        <v>0</v>
      </c>
      <c r="BL564" s="510">
        <v>0</v>
      </c>
      <c r="BM564" s="510">
        <v>0</v>
      </c>
      <c r="BN564" s="510">
        <v>3500</v>
      </c>
      <c r="BO564" s="510">
        <v>0</v>
      </c>
      <c r="BP564" s="510">
        <v>0</v>
      </c>
      <c r="BQ564" s="510">
        <v>0</v>
      </c>
      <c r="BR564" s="510">
        <v>0</v>
      </c>
      <c r="BS564" s="510">
        <v>0</v>
      </c>
      <c r="BT564" s="510">
        <v>0</v>
      </c>
      <c r="BU564" s="510">
        <v>0</v>
      </c>
      <c r="BV564" s="510">
        <v>0</v>
      </c>
      <c r="BW564" s="510">
        <v>0</v>
      </c>
      <c r="BX564" s="510">
        <v>30000</v>
      </c>
      <c r="BY564" s="1011">
        <v>0</v>
      </c>
      <c r="BZ564" s="510">
        <v>0</v>
      </c>
      <c r="CA564" s="1011">
        <v>0</v>
      </c>
      <c r="CB564" s="510">
        <v>0</v>
      </c>
      <c r="CC564" s="1011">
        <v>0</v>
      </c>
      <c r="CD564" s="510">
        <v>0</v>
      </c>
      <c r="CE564" s="1011">
        <v>0</v>
      </c>
      <c r="CF564" s="510">
        <v>41330.400000000001</v>
      </c>
      <c r="CG564" s="1011">
        <v>0</v>
      </c>
      <c r="CH564" s="510">
        <v>0</v>
      </c>
      <c r="CI564" s="1011">
        <v>0</v>
      </c>
    </row>
    <row r="565" spans="1:87" x14ac:dyDescent="0.2">
      <c r="A565" s="449">
        <v>62</v>
      </c>
      <c r="B565" s="453">
        <v>90522</v>
      </c>
      <c r="C565" s="454" t="s">
        <v>5630</v>
      </c>
      <c r="D565" s="454" t="s">
        <v>1390</v>
      </c>
      <c r="E565" s="454" t="s">
        <v>5631</v>
      </c>
      <c r="F565" s="454" t="s">
        <v>529</v>
      </c>
      <c r="G565" s="454" t="s">
        <v>13245</v>
      </c>
      <c r="H565" s="455">
        <v>52039039000116</v>
      </c>
      <c r="I565" s="462">
        <v>30307</v>
      </c>
      <c r="J565" s="457">
        <v>37522604</v>
      </c>
      <c r="K565" s="454" t="s">
        <v>5632</v>
      </c>
      <c r="L565" s="458">
        <v>15</v>
      </c>
      <c r="M565" s="454" t="s">
        <v>1789</v>
      </c>
      <c r="N565" s="459">
        <v>4430040</v>
      </c>
      <c r="O565" s="460">
        <v>56119506</v>
      </c>
      <c r="P565" s="462">
        <v>567739</v>
      </c>
      <c r="Q565" s="462">
        <v>25</v>
      </c>
      <c r="R565" s="462">
        <v>43921</v>
      </c>
      <c r="S565" s="463">
        <v>536</v>
      </c>
      <c r="T565" s="464">
        <v>3.6</v>
      </c>
      <c r="U565" s="465">
        <v>1929.6</v>
      </c>
      <c r="V565" s="465">
        <v>16560</v>
      </c>
      <c r="W565" s="466">
        <v>0</v>
      </c>
      <c r="X565" s="467">
        <v>1</v>
      </c>
      <c r="Y565" s="466">
        <v>27734.400000000001</v>
      </c>
      <c r="Z565" s="468" t="s">
        <v>516</v>
      </c>
      <c r="AA565" s="466">
        <v>109742.39999999999</v>
      </c>
      <c r="AB565" s="466">
        <v>109742.39999999999</v>
      </c>
      <c r="AC565" s="467">
        <v>0</v>
      </c>
      <c r="AD565" s="466">
        <v>0</v>
      </c>
      <c r="AE565" s="468" t="s">
        <v>516</v>
      </c>
      <c r="AF565" s="466">
        <v>0</v>
      </c>
      <c r="AG565" s="466">
        <v>0</v>
      </c>
      <c r="AH565" s="466">
        <v>44250.91</v>
      </c>
      <c r="AI565" s="466">
        <v>23087.7</v>
      </c>
      <c r="AJ565" s="469" t="s">
        <v>5633</v>
      </c>
      <c r="AK565" s="470" t="s">
        <v>1545</v>
      </c>
      <c r="AL565" s="471" t="s">
        <v>5634</v>
      </c>
      <c r="AM565" s="470" t="s">
        <v>13246</v>
      </c>
      <c r="AN565" s="470" t="s">
        <v>13245</v>
      </c>
      <c r="AO565" s="470" t="s">
        <v>13247</v>
      </c>
      <c r="AP565" s="470" t="s">
        <v>5635</v>
      </c>
      <c r="AQ565" s="470" t="s">
        <v>5630</v>
      </c>
      <c r="AR565" s="472" t="s">
        <v>515</v>
      </c>
      <c r="AS565" s="473" t="s">
        <v>1385</v>
      </c>
      <c r="AT565" s="472" t="s">
        <v>1390</v>
      </c>
      <c r="AU565" s="472" t="s">
        <v>420</v>
      </c>
      <c r="AV565" s="472">
        <v>2020</v>
      </c>
      <c r="AW565" s="474" t="s">
        <v>15078</v>
      </c>
      <c r="AX565" s="475" t="s">
        <v>15079</v>
      </c>
      <c r="AY565" s="515">
        <v>1</v>
      </c>
      <c r="AZ565" s="474" t="s">
        <v>15079</v>
      </c>
      <c r="BA565" s="472" t="s">
        <v>1390</v>
      </c>
      <c r="BB565" s="472" t="s">
        <v>1385</v>
      </c>
      <c r="BC565" s="472" t="s">
        <v>1385</v>
      </c>
      <c r="BD565" s="472" t="s">
        <v>1385</v>
      </c>
      <c r="BE565" s="472" t="s">
        <v>1385</v>
      </c>
      <c r="BF565" s="472">
        <v>27734.400000000001</v>
      </c>
      <c r="BG565" s="472">
        <v>0</v>
      </c>
      <c r="BH565" s="472" t="s">
        <v>1385</v>
      </c>
      <c r="BI565" s="510">
        <v>0</v>
      </c>
      <c r="BJ565" s="510">
        <v>0</v>
      </c>
      <c r="BK565" s="510">
        <v>0</v>
      </c>
      <c r="BL565" s="510">
        <v>0</v>
      </c>
      <c r="BM565" s="510">
        <v>0</v>
      </c>
      <c r="BN565" s="510">
        <v>4000</v>
      </c>
      <c r="BO565" s="510">
        <v>0</v>
      </c>
      <c r="BP565" s="510">
        <v>0</v>
      </c>
      <c r="BQ565" s="510">
        <v>0</v>
      </c>
      <c r="BR565" s="510">
        <v>0</v>
      </c>
      <c r="BS565" s="510">
        <v>0</v>
      </c>
      <c r="BT565" s="510">
        <v>0</v>
      </c>
      <c r="BU565" s="510">
        <v>0</v>
      </c>
      <c r="BV565" s="510">
        <v>0</v>
      </c>
      <c r="BW565" s="510">
        <v>0</v>
      </c>
      <c r="BX565" s="510">
        <v>30000</v>
      </c>
      <c r="BY565" s="1011">
        <v>0</v>
      </c>
      <c r="BZ565" s="510">
        <v>0</v>
      </c>
      <c r="CA565" s="1011">
        <v>0</v>
      </c>
      <c r="CB565" s="510">
        <v>0</v>
      </c>
      <c r="CC565" s="1011">
        <v>0</v>
      </c>
      <c r="CD565" s="510">
        <v>0</v>
      </c>
      <c r="CE565" s="1011">
        <v>0</v>
      </c>
      <c r="CF565" s="510">
        <v>52008</v>
      </c>
      <c r="CG565" s="1011">
        <v>0</v>
      </c>
      <c r="CH565" s="510">
        <v>0</v>
      </c>
      <c r="CI565" s="1011">
        <v>0</v>
      </c>
    </row>
    <row r="566" spans="1:87" x14ac:dyDescent="0.2">
      <c r="A566" s="449">
        <v>67</v>
      </c>
      <c r="B566" s="453">
        <v>90531</v>
      </c>
      <c r="C566" s="454" t="s">
        <v>5636</v>
      </c>
      <c r="D566" s="454" t="s">
        <v>1390</v>
      </c>
      <c r="E566" s="454" t="s">
        <v>5637</v>
      </c>
      <c r="F566" s="454" t="s">
        <v>529</v>
      </c>
      <c r="G566" s="454" t="s">
        <v>13248</v>
      </c>
      <c r="H566" s="455">
        <v>50954817000177</v>
      </c>
      <c r="I566" s="462">
        <v>30209</v>
      </c>
      <c r="J566" s="457">
        <v>37522736</v>
      </c>
      <c r="K566" s="454" t="s">
        <v>5638</v>
      </c>
      <c r="L566" s="458">
        <v>32</v>
      </c>
      <c r="M566" s="454" t="s">
        <v>1545</v>
      </c>
      <c r="N566" s="459">
        <v>4437060</v>
      </c>
      <c r="O566" s="460">
        <v>56311222</v>
      </c>
      <c r="P566" s="462">
        <v>563407</v>
      </c>
      <c r="Q566" s="462">
        <v>32</v>
      </c>
      <c r="R566" s="462">
        <v>43921</v>
      </c>
      <c r="S566" s="463">
        <v>285</v>
      </c>
      <c r="T566" s="464">
        <v>3.6</v>
      </c>
      <c r="U566" s="465">
        <v>1026</v>
      </c>
      <c r="V566" s="465">
        <v>12240</v>
      </c>
      <c r="W566" s="466">
        <v>0</v>
      </c>
      <c r="X566" s="467">
        <v>1</v>
      </c>
      <c r="Y566" s="466">
        <v>19899</v>
      </c>
      <c r="Z566" s="468" t="s">
        <v>516</v>
      </c>
      <c r="AA566" s="466">
        <v>91387.8</v>
      </c>
      <c r="AB566" s="466">
        <v>91387.8</v>
      </c>
      <c r="AC566" s="467">
        <v>0</v>
      </c>
      <c r="AD566" s="466">
        <v>0</v>
      </c>
      <c r="AE566" s="468" t="s">
        <v>516</v>
      </c>
      <c r="AF566" s="466">
        <v>0</v>
      </c>
      <c r="AG566" s="466">
        <v>0</v>
      </c>
      <c r="AH566" s="466">
        <v>26340.98</v>
      </c>
      <c r="AI566" s="466">
        <v>5930.06</v>
      </c>
      <c r="AJ566" s="469" t="s">
        <v>1481</v>
      </c>
      <c r="AK566" s="470" t="s">
        <v>1482</v>
      </c>
      <c r="AL566" s="471" t="s">
        <v>5639</v>
      </c>
      <c r="AM566" s="470" t="s">
        <v>13249</v>
      </c>
      <c r="AN566" s="470" t="s">
        <v>13248</v>
      </c>
      <c r="AO566" s="470" t="s">
        <v>13250</v>
      </c>
      <c r="AP566" s="470" t="s">
        <v>5640</v>
      </c>
      <c r="AQ566" s="470" t="s">
        <v>5636</v>
      </c>
      <c r="AR566" s="472" t="s">
        <v>515</v>
      </c>
      <c r="AS566" s="473" t="s">
        <v>1385</v>
      </c>
      <c r="AT566" s="472" t="s">
        <v>1390</v>
      </c>
      <c r="AU566" s="472" t="s">
        <v>420</v>
      </c>
      <c r="AV566" s="472">
        <v>2020</v>
      </c>
      <c r="AW566" s="474" t="s">
        <v>15078</v>
      </c>
      <c r="AX566" s="475" t="s">
        <v>15079</v>
      </c>
      <c r="AY566" s="515">
        <v>1</v>
      </c>
      <c r="AZ566" s="474" t="s">
        <v>15079</v>
      </c>
      <c r="BA566" s="472" t="s">
        <v>1390</v>
      </c>
      <c r="BB566" s="472" t="s">
        <v>1385</v>
      </c>
      <c r="BC566" s="472" t="s">
        <v>1385</v>
      </c>
      <c r="BD566" s="472" t="s">
        <v>1385</v>
      </c>
      <c r="BE566" s="472" t="s">
        <v>1385</v>
      </c>
      <c r="BF566" s="472">
        <v>19899</v>
      </c>
      <c r="BG566" s="472">
        <v>0</v>
      </c>
      <c r="BH566" s="472" t="s">
        <v>1385</v>
      </c>
      <c r="BI566" s="510">
        <v>0</v>
      </c>
      <c r="BJ566" s="510">
        <v>0</v>
      </c>
      <c r="BK566" s="510">
        <v>0</v>
      </c>
      <c r="BL566" s="510">
        <v>0</v>
      </c>
      <c r="BM566" s="510">
        <v>0</v>
      </c>
      <c r="BN566" s="510">
        <v>3500</v>
      </c>
      <c r="BO566" s="510">
        <v>0</v>
      </c>
      <c r="BP566" s="510">
        <v>0</v>
      </c>
      <c r="BQ566" s="510">
        <v>0</v>
      </c>
      <c r="BR566" s="510">
        <v>0</v>
      </c>
      <c r="BS566" s="510">
        <v>0</v>
      </c>
      <c r="BT566" s="510">
        <v>0</v>
      </c>
      <c r="BU566" s="510">
        <v>0</v>
      </c>
      <c r="BV566" s="510">
        <v>0</v>
      </c>
      <c r="BW566" s="510">
        <v>0</v>
      </c>
      <c r="BX566" s="510">
        <v>30000</v>
      </c>
      <c r="BY566" s="1011">
        <v>0</v>
      </c>
      <c r="BZ566" s="510">
        <v>0</v>
      </c>
      <c r="CA566" s="1011">
        <v>0</v>
      </c>
      <c r="CB566" s="510">
        <v>0</v>
      </c>
      <c r="CC566" s="1011">
        <v>0</v>
      </c>
      <c r="CD566" s="510">
        <v>0</v>
      </c>
      <c r="CE566" s="1011">
        <v>0</v>
      </c>
      <c r="CF566" s="510">
        <v>41488.800000000003</v>
      </c>
      <c r="CG566" s="1011">
        <v>0</v>
      </c>
      <c r="CH566" s="510">
        <v>0</v>
      </c>
      <c r="CI566" s="1011">
        <v>0</v>
      </c>
    </row>
    <row r="567" spans="1:87" x14ac:dyDescent="0.2">
      <c r="A567" s="449">
        <v>93</v>
      </c>
      <c r="B567" s="453">
        <v>90549</v>
      </c>
      <c r="C567" s="454" t="s">
        <v>5641</v>
      </c>
      <c r="D567" s="454" t="s">
        <v>1390</v>
      </c>
      <c r="E567" s="454" t="s">
        <v>5642</v>
      </c>
      <c r="F567" s="454" t="s">
        <v>521</v>
      </c>
      <c r="G567" s="454" t="s">
        <v>13251</v>
      </c>
      <c r="H567" s="455">
        <v>52169141000136</v>
      </c>
      <c r="I567" s="462">
        <v>30375</v>
      </c>
      <c r="J567" s="457">
        <v>37590375</v>
      </c>
      <c r="K567" s="454" t="s">
        <v>5643</v>
      </c>
      <c r="L567" s="458">
        <v>25</v>
      </c>
      <c r="M567" s="454" t="s">
        <v>5644</v>
      </c>
      <c r="N567" s="459">
        <v>4782040</v>
      </c>
      <c r="O567" s="460">
        <v>56672549</v>
      </c>
      <c r="P567" s="462">
        <v>90711</v>
      </c>
      <c r="Q567" s="462">
        <v>35</v>
      </c>
      <c r="R567" s="462">
        <v>43934</v>
      </c>
      <c r="S567" s="463">
        <v>289</v>
      </c>
      <c r="T567" s="464">
        <v>3.6</v>
      </c>
      <c r="U567" s="465">
        <v>1040.4000000000001</v>
      </c>
      <c r="V567" s="465">
        <v>12240</v>
      </c>
      <c r="W567" s="466">
        <v>0</v>
      </c>
      <c r="X567" s="467">
        <v>1</v>
      </c>
      <c r="Y567" s="466">
        <v>19920.599999999999</v>
      </c>
      <c r="Z567" s="468" t="s">
        <v>516</v>
      </c>
      <c r="AA567" s="466">
        <v>94491</v>
      </c>
      <c r="AB567" s="466">
        <v>94491</v>
      </c>
      <c r="AC567" s="467">
        <v>0</v>
      </c>
      <c r="AD567" s="466">
        <v>0</v>
      </c>
      <c r="AE567" s="468" t="s">
        <v>516</v>
      </c>
      <c r="AF567" s="466">
        <v>0</v>
      </c>
      <c r="AG567" s="466">
        <v>0</v>
      </c>
      <c r="AH567" s="466">
        <v>16729.95</v>
      </c>
      <c r="AI567" s="466">
        <v>3543.54</v>
      </c>
      <c r="AJ567" s="469" t="s">
        <v>1657</v>
      </c>
      <c r="AK567" s="470" t="s">
        <v>3495</v>
      </c>
      <c r="AL567" s="471" t="s">
        <v>5645</v>
      </c>
      <c r="AM567" s="470" t="s">
        <v>13252</v>
      </c>
      <c r="AN567" s="470" t="s">
        <v>1385</v>
      </c>
      <c r="AO567" s="470" t="s">
        <v>14946</v>
      </c>
      <c r="AP567" s="470" t="s">
        <v>5646</v>
      </c>
      <c r="AQ567" s="470" t="s">
        <v>5641</v>
      </c>
      <c r="AR567" s="472" t="s">
        <v>515</v>
      </c>
      <c r="AS567" s="473" t="s">
        <v>1385</v>
      </c>
      <c r="AT567" s="472" t="s">
        <v>1390</v>
      </c>
      <c r="AU567" s="472" t="s">
        <v>420</v>
      </c>
      <c r="AV567" s="472">
        <v>2020</v>
      </c>
      <c r="AW567" s="474" t="s">
        <v>15078</v>
      </c>
      <c r="AX567" s="475" t="s">
        <v>15079</v>
      </c>
      <c r="AY567" s="515">
        <v>1</v>
      </c>
      <c r="AZ567" s="474" t="s">
        <v>15079</v>
      </c>
      <c r="BA567" s="472" t="s">
        <v>1390</v>
      </c>
      <c r="BB567" s="472" t="s">
        <v>1385</v>
      </c>
      <c r="BC567" s="472" t="s">
        <v>1385</v>
      </c>
      <c r="BD567" s="472" t="s">
        <v>1385</v>
      </c>
      <c r="BE567" s="472" t="s">
        <v>1385</v>
      </c>
      <c r="BF567" s="472">
        <v>19920.599999999999</v>
      </c>
      <c r="BG567" s="472">
        <v>0</v>
      </c>
      <c r="BH567" s="472" t="s">
        <v>1385</v>
      </c>
      <c r="BI567" s="510">
        <v>0</v>
      </c>
      <c r="BJ567" s="510">
        <v>0</v>
      </c>
      <c r="BK567" s="510">
        <v>0</v>
      </c>
      <c r="BL567" s="510">
        <v>0</v>
      </c>
      <c r="BM567" s="510">
        <v>0</v>
      </c>
      <c r="BN567" s="510">
        <v>3500</v>
      </c>
      <c r="BO567" s="510">
        <v>0</v>
      </c>
      <c r="BP567" s="510">
        <v>0</v>
      </c>
      <c r="BQ567" s="510">
        <v>0</v>
      </c>
      <c r="BR567" s="510">
        <v>0</v>
      </c>
      <c r="BS567" s="510">
        <v>0</v>
      </c>
      <c r="BT567" s="510">
        <v>0</v>
      </c>
      <c r="BU567" s="510">
        <v>0</v>
      </c>
      <c r="BV567" s="510">
        <v>0</v>
      </c>
      <c r="BW567" s="510">
        <v>0</v>
      </c>
      <c r="BX567" s="510">
        <v>30000</v>
      </c>
      <c r="BY567" s="1011">
        <v>0</v>
      </c>
      <c r="BZ567" s="510">
        <v>0</v>
      </c>
      <c r="CA567" s="1011">
        <v>0</v>
      </c>
      <c r="CB567" s="510">
        <v>0</v>
      </c>
      <c r="CC567" s="1011">
        <v>0</v>
      </c>
      <c r="CD567" s="510">
        <v>0</v>
      </c>
      <c r="CE567" s="1011">
        <v>0</v>
      </c>
      <c r="CF567" s="510">
        <v>44570.400000000001</v>
      </c>
      <c r="CG567" s="1011">
        <v>0</v>
      </c>
      <c r="CH567" s="510">
        <v>0</v>
      </c>
      <c r="CI567" s="1011">
        <v>0</v>
      </c>
    </row>
    <row r="568" spans="1:87" x14ac:dyDescent="0.2">
      <c r="A568" s="449">
        <v>73</v>
      </c>
      <c r="B568" s="453">
        <v>90557</v>
      </c>
      <c r="C568" s="454" t="s">
        <v>5647</v>
      </c>
      <c r="D568" s="454" t="s">
        <v>1390</v>
      </c>
      <c r="E568" s="454" t="s">
        <v>5648</v>
      </c>
      <c r="F568" s="454" t="s">
        <v>521</v>
      </c>
      <c r="G568" s="454" t="s">
        <v>13253</v>
      </c>
      <c r="H568" s="455">
        <v>53025367000126</v>
      </c>
      <c r="I568" s="462">
        <v>30628</v>
      </c>
      <c r="J568" s="457">
        <v>37550578</v>
      </c>
      <c r="K568" s="454" t="s">
        <v>5649</v>
      </c>
      <c r="L568" s="458" t="s">
        <v>1446</v>
      </c>
      <c r="M568" s="454" t="s">
        <v>5650</v>
      </c>
      <c r="N568" s="459">
        <v>4766010</v>
      </c>
      <c r="O568" s="460">
        <v>55218789</v>
      </c>
      <c r="P568" s="462">
        <v>106855</v>
      </c>
      <c r="Q568" s="462">
        <v>31</v>
      </c>
      <c r="R568" s="462">
        <v>43934</v>
      </c>
      <c r="S568" s="463">
        <v>153</v>
      </c>
      <c r="T568" s="464">
        <v>3.6</v>
      </c>
      <c r="U568" s="465">
        <v>550.79999999999995</v>
      </c>
      <c r="V568" s="465">
        <v>10800</v>
      </c>
      <c r="W568" s="466">
        <v>0</v>
      </c>
      <c r="X568" s="467">
        <v>1</v>
      </c>
      <c r="Y568" s="466">
        <v>21886.2</v>
      </c>
      <c r="Z568" s="468" t="s">
        <v>516</v>
      </c>
      <c r="AA568" s="466">
        <v>101132.6</v>
      </c>
      <c r="AB568" s="466">
        <v>101132.6</v>
      </c>
      <c r="AC568" s="467">
        <v>0</v>
      </c>
      <c r="AD568" s="466">
        <v>0</v>
      </c>
      <c r="AE568" s="468" t="s">
        <v>516</v>
      </c>
      <c r="AF568" s="466">
        <v>0</v>
      </c>
      <c r="AG568" s="466">
        <v>0</v>
      </c>
      <c r="AH568" s="466">
        <v>15484.69</v>
      </c>
      <c r="AI568" s="466">
        <v>2844.3</v>
      </c>
      <c r="AJ568" s="469" t="s">
        <v>1657</v>
      </c>
      <c r="AK568" s="470" t="s">
        <v>1625</v>
      </c>
      <c r="AL568" s="471" t="s">
        <v>5651</v>
      </c>
      <c r="AM568" s="470" t="s">
        <v>5652</v>
      </c>
      <c r="AN568" s="470" t="s">
        <v>1385</v>
      </c>
      <c r="AO568" s="470" t="s">
        <v>14923</v>
      </c>
      <c r="AP568" s="470" t="s">
        <v>5653</v>
      </c>
      <c r="AQ568" s="470" t="s">
        <v>5647</v>
      </c>
      <c r="AR568" s="472" t="s">
        <v>515</v>
      </c>
      <c r="AS568" s="473" t="s">
        <v>1385</v>
      </c>
      <c r="AT568" s="472" t="s">
        <v>1390</v>
      </c>
      <c r="AU568" s="472" t="s">
        <v>420</v>
      </c>
      <c r="AV568" s="472">
        <v>2020</v>
      </c>
      <c r="AW568" s="474" t="s">
        <v>15078</v>
      </c>
      <c r="AX568" s="475" t="s">
        <v>15079</v>
      </c>
      <c r="AY568" s="515">
        <v>1</v>
      </c>
      <c r="AZ568" s="474" t="s">
        <v>15079</v>
      </c>
      <c r="BA568" s="472" t="s">
        <v>1390</v>
      </c>
      <c r="BB568" s="472" t="s">
        <v>516</v>
      </c>
      <c r="BC568" s="472">
        <v>5</v>
      </c>
      <c r="BD568" s="472">
        <v>3240</v>
      </c>
      <c r="BE568" s="472">
        <v>0</v>
      </c>
      <c r="BF568" s="472">
        <v>21886.2</v>
      </c>
      <c r="BG568" s="472">
        <v>0</v>
      </c>
      <c r="BH568" s="472" t="s">
        <v>1385</v>
      </c>
      <c r="BI568" s="510">
        <v>0</v>
      </c>
      <c r="BJ568" s="510">
        <v>0</v>
      </c>
      <c r="BK568" s="510">
        <v>0</v>
      </c>
      <c r="BL568" s="510">
        <v>0</v>
      </c>
      <c r="BM568" s="510">
        <v>0</v>
      </c>
      <c r="BN568" s="510">
        <v>3000</v>
      </c>
      <c r="BO568" s="510">
        <v>0</v>
      </c>
      <c r="BP568" s="510">
        <v>0</v>
      </c>
      <c r="BQ568" s="510">
        <v>0</v>
      </c>
      <c r="BR568" s="510">
        <v>0</v>
      </c>
      <c r="BS568" s="510">
        <v>0</v>
      </c>
      <c r="BT568" s="510">
        <v>0</v>
      </c>
      <c r="BU568" s="510">
        <v>0</v>
      </c>
      <c r="BV568" s="510">
        <v>0</v>
      </c>
      <c r="BW568" s="510">
        <v>0</v>
      </c>
      <c r="BX568" s="510">
        <v>30000</v>
      </c>
      <c r="BY568" s="1011">
        <v>0</v>
      </c>
      <c r="BZ568" s="510">
        <v>0</v>
      </c>
      <c r="CA568" s="1011">
        <v>0</v>
      </c>
      <c r="CB568" s="510">
        <v>0</v>
      </c>
      <c r="CC568" s="1011">
        <v>0</v>
      </c>
      <c r="CD568" s="510">
        <v>0</v>
      </c>
      <c r="CE568" s="1011">
        <v>0</v>
      </c>
      <c r="CF568" s="510">
        <v>49246.400000000001</v>
      </c>
      <c r="CG568" s="1011">
        <v>0</v>
      </c>
      <c r="CH568" s="510">
        <v>0</v>
      </c>
      <c r="CI568" s="1011">
        <v>0</v>
      </c>
    </row>
    <row r="569" spans="1:87" x14ac:dyDescent="0.2">
      <c r="A569" s="449">
        <v>74</v>
      </c>
      <c r="B569" s="453">
        <v>90565</v>
      </c>
      <c r="C569" s="454" t="s">
        <v>5654</v>
      </c>
      <c r="D569" s="454" t="s">
        <v>1390</v>
      </c>
      <c r="E569" s="454" t="s">
        <v>5655</v>
      </c>
      <c r="F569" s="454" t="s">
        <v>521</v>
      </c>
      <c r="G569" s="454" t="s">
        <v>13254</v>
      </c>
      <c r="H569" s="455">
        <v>50949338000162</v>
      </c>
      <c r="I569" s="462">
        <v>30217</v>
      </c>
      <c r="J569" s="457">
        <v>37551060</v>
      </c>
      <c r="K569" s="454" t="s">
        <v>5656</v>
      </c>
      <c r="L569" s="458">
        <v>93</v>
      </c>
      <c r="M569" s="454" t="s">
        <v>5657</v>
      </c>
      <c r="N569" s="459">
        <v>4830020</v>
      </c>
      <c r="O569" s="460">
        <v>59394987</v>
      </c>
      <c r="P569" s="462">
        <v>94075</v>
      </c>
      <c r="Q569" s="462">
        <v>40</v>
      </c>
      <c r="R569" s="462">
        <v>43934</v>
      </c>
      <c r="S569" s="463">
        <v>514</v>
      </c>
      <c r="T569" s="464">
        <v>3.6</v>
      </c>
      <c r="U569" s="465">
        <v>1850.4</v>
      </c>
      <c r="V569" s="465">
        <v>16560</v>
      </c>
      <c r="W569" s="466">
        <v>0</v>
      </c>
      <c r="X569" s="467">
        <v>1</v>
      </c>
      <c r="Y569" s="466">
        <v>27615.599999999999</v>
      </c>
      <c r="Z569" s="468" t="s">
        <v>516</v>
      </c>
      <c r="AA569" s="466">
        <v>106390.8</v>
      </c>
      <c r="AB569" s="466">
        <v>106390.8</v>
      </c>
      <c r="AC569" s="467">
        <v>0</v>
      </c>
      <c r="AD569" s="466">
        <v>0</v>
      </c>
      <c r="AE569" s="468" t="s">
        <v>516</v>
      </c>
      <c r="AF569" s="466">
        <v>0</v>
      </c>
      <c r="AG569" s="466">
        <v>0</v>
      </c>
      <c r="AH569" s="466">
        <v>18485.740000000002</v>
      </c>
      <c r="AI569" s="466">
        <v>3682.08</v>
      </c>
      <c r="AJ569" s="469" t="s">
        <v>1624</v>
      </c>
      <c r="AK569" s="470" t="s">
        <v>1625</v>
      </c>
      <c r="AL569" s="471" t="s">
        <v>5658</v>
      </c>
      <c r="AM569" s="470" t="s">
        <v>13255</v>
      </c>
      <c r="AN569" s="470" t="s">
        <v>1385</v>
      </c>
      <c r="AO569" s="470" t="s">
        <v>5659</v>
      </c>
      <c r="AP569" s="470" t="s">
        <v>5660</v>
      </c>
      <c r="AQ569" s="470" t="s">
        <v>5654</v>
      </c>
      <c r="AR569" s="472" t="s">
        <v>515</v>
      </c>
      <c r="AS569" s="473" t="s">
        <v>1385</v>
      </c>
      <c r="AT569" s="472" t="s">
        <v>1390</v>
      </c>
      <c r="AU569" s="472" t="s">
        <v>420</v>
      </c>
      <c r="AV569" s="472">
        <v>2020</v>
      </c>
      <c r="AW569" s="474" t="s">
        <v>15078</v>
      </c>
      <c r="AX569" s="475" t="s">
        <v>15079</v>
      </c>
      <c r="AY569" s="515">
        <v>1</v>
      </c>
      <c r="AZ569" s="474" t="s">
        <v>15079</v>
      </c>
      <c r="BA569" s="472" t="s">
        <v>1390</v>
      </c>
      <c r="BB569" s="472" t="s">
        <v>1385</v>
      </c>
      <c r="BC569" s="472" t="s">
        <v>1385</v>
      </c>
      <c r="BD569" s="472" t="s">
        <v>1385</v>
      </c>
      <c r="BE569" s="472" t="s">
        <v>1385</v>
      </c>
      <c r="BF569" s="472">
        <v>27615.599999999999</v>
      </c>
      <c r="BG569" s="472">
        <v>0</v>
      </c>
      <c r="BH569" s="472" t="s">
        <v>1385</v>
      </c>
      <c r="BI569" s="510">
        <v>0</v>
      </c>
      <c r="BJ569" s="510">
        <v>0</v>
      </c>
      <c r="BK569" s="510">
        <v>0</v>
      </c>
      <c r="BL569" s="510">
        <v>0</v>
      </c>
      <c r="BM569" s="510">
        <v>0</v>
      </c>
      <c r="BN569" s="510">
        <v>4000</v>
      </c>
      <c r="BO569" s="510">
        <v>0</v>
      </c>
      <c r="BP569" s="510">
        <v>0</v>
      </c>
      <c r="BQ569" s="510">
        <v>0</v>
      </c>
      <c r="BR569" s="510">
        <v>0</v>
      </c>
      <c r="BS569" s="510">
        <v>0</v>
      </c>
      <c r="BT569" s="510">
        <v>0</v>
      </c>
      <c r="BU569" s="510">
        <v>0</v>
      </c>
      <c r="BV569" s="510">
        <v>0</v>
      </c>
      <c r="BW569" s="510">
        <v>0</v>
      </c>
      <c r="BX569" s="510">
        <v>30000</v>
      </c>
      <c r="BY569" s="1011">
        <v>0</v>
      </c>
      <c r="BZ569" s="510">
        <v>0</v>
      </c>
      <c r="CA569" s="1011">
        <v>0</v>
      </c>
      <c r="CB569" s="510">
        <v>0</v>
      </c>
      <c r="CC569" s="1011">
        <v>0</v>
      </c>
      <c r="CD569" s="510">
        <v>0</v>
      </c>
      <c r="CE569" s="1011">
        <v>0</v>
      </c>
      <c r="CF569" s="510">
        <v>48775.199999999997</v>
      </c>
      <c r="CG569" s="1011">
        <v>0</v>
      </c>
      <c r="CH569" s="510">
        <v>0</v>
      </c>
      <c r="CI569" s="1011">
        <v>0</v>
      </c>
    </row>
    <row r="570" spans="1:87" x14ac:dyDescent="0.2">
      <c r="A570" s="449">
        <v>90</v>
      </c>
      <c r="B570" s="453">
        <v>90573</v>
      </c>
      <c r="C570" s="454" t="s">
        <v>5661</v>
      </c>
      <c r="D570" s="454" t="s">
        <v>1390</v>
      </c>
      <c r="E570" s="454" t="s">
        <v>5662</v>
      </c>
      <c r="F570" s="454" t="s">
        <v>521</v>
      </c>
      <c r="G570" s="454" t="s">
        <v>13256</v>
      </c>
      <c r="H570" s="455">
        <v>50961002000115</v>
      </c>
      <c r="I570" s="462">
        <v>30193</v>
      </c>
      <c r="J570" s="457">
        <v>37550233</v>
      </c>
      <c r="K570" s="454" t="s">
        <v>5663</v>
      </c>
      <c r="L570" s="458" t="s">
        <v>1446</v>
      </c>
      <c r="M570" s="454" t="s">
        <v>3188</v>
      </c>
      <c r="N570" s="459">
        <v>4840220</v>
      </c>
      <c r="O570" s="460">
        <v>55280231</v>
      </c>
      <c r="P570" s="462">
        <v>99905</v>
      </c>
      <c r="Q570" s="462">
        <v>33</v>
      </c>
      <c r="R570" s="462">
        <v>43934</v>
      </c>
      <c r="S570" s="463">
        <v>599</v>
      </c>
      <c r="T570" s="464">
        <v>3.6</v>
      </c>
      <c r="U570" s="465">
        <v>2156.4</v>
      </c>
      <c r="V570" s="465">
        <v>16560</v>
      </c>
      <c r="W570" s="466">
        <v>0</v>
      </c>
      <c r="X570" s="467">
        <v>1</v>
      </c>
      <c r="Y570" s="466">
        <v>28074.6</v>
      </c>
      <c r="Z570" s="468" t="s">
        <v>516</v>
      </c>
      <c r="AA570" s="466">
        <v>110485.8</v>
      </c>
      <c r="AB570" s="466">
        <v>110485.8</v>
      </c>
      <c r="AC570" s="467">
        <v>0</v>
      </c>
      <c r="AD570" s="466">
        <v>0</v>
      </c>
      <c r="AE570" s="468" t="s">
        <v>516</v>
      </c>
      <c r="AF570" s="466">
        <v>0</v>
      </c>
      <c r="AG570" s="466">
        <v>0</v>
      </c>
      <c r="AH570" s="466">
        <v>1845.71</v>
      </c>
      <c r="AI570" s="466">
        <v>731.48</v>
      </c>
      <c r="AJ570" s="469" t="s">
        <v>1624</v>
      </c>
      <c r="AK570" s="470" t="s">
        <v>1625</v>
      </c>
      <c r="AL570" s="471" t="s">
        <v>5664</v>
      </c>
      <c r="AM570" s="470" t="s">
        <v>5665</v>
      </c>
      <c r="AN570" s="470" t="s">
        <v>1385</v>
      </c>
      <c r="AO570" s="470" t="s">
        <v>14943</v>
      </c>
      <c r="AP570" s="470" t="s">
        <v>5666</v>
      </c>
      <c r="AQ570" s="470" t="s">
        <v>5661</v>
      </c>
      <c r="AR570" s="472" t="s">
        <v>515</v>
      </c>
      <c r="AS570" s="473" t="s">
        <v>1385</v>
      </c>
      <c r="AT570" s="472" t="s">
        <v>1390</v>
      </c>
      <c r="AU570" s="472" t="s">
        <v>420</v>
      </c>
      <c r="AV570" s="472">
        <v>2020</v>
      </c>
      <c r="AW570" s="474" t="s">
        <v>15078</v>
      </c>
      <c r="AX570" s="475" t="s">
        <v>15079</v>
      </c>
      <c r="AY570" s="515">
        <v>1</v>
      </c>
      <c r="AZ570" s="474" t="s">
        <v>15079</v>
      </c>
      <c r="BA570" s="472" t="s">
        <v>1390</v>
      </c>
      <c r="BB570" s="472" t="s">
        <v>1385</v>
      </c>
      <c r="BC570" s="472" t="s">
        <v>1385</v>
      </c>
      <c r="BD570" s="472" t="s">
        <v>1385</v>
      </c>
      <c r="BE570" s="472" t="s">
        <v>1385</v>
      </c>
      <c r="BF570" s="472">
        <v>28074.6</v>
      </c>
      <c r="BG570" s="472">
        <v>0</v>
      </c>
      <c r="BH570" s="472" t="s">
        <v>1385</v>
      </c>
      <c r="BI570" s="510">
        <v>0</v>
      </c>
      <c r="BJ570" s="510">
        <v>0</v>
      </c>
      <c r="BK570" s="510">
        <v>0</v>
      </c>
      <c r="BL570" s="510">
        <v>0</v>
      </c>
      <c r="BM570" s="510">
        <v>0</v>
      </c>
      <c r="BN570" s="510">
        <v>5000</v>
      </c>
      <c r="BO570" s="510">
        <v>0</v>
      </c>
      <c r="BP570" s="510">
        <v>0</v>
      </c>
      <c r="BQ570" s="510">
        <v>0</v>
      </c>
      <c r="BR570" s="510">
        <v>0</v>
      </c>
      <c r="BS570" s="510">
        <v>0</v>
      </c>
      <c r="BT570" s="510">
        <v>0</v>
      </c>
      <c r="BU570" s="510">
        <v>0</v>
      </c>
      <c r="BV570" s="510">
        <v>0</v>
      </c>
      <c r="BW570" s="510">
        <v>0</v>
      </c>
      <c r="BX570" s="510">
        <v>30000</v>
      </c>
      <c r="BY570" s="1011">
        <v>0</v>
      </c>
      <c r="BZ570" s="510">
        <v>0</v>
      </c>
      <c r="CA570" s="1011">
        <v>0</v>
      </c>
      <c r="CB570" s="510">
        <v>0</v>
      </c>
      <c r="CC570" s="1011">
        <v>0</v>
      </c>
      <c r="CD570" s="510">
        <v>0</v>
      </c>
      <c r="CE570" s="1011">
        <v>0</v>
      </c>
      <c r="CF570" s="510">
        <v>52411.199999999997</v>
      </c>
      <c r="CG570" s="1011">
        <v>0</v>
      </c>
      <c r="CH570" s="510">
        <v>0</v>
      </c>
      <c r="CI570" s="1011">
        <v>0</v>
      </c>
    </row>
    <row r="571" spans="1:87" x14ac:dyDescent="0.2">
      <c r="A571" s="449">
        <v>81</v>
      </c>
      <c r="B571" s="453">
        <v>90581</v>
      </c>
      <c r="C571" s="454" t="s">
        <v>5667</v>
      </c>
      <c r="D571" s="454" t="s">
        <v>1390</v>
      </c>
      <c r="E571" s="454" t="s">
        <v>5668</v>
      </c>
      <c r="F571" s="454" t="s">
        <v>521</v>
      </c>
      <c r="G571" s="454" t="s">
        <v>13257</v>
      </c>
      <c r="H571" s="455">
        <v>52030210000126</v>
      </c>
      <c r="I571" s="462">
        <v>30281</v>
      </c>
      <c r="J571" s="457">
        <v>37550004</v>
      </c>
      <c r="K571" s="454" t="s">
        <v>5669</v>
      </c>
      <c r="L571" s="458">
        <v>88</v>
      </c>
      <c r="M571" s="454" t="s">
        <v>5670</v>
      </c>
      <c r="N571" s="459">
        <v>4829070</v>
      </c>
      <c r="O571" s="460">
        <v>59718809</v>
      </c>
      <c r="P571" s="462">
        <v>98763</v>
      </c>
      <c r="Q571" s="462">
        <v>36</v>
      </c>
      <c r="R571" s="462">
        <v>43934</v>
      </c>
      <c r="S571" s="463">
        <v>283</v>
      </c>
      <c r="T571" s="464">
        <v>3.6</v>
      </c>
      <c r="U571" s="465">
        <v>1018.8</v>
      </c>
      <c r="V571" s="465">
        <v>12240</v>
      </c>
      <c r="W571" s="466">
        <v>0</v>
      </c>
      <c r="X571" s="467">
        <v>1</v>
      </c>
      <c r="Y571" s="466">
        <v>19888.2</v>
      </c>
      <c r="Z571" s="468" t="s">
        <v>516</v>
      </c>
      <c r="AA571" s="466">
        <v>91492.2</v>
      </c>
      <c r="AB571" s="466">
        <v>91492.2</v>
      </c>
      <c r="AC571" s="467">
        <v>0</v>
      </c>
      <c r="AD571" s="466">
        <v>0</v>
      </c>
      <c r="AE571" s="468" t="s">
        <v>516</v>
      </c>
      <c r="AF571" s="466">
        <v>0</v>
      </c>
      <c r="AG571" s="466">
        <v>0</v>
      </c>
      <c r="AH571" s="466">
        <v>8858.08</v>
      </c>
      <c r="AI571" s="466">
        <v>1478.74</v>
      </c>
      <c r="AJ571" s="469" t="s">
        <v>1657</v>
      </c>
      <c r="AK571" s="470" t="s">
        <v>3495</v>
      </c>
      <c r="AL571" s="471" t="s">
        <v>5671</v>
      </c>
      <c r="AM571" s="470" t="s">
        <v>5672</v>
      </c>
      <c r="AN571" s="470" t="s">
        <v>1385</v>
      </c>
      <c r="AO571" s="470" t="s">
        <v>14929</v>
      </c>
      <c r="AP571" s="470" t="s">
        <v>5673</v>
      </c>
      <c r="AQ571" s="470" t="s">
        <v>5667</v>
      </c>
      <c r="AR571" s="472" t="s">
        <v>515</v>
      </c>
      <c r="AS571" s="473" t="s">
        <v>1385</v>
      </c>
      <c r="AT571" s="472" t="s">
        <v>1390</v>
      </c>
      <c r="AU571" s="472" t="s">
        <v>420</v>
      </c>
      <c r="AV571" s="472">
        <v>2020</v>
      </c>
      <c r="AW571" s="474" t="s">
        <v>15078</v>
      </c>
      <c r="AX571" s="475" t="s">
        <v>15079</v>
      </c>
      <c r="AY571" s="515">
        <v>1</v>
      </c>
      <c r="AZ571" s="474" t="s">
        <v>15079</v>
      </c>
      <c r="BA571" s="472" t="s">
        <v>1390</v>
      </c>
      <c r="BB571" s="472" t="s">
        <v>1385</v>
      </c>
      <c r="BC571" s="472" t="s">
        <v>1385</v>
      </c>
      <c r="BD571" s="472" t="s">
        <v>1385</v>
      </c>
      <c r="BE571" s="472" t="s">
        <v>1385</v>
      </c>
      <c r="BF571" s="472">
        <v>19888.2</v>
      </c>
      <c r="BG571" s="472">
        <v>0</v>
      </c>
      <c r="BH571" s="472" t="s">
        <v>1385</v>
      </c>
      <c r="BI571" s="510">
        <v>0</v>
      </c>
      <c r="BJ571" s="510">
        <v>0</v>
      </c>
      <c r="BK571" s="510">
        <v>0</v>
      </c>
      <c r="BL571" s="510">
        <v>0</v>
      </c>
      <c r="BM571" s="510">
        <v>0</v>
      </c>
      <c r="BN571" s="510">
        <v>3500</v>
      </c>
      <c r="BO571" s="510">
        <v>0</v>
      </c>
      <c r="BP571" s="510">
        <v>0</v>
      </c>
      <c r="BQ571" s="510">
        <v>0</v>
      </c>
      <c r="BR571" s="510">
        <v>0</v>
      </c>
      <c r="BS571" s="510">
        <v>0</v>
      </c>
      <c r="BT571" s="510">
        <v>0</v>
      </c>
      <c r="BU571" s="510">
        <v>0</v>
      </c>
      <c r="BV571" s="510">
        <v>0</v>
      </c>
      <c r="BW571" s="510">
        <v>0</v>
      </c>
      <c r="BX571" s="510">
        <v>30000</v>
      </c>
      <c r="BY571" s="1011">
        <v>0</v>
      </c>
      <c r="BZ571" s="510">
        <v>0</v>
      </c>
      <c r="CA571" s="1011">
        <v>0</v>
      </c>
      <c r="CB571" s="510">
        <v>0</v>
      </c>
      <c r="CC571" s="1011">
        <v>0</v>
      </c>
      <c r="CD571" s="510">
        <v>0</v>
      </c>
      <c r="CE571" s="1011">
        <v>0</v>
      </c>
      <c r="CF571" s="510">
        <v>41604</v>
      </c>
      <c r="CG571" s="1011">
        <v>0</v>
      </c>
      <c r="CH571" s="510">
        <v>0</v>
      </c>
      <c r="CI571" s="1011">
        <v>0</v>
      </c>
    </row>
    <row r="572" spans="1:87" x14ac:dyDescent="0.2">
      <c r="A572" s="449">
        <v>71</v>
      </c>
      <c r="B572" s="453">
        <v>90590</v>
      </c>
      <c r="C572" s="454" t="s">
        <v>5674</v>
      </c>
      <c r="D572" s="454" t="s">
        <v>1390</v>
      </c>
      <c r="E572" s="454" t="s">
        <v>5675</v>
      </c>
      <c r="F572" s="454" t="s">
        <v>521</v>
      </c>
      <c r="G572" s="454" t="s">
        <v>13258</v>
      </c>
      <c r="H572" s="455">
        <v>52030236000174</v>
      </c>
      <c r="I572" s="462">
        <v>30281</v>
      </c>
      <c r="J572" s="457">
        <v>37550806</v>
      </c>
      <c r="K572" s="454" t="s">
        <v>5676</v>
      </c>
      <c r="L572" s="458">
        <v>290</v>
      </c>
      <c r="M572" s="454" t="s">
        <v>2965</v>
      </c>
      <c r="N572" s="459">
        <v>4850260</v>
      </c>
      <c r="O572" s="460">
        <v>55281873</v>
      </c>
      <c r="P572" s="462">
        <v>95772</v>
      </c>
      <c r="Q572" s="462">
        <v>39</v>
      </c>
      <c r="R572" s="462">
        <v>43934</v>
      </c>
      <c r="S572" s="463">
        <v>392</v>
      </c>
      <c r="T572" s="464">
        <v>3.6</v>
      </c>
      <c r="U572" s="465">
        <v>1411.2</v>
      </c>
      <c r="V572" s="465">
        <v>13680</v>
      </c>
      <c r="W572" s="466">
        <v>0</v>
      </c>
      <c r="X572" s="467">
        <v>1</v>
      </c>
      <c r="Y572" s="466">
        <v>22636.799999999999</v>
      </c>
      <c r="Z572" s="468" t="s">
        <v>516</v>
      </c>
      <c r="AA572" s="466">
        <v>97574.399999999994</v>
      </c>
      <c r="AB572" s="466">
        <v>97574.399999999994</v>
      </c>
      <c r="AC572" s="467">
        <v>0</v>
      </c>
      <c r="AD572" s="466">
        <v>0</v>
      </c>
      <c r="AE572" s="468" t="s">
        <v>516</v>
      </c>
      <c r="AF572" s="466">
        <v>0</v>
      </c>
      <c r="AG572" s="466">
        <v>0</v>
      </c>
      <c r="AH572" s="466">
        <v>11354.64</v>
      </c>
      <c r="AI572" s="466">
        <v>3752.73</v>
      </c>
      <c r="AJ572" s="469" t="s">
        <v>1624</v>
      </c>
      <c r="AK572" s="470" t="s">
        <v>1625</v>
      </c>
      <c r="AL572" s="471" t="s">
        <v>5677</v>
      </c>
      <c r="AM572" s="470" t="s">
        <v>13259</v>
      </c>
      <c r="AN572" s="470" t="s">
        <v>1385</v>
      </c>
      <c r="AO572" s="470" t="s">
        <v>14921</v>
      </c>
      <c r="AP572" s="470" t="s">
        <v>5678</v>
      </c>
      <c r="AQ572" s="470" t="s">
        <v>5674</v>
      </c>
      <c r="AR572" s="472" t="s">
        <v>515</v>
      </c>
      <c r="AS572" s="473" t="s">
        <v>1385</v>
      </c>
      <c r="AT572" s="472" t="s">
        <v>1390</v>
      </c>
      <c r="AU572" s="472" t="s">
        <v>420</v>
      </c>
      <c r="AV572" s="472">
        <v>2020</v>
      </c>
      <c r="AW572" s="474" t="s">
        <v>15078</v>
      </c>
      <c r="AX572" s="475" t="s">
        <v>15079</v>
      </c>
      <c r="AY572" s="515">
        <v>1</v>
      </c>
      <c r="AZ572" s="474" t="s">
        <v>15079</v>
      </c>
      <c r="BA572" s="472" t="s">
        <v>1390</v>
      </c>
      <c r="BB572" s="472" t="s">
        <v>1385</v>
      </c>
      <c r="BC572" s="472" t="s">
        <v>1385</v>
      </c>
      <c r="BD572" s="472" t="s">
        <v>1385</v>
      </c>
      <c r="BE572" s="472" t="s">
        <v>1385</v>
      </c>
      <c r="BF572" s="472">
        <v>22636.799999999999</v>
      </c>
      <c r="BG572" s="472">
        <v>0</v>
      </c>
      <c r="BH572" s="472" t="s">
        <v>1385</v>
      </c>
      <c r="BI572" s="510">
        <v>0</v>
      </c>
      <c r="BJ572" s="510">
        <v>0</v>
      </c>
      <c r="BK572" s="510">
        <v>0</v>
      </c>
      <c r="BL572" s="510">
        <v>0</v>
      </c>
      <c r="BM572" s="510">
        <v>0</v>
      </c>
      <c r="BN572" s="510">
        <v>3500</v>
      </c>
      <c r="BO572" s="510">
        <v>0</v>
      </c>
      <c r="BP572" s="510">
        <v>0</v>
      </c>
      <c r="BQ572" s="510">
        <v>0</v>
      </c>
      <c r="BR572" s="510">
        <v>0</v>
      </c>
      <c r="BS572" s="510">
        <v>0</v>
      </c>
      <c r="BT572" s="510">
        <v>0</v>
      </c>
      <c r="BU572" s="510">
        <v>0</v>
      </c>
      <c r="BV572" s="510">
        <v>0</v>
      </c>
      <c r="BW572" s="510">
        <v>0</v>
      </c>
      <c r="BX572" s="510">
        <v>30000</v>
      </c>
      <c r="BY572" s="1011">
        <v>0</v>
      </c>
      <c r="BZ572" s="510">
        <v>0</v>
      </c>
      <c r="CA572" s="1011">
        <v>0</v>
      </c>
      <c r="CB572" s="510">
        <v>0</v>
      </c>
      <c r="CC572" s="1011">
        <v>0</v>
      </c>
      <c r="CD572" s="510">
        <v>0</v>
      </c>
      <c r="CE572" s="1011">
        <v>0</v>
      </c>
      <c r="CF572" s="510">
        <v>44937.599999999999</v>
      </c>
      <c r="CG572" s="1011">
        <v>0</v>
      </c>
      <c r="CH572" s="510">
        <v>0</v>
      </c>
      <c r="CI572" s="1011">
        <v>0</v>
      </c>
    </row>
    <row r="573" spans="1:87" x14ac:dyDescent="0.2">
      <c r="A573" s="449">
        <v>94</v>
      </c>
      <c r="B573" s="453">
        <v>90603</v>
      </c>
      <c r="C573" s="454" t="s">
        <v>5679</v>
      </c>
      <c r="D573" s="454" t="s">
        <v>1390</v>
      </c>
      <c r="E573" s="454" t="s">
        <v>5680</v>
      </c>
      <c r="F573" s="454" t="s">
        <v>521</v>
      </c>
      <c r="G573" s="454" t="s">
        <v>13260</v>
      </c>
      <c r="H573" s="455">
        <v>56320385000129</v>
      </c>
      <c r="I573" s="462">
        <v>31671</v>
      </c>
      <c r="J573" s="457">
        <v>37550225</v>
      </c>
      <c r="K573" s="454" t="s">
        <v>5681</v>
      </c>
      <c r="L573" s="458">
        <v>225</v>
      </c>
      <c r="M573" s="454" t="s">
        <v>5682</v>
      </c>
      <c r="N573" s="459">
        <v>4822160</v>
      </c>
      <c r="O573" s="460">
        <v>59718664</v>
      </c>
      <c r="P573" s="462">
        <v>99301</v>
      </c>
      <c r="Q573" s="462">
        <v>34</v>
      </c>
      <c r="R573" s="462">
        <v>43934</v>
      </c>
      <c r="S573" s="463">
        <v>574</v>
      </c>
      <c r="T573" s="464">
        <v>3.6</v>
      </c>
      <c r="U573" s="465">
        <v>2066.4</v>
      </c>
      <c r="V573" s="465">
        <v>16560</v>
      </c>
      <c r="W573" s="466">
        <v>0</v>
      </c>
      <c r="X573" s="467">
        <v>1</v>
      </c>
      <c r="Y573" s="466">
        <v>27939.599999999999</v>
      </c>
      <c r="Z573" s="468" t="s">
        <v>516</v>
      </c>
      <c r="AA573" s="466">
        <v>110199.6</v>
      </c>
      <c r="AB573" s="466">
        <v>110199.6</v>
      </c>
      <c r="AC573" s="467">
        <v>0</v>
      </c>
      <c r="AD573" s="466">
        <v>0</v>
      </c>
      <c r="AE573" s="468" t="s">
        <v>516</v>
      </c>
      <c r="AF573" s="466">
        <v>0</v>
      </c>
      <c r="AG573" s="466">
        <v>0</v>
      </c>
      <c r="AH573" s="466">
        <v>15520.63</v>
      </c>
      <c r="AI573" s="466">
        <v>8692.44</v>
      </c>
      <c r="AJ573" s="469" t="s">
        <v>2546</v>
      </c>
      <c r="AK573" s="470" t="s">
        <v>2966</v>
      </c>
      <c r="AL573" s="471" t="s">
        <v>5683</v>
      </c>
      <c r="AM573" s="470" t="s">
        <v>5684</v>
      </c>
      <c r="AN573" s="470" t="s">
        <v>1385</v>
      </c>
      <c r="AO573" s="470" t="s">
        <v>14947</v>
      </c>
      <c r="AP573" s="470" t="s">
        <v>5685</v>
      </c>
      <c r="AQ573" s="470" t="s">
        <v>5679</v>
      </c>
      <c r="AR573" s="472" t="s">
        <v>515</v>
      </c>
      <c r="AS573" s="473" t="s">
        <v>1385</v>
      </c>
      <c r="AT573" s="472" t="s">
        <v>1390</v>
      </c>
      <c r="AU573" s="472" t="s">
        <v>420</v>
      </c>
      <c r="AV573" s="472">
        <v>2020</v>
      </c>
      <c r="AW573" s="474" t="s">
        <v>15078</v>
      </c>
      <c r="AX573" s="475" t="s">
        <v>15079</v>
      </c>
      <c r="AY573" s="515">
        <v>1</v>
      </c>
      <c r="AZ573" s="474" t="s">
        <v>15079</v>
      </c>
      <c r="BA573" s="472" t="s">
        <v>1390</v>
      </c>
      <c r="BB573" s="472" t="s">
        <v>1385</v>
      </c>
      <c r="BC573" s="472" t="s">
        <v>1385</v>
      </c>
      <c r="BD573" s="472" t="s">
        <v>1385</v>
      </c>
      <c r="BE573" s="472" t="s">
        <v>1385</v>
      </c>
      <c r="BF573" s="472">
        <v>27939.599999999999</v>
      </c>
      <c r="BG573" s="472">
        <v>0</v>
      </c>
      <c r="BH573" s="472" t="s">
        <v>1385</v>
      </c>
      <c r="BI573" s="510">
        <v>0</v>
      </c>
      <c r="BJ573" s="510">
        <v>0</v>
      </c>
      <c r="BK573" s="510">
        <v>0</v>
      </c>
      <c r="BL573" s="510">
        <v>0</v>
      </c>
      <c r="BM573" s="510">
        <v>0</v>
      </c>
      <c r="BN573" s="510">
        <v>5000</v>
      </c>
      <c r="BO573" s="510">
        <v>0</v>
      </c>
      <c r="BP573" s="510">
        <v>0</v>
      </c>
      <c r="BQ573" s="510">
        <v>0</v>
      </c>
      <c r="BR573" s="510">
        <v>0</v>
      </c>
      <c r="BS573" s="510">
        <v>0</v>
      </c>
      <c r="BT573" s="510">
        <v>0</v>
      </c>
      <c r="BU573" s="510">
        <v>0</v>
      </c>
      <c r="BV573" s="510">
        <v>0</v>
      </c>
      <c r="BW573" s="510">
        <v>0</v>
      </c>
      <c r="BX573" s="510">
        <v>30000</v>
      </c>
      <c r="BY573" s="1011">
        <v>0</v>
      </c>
      <c r="BZ573" s="510">
        <v>0</v>
      </c>
      <c r="CA573" s="1011">
        <v>0</v>
      </c>
      <c r="CB573" s="510">
        <v>0</v>
      </c>
      <c r="CC573" s="1011">
        <v>0</v>
      </c>
      <c r="CD573" s="510">
        <v>0</v>
      </c>
      <c r="CE573" s="1011">
        <v>0</v>
      </c>
      <c r="CF573" s="510">
        <v>52260</v>
      </c>
      <c r="CG573" s="1011">
        <v>0</v>
      </c>
      <c r="CH573" s="510">
        <v>0</v>
      </c>
      <c r="CI573" s="1011">
        <v>0</v>
      </c>
    </row>
    <row r="574" spans="1:87" x14ac:dyDescent="0.2">
      <c r="A574" s="449">
        <v>63</v>
      </c>
      <c r="B574" s="453">
        <v>90611</v>
      </c>
      <c r="C574" s="454" t="s">
        <v>5686</v>
      </c>
      <c r="D574" s="454" t="s">
        <v>1390</v>
      </c>
      <c r="E574" s="454" t="s">
        <v>5687</v>
      </c>
      <c r="F574" s="454" t="s">
        <v>529</v>
      </c>
      <c r="G574" s="454" t="s">
        <v>13261</v>
      </c>
      <c r="H574" s="455">
        <v>56563646000131</v>
      </c>
      <c r="I574" s="462">
        <v>31695</v>
      </c>
      <c r="J574" s="457">
        <v>37522590</v>
      </c>
      <c r="K574" s="454" t="s">
        <v>5688</v>
      </c>
      <c r="L574" s="458">
        <v>300</v>
      </c>
      <c r="M574" s="454" t="s">
        <v>1789</v>
      </c>
      <c r="N574" s="459">
        <v>4653030</v>
      </c>
      <c r="O574" s="460">
        <v>56773502</v>
      </c>
      <c r="P574" s="462">
        <v>563334</v>
      </c>
      <c r="Q574" s="462">
        <v>28</v>
      </c>
      <c r="R574" s="462">
        <v>43921</v>
      </c>
      <c r="S574" s="463">
        <v>298</v>
      </c>
      <c r="T574" s="464">
        <v>3.6</v>
      </c>
      <c r="U574" s="465">
        <v>1072.8</v>
      </c>
      <c r="V574" s="465">
        <v>12240</v>
      </c>
      <c r="W574" s="466">
        <v>0</v>
      </c>
      <c r="X574" s="467">
        <v>1</v>
      </c>
      <c r="Y574" s="466">
        <v>19969.2</v>
      </c>
      <c r="Z574" s="468" t="s">
        <v>516</v>
      </c>
      <c r="AA574" s="466">
        <v>94510.8</v>
      </c>
      <c r="AB574" s="466">
        <v>94510.8</v>
      </c>
      <c r="AC574" s="467">
        <v>0</v>
      </c>
      <c r="AD574" s="466">
        <v>0</v>
      </c>
      <c r="AE574" s="468" t="s">
        <v>516</v>
      </c>
      <c r="AF574" s="466">
        <v>0</v>
      </c>
      <c r="AG574" s="466">
        <v>0</v>
      </c>
      <c r="AH574" s="466">
        <v>11628.55</v>
      </c>
      <c r="AI574" s="466">
        <v>9430.7199999999993</v>
      </c>
      <c r="AJ574" s="469" t="s">
        <v>1481</v>
      </c>
      <c r="AK574" s="470" t="s">
        <v>1482</v>
      </c>
      <c r="AL574" s="471" t="s">
        <v>5689</v>
      </c>
      <c r="AM574" s="470" t="s">
        <v>13262</v>
      </c>
      <c r="AN574" s="470" t="s">
        <v>13261</v>
      </c>
      <c r="AO574" s="470" t="s">
        <v>5690</v>
      </c>
      <c r="AP574" s="470" t="s">
        <v>5691</v>
      </c>
      <c r="AQ574" s="470" t="s">
        <v>5686</v>
      </c>
      <c r="AR574" s="472" t="s">
        <v>515</v>
      </c>
      <c r="AS574" s="473" t="s">
        <v>1385</v>
      </c>
      <c r="AT574" s="472" t="s">
        <v>1390</v>
      </c>
      <c r="AU574" s="472" t="s">
        <v>420</v>
      </c>
      <c r="AV574" s="472">
        <v>2020</v>
      </c>
      <c r="AW574" s="474" t="s">
        <v>15078</v>
      </c>
      <c r="AX574" s="475" t="s">
        <v>15079</v>
      </c>
      <c r="AY574" s="515">
        <v>1</v>
      </c>
      <c r="AZ574" s="474" t="s">
        <v>15079</v>
      </c>
      <c r="BA574" s="472" t="s">
        <v>1390</v>
      </c>
      <c r="BB574" s="472" t="s">
        <v>1385</v>
      </c>
      <c r="BC574" s="472" t="s">
        <v>1385</v>
      </c>
      <c r="BD574" s="472" t="s">
        <v>1385</v>
      </c>
      <c r="BE574" s="472" t="s">
        <v>1385</v>
      </c>
      <c r="BF574" s="472">
        <v>19969.2</v>
      </c>
      <c r="BG574" s="472">
        <v>0</v>
      </c>
      <c r="BH574" s="472" t="s">
        <v>1385</v>
      </c>
      <c r="BI574" s="510">
        <v>0</v>
      </c>
      <c r="BJ574" s="510">
        <v>0</v>
      </c>
      <c r="BK574" s="510">
        <v>0</v>
      </c>
      <c r="BL574" s="510">
        <v>0</v>
      </c>
      <c r="BM574" s="510">
        <v>0</v>
      </c>
      <c r="BN574" s="510">
        <v>3500</v>
      </c>
      <c r="BO574" s="510">
        <v>0</v>
      </c>
      <c r="BP574" s="510">
        <v>0</v>
      </c>
      <c r="BQ574" s="510">
        <v>0</v>
      </c>
      <c r="BR574" s="510">
        <v>0</v>
      </c>
      <c r="BS574" s="510">
        <v>0</v>
      </c>
      <c r="BT574" s="510">
        <v>0</v>
      </c>
      <c r="BU574" s="510">
        <v>0</v>
      </c>
      <c r="BV574" s="510">
        <v>0</v>
      </c>
      <c r="BW574" s="510">
        <v>0</v>
      </c>
      <c r="BX574" s="510">
        <v>30000</v>
      </c>
      <c r="BY574" s="1011">
        <v>0</v>
      </c>
      <c r="BZ574" s="510">
        <v>0</v>
      </c>
      <c r="CA574" s="1011">
        <v>0</v>
      </c>
      <c r="CB574" s="510">
        <v>0</v>
      </c>
      <c r="CC574" s="1011">
        <v>0</v>
      </c>
      <c r="CD574" s="510">
        <v>0</v>
      </c>
      <c r="CE574" s="1011">
        <v>0</v>
      </c>
      <c r="CF574" s="510">
        <v>44541.599999999999</v>
      </c>
      <c r="CG574" s="1011">
        <v>0</v>
      </c>
      <c r="CH574" s="510">
        <v>0</v>
      </c>
      <c r="CI574" s="1011">
        <v>0</v>
      </c>
    </row>
    <row r="575" spans="1:87" x14ac:dyDescent="0.2">
      <c r="A575" s="449">
        <v>84</v>
      </c>
      <c r="B575" s="453">
        <v>90620</v>
      </c>
      <c r="C575" s="454" t="s">
        <v>5692</v>
      </c>
      <c r="D575" s="454" t="s">
        <v>1390</v>
      </c>
      <c r="E575" s="454" t="s">
        <v>5693</v>
      </c>
      <c r="F575" s="454" t="s">
        <v>521</v>
      </c>
      <c r="G575" s="454" t="s">
        <v>13263</v>
      </c>
      <c r="H575" s="455">
        <v>56574924000156</v>
      </c>
      <c r="I575" s="462">
        <v>31715</v>
      </c>
      <c r="J575" s="457">
        <v>37549987</v>
      </c>
      <c r="K575" s="454" t="s">
        <v>5694</v>
      </c>
      <c r="L575" s="458">
        <v>318</v>
      </c>
      <c r="M575" s="454" t="s">
        <v>5695</v>
      </c>
      <c r="N575" s="459">
        <v>4855340</v>
      </c>
      <c r="O575" s="460">
        <v>55285666</v>
      </c>
      <c r="P575" s="462">
        <v>108238</v>
      </c>
      <c r="Q575" s="462">
        <v>30</v>
      </c>
      <c r="R575" s="462">
        <v>43934</v>
      </c>
      <c r="S575" s="463">
        <v>503</v>
      </c>
      <c r="T575" s="464">
        <v>3.6</v>
      </c>
      <c r="U575" s="465">
        <v>1810.8</v>
      </c>
      <c r="V575" s="465">
        <v>16560</v>
      </c>
      <c r="W575" s="466">
        <v>0</v>
      </c>
      <c r="X575" s="467">
        <v>1</v>
      </c>
      <c r="Y575" s="466">
        <v>27556.2</v>
      </c>
      <c r="Z575" s="468" t="s">
        <v>516</v>
      </c>
      <c r="AA575" s="466">
        <v>102760.2</v>
      </c>
      <c r="AB575" s="466">
        <v>102760.2</v>
      </c>
      <c r="AC575" s="467">
        <v>0</v>
      </c>
      <c r="AD575" s="466">
        <v>0</v>
      </c>
      <c r="AE575" s="468" t="s">
        <v>516</v>
      </c>
      <c r="AF575" s="466">
        <v>0</v>
      </c>
      <c r="AG575" s="466">
        <v>0</v>
      </c>
      <c r="AH575" s="466">
        <v>16355.81</v>
      </c>
      <c r="AI575" s="466">
        <v>1626.64</v>
      </c>
      <c r="AJ575" s="469" t="s">
        <v>2546</v>
      </c>
      <c r="AK575" s="470" t="s">
        <v>2966</v>
      </c>
      <c r="AL575" s="471" t="s">
        <v>5696</v>
      </c>
      <c r="AM575" s="470" t="s">
        <v>3381</v>
      </c>
      <c r="AN575" s="470" t="s">
        <v>1385</v>
      </c>
      <c r="AO575" s="470" t="s">
        <v>14932</v>
      </c>
      <c r="AP575" s="470" t="s">
        <v>5697</v>
      </c>
      <c r="AQ575" s="470" t="s">
        <v>5692</v>
      </c>
      <c r="AR575" s="472" t="s">
        <v>515</v>
      </c>
      <c r="AS575" s="473" t="s">
        <v>1385</v>
      </c>
      <c r="AT575" s="472" t="s">
        <v>1390</v>
      </c>
      <c r="AU575" s="472" t="s">
        <v>420</v>
      </c>
      <c r="AV575" s="472">
        <v>2020</v>
      </c>
      <c r="AW575" s="474" t="s">
        <v>15078</v>
      </c>
      <c r="AX575" s="475" t="s">
        <v>15079</v>
      </c>
      <c r="AY575" s="515">
        <v>1</v>
      </c>
      <c r="AZ575" s="474" t="s">
        <v>15079</v>
      </c>
      <c r="BA575" s="472" t="s">
        <v>1390</v>
      </c>
      <c r="BB575" s="472" t="s">
        <v>1385</v>
      </c>
      <c r="BC575" s="472" t="s">
        <v>1385</v>
      </c>
      <c r="BD575" s="472" t="s">
        <v>1385</v>
      </c>
      <c r="BE575" s="472" t="s">
        <v>1385</v>
      </c>
      <c r="BF575" s="472">
        <v>27556.2</v>
      </c>
      <c r="BG575" s="472">
        <v>0</v>
      </c>
      <c r="BH575" s="472" t="s">
        <v>1385</v>
      </c>
      <c r="BI575" s="510">
        <v>0</v>
      </c>
      <c r="BJ575" s="510">
        <v>0</v>
      </c>
      <c r="BK575" s="510">
        <v>0</v>
      </c>
      <c r="BL575" s="510">
        <v>0</v>
      </c>
      <c r="BM575" s="510">
        <v>0</v>
      </c>
      <c r="BN575" s="510">
        <v>4000</v>
      </c>
      <c r="BO575" s="510">
        <v>0</v>
      </c>
      <c r="BP575" s="510">
        <v>0</v>
      </c>
      <c r="BQ575" s="510">
        <v>0</v>
      </c>
      <c r="BR575" s="510">
        <v>0</v>
      </c>
      <c r="BS575" s="510">
        <v>0</v>
      </c>
      <c r="BT575" s="510">
        <v>0</v>
      </c>
      <c r="BU575" s="510">
        <v>0</v>
      </c>
      <c r="BV575" s="510">
        <v>0</v>
      </c>
      <c r="BW575" s="510">
        <v>0</v>
      </c>
      <c r="BX575" s="510">
        <v>30000</v>
      </c>
      <c r="BY575" s="1011">
        <v>0</v>
      </c>
      <c r="BZ575" s="510">
        <v>0</v>
      </c>
      <c r="CA575" s="1011">
        <v>0</v>
      </c>
      <c r="CB575" s="510">
        <v>0</v>
      </c>
      <c r="CC575" s="1011">
        <v>0</v>
      </c>
      <c r="CD575" s="510">
        <v>0</v>
      </c>
      <c r="CE575" s="1011">
        <v>0</v>
      </c>
      <c r="CF575" s="510">
        <v>45204</v>
      </c>
      <c r="CG575" s="1011">
        <v>0</v>
      </c>
      <c r="CH575" s="510">
        <v>0</v>
      </c>
      <c r="CI575" s="1011">
        <v>0</v>
      </c>
    </row>
    <row r="576" spans="1:87" x14ac:dyDescent="0.2">
      <c r="A576" s="449">
        <v>91</v>
      </c>
      <c r="B576" s="453">
        <v>90638</v>
      </c>
      <c r="C576" s="454" t="s">
        <v>5698</v>
      </c>
      <c r="D576" s="454" t="s">
        <v>1390</v>
      </c>
      <c r="E576" s="454" t="s">
        <v>5699</v>
      </c>
      <c r="F576" s="454" t="s">
        <v>521</v>
      </c>
      <c r="G576" s="454" t="s">
        <v>13264</v>
      </c>
      <c r="H576" s="455">
        <v>56094386000100</v>
      </c>
      <c r="I576" s="462">
        <v>31623</v>
      </c>
      <c r="J576" s="457">
        <v>37550250</v>
      </c>
      <c r="K576" s="454" t="s">
        <v>5700</v>
      </c>
      <c r="L576" s="458">
        <v>57</v>
      </c>
      <c r="M576" s="454" t="s">
        <v>1625</v>
      </c>
      <c r="N576" s="459">
        <v>4815120</v>
      </c>
      <c r="O576" s="460">
        <v>56666106</v>
      </c>
      <c r="P576" s="462">
        <v>101211</v>
      </c>
      <c r="Q576" s="462">
        <v>27</v>
      </c>
      <c r="R576" s="462">
        <v>43934</v>
      </c>
      <c r="S576" s="463">
        <v>394</v>
      </c>
      <c r="T576" s="464">
        <v>3.6</v>
      </c>
      <c r="U576" s="465">
        <v>1418.4</v>
      </c>
      <c r="V576" s="465">
        <v>13680</v>
      </c>
      <c r="W576" s="466">
        <v>0</v>
      </c>
      <c r="X576" s="467">
        <v>1</v>
      </c>
      <c r="Y576" s="466">
        <v>22647.599999999999</v>
      </c>
      <c r="Z576" s="468" t="s">
        <v>516</v>
      </c>
      <c r="AA576" s="466">
        <v>97642.8</v>
      </c>
      <c r="AB576" s="466">
        <v>97642.8</v>
      </c>
      <c r="AC576" s="467">
        <v>0</v>
      </c>
      <c r="AD576" s="466">
        <v>0</v>
      </c>
      <c r="AE576" s="468" t="s">
        <v>516</v>
      </c>
      <c r="AF576" s="466">
        <v>0</v>
      </c>
      <c r="AG576" s="466">
        <v>0</v>
      </c>
      <c r="AH576" s="466">
        <v>9836.2999999999993</v>
      </c>
      <c r="AI576" s="466">
        <v>4529.5200000000004</v>
      </c>
      <c r="AJ576" s="469" t="s">
        <v>1624</v>
      </c>
      <c r="AK576" s="470" t="s">
        <v>1625</v>
      </c>
      <c r="AL576" s="471" t="s">
        <v>5701</v>
      </c>
      <c r="AM576" s="470" t="s">
        <v>5702</v>
      </c>
      <c r="AN576" s="470" t="s">
        <v>1385</v>
      </c>
      <c r="AO576" s="470" t="s">
        <v>5703</v>
      </c>
      <c r="AP576" s="470" t="s">
        <v>5704</v>
      </c>
      <c r="AQ576" s="470" t="s">
        <v>5698</v>
      </c>
      <c r="AR576" s="472" t="s">
        <v>515</v>
      </c>
      <c r="AS576" s="473" t="s">
        <v>1385</v>
      </c>
      <c r="AT576" s="472" t="s">
        <v>1390</v>
      </c>
      <c r="AU576" s="472" t="s">
        <v>420</v>
      </c>
      <c r="AV576" s="472">
        <v>2020</v>
      </c>
      <c r="AW576" s="474" t="s">
        <v>15078</v>
      </c>
      <c r="AX576" s="475" t="s">
        <v>15079</v>
      </c>
      <c r="AY576" s="515">
        <v>1</v>
      </c>
      <c r="AZ576" s="474" t="s">
        <v>15079</v>
      </c>
      <c r="BA576" s="472" t="s">
        <v>1390</v>
      </c>
      <c r="BB576" s="472" t="s">
        <v>1385</v>
      </c>
      <c r="BC576" s="472" t="s">
        <v>1385</v>
      </c>
      <c r="BD576" s="472" t="s">
        <v>1385</v>
      </c>
      <c r="BE576" s="472" t="s">
        <v>1385</v>
      </c>
      <c r="BF576" s="472">
        <v>22647.599999999999</v>
      </c>
      <c r="BG576" s="472">
        <v>0</v>
      </c>
      <c r="BH576" s="472" t="s">
        <v>1385</v>
      </c>
      <c r="BI576" s="510">
        <v>0</v>
      </c>
      <c r="BJ576" s="510">
        <v>0</v>
      </c>
      <c r="BK576" s="510">
        <v>0</v>
      </c>
      <c r="BL576" s="510">
        <v>0</v>
      </c>
      <c r="BM576" s="510">
        <v>0</v>
      </c>
      <c r="BN576" s="510">
        <v>3500</v>
      </c>
      <c r="BO576" s="510">
        <v>0</v>
      </c>
      <c r="BP576" s="510">
        <v>0</v>
      </c>
      <c r="BQ576" s="510">
        <v>0</v>
      </c>
      <c r="BR576" s="510">
        <v>0</v>
      </c>
      <c r="BS576" s="510">
        <v>0</v>
      </c>
      <c r="BT576" s="510">
        <v>0</v>
      </c>
      <c r="BU576" s="510">
        <v>0</v>
      </c>
      <c r="BV576" s="510">
        <v>0</v>
      </c>
      <c r="BW576" s="510">
        <v>0</v>
      </c>
      <c r="BX576" s="510">
        <v>30000</v>
      </c>
      <c r="BY576" s="1011">
        <v>0</v>
      </c>
      <c r="BZ576" s="510">
        <v>0</v>
      </c>
      <c r="CA576" s="1011">
        <v>0</v>
      </c>
      <c r="CB576" s="510">
        <v>0</v>
      </c>
      <c r="CC576" s="1011">
        <v>0</v>
      </c>
      <c r="CD576" s="510">
        <v>0</v>
      </c>
      <c r="CE576" s="1011">
        <v>0</v>
      </c>
      <c r="CF576" s="510">
        <v>44995.199999999997</v>
      </c>
      <c r="CG576" s="1011">
        <v>0</v>
      </c>
      <c r="CH576" s="510">
        <v>0</v>
      </c>
      <c r="CI576" s="1011">
        <v>0</v>
      </c>
    </row>
    <row r="577" spans="1:87" x14ac:dyDescent="0.2">
      <c r="A577" s="449">
        <v>75</v>
      </c>
      <c r="B577" s="453">
        <v>90646</v>
      </c>
      <c r="C577" s="454" t="s">
        <v>5705</v>
      </c>
      <c r="D577" s="454" t="s">
        <v>1390</v>
      </c>
      <c r="E577" s="454" t="s">
        <v>5706</v>
      </c>
      <c r="F577" s="454" t="s">
        <v>521</v>
      </c>
      <c r="G577" s="454" t="s">
        <v>13265</v>
      </c>
      <c r="H577" s="455">
        <v>56097694000181</v>
      </c>
      <c r="I577" s="462">
        <v>31630</v>
      </c>
      <c r="J577" s="457">
        <v>37550080</v>
      </c>
      <c r="K577" s="454" t="s">
        <v>5707</v>
      </c>
      <c r="L577" s="458">
        <v>104</v>
      </c>
      <c r="M577" s="454" t="s">
        <v>5708</v>
      </c>
      <c r="N577" s="459">
        <v>4845200</v>
      </c>
      <c r="O577" s="460">
        <v>55234447</v>
      </c>
      <c r="P577" s="462">
        <v>88873</v>
      </c>
      <c r="Q577" s="462">
        <v>38</v>
      </c>
      <c r="R577" s="462">
        <v>43934</v>
      </c>
      <c r="S577" s="463">
        <v>290</v>
      </c>
      <c r="T577" s="464">
        <v>3.6</v>
      </c>
      <c r="U577" s="465">
        <v>1044</v>
      </c>
      <c r="V577" s="465">
        <v>12240</v>
      </c>
      <c r="W577" s="466">
        <v>0</v>
      </c>
      <c r="X577" s="467">
        <v>1</v>
      </c>
      <c r="Y577" s="466">
        <v>19926</v>
      </c>
      <c r="Z577" s="468" t="s">
        <v>516</v>
      </c>
      <c r="AA577" s="466">
        <v>91522.8</v>
      </c>
      <c r="AB577" s="466">
        <v>91522.8</v>
      </c>
      <c r="AC577" s="467">
        <v>0</v>
      </c>
      <c r="AD577" s="466">
        <v>0</v>
      </c>
      <c r="AE577" s="468" t="s">
        <v>516</v>
      </c>
      <c r="AF577" s="466">
        <v>0</v>
      </c>
      <c r="AG577" s="466">
        <v>0</v>
      </c>
      <c r="AH577" s="466">
        <v>8232.66</v>
      </c>
      <c r="AI577" s="466">
        <v>1503.67</v>
      </c>
      <c r="AJ577" s="469" t="s">
        <v>1624</v>
      </c>
      <c r="AK577" s="470" t="s">
        <v>1625</v>
      </c>
      <c r="AL577" s="471" t="s">
        <v>5709</v>
      </c>
      <c r="AM577" s="470" t="s">
        <v>5710</v>
      </c>
      <c r="AN577" s="470" t="s">
        <v>1385</v>
      </c>
      <c r="AO577" s="470" t="s">
        <v>14924</v>
      </c>
      <c r="AP577" s="470" t="s">
        <v>5711</v>
      </c>
      <c r="AQ577" s="470" t="s">
        <v>5705</v>
      </c>
      <c r="AR577" s="472" t="s">
        <v>515</v>
      </c>
      <c r="AS577" s="473" t="s">
        <v>1385</v>
      </c>
      <c r="AT577" s="472" t="s">
        <v>1390</v>
      </c>
      <c r="AU577" s="472" t="s">
        <v>420</v>
      </c>
      <c r="AV577" s="472">
        <v>2020</v>
      </c>
      <c r="AW577" s="474" t="s">
        <v>15078</v>
      </c>
      <c r="AX577" s="475" t="s">
        <v>15079</v>
      </c>
      <c r="AY577" s="515">
        <v>1</v>
      </c>
      <c r="AZ577" s="474" t="s">
        <v>15079</v>
      </c>
      <c r="BA577" s="472" t="s">
        <v>1390</v>
      </c>
      <c r="BB577" s="472" t="s">
        <v>1385</v>
      </c>
      <c r="BC577" s="472" t="s">
        <v>1385</v>
      </c>
      <c r="BD577" s="509" t="s">
        <v>1385</v>
      </c>
      <c r="BE577" s="472" t="s">
        <v>1385</v>
      </c>
      <c r="BF577" s="509">
        <v>19926</v>
      </c>
      <c r="BG577" s="509">
        <v>0</v>
      </c>
      <c r="BH577" s="472" t="s">
        <v>1385</v>
      </c>
      <c r="BI577" s="510">
        <v>0</v>
      </c>
      <c r="BJ577" s="510">
        <v>0</v>
      </c>
      <c r="BK577" s="510">
        <v>0</v>
      </c>
      <c r="BL577" s="510">
        <v>0</v>
      </c>
      <c r="BM577" s="510">
        <v>0</v>
      </c>
      <c r="BN577" s="510">
        <v>3500</v>
      </c>
      <c r="BO577" s="510">
        <v>0</v>
      </c>
      <c r="BP577" s="510">
        <v>0</v>
      </c>
      <c r="BQ577" s="510">
        <v>0</v>
      </c>
      <c r="BR577" s="510">
        <v>0</v>
      </c>
      <c r="BS577" s="510">
        <v>0</v>
      </c>
      <c r="BT577" s="510">
        <v>0</v>
      </c>
      <c r="BU577" s="510">
        <v>0</v>
      </c>
      <c r="BV577" s="510">
        <v>0</v>
      </c>
      <c r="BW577" s="510">
        <v>0</v>
      </c>
      <c r="BX577" s="510">
        <v>30000</v>
      </c>
      <c r="BY577" s="1011">
        <v>0</v>
      </c>
      <c r="BZ577" s="510">
        <v>0</v>
      </c>
      <c r="CA577" s="1011">
        <v>0</v>
      </c>
      <c r="CB577" s="510">
        <v>0</v>
      </c>
      <c r="CC577" s="1011">
        <v>0</v>
      </c>
      <c r="CD577" s="510">
        <v>0</v>
      </c>
      <c r="CE577" s="1011">
        <v>0</v>
      </c>
      <c r="CF577" s="510">
        <v>41596.800000000003</v>
      </c>
      <c r="CG577" s="1011">
        <v>0</v>
      </c>
      <c r="CH577" s="510">
        <v>0</v>
      </c>
      <c r="CI577" s="1011">
        <v>0</v>
      </c>
    </row>
    <row r="578" spans="1:87" x14ac:dyDescent="0.2">
      <c r="A578" s="449">
        <v>88</v>
      </c>
      <c r="B578" s="453">
        <v>90654</v>
      </c>
      <c r="C578" s="454" t="s">
        <v>5712</v>
      </c>
      <c r="D578" s="454" t="s">
        <v>1390</v>
      </c>
      <c r="E578" s="454" t="s">
        <v>5713</v>
      </c>
      <c r="F578" s="454" t="s">
        <v>518</v>
      </c>
      <c r="G578" s="454" t="s">
        <v>13266</v>
      </c>
      <c r="H578" s="455">
        <v>50996404000155</v>
      </c>
      <c r="I578" s="462">
        <v>30223</v>
      </c>
      <c r="J578" s="457">
        <v>37470434</v>
      </c>
      <c r="K578" s="454" t="s">
        <v>5715</v>
      </c>
      <c r="L578" s="458">
        <v>149</v>
      </c>
      <c r="M578" s="454" t="s">
        <v>5716</v>
      </c>
      <c r="N578" s="459">
        <v>3577040</v>
      </c>
      <c r="O578" s="460">
        <v>27413876</v>
      </c>
      <c r="P578" s="462">
        <v>47204</v>
      </c>
      <c r="Q578" s="462">
        <v>57</v>
      </c>
      <c r="R578" s="462">
        <v>43934</v>
      </c>
      <c r="S578" s="463">
        <v>379</v>
      </c>
      <c r="T578" s="464">
        <v>3.6</v>
      </c>
      <c r="U578" s="465">
        <v>1364.4</v>
      </c>
      <c r="V578" s="465">
        <v>13680</v>
      </c>
      <c r="W578" s="466">
        <v>0</v>
      </c>
      <c r="X578" s="467">
        <v>1</v>
      </c>
      <c r="Y578" s="466">
        <v>22566.6</v>
      </c>
      <c r="Z578" s="468" t="s">
        <v>516</v>
      </c>
      <c r="AA578" s="466">
        <v>97792.2</v>
      </c>
      <c r="AB578" s="466">
        <v>97792.2</v>
      </c>
      <c r="AC578" s="467">
        <v>0</v>
      </c>
      <c r="AD578" s="466">
        <v>0</v>
      </c>
      <c r="AE578" s="468" t="s">
        <v>516</v>
      </c>
      <c r="AF578" s="466">
        <v>0</v>
      </c>
      <c r="AG578" s="466">
        <v>0</v>
      </c>
      <c r="AH578" s="466">
        <v>21877.49</v>
      </c>
      <c r="AI578" s="466">
        <v>2.72</v>
      </c>
      <c r="AJ578" s="469" t="s">
        <v>5717</v>
      </c>
      <c r="AK578" s="470" t="s">
        <v>5718</v>
      </c>
      <c r="AL578" s="471" t="s">
        <v>5719</v>
      </c>
      <c r="AM578" s="470" t="s">
        <v>13267</v>
      </c>
      <c r="AN578" s="470" t="s">
        <v>5714</v>
      </c>
      <c r="AO578" s="470" t="s">
        <v>14992</v>
      </c>
      <c r="AP578" s="470" t="s">
        <v>5720</v>
      </c>
      <c r="AQ578" s="470" t="s">
        <v>5712</v>
      </c>
      <c r="AR578" s="472" t="s">
        <v>515</v>
      </c>
      <c r="AS578" s="473" t="s">
        <v>1385</v>
      </c>
      <c r="AT578" s="472" t="s">
        <v>1390</v>
      </c>
      <c r="AU578" s="472" t="s">
        <v>420</v>
      </c>
      <c r="AV578" s="472">
        <v>2020</v>
      </c>
      <c r="AW578" s="474" t="s">
        <v>15078</v>
      </c>
      <c r="AX578" s="475" t="s">
        <v>15079</v>
      </c>
      <c r="AY578" s="515">
        <v>1</v>
      </c>
      <c r="AZ578" s="474" t="s">
        <v>15079</v>
      </c>
      <c r="BA578" s="472" t="s">
        <v>1390</v>
      </c>
      <c r="BB578" s="472" t="s">
        <v>1385</v>
      </c>
      <c r="BC578" s="472" t="s">
        <v>1385</v>
      </c>
      <c r="BD578" s="472" t="s">
        <v>1385</v>
      </c>
      <c r="BE578" s="472" t="s">
        <v>1385</v>
      </c>
      <c r="BF578" s="509">
        <v>22566.6</v>
      </c>
      <c r="BG578" s="509">
        <v>0</v>
      </c>
      <c r="BH578" s="472" t="s">
        <v>1385</v>
      </c>
      <c r="BI578" s="510">
        <v>0</v>
      </c>
      <c r="BJ578" s="510">
        <v>0</v>
      </c>
      <c r="BK578" s="510">
        <v>0</v>
      </c>
      <c r="BL578" s="510">
        <v>0</v>
      </c>
      <c r="BM578" s="510">
        <v>0</v>
      </c>
      <c r="BN578" s="510">
        <v>3500</v>
      </c>
      <c r="BO578" s="510">
        <v>0</v>
      </c>
      <c r="BP578" s="510">
        <v>0</v>
      </c>
      <c r="BQ578" s="510">
        <v>0</v>
      </c>
      <c r="BR578" s="510">
        <v>0</v>
      </c>
      <c r="BS578" s="510">
        <v>0</v>
      </c>
      <c r="BT578" s="510">
        <v>0</v>
      </c>
      <c r="BU578" s="510">
        <v>0</v>
      </c>
      <c r="BV578" s="510">
        <v>0</v>
      </c>
      <c r="BW578" s="510">
        <v>0</v>
      </c>
      <c r="BX578" s="510">
        <v>30000</v>
      </c>
      <c r="BY578" s="1011">
        <v>0</v>
      </c>
      <c r="BZ578" s="510">
        <v>0</v>
      </c>
      <c r="CA578" s="1011">
        <v>0</v>
      </c>
      <c r="CB578" s="510">
        <v>0</v>
      </c>
      <c r="CC578" s="1011">
        <v>0</v>
      </c>
      <c r="CD578" s="510">
        <v>0</v>
      </c>
      <c r="CE578" s="1011">
        <v>0</v>
      </c>
      <c r="CF578" s="510">
        <v>45225.599999999999</v>
      </c>
      <c r="CG578" s="1011">
        <v>0</v>
      </c>
      <c r="CH578" s="510">
        <v>0</v>
      </c>
      <c r="CI578" s="1011">
        <v>0</v>
      </c>
    </row>
    <row r="579" spans="1:87" x14ac:dyDescent="0.2">
      <c r="A579" s="449">
        <v>81</v>
      </c>
      <c r="B579" s="453">
        <v>90662</v>
      </c>
      <c r="C579" s="454" t="s">
        <v>5721</v>
      </c>
      <c r="D579" s="454" t="s">
        <v>1390</v>
      </c>
      <c r="E579" s="454" t="s">
        <v>5722</v>
      </c>
      <c r="F579" s="454" t="s">
        <v>518</v>
      </c>
      <c r="G579" s="454" t="s">
        <v>13268</v>
      </c>
      <c r="H579" s="455">
        <v>52024106000129</v>
      </c>
      <c r="I579" s="462">
        <v>30202</v>
      </c>
      <c r="J579" s="457">
        <v>37469240</v>
      </c>
      <c r="K579" s="454" t="s">
        <v>5724</v>
      </c>
      <c r="L579" s="458">
        <v>263</v>
      </c>
      <c r="M579" s="454" t="s">
        <v>1775</v>
      </c>
      <c r="N579" s="459">
        <v>3584000</v>
      </c>
      <c r="O579" s="460">
        <v>27410952</v>
      </c>
      <c r="P579" s="462">
        <v>47115</v>
      </c>
      <c r="Q579" s="462">
        <v>50</v>
      </c>
      <c r="R579" s="462">
        <v>43934</v>
      </c>
      <c r="S579" s="463">
        <v>269</v>
      </c>
      <c r="T579" s="464">
        <v>3.6</v>
      </c>
      <c r="U579" s="465">
        <v>968.4</v>
      </c>
      <c r="V579" s="465">
        <v>12240</v>
      </c>
      <c r="W579" s="466">
        <v>0</v>
      </c>
      <c r="X579" s="467">
        <v>1</v>
      </c>
      <c r="Y579" s="466">
        <v>19812.599999999999</v>
      </c>
      <c r="Z579" s="468" t="s">
        <v>516</v>
      </c>
      <c r="AA579" s="466">
        <v>91121.4</v>
      </c>
      <c r="AB579" s="466">
        <v>91121.4</v>
      </c>
      <c r="AC579" s="467">
        <v>0</v>
      </c>
      <c r="AD579" s="466">
        <v>0</v>
      </c>
      <c r="AE579" s="468" t="s">
        <v>516</v>
      </c>
      <c r="AF579" s="466">
        <v>0</v>
      </c>
      <c r="AG579" s="466">
        <v>0</v>
      </c>
      <c r="AH579" s="466">
        <v>14979.89</v>
      </c>
      <c r="AI579" s="466">
        <v>211</v>
      </c>
      <c r="AJ579" s="469" t="s">
        <v>1560</v>
      </c>
      <c r="AK579" s="470" t="s">
        <v>1776</v>
      </c>
      <c r="AL579" s="471" t="s">
        <v>5725</v>
      </c>
      <c r="AM579" s="470" t="s">
        <v>13269</v>
      </c>
      <c r="AN579" s="470" t="s">
        <v>5723</v>
      </c>
      <c r="AO579" s="470" t="s">
        <v>14993</v>
      </c>
      <c r="AP579" s="470" t="s">
        <v>5726</v>
      </c>
      <c r="AQ579" s="470" t="s">
        <v>5721</v>
      </c>
      <c r="AR579" s="472" t="s">
        <v>515</v>
      </c>
      <c r="AS579" s="473" t="s">
        <v>1385</v>
      </c>
      <c r="AT579" s="472" t="s">
        <v>1390</v>
      </c>
      <c r="AU579" s="472" t="s">
        <v>420</v>
      </c>
      <c r="AV579" s="472">
        <v>2020</v>
      </c>
      <c r="AW579" s="474" t="s">
        <v>15078</v>
      </c>
      <c r="AX579" s="475" t="s">
        <v>15079</v>
      </c>
      <c r="AY579" s="515">
        <v>1</v>
      </c>
      <c r="AZ579" s="474" t="s">
        <v>15079</v>
      </c>
      <c r="BA579" s="472" t="s">
        <v>1390</v>
      </c>
      <c r="BB579" s="472" t="s">
        <v>1385</v>
      </c>
      <c r="BC579" s="472" t="s">
        <v>1385</v>
      </c>
      <c r="BD579" s="472" t="s">
        <v>1385</v>
      </c>
      <c r="BE579" s="472" t="s">
        <v>1385</v>
      </c>
      <c r="BF579" s="472">
        <v>19812.599999999999</v>
      </c>
      <c r="BG579" s="472">
        <v>0</v>
      </c>
      <c r="BH579" s="472" t="s">
        <v>1385</v>
      </c>
      <c r="BI579" s="510">
        <v>0</v>
      </c>
      <c r="BJ579" s="510">
        <v>791</v>
      </c>
      <c r="BK579" s="510">
        <v>0</v>
      </c>
      <c r="BL579" s="510">
        <v>0</v>
      </c>
      <c r="BM579" s="510">
        <v>0</v>
      </c>
      <c r="BN579" s="510">
        <v>3500</v>
      </c>
      <c r="BO579" s="510">
        <v>0</v>
      </c>
      <c r="BP579" s="510">
        <v>0</v>
      </c>
      <c r="BQ579" s="510">
        <v>0</v>
      </c>
      <c r="BR579" s="510">
        <v>0</v>
      </c>
      <c r="BS579" s="510">
        <v>0</v>
      </c>
      <c r="BT579" s="510">
        <v>0</v>
      </c>
      <c r="BU579" s="510">
        <v>0</v>
      </c>
      <c r="BV579" s="510">
        <v>0</v>
      </c>
      <c r="BW579" s="510">
        <v>0</v>
      </c>
      <c r="BX579" s="510">
        <v>30000</v>
      </c>
      <c r="BY579" s="1011">
        <v>0</v>
      </c>
      <c r="BZ579" s="510">
        <v>0</v>
      </c>
      <c r="CA579" s="1011">
        <v>0</v>
      </c>
      <c r="CB579" s="510">
        <v>0</v>
      </c>
      <c r="CC579" s="1011">
        <v>0</v>
      </c>
      <c r="CD579" s="510">
        <v>0</v>
      </c>
      <c r="CE579" s="1011">
        <v>0</v>
      </c>
      <c r="CF579" s="510">
        <v>41308.800000000003</v>
      </c>
      <c r="CG579" s="1011">
        <v>0</v>
      </c>
      <c r="CH579" s="510">
        <v>0</v>
      </c>
      <c r="CI579" s="1011">
        <v>0</v>
      </c>
    </row>
    <row r="580" spans="1:87" x14ac:dyDescent="0.2">
      <c r="A580" s="449">
        <v>98</v>
      </c>
      <c r="B580" s="453">
        <v>90671</v>
      </c>
      <c r="C580" s="454" t="s">
        <v>5727</v>
      </c>
      <c r="D580" s="454" t="s">
        <v>1390</v>
      </c>
      <c r="E580" s="454" t="s">
        <v>5728</v>
      </c>
      <c r="F580" s="454" t="s">
        <v>527</v>
      </c>
      <c r="G580" s="454" t="s">
        <v>13270</v>
      </c>
      <c r="H580" s="455">
        <v>52037132000191</v>
      </c>
      <c r="I580" s="462">
        <v>30274</v>
      </c>
      <c r="J580" s="457">
        <v>37555120</v>
      </c>
      <c r="K580" s="454" t="s">
        <v>5729</v>
      </c>
      <c r="L580" s="458">
        <v>44</v>
      </c>
      <c r="M580" s="454" t="s">
        <v>5730</v>
      </c>
      <c r="N580" s="459">
        <v>3590010</v>
      </c>
      <c r="O580" s="460">
        <v>27426405</v>
      </c>
      <c r="P580" s="462">
        <v>186700</v>
      </c>
      <c r="Q580" s="462">
        <v>59</v>
      </c>
      <c r="R580" s="462">
        <v>43917</v>
      </c>
      <c r="S580" s="463">
        <v>122</v>
      </c>
      <c r="T580" s="464">
        <v>3.6</v>
      </c>
      <c r="U580" s="465">
        <v>439.2</v>
      </c>
      <c r="V580" s="465">
        <v>10800</v>
      </c>
      <c r="W580" s="466">
        <v>0</v>
      </c>
      <c r="X580" s="467">
        <v>1</v>
      </c>
      <c r="Y580" s="466">
        <v>20098.8</v>
      </c>
      <c r="Z580" s="468" t="s">
        <v>516</v>
      </c>
      <c r="AA580" s="466">
        <v>96501.2</v>
      </c>
      <c r="AB580" s="466">
        <v>96501.2</v>
      </c>
      <c r="AC580" s="467">
        <v>0</v>
      </c>
      <c r="AD580" s="466">
        <v>0</v>
      </c>
      <c r="AE580" s="468" t="s">
        <v>516</v>
      </c>
      <c r="AF580" s="466">
        <v>0</v>
      </c>
      <c r="AG580" s="466">
        <v>0</v>
      </c>
      <c r="AH580" s="466">
        <v>15464.8</v>
      </c>
      <c r="AI580" s="466">
        <v>269.74</v>
      </c>
      <c r="AJ580" s="469" t="s">
        <v>2196</v>
      </c>
      <c r="AK580" s="470" t="s">
        <v>5731</v>
      </c>
      <c r="AL580" s="471" t="s">
        <v>5732</v>
      </c>
      <c r="AM580" s="470" t="s">
        <v>13271</v>
      </c>
      <c r="AN580" s="470" t="s">
        <v>13270</v>
      </c>
      <c r="AO580" s="470" t="s">
        <v>13272</v>
      </c>
      <c r="AP580" s="470" t="s">
        <v>5733</v>
      </c>
      <c r="AQ580" s="470" t="s">
        <v>5727</v>
      </c>
      <c r="AR580" s="472" t="s">
        <v>515</v>
      </c>
      <c r="AS580" s="473" t="s">
        <v>1385</v>
      </c>
      <c r="AT580" s="472" t="s">
        <v>1390</v>
      </c>
      <c r="AU580" s="472" t="s">
        <v>420</v>
      </c>
      <c r="AV580" s="472">
        <v>2020</v>
      </c>
      <c r="AW580" s="474" t="s">
        <v>15078</v>
      </c>
      <c r="AX580" s="475" t="s">
        <v>15079</v>
      </c>
      <c r="AY580" s="515">
        <v>1</v>
      </c>
      <c r="AZ580" s="474" t="s">
        <v>15079</v>
      </c>
      <c r="BA580" s="472" t="s">
        <v>1390</v>
      </c>
      <c r="BB580" s="472" t="s">
        <v>516</v>
      </c>
      <c r="BC580" s="472">
        <v>3</v>
      </c>
      <c r="BD580" s="472">
        <v>2160</v>
      </c>
      <c r="BE580" s="472">
        <v>0</v>
      </c>
      <c r="BF580" s="472">
        <v>20098.8</v>
      </c>
      <c r="BG580" s="472">
        <v>0</v>
      </c>
      <c r="BH580" s="472" t="s">
        <v>1385</v>
      </c>
      <c r="BI580" s="510">
        <v>0</v>
      </c>
      <c r="BJ580" s="510">
        <v>0</v>
      </c>
      <c r="BK580" s="510">
        <v>0</v>
      </c>
      <c r="BL580" s="510">
        <v>0</v>
      </c>
      <c r="BM580" s="510">
        <v>0</v>
      </c>
      <c r="BN580" s="510">
        <v>2000</v>
      </c>
      <c r="BO580" s="510">
        <v>0</v>
      </c>
      <c r="BP580" s="510">
        <v>0</v>
      </c>
      <c r="BQ580" s="510">
        <v>0</v>
      </c>
      <c r="BR580" s="510">
        <v>0</v>
      </c>
      <c r="BS580" s="510">
        <v>0</v>
      </c>
      <c r="BT580" s="510">
        <v>0</v>
      </c>
      <c r="BU580" s="510">
        <v>0</v>
      </c>
      <c r="BV580" s="510">
        <v>0</v>
      </c>
      <c r="BW580" s="510">
        <v>0</v>
      </c>
      <c r="BX580" s="510">
        <v>30000</v>
      </c>
      <c r="BY580" s="1011">
        <v>0</v>
      </c>
      <c r="BZ580" s="510">
        <v>0</v>
      </c>
      <c r="CA580" s="1011">
        <v>0</v>
      </c>
      <c r="CB580" s="510">
        <v>0</v>
      </c>
      <c r="CC580" s="1011">
        <v>0</v>
      </c>
      <c r="CD580" s="510">
        <v>0</v>
      </c>
      <c r="CE580" s="1011">
        <v>0</v>
      </c>
      <c r="CF580" s="510">
        <v>46402.400000000001</v>
      </c>
      <c r="CG580" s="1011">
        <v>0</v>
      </c>
      <c r="CH580" s="510">
        <v>0</v>
      </c>
      <c r="CI580" s="1011">
        <v>0</v>
      </c>
    </row>
    <row r="581" spans="1:87" x14ac:dyDescent="0.2">
      <c r="A581" s="449">
        <v>103</v>
      </c>
      <c r="B581" s="453">
        <v>90689</v>
      </c>
      <c r="C581" s="454" t="s">
        <v>5734</v>
      </c>
      <c r="D581" s="454" t="s">
        <v>1390</v>
      </c>
      <c r="E581" s="454" t="s">
        <v>5735</v>
      </c>
      <c r="F581" s="454" t="s">
        <v>527</v>
      </c>
      <c r="G581" s="454" t="s">
        <v>13273</v>
      </c>
      <c r="H581" s="455">
        <v>52023314000103</v>
      </c>
      <c r="I581" s="462">
        <v>30193</v>
      </c>
      <c r="J581" s="457">
        <v>37605461</v>
      </c>
      <c r="K581" s="454" t="s">
        <v>5736</v>
      </c>
      <c r="L581" s="458">
        <v>644</v>
      </c>
      <c r="M581" s="454" t="s">
        <v>5730</v>
      </c>
      <c r="N581" s="459">
        <v>3590100</v>
      </c>
      <c r="O581" s="460">
        <v>27417293</v>
      </c>
      <c r="P581" s="462">
        <v>187170</v>
      </c>
      <c r="Q581" s="462">
        <v>65</v>
      </c>
      <c r="R581" s="462">
        <v>43917</v>
      </c>
      <c r="S581" s="463">
        <v>126</v>
      </c>
      <c r="T581" s="464">
        <v>3.6</v>
      </c>
      <c r="U581" s="465">
        <v>453.6</v>
      </c>
      <c r="V581" s="465">
        <v>10800</v>
      </c>
      <c r="W581" s="466">
        <v>0</v>
      </c>
      <c r="X581" s="467">
        <v>1</v>
      </c>
      <c r="Y581" s="466">
        <v>16880.400000000001</v>
      </c>
      <c r="Z581" s="468" t="s">
        <v>516</v>
      </c>
      <c r="AA581" s="466">
        <v>84366</v>
      </c>
      <c r="AB581" s="466">
        <v>84366</v>
      </c>
      <c r="AC581" s="467">
        <v>0</v>
      </c>
      <c r="AD581" s="466">
        <v>0</v>
      </c>
      <c r="AE581" s="468" t="s">
        <v>516</v>
      </c>
      <c r="AF581" s="466">
        <v>0</v>
      </c>
      <c r="AG581" s="466">
        <v>0</v>
      </c>
      <c r="AH581" s="466">
        <v>12560.53</v>
      </c>
      <c r="AI581" s="466">
        <v>5256.59</v>
      </c>
      <c r="AJ581" s="469" t="s">
        <v>2196</v>
      </c>
      <c r="AK581" s="470" t="s">
        <v>2197</v>
      </c>
      <c r="AL581" s="471" t="s">
        <v>5737</v>
      </c>
      <c r="AM581" s="470" t="s">
        <v>13274</v>
      </c>
      <c r="AN581" s="470" t="s">
        <v>13273</v>
      </c>
      <c r="AO581" s="470" t="s">
        <v>5738</v>
      </c>
      <c r="AP581" s="470" t="s">
        <v>5739</v>
      </c>
      <c r="AQ581" s="470" t="s">
        <v>5734</v>
      </c>
      <c r="AR581" s="472" t="s">
        <v>515</v>
      </c>
      <c r="AS581" s="473" t="s">
        <v>1385</v>
      </c>
      <c r="AT581" s="472" t="s">
        <v>1390</v>
      </c>
      <c r="AU581" s="472" t="s">
        <v>420</v>
      </c>
      <c r="AV581" s="472">
        <v>2020</v>
      </c>
      <c r="AW581" s="474" t="s">
        <v>15078</v>
      </c>
      <c r="AX581" s="475" t="s">
        <v>15079</v>
      </c>
      <c r="AY581" s="515">
        <v>1</v>
      </c>
      <c r="AZ581" s="474" t="s">
        <v>15079</v>
      </c>
      <c r="BA581" s="472" t="s">
        <v>1390</v>
      </c>
      <c r="BB581" s="472" t="s">
        <v>1385</v>
      </c>
      <c r="BC581" s="472" t="s">
        <v>1385</v>
      </c>
      <c r="BD581" s="472" t="s">
        <v>1385</v>
      </c>
      <c r="BE581" s="472" t="s">
        <v>1385</v>
      </c>
      <c r="BF581" s="472">
        <v>16880.400000000001</v>
      </c>
      <c r="BG581" s="472">
        <v>0</v>
      </c>
      <c r="BH581" s="472" t="s">
        <v>1385</v>
      </c>
      <c r="BI581" s="510">
        <v>0</v>
      </c>
      <c r="BJ581" s="510">
        <v>0</v>
      </c>
      <c r="BK581" s="510">
        <v>0</v>
      </c>
      <c r="BL581" s="510">
        <v>0</v>
      </c>
      <c r="BM581" s="510">
        <v>0</v>
      </c>
      <c r="BN581" s="510">
        <v>2000</v>
      </c>
      <c r="BO581" s="510">
        <v>0</v>
      </c>
      <c r="BP581" s="510">
        <v>0</v>
      </c>
      <c r="BQ581" s="510">
        <v>0</v>
      </c>
      <c r="BR581" s="510">
        <v>0</v>
      </c>
      <c r="BS581" s="510">
        <v>0</v>
      </c>
      <c r="BT581" s="510">
        <v>0</v>
      </c>
      <c r="BU581" s="510">
        <v>0</v>
      </c>
      <c r="BV581" s="510">
        <v>0</v>
      </c>
      <c r="BW581" s="510">
        <v>0</v>
      </c>
      <c r="BX581" s="510">
        <v>30000</v>
      </c>
      <c r="BY581" s="1011">
        <v>0</v>
      </c>
      <c r="BZ581" s="510">
        <v>0</v>
      </c>
      <c r="CA581" s="1011">
        <v>0</v>
      </c>
      <c r="CB581" s="510">
        <v>0</v>
      </c>
      <c r="CC581" s="1011">
        <v>0</v>
      </c>
      <c r="CD581" s="510">
        <v>0</v>
      </c>
      <c r="CE581" s="1011">
        <v>0</v>
      </c>
      <c r="CF581" s="510">
        <v>37485.599999999999</v>
      </c>
      <c r="CG581" s="1011">
        <v>0</v>
      </c>
      <c r="CH581" s="510">
        <v>0</v>
      </c>
      <c r="CI581" s="1011">
        <v>0</v>
      </c>
    </row>
    <row r="582" spans="1:87" x14ac:dyDescent="0.2">
      <c r="A582" s="449">
        <v>111</v>
      </c>
      <c r="B582" s="453">
        <v>90697</v>
      </c>
      <c r="C582" s="454" t="s">
        <v>5740</v>
      </c>
      <c r="D582" s="454" t="s">
        <v>1390</v>
      </c>
      <c r="E582" s="454" t="s">
        <v>5741</v>
      </c>
      <c r="F582" s="454" t="s">
        <v>527</v>
      </c>
      <c r="G582" s="454" t="s">
        <v>13275</v>
      </c>
      <c r="H582" s="455">
        <v>52037173000188</v>
      </c>
      <c r="I582" s="462">
        <v>30265</v>
      </c>
      <c r="J582" s="457">
        <v>37555383</v>
      </c>
      <c r="K582" s="454" t="s">
        <v>4031</v>
      </c>
      <c r="L582" s="458">
        <v>950</v>
      </c>
      <c r="M582" s="454" t="s">
        <v>5730</v>
      </c>
      <c r="N582" s="459">
        <v>3589000</v>
      </c>
      <c r="O582" s="460">
        <v>27417617</v>
      </c>
      <c r="P582" s="462">
        <v>185666</v>
      </c>
      <c r="Q582" s="462">
        <v>74</v>
      </c>
      <c r="R582" s="462">
        <v>43917</v>
      </c>
      <c r="S582" s="463">
        <v>256</v>
      </c>
      <c r="T582" s="464">
        <v>3.6</v>
      </c>
      <c r="U582" s="465">
        <v>921.6</v>
      </c>
      <c r="V582" s="465">
        <v>12240</v>
      </c>
      <c r="W582" s="466">
        <v>0</v>
      </c>
      <c r="X582" s="467">
        <v>1</v>
      </c>
      <c r="Y582" s="466">
        <v>19742.400000000001</v>
      </c>
      <c r="Z582" s="468" t="s">
        <v>516</v>
      </c>
      <c r="AA582" s="466">
        <v>91058.4</v>
      </c>
      <c r="AB582" s="466">
        <v>91058.4</v>
      </c>
      <c r="AC582" s="467">
        <v>0</v>
      </c>
      <c r="AD582" s="466">
        <v>0</v>
      </c>
      <c r="AE582" s="468" t="s">
        <v>516</v>
      </c>
      <c r="AF582" s="466">
        <v>0</v>
      </c>
      <c r="AG582" s="466">
        <v>0</v>
      </c>
      <c r="AH582" s="466">
        <v>28340.14</v>
      </c>
      <c r="AI582" s="466">
        <v>7000.2</v>
      </c>
      <c r="AJ582" s="469" t="s">
        <v>2196</v>
      </c>
      <c r="AK582" s="470" t="s">
        <v>2197</v>
      </c>
      <c r="AL582" s="471" t="s">
        <v>5742</v>
      </c>
      <c r="AM582" s="470" t="s">
        <v>5743</v>
      </c>
      <c r="AN582" s="470" t="s">
        <v>13275</v>
      </c>
      <c r="AO582" s="470" t="s">
        <v>13276</v>
      </c>
      <c r="AP582" s="470" t="s">
        <v>5744</v>
      </c>
      <c r="AQ582" s="470" t="s">
        <v>5740</v>
      </c>
      <c r="AR582" s="472" t="s">
        <v>515</v>
      </c>
      <c r="AS582" s="473" t="s">
        <v>1385</v>
      </c>
      <c r="AT582" s="472" t="s">
        <v>1390</v>
      </c>
      <c r="AU582" s="472" t="s">
        <v>420</v>
      </c>
      <c r="AV582" s="472">
        <v>2020</v>
      </c>
      <c r="AW582" s="474" t="s">
        <v>15078</v>
      </c>
      <c r="AX582" s="475" t="s">
        <v>15079</v>
      </c>
      <c r="AY582" s="515">
        <v>1</v>
      </c>
      <c r="AZ582" s="474" t="s">
        <v>15079</v>
      </c>
      <c r="BA582" s="472" t="s">
        <v>1390</v>
      </c>
      <c r="BB582" s="472" t="s">
        <v>1385</v>
      </c>
      <c r="BC582" s="472" t="s">
        <v>1385</v>
      </c>
      <c r="BD582" s="472" t="s">
        <v>1385</v>
      </c>
      <c r="BE582" s="472" t="s">
        <v>1385</v>
      </c>
      <c r="BF582" s="472">
        <v>19742.400000000001</v>
      </c>
      <c r="BG582" s="472">
        <v>0</v>
      </c>
      <c r="BH582" s="472" t="s">
        <v>1385</v>
      </c>
      <c r="BI582" s="510">
        <v>0</v>
      </c>
      <c r="BJ582" s="510">
        <v>0</v>
      </c>
      <c r="BK582" s="510">
        <v>0</v>
      </c>
      <c r="BL582" s="510">
        <v>0</v>
      </c>
      <c r="BM582" s="510">
        <v>0</v>
      </c>
      <c r="BN582" s="510">
        <v>3500</v>
      </c>
      <c r="BO582" s="510">
        <v>0</v>
      </c>
      <c r="BP582" s="510">
        <v>0</v>
      </c>
      <c r="BQ582" s="510">
        <v>0</v>
      </c>
      <c r="BR582" s="510">
        <v>0</v>
      </c>
      <c r="BS582" s="510">
        <v>0</v>
      </c>
      <c r="BT582" s="510">
        <v>0</v>
      </c>
      <c r="BU582" s="510">
        <v>0</v>
      </c>
      <c r="BV582" s="510">
        <v>0</v>
      </c>
      <c r="BW582" s="510">
        <v>0</v>
      </c>
      <c r="BX582" s="510">
        <v>30000</v>
      </c>
      <c r="BY582" s="1011">
        <v>0</v>
      </c>
      <c r="BZ582" s="510">
        <v>0</v>
      </c>
      <c r="CA582" s="1011">
        <v>0</v>
      </c>
      <c r="CB582" s="510">
        <v>0</v>
      </c>
      <c r="CC582" s="1011">
        <v>0</v>
      </c>
      <c r="CD582" s="510">
        <v>0</v>
      </c>
      <c r="CE582" s="1011">
        <v>0</v>
      </c>
      <c r="CF582" s="510">
        <v>41316</v>
      </c>
      <c r="CG582" s="1011">
        <v>0</v>
      </c>
      <c r="CH582" s="510">
        <v>0</v>
      </c>
      <c r="CI582" s="1011">
        <v>0</v>
      </c>
    </row>
    <row r="583" spans="1:87" x14ac:dyDescent="0.2">
      <c r="A583" s="449">
        <v>91</v>
      </c>
      <c r="B583" s="453">
        <v>90701</v>
      </c>
      <c r="C583" s="454" t="s">
        <v>5745</v>
      </c>
      <c r="D583" s="454" t="s">
        <v>1390</v>
      </c>
      <c r="E583" s="454" t="s">
        <v>5746</v>
      </c>
      <c r="F583" s="454" t="s">
        <v>527</v>
      </c>
      <c r="G583" s="454" t="s">
        <v>13277</v>
      </c>
      <c r="H583" s="455">
        <v>50996321000166</v>
      </c>
      <c r="I583" s="462">
        <v>30197</v>
      </c>
      <c r="J583" s="457">
        <v>37554611</v>
      </c>
      <c r="K583" s="454" t="s">
        <v>5747</v>
      </c>
      <c r="L583" s="458">
        <v>295</v>
      </c>
      <c r="M583" s="454" t="s">
        <v>5748</v>
      </c>
      <c r="N583" s="459">
        <v>3568050</v>
      </c>
      <c r="O583" s="460">
        <v>27423055</v>
      </c>
      <c r="P583" s="462">
        <v>184910</v>
      </c>
      <c r="Q583" s="462">
        <v>52</v>
      </c>
      <c r="R583" s="462">
        <v>43917</v>
      </c>
      <c r="S583" s="463">
        <v>245</v>
      </c>
      <c r="T583" s="464">
        <v>3.6</v>
      </c>
      <c r="U583" s="465">
        <v>882</v>
      </c>
      <c r="V583" s="465">
        <v>12240</v>
      </c>
      <c r="W583" s="466">
        <v>0</v>
      </c>
      <c r="X583" s="467">
        <v>1</v>
      </c>
      <c r="Y583" s="466">
        <v>19683</v>
      </c>
      <c r="Z583" s="468" t="s">
        <v>516</v>
      </c>
      <c r="AA583" s="466">
        <v>90970.2</v>
      </c>
      <c r="AB583" s="466">
        <v>90970.2</v>
      </c>
      <c r="AC583" s="467">
        <v>0</v>
      </c>
      <c r="AD583" s="466">
        <v>0</v>
      </c>
      <c r="AE583" s="468" t="s">
        <v>516</v>
      </c>
      <c r="AF583" s="466">
        <v>0</v>
      </c>
      <c r="AG583" s="466">
        <v>0</v>
      </c>
      <c r="AH583" s="466">
        <v>16713.71</v>
      </c>
      <c r="AI583" s="466">
        <v>5438.14</v>
      </c>
      <c r="AJ583" s="469" t="s">
        <v>2196</v>
      </c>
      <c r="AK583" s="470" t="s">
        <v>2197</v>
      </c>
      <c r="AL583" s="471" t="s">
        <v>5749</v>
      </c>
      <c r="AM583" s="470" t="s">
        <v>13278</v>
      </c>
      <c r="AN583" s="470" t="s">
        <v>13277</v>
      </c>
      <c r="AO583" s="470" t="s">
        <v>13279</v>
      </c>
      <c r="AP583" s="470" t="s">
        <v>5750</v>
      </c>
      <c r="AQ583" s="470" t="s">
        <v>5745</v>
      </c>
      <c r="AR583" s="472" t="s">
        <v>515</v>
      </c>
      <c r="AS583" s="473" t="s">
        <v>1385</v>
      </c>
      <c r="AT583" s="472" t="s">
        <v>1390</v>
      </c>
      <c r="AU583" s="472" t="s">
        <v>420</v>
      </c>
      <c r="AV583" s="472">
        <v>2020</v>
      </c>
      <c r="AW583" s="474" t="s">
        <v>15078</v>
      </c>
      <c r="AX583" s="475" t="s">
        <v>15079</v>
      </c>
      <c r="AY583" s="515">
        <v>1</v>
      </c>
      <c r="AZ583" s="474" t="s">
        <v>15079</v>
      </c>
      <c r="BA583" s="472" t="s">
        <v>1390</v>
      </c>
      <c r="BB583" s="472" t="s">
        <v>1385</v>
      </c>
      <c r="BC583" s="472" t="s">
        <v>1385</v>
      </c>
      <c r="BD583" s="472" t="s">
        <v>1385</v>
      </c>
      <c r="BE583" s="472" t="s">
        <v>1385</v>
      </c>
      <c r="BF583" s="472">
        <v>19683</v>
      </c>
      <c r="BG583" s="472">
        <v>0</v>
      </c>
      <c r="BH583" s="472" t="s">
        <v>1385</v>
      </c>
      <c r="BI583" s="510">
        <v>0</v>
      </c>
      <c r="BJ583" s="510">
        <v>1745.1</v>
      </c>
      <c r="BK583" s="510">
        <v>0</v>
      </c>
      <c r="BL583" s="510">
        <v>0</v>
      </c>
      <c r="BM583" s="510">
        <v>0</v>
      </c>
      <c r="BN583" s="510">
        <v>3000</v>
      </c>
      <c r="BO583" s="510">
        <v>0</v>
      </c>
      <c r="BP583" s="510">
        <v>0</v>
      </c>
      <c r="BQ583" s="510">
        <v>0</v>
      </c>
      <c r="BR583" s="510">
        <v>0</v>
      </c>
      <c r="BS583" s="510">
        <v>0</v>
      </c>
      <c r="BT583" s="510">
        <v>0</v>
      </c>
      <c r="BU583" s="510">
        <v>0</v>
      </c>
      <c r="BV583" s="510">
        <v>0</v>
      </c>
      <c r="BW583" s="510">
        <v>0</v>
      </c>
      <c r="BX583" s="510">
        <v>30000</v>
      </c>
      <c r="BY583" s="1011">
        <v>0</v>
      </c>
      <c r="BZ583" s="510">
        <v>0</v>
      </c>
      <c r="CA583" s="1011">
        <v>0</v>
      </c>
      <c r="CB583" s="510">
        <v>0</v>
      </c>
      <c r="CC583" s="1011">
        <v>0</v>
      </c>
      <c r="CD583" s="510">
        <v>0</v>
      </c>
      <c r="CE583" s="1011">
        <v>0</v>
      </c>
      <c r="CF583" s="510">
        <v>41287.199999999997</v>
      </c>
      <c r="CG583" s="1011">
        <v>0</v>
      </c>
      <c r="CH583" s="510">
        <v>0</v>
      </c>
      <c r="CI583" s="1011">
        <v>0</v>
      </c>
    </row>
    <row r="584" spans="1:87" x14ac:dyDescent="0.2">
      <c r="A584" s="449">
        <v>99</v>
      </c>
      <c r="B584" s="453">
        <v>90719</v>
      </c>
      <c r="C584" s="454" t="s">
        <v>5751</v>
      </c>
      <c r="D584" s="454" t="s">
        <v>1390</v>
      </c>
      <c r="E584" s="454" t="s">
        <v>5752</v>
      </c>
      <c r="F584" s="454" t="s">
        <v>527</v>
      </c>
      <c r="G584" s="454" t="s">
        <v>13280</v>
      </c>
      <c r="H584" s="455">
        <v>52038718000170</v>
      </c>
      <c r="I584" s="462">
        <v>30304</v>
      </c>
      <c r="J584" s="457">
        <v>37554751</v>
      </c>
      <c r="K584" s="454" t="s">
        <v>5753</v>
      </c>
      <c r="L584" s="458">
        <v>82</v>
      </c>
      <c r="M584" s="454" t="s">
        <v>5730</v>
      </c>
      <c r="N584" s="459">
        <v>3590020</v>
      </c>
      <c r="O584" s="460">
        <v>27416413</v>
      </c>
      <c r="P584" s="462">
        <v>217835</v>
      </c>
      <c r="Q584" s="462">
        <v>60</v>
      </c>
      <c r="R584" s="462">
        <v>43917</v>
      </c>
      <c r="S584" s="463">
        <v>170</v>
      </c>
      <c r="T584" s="464">
        <v>3.6</v>
      </c>
      <c r="U584" s="465">
        <v>612</v>
      </c>
      <c r="V584" s="465">
        <v>10800</v>
      </c>
      <c r="W584" s="466">
        <v>0</v>
      </c>
      <c r="X584" s="467">
        <v>1</v>
      </c>
      <c r="Y584" s="466">
        <v>17118</v>
      </c>
      <c r="Z584" s="468" t="s">
        <v>516</v>
      </c>
      <c r="AA584" s="466">
        <v>84776.4</v>
      </c>
      <c r="AB584" s="466">
        <v>84776.4</v>
      </c>
      <c r="AC584" s="467">
        <v>0</v>
      </c>
      <c r="AD584" s="466">
        <v>0</v>
      </c>
      <c r="AE584" s="468" t="s">
        <v>516</v>
      </c>
      <c r="AF584" s="466">
        <v>0</v>
      </c>
      <c r="AG584" s="466">
        <v>0</v>
      </c>
      <c r="AH584" s="466">
        <v>16764.12</v>
      </c>
      <c r="AI584" s="466">
        <v>4564.8</v>
      </c>
      <c r="AJ584" s="469" t="s">
        <v>2196</v>
      </c>
      <c r="AK584" s="470" t="s">
        <v>5731</v>
      </c>
      <c r="AL584" s="471" t="s">
        <v>5754</v>
      </c>
      <c r="AM584" s="470" t="s">
        <v>5755</v>
      </c>
      <c r="AN584" s="470" t="s">
        <v>13280</v>
      </c>
      <c r="AO584" s="470" t="s">
        <v>13281</v>
      </c>
      <c r="AP584" s="470" t="s">
        <v>5756</v>
      </c>
      <c r="AQ584" s="470" t="s">
        <v>5751</v>
      </c>
      <c r="AR584" s="472" t="s">
        <v>515</v>
      </c>
      <c r="AS584" s="473" t="s">
        <v>1385</v>
      </c>
      <c r="AT584" s="472" t="s">
        <v>1390</v>
      </c>
      <c r="AU584" s="472" t="s">
        <v>420</v>
      </c>
      <c r="AV584" s="472">
        <v>2020</v>
      </c>
      <c r="AW584" s="474" t="s">
        <v>15078</v>
      </c>
      <c r="AX584" s="475" t="s">
        <v>15079</v>
      </c>
      <c r="AY584" s="515">
        <v>1</v>
      </c>
      <c r="AZ584" s="474" t="s">
        <v>15079</v>
      </c>
      <c r="BA584" s="472" t="s">
        <v>1390</v>
      </c>
      <c r="BB584" s="472" t="s">
        <v>1385</v>
      </c>
      <c r="BC584" s="472" t="s">
        <v>1385</v>
      </c>
      <c r="BD584" s="472" t="s">
        <v>1385</v>
      </c>
      <c r="BE584" s="472" t="s">
        <v>1385</v>
      </c>
      <c r="BF584" s="472">
        <v>17118</v>
      </c>
      <c r="BG584" s="472">
        <v>0</v>
      </c>
      <c r="BH584" s="472" t="s">
        <v>1385</v>
      </c>
      <c r="BI584" s="510">
        <v>0</v>
      </c>
      <c r="BJ584" s="510">
        <v>0</v>
      </c>
      <c r="BK584" s="510">
        <v>0</v>
      </c>
      <c r="BL584" s="510">
        <v>0</v>
      </c>
      <c r="BM584" s="510">
        <v>0</v>
      </c>
      <c r="BN584" s="510">
        <v>3000</v>
      </c>
      <c r="BO584" s="510">
        <v>0</v>
      </c>
      <c r="BP584" s="510">
        <v>0</v>
      </c>
      <c r="BQ584" s="510">
        <v>0</v>
      </c>
      <c r="BR584" s="510">
        <v>0</v>
      </c>
      <c r="BS584" s="510">
        <v>0</v>
      </c>
      <c r="BT584" s="510">
        <v>0</v>
      </c>
      <c r="BU584" s="510">
        <v>0</v>
      </c>
      <c r="BV584" s="510">
        <v>0</v>
      </c>
      <c r="BW584" s="510">
        <v>0</v>
      </c>
      <c r="BX584" s="510">
        <v>30000</v>
      </c>
      <c r="BY584" s="1011">
        <v>0</v>
      </c>
      <c r="BZ584" s="510">
        <v>0</v>
      </c>
      <c r="CA584" s="1011">
        <v>0</v>
      </c>
      <c r="CB584" s="510">
        <v>0</v>
      </c>
      <c r="CC584" s="1011">
        <v>0</v>
      </c>
      <c r="CD584" s="510">
        <v>0</v>
      </c>
      <c r="CE584" s="1011">
        <v>0</v>
      </c>
      <c r="CF584" s="510">
        <v>37658.400000000001</v>
      </c>
      <c r="CG584" s="1011">
        <v>0</v>
      </c>
      <c r="CH584" s="510">
        <v>0</v>
      </c>
      <c r="CI584" s="1011">
        <v>0</v>
      </c>
    </row>
    <row r="585" spans="1:87" x14ac:dyDescent="0.2">
      <c r="A585" s="449">
        <v>114</v>
      </c>
      <c r="B585" s="453">
        <v>90727</v>
      </c>
      <c r="C585" s="454" t="s">
        <v>5757</v>
      </c>
      <c r="D585" s="454" t="s">
        <v>1390</v>
      </c>
      <c r="E585" s="454" t="s">
        <v>5758</v>
      </c>
      <c r="F585" s="454" t="s">
        <v>527</v>
      </c>
      <c r="G585" s="454" t="s">
        <v>13282</v>
      </c>
      <c r="H585" s="455">
        <v>52037199000126</v>
      </c>
      <c r="I585" s="462">
        <v>30265</v>
      </c>
      <c r="J585" s="457">
        <v>37587854</v>
      </c>
      <c r="K585" s="454" t="s">
        <v>5759</v>
      </c>
      <c r="L585" s="458">
        <v>349</v>
      </c>
      <c r="M585" s="454" t="s">
        <v>5760</v>
      </c>
      <c r="N585" s="459">
        <v>3589010</v>
      </c>
      <c r="O585" s="460">
        <v>27428270</v>
      </c>
      <c r="P585" s="462">
        <v>185844</v>
      </c>
      <c r="Q585" s="462">
        <v>77</v>
      </c>
      <c r="R585" s="462">
        <v>43917</v>
      </c>
      <c r="S585" s="463">
        <v>215</v>
      </c>
      <c r="T585" s="464">
        <v>3.6</v>
      </c>
      <c r="U585" s="465">
        <v>774</v>
      </c>
      <c r="V585" s="465">
        <v>12240</v>
      </c>
      <c r="W585" s="466">
        <v>0</v>
      </c>
      <c r="X585" s="467">
        <v>1</v>
      </c>
      <c r="Y585" s="466">
        <v>19521</v>
      </c>
      <c r="Z585" s="468" t="s">
        <v>516</v>
      </c>
      <c r="AA585" s="466">
        <v>90678.6</v>
      </c>
      <c r="AB585" s="466">
        <v>90678.6</v>
      </c>
      <c r="AC585" s="467">
        <v>0</v>
      </c>
      <c r="AD585" s="466">
        <v>0</v>
      </c>
      <c r="AE585" s="468" t="s">
        <v>516</v>
      </c>
      <c r="AF585" s="466">
        <v>0</v>
      </c>
      <c r="AG585" s="466">
        <v>0</v>
      </c>
      <c r="AH585" s="466">
        <v>8247.2900000000009</v>
      </c>
      <c r="AI585" s="466">
        <v>844.55</v>
      </c>
      <c r="AJ585" s="469" t="s">
        <v>2196</v>
      </c>
      <c r="AK585" s="470" t="s">
        <v>2197</v>
      </c>
      <c r="AL585" s="471" t="s">
        <v>5761</v>
      </c>
      <c r="AM585" s="470" t="s">
        <v>13283</v>
      </c>
      <c r="AN585" s="470" t="s">
        <v>13282</v>
      </c>
      <c r="AO585" s="470" t="s">
        <v>13284</v>
      </c>
      <c r="AP585" s="470" t="s">
        <v>5762</v>
      </c>
      <c r="AQ585" s="470" t="s">
        <v>5757</v>
      </c>
      <c r="AR585" s="472" t="s">
        <v>515</v>
      </c>
      <c r="AS585" s="473" t="s">
        <v>1385</v>
      </c>
      <c r="AT585" s="472" t="s">
        <v>1390</v>
      </c>
      <c r="AU585" s="472" t="s">
        <v>420</v>
      </c>
      <c r="AV585" s="472">
        <v>2020</v>
      </c>
      <c r="AW585" s="474" t="s">
        <v>15078</v>
      </c>
      <c r="AX585" s="475" t="s">
        <v>15079</v>
      </c>
      <c r="AY585" s="515">
        <v>1</v>
      </c>
      <c r="AZ585" s="474" t="s">
        <v>15079</v>
      </c>
      <c r="BA585" s="472" t="s">
        <v>1390</v>
      </c>
      <c r="BB585" s="472" t="s">
        <v>1385</v>
      </c>
      <c r="BC585" s="472" t="s">
        <v>1385</v>
      </c>
      <c r="BD585" s="472" t="s">
        <v>1385</v>
      </c>
      <c r="BE585" s="472" t="s">
        <v>1385</v>
      </c>
      <c r="BF585" s="472">
        <v>19521</v>
      </c>
      <c r="BG585" s="472">
        <v>0</v>
      </c>
      <c r="BH585" s="472" t="s">
        <v>1385</v>
      </c>
      <c r="BI585" s="510">
        <v>0</v>
      </c>
      <c r="BJ585" s="510">
        <v>0</v>
      </c>
      <c r="BK585" s="510">
        <v>0</v>
      </c>
      <c r="BL585" s="510">
        <v>0</v>
      </c>
      <c r="BM585" s="510">
        <v>0</v>
      </c>
      <c r="BN585" s="510">
        <v>3000</v>
      </c>
      <c r="BO585" s="510">
        <v>0</v>
      </c>
      <c r="BP585" s="510">
        <v>0</v>
      </c>
      <c r="BQ585" s="510">
        <v>0</v>
      </c>
      <c r="BR585" s="510">
        <v>0</v>
      </c>
      <c r="BS585" s="510">
        <v>0</v>
      </c>
      <c r="BT585" s="510">
        <v>0</v>
      </c>
      <c r="BU585" s="510">
        <v>0</v>
      </c>
      <c r="BV585" s="510">
        <v>0</v>
      </c>
      <c r="BW585" s="510">
        <v>0</v>
      </c>
      <c r="BX585" s="510">
        <v>30000</v>
      </c>
      <c r="BY585" s="1011">
        <v>0</v>
      </c>
      <c r="BZ585" s="510">
        <v>0</v>
      </c>
      <c r="CA585" s="1011">
        <v>0</v>
      </c>
      <c r="CB585" s="510">
        <v>0</v>
      </c>
      <c r="CC585" s="1011">
        <v>0</v>
      </c>
      <c r="CD585" s="510">
        <v>0</v>
      </c>
      <c r="CE585" s="1011">
        <v>0</v>
      </c>
      <c r="CF585" s="510">
        <v>41157.599999999999</v>
      </c>
      <c r="CG585" s="1011">
        <v>0</v>
      </c>
      <c r="CH585" s="510">
        <v>0</v>
      </c>
      <c r="CI585" s="1011">
        <v>0</v>
      </c>
    </row>
    <row r="586" spans="1:87" x14ac:dyDescent="0.2">
      <c r="A586" s="449">
        <v>74</v>
      </c>
      <c r="B586" s="453">
        <v>90735</v>
      </c>
      <c r="C586" s="454" t="s">
        <v>5763</v>
      </c>
      <c r="D586" s="454" t="s">
        <v>1390</v>
      </c>
      <c r="E586" s="454" t="s">
        <v>5764</v>
      </c>
      <c r="F586" s="454" t="s">
        <v>518</v>
      </c>
      <c r="G586" s="454" t="s">
        <v>13285</v>
      </c>
      <c r="H586" s="455">
        <v>52023298000159</v>
      </c>
      <c r="I586" s="462">
        <v>30240</v>
      </c>
      <c r="J586" s="457">
        <v>37469932</v>
      </c>
      <c r="K586" s="454" t="s">
        <v>5765</v>
      </c>
      <c r="L586" s="458">
        <v>97</v>
      </c>
      <c r="M586" s="454" t="s">
        <v>1692</v>
      </c>
      <c r="N586" s="459">
        <v>8280360</v>
      </c>
      <c r="O586" s="460">
        <v>27471555</v>
      </c>
      <c r="P586" s="462">
        <v>47026</v>
      </c>
      <c r="Q586" s="462">
        <v>43</v>
      </c>
      <c r="R586" s="462">
        <v>43963</v>
      </c>
      <c r="S586" s="463">
        <v>524</v>
      </c>
      <c r="T586" s="464">
        <v>3.6</v>
      </c>
      <c r="U586" s="465">
        <v>1886.4</v>
      </c>
      <c r="V586" s="465">
        <v>16560</v>
      </c>
      <c r="W586" s="466">
        <v>0</v>
      </c>
      <c r="X586" s="467">
        <v>1</v>
      </c>
      <c r="Y586" s="466">
        <v>27669.599999999999</v>
      </c>
      <c r="Z586" s="468" t="s">
        <v>516</v>
      </c>
      <c r="AA586" s="466">
        <v>109612.8</v>
      </c>
      <c r="AB586" s="466">
        <v>109612.8</v>
      </c>
      <c r="AC586" s="467">
        <v>0</v>
      </c>
      <c r="AD586" s="466">
        <v>0</v>
      </c>
      <c r="AE586" s="468" t="s">
        <v>516</v>
      </c>
      <c r="AF586" s="466">
        <v>0</v>
      </c>
      <c r="AG586" s="466">
        <v>0</v>
      </c>
      <c r="AH586" s="466">
        <v>20645.560000000001</v>
      </c>
      <c r="AI586" s="466">
        <v>7505.07</v>
      </c>
      <c r="AJ586" s="469" t="s">
        <v>5766</v>
      </c>
      <c r="AK586" s="470" t="s">
        <v>2629</v>
      </c>
      <c r="AL586" s="471" t="s">
        <v>5767</v>
      </c>
      <c r="AM586" s="470" t="s">
        <v>12260</v>
      </c>
      <c r="AN586" s="470" t="s">
        <v>5768</v>
      </c>
      <c r="AO586" s="470" t="s">
        <v>14994</v>
      </c>
      <c r="AP586" s="470" t="s">
        <v>5769</v>
      </c>
      <c r="AQ586" s="470" t="s">
        <v>5763</v>
      </c>
      <c r="AR586" s="472" t="s">
        <v>515</v>
      </c>
      <c r="AS586" s="473" t="s">
        <v>1385</v>
      </c>
      <c r="AT586" s="472" t="s">
        <v>1390</v>
      </c>
      <c r="AU586" s="472" t="s">
        <v>420</v>
      </c>
      <c r="AV586" s="472">
        <v>2020</v>
      </c>
      <c r="AW586" s="474" t="s">
        <v>15078</v>
      </c>
      <c r="AX586" s="475" t="s">
        <v>15079</v>
      </c>
      <c r="AY586" s="515">
        <v>1</v>
      </c>
      <c r="AZ586" s="474" t="s">
        <v>15079</v>
      </c>
      <c r="BA586" s="472" t="s">
        <v>1390</v>
      </c>
      <c r="BB586" s="472" t="s">
        <v>1385</v>
      </c>
      <c r="BC586" s="472" t="s">
        <v>1385</v>
      </c>
      <c r="BD586" s="472" t="s">
        <v>1385</v>
      </c>
      <c r="BE586" s="472" t="s">
        <v>1385</v>
      </c>
      <c r="BF586" s="472">
        <v>27669.599999999999</v>
      </c>
      <c r="BG586" s="472">
        <v>0</v>
      </c>
      <c r="BH586" s="472" t="s">
        <v>1385</v>
      </c>
      <c r="BI586" s="510">
        <v>0</v>
      </c>
      <c r="BJ586" s="510">
        <v>0</v>
      </c>
      <c r="BK586" s="510">
        <v>0</v>
      </c>
      <c r="BL586" s="510">
        <v>0</v>
      </c>
      <c r="BM586" s="510">
        <v>0</v>
      </c>
      <c r="BN586" s="510">
        <v>4000</v>
      </c>
      <c r="BO586" s="510">
        <v>0</v>
      </c>
      <c r="BP586" s="510">
        <v>0</v>
      </c>
      <c r="BQ586" s="510">
        <v>0</v>
      </c>
      <c r="BR586" s="510">
        <v>0</v>
      </c>
      <c r="BS586" s="510">
        <v>0</v>
      </c>
      <c r="BT586" s="510">
        <v>0</v>
      </c>
      <c r="BU586" s="510">
        <v>0</v>
      </c>
      <c r="BV586" s="510">
        <v>0</v>
      </c>
      <c r="BW586" s="510">
        <v>0</v>
      </c>
      <c r="BX586" s="510">
        <v>30000</v>
      </c>
      <c r="BY586" s="1011">
        <v>0</v>
      </c>
      <c r="BZ586" s="510">
        <v>0</v>
      </c>
      <c r="CA586" s="1011">
        <v>0</v>
      </c>
      <c r="CB586" s="510">
        <v>0</v>
      </c>
      <c r="CC586" s="1011">
        <v>0</v>
      </c>
      <c r="CD586" s="510">
        <v>0</v>
      </c>
      <c r="CE586" s="1011">
        <v>0</v>
      </c>
      <c r="CF586" s="510">
        <v>51943.199999999997</v>
      </c>
      <c r="CG586" s="1011">
        <v>0</v>
      </c>
      <c r="CH586" s="510">
        <v>0</v>
      </c>
      <c r="CI586" s="1011">
        <v>0</v>
      </c>
    </row>
    <row r="587" spans="1:87" x14ac:dyDescent="0.2">
      <c r="A587" s="449">
        <v>64</v>
      </c>
      <c r="B587" s="453">
        <v>90743</v>
      </c>
      <c r="C587" s="454" t="s">
        <v>5770</v>
      </c>
      <c r="D587" s="454" t="s">
        <v>1390</v>
      </c>
      <c r="E587" s="454" t="s">
        <v>5771</v>
      </c>
      <c r="F587" s="454" t="s">
        <v>518</v>
      </c>
      <c r="G587" s="454" t="s">
        <v>13286</v>
      </c>
      <c r="H587" s="455">
        <v>50995828000103</v>
      </c>
      <c r="I587" s="462">
        <v>30215</v>
      </c>
      <c r="J587" s="457">
        <v>37470000</v>
      </c>
      <c r="K587" s="454" t="s">
        <v>5773</v>
      </c>
      <c r="L587" s="458">
        <v>354</v>
      </c>
      <c r="M587" s="454" t="s">
        <v>518</v>
      </c>
      <c r="N587" s="459">
        <v>8255500</v>
      </c>
      <c r="O587" s="460">
        <v>25216055</v>
      </c>
      <c r="P587" s="462">
        <v>46895</v>
      </c>
      <c r="Q587" s="462">
        <v>33</v>
      </c>
      <c r="R587" s="462">
        <v>43934</v>
      </c>
      <c r="S587" s="463">
        <v>245</v>
      </c>
      <c r="T587" s="464">
        <v>3.6</v>
      </c>
      <c r="U587" s="465">
        <v>882</v>
      </c>
      <c r="V587" s="465">
        <v>12240</v>
      </c>
      <c r="W587" s="466">
        <v>0</v>
      </c>
      <c r="X587" s="467">
        <v>1</v>
      </c>
      <c r="Y587" s="466">
        <v>19683</v>
      </c>
      <c r="Z587" s="468" t="s">
        <v>516</v>
      </c>
      <c r="AA587" s="466">
        <v>91027.8</v>
      </c>
      <c r="AB587" s="466">
        <v>91027.8</v>
      </c>
      <c r="AC587" s="467">
        <v>0</v>
      </c>
      <c r="AD587" s="466">
        <v>0</v>
      </c>
      <c r="AE587" s="468" t="s">
        <v>516</v>
      </c>
      <c r="AF587" s="466">
        <v>0</v>
      </c>
      <c r="AG587" s="466">
        <v>0</v>
      </c>
      <c r="AH587" s="466">
        <v>23680.76</v>
      </c>
      <c r="AI587" s="466">
        <v>0</v>
      </c>
      <c r="AJ587" s="469" t="s">
        <v>1674</v>
      </c>
      <c r="AK587" s="470" t="s">
        <v>518</v>
      </c>
      <c r="AL587" s="471" t="s">
        <v>5774</v>
      </c>
      <c r="AM587" s="470" t="s">
        <v>5775</v>
      </c>
      <c r="AN587" s="470" t="s">
        <v>5772</v>
      </c>
      <c r="AO587" s="470" t="s">
        <v>14995</v>
      </c>
      <c r="AP587" s="470" t="s">
        <v>5776</v>
      </c>
      <c r="AQ587" s="470" t="s">
        <v>5770</v>
      </c>
      <c r="AR587" s="472" t="s">
        <v>515</v>
      </c>
      <c r="AS587" s="473" t="s">
        <v>1385</v>
      </c>
      <c r="AT587" s="472" t="s">
        <v>1390</v>
      </c>
      <c r="AU587" s="472" t="s">
        <v>420</v>
      </c>
      <c r="AV587" s="472">
        <v>2020</v>
      </c>
      <c r="AW587" s="474" t="s">
        <v>15078</v>
      </c>
      <c r="AX587" s="475" t="s">
        <v>15079</v>
      </c>
      <c r="AY587" s="515">
        <v>1</v>
      </c>
      <c r="AZ587" s="474" t="s">
        <v>15079</v>
      </c>
      <c r="BA587" s="472" t="s">
        <v>1390</v>
      </c>
      <c r="BB587" s="472" t="s">
        <v>1385</v>
      </c>
      <c r="BC587" s="472" t="s">
        <v>1385</v>
      </c>
      <c r="BD587" s="472" t="s">
        <v>1385</v>
      </c>
      <c r="BE587" s="472" t="s">
        <v>1385</v>
      </c>
      <c r="BF587" s="472">
        <v>19683</v>
      </c>
      <c r="BG587" s="472">
        <v>0</v>
      </c>
      <c r="BH587" s="472" t="s">
        <v>1385</v>
      </c>
      <c r="BI587" s="510">
        <v>0</v>
      </c>
      <c r="BJ587" s="510">
        <v>0</v>
      </c>
      <c r="BK587" s="510">
        <v>0</v>
      </c>
      <c r="BL587" s="510">
        <v>0</v>
      </c>
      <c r="BM587" s="510">
        <v>0</v>
      </c>
      <c r="BN587" s="510">
        <v>3000</v>
      </c>
      <c r="BO587" s="510">
        <v>0</v>
      </c>
      <c r="BP587" s="510">
        <v>0</v>
      </c>
      <c r="BQ587" s="510">
        <v>0</v>
      </c>
      <c r="BR587" s="510">
        <v>0</v>
      </c>
      <c r="BS587" s="510">
        <v>0</v>
      </c>
      <c r="BT587" s="510">
        <v>0</v>
      </c>
      <c r="BU587" s="510">
        <v>0</v>
      </c>
      <c r="BV587" s="510">
        <v>0</v>
      </c>
      <c r="BW587" s="510">
        <v>0</v>
      </c>
      <c r="BX587" s="510">
        <v>30000</v>
      </c>
      <c r="BY587" s="1011">
        <v>0</v>
      </c>
      <c r="BZ587" s="510">
        <v>0</v>
      </c>
      <c r="CA587" s="1011">
        <v>0</v>
      </c>
      <c r="CB587" s="510">
        <v>0</v>
      </c>
      <c r="CC587" s="1011">
        <v>0</v>
      </c>
      <c r="CD587" s="510">
        <v>0</v>
      </c>
      <c r="CE587" s="1011">
        <v>0</v>
      </c>
      <c r="CF587" s="510">
        <v>41344.800000000003</v>
      </c>
      <c r="CG587" s="1011">
        <v>0</v>
      </c>
      <c r="CH587" s="510">
        <v>0</v>
      </c>
      <c r="CI587" s="1011">
        <v>0</v>
      </c>
    </row>
    <row r="588" spans="1:87" x14ac:dyDescent="0.2">
      <c r="A588" s="449">
        <v>59</v>
      </c>
      <c r="B588" s="453">
        <v>90751</v>
      </c>
      <c r="C588" s="454" t="s">
        <v>5777</v>
      </c>
      <c r="D588" s="454" t="s">
        <v>1390</v>
      </c>
      <c r="E588" s="454" t="s">
        <v>5778</v>
      </c>
      <c r="F588" s="454" t="s">
        <v>518</v>
      </c>
      <c r="G588" s="454" t="s">
        <v>13287</v>
      </c>
      <c r="H588" s="455">
        <v>50994128000196</v>
      </c>
      <c r="I588" s="462">
        <v>30215</v>
      </c>
      <c r="J588" s="457">
        <v>37497553</v>
      </c>
      <c r="K588" s="454" t="s">
        <v>5780</v>
      </c>
      <c r="L588" s="458">
        <v>232</v>
      </c>
      <c r="M588" s="454" t="s">
        <v>518</v>
      </c>
      <c r="N588" s="459">
        <v>8253110</v>
      </c>
      <c r="O588" s="460">
        <v>25216044</v>
      </c>
      <c r="P588" s="462">
        <v>46780</v>
      </c>
      <c r="Q588" s="462">
        <v>28</v>
      </c>
      <c r="R588" s="462">
        <v>43934</v>
      </c>
      <c r="S588" s="463">
        <v>242</v>
      </c>
      <c r="T588" s="464">
        <v>3.6</v>
      </c>
      <c r="U588" s="465">
        <v>871.2</v>
      </c>
      <c r="V588" s="465">
        <v>12240</v>
      </c>
      <c r="W588" s="466">
        <v>0</v>
      </c>
      <c r="X588" s="467">
        <v>1</v>
      </c>
      <c r="Y588" s="466">
        <v>19666.8</v>
      </c>
      <c r="Z588" s="468" t="s">
        <v>516</v>
      </c>
      <c r="AA588" s="466">
        <v>87699.6</v>
      </c>
      <c r="AB588" s="466">
        <v>87699.6</v>
      </c>
      <c r="AC588" s="467">
        <v>0</v>
      </c>
      <c r="AD588" s="466">
        <v>0</v>
      </c>
      <c r="AE588" s="468" t="s">
        <v>516</v>
      </c>
      <c r="AF588" s="466">
        <v>0</v>
      </c>
      <c r="AG588" s="466">
        <v>0</v>
      </c>
      <c r="AH588" s="466">
        <v>13462.4</v>
      </c>
      <c r="AI588" s="466">
        <v>482.62</v>
      </c>
      <c r="AJ588" s="469" t="s">
        <v>1674</v>
      </c>
      <c r="AK588" s="470" t="s">
        <v>518</v>
      </c>
      <c r="AL588" s="471" t="s">
        <v>5781</v>
      </c>
      <c r="AM588" s="470" t="s">
        <v>13288</v>
      </c>
      <c r="AN588" s="470" t="s">
        <v>5779</v>
      </c>
      <c r="AO588" s="470" t="s">
        <v>14996</v>
      </c>
      <c r="AP588" s="470" t="s">
        <v>5782</v>
      </c>
      <c r="AQ588" s="470" t="s">
        <v>5777</v>
      </c>
      <c r="AR588" s="472" t="s">
        <v>515</v>
      </c>
      <c r="AS588" s="473" t="s">
        <v>1385</v>
      </c>
      <c r="AT588" s="472" t="s">
        <v>1390</v>
      </c>
      <c r="AU588" s="472" t="s">
        <v>420</v>
      </c>
      <c r="AV588" s="472">
        <v>2020</v>
      </c>
      <c r="AW588" s="474" t="s">
        <v>15078</v>
      </c>
      <c r="AX588" s="475" t="s">
        <v>15079</v>
      </c>
      <c r="AY588" s="515">
        <v>1</v>
      </c>
      <c r="AZ588" s="474" t="s">
        <v>15079</v>
      </c>
      <c r="BA588" s="472" t="s">
        <v>1390</v>
      </c>
      <c r="BB588" s="472" t="s">
        <v>1385</v>
      </c>
      <c r="BC588" s="472" t="s">
        <v>1385</v>
      </c>
      <c r="BD588" s="472" t="s">
        <v>1385</v>
      </c>
      <c r="BE588" s="472" t="s">
        <v>1385</v>
      </c>
      <c r="BF588" s="472">
        <v>19666.8</v>
      </c>
      <c r="BG588" s="472">
        <v>0</v>
      </c>
      <c r="BH588" s="472" t="s">
        <v>1385</v>
      </c>
      <c r="BI588" s="510">
        <v>0</v>
      </c>
      <c r="BJ588" s="510">
        <v>0</v>
      </c>
      <c r="BK588" s="510">
        <v>0</v>
      </c>
      <c r="BL588" s="510">
        <v>0</v>
      </c>
      <c r="BM588" s="510">
        <v>0</v>
      </c>
      <c r="BN588" s="510">
        <v>3000</v>
      </c>
      <c r="BO588" s="510">
        <v>0</v>
      </c>
      <c r="BP588" s="510">
        <v>0</v>
      </c>
      <c r="BQ588" s="510">
        <v>0</v>
      </c>
      <c r="BR588" s="510">
        <v>0</v>
      </c>
      <c r="BS588" s="510">
        <v>0</v>
      </c>
      <c r="BT588" s="510">
        <v>0</v>
      </c>
      <c r="BU588" s="510">
        <v>0</v>
      </c>
      <c r="BV588" s="510">
        <v>0</v>
      </c>
      <c r="BW588" s="510">
        <v>0</v>
      </c>
      <c r="BX588" s="510">
        <v>30000</v>
      </c>
      <c r="BY588" s="1011">
        <v>0</v>
      </c>
      <c r="BZ588" s="510">
        <v>0</v>
      </c>
      <c r="CA588" s="1011">
        <v>0</v>
      </c>
      <c r="CB588" s="510">
        <v>0</v>
      </c>
      <c r="CC588" s="1011">
        <v>0</v>
      </c>
      <c r="CD588" s="510">
        <v>0</v>
      </c>
      <c r="CE588" s="1011">
        <v>0</v>
      </c>
      <c r="CF588" s="510">
        <v>38032.800000000003</v>
      </c>
      <c r="CG588" s="1011">
        <v>0</v>
      </c>
      <c r="CH588" s="510">
        <v>0</v>
      </c>
      <c r="CI588" s="1011">
        <v>0</v>
      </c>
    </row>
    <row r="589" spans="1:87" x14ac:dyDescent="0.2">
      <c r="A589" s="449">
        <v>91</v>
      </c>
      <c r="B589" s="453">
        <v>90760</v>
      </c>
      <c r="C589" s="454" t="s">
        <v>5783</v>
      </c>
      <c r="D589" s="454" t="s">
        <v>1390</v>
      </c>
      <c r="E589" s="454" t="s">
        <v>5784</v>
      </c>
      <c r="F589" s="454" t="s">
        <v>518</v>
      </c>
      <c r="G589" s="454" t="s">
        <v>13289</v>
      </c>
      <c r="H589" s="455">
        <v>50994102000148</v>
      </c>
      <c r="I589" s="462">
        <v>30215</v>
      </c>
      <c r="J589" s="457">
        <v>37470426</v>
      </c>
      <c r="K589" s="454" t="s">
        <v>5786</v>
      </c>
      <c r="L589" s="458">
        <v>26</v>
      </c>
      <c r="M589" s="454" t="s">
        <v>518</v>
      </c>
      <c r="N589" s="459">
        <v>8215460</v>
      </c>
      <c r="O589" s="460">
        <v>22055325</v>
      </c>
      <c r="P589" s="462">
        <v>47247</v>
      </c>
      <c r="Q589" s="462">
        <v>60</v>
      </c>
      <c r="R589" s="462">
        <v>43934</v>
      </c>
      <c r="S589" s="463">
        <v>323</v>
      </c>
      <c r="T589" s="464">
        <v>3.6</v>
      </c>
      <c r="U589" s="465">
        <v>1162.8</v>
      </c>
      <c r="V589" s="465">
        <v>13680</v>
      </c>
      <c r="W589" s="466">
        <v>0</v>
      </c>
      <c r="X589" s="467">
        <v>1</v>
      </c>
      <c r="Y589" s="466">
        <v>22264.2</v>
      </c>
      <c r="Z589" s="468" t="s">
        <v>516</v>
      </c>
      <c r="AA589" s="466">
        <v>96805.8</v>
      </c>
      <c r="AB589" s="466">
        <v>96805.8</v>
      </c>
      <c r="AC589" s="467">
        <v>0</v>
      </c>
      <c r="AD589" s="466">
        <v>0</v>
      </c>
      <c r="AE589" s="468" t="s">
        <v>516</v>
      </c>
      <c r="AF589" s="466">
        <v>0</v>
      </c>
      <c r="AG589" s="466">
        <v>0</v>
      </c>
      <c r="AH589" s="466">
        <v>31685.66</v>
      </c>
      <c r="AI589" s="466">
        <v>7243.09</v>
      </c>
      <c r="AJ589" s="469" t="s">
        <v>1560</v>
      </c>
      <c r="AK589" s="470" t="s">
        <v>1776</v>
      </c>
      <c r="AL589" s="471" t="s">
        <v>5787</v>
      </c>
      <c r="AM589" s="470" t="s">
        <v>5788</v>
      </c>
      <c r="AN589" s="470" t="s">
        <v>5785</v>
      </c>
      <c r="AO589" s="470" t="s">
        <v>14997</v>
      </c>
      <c r="AP589" s="470" t="s">
        <v>5789</v>
      </c>
      <c r="AQ589" s="470" t="s">
        <v>5783</v>
      </c>
      <c r="AR589" s="472" t="s">
        <v>515</v>
      </c>
      <c r="AS589" s="473" t="s">
        <v>1385</v>
      </c>
      <c r="AT589" s="472" t="s">
        <v>1390</v>
      </c>
      <c r="AU589" s="472" t="s">
        <v>420</v>
      </c>
      <c r="AV589" s="472">
        <v>2020</v>
      </c>
      <c r="AW589" s="474" t="s">
        <v>15078</v>
      </c>
      <c r="AX589" s="475" t="s">
        <v>15079</v>
      </c>
      <c r="AY589" s="515">
        <v>1</v>
      </c>
      <c r="AZ589" s="474" t="s">
        <v>15079</v>
      </c>
      <c r="BA589" s="472" t="s">
        <v>1390</v>
      </c>
      <c r="BB589" s="472" t="s">
        <v>1385</v>
      </c>
      <c r="BC589" s="472" t="s">
        <v>1385</v>
      </c>
      <c r="BD589" s="472" t="s">
        <v>1385</v>
      </c>
      <c r="BE589" s="472" t="s">
        <v>1385</v>
      </c>
      <c r="BF589" s="509">
        <v>22264.2</v>
      </c>
      <c r="BG589" s="509">
        <v>0</v>
      </c>
      <c r="BH589" s="472" t="s">
        <v>1385</v>
      </c>
      <c r="BI589" s="510">
        <v>0</v>
      </c>
      <c r="BJ589" s="510">
        <v>0</v>
      </c>
      <c r="BK589" s="510">
        <v>0</v>
      </c>
      <c r="BL589" s="510">
        <v>0</v>
      </c>
      <c r="BM589" s="510">
        <v>0</v>
      </c>
      <c r="BN589" s="510">
        <v>3500</v>
      </c>
      <c r="BO589" s="510">
        <v>0</v>
      </c>
      <c r="BP589" s="510">
        <v>0</v>
      </c>
      <c r="BQ589" s="510">
        <v>0</v>
      </c>
      <c r="BR589" s="510">
        <v>0</v>
      </c>
      <c r="BS589" s="510">
        <v>0</v>
      </c>
      <c r="BT589" s="510">
        <v>0</v>
      </c>
      <c r="BU589" s="510">
        <v>0</v>
      </c>
      <c r="BV589" s="510">
        <v>0</v>
      </c>
      <c r="BW589" s="510">
        <v>0</v>
      </c>
      <c r="BX589" s="510">
        <v>30000</v>
      </c>
      <c r="BY589" s="1011">
        <v>0</v>
      </c>
      <c r="BZ589" s="510">
        <v>0</v>
      </c>
      <c r="CA589" s="1011">
        <v>0</v>
      </c>
      <c r="CB589" s="510">
        <v>0</v>
      </c>
      <c r="CC589" s="1011">
        <v>0</v>
      </c>
      <c r="CD589" s="510">
        <v>0</v>
      </c>
      <c r="CE589" s="1011">
        <v>0</v>
      </c>
      <c r="CF589" s="510">
        <v>44541.599999999999</v>
      </c>
      <c r="CG589" s="1011">
        <v>0</v>
      </c>
      <c r="CH589" s="510">
        <v>0</v>
      </c>
      <c r="CI589" s="1011">
        <v>0</v>
      </c>
    </row>
    <row r="590" spans="1:87" x14ac:dyDescent="0.2">
      <c r="A590" s="449">
        <v>75</v>
      </c>
      <c r="B590" s="453">
        <v>90778</v>
      </c>
      <c r="C590" s="454" t="s">
        <v>5790</v>
      </c>
      <c r="D590" s="454" t="s">
        <v>1390</v>
      </c>
      <c r="E590" s="454" t="s">
        <v>5791</v>
      </c>
      <c r="F590" s="454" t="s">
        <v>518</v>
      </c>
      <c r="G590" s="454" t="s">
        <v>13290</v>
      </c>
      <c r="H590" s="455">
        <v>52027083000106</v>
      </c>
      <c r="I590" s="462">
        <v>30258</v>
      </c>
      <c r="J590" s="457">
        <v>37469380</v>
      </c>
      <c r="K590" s="454" t="s">
        <v>5793</v>
      </c>
      <c r="L590" s="458">
        <v>21</v>
      </c>
      <c r="M590" s="454" t="s">
        <v>518</v>
      </c>
      <c r="N590" s="459">
        <v>8255030</v>
      </c>
      <c r="O590" s="460">
        <v>25215541</v>
      </c>
      <c r="P590" s="462">
        <v>47034</v>
      </c>
      <c r="Q590" s="462">
        <v>44</v>
      </c>
      <c r="R590" s="462">
        <v>43934</v>
      </c>
      <c r="S590" s="463">
        <v>259</v>
      </c>
      <c r="T590" s="464">
        <v>3.6</v>
      </c>
      <c r="U590" s="465">
        <v>932.4</v>
      </c>
      <c r="V590" s="465">
        <v>12240</v>
      </c>
      <c r="W590" s="466">
        <v>0</v>
      </c>
      <c r="X590" s="467">
        <v>1</v>
      </c>
      <c r="Y590" s="466">
        <v>19758.599999999999</v>
      </c>
      <c r="Z590" s="468" t="s">
        <v>516</v>
      </c>
      <c r="AA590" s="466">
        <v>91182.6</v>
      </c>
      <c r="AB590" s="466">
        <v>91182.6</v>
      </c>
      <c r="AC590" s="467">
        <v>0</v>
      </c>
      <c r="AD590" s="466">
        <v>0</v>
      </c>
      <c r="AE590" s="468" t="s">
        <v>516</v>
      </c>
      <c r="AF590" s="466">
        <v>0</v>
      </c>
      <c r="AG590" s="466">
        <v>0</v>
      </c>
      <c r="AH590" s="466">
        <v>17822.16</v>
      </c>
      <c r="AI590" s="466">
        <v>3081.79</v>
      </c>
      <c r="AJ590" s="469" t="s">
        <v>1674</v>
      </c>
      <c r="AK590" s="470" t="s">
        <v>518</v>
      </c>
      <c r="AL590" s="471" t="s">
        <v>5794</v>
      </c>
      <c r="AM590" s="470" t="s">
        <v>5795</v>
      </c>
      <c r="AN590" s="470" t="s">
        <v>5792</v>
      </c>
      <c r="AO590" s="470" t="s">
        <v>14998</v>
      </c>
      <c r="AP590" s="470" t="s">
        <v>5796</v>
      </c>
      <c r="AQ590" s="470" t="s">
        <v>5797</v>
      </c>
      <c r="AR590" s="472" t="s">
        <v>515</v>
      </c>
      <c r="AS590" s="473" t="s">
        <v>1385</v>
      </c>
      <c r="AT590" s="472" t="s">
        <v>1390</v>
      </c>
      <c r="AU590" s="472" t="s">
        <v>420</v>
      </c>
      <c r="AV590" s="472">
        <v>2020</v>
      </c>
      <c r="AW590" s="474" t="s">
        <v>15078</v>
      </c>
      <c r="AX590" s="475" t="s">
        <v>15079</v>
      </c>
      <c r="AY590" s="515">
        <v>1</v>
      </c>
      <c r="AZ590" s="474" t="s">
        <v>15079</v>
      </c>
      <c r="BA590" s="472" t="s">
        <v>1390</v>
      </c>
      <c r="BB590" s="472" t="s">
        <v>1385</v>
      </c>
      <c r="BC590" s="472" t="s">
        <v>1385</v>
      </c>
      <c r="BD590" s="472" t="s">
        <v>1385</v>
      </c>
      <c r="BE590" s="472" t="s">
        <v>1385</v>
      </c>
      <c r="BF590" s="472">
        <v>19758.599999999999</v>
      </c>
      <c r="BG590" s="472">
        <v>0</v>
      </c>
      <c r="BH590" s="472" t="s">
        <v>1385</v>
      </c>
      <c r="BI590" s="510">
        <v>0</v>
      </c>
      <c r="BJ590" s="510">
        <v>0.8</v>
      </c>
      <c r="BK590" s="510">
        <v>0</v>
      </c>
      <c r="BL590" s="510">
        <v>0</v>
      </c>
      <c r="BM590" s="510">
        <v>0</v>
      </c>
      <c r="BN590" s="510">
        <v>2000</v>
      </c>
      <c r="BO590" s="510">
        <v>0</v>
      </c>
      <c r="BP590" s="510">
        <v>0</v>
      </c>
      <c r="BQ590" s="510">
        <v>0</v>
      </c>
      <c r="BR590" s="510">
        <v>0</v>
      </c>
      <c r="BS590" s="510">
        <v>0</v>
      </c>
      <c r="BT590" s="510">
        <v>0</v>
      </c>
      <c r="BU590" s="510">
        <v>0</v>
      </c>
      <c r="BV590" s="510">
        <v>0</v>
      </c>
      <c r="BW590" s="510">
        <v>0</v>
      </c>
      <c r="BX590" s="510">
        <v>30000</v>
      </c>
      <c r="BY590" s="1011">
        <v>0</v>
      </c>
      <c r="BZ590" s="510">
        <v>0</v>
      </c>
      <c r="CA590" s="1011">
        <v>0</v>
      </c>
      <c r="CB590" s="510">
        <v>0</v>
      </c>
      <c r="CC590" s="1011">
        <v>0</v>
      </c>
      <c r="CD590" s="510">
        <v>0</v>
      </c>
      <c r="CE590" s="1011">
        <v>0</v>
      </c>
      <c r="CF590" s="510">
        <v>41424</v>
      </c>
      <c r="CG590" s="1011">
        <v>0</v>
      </c>
      <c r="CH590" s="510">
        <v>0</v>
      </c>
      <c r="CI590" s="1011">
        <v>0</v>
      </c>
    </row>
    <row r="591" spans="1:87" x14ac:dyDescent="0.2">
      <c r="A591" s="449">
        <v>66</v>
      </c>
      <c r="B591" s="453">
        <v>90786</v>
      </c>
      <c r="C591" s="454" t="s">
        <v>5798</v>
      </c>
      <c r="D591" s="454" t="s">
        <v>1390</v>
      </c>
      <c r="E591" s="454" t="s">
        <v>5799</v>
      </c>
      <c r="F591" s="454" t="s">
        <v>518</v>
      </c>
      <c r="G591" s="454" t="s">
        <v>13291</v>
      </c>
      <c r="H591" s="455">
        <v>50997600000144</v>
      </c>
      <c r="I591" s="462">
        <v>30229</v>
      </c>
      <c r="J591" s="457">
        <v>37411209</v>
      </c>
      <c r="K591" s="454" t="s">
        <v>5801</v>
      </c>
      <c r="L591" s="458">
        <v>645</v>
      </c>
      <c r="M591" s="454" t="s">
        <v>518</v>
      </c>
      <c r="N591" s="459">
        <v>8290001</v>
      </c>
      <c r="O591" s="460">
        <v>22056280</v>
      </c>
      <c r="P591" s="462">
        <v>46925</v>
      </c>
      <c r="Q591" s="462">
        <v>35</v>
      </c>
      <c r="R591" s="462">
        <v>43934</v>
      </c>
      <c r="S591" s="463">
        <v>164</v>
      </c>
      <c r="T591" s="464">
        <v>3.6</v>
      </c>
      <c r="U591" s="465">
        <v>590.4</v>
      </c>
      <c r="V591" s="465">
        <v>10800</v>
      </c>
      <c r="W591" s="466">
        <v>0</v>
      </c>
      <c r="X591" s="467">
        <v>1</v>
      </c>
      <c r="Y591" s="466">
        <v>17085.599999999999</v>
      </c>
      <c r="Z591" s="468" t="s">
        <v>516</v>
      </c>
      <c r="AA591" s="466">
        <v>84909.6</v>
      </c>
      <c r="AB591" s="466">
        <v>84909.6</v>
      </c>
      <c r="AC591" s="467">
        <v>0</v>
      </c>
      <c r="AD591" s="466">
        <v>0</v>
      </c>
      <c r="AE591" s="468" t="s">
        <v>516</v>
      </c>
      <c r="AF591" s="466">
        <v>0</v>
      </c>
      <c r="AG591" s="466">
        <v>0</v>
      </c>
      <c r="AH591" s="466">
        <v>18135.38</v>
      </c>
      <c r="AI591" s="466">
        <v>3727.64</v>
      </c>
      <c r="AJ591" s="469" t="s">
        <v>1674</v>
      </c>
      <c r="AK591" s="470" t="s">
        <v>518</v>
      </c>
      <c r="AL591" s="471" t="s">
        <v>5802</v>
      </c>
      <c r="AM591" s="470" t="s">
        <v>5803</v>
      </c>
      <c r="AN591" s="470" t="s">
        <v>5800</v>
      </c>
      <c r="AO591" s="470" t="s">
        <v>14999</v>
      </c>
      <c r="AP591" s="470" t="s">
        <v>5804</v>
      </c>
      <c r="AQ591" s="470" t="s">
        <v>5798</v>
      </c>
      <c r="AR591" s="472" t="s">
        <v>515</v>
      </c>
      <c r="AS591" s="473" t="s">
        <v>1385</v>
      </c>
      <c r="AT591" s="472" t="s">
        <v>1390</v>
      </c>
      <c r="AU591" s="472" t="s">
        <v>420</v>
      </c>
      <c r="AV591" s="472">
        <v>2020</v>
      </c>
      <c r="AW591" s="474" t="s">
        <v>15078</v>
      </c>
      <c r="AX591" s="475" t="s">
        <v>15079</v>
      </c>
      <c r="AY591" s="515">
        <v>1</v>
      </c>
      <c r="AZ591" s="474" t="s">
        <v>15079</v>
      </c>
      <c r="BA591" s="472" t="s">
        <v>1390</v>
      </c>
      <c r="BB591" s="472" t="s">
        <v>1385</v>
      </c>
      <c r="BC591" s="472" t="s">
        <v>1385</v>
      </c>
      <c r="BD591" s="472" t="s">
        <v>1385</v>
      </c>
      <c r="BE591" s="472" t="s">
        <v>1385</v>
      </c>
      <c r="BF591" s="472">
        <v>17085.599999999999</v>
      </c>
      <c r="BG591" s="472">
        <v>0</v>
      </c>
      <c r="BH591" s="472" t="s">
        <v>1385</v>
      </c>
      <c r="BI591" s="510">
        <v>0</v>
      </c>
      <c r="BJ591" s="510">
        <v>0</v>
      </c>
      <c r="BK591" s="510">
        <v>0</v>
      </c>
      <c r="BL591" s="510">
        <v>0</v>
      </c>
      <c r="BM591" s="510">
        <v>0</v>
      </c>
      <c r="BN591" s="510">
        <v>3000</v>
      </c>
      <c r="BO591" s="510">
        <v>0</v>
      </c>
      <c r="BP591" s="510">
        <v>0</v>
      </c>
      <c r="BQ591" s="510">
        <v>0</v>
      </c>
      <c r="BR591" s="510">
        <v>0</v>
      </c>
      <c r="BS591" s="510">
        <v>0</v>
      </c>
      <c r="BT591" s="510">
        <v>0</v>
      </c>
      <c r="BU591" s="510">
        <v>0</v>
      </c>
      <c r="BV591" s="510">
        <v>0</v>
      </c>
      <c r="BW591" s="510">
        <v>0</v>
      </c>
      <c r="BX591" s="510">
        <v>30000</v>
      </c>
      <c r="BY591" s="1011">
        <v>0</v>
      </c>
      <c r="BZ591" s="510">
        <v>0</v>
      </c>
      <c r="CA591" s="1011">
        <v>0</v>
      </c>
      <c r="CB591" s="510">
        <v>0</v>
      </c>
      <c r="CC591" s="1011">
        <v>0</v>
      </c>
      <c r="CD591" s="510">
        <v>0</v>
      </c>
      <c r="CE591" s="1011">
        <v>0</v>
      </c>
      <c r="CF591" s="510">
        <v>37824</v>
      </c>
      <c r="CG591" s="1011">
        <v>0</v>
      </c>
      <c r="CH591" s="510">
        <v>0</v>
      </c>
      <c r="CI591" s="1011">
        <v>0</v>
      </c>
    </row>
    <row r="592" spans="1:87" x14ac:dyDescent="0.2">
      <c r="A592" s="449">
        <v>57</v>
      </c>
      <c r="B592" s="453">
        <v>90794</v>
      </c>
      <c r="C592" s="454" t="s">
        <v>5805</v>
      </c>
      <c r="D592" s="454" t="s">
        <v>1390</v>
      </c>
      <c r="E592" s="454" t="s">
        <v>5806</v>
      </c>
      <c r="F592" s="454" t="s">
        <v>518</v>
      </c>
      <c r="G592" s="454" t="s">
        <v>13292</v>
      </c>
      <c r="H592" s="455">
        <v>50957158000122</v>
      </c>
      <c r="I592" s="462">
        <v>30202</v>
      </c>
      <c r="J592" s="457">
        <v>37497502</v>
      </c>
      <c r="K592" s="454" t="s">
        <v>5808</v>
      </c>
      <c r="L592" s="458">
        <v>395</v>
      </c>
      <c r="M592" s="454" t="s">
        <v>5809</v>
      </c>
      <c r="N592" s="459">
        <v>8210660</v>
      </c>
      <c r="O592" s="460">
        <v>22059184</v>
      </c>
      <c r="P592" s="462">
        <v>46763</v>
      </c>
      <c r="Q592" s="462">
        <v>26</v>
      </c>
      <c r="R592" s="462">
        <v>43934</v>
      </c>
      <c r="S592" s="463">
        <v>448</v>
      </c>
      <c r="T592" s="464">
        <v>3.6</v>
      </c>
      <c r="U592" s="465">
        <v>1612.8</v>
      </c>
      <c r="V592" s="465">
        <v>15120</v>
      </c>
      <c r="W592" s="466">
        <v>0</v>
      </c>
      <c r="X592" s="467">
        <v>1</v>
      </c>
      <c r="Y592" s="466">
        <v>25099.200000000001</v>
      </c>
      <c r="Z592" s="468" t="s">
        <v>516</v>
      </c>
      <c r="AA592" s="466">
        <v>103651.2</v>
      </c>
      <c r="AB592" s="466">
        <v>103651.2</v>
      </c>
      <c r="AC592" s="467">
        <v>0</v>
      </c>
      <c r="AD592" s="466">
        <v>0</v>
      </c>
      <c r="AE592" s="468" t="s">
        <v>516</v>
      </c>
      <c r="AF592" s="466">
        <v>0</v>
      </c>
      <c r="AG592" s="466">
        <v>0</v>
      </c>
      <c r="AH592" s="466">
        <v>15447.74</v>
      </c>
      <c r="AI592" s="466">
        <v>8007.2</v>
      </c>
      <c r="AJ592" s="469" t="s">
        <v>1674</v>
      </c>
      <c r="AK592" s="470" t="s">
        <v>518</v>
      </c>
      <c r="AL592" s="471" t="s">
        <v>5810</v>
      </c>
      <c r="AM592" s="470" t="s">
        <v>5811</v>
      </c>
      <c r="AN592" s="470" t="s">
        <v>5807</v>
      </c>
      <c r="AO592" s="470" t="s">
        <v>15000</v>
      </c>
      <c r="AP592" s="470" t="s">
        <v>5812</v>
      </c>
      <c r="AQ592" s="470" t="s">
        <v>5805</v>
      </c>
      <c r="AR592" s="472" t="s">
        <v>515</v>
      </c>
      <c r="AS592" s="473" t="s">
        <v>1385</v>
      </c>
      <c r="AT592" s="472" t="s">
        <v>1390</v>
      </c>
      <c r="AU592" s="472" t="s">
        <v>420</v>
      </c>
      <c r="AV592" s="472">
        <v>2020</v>
      </c>
      <c r="AW592" s="474" t="s">
        <v>15078</v>
      </c>
      <c r="AX592" s="475" t="s">
        <v>15079</v>
      </c>
      <c r="AY592" s="515">
        <v>1</v>
      </c>
      <c r="AZ592" s="474" t="s">
        <v>15079</v>
      </c>
      <c r="BA592" s="472" t="s">
        <v>1390</v>
      </c>
      <c r="BB592" s="472" t="s">
        <v>1385</v>
      </c>
      <c r="BC592" s="472" t="s">
        <v>1385</v>
      </c>
      <c r="BD592" s="472" t="s">
        <v>1385</v>
      </c>
      <c r="BE592" s="472" t="s">
        <v>1385</v>
      </c>
      <c r="BF592" s="472">
        <v>25099.200000000001</v>
      </c>
      <c r="BG592" s="472">
        <v>0</v>
      </c>
      <c r="BH592" s="472" t="s">
        <v>1385</v>
      </c>
      <c r="BI592" s="510">
        <v>0</v>
      </c>
      <c r="BJ592" s="510">
        <v>0</v>
      </c>
      <c r="BK592" s="510">
        <v>0</v>
      </c>
      <c r="BL592" s="510">
        <v>0</v>
      </c>
      <c r="BM592" s="510">
        <v>0</v>
      </c>
      <c r="BN592" s="510">
        <v>4000</v>
      </c>
      <c r="BO592" s="510">
        <v>0</v>
      </c>
      <c r="BP592" s="510">
        <v>0</v>
      </c>
      <c r="BQ592" s="510">
        <v>0</v>
      </c>
      <c r="BR592" s="510">
        <v>0</v>
      </c>
      <c r="BS592" s="510">
        <v>0</v>
      </c>
      <c r="BT592" s="510">
        <v>0</v>
      </c>
      <c r="BU592" s="510">
        <v>0</v>
      </c>
      <c r="BV592" s="510">
        <v>0</v>
      </c>
      <c r="BW592" s="510">
        <v>0</v>
      </c>
      <c r="BX592" s="510">
        <v>30000</v>
      </c>
      <c r="BY592" s="1011">
        <v>0</v>
      </c>
      <c r="BZ592" s="510">
        <v>0</v>
      </c>
      <c r="CA592" s="1011">
        <v>0</v>
      </c>
      <c r="CB592" s="510">
        <v>0</v>
      </c>
      <c r="CC592" s="1011">
        <v>0</v>
      </c>
      <c r="CD592" s="510">
        <v>0</v>
      </c>
      <c r="CE592" s="1011">
        <v>0</v>
      </c>
      <c r="CF592" s="510">
        <v>48552</v>
      </c>
      <c r="CG592" s="1011">
        <v>0</v>
      </c>
      <c r="CH592" s="510">
        <v>0</v>
      </c>
      <c r="CI592" s="1011">
        <v>0</v>
      </c>
    </row>
    <row r="593" spans="1:87" x14ac:dyDescent="0.2">
      <c r="A593" s="449">
        <v>78</v>
      </c>
      <c r="B593" s="453">
        <v>90808</v>
      </c>
      <c r="C593" s="454" t="s">
        <v>5813</v>
      </c>
      <c r="D593" s="454" t="s">
        <v>1390</v>
      </c>
      <c r="E593" s="454" t="s">
        <v>5814</v>
      </c>
      <c r="F593" s="454" t="s">
        <v>518</v>
      </c>
      <c r="G593" s="454" t="s">
        <v>13293</v>
      </c>
      <c r="H593" s="455">
        <v>50711860000101</v>
      </c>
      <c r="I593" s="462">
        <v>30169</v>
      </c>
      <c r="J593" s="457">
        <v>37469908</v>
      </c>
      <c r="K593" s="454" t="s">
        <v>5816</v>
      </c>
      <c r="L593" s="458">
        <v>100</v>
      </c>
      <c r="M593" s="454" t="s">
        <v>518</v>
      </c>
      <c r="N593" s="459">
        <v>8225160</v>
      </c>
      <c r="O593" s="460">
        <v>29446539</v>
      </c>
      <c r="P593" s="462">
        <v>47085</v>
      </c>
      <c r="Q593" s="462">
        <v>47</v>
      </c>
      <c r="R593" s="462">
        <v>43963</v>
      </c>
      <c r="S593" s="463">
        <v>448</v>
      </c>
      <c r="T593" s="464">
        <v>3.6</v>
      </c>
      <c r="U593" s="465">
        <v>1612.8</v>
      </c>
      <c r="V593" s="465">
        <v>15120</v>
      </c>
      <c r="W593" s="466">
        <v>0</v>
      </c>
      <c r="X593" s="467">
        <v>1</v>
      </c>
      <c r="Y593" s="466">
        <v>25099.200000000001</v>
      </c>
      <c r="Z593" s="468" t="s">
        <v>516</v>
      </c>
      <c r="AA593" s="466">
        <v>103514.4</v>
      </c>
      <c r="AB593" s="466">
        <v>103514.4</v>
      </c>
      <c r="AC593" s="467">
        <v>0</v>
      </c>
      <c r="AD593" s="466">
        <v>0</v>
      </c>
      <c r="AE593" s="468" t="s">
        <v>516</v>
      </c>
      <c r="AF593" s="466">
        <v>0</v>
      </c>
      <c r="AG593" s="466">
        <v>0</v>
      </c>
      <c r="AH593" s="466">
        <v>15192.96</v>
      </c>
      <c r="AI593" s="466">
        <v>5032.0200000000004</v>
      </c>
      <c r="AJ593" s="469" t="s">
        <v>2196</v>
      </c>
      <c r="AK593" s="470" t="s">
        <v>1776</v>
      </c>
      <c r="AL593" s="471" t="s">
        <v>5817</v>
      </c>
      <c r="AM593" s="470" t="s">
        <v>13294</v>
      </c>
      <c r="AN593" s="470" t="s">
        <v>5815</v>
      </c>
      <c r="AO593" s="470" t="s">
        <v>15001</v>
      </c>
      <c r="AP593" s="470" t="s">
        <v>5818</v>
      </c>
      <c r="AQ593" s="470" t="s">
        <v>5813</v>
      </c>
      <c r="AR593" s="472" t="s">
        <v>515</v>
      </c>
      <c r="AS593" s="473" t="s">
        <v>1385</v>
      </c>
      <c r="AT593" s="472" t="s">
        <v>1390</v>
      </c>
      <c r="AU593" s="472" t="s">
        <v>420</v>
      </c>
      <c r="AV593" s="472">
        <v>2020</v>
      </c>
      <c r="AW593" s="474" t="s">
        <v>15078</v>
      </c>
      <c r="AX593" s="475" t="s">
        <v>15079</v>
      </c>
      <c r="AY593" s="515">
        <v>1</v>
      </c>
      <c r="AZ593" s="474" t="s">
        <v>15079</v>
      </c>
      <c r="BA593" s="472" t="s">
        <v>1390</v>
      </c>
      <c r="BB593" s="472" t="s">
        <v>1385</v>
      </c>
      <c r="BC593" s="472" t="s">
        <v>1385</v>
      </c>
      <c r="BD593" s="472" t="s">
        <v>1385</v>
      </c>
      <c r="BE593" s="472" t="s">
        <v>1385</v>
      </c>
      <c r="BF593" s="472">
        <v>25099.200000000001</v>
      </c>
      <c r="BG593" s="472">
        <v>0</v>
      </c>
      <c r="BH593" s="472" t="s">
        <v>1385</v>
      </c>
      <c r="BI593" s="510">
        <v>0</v>
      </c>
      <c r="BJ593" s="510">
        <v>0</v>
      </c>
      <c r="BK593" s="510">
        <v>0</v>
      </c>
      <c r="BL593" s="510">
        <v>0</v>
      </c>
      <c r="BM593" s="510">
        <v>0</v>
      </c>
      <c r="BN593" s="510">
        <v>4000</v>
      </c>
      <c r="BO593" s="510">
        <v>0</v>
      </c>
      <c r="BP593" s="510">
        <v>0</v>
      </c>
      <c r="BQ593" s="510">
        <v>0</v>
      </c>
      <c r="BR593" s="510">
        <v>0</v>
      </c>
      <c r="BS593" s="510">
        <v>0</v>
      </c>
      <c r="BT593" s="510">
        <v>0</v>
      </c>
      <c r="BU593" s="510">
        <v>0</v>
      </c>
      <c r="BV593" s="510">
        <v>0</v>
      </c>
      <c r="BW593" s="510">
        <v>0</v>
      </c>
      <c r="BX593" s="510">
        <v>30000</v>
      </c>
      <c r="BY593" s="1011">
        <v>0</v>
      </c>
      <c r="BZ593" s="510">
        <v>0</v>
      </c>
      <c r="CA593" s="1011">
        <v>0</v>
      </c>
      <c r="CB593" s="510">
        <v>0</v>
      </c>
      <c r="CC593" s="1011">
        <v>0</v>
      </c>
      <c r="CD593" s="510">
        <v>0</v>
      </c>
      <c r="CE593" s="1011">
        <v>0</v>
      </c>
      <c r="CF593" s="510">
        <v>48415.199999999997</v>
      </c>
      <c r="CG593" s="1011">
        <v>0</v>
      </c>
      <c r="CH593" s="510">
        <v>0</v>
      </c>
      <c r="CI593" s="1011">
        <v>0</v>
      </c>
    </row>
    <row r="594" spans="1:87" x14ac:dyDescent="0.2">
      <c r="A594" s="449">
        <v>79</v>
      </c>
      <c r="B594" s="453">
        <v>90816</v>
      </c>
      <c r="C594" s="454" t="s">
        <v>5819</v>
      </c>
      <c r="D594" s="454" t="s">
        <v>1390</v>
      </c>
      <c r="E594" s="454" t="s">
        <v>5820</v>
      </c>
      <c r="F594" s="454" t="s">
        <v>518</v>
      </c>
      <c r="G594" s="454" t="s">
        <v>13295</v>
      </c>
      <c r="H594" s="455">
        <v>50951565000122</v>
      </c>
      <c r="I594" s="462">
        <v>30176</v>
      </c>
      <c r="J594" s="457">
        <v>37470337</v>
      </c>
      <c r="K594" s="454" t="s">
        <v>5822</v>
      </c>
      <c r="L594" s="458">
        <v>757</v>
      </c>
      <c r="M594" s="454" t="s">
        <v>5823</v>
      </c>
      <c r="N594" s="459">
        <v>8248110</v>
      </c>
      <c r="O594" s="460">
        <v>20790030</v>
      </c>
      <c r="P594" s="462">
        <v>47093</v>
      </c>
      <c r="Q594" s="462">
        <v>48</v>
      </c>
      <c r="R594" s="462">
        <v>43964</v>
      </c>
      <c r="S594" s="463">
        <v>376</v>
      </c>
      <c r="T594" s="464">
        <v>3.6</v>
      </c>
      <c r="U594" s="465">
        <v>1353.6</v>
      </c>
      <c r="V594" s="465">
        <v>13680</v>
      </c>
      <c r="W594" s="466">
        <v>0</v>
      </c>
      <c r="X594" s="467">
        <v>1</v>
      </c>
      <c r="Y594" s="466">
        <v>22550.400000000001</v>
      </c>
      <c r="Z594" s="468" t="s">
        <v>516</v>
      </c>
      <c r="AA594" s="466">
        <v>97531.199999999997</v>
      </c>
      <c r="AB594" s="466">
        <v>97531.199999999997</v>
      </c>
      <c r="AC594" s="467">
        <v>0</v>
      </c>
      <c r="AD594" s="466">
        <v>0</v>
      </c>
      <c r="AE594" s="468" t="s">
        <v>516</v>
      </c>
      <c r="AF594" s="466">
        <v>0</v>
      </c>
      <c r="AG594" s="466">
        <v>0</v>
      </c>
      <c r="AH594" s="466">
        <v>15783.85</v>
      </c>
      <c r="AI594" s="466">
        <v>9902.2999999999993</v>
      </c>
      <c r="AJ594" s="469" t="s">
        <v>1674</v>
      </c>
      <c r="AK594" s="470" t="s">
        <v>518</v>
      </c>
      <c r="AL594" s="471" t="s">
        <v>5824</v>
      </c>
      <c r="AM594" s="470" t="s">
        <v>5825</v>
      </c>
      <c r="AN594" s="470" t="s">
        <v>5821</v>
      </c>
      <c r="AO594" s="470" t="s">
        <v>15002</v>
      </c>
      <c r="AP594" s="470" t="s">
        <v>5826</v>
      </c>
      <c r="AQ594" s="470" t="s">
        <v>5819</v>
      </c>
      <c r="AR594" s="472" t="s">
        <v>515</v>
      </c>
      <c r="AS594" s="473" t="s">
        <v>1385</v>
      </c>
      <c r="AT594" s="472" t="s">
        <v>1390</v>
      </c>
      <c r="AU594" s="472" t="s">
        <v>420</v>
      </c>
      <c r="AV594" s="472">
        <v>2020</v>
      </c>
      <c r="AW594" s="474" t="s">
        <v>15078</v>
      </c>
      <c r="AX594" s="475" t="s">
        <v>15079</v>
      </c>
      <c r="AY594" s="515">
        <v>1</v>
      </c>
      <c r="AZ594" s="474" t="s">
        <v>15079</v>
      </c>
      <c r="BA594" s="472" t="s">
        <v>1390</v>
      </c>
      <c r="BB594" s="472" t="s">
        <v>1385</v>
      </c>
      <c r="BC594" s="472" t="s">
        <v>1385</v>
      </c>
      <c r="BD594" s="472" t="s">
        <v>1385</v>
      </c>
      <c r="BE594" s="472" t="s">
        <v>1385</v>
      </c>
      <c r="BF594" s="472">
        <v>22550.400000000001</v>
      </c>
      <c r="BG594" s="472">
        <v>0</v>
      </c>
      <c r="BH594" s="472" t="s">
        <v>1385</v>
      </c>
      <c r="BI594" s="510">
        <v>0</v>
      </c>
      <c r="BJ594" s="510">
        <v>2825.33</v>
      </c>
      <c r="BK594" s="510">
        <v>0</v>
      </c>
      <c r="BL594" s="510">
        <v>0</v>
      </c>
      <c r="BM594" s="510">
        <v>0</v>
      </c>
      <c r="BN594" s="510">
        <v>3500</v>
      </c>
      <c r="BO594" s="510">
        <v>0</v>
      </c>
      <c r="BP594" s="510">
        <v>0</v>
      </c>
      <c r="BQ594" s="510">
        <v>0</v>
      </c>
      <c r="BR594" s="510">
        <v>0</v>
      </c>
      <c r="BS594" s="510">
        <v>0</v>
      </c>
      <c r="BT594" s="510">
        <v>0</v>
      </c>
      <c r="BU594" s="510">
        <v>0</v>
      </c>
      <c r="BV594" s="510">
        <v>0</v>
      </c>
      <c r="BW594" s="510">
        <v>0</v>
      </c>
      <c r="BX594" s="510">
        <v>30000</v>
      </c>
      <c r="BY594" s="1011">
        <v>0</v>
      </c>
      <c r="BZ594" s="510">
        <v>0</v>
      </c>
      <c r="CA594" s="1011">
        <v>0</v>
      </c>
      <c r="CB594" s="510">
        <v>0</v>
      </c>
      <c r="CC594" s="1011">
        <v>0</v>
      </c>
      <c r="CD594" s="510">
        <v>0</v>
      </c>
      <c r="CE594" s="1011">
        <v>0</v>
      </c>
      <c r="CF594" s="510">
        <v>44980.800000000003</v>
      </c>
      <c r="CG594" s="1011">
        <v>0</v>
      </c>
      <c r="CH594" s="510">
        <v>0</v>
      </c>
      <c r="CI594" s="1011">
        <v>0</v>
      </c>
    </row>
    <row r="595" spans="1:87" x14ac:dyDescent="0.2">
      <c r="A595" s="449">
        <v>89</v>
      </c>
      <c r="B595" s="453">
        <v>90824</v>
      </c>
      <c r="C595" s="454" t="s">
        <v>5827</v>
      </c>
      <c r="D595" s="454" t="s">
        <v>1390</v>
      </c>
      <c r="E595" s="454" t="s">
        <v>5828</v>
      </c>
      <c r="F595" s="454" t="s">
        <v>518</v>
      </c>
      <c r="G595" s="454" t="s">
        <v>13296</v>
      </c>
      <c r="H595" s="455">
        <v>52025624000167</v>
      </c>
      <c r="I595" s="462">
        <v>30193</v>
      </c>
      <c r="J595" s="457">
        <v>37469347</v>
      </c>
      <c r="K595" s="454" t="s">
        <v>5830</v>
      </c>
      <c r="L595" s="458">
        <v>590</v>
      </c>
      <c r="M595" s="454" t="s">
        <v>5831</v>
      </c>
      <c r="N595" s="459">
        <v>8420660</v>
      </c>
      <c r="O595" s="460">
        <v>25579738</v>
      </c>
      <c r="P595" s="462">
        <v>47212</v>
      </c>
      <c r="Q595" s="462">
        <v>58</v>
      </c>
      <c r="R595" s="462">
        <v>43934</v>
      </c>
      <c r="S595" s="463">
        <v>273</v>
      </c>
      <c r="T595" s="464">
        <v>3.6</v>
      </c>
      <c r="U595" s="465">
        <v>982.8</v>
      </c>
      <c r="V595" s="465">
        <v>12240</v>
      </c>
      <c r="W595" s="466">
        <v>0</v>
      </c>
      <c r="X595" s="467">
        <v>1</v>
      </c>
      <c r="Y595" s="466">
        <v>19834.2</v>
      </c>
      <c r="Z595" s="468" t="s">
        <v>516</v>
      </c>
      <c r="AA595" s="466">
        <v>91323</v>
      </c>
      <c r="AB595" s="466">
        <v>91323</v>
      </c>
      <c r="AC595" s="467">
        <v>0</v>
      </c>
      <c r="AD595" s="466">
        <v>0</v>
      </c>
      <c r="AE595" s="468" t="s">
        <v>516</v>
      </c>
      <c r="AF595" s="466">
        <v>0</v>
      </c>
      <c r="AG595" s="466">
        <v>0</v>
      </c>
      <c r="AH595" s="466">
        <v>14521.29</v>
      </c>
      <c r="AI595" s="466">
        <v>2221.27</v>
      </c>
      <c r="AJ595" s="469" t="s">
        <v>1674</v>
      </c>
      <c r="AK595" s="470" t="s">
        <v>518</v>
      </c>
      <c r="AL595" s="471" t="s">
        <v>5832</v>
      </c>
      <c r="AM595" s="470" t="s">
        <v>5833</v>
      </c>
      <c r="AN595" s="470" t="s">
        <v>5829</v>
      </c>
      <c r="AO595" s="470" t="s">
        <v>15003</v>
      </c>
      <c r="AP595" s="470" t="s">
        <v>5834</v>
      </c>
      <c r="AQ595" s="470" t="s">
        <v>5827</v>
      </c>
      <c r="AR595" s="472" t="s">
        <v>515</v>
      </c>
      <c r="AS595" s="473" t="s">
        <v>1385</v>
      </c>
      <c r="AT595" s="472" t="s">
        <v>1390</v>
      </c>
      <c r="AU595" s="472" t="s">
        <v>420</v>
      </c>
      <c r="AV595" s="472">
        <v>2020</v>
      </c>
      <c r="AW595" s="474" t="s">
        <v>15078</v>
      </c>
      <c r="AX595" s="475" t="s">
        <v>15079</v>
      </c>
      <c r="AY595" s="515">
        <v>1</v>
      </c>
      <c r="AZ595" s="474" t="s">
        <v>15079</v>
      </c>
      <c r="BA595" s="472" t="s">
        <v>1390</v>
      </c>
      <c r="BB595" s="472" t="s">
        <v>1385</v>
      </c>
      <c r="BC595" s="472" t="s">
        <v>1385</v>
      </c>
      <c r="BD595" s="472" t="s">
        <v>1385</v>
      </c>
      <c r="BE595" s="472" t="s">
        <v>1385</v>
      </c>
      <c r="BF595" s="509">
        <v>19834.2</v>
      </c>
      <c r="BG595" s="509">
        <v>0</v>
      </c>
      <c r="BH595" s="472" t="s">
        <v>1385</v>
      </c>
      <c r="BI595" s="510">
        <v>0</v>
      </c>
      <c r="BJ595" s="510">
        <v>0</v>
      </c>
      <c r="BK595" s="510">
        <v>0</v>
      </c>
      <c r="BL595" s="510">
        <v>0</v>
      </c>
      <c r="BM595" s="510">
        <v>0</v>
      </c>
      <c r="BN595" s="510">
        <v>3500</v>
      </c>
      <c r="BO595" s="510">
        <v>0</v>
      </c>
      <c r="BP595" s="510">
        <v>0</v>
      </c>
      <c r="BQ595" s="510">
        <v>0</v>
      </c>
      <c r="BR595" s="510">
        <v>0</v>
      </c>
      <c r="BS595" s="510">
        <v>0</v>
      </c>
      <c r="BT595" s="510">
        <v>0</v>
      </c>
      <c r="BU595" s="510">
        <v>0</v>
      </c>
      <c r="BV595" s="510">
        <v>0</v>
      </c>
      <c r="BW595" s="510">
        <v>0</v>
      </c>
      <c r="BX595" s="510">
        <v>30000</v>
      </c>
      <c r="BY595" s="1011">
        <v>0</v>
      </c>
      <c r="BZ595" s="510">
        <v>0</v>
      </c>
      <c r="CA595" s="1011">
        <v>0</v>
      </c>
      <c r="CB595" s="510">
        <v>0</v>
      </c>
      <c r="CC595" s="1011">
        <v>0</v>
      </c>
      <c r="CD595" s="510">
        <v>0</v>
      </c>
      <c r="CE595" s="1011">
        <v>0</v>
      </c>
      <c r="CF595" s="510">
        <v>41488.800000000003</v>
      </c>
      <c r="CG595" s="1011">
        <v>0</v>
      </c>
      <c r="CH595" s="510">
        <v>0</v>
      </c>
      <c r="CI595" s="1011">
        <v>0</v>
      </c>
    </row>
    <row r="596" spans="1:87" x14ac:dyDescent="0.2">
      <c r="A596" s="449">
        <v>88</v>
      </c>
      <c r="B596" s="453">
        <v>90832</v>
      </c>
      <c r="C596" s="454" t="s">
        <v>5835</v>
      </c>
      <c r="D596" s="454" t="s">
        <v>1390</v>
      </c>
      <c r="E596" s="454" t="s">
        <v>5836</v>
      </c>
      <c r="F596" s="454" t="s">
        <v>523</v>
      </c>
      <c r="G596" s="454" t="s">
        <v>13297</v>
      </c>
      <c r="H596" s="455">
        <v>50995844000198</v>
      </c>
      <c r="I596" s="462">
        <v>30202</v>
      </c>
      <c r="J596" s="457">
        <v>37629174</v>
      </c>
      <c r="K596" s="454" t="s">
        <v>5838</v>
      </c>
      <c r="L596" s="458">
        <v>4</v>
      </c>
      <c r="M596" s="454" t="s">
        <v>523</v>
      </c>
      <c r="N596" s="459">
        <v>8410150</v>
      </c>
      <c r="O596" s="460">
        <v>25578187</v>
      </c>
      <c r="P596" s="462">
        <v>261303</v>
      </c>
      <c r="Q596" s="462">
        <v>88</v>
      </c>
      <c r="R596" s="462">
        <v>43930</v>
      </c>
      <c r="S596" s="463">
        <v>533</v>
      </c>
      <c r="T596" s="464">
        <v>3.6</v>
      </c>
      <c r="U596" s="465">
        <v>1918.8</v>
      </c>
      <c r="V596" s="465">
        <v>16560</v>
      </c>
      <c r="W596" s="466">
        <v>0</v>
      </c>
      <c r="X596" s="467">
        <v>1</v>
      </c>
      <c r="Y596" s="466">
        <v>27718.2</v>
      </c>
      <c r="Z596" s="468" t="s">
        <v>516</v>
      </c>
      <c r="AA596" s="466">
        <v>109488.6</v>
      </c>
      <c r="AB596" s="466">
        <v>109488.6</v>
      </c>
      <c r="AC596" s="467">
        <v>0</v>
      </c>
      <c r="AD596" s="466">
        <v>0</v>
      </c>
      <c r="AE596" s="468" t="s">
        <v>516</v>
      </c>
      <c r="AF596" s="466">
        <v>0</v>
      </c>
      <c r="AG596" s="466">
        <v>0</v>
      </c>
      <c r="AH596" s="466">
        <v>15372.39</v>
      </c>
      <c r="AI596" s="466">
        <v>7888.74</v>
      </c>
      <c r="AJ596" s="469" t="s">
        <v>1395</v>
      </c>
      <c r="AK596" s="470" t="s">
        <v>523</v>
      </c>
      <c r="AL596" s="471" t="s">
        <v>5839</v>
      </c>
      <c r="AM596" s="470" t="s">
        <v>5840</v>
      </c>
      <c r="AN596" s="470" t="s">
        <v>5837</v>
      </c>
      <c r="AO596" s="470" t="s">
        <v>13298</v>
      </c>
      <c r="AP596" s="470" t="s">
        <v>5841</v>
      </c>
      <c r="AQ596" s="470" t="s">
        <v>5835</v>
      </c>
      <c r="AR596" s="472" t="s">
        <v>515</v>
      </c>
      <c r="AS596" s="473" t="s">
        <v>1385</v>
      </c>
      <c r="AT596" s="472" t="s">
        <v>1390</v>
      </c>
      <c r="AU596" s="472" t="s">
        <v>420</v>
      </c>
      <c r="AV596" s="472">
        <v>2020</v>
      </c>
      <c r="AW596" s="474" t="s">
        <v>15078</v>
      </c>
      <c r="AX596" s="475" t="s">
        <v>15079</v>
      </c>
      <c r="AY596" s="515">
        <v>1</v>
      </c>
      <c r="AZ596" s="474" t="s">
        <v>15079</v>
      </c>
      <c r="BA596" s="472" t="s">
        <v>1390</v>
      </c>
      <c r="BB596" s="472" t="s">
        <v>1385</v>
      </c>
      <c r="BC596" s="472" t="s">
        <v>1385</v>
      </c>
      <c r="BD596" s="472" t="s">
        <v>1385</v>
      </c>
      <c r="BE596" s="472" t="s">
        <v>1385</v>
      </c>
      <c r="BF596" s="472">
        <v>27718.2</v>
      </c>
      <c r="BG596" s="472">
        <v>0</v>
      </c>
      <c r="BH596" s="472" t="s">
        <v>1385</v>
      </c>
      <c r="BI596" s="510">
        <v>0</v>
      </c>
      <c r="BJ596" s="510">
        <v>0</v>
      </c>
      <c r="BK596" s="510">
        <v>0</v>
      </c>
      <c r="BL596" s="510">
        <v>0</v>
      </c>
      <c r="BM596" s="510">
        <v>0</v>
      </c>
      <c r="BN596" s="510">
        <v>4000</v>
      </c>
      <c r="BO596" s="510">
        <v>0</v>
      </c>
      <c r="BP596" s="510">
        <v>0</v>
      </c>
      <c r="BQ596" s="510">
        <v>0</v>
      </c>
      <c r="BR596" s="510">
        <v>0</v>
      </c>
      <c r="BS596" s="510">
        <v>0</v>
      </c>
      <c r="BT596" s="510">
        <v>0</v>
      </c>
      <c r="BU596" s="510">
        <v>0</v>
      </c>
      <c r="BV596" s="510">
        <v>0</v>
      </c>
      <c r="BW596" s="510">
        <v>0</v>
      </c>
      <c r="BX596" s="510">
        <v>30000</v>
      </c>
      <c r="BY596" s="1011">
        <v>0</v>
      </c>
      <c r="BZ596" s="510">
        <v>0</v>
      </c>
      <c r="CA596" s="1011">
        <v>0</v>
      </c>
      <c r="CB596" s="510">
        <v>0</v>
      </c>
      <c r="CC596" s="1011">
        <v>0</v>
      </c>
      <c r="CD596" s="510">
        <v>0</v>
      </c>
      <c r="CE596" s="1011">
        <v>0</v>
      </c>
      <c r="CF596" s="510">
        <v>51770.400000000001</v>
      </c>
      <c r="CG596" s="1011">
        <v>0</v>
      </c>
      <c r="CH596" s="510">
        <v>0</v>
      </c>
      <c r="CI596" s="1011">
        <v>0</v>
      </c>
    </row>
    <row r="597" spans="1:87" x14ac:dyDescent="0.2">
      <c r="A597" s="449">
        <v>75</v>
      </c>
      <c r="B597" s="453">
        <v>90841</v>
      </c>
      <c r="C597" s="454" t="s">
        <v>5842</v>
      </c>
      <c r="D597" s="454" t="s">
        <v>1390</v>
      </c>
      <c r="E597" s="454" t="s">
        <v>5843</v>
      </c>
      <c r="F597" s="454" t="s">
        <v>523</v>
      </c>
      <c r="G597" s="454" t="s">
        <v>13299</v>
      </c>
      <c r="H597" s="455">
        <v>52032786000122</v>
      </c>
      <c r="I597" s="462">
        <v>30286</v>
      </c>
      <c r="J597" s="457">
        <v>37615467</v>
      </c>
      <c r="K597" s="454" t="s">
        <v>5845</v>
      </c>
      <c r="L597" s="458">
        <v>323</v>
      </c>
      <c r="M597" s="454" t="s">
        <v>3472</v>
      </c>
      <c r="N597" s="459">
        <v>8460180</v>
      </c>
      <c r="O597" s="460">
        <v>25570634</v>
      </c>
      <c r="P597" s="462">
        <v>261427</v>
      </c>
      <c r="Q597" s="462">
        <v>75</v>
      </c>
      <c r="R597" s="462">
        <v>43921</v>
      </c>
      <c r="S597" s="463">
        <v>322</v>
      </c>
      <c r="T597" s="464">
        <v>3.6</v>
      </c>
      <c r="U597" s="465">
        <v>1159.2</v>
      </c>
      <c r="V597" s="465">
        <v>13680</v>
      </c>
      <c r="W597" s="466">
        <v>0</v>
      </c>
      <c r="X597" s="467">
        <v>1</v>
      </c>
      <c r="Y597" s="466">
        <v>22258.799999999999</v>
      </c>
      <c r="Z597" s="468" t="s">
        <v>516</v>
      </c>
      <c r="AA597" s="466">
        <v>96886.8</v>
      </c>
      <c r="AB597" s="466">
        <v>96886.8</v>
      </c>
      <c r="AC597" s="467">
        <v>0</v>
      </c>
      <c r="AD597" s="466">
        <v>0</v>
      </c>
      <c r="AE597" s="468" t="s">
        <v>516</v>
      </c>
      <c r="AF597" s="466">
        <v>0</v>
      </c>
      <c r="AG597" s="466">
        <v>0</v>
      </c>
      <c r="AH597" s="466">
        <v>11931.67</v>
      </c>
      <c r="AI597" s="466">
        <v>9180.61</v>
      </c>
      <c r="AJ597" s="469" t="s">
        <v>1395</v>
      </c>
      <c r="AK597" s="470" t="s">
        <v>523</v>
      </c>
      <c r="AL597" s="471" t="s">
        <v>5846</v>
      </c>
      <c r="AM597" s="470" t="s">
        <v>5847</v>
      </c>
      <c r="AN597" s="470" t="s">
        <v>5844</v>
      </c>
      <c r="AO597" s="470" t="s">
        <v>5848</v>
      </c>
      <c r="AP597" s="470" t="s">
        <v>5849</v>
      </c>
      <c r="AQ597" s="470" t="s">
        <v>5842</v>
      </c>
      <c r="AR597" s="472" t="s">
        <v>515</v>
      </c>
      <c r="AS597" s="473" t="s">
        <v>1385</v>
      </c>
      <c r="AT597" s="472" t="s">
        <v>1390</v>
      </c>
      <c r="AU597" s="472" t="s">
        <v>420</v>
      </c>
      <c r="AV597" s="472">
        <v>2020</v>
      </c>
      <c r="AW597" s="474" t="s">
        <v>15078</v>
      </c>
      <c r="AX597" s="475" t="s">
        <v>15079</v>
      </c>
      <c r="AY597" s="515">
        <v>1</v>
      </c>
      <c r="AZ597" s="474" t="s">
        <v>15079</v>
      </c>
      <c r="BA597" s="472" t="s">
        <v>1390</v>
      </c>
      <c r="BB597" s="472" t="s">
        <v>1385</v>
      </c>
      <c r="BC597" s="472" t="s">
        <v>1385</v>
      </c>
      <c r="BD597" s="472" t="s">
        <v>1385</v>
      </c>
      <c r="BE597" s="472" t="s">
        <v>1385</v>
      </c>
      <c r="BF597" s="472">
        <v>22258.799999999999</v>
      </c>
      <c r="BG597" s="472">
        <v>0</v>
      </c>
      <c r="BH597" s="472" t="s">
        <v>1385</v>
      </c>
      <c r="BI597" s="510">
        <v>0</v>
      </c>
      <c r="BJ597" s="510">
        <v>0</v>
      </c>
      <c r="BK597" s="510">
        <v>0</v>
      </c>
      <c r="BL597" s="510">
        <v>0</v>
      </c>
      <c r="BM597" s="510">
        <v>0</v>
      </c>
      <c r="BN597" s="510">
        <v>3500</v>
      </c>
      <c r="BO597" s="510">
        <v>0</v>
      </c>
      <c r="BP597" s="510">
        <v>0</v>
      </c>
      <c r="BQ597" s="510">
        <v>0</v>
      </c>
      <c r="BR597" s="510">
        <v>0</v>
      </c>
      <c r="BS597" s="510">
        <v>0</v>
      </c>
      <c r="BT597" s="510">
        <v>0</v>
      </c>
      <c r="BU597" s="510">
        <v>0</v>
      </c>
      <c r="BV597" s="510">
        <v>0</v>
      </c>
      <c r="BW597" s="510">
        <v>0</v>
      </c>
      <c r="BX597" s="510">
        <v>30000</v>
      </c>
      <c r="BY597" s="1011">
        <v>0</v>
      </c>
      <c r="BZ597" s="510">
        <v>0</v>
      </c>
      <c r="CA597" s="1011">
        <v>0</v>
      </c>
      <c r="CB597" s="510">
        <v>0</v>
      </c>
      <c r="CC597" s="1011">
        <v>0</v>
      </c>
      <c r="CD597" s="510">
        <v>0</v>
      </c>
      <c r="CE597" s="1011">
        <v>0</v>
      </c>
      <c r="CF597" s="510">
        <v>44628</v>
      </c>
      <c r="CG597" s="1011">
        <v>0</v>
      </c>
      <c r="CH597" s="510">
        <v>0</v>
      </c>
      <c r="CI597" s="1011">
        <v>0</v>
      </c>
    </row>
    <row r="598" spans="1:87" x14ac:dyDescent="0.2">
      <c r="A598" s="449">
        <v>90</v>
      </c>
      <c r="B598" s="453">
        <v>90859</v>
      </c>
      <c r="C598" s="454" t="s">
        <v>5850</v>
      </c>
      <c r="D598" s="454" t="s">
        <v>1390</v>
      </c>
      <c r="E598" s="454" t="s">
        <v>5851</v>
      </c>
      <c r="F598" s="454" t="s">
        <v>523</v>
      </c>
      <c r="G598" s="454" t="s">
        <v>13300</v>
      </c>
      <c r="H598" s="455">
        <v>50960418000119</v>
      </c>
      <c r="I598" s="462">
        <v>30175</v>
      </c>
      <c r="J598" s="457">
        <v>37615599</v>
      </c>
      <c r="K598" s="454" t="s">
        <v>5852</v>
      </c>
      <c r="L598" s="458">
        <v>79</v>
      </c>
      <c r="M598" s="454" t="s">
        <v>1950</v>
      </c>
      <c r="N598" s="459">
        <v>8490020</v>
      </c>
      <c r="O598" s="460">
        <v>25552757</v>
      </c>
      <c r="P598" s="462">
        <v>261265</v>
      </c>
      <c r="Q598" s="462">
        <v>90</v>
      </c>
      <c r="R598" s="462">
        <v>43921</v>
      </c>
      <c r="S598" s="463">
        <v>387</v>
      </c>
      <c r="T598" s="464">
        <v>3.6</v>
      </c>
      <c r="U598" s="465">
        <v>1393.2</v>
      </c>
      <c r="V598" s="465">
        <v>13680</v>
      </c>
      <c r="W598" s="466">
        <v>0</v>
      </c>
      <c r="X598" s="467">
        <v>1</v>
      </c>
      <c r="Y598" s="466">
        <v>22609.8</v>
      </c>
      <c r="Z598" s="468" t="s">
        <v>516</v>
      </c>
      <c r="AA598" s="466">
        <v>97785</v>
      </c>
      <c r="AB598" s="466">
        <v>97785</v>
      </c>
      <c r="AC598" s="467">
        <v>0</v>
      </c>
      <c r="AD598" s="466">
        <v>0</v>
      </c>
      <c r="AE598" s="468" t="s">
        <v>516</v>
      </c>
      <c r="AF598" s="466">
        <v>0</v>
      </c>
      <c r="AG598" s="466">
        <v>0</v>
      </c>
      <c r="AH598" s="466">
        <v>14013.55</v>
      </c>
      <c r="AI598" s="466">
        <v>3822.68</v>
      </c>
      <c r="AJ598" s="469" t="s">
        <v>1395</v>
      </c>
      <c r="AK598" s="470" t="s">
        <v>523</v>
      </c>
      <c r="AL598" s="471" t="s">
        <v>5853</v>
      </c>
      <c r="AM598" s="470" t="s">
        <v>5854</v>
      </c>
      <c r="AN598" s="470" t="s">
        <v>1385</v>
      </c>
      <c r="AO598" s="470" t="s">
        <v>13301</v>
      </c>
      <c r="AP598" s="470" t="s">
        <v>5855</v>
      </c>
      <c r="AQ598" s="470" t="s">
        <v>5850</v>
      </c>
      <c r="AR598" s="472" t="s">
        <v>515</v>
      </c>
      <c r="AS598" s="473" t="s">
        <v>1385</v>
      </c>
      <c r="AT598" s="472" t="s">
        <v>1390</v>
      </c>
      <c r="AU598" s="472" t="s">
        <v>420</v>
      </c>
      <c r="AV598" s="472">
        <v>2020</v>
      </c>
      <c r="AW598" s="474" t="s">
        <v>15078</v>
      </c>
      <c r="AX598" s="475" t="s">
        <v>15079</v>
      </c>
      <c r="AY598" s="515">
        <v>1</v>
      </c>
      <c r="AZ598" s="474" t="s">
        <v>15079</v>
      </c>
      <c r="BA598" s="472" t="s">
        <v>1390</v>
      </c>
      <c r="BB598" s="472" t="s">
        <v>1385</v>
      </c>
      <c r="BC598" s="472" t="s">
        <v>1385</v>
      </c>
      <c r="BD598" s="472" t="s">
        <v>1385</v>
      </c>
      <c r="BE598" s="472" t="s">
        <v>1385</v>
      </c>
      <c r="BF598" s="472">
        <v>22609.8</v>
      </c>
      <c r="BG598" s="472">
        <v>0</v>
      </c>
      <c r="BH598" s="472" t="s">
        <v>1385</v>
      </c>
      <c r="BI598" s="510">
        <v>0</v>
      </c>
      <c r="BJ598" s="510">
        <v>0</v>
      </c>
      <c r="BK598" s="510">
        <v>0</v>
      </c>
      <c r="BL598" s="510">
        <v>0</v>
      </c>
      <c r="BM598" s="510">
        <v>0</v>
      </c>
      <c r="BN598" s="510">
        <v>3500</v>
      </c>
      <c r="BO598" s="510">
        <v>0</v>
      </c>
      <c r="BP598" s="510">
        <v>0</v>
      </c>
      <c r="BQ598" s="510">
        <v>0</v>
      </c>
      <c r="BR598" s="510">
        <v>0</v>
      </c>
      <c r="BS598" s="510">
        <v>0</v>
      </c>
      <c r="BT598" s="510">
        <v>0</v>
      </c>
      <c r="BU598" s="510">
        <v>0</v>
      </c>
      <c r="BV598" s="510">
        <v>0</v>
      </c>
      <c r="BW598" s="510">
        <v>0</v>
      </c>
      <c r="BX598" s="510">
        <v>30000</v>
      </c>
      <c r="BY598" s="1011">
        <v>0</v>
      </c>
      <c r="BZ598" s="510">
        <v>0</v>
      </c>
      <c r="CA598" s="1011">
        <v>0</v>
      </c>
      <c r="CB598" s="510">
        <v>0</v>
      </c>
      <c r="CC598" s="1011">
        <v>0</v>
      </c>
      <c r="CD598" s="510">
        <v>0</v>
      </c>
      <c r="CE598" s="1011">
        <v>0</v>
      </c>
      <c r="CF598" s="510">
        <v>45175.199999999997</v>
      </c>
      <c r="CG598" s="1011">
        <v>0</v>
      </c>
      <c r="CH598" s="510">
        <v>0</v>
      </c>
      <c r="CI598" s="1011">
        <v>0</v>
      </c>
    </row>
    <row r="599" spans="1:87" x14ac:dyDescent="0.2">
      <c r="A599" s="449">
        <v>123</v>
      </c>
      <c r="B599" s="453">
        <v>90867</v>
      </c>
      <c r="C599" s="454" t="s">
        <v>5856</v>
      </c>
      <c r="D599" s="454" t="s">
        <v>1390</v>
      </c>
      <c r="E599" s="454" t="s">
        <v>5857</v>
      </c>
      <c r="F599" s="454" t="s">
        <v>513</v>
      </c>
      <c r="G599" s="454" t="s">
        <v>13302</v>
      </c>
      <c r="H599" s="455">
        <v>52160694000128</v>
      </c>
      <c r="I599" s="462">
        <v>30342</v>
      </c>
      <c r="J599" s="457">
        <v>37531484</v>
      </c>
      <c r="K599" s="454" t="s">
        <v>5858</v>
      </c>
      <c r="L599" s="458">
        <v>154</v>
      </c>
      <c r="M599" s="454" t="s">
        <v>5859</v>
      </c>
      <c r="N599" s="459">
        <v>8380520</v>
      </c>
      <c r="O599" s="460">
        <v>27312774</v>
      </c>
      <c r="P599" s="462">
        <v>154221</v>
      </c>
      <c r="Q599" s="462">
        <v>123</v>
      </c>
      <c r="R599" s="462">
        <v>43937</v>
      </c>
      <c r="S599" s="463">
        <v>579</v>
      </c>
      <c r="T599" s="464">
        <v>3.6</v>
      </c>
      <c r="U599" s="465">
        <v>2084.4</v>
      </c>
      <c r="V599" s="465">
        <v>16560</v>
      </c>
      <c r="W599" s="466">
        <v>0</v>
      </c>
      <c r="X599" s="467">
        <v>1</v>
      </c>
      <c r="Y599" s="466">
        <v>27966.6</v>
      </c>
      <c r="Z599" s="468" t="s">
        <v>516</v>
      </c>
      <c r="AA599" s="466">
        <v>110399.4</v>
      </c>
      <c r="AB599" s="466">
        <v>110399.4</v>
      </c>
      <c r="AC599" s="467">
        <v>0</v>
      </c>
      <c r="AD599" s="466">
        <v>0</v>
      </c>
      <c r="AE599" s="468" t="s">
        <v>516</v>
      </c>
      <c r="AF599" s="466">
        <v>0</v>
      </c>
      <c r="AG599" s="466">
        <v>0</v>
      </c>
      <c r="AH599" s="466">
        <v>15177.83</v>
      </c>
      <c r="AI599" s="466">
        <v>6629.35</v>
      </c>
      <c r="AJ599" s="469" t="s">
        <v>2520</v>
      </c>
      <c r="AK599" s="470" t="s">
        <v>2521</v>
      </c>
      <c r="AL599" s="471" t="s">
        <v>5860</v>
      </c>
      <c r="AM599" s="470" t="s">
        <v>5861</v>
      </c>
      <c r="AN599" s="470" t="s">
        <v>1385</v>
      </c>
      <c r="AO599" s="470" t="s">
        <v>5862</v>
      </c>
      <c r="AP599" s="470" t="s">
        <v>5863</v>
      </c>
      <c r="AQ599" s="470" t="s">
        <v>5856</v>
      </c>
      <c r="AR599" s="472" t="s">
        <v>515</v>
      </c>
      <c r="AS599" s="473" t="s">
        <v>1385</v>
      </c>
      <c r="AT599" s="472" t="s">
        <v>1390</v>
      </c>
      <c r="AU599" s="472" t="s">
        <v>420</v>
      </c>
      <c r="AV599" s="472">
        <v>2020</v>
      </c>
      <c r="AW599" s="474" t="s">
        <v>15078</v>
      </c>
      <c r="AX599" s="475" t="s">
        <v>15079</v>
      </c>
      <c r="AY599" s="515">
        <v>1</v>
      </c>
      <c r="AZ599" s="474" t="s">
        <v>15079</v>
      </c>
      <c r="BA599" s="472" t="s">
        <v>1390</v>
      </c>
      <c r="BB599" s="472" t="s">
        <v>1385</v>
      </c>
      <c r="BC599" s="472" t="s">
        <v>1385</v>
      </c>
      <c r="BD599" s="472" t="s">
        <v>1385</v>
      </c>
      <c r="BE599" s="472" t="s">
        <v>1385</v>
      </c>
      <c r="BF599" s="509">
        <v>27966.6</v>
      </c>
      <c r="BG599" s="509">
        <v>0</v>
      </c>
      <c r="BH599" s="472" t="s">
        <v>1385</v>
      </c>
      <c r="BI599" s="510">
        <v>0</v>
      </c>
      <c r="BJ599" s="510">
        <v>0</v>
      </c>
      <c r="BK599" s="510">
        <v>0</v>
      </c>
      <c r="BL599" s="510">
        <v>0</v>
      </c>
      <c r="BM599" s="510">
        <v>0</v>
      </c>
      <c r="BN599" s="510">
        <v>5000</v>
      </c>
      <c r="BO599" s="510">
        <v>0</v>
      </c>
      <c r="BP599" s="510">
        <v>0</v>
      </c>
      <c r="BQ599" s="510">
        <v>0</v>
      </c>
      <c r="BR599" s="510">
        <v>0</v>
      </c>
      <c r="BS599" s="510">
        <v>0</v>
      </c>
      <c r="BT599" s="510">
        <v>0</v>
      </c>
      <c r="BU599" s="510">
        <v>0</v>
      </c>
      <c r="BV599" s="510">
        <v>0</v>
      </c>
      <c r="BW599" s="510">
        <v>0</v>
      </c>
      <c r="BX599" s="510">
        <v>30000</v>
      </c>
      <c r="BY599" s="1011">
        <v>0</v>
      </c>
      <c r="BZ599" s="510">
        <v>0</v>
      </c>
      <c r="CA599" s="1011">
        <v>0</v>
      </c>
      <c r="CB599" s="510">
        <v>0</v>
      </c>
      <c r="CC599" s="1011">
        <v>0</v>
      </c>
      <c r="CD599" s="510">
        <v>0</v>
      </c>
      <c r="CE599" s="1011">
        <v>0</v>
      </c>
      <c r="CF599" s="510">
        <v>52432.800000000003</v>
      </c>
      <c r="CG599" s="1011">
        <v>0</v>
      </c>
      <c r="CH599" s="510">
        <v>0</v>
      </c>
      <c r="CI599" s="1011">
        <v>0</v>
      </c>
    </row>
    <row r="600" spans="1:87" x14ac:dyDescent="0.2">
      <c r="A600" s="449">
        <v>105</v>
      </c>
      <c r="B600" s="453">
        <v>90875</v>
      </c>
      <c r="C600" s="454" t="s">
        <v>5864</v>
      </c>
      <c r="D600" s="454" t="s">
        <v>1390</v>
      </c>
      <c r="E600" s="454" t="s">
        <v>5865</v>
      </c>
      <c r="F600" s="454" t="s">
        <v>513</v>
      </c>
      <c r="G600" s="454" t="s">
        <v>13303</v>
      </c>
      <c r="H600" s="455">
        <v>52033743000161</v>
      </c>
      <c r="I600" s="462">
        <v>30291</v>
      </c>
      <c r="J600" s="457">
        <v>37531930</v>
      </c>
      <c r="K600" s="454" t="s">
        <v>5866</v>
      </c>
      <c r="L600" s="458">
        <v>5</v>
      </c>
      <c r="M600" s="454" t="s">
        <v>3373</v>
      </c>
      <c r="N600" s="459">
        <v>8341070</v>
      </c>
      <c r="O600" s="460">
        <v>27313522</v>
      </c>
      <c r="P600" s="462">
        <v>151613</v>
      </c>
      <c r="Q600" s="462">
        <v>105</v>
      </c>
      <c r="R600" s="462">
        <v>43937</v>
      </c>
      <c r="S600" s="463">
        <v>435</v>
      </c>
      <c r="T600" s="464">
        <v>3.6</v>
      </c>
      <c r="U600" s="465">
        <v>1566</v>
      </c>
      <c r="V600" s="465">
        <v>15120</v>
      </c>
      <c r="W600" s="466">
        <v>0</v>
      </c>
      <c r="X600" s="467">
        <v>1</v>
      </c>
      <c r="Y600" s="466">
        <v>25029</v>
      </c>
      <c r="Z600" s="468" t="s">
        <v>516</v>
      </c>
      <c r="AA600" s="466">
        <v>103213.8</v>
      </c>
      <c r="AB600" s="466">
        <v>103213.8</v>
      </c>
      <c r="AC600" s="467">
        <v>0</v>
      </c>
      <c r="AD600" s="466">
        <v>0</v>
      </c>
      <c r="AE600" s="468" t="s">
        <v>516</v>
      </c>
      <c r="AF600" s="466">
        <v>0</v>
      </c>
      <c r="AG600" s="466">
        <v>0</v>
      </c>
      <c r="AH600" s="466">
        <v>23280.46</v>
      </c>
      <c r="AI600" s="466">
        <v>10115.01</v>
      </c>
      <c r="AJ600" s="469" t="s">
        <v>2520</v>
      </c>
      <c r="AK600" s="470" t="s">
        <v>2521</v>
      </c>
      <c r="AL600" s="471" t="s">
        <v>5867</v>
      </c>
      <c r="AM600" s="470" t="s">
        <v>5868</v>
      </c>
      <c r="AN600" s="470" t="s">
        <v>1385</v>
      </c>
      <c r="AO600" s="470" t="s">
        <v>5869</v>
      </c>
      <c r="AP600" s="470" t="s">
        <v>5870</v>
      </c>
      <c r="AQ600" s="470" t="s">
        <v>5864</v>
      </c>
      <c r="AR600" s="472" t="s">
        <v>515</v>
      </c>
      <c r="AS600" s="473" t="s">
        <v>1385</v>
      </c>
      <c r="AT600" s="472" t="s">
        <v>1390</v>
      </c>
      <c r="AU600" s="472" t="s">
        <v>420</v>
      </c>
      <c r="AV600" s="472">
        <v>2020</v>
      </c>
      <c r="AW600" s="474" t="s">
        <v>15078</v>
      </c>
      <c r="AX600" s="475" t="s">
        <v>15079</v>
      </c>
      <c r="AY600" s="515">
        <v>1</v>
      </c>
      <c r="AZ600" s="474" t="s">
        <v>15079</v>
      </c>
      <c r="BA600" s="472" t="s">
        <v>1390</v>
      </c>
      <c r="BB600" s="472" t="s">
        <v>1385</v>
      </c>
      <c r="BC600" s="472" t="s">
        <v>1385</v>
      </c>
      <c r="BD600" s="472" t="s">
        <v>1385</v>
      </c>
      <c r="BE600" s="472" t="s">
        <v>1385</v>
      </c>
      <c r="BF600" s="472">
        <v>25029</v>
      </c>
      <c r="BG600" s="472">
        <v>0</v>
      </c>
      <c r="BH600" s="472" t="s">
        <v>1385</v>
      </c>
      <c r="BI600" s="510">
        <v>0</v>
      </c>
      <c r="BJ600" s="510">
        <v>0</v>
      </c>
      <c r="BK600" s="510">
        <v>0</v>
      </c>
      <c r="BL600" s="510">
        <v>0</v>
      </c>
      <c r="BM600" s="510">
        <v>0</v>
      </c>
      <c r="BN600" s="510">
        <v>4000</v>
      </c>
      <c r="BO600" s="510">
        <v>0</v>
      </c>
      <c r="BP600" s="510">
        <v>0</v>
      </c>
      <c r="BQ600" s="510">
        <v>0</v>
      </c>
      <c r="BR600" s="510">
        <v>0</v>
      </c>
      <c r="BS600" s="510">
        <v>0</v>
      </c>
      <c r="BT600" s="510">
        <v>0</v>
      </c>
      <c r="BU600" s="510">
        <v>0</v>
      </c>
      <c r="BV600" s="510">
        <v>0</v>
      </c>
      <c r="BW600" s="510">
        <v>0</v>
      </c>
      <c r="BX600" s="510">
        <v>30000</v>
      </c>
      <c r="BY600" s="1011">
        <v>0</v>
      </c>
      <c r="BZ600" s="510">
        <v>0</v>
      </c>
      <c r="CA600" s="1011">
        <v>0</v>
      </c>
      <c r="CB600" s="510">
        <v>0</v>
      </c>
      <c r="CC600" s="1011">
        <v>0</v>
      </c>
      <c r="CD600" s="510">
        <v>0</v>
      </c>
      <c r="CE600" s="1011">
        <v>0</v>
      </c>
      <c r="CF600" s="510">
        <v>48184.800000000003</v>
      </c>
      <c r="CG600" s="1011">
        <v>0</v>
      </c>
      <c r="CH600" s="510">
        <v>0</v>
      </c>
      <c r="CI600" s="1011">
        <v>0</v>
      </c>
    </row>
    <row r="601" spans="1:87" x14ac:dyDescent="0.2">
      <c r="A601" s="449">
        <v>112</v>
      </c>
      <c r="B601" s="453">
        <v>90883</v>
      </c>
      <c r="C601" s="454" t="s">
        <v>5871</v>
      </c>
      <c r="D601" s="454" t="s">
        <v>1390</v>
      </c>
      <c r="E601" s="454" t="s">
        <v>5872</v>
      </c>
      <c r="F601" s="454" t="s">
        <v>513</v>
      </c>
      <c r="G601" s="454" t="s">
        <v>13304</v>
      </c>
      <c r="H601" s="455">
        <v>50380880000147</v>
      </c>
      <c r="I601" s="462">
        <v>30097</v>
      </c>
      <c r="J601" s="457">
        <v>37531204</v>
      </c>
      <c r="K601" s="454" t="s">
        <v>5873</v>
      </c>
      <c r="L601" s="458">
        <v>157</v>
      </c>
      <c r="M601" s="454" t="s">
        <v>513</v>
      </c>
      <c r="N601" s="459">
        <v>3964020</v>
      </c>
      <c r="O601" s="460">
        <v>29193644</v>
      </c>
      <c r="P601" s="462">
        <v>151940</v>
      </c>
      <c r="Q601" s="462">
        <v>112</v>
      </c>
      <c r="R601" s="462">
        <v>43937</v>
      </c>
      <c r="S601" s="463">
        <v>527</v>
      </c>
      <c r="T601" s="464">
        <v>3.6</v>
      </c>
      <c r="U601" s="465">
        <v>1897.2</v>
      </c>
      <c r="V601" s="465">
        <v>16560</v>
      </c>
      <c r="W601" s="466">
        <v>0</v>
      </c>
      <c r="X601" s="467">
        <v>1</v>
      </c>
      <c r="Y601" s="466">
        <v>27685.8</v>
      </c>
      <c r="Z601" s="468" t="s">
        <v>516</v>
      </c>
      <c r="AA601" s="466">
        <v>109708.2</v>
      </c>
      <c r="AB601" s="466">
        <v>109708.2</v>
      </c>
      <c r="AC601" s="467">
        <v>0</v>
      </c>
      <c r="AD601" s="466">
        <v>0</v>
      </c>
      <c r="AE601" s="468" t="s">
        <v>516</v>
      </c>
      <c r="AF601" s="466">
        <v>0</v>
      </c>
      <c r="AG601" s="466">
        <v>0</v>
      </c>
      <c r="AH601" s="466">
        <v>22909.06</v>
      </c>
      <c r="AI601" s="466">
        <v>11143.7</v>
      </c>
      <c r="AJ601" s="469" t="s">
        <v>2030</v>
      </c>
      <c r="AK601" s="470" t="s">
        <v>513</v>
      </c>
      <c r="AL601" s="471" t="s">
        <v>5874</v>
      </c>
      <c r="AM601" s="470" t="s">
        <v>5875</v>
      </c>
      <c r="AN601" s="470" t="s">
        <v>5876</v>
      </c>
      <c r="AO601" s="470" t="s">
        <v>5877</v>
      </c>
      <c r="AP601" s="470" t="s">
        <v>5878</v>
      </c>
      <c r="AQ601" s="470" t="s">
        <v>5871</v>
      </c>
      <c r="AR601" s="472" t="s">
        <v>515</v>
      </c>
      <c r="AS601" s="473" t="s">
        <v>1385</v>
      </c>
      <c r="AT601" s="472" t="s">
        <v>1390</v>
      </c>
      <c r="AU601" s="472" t="s">
        <v>420</v>
      </c>
      <c r="AV601" s="472">
        <v>2020</v>
      </c>
      <c r="AW601" s="474" t="s">
        <v>15078</v>
      </c>
      <c r="AX601" s="475" t="s">
        <v>15079</v>
      </c>
      <c r="AY601" s="515">
        <v>1</v>
      </c>
      <c r="AZ601" s="474" t="s">
        <v>15079</v>
      </c>
      <c r="BA601" s="472" t="s">
        <v>1390</v>
      </c>
      <c r="BB601" s="472" t="s">
        <v>1385</v>
      </c>
      <c r="BC601" s="472" t="s">
        <v>1385</v>
      </c>
      <c r="BD601" s="472" t="s">
        <v>1385</v>
      </c>
      <c r="BE601" s="472" t="s">
        <v>1385</v>
      </c>
      <c r="BF601" s="472">
        <v>27685.8</v>
      </c>
      <c r="BG601" s="472">
        <v>0</v>
      </c>
      <c r="BH601" s="472" t="s">
        <v>1385</v>
      </c>
      <c r="BI601" s="510">
        <v>0</v>
      </c>
      <c r="BJ601" s="510">
        <v>0</v>
      </c>
      <c r="BK601" s="510">
        <v>0</v>
      </c>
      <c r="BL601" s="510">
        <v>0</v>
      </c>
      <c r="BM601" s="510">
        <v>0</v>
      </c>
      <c r="BN601" s="510">
        <v>4000</v>
      </c>
      <c r="BO601" s="510">
        <v>0</v>
      </c>
      <c r="BP601" s="510">
        <v>0</v>
      </c>
      <c r="BQ601" s="510">
        <v>0</v>
      </c>
      <c r="BR601" s="510">
        <v>0</v>
      </c>
      <c r="BS601" s="510">
        <v>0</v>
      </c>
      <c r="BT601" s="510">
        <v>0</v>
      </c>
      <c r="BU601" s="510">
        <v>0</v>
      </c>
      <c r="BV601" s="510">
        <v>0</v>
      </c>
      <c r="BW601" s="510">
        <v>0</v>
      </c>
      <c r="BX601" s="510">
        <v>30000</v>
      </c>
      <c r="BY601" s="1011">
        <v>0</v>
      </c>
      <c r="BZ601" s="510">
        <v>0</v>
      </c>
      <c r="CA601" s="1011">
        <v>0</v>
      </c>
      <c r="CB601" s="510">
        <v>0</v>
      </c>
      <c r="CC601" s="1011">
        <v>0</v>
      </c>
      <c r="CD601" s="510">
        <v>0</v>
      </c>
      <c r="CE601" s="1011">
        <v>0</v>
      </c>
      <c r="CF601" s="510">
        <v>52022.400000000001</v>
      </c>
      <c r="CG601" s="1011">
        <v>0</v>
      </c>
      <c r="CH601" s="510">
        <v>0</v>
      </c>
      <c r="CI601" s="1011">
        <v>0</v>
      </c>
    </row>
    <row r="602" spans="1:87" x14ac:dyDescent="0.2">
      <c r="A602" s="449">
        <v>96</v>
      </c>
      <c r="B602" s="453">
        <v>90891</v>
      </c>
      <c r="C602" s="454" t="s">
        <v>5879</v>
      </c>
      <c r="D602" s="454" t="s">
        <v>1390</v>
      </c>
      <c r="E602" s="454" t="s">
        <v>5880</v>
      </c>
      <c r="F602" s="454" t="s">
        <v>513</v>
      </c>
      <c r="G602" s="454" t="s">
        <v>13305</v>
      </c>
      <c r="H602" s="455">
        <v>52191541000148</v>
      </c>
      <c r="I602" s="462">
        <v>30307</v>
      </c>
      <c r="J602" s="457">
        <v>37532154</v>
      </c>
      <c r="K602" s="454" t="s">
        <v>5881</v>
      </c>
      <c r="L602" s="458">
        <v>987</v>
      </c>
      <c r="M602" s="454" t="s">
        <v>5882</v>
      </c>
      <c r="N602" s="459">
        <v>3951090</v>
      </c>
      <c r="O602" s="460">
        <v>29193090</v>
      </c>
      <c r="P602" s="462">
        <v>151419</v>
      </c>
      <c r="Q602" s="462">
        <v>96</v>
      </c>
      <c r="R602" s="462">
        <v>43937</v>
      </c>
      <c r="S602" s="463">
        <v>531</v>
      </c>
      <c r="T602" s="464">
        <v>3.6</v>
      </c>
      <c r="U602" s="465">
        <v>1911.6</v>
      </c>
      <c r="V602" s="465">
        <v>16560</v>
      </c>
      <c r="W602" s="466">
        <v>0</v>
      </c>
      <c r="X602" s="467">
        <v>1</v>
      </c>
      <c r="Y602" s="466">
        <v>27707.4</v>
      </c>
      <c r="Z602" s="468" t="s">
        <v>516</v>
      </c>
      <c r="AA602" s="466">
        <v>109672.2</v>
      </c>
      <c r="AB602" s="466">
        <v>109672.2</v>
      </c>
      <c r="AC602" s="467">
        <v>0</v>
      </c>
      <c r="AD602" s="466">
        <v>0</v>
      </c>
      <c r="AE602" s="468" t="s">
        <v>516</v>
      </c>
      <c r="AF602" s="466">
        <v>0</v>
      </c>
      <c r="AG602" s="466">
        <v>0</v>
      </c>
      <c r="AH602" s="466">
        <v>8792.61</v>
      </c>
      <c r="AI602" s="466">
        <v>5837.48</v>
      </c>
      <c r="AJ602" s="469" t="s">
        <v>2030</v>
      </c>
      <c r="AK602" s="470" t="s">
        <v>513</v>
      </c>
      <c r="AL602" s="471" t="s">
        <v>5883</v>
      </c>
      <c r="AM602" s="470" t="s">
        <v>5884</v>
      </c>
      <c r="AN602" s="470" t="s">
        <v>1385</v>
      </c>
      <c r="AO602" s="470" t="s">
        <v>5885</v>
      </c>
      <c r="AP602" s="470" t="s">
        <v>5886</v>
      </c>
      <c r="AQ602" s="470" t="s">
        <v>5879</v>
      </c>
      <c r="AR602" s="472" t="s">
        <v>515</v>
      </c>
      <c r="AS602" s="473" t="s">
        <v>1385</v>
      </c>
      <c r="AT602" s="472" t="s">
        <v>1390</v>
      </c>
      <c r="AU602" s="472" t="s">
        <v>420</v>
      </c>
      <c r="AV602" s="472">
        <v>2020</v>
      </c>
      <c r="AW602" s="474" t="s">
        <v>15078</v>
      </c>
      <c r="AX602" s="475" t="s">
        <v>15079</v>
      </c>
      <c r="AY602" s="515">
        <v>1</v>
      </c>
      <c r="AZ602" s="474" t="s">
        <v>15079</v>
      </c>
      <c r="BA602" s="472" t="s">
        <v>1390</v>
      </c>
      <c r="BB602" s="472" t="s">
        <v>1385</v>
      </c>
      <c r="BC602" s="472" t="s">
        <v>1385</v>
      </c>
      <c r="BD602" s="472" t="s">
        <v>1385</v>
      </c>
      <c r="BE602" s="472" t="s">
        <v>1385</v>
      </c>
      <c r="BF602" s="472">
        <v>27707.4</v>
      </c>
      <c r="BG602" s="472">
        <v>0</v>
      </c>
      <c r="BH602" s="472" t="s">
        <v>1385</v>
      </c>
      <c r="BI602" s="510">
        <v>0</v>
      </c>
      <c r="BJ602" s="510">
        <v>0</v>
      </c>
      <c r="BK602" s="510">
        <v>0</v>
      </c>
      <c r="BL602" s="510">
        <v>0</v>
      </c>
      <c r="BM602" s="510">
        <v>0</v>
      </c>
      <c r="BN602" s="510">
        <v>4000</v>
      </c>
      <c r="BO602" s="510">
        <v>0</v>
      </c>
      <c r="BP602" s="510">
        <v>0</v>
      </c>
      <c r="BQ602" s="510">
        <v>0</v>
      </c>
      <c r="BR602" s="510">
        <v>0</v>
      </c>
      <c r="BS602" s="510">
        <v>0</v>
      </c>
      <c r="BT602" s="510">
        <v>0</v>
      </c>
      <c r="BU602" s="510">
        <v>0</v>
      </c>
      <c r="BV602" s="510">
        <v>0</v>
      </c>
      <c r="BW602" s="510">
        <v>0</v>
      </c>
      <c r="BX602" s="510">
        <v>30000</v>
      </c>
      <c r="BY602" s="1011">
        <v>0</v>
      </c>
      <c r="BZ602" s="510">
        <v>0</v>
      </c>
      <c r="CA602" s="1011">
        <v>0</v>
      </c>
      <c r="CB602" s="510">
        <v>0</v>
      </c>
      <c r="CC602" s="1011">
        <v>0</v>
      </c>
      <c r="CD602" s="510">
        <v>0</v>
      </c>
      <c r="CE602" s="1011">
        <v>0</v>
      </c>
      <c r="CF602" s="510">
        <v>51964.800000000003</v>
      </c>
      <c r="CG602" s="1011">
        <v>0</v>
      </c>
      <c r="CH602" s="510">
        <v>0</v>
      </c>
      <c r="CI602" s="1011">
        <v>0</v>
      </c>
    </row>
    <row r="603" spans="1:87" x14ac:dyDescent="0.2">
      <c r="A603" s="449">
        <v>98</v>
      </c>
      <c r="B603" s="453">
        <v>90905</v>
      </c>
      <c r="C603" s="454" t="s">
        <v>5887</v>
      </c>
      <c r="D603" s="454" t="s">
        <v>2000</v>
      </c>
      <c r="E603" s="454" t="s">
        <v>5888</v>
      </c>
      <c r="F603" s="454" t="s">
        <v>518</v>
      </c>
      <c r="G603" s="454" t="s">
        <v>13306</v>
      </c>
      <c r="H603" s="455">
        <v>52505419000107</v>
      </c>
      <c r="I603" s="462">
        <v>30420</v>
      </c>
      <c r="J603" s="457">
        <v>37469959</v>
      </c>
      <c r="K603" s="454" t="s">
        <v>3321</v>
      </c>
      <c r="L603" s="458" t="s">
        <v>1446</v>
      </c>
      <c r="M603" s="454" t="s">
        <v>3209</v>
      </c>
      <c r="N603" s="459">
        <v>3572020</v>
      </c>
      <c r="O603" s="460">
        <v>27237521</v>
      </c>
      <c r="P603" s="462">
        <v>49754</v>
      </c>
      <c r="Q603" s="462">
        <v>67</v>
      </c>
      <c r="R603" s="462">
        <v>43934</v>
      </c>
      <c r="S603" s="463">
        <v>299</v>
      </c>
      <c r="T603" s="464">
        <v>3.6</v>
      </c>
      <c r="U603" s="465">
        <v>1076.4000000000001</v>
      </c>
      <c r="V603" s="465">
        <v>12240</v>
      </c>
      <c r="W603" s="466">
        <v>0</v>
      </c>
      <c r="X603" s="467">
        <v>1</v>
      </c>
      <c r="Y603" s="466">
        <v>25482.6</v>
      </c>
      <c r="Z603" s="468" t="s">
        <v>516</v>
      </c>
      <c r="AA603" s="466">
        <v>113232.2</v>
      </c>
      <c r="AB603" s="466">
        <v>113232.2</v>
      </c>
      <c r="AC603" s="467">
        <v>0</v>
      </c>
      <c r="AD603" s="466">
        <v>0</v>
      </c>
      <c r="AE603" s="468" t="s">
        <v>516</v>
      </c>
      <c r="AF603" s="466">
        <v>0</v>
      </c>
      <c r="AG603" s="466">
        <v>0</v>
      </c>
      <c r="AH603" s="466">
        <v>16457.900000000001</v>
      </c>
      <c r="AI603" s="466">
        <v>12075.64</v>
      </c>
      <c r="AJ603" s="469" t="s">
        <v>1560</v>
      </c>
      <c r="AK603" s="470" t="s">
        <v>1776</v>
      </c>
      <c r="AL603" s="471" t="s">
        <v>5890</v>
      </c>
      <c r="AM603" s="470" t="s">
        <v>5891</v>
      </c>
      <c r="AN603" s="470" t="s">
        <v>5889</v>
      </c>
      <c r="AO603" s="470" t="s">
        <v>15004</v>
      </c>
      <c r="AP603" s="470" t="s">
        <v>5892</v>
      </c>
      <c r="AQ603" s="470" t="s">
        <v>5887</v>
      </c>
      <c r="AR603" s="472" t="s">
        <v>515</v>
      </c>
      <c r="AS603" s="473" t="s">
        <v>1385</v>
      </c>
      <c r="AT603" s="472" t="s">
        <v>2000</v>
      </c>
      <c r="AU603" s="472" t="s">
        <v>420</v>
      </c>
      <c r="AV603" s="472">
        <v>2020</v>
      </c>
      <c r="AW603" s="474" t="s">
        <v>15078</v>
      </c>
      <c r="AX603" s="475" t="s">
        <v>15079</v>
      </c>
      <c r="AY603" s="515">
        <v>1</v>
      </c>
      <c r="AZ603" s="474" t="s">
        <v>15079</v>
      </c>
      <c r="BA603" s="472" t="s">
        <v>2000</v>
      </c>
      <c r="BB603" s="472" t="s">
        <v>516</v>
      </c>
      <c r="BC603" s="472">
        <v>10</v>
      </c>
      <c r="BD603" s="472">
        <v>3672</v>
      </c>
      <c r="BE603" s="472">
        <v>0</v>
      </c>
      <c r="BF603" s="472">
        <v>25482.6</v>
      </c>
      <c r="BG603" s="472">
        <v>0</v>
      </c>
      <c r="BH603" s="472" t="s">
        <v>1385</v>
      </c>
      <c r="BI603" s="510">
        <v>0</v>
      </c>
      <c r="BJ603" s="510">
        <v>0</v>
      </c>
      <c r="BK603" s="510">
        <v>0</v>
      </c>
      <c r="BL603" s="510">
        <v>0</v>
      </c>
      <c r="BM603" s="510">
        <v>0</v>
      </c>
      <c r="BN603" s="510">
        <v>3500</v>
      </c>
      <c r="BO603" s="510">
        <v>0</v>
      </c>
      <c r="BP603" s="510">
        <v>0</v>
      </c>
      <c r="BQ603" s="510">
        <v>0</v>
      </c>
      <c r="BR603" s="510">
        <v>0</v>
      </c>
      <c r="BS603" s="510">
        <v>0</v>
      </c>
      <c r="BT603" s="510">
        <v>0</v>
      </c>
      <c r="BU603" s="510">
        <v>0</v>
      </c>
      <c r="BV603" s="510">
        <v>0</v>
      </c>
      <c r="BW603" s="510">
        <v>0</v>
      </c>
      <c r="BX603" s="510">
        <v>30000</v>
      </c>
      <c r="BY603" s="1011">
        <v>0</v>
      </c>
      <c r="BZ603" s="510">
        <v>0</v>
      </c>
      <c r="CA603" s="1011">
        <v>0</v>
      </c>
      <c r="CB603" s="510">
        <v>0</v>
      </c>
      <c r="CC603" s="1011">
        <v>0</v>
      </c>
      <c r="CD603" s="510">
        <v>0</v>
      </c>
      <c r="CE603" s="1011">
        <v>0</v>
      </c>
      <c r="CF603" s="510">
        <v>57749.599999999999</v>
      </c>
      <c r="CG603" s="1011">
        <v>0</v>
      </c>
      <c r="CH603" s="510">
        <v>0</v>
      </c>
      <c r="CI603" s="1011">
        <v>0</v>
      </c>
    </row>
    <row r="604" spans="1:87" x14ac:dyDescent="0.2">
      <c r="A604" s="449">
        <v>67</v>
      </c>
      <c r="B604" s="453">
        <v>90913</v>
      </c>
      <c r="C604" s="454" t="s">
        <v>5893</v>
      </c>
      <c r="D604" s="454" t="s">
        <v>1390</v>
      </c>
      <c r="E604" s="454" t="s">
        <v>5894</v>
      </c>
      <c r="F604" s="454" t="s">
        <v>518</v>
      </c>
      <c r="G604" s="454" t="s">
        <v>13307</v>
      </c>
      <c r="H604" s="455">
        <v>52991742000120</v>
      </c>
      <c r="I604" s="462">
        <v>30603</v>
      </c>
      <c r="J604" s="457">
        <v>37470043</v>
      </c>
      <c r="K604" s="454" t="s">
        <v>5830</v>
      </c>
      <c r="L604" s="458">
        <v>100</v>
      </c>
      <c r="M604" s="454" t="s">
        <v>5831</v>
      </c>
      <c r="N604" s="459">
        <v>8420660</v>
      </c>
      <c r="O604" s="460">
        <v>25579374</v>
      </c>
      <c r="P604" s="462">
        <v>46935</v>
      </c>
      <c r="Q604" s="462">
        <v>36</v>
      </c>
      <c r="R604" s="462">
        <v>43934</v>
      </c>
      <c r="S604" s="463">
        <v>248</v>
      </c>
      <c r="T604" s="464">
        <v>3.6</v>
      </c>
      <c r="U604" s="465">
        <v>892.8</v>
      </c>
      <c r="V604" s="465">
        <v>12240</v>
      </c>
      <c r="W604" s="466">
        <v>0</v>
      </c>
      <c r="X604" s="467">
        <v>1</v>
      </c>
      <c r="Y604" s="466">
        <v>19699.2</v>
      </c>
      <c r="Z604" s="468" t="s">
        <v>516</v>
      </c>
      <c r="AA604" s="466">
        <v>90950.399999999994</v>
      </c>
      <c r="AB604" s="466">
        <v>90950.399999999994</v>
      </c>
      <c r="AC604" s="467">
        <v>0</v>
      </c>
      <c r="AD604" s="466">
        <v>0</v>
      </c>
      <c r="AE604" s="468" t="s">
        <v>516</v>
      </c>
      <c r="AF604" s="466">
        <v>0</v>
      </c>
      <c r="AG604" s="466">
        <v>0</v>
      </c>
      <c r="AH604" s="466">
        <v>11848.9</v>
      </c>
      <c r="AI604" s="466">
        <v>2626.76</v>
      </c>
      <c r="AJ604" s="469" t="s">
        <v>1395</v>
      </c>
      <c r="AK604" s="470" t="s">
        <v>3703</v>
      </c>
      <c r="AL604" s="471" t="s">
        <v>5896</v>
      </c>
      <c r="AM604" s="470" t="s">
        <v>5897</v>
      </c>
      <c r="AN604" s="470" t="s">
        <v>5895</v>
      </c>
      <c r="AO604" s="470" t="s">
        <v>15005</v>
      </c>
      <c r="AP604" s="470" t="s">
        <v>5898</v>
      </c>
      <c r="AQ604" s="470" t="s">
        <v>5893</v>
      </c>
      <c r="AR604" s="472" t="s">
        <v>515</v>
      </c>
      <c r="AS604" s="473" t="s">
        <v>1385</v>
      </c>
      <c r="AT604" s="472" t="s">
        <v>1390</v>
      </c>
      <c r="AU604" s="472" t="s">
        <v>420</v>
      </c>
      <c r="AV604" s="472">
        <v>2020</v>
      </c>
      <c r="AW604" s="474" t="s">
        <v>15078</v>
      </c>
      <c r="AX604" s="475" t="s">
        <v>15079</v>
      </c>
      <c r="AY604" s="515">
        <v>1</v>
      </c>
      <c r="AZ604" s="474" t="s">
        <v>15079</v>
      </c>
      <c r="BA604" s="472" t="s">
        <v>1390</v>
      </c>
      <c r="BB604" s="472" t="s">
        <v>1385</v>
      </c>
      <c r="BC604" s="472" t="s">
        <v>1385</v>
      </c>
      <c r="BD604" s="472" t="s">
        <v>1385</v>
      </c>
      <c r="BE604" s="472" t="s">
        <v>1385</v>
      </c>
      <c r="BF604" s="472">
        <v>19699.2</v>
      </c>
      <c r="BG604" s="472">
        <v>0</v>
      </c>
      <c r="BH604" s="472" t="s">
        <v>1385</v>
      </c>
      <c r="BI604" s="510">
        <v>0</v>
      </c>
      <c r="BJ604" s="510">
        <v>0</v>
      </c>
      <c r="BK604" s="510">
        <v>0</v>
      </c>
      <c r="BL604" s="510">
        <v>0</v>
      </c>
      <c r="BM604" s="510">
        <v>0</v>
      </c>
      <c r="BN604" s="510">
        <v>3000</v>
      </c>
      <c r="BO604" s="510">
        <v>0</v>
      </c>
      <c r="BP604" s="510">
        <v>0</v>
      </c>
      <c r="BQ604" s="510">
        <v>0</v>
      </c>
      <c r="BR604" s="510">
        <v>0</v>
      </c>
      <c r="BS604" s="510">
        <v>0</v>
      </c>
      <c r="BT604" s="510">
        <v>0</v>
      </c>
      <c r="BU604" s="510">
        <v>0</v>
      </c>
      <c r="BV604" s="510">
        <v>0</v>
      </c>
      <c r="BW604" s="510">
        <v>0</v>
      </c>
      <c r="BX604" s="510">
        <v>30000</v>
      </c>
      <c r="BY604" s="1011">
        <v>0</v>
      </c>
      <c r="BZ604" s="510">
        <v>0</v>
      </c>
      <c r="CA604" s="1011">
        <v>0</v>
      </c>
      <c r="CB604" s="510">
        <v>0</v>
      </c>
      <c r="CC604" s="1011">
        <v>0</v>
      </c>
      <c r="CD604" s="510">
        <v>0</v>
      </c>
      <c r="CE604" s="1011">
        <v>0</v>
      </c>
      <c r="CF604" s="510">
        <v>41251.199999999997</v>
      </c>
      <c r="CG604" s="1011">
        <v>0</v>
      </c>
      <c r="CH604" s="510">
        <v>0</v>
      </c>
      <c r="CI604" s="1011">
        <v>0</v>
      </c>
    </row>
    <row r="605" spans="1:87" x14ac:dyDescent="0.2">
      <c r="A605" s="449">
        <v>87</v>
      </c>
      <c r="B605" s="453">
        <v>90921</v>
      </c>
      <c r="C605" s="454" t="s">
        <v>5899</v>
      </c>
      <c r="D605" s="454" t="s">
        <v>1390</v>
      </c>
      <c r="E605" s="454" t="s">
        <v>5900</v>
      </c>
      <c r="F605" s="454" t="s">
        <v>518</v>
      </c>
      <c r="G605" s="454" t="s">
        <v>13308</v>
      </c>
      <c r="H605" s="455">
        <v>53836938000102</v>
      </c>
      <c r="I605" s="462">
        <v>30855</v>
      </c>
      <c r="J605" s="457">
        <v>37470450</v>
      </c>
      <c r="K605" s="454" t="s">
        <v>5902</v>
      </c>
      <c r="L605" s="458">
        <v>149</v>
      </c>
      <c r="M605" s="454" t="s">
        <v>518</v>
      </c>
      <c r="N605" s="459">
        <v>8253210</v>
      </c>
      <c r="O605" s="460">
        <v>25213574</v>
      </c>
      <c r="P605" s="462">
        <v>47190</v>
      </c>
      <c r="Q605" s="462">
        <v>56</v>
      </c>
      <c r="R605" s="462">
        <v>43943</v>
      </c>
      <c r="S605" s="463">
        <v>174</v>
      </c>
      <c r="T605" s="464">
        <v>3.6</v>
      </c>
      <c r="U605" s="465">
        <v>626.4</v>
      </c>
      <c r="V605" s="465">
        <v>10800</v>
      </c>
      <c r="W605" s="466">
        <v>0</v>
      </c>
      <c r="X605" s="467">
        <v>1</v>
      </c>
      <c r="Y605" s="466">
        <v>21999.599999999999</v>
      </c>
      <c r="Z605" s="468" t="s">
        <v>516</v>
      </c>
      <c r="AA605" s="466">
        <v>101440.4</v>
      </c>
      <c r="AB605" s="466">
        <v>101440.4</v>
      </c>
      <c r="AC605" s="467">
        <v>0</v>
      </c>
      <c r="AD605" s="466">
        <v>0</v>
      </c>
      <c r="AE605" s="468" t="s">
        <v>516</v>
      </c>
      <c r="AF605" s="466">
        <v>0</v>
      </c>
      <c r="AG605" s="466">
        <v>0</v>
      </c>
      <c r="AH605" s="466">
        <v>24815.1</v>
      </c>
      <c r="AI605" s="466">
        <v>4748.9799999999996</v>
      </c>
      <c r="AJ605" s="469" t="s">
        <v>1560</v>
      </c>
      <c r="AK605" s="470" t="s">
        <v>5903</v>
      </c>
      <c r="AL605" s="471" t="s">
        <v>5904</v>
      </c>
      <c r="AM605" s="470" t="s">
        <v>5905</v>
      </c>
      <c r="AN605" s="470" t="s">
        <v>5901</v>
      </c>
      <c r="AO605" s="470" t="s">
        <v>15006</v>
      </c>
      <c r="AP605" s="470" t="s">
        <v>5906</v>
      </c>
      <c r="AQ605" s="470" t="s">
        <v>5899</v>
      </c>
      <c r="AR605" s="472" t="s">
        <v>515</v>
      </c>
      <c r="AS605" s="473" t="s">
        <v>1385</v>
      </c>
      <c r="AT605" s="472" t="s">
        <v>1390</v>
      </c>
      <c r="AU605" s="472" t="s">
        <v>420</v>
      </c>
      <c r="AV605" s="472">
        <v>2020</v>
      </c>
      <c r="AW605" s="474" t="s">
        <v>15078</v>
      </c>
      <c r="AX605" s="475" t="s">
        <v>15079</v>
      </c>
      <c r="AY605" s="515">
        <v>1</v>
      </c>
      <c r="AZ605" s="474" t="s">
        <v>15079</v>
      </c>
      <c r="BA605" s="472" t="s">
        <v>1390</v>
      </c>
      <c r="BB605" s="472" t="s">
        <v>516</v>
      </c>
      <c r="BC605" s="472">
        <v>6</v>
      </c>
      <c r="BD605" s="472">
        <v>3240</v>
      </c>
      <c r="BE605" s="472">
        <v>0</v>
      </c>
      <c r="BF605" s="472">
        <v>21999.599999999999</v>
      </c>
      <c r="BG605" s="472">
        <v>0</v>
      </c>
      <c r="BH605" s="472" t="s">
        <v>1385</v>
      </c>
      <c r="BI605" s="510">
        <v>0</v>
      </c>
      <c r="BJ605" s="510">
        <v>0</v>
      </c>
      <c r="BK605" s="510">
        <v>0</v>
      </c>
      <c r="BL605" s="510">
        <v>0</v>
      </c>
      <c r="BM605" s="510">
        <v>0</v>
      </c>
      <c r="BN605" s="510">
        <v>3000</v>
      </c>
      <c r="BO605" s="510">
        <v>0</v>
      </c>
      <c r="BP605" s="510">
        <v>0</v>
      </c>
      <c r="BQ605" s="510">
        <v>0</v>
      </c>
      <c r="BR605" s="510">
        <v>0</v>
      </c>
      <c r="BS605" s="510">
        <v>0</v>
      </c>
      <c r="BT605" s="510">
        <v>0</v>
      </c>
      <c r="BU605" s="510">
        <v>0</v>
      </c>
      <c r="BV605" s="510">
        <v>0</v>
      </c>
      <c r="BW605" s="510">
        <v>0</v>
      </c>
      <c r="BX605" s="510">
        <v>30000</v>
      </c>
      <c r="BY605" s="1011">
        <v>0</v>
      </c>
      <c r="BZ605" s="510">
        <v>0</v>
      </c>
      <c r="CA605" s="1011">
        <v>0</v>
      </c>
      <c r="CB605" s="510">
        <v>0</v>
      </c>
      <c r="CC605" s="1011">
        <v>0</v>
      </c>
      <c r="CD605" s="510">
        <v>0</v>
      </c>
      <c r="CE605" s="1011">
        <v>0</v>
      </c>
      <c r="CF605" s="510">
        <v>49440.800000000003</v>
      </c>
      <c r="CG605" s="1011">
        <v>0</v>
      </c>
      <c r="CH605" s="510">
        <v>0</v>
      </c>
      <c r="CI605" s="1011">
        <v>0</v>
      </c>
    </row>
    <row r="606" spans="1:87" x14ac:dyDescent="0.2">
      <c r="A606" s="449">
        <v>65</v>
      </c>
      <c r="B606" s="453">
        <v>90930</v>
      </c>
      <c r="C606" s="454" t="s">
        <v>5907</v>
      </c>
      <c r="D606" s="454" t="s">
        <v>1390</v>
      </c>
      <c r="E606" s="454" t="s">
        <v>5908</v>
      </c>
      <c r="F606" s="454" t="s">
        <v>518</v>
      </c>
      <c r="G606" s="454" t="s">
        <v>13309</v>
      </c>
      <c r="H606" s="455">
        <v>54061817000107</v>
      </c>
      <c r="I606" s="462">
        <v>30985</v>
      </c>
      <c r="J606" s="457">
        <v>37470027</v>
      </c>
      <c r="K606" s="454" t="s">
        <v>5910</v>
      </c>
      <c r="L606" s="458">
        <v>145</v>
      </c>
      <c r="M606" s="454" t="s">
        <v>518</v>
      </c>
      <c r="N606" s="459">
        <v>8250580</v>
      </c>
      <c r="O606" s="460">
        <v>22056872</v>
      </c>
      <c r="P606" s="462">
        <v>46917</v>
      </c>
      <c r="Q606" s="462">
        <v>34</v>
      </c>
      <c r="R606" s="462">
        <v>43943</v>
      </c>
      <c r="S606" s="463">
        <v>238</v>
      </c>
      <c r="T606" s="464">
        <v>3.6</v>
      </c>
      <c r="U606" s="465">
        <v>856.8</v>
      </c>
      <c r="V606" s="465">
        <v>12240</v>
      </c>
      <c r="W606" s="466">
        <v>0</v>
      </c>
      <c r="X606" s="467">
        <v>1</v>
      </c>
      <c r="Y606" s="466">
        <v>19645.2</v>
      </c>
      <c r="Z606" s="468" t="s">
        <v>516</v>
      </c>
      <c r="AA606" s="466">
        <v>90990</v>
      </c>
      <c r="AB606" s="466">
        <v>90990</v>
      </c>
      <c r="AC606" s="467">
        <v>0</v>
      </c>
      <c r="AD606" s="466">
        <v>0</v>
      </c>
      <c r="AE606" s="468" t="s">
        <v>516</v>
      </c>
      <c r="AF606" s="466">
        <v>0</v>
      </c>
      <c r="AG606" s="466">
        <v>0</v>
      </c>
      <c r="AH606" s="466">
        <v>12459.07</v>
      </c>
      <c r="AI606" s="466">
        <v>6293.1</v>
      </c>
      <c r="AJ606" s="469" t="s">
        <v>1674</v>
      </c>
      <c r="AK606" s="470" t="s">
        <v>518</v>
      </c>
      <c r="AL606" s="471" t="s">
        <v>5911</v>
      </c>
      <c r="AM606" s="470" t="s">
        <v>5912</v>
      </c>
      <c r="AN606" s="470" t="s">
        <v>5909</v>
      </c>
      <c r="AO606" s="470" t="s">
        <v>15007</v>
      </c>
      <c r="AP606" s="470" t="s">
        <v>2229</v>
      </c>
      <c r="AQ606" s="470" t="s">
        <v>5907</v>
      </c>
      <c r="AR606" s="472" t="s">
        <v>515</v>
      </c>
      <c r="AS606" s="473" t="s">
        <v>1385</v>
      </c>
      <c r="AT606" s="472" t="s">
        <v>1390</v>
      </c>
      <c r="AU606" s="472" t="s">
        <v>420</v>
      </c>
      <c r="AV606" s="472">
        <v>2020</v>
      </c>
      <c r="AW606" s="474" t="s">
        <v>15078</v>
      </c>
      <c r="AX606" s="475" t="s">
        <v>15079</v>
      </c>
      <c r="AY606" s="515">
        <v>1</v>
      </c>
      <c r="AZ606" s="474" t="s">
        <v>15079</v>
      </c>
      <c r="BA606" s="472" t="s">
        <v>1390</v>
      </c>
      <c r="BB606" s="472" t="s">
        <v>1385</v>
      </c>
      <c r="BC606" s="472" t="s">
        <v>1385</v>
      </c>
      <c r="BD606" s="472" t="s">
        <v>1385</v>
      </c>
      <c r="BE606" s="472" t="s">
        <v>1385</v>
      </c>
      <c r="BF606" s="472">
        <v>19645.2</v>
      </c>
      <c r="BG606" s="472">
        <v>0</v>
      </c>
      <c r="BH606" s="472" t="s">
        <v>1385</v>
      </c>
      <c r="BI606" s="510">
        <v>0</v>
      </c>
      <c r="BJ606" s="510">
        <v>0</v>
      </c>
      <c r="BK606" s="510">
        <v>0</v>
      </c>
      <c r="BL606" s="510">
        <v>0</v>
      </c>
      <c r="BM606" s="510">
        <v>0</v>
      </c>
      <c r="BN606" s="510">
        <v>3000</v>
      </c>
      <c r="BO606" s="510">
        <v>0</v>
      </c>
      <c r="BP606" s="510">
        <v>0</v>
      </c>
      <c r="BQ606" s="510">
        <v>0</v>
      </c>
      <c r="BR606" s="510">
        <v>0</v>
      </c>
      <c r="BS606" s="510">
        <v>0</v>
      </c>
      <c r="BT606" s="510">
        <v>0</v>
      </c>
      <c r="BU606" s="510">
        <v>0</v>
      </c>
      <c r="BV606" s="510">
        <v>0</v>
      </c>
      <c r="BW606" s="510">
        <v>0</v>
      </c>
      <c r="BX606" s="510">
        <v>30000</v>
      </c>
      <c r="BY606" s="1011">
        <v>0</v>
      </c>
      <c r="BZ606" s="510">
        <v>0</v>
      </c>
      <c r="CA606" s="1011">
        <v>0</v>
      </c>
      <c r="CB606" s="510">
        <v>0</v>
      </c>
      <c r="CC606" s="1011">
        <v>0</v>
      </c>
      <c r="CD606" s="510">
        <v>0</v>
      </c>
      <c r="CE606" s="1011">
        <v>0</v>
      </c>
      <c r="CF606" s="510">
        <v>41344.800000000003</v>
      </c>
      <c r="CG606" s="1011">
        <v>0</v>
      </c>
      <c r="CH606" s="510">
        <v>0</v>
      </c>
      <c r="CI606" s="1011">
        <v>0</v>
      </c>
    </row>
    <row r="607" spans="1:87" x14ac:dyDescent="0.2">
      <c r="A607" s="449">
        <v>82</v>
      </c>
      <c r="B607" s="453">
        <v>90948</v>
      </c>
      <c r="C607" s="454" t="s">
        <v>5913</v>
      </c>
      <c r="D607" s="454" t="s">
        <v>1390</v>
      </c>
      <c r="E607" s="454" t="s">
        <v>5914</v>
      </c>
      <c r="F607" s="454" t="s">
        <v>518</v>
      </c>
      <c r="G607" s="454" t="s">
        <v>13310</v>
      </c>
      <c r="H607" s="455">
        <v>53836953000150</v>
      </c>
      <c r="I607" s="462">
        <v>30951</v>
      </c>
      <c r="J607" s="457">
        <v>37469258</v>
      </c>
      <c r="K607" s="454" t="s">
        <v>5916</v>
      </c>
      <c r="L607" s="458">
        <v>133</v>
      </c>
      <c r="M607" s="454" t="s">
        <v>518</v>
      </c>
      <c r="N607" s="459">
        <v>8253530</v>
      </c>
      <c r="O607" s="460">
        <v>25216670</v>
      </c>
      <c r="P607" s="462">
        <v>47123</v>
      </c>
      <c r="Q607" s="462">
        <v>51</v>
      </c>
      <c r="R607" s="462">
        <v>43934</v>
      </c>
      <c r="S607" s="463">
        <v>290</v>
      </c>
      <c r="T607" s="464">
        <v>3.6</v>
      </c>
      <c r="U607" s="465">
        <v>1044</v>
      </c>
      <c r="V607" s="465">
        <v>12240</v>
      </c>
      <c r="W607" s="466">
        <v>0</v>
      </c>
      <c r="X607" s="467">
        <v>1</v>
      </c>
      <c r="Y607" s="466">
        <v>19926</v>
      </c>
      <c r="Z607" s="468" t="s">
        <v>516</v>
      </c>
      <c r="AA607" s="466">
        <v>91558.8</v>
      </c>
      <c r="AB607" s="466">
        <v>91558.8</v>
      </c>
      <c r="AC607" s="467">
        <v>0</v>
      </c>
      <c r="AD607" s="466">
        <v>0</v>
      </c>
      <c r="AE607" s="468" t="s">
        <v>516</v>
      </c>
      <c r="AF607" s="466">
        <v>0</v>
      </c>
      <c r="AG607" s="466">
        <v>0</v>
      </c>
      <c r="AH607" s="466">
        <v>34345.870000000003</v>
      </c>
      <c r="AI607" s="466">
        <v>3330.4</v>
      </c>
      <c r="AJ607" s="469" t="s">
        <v>1674</v>
      </c>
      <c r="AK607" s="470" t="s">
        <v>518</v>
      </c>
      <c r="AL607" s="471" t="s">
        <v>5917</v>
      </c>
      <c r="AM607" s="470" t="s">
        <v>5918</v>
      </c>
      <c r="AN607" s="470" t="s">
        <v>5915</v>
      </c>
      <c r="AO607" s="470" t="s">
        <v>15008</v>
      </c>
      <c r="AP607" s="470" t="s">
        <v>5919</v>
      </c>
      <c r="AQ607" s="470" t="s">
        <v>5913</v>
      </c>
      <c r="AR607" s="472" t="s">
        <v>515</v>
      </c>
      <c r="AS607" s="473" t="s">
        <v>1385</v>
      </c>
      <c r="AT607" s="472" t="s">
        <v>1390</v>
      </c>
      <c r="AU607" s="472" t="s">
        <v>420</v>
      </c>
      <c r="AV607" s="472">
        <v>2020</v>
      </c>
      <c r="AW607" s="474" t="s">
        <v>15078</v>
      </c>
      <c r="AX607" s="475" t="s">
        <v>15079</v>
      </c>
      <c r="AY607" s="515">
        <v>1</v>
      </c>
      <c r="AZ607" s="474" t="s">
        <v>15079</v>
      </c>
      <c r="BA607" s="472" t="s">
        <v>1390</v>
      </c>
      <c r="BB607" s="472" t="s">
        <v>1385</v>
      </c>
      <c r="BC607" s="472" t="s">
        <v>1385</v>
      </c>
      <c r="BD607" s="472" t="s">
        <v>1385</v>
      </c>
      <c r="BE607" s="472" t="s">
        <v>1385</v>
      </c>
      <c r="BF607" s="472">
        <v>19926</v>
      </c>
      <c r="BG607" s="472">
        <v>0</v>
      </c>
      <c r="BH607" s="472" t="s">
        <v>1385</v>
      </c>
      <c r="BI607" s="510">
        <v>0</v>
      </c>
      <c r="BJ607" s="510">
        <v>0</v>
      </c>
      <c r="BK607" s="510">
        <v>0</v>
      </c>
      <c r="BL607" s="510">
        <v>0</v>
      </c>
      <c r="BM607" s="510">
        <v>0</v>
      </c>
      <c r="BN607" s="510">
        <v>3500</v>
      </c>
      <c r="BO607" s="510">
        <v>0</v>
      </c>
      <c r="BP607" s="510">
        <v>0</v>
      </c>
      <c r="BQ607" s="510">
        <v>0</v>
      </c>
      <c r="BR607" s="510">
        <v>0</v>
      </c>
      <c r="BS607" s="510">
        <v>0</v>
      </c>
      <c r="BT607" s="510">
        <v>0</v>
      </c>
      <c r="BU607" s="510">
        <v>0</v>
      </c>
      <c r="BV607" s="510">
        <v>0</v>
      </c>
      <c r="BW607" s="510">
        <v>0</v>
      </c>
      <c r="BX607" s="510">
        <v>30000</v>
      </c>
      <c r="BY607" s="1011">
        <v>0</v>
      </c>
      <c r="BZ607" s="510">
        <v>0</v>
      </c>
      <c r="CA607" s="1011">
        <v>0</v>
      </c>
      <c r="CB607" s="510">
        <v>0</v>
      </c>
      <c r="CC607" s="1011">
        <v>0</v>
      </c>
      <c r="CD607" s="510">
        <v>0</v>
      </c>
      <c r="CE607" s="1011">
        <v>0</v>
      </c>
      <c r="CF607" s="510">
        <v>41632.800000000003</v>
      </c>
      <c r="CG607" s="1011">
        <v>0</v>
      </c>
      <c r="CH607" s="510">
        <v>0</v>
      </c>
      <c r="CI607" s="1011">
        <v>0</v>
      </c>
    </row>
    <row r="608" spans="1:87" x14ac:dyDescent="0.2">
      <c r="A608" s="449">
        <v>60</v>
      </c>
      <c r="B608" s="453">
        <v>90956</v>
      </c>
      <c r="C608" s="454" t="s">
        <v>5920</v>
      </c>
      <c r="D608" s="454" t="s">
        <v>1390</v>
      </c>
      <c r="E608" s="454" t="s">
        <v>5921</v>
      </c>
      <c r="F608" s="454" t="s">
        <v>518</v>
      </c>
      <c r="G608" s="454" t="s">
        <v>13311</v>
      </c>
      <c r="H608" s="455">
        <v>53836979000107</v>
      </c>
      <c r="I608" s="462">
        <v>30994</v>
      </c>
      <c r="J608" s="457">
        <v>37497570</v>
      </c>
      <c r="K608" s="454" t="s">
        <v>5923</v>
      </c>
      <c r="L608" s="458">
        <v>125</v>
      </c>
      <c r="M608" s="454" t="s">
        <v>518</v>
      </c>
      <c r="N608" s="459">
        <v>8253280</v>
      </c>
      <c r="O608" s="460">
        <v>25210496</v>
      </c>
      <c r="P608" s="462">
        <v>46798</v>
      </c>
      <c r="Q608" s="462">
        <v>29</v>
      </c>
      <c r="R608" s="462">
        <v>43934</v>
      </c>
      <c r="S608" s="463">
        <v>258</v>
      </c>
      <c r="T608" s="464">
        <v>3.6</v>
      </c>
      <c r="U608" s="465">
        <v>928.8</v>
      </c>
      <c r="V608" s="465">
        <v>12240</v>
      </c>
      <c r="W608" s="466">
        <v>0</v>
      </c>
      <c r="X608" s="467">
        <v>1</v>
      </c>
      <c r="Y608" s="466">
        <v>19753.2</v>
      </c>
      <c r="Z608" s="468" t="s">
        <v>516</v>
      </c>
      <c r="AA608" s="466">
        <v>91033.2</v>
      </c>
      <c r="AB608" s="466">
        <v>91033.2</v>
      </c>
      <c r="AC608" s="467">
        <v>0</v>
      </c>
      <c r="AD608" s="466">
        <v>0</v>
      </c>
      <c r="AE608" s="468" t="s">
        <v>516</v>
      </c>
      <c r="AF608" s="466">
        <v>0</v>
      </c>
      <c r="AG608" s="466">
        <v>0</v>
      </c>
      <c r="AH608" s="466">
        <v>16491.22</v>
      </c>
      <c r="AI608" s="466">
        <v>13272.78</v>
      </c>
      <c r="AJ608" s="469" t="s">
        <v>1674</v>
      </c>
      <c r="AK608" s="470" t="s">
        <v>518</v>
      </c>
      <c r="AL608" s="471" t="s">
        <v>5924</v>
      </c>
      <c r="AM608" s="470" t="s">
        <v>5925</v>
      </c>
      <c r="AN608" s="470" t="s">
        <v>5922</v>
      </c>
      <c r="AO608" s="470" t="s">
        <v>15009</v>
      </c>
      <c r="AP608" s="470" t="s">
        <v>5926</v>
      </c>
      <c r="AQ608" s="470" t="s">
        <v>5920</v>
      </c>
      <c r="AR608" s="472" t="s">
        <v>515</v>
      </c>
      <c r="AS608" s="473" t="s">
        <v>1385</v>
      </c>
      <c r="AT608" s="472" t="s">
        <v>1390</v>
      </c>
      <c r="AU608" s="472" t="s">
        <v>420</v>
      </c>
      <c r="AV608" s="472">
        <v>2020</v>
      </c>
      <c r="AW608" s="474" t="s">
        <v>15078</v>
      </c>
      <c r="AX608" s="475" t="s">
        <v>15079</v>
      </c>
      <c r="AY608" s="515">
        <v>1</v>
      </c>
      <c r="AZ608" s="474" t="s">
        <v>15079</v>
      </c>
      <c r="BA608" s="472" t="s">
        <v>1390</v>
      </c>
      <c r="BB608" s="472" t="s">
        <v>1385</v>
      </c>
      <c r="BC608" s="472" t="s">
        <v>1385</v>
      </c>
      <c r="BD608" s="472" t="s">
        <v>1385</v>
      </c>
      <c r="BE608" s="472" t="s">
        <v>1385</v>
      </c>
      <c r="BF608" s="472">
        <v>19753.2</v>
      </c>
      <c r="BG608" s="472">
        <v>0</v>
      </c>
      <c r="BH608" s="472" t="s">
        <v>1385</v>
      </c>
      <c r="BI608" s="510">
        <v>0</v>
      </c>
      <c r="BJ608" s="510">
        <v>0</v>
      </c>
      <c r="BK608" s="510">
        <v>0</v>
      </c>
      <c r="BL608" s="510">
        <v>0</v>
      </c>
      <c r="BM608" s="510">
        <v>0</v>
      </c>
      <c r="BN608" s="510">
        <v>3500</v>
      </c>
      <c r="BO608" s="510">
        <v>0</v>
      </c>
      <c r="BP608" s="510">
        <v>0</v>
      </c>
      <c r="BQ608" s="510">
        <v>0</v>
      </c>
      <c r="BR608" s="510">
        <v>0</v>
      </c>
      <c r="BS608" s="510">
        <v>0</v>
      </c>
      <c r="BT608" s="510">
        <v>0</v>
      </c>
      <c r="BU608" s="510">
        <v>0</v>
      </c>
      <c r="BV608" s="510">
        <v>0</v>
      </c>
      <c r="BW608" s="510">
        <v>0</v>
      </c>
      <c r="BX608" s="510">
        <v>30000</v>
      </c>
      <c r="BY608" s="1011">
        <v>0</v>
      </c>
      <c r="BZ608" s="510">
        <v>0</v>
      </c>
      <c r="CA608" s="1011">
        <v>0</v>
      </c>
      <c r="CB608" s="510">
        <v>0</v>
      </c>
      <c r="CC608" s="1011">
        <v>0</v>
      </c>
      <c r="CD608" s="510">
        <v>0</v>
      </c>
      <c r="CE608" s="1011">
        <v>0</v>
      </c>
      <c r="CF608" s="510">
        <v>41280</v>
      </c>
      <c r="CG608" s="1011">
        <v>0</v>
      </c>
      <c r="CH608" s="510">
        <v>0</v>
      </c>
      <c r="CI608" s="1011">
        <v>0</v>
      </c>
    </row>
    <row r="609" spans="1:87" x14ac:dyDescent="0.2">
      <c r="A609" s="449">
        <v>58</v>
      </c>
      <c r="B609" s="453">
        <v>90964</v>
      </c>
      <c r="C609" s="454" t="s">
        <v>5927</v>
      </c>
      <c r="D609" s="454" t="s">
        <v>1390</v>
      </c>
      <c r="E609" s="454" t="s">
        <v>5928</v>
      </c>
      <c r="F609" s="454" t="s">
        <v>518</v>
      </c>
      <c r="G609" s="454" t="s">
        <v>13312</v>
      </c>
      <c r="H609" s="455">
        <v>54575345000100</v>
      </c>
      <c r="I609" s="462">
        <v>31212</v>
      </c>
      <c r="J609" s="457">
        <v>37497537</v>
      </c>
      <c r="K609" s="454" t="s">
        <v>5930</v>
      </c>
      <c r="L609" s="458">
        <v>150</v>
      </c>
      <c r="M609" s="454" t="s">
        <v>518</v>
      </c>
      <c r="N609" s="459">
        <v>8253250</v>
      </c>
      <c r="O609" s="460">
        <v>22863885</v>
      </c>
      <c r="P609" s="462">
        <v>46771</v>
      </c>
      <c r="Q609" s="462">
        <v>27</v>
      </c>
      <c r="R609" s="462">
        <v>43934</v>
      </c>
      <c r="S609" s="463">
        <v>198</v>
      </c>
      <c r="T609" s="464">
        <v>3.6</v>
      </c>
      <c r="U609" s="465">
        <v>712.8</v>
      </c>
      <c r="V609" s="465">
        <v>10800</v>
      </c>
      <c r="W609" s="466">
        <v>0</v>
      </c>
      <c r="X609" s="467">
        <v>1</v>
      </c>
      <c r="Y609" s="466">
        <v>17269.2</v>
      </c>
      <c r="Z609" s="468" t="s">
        <v>516</v>
      </c>
      <c r="AA609" s="466">
        <v>88210.8</v>
      </c>
      <c r="AB609" s="466">
        <v>88210.8</v>
      </c>
      <c r="AC609" s="467">
        <v>0</v>
      </c>
      <c r="AD609" s="466">
        <v>0</v>
      </c>
      <c r="AE609" s="468" t="s">
        <v>516</v>
      </c>
      <c r="AF609" s="466">
        <v>0</v>
      </c>
      <c r="AG609" s="466">
        <v>0</v>
      </c>
      <c r="AH609" s="466">
        <v>11052.28</v>
      </c>
      <c r="AI609" s="466">
        <v>3423.08</v>
      </c>
      <c r="AJ609" s="469" t="s">
        <v>1674</v>
      </c>
      <c r="AK609" s="470" t="s">
        <v>518</v>
      </c>
      <c r="AL609" s="471" t="s">
        <v>5931</v>
      </c>
      <c r="AM609" s="470" t="s">
        <v>13313</v>
      </c>
      <c r="AN609" s="470" t="s">
        <v>5929</v>
      </c>
      <c r="AO609" s="470" t="s">
        <v>15010</v>
      </c>
      <c r="AP609" s="470" t="s">
        <v>5932</v>
      </c>
      <c r="AQ609" s="470" t="s">
        <v>5927</v>
      </c>
      <c r="AR609" s="472" t="s">
        <v>515</v>
      </c>
      <c r="AS609" s="473" t="s">
        <v>1385</v>
      </c>
      <c r="AT609" s="472" t="s">
        <v>1390</v>
      </c>
      <c r="AU609" s="472" t="s">
        <v>420</v>
      </c>
      <c r="AV609" s="472">
        <v>2020</v>
      </c>
      <c r="AW609" s="474" t="s">
        <v>15078</v>
      </c>
      <c r="AX609" s="475" t="s">
        <v>15079</v>
      </c>
      <c r="AY609" s="515">
        <v>1</v>
      </c>
      <c r="AZ609" s="474" t="s">
        <v>15079</v>
      </c>
      <c r="BA609" s="472" t="s">
        <v>1390</v>
      </c>
      <c r="BB609" s="472" t="s">
        <v>1385</v>
      </c>
      <c r="BC609" s="472" t="s">
        <v>1385</v>
      </c>
      <c r="BD609" s="472" t="s">
        <v>1385</v>
      </c>
      <c r="BE609" s="472" t="s">
        <v>1385</v>
      </c>
      <c r="BF609" s="472">
        <v>17269.2</v>
      </c>
      <c r="BG609" s="472">
        <v>0</v>
      </c>
      <c r="BH609" s="472" t="s">
        <v>1385</v>
      </c>
      <c r="BI609" s="510">
        <v>0</v>
      </c>
      <c r="BJ609" s="510">
        <v>0</v>
      </c>
      <c r="BK609" s="510">
        <v>0</v>
      </c>
      <c r="BL609" s="510">
        <v>0</v>
      </c>
      <c r="BM609" s="510">
        <v>0</v>
      </c>
      <c r="BN609" s="510">
        <v>3000</v>
      </c>
      <c r="BO609" s="510">
        <v>0</v>
      </c>
      <c r="BP609" s="510">
        <v>0</v>
      </c>
      <c r="BQ609" s="510">
        <v>0</v>
      </c>
      <c r="BR609" s="510">
        <v>0</v>
      </c>
      <c r="BS609" s="510">
        <v>0</v>
      </c>
      <c r="BT609" s="510">
        <v>0</v>
      </c>
      <c r="BU609" s="510">
        <v>0</v>
      </c>
      <c r="BV609" s="510">
        <v>0</v>
      </c>
      <c r="BW609" s="510">
        <v>0</v>
      </c>
      <c r="BX609" s="510">
        <v>30000</v>
      </c>
      <c r="BY609" s="1011">
        <v>0</v>
      </c>
      <c r="BZ609" s="510">
        <v>0</v>
      </c>
      <c r="CA609" s="1011">
        <v>0</v>
      </c>
      <c r="CB609" s="510">
        <v>0</v>
      </c>
      <c r="CC609" s="1011">
        <v>0</v>
      </c>
      <c r="CD609" s="510">
        <v>0</v>
      </c>
      <c r="CE609" s="1011">
        <v>0</v>
      </c>
      <c r="CF609" s="510">
        <v>40941.599999999999</v>
      </c>
      <c r="CG609" s="1011">
        <v>0</v>
      </c>
      <c r="CH609" s="510">
        <v>0</v>
      </c>
      <c r="CI609" s="1011">
        <v>0</v>
      </c>
    </row>
    <row r="610" spans="1:87" x14ac:dyDescent="0.2">
      <c r="A610" s="449">
        <v>81</v>
      </c>
      <c r="B610" s="453">
        <v>90972</v>
      </c>
      <c r="C610" s="454" t="s">
        <v>12257</v>
      </c>
      <c r="D610" s="454" t="s">
        <v>1390</v>
      </c>
      <c r="E610" s="454" t="s">
        <v>12258</v>
      </c>
      <c r="F610" s="454" t="s">
        <v>523</v>
      </c>
      <c r="G610" s="454" t="s">
        <v>13314</v>
      </c>
      <c r="H610" s="455">
        <v>56265457000182</v>
      </c>
      <c r="I610" s="462">
        <v>31441</v>
      </c>
      <c r="J610" s="457">
        <v>37615351</v>
      </c>
      <c r="K610" s="454" t="s">
        <v>5933</v>
      </c>
      <c r="L610" s="458">
        <v>10</v>
      </c>
      <c r="M610" s="454" t="s">
        <v>1950</v>
      </c>
      <c r="N610" s="459">
        <v>8470250</v>
      </c>
      <c r="O610" s="460">
        <v>29649384</v>
      </c>
      <c r="P610" s="462">
        <v>261362</v>
      </c>
      <c r="Q610" s="462">
        <v>81</v>
      </c>
      <c r="R610" s="462">
        <v>43921</v>
      </c>
      <c r="S610" s="463">
        <v>394</v>
      </c>
      <c r="T610" s="464">
        <v>3.6</v>
      </c>
      <c r="U610" s="465">
        <v>1418.4</v>
      </c>
      <c r="V610" s="465">
        <v>13680</v>
      </c>
      <c r="W610" s="466">
        <v>0</v>
      </c>
      <c r="X610" s="467">
        <v>1</v>
      </c>
      <c r="Y610" s="466">
        <v>22647.599999999999</v>
      </c>
      <c r="Z610" s="468" t="s">
        <v>516</v>
      </c>
      <c r="AA610" s="466">
        <v>97671.6</v>
      </c>
      <c r="AB610" s="466">
        <v>97671.6</v>
      </c>
      <c r="AC610" s="467">
        <v>0</v>
      </c>
      <c r="AD610" s="466">
        <v>0</v>
      </c>
      <c r="AE610" s="468" t="s">
        <v>516</v>
      </c>
      <c r="AF610" s="466">
        <v>0</v>
      </c>
      <c r="AG610" s="466">
        <v>0</v>
      </c>
      <c r="AH610" s="466">
        <v>13147.31</v>
      </c>
      <c r="AI610" s="466">
        <v>12033.93</v>
      </c>
      <c r="AJ610" s="469" t="s">
        <v>1674</v>
      </c>
      <c r="AK610" s="470" t="s">
        <v>518</v>
      </c>
      <c r="AL610" s="471" t="s">
        <v>12259</v>
      </c>
      <c r="AM610" s="470" t="s">
        <v>13315</v>
      </c>
      <c r="AN610" s="470" t="s">
        <v>1385</v>
      </c>
      <c r="AO610" s="470" t="s">
        <v>13316</v>
      </c>
      <c r="AP610" s="470" t="s">
        <v>12261</v>
      </c>
      <c r="AQ610" s="470" t="s">
        <v>12257</v>
      </c>
      <c r="AR610" s="472" t="s">
        <v>515</v>
      </c>
      <c r="AS610" s="473" t="s">
        <v>1385</v>
      </c>
      <c r="AT610" s="472" t="s">
        <v>1390</v>
      </c>
      <c r="AU610" s="472" t="s">
        <v>420</v>
      </c>
      <c r="AV610" s="472">
        <v>2020</v>
      </c>
      <c r="AW610" s="474" t="s">
        <v>15078</v>
      </c>
      <c r="AX610" s="475" t="s">
        <v>15079</v>
      </c>
      <c r="AY610" s="515">
        <v>1</v>
      </c>
      <c r="AZ610" s="474" t="s">
        <v>15079</v>
      </c>
      <c r="BA610" s="472" t="s">
        <v>1390</v>
      </c>
      <c r="BB610" s="472" t="s">
        <v>1385</v>
      </c>
      <c r="BC610" s="472" t="s">
        <v>1385</v>
      </c>
      <c r="BD610" s="472" t="s">
        <v>1385</v>
      </c>
      <c r="BE610" s="472" t="s">
        <v>1385</v>
      </c>
      <c r="BF610" s="472">
        <v>22647.599999999999</v>
      </c>
      <c r="BG610" s="472">
        <v>0</v>
      </c>
      <c r="BH610" s="472" t="s">
        <v>1385</v>
      </c>
      <c r="BI610" s="510">
        <v>0</v>
      </c>
      <c r="BJ610" s="510">
        <v>0</v>
      </c>
      <c r="BK610" s="510">
        <v>0</v>
      </c>
      <c r="BL610" s="510">
        <v>0</v>
      </c>
      <c r="BM610" s="510">
        <v>0</v>
      </c>
      <c r="BN610" s="510">
        <v>3500</v>
      </c>
      <c r="BO610" s="510">
        <v>0</v>
      </c>
      <c r="BP610" s="510">
        <v>0</v>
      </c>
      <c r="BQ610" s="510">
        <v>0</v>
      </c>
      <c r="BR610" s="510">
        <v>0</v>
      </c>
      <c r="BS610" s="510">
        <v>0</v>
      </c>
      <c r="BT610" s="510">
        <v>0</v>
      </c>
      <c r="BU610" s="510">
        <v>0</v>
      </c>
      <c r="BV610" s="510">
        <v>0</v>
      </c>
      <c r="BW610" s="510">
        <v>0</v>
      </c>
      <c r="BX610" s="510">
        <v>30000</v>
      </c>
      <c r="BY610" s="1011">
        <v>0</v>
      </c>
      <c r="BZ610" s="510">
        <v>0</v>
      </c>
      <c r="CA610" s="1011">
        <v>0</v>
      </c>
      <c r="CB610" s="510">
        <v>0</v>
      </c>
      <c r="CC610" s="1011">
        <v>0</v>
      </c>
      <c r="CD610" s="510">
        <v>0</v>
      </c>
      <c r="CE610" s="1011">
        <v>0</v>
      </c>
      <c r="CF610" s="510">
        <v>45024</v>
      </c>
      <c r="CG610" s="1011">
        <v>0</v>
      </c>
      <c r="CH610" s="510">
        <v>0</v>
      </c>
      <c r="CI610" s="1011">
        <v>0</v>
      </c>
    </row>
    <row r="611" spans="1:87" x14ac:dyDescent="0.2">
      <c r="A611" s="449">
        <v>68</v>
      </c>
      <c r="B611" s="453">
        <v>90981</v>
      </c>
      <c r="C611" s="454" t="s">
        <v>5934</v>
      </c>
      <c r="D611" s="454" t="s">
        <v>1390</v>
      </c>
      <c r="E611" s="454" t="s">
        <v>5935</v>
      </c>
      <c r="F611" s="454" t="s">
        <v>523</v>
      </c>
      <c r="G611" s="454" t="s">
        <v>13317</v>
      </c>
      <c r="H611" s="455">
        <v>55236624000102</v>
      </c>
      <c r="I611" s="462">
        <v>31359</v>
      </c>
      <c r="J611" s="457">
        <v>37615432</v>
      </c>
      <c r="K611" s="454" t="s">
        <v>5937</v>
      </c>
      <c r="L611" s="458">
        <v>25</v>
      </c>
      <c r="M611" s="454" t="s">
        <v>1950</v>
      </c>
      <c r="N611" s="459">
        <v>8471100</v>
      </c>
      <c r="O611" s="460">
        <v>22822115</v>
      </c>
      <c r="P611" s="462">
        <v>261532</v>
      </c>
      <c r="Q611" s="462">
        <v>68</v>
      </c>
      <c r="R611" s="462">
        <v>43921</v>
      </c>
      <c r="S611" s="463">
        <v>381</v>
      </c>
      <c r="T611" s="464">
        <v>3.6</v>
      </c>
      <c r="U611" s="465">
        <v>1371.6</v>
      </c>
      <c r="V611" s="465">
        <v>13680</v>
      </c>
      <c r="W611" s="466">
        <v>0</v>
      </c>
      <c r="X611" s="467">
        <v>1</v>
      </c>
      <c r="Y611" s="466">
        <v>22577.4</v>
      </c>
      <c r="Z611" s="468" t="s">
        <v>516</v>
      </c>
      <c r="AA611" s="466">
        <v>97723.8</v>
      </c>
      <c r="AB611" s="466">
        <v>97723.8</v>
      </c>
      <c r="AC611" s="467">
        <v>0</v>
      </c>
      <c r="AD611" s="466">
        <v>0</v>
      </c>
      <c r="AE611" s="468" t="s">
        <v>516</v>
      </c>
      <c r="AF611" s="466">
        <v>0</v>
      </c>
      <c r="AG611" s="466">
        <v>0</v>
      </c>
      <c r="AH611" s="466">
        <v>18027.189999999999</v>
      </c>
      <c r="AI611" s="466">
        <v>3961.05</v>
      </c>
      <c r="AJ611" s="469" t="s">
        <v>5938</v>
      </c>
      <c r="AK611" s="470" t="s">
        <v>5939</v>
      </c>
      <c r="AL611" s="471" t="s">
        <v>5940</v>
      </c>
      <c r="AM611" s="470" t="s">
        <v>13318</v>
      </c>
      <c r="AN611" s="470" t="s">
        <v>5936</v>
      </c>
      <c r="AO611" s="470" t="s">
        <v>5941</v>
      </c>
      <c r="AP611" s="470" t="s">
        <v>5942</v>
      </c>
      <c r="AQ611" s="470" t="s">
        <v>5934</v>
      </c>
      <c r="AR611" s="472" t="s">
        <v>515</v>
      </c>
      <c r="AS611" s="473" t="s">
        <v>1385</v>
      </c>
      <c r="AT611" s="472" t="s">
        <v>1390</v>
      </c>
      <c r="AU611" s="472" t="s">
        <v>420</v>
      </c>
      <c r="AV611" s="472">
        <v>2020</v>
      </c>
      <c r="AW611" s="474" t="s">
        <v>15078</v>
      </c>
      <c r="AX611" s="475" t="s">
        <v>15079</v>
      </c>
      <c r="AY611" s="515">
        <v>1</v>
      </c>
      <c r="AZ611" s="474" t="s">
        <v>15079</v>
      </c>
      <c r="BA611" s="472" t="s">
        <v>1390</v>
      </c>
      <c r="BB611" s="472" t="s">
        <v>1385</v>
      </c>
      <c r="BC611" s="472" t="s">
        <v>1385</v>
      </c>
      <c r="BD611" s="472" t="s">
        <v>1385</v>
      </c>
      <c r="BE611" s="472" t="s">
        <v>1385</v>
      </c>
      <c r="BF611" s="472">
        <v>22577.4</v>
      </c>
      <c r="BG611" s="472">
        <v>0</v>
      </c>
      <c r="BH611" s="472" t="s">
        <v>1385</v>
      </c>
      <c r="BI611" s="510">
        <v>0</v>
      </c>
      <c r="BJ611" s="510">
        <v>0</v>
      </c>
      <c r="BK611" s="510">
        <v>0</v>
      </c>
      <c r="BL611" s="510">
        <v>0</v>
      </c>
      <c r="BM611" s="510">
        <v>0</v>
      </c>
      <c r="BN611" s="510">
        <v>3500</v>
      </c>
      <c r="BO611" s="510">
        <v>0</v>
      </c>
      <c r="BP611" s="510">
        <v>0</v>
      </c>
      <c r="BQ611" s="510">
        <v>0</v>
      </c>
      <c r="BR611" s="510">
        <v>0</v>
      </c>
      <c r="BS611" s="510">
        <v>0</v>
      </c>
      <c r="BT611" s="510">
        <v>0</v>
      </c>
      <c r="BU611" s="510">
        <v>0</v>
      </c>
      <c r="BV611" s="510">
        <v>0</v>
      </c>
      <c r="BW611" s="510">
        <v>0</v>
      </c>
      <c r="BX611" s="510">
        <v>30000</v>
      </c>
      <c r="BY611" s="1011">
        <v>0</v>
      </c>
      <c r="BZ611" s="510">
        <v>0</v>
      </c>
      <c r="CA611" s="1011">
        <v>0</v>
      </c>
      <c r="CB611" s="510">
        <v>0</v>
      </c>
      <c r="CC611" s="1011">
        <v>0</v>
      </c>
      <c r="CD611" s="510">
        <v>0</v>
      </c>
      <c r="CE611" s="1011">
        <v>0</v>
      </c>
      <c r="CF611" s="510">
        <v>45146.400000000001</v>
      </c>
      <c r="CG611" s="1011">
        <v>0</v>
      </c>
      <c r="CH611" s="510">
        <v>0</v>
      </c>
      <c r="CI611" s="1011">
        <v>0</v>
      </c>
    </row>
    <row r="612" spans="1:87" x14ac:dyDescent="0.2">
      <c r="A612" s="449">
        <v>65</v>
      </c>
      <c r="B612" s="453">
        <v>90999</v>
      </c>
      <c r="C612" s="454" t="s">
        <v>5943</v>
      </c>
      <c r="D612" s="454" t="s">
        <v>1390</v>
      </c>
      <c r="E612" s="454" t="s">
        <v>5944</v>
      </c>
      <c r="F612" s="454" t="s">
        <v>523</v>
      </c>
      <c r="G612" s="454" t="s">
        <v>13319</v>
      </c>
      <c r="H612" s="455">
        <v>55085096000120</v>
      </c>
      <c r="I612" s="462">
        <v>31313</v>
      </c>
      <c r="J612" s="457">
        <v>37615416</v>
      </c>
      <c r="K612" s="454" t="s">
        <v>5945</v>
      </c>
      <c r="L612" s="458">
        <v>167</v>
      </c>
      <c r="M612" s="454" t="s">
        <v>1950</v>
      </c>
      <c r="N612" s="459">
        <v>8471330</v>
      </c>
      <c r="O612" s="460">
        <v>22822123</v>
      </c>
      <c r="P612" s="462">
        <v>261591</v>
      </c>
      <c r="Q612" s="462">
        <v>65</v>
      </c>
      <c r="R612" s="462">
        <v>43921</v>
      </c>
      <c r="S612" s="463">
        <v>339</v>
      </c>
      <c r="T612" s="464">
        <v>3.6</v>
      </c>
      <c r="U612" s="465">
        <v>1220.4000000000001</v>
      </c>
      <c r="V612" s="465">
        <v>13680</v>
      </c>
      <c r="W612" s="466">
        <v>0</v>
      </c>
      <c r="X612" s="467">
        <v>1</v>
      </c>
      <c r="Y612" s="466">
        <v>22350.6</v>
      </c>
      <c r="Z612" s="468" t="s">
        <v>516</v>
      </c>
      <c r="AA612" s="466">
        <v>97086.6</v>
      </c>
      <c r="AB612" s="466">
        <v>97086.6</v>
      </c>
      <c r="AC612" s="467">
        <v>0</v>
      </c>
      <c r="AD612" s="466">
        <v>0</v>
      </c>
      <c r="AE612" s="468" t="s">
        <v>516</v>
      </c>
      <c r="AF612" s="466">
        <v>0</v>
      </c>
      <c r="AG612" s="466">
        <v>0</v>
      </c>
      <c r="AH612" s="466">
        <v>16042.17</v>
      </c>
      <c r="AI612" s="466">
        <v>1437.43</v>
      </c>
      <c r="AJ612" s="469" t="s">
        <v>1395</v>
      </c>
      <c r="AK612" s="470" t="s">
        <v>523</v>
      </c>
      <c r="AL612" s="471" t="s">
        <v>5946</v>
      </c>
      <c r="AM612" s="470" t="s">
        <v>5947</v>
      </c>
      <c r="AN612" s="470" t="s">
        <v>1385</v>
      </c>
      <c r="AO612" s="470" t="s">
        <v>5948</v>
      </c>
      <c r="AP612" s="470" t="s">
        <v>5949</v>
      </c>
      <c r="AQ612" s="470" t="s">
        <v>5943</v>
      </c>
      <c r="AR612" s="472" t="s">
        <v>515</v>
      </c>
      <c r="AS612" s="473" t="s">
        <v>1385</v>
      </c>
      <c r="AT612" s="472" t="s">
        <v>1390</v>
      </c>
      <c r="AU612" s="472" t="s">
        <v>420</v>
      </c>
      <c r="AV612" s="472">
        <v>2020</v>
      </c>
      <c r="AW612" s="474" t="s">
        <v>15078</v>
      </c>
      <c r="AX612" s="475" t="s">
        <v>15079</v>
      </c>
      <c r="AY612" s="515">
        <v>1</v>
      </c>
      <c r="AZ612" s="474" t="s">
        <v>15079</v>
      </c>
      <c r="BA612" s="472" t="s">
        <v>1390</v>
      </c>
      <c r="BB612" s="472" t="s">
        <v>1385</v>
      </c>
      <c r="BC612" s="472" t="s">
        <v>1385</v>
      </c>
      <c r="BD612" s="472" t="s">
        <v>1385</v>
      </c>
      <c r="BE612" s="472" t="s">
        <v>1385</v>
      </c>
      <c r="BF612" s="472">
        <v>22350.6</v>
      </c>
      <c r="BG612" s="472">
        <v>0</v>
      </c>
      <c r="BH612" s="472" t="s">
        <v>1385</v>
      </c>
      <c r="BI612" s="510">
        <v>0</v>
      </c>
      <c r="BJ612" s="510">
        <v>0</v>
      </c>
      <c r="BK612" s="510">
        <v>0</v>
      </c>
      <c r="BL612" s="510">
        <v>0</v>
      </c>
      <c r="BM612" s="510">
        <v>0</v>
      </c>
      <c r="BN612" s="510">
        <v>3500</v>
      </c>
      <c r="BO612" s="510">
        <v>0</v>
      </c>
      <c r="BP612" s="510">
        <v>0</v>
      </c>
      <c r="BQ612" s="510">
        <v>0</v>
      </c>
      <c r="BR612" s="510">
        <v>0</v>
      </c>
      <c r="BS612" s="510">
        <v>0</v>
      </c>
      <c r="BT612" s="510">
        <v>0</v>
      </c>
      <c r="BU612" s="510">
        <v>0</v>
      </c>
      <c r="BV612" s="510">
        <v>0</v>
      </c>
      <c r="BW612" s="510">
        <v>0</v>
      </c>
      <c r="BX612" s="510">
        <v>30000</v>
      </c>
      <c r="BY612" s="1011">
        <v>0</v>
      </c>
      <c r="BZ612" s="510">
        <v>0</v>
      </c>
      <c r="CA612" s="1011">
        <v>0</v>
      </c>
      <c r="CB612" s="510">
        <v>0</v>
      </c>
      <c r="CC612" s="1011">
        <v>0</v>
      </c>
      <c r="CD612" s="510">
        <v>0</v>
      </c>
      <c r="CE612" s="1011">
        <v>0</v>
      </c>
      <c r="CF612" s="510">
        <v>44736</v>
      </c>
      <c r="CG612" s="1011">
        <v>0</v>
      </c>
      <c r="CH612" s="510">
        <v>0</v>
      </c>
      <c r="CI612" s="1011">
        <v>0</v>
      </c>
    </row>
    <row r="613" spans="1:87" x14ac:dyDescent="0.2">
      <c r="A613" s="449">
        <v>85</v>
      </c>
      <c r="B613" s="453">
        <v>91006</v>
      </c>
      <c r="C613" s="454" t="s">
        <v>5950</v>
      </c>
      <c r="D613" s="454" t="s">
        <v>1390</v>
      </c>
      <c r="E613" s="454" t="s">
        <v>5951</v>
      </c>
      <c r="F613" s="454" t="s">
        <v>518</v>
      </c>
      <c r="G613" s="454" t="s">
        <v>13320</v>
      </c>
      <c r="H613" s="455">
        <v>56574551000113</v>
      </c>
      <c r="I613" s="462">
        <v>31686</v>
      </c>
      <c r="J613" s="457">
        <v>37470523</v>
      </c>
      <c r="K613" s="454" t="s">
        <v>5953</v>
      </c>
      <c r="L613" s="458" t="s">
        <v>5954</v>
      </c>
      <c r="M613" s="454" t="s">
        <v>5955</v>
      </c>
      <c r="N613" s="459">
        <v>8275430</v>
      </c>
      <c r="O613" s="460">
        <v>27482725</v>
      </c>
      <c r="P613" s="462">
        <v>47174</v>
      </c>
      <c r="Q613" s="462">
        <v>54</v>
      </c>
      <c r="R613" s="462">
        <v>43934</v>
      </c>
      <c r="S613" s="463">
        <v>329</v>
      </c>
      <c r="T613" s="464">
        <v>3.6</v>
      </c>
      <c r="U613" s="465">
        <v>1184.4000000000001</v>
      </c>
      <c r="V613" s="465">
        <v>13680</v>
      </c>
      <c r="W613" s="466">
        <v>0</v>
      </c>
      <c r="X613" s="467">
        <v>1</v>
      </c>
      <c r="Y613" s="466">
        <v>22296.6</v>
      </c>
      <c r="Z613" s="468" t="s">
        <v>516</v>
      </c>
      <c r="AA613" s="466">
        <v>97126.2</v>
      </c>
      <c r="AB613" s="466">
        <v>97126.2</v>
      </c>
      <c r="AC613" s="467">
        <v>0</v>
      </c>
      <c r="AD613" s="466">
        <v>0</v>
      </c>
      <c r="AE613" s="468" t="s">
        <v>516</v>
      </c>
      <c r="AF613" s="466">
        <v>0</v>
      </c>
      <c r="AG613" s="466">
        <v>0</v>
      </c>
      <c r="AH613" s="466">
        <v>16156.43</v>
      </c>
      <c r="AI613" s="466">
        <v>8507.35</v>
      </c>
      <c r="AJ613" s="469" t="s">
        <v>8839</v>
      </c>
      <c r="AK613" s="470" t="s">
        <v>1776</v>
      </c>
      <c r="AL613" s="471" t="s">
        <v>5956</v>
      </c>
      <c r="AM613" s="470" t="s">
        <v>5957</v>
      </c>
      <c r="AN613" s="470" t="s">
        <v>5952</v>
      </c>
      <c r="AO613" s="470" t="s">
        <v>15011</v>
      </c>
      <c r="AP613" s="470" t="s">
        <v>1842</v>
      </c>
      <c r="AQ613" s="470" t="s">
        <v>5950</v>
      </c>
      <c r="AR613" s="472" t="s">
        <v>515</v>
      </c>
      <c r="AS613" s="473" t="s">
        <v>1385</v>
      </c>
      <c r="AT613" s="472" t="s">
        <v>1390</v>
      </c>
      <c r="AU613" s="472" t="s">
        <v>420</v>
      </c>
      <c r="AV613" s="472">
        <v>2020</v>
      </c>
      <c r="AW613" s="474" t="s">
        <v>15078</v>
      </c>
      <c r="AX613" s="475" t="s">
        <v>15079</v>
      </c>
      <c r="AY613" s="515">
        <v>1</v>
      </c>
      <c r="AZ613" s="474" t="s">
        <v>15079</v>
      </c>
      <c r="BA613" s="472" t="s">
        <v>1390</v>
      </c>
      <c r="BB613" s="472" t="s">
        <v>1385</v>
      </c>
      <c r="BC613" s="472" t="s">
        <v>1385</v>
      </c>
      <c r="BD613" s="472" t="s">
        <v>1385</v>
      </c>
      <c r="BE613" s="472" t="s">
        <v>1385</v>
      </c>
      <c r="BF613" s="472">
        <v>22296.6</v>
      </c>
      <c r="BG613" s="472">
        <v>0</v>
      </c>
      <c r="BH613" s="472" t="s">
        <v>1385</v>
      </c>
      <c r="BI613" s="510">
        <v>0</v>
      </c>
      <c r="BJ613" s="510">
        <v>938.74</v>
      </c>
      <c r="BK613" s="510">
        <v>0</v>
      </c>
      <c r="BL613" s="510">
        <v>0</v>
      </c>
      <c r="BM613" s="510">
        <v>0</v>
      </c>
      <c r="BN613" s="510">
        <v>3500</v>
      </c>
      <c r="BO613" s="510">
        <v>0</v>
      </c>
      <c r="BP613" s="510">
        <v>0</v>
      </c>
      <c r="BQ613" s="510">
        <v>0</v>
      </c>
      <c r="BR613" s="510">
        <v>0</v>
      </c>
      <c r="BS613" s="510">
        <v>0</v>
      </c>
      <c r="BT613" s="510">
        <v>0</v>
      </c>
      <c r="BU613" s="510">
        <v>0</v>
      </c>
      <c r="BV613" s="510">
        <v>0</v>
      </c>
      <c r="BW613" s="510">
        <v>0</v>
      </c>
      <c r="BX613" s="510">
        <v>30000</v>
      </c>
      <c r="BY613" s="1011">
        <v>0</v>
      </c>
      <c r="BZ613" s="510">
        <v>0</v>
      </c>
      <c r="CA613" s="1011">
        <v>0</v>
      </c>
      <c r="CB613" s="510">
        <v>0</v>
      </c>
      <c r="CC613" s="1011">
        <v>0</v>
      </c>
      <c r="CD613" s="510">
        <v>0</v>
      </c>
      <c r="CE613" s="1011">
        <v>0</v>
      </c>
      <c r="CF613" s="510">
        <v>44829.599999999999</v>
      </c>
      <c r="CG613" s="1011">
        <v>0</v>
      </c>
      <c r="CH613" s="510">
        <v>0</v>
      </c>
      <c r="CI613" s="1011">
        <v>0</v>
      </c>
    </row>
    <row r="614" spans="1:87" x14ac:dyDescent="0.2">
      <c r="A614" s="449">
        <v>66</v>
      </c>
      <c r="B614" s="453">
        <v>91014</v>
      </c>
      <c r="C614" s="454" t="s">
        <v>5958</v>
      </c>
      <c r="D614" s="454" t="s">
        <v>1390</v>
      </c>
      <c r="E614" s="454" t="s">
        <v>5959</v>
      </c>
      <c r="F614" s="454" t="s">
        <v>523</v>
      </c>
      <c r="G614" s="454" t="s">
        <v>13321</v>
      </c>
      <c r="H614" s="455">
        <v>57747966000104</v>
      </c>
      <c r="I614" s="462">
        <v>31952</v>
      </c>
      <c r="J614" s="457">
        <v>37620215</v>
      </c>
      <c r="K614" s="454" t="s">
        <v>5961</v>
      </c>
      <c r="L614" s="458">
        <v>55</v>
      </c>
      <c r="M614" s="454" t="s">
        <v>5962</v>
      </c>
      <c r="N614" s="459">
        <v>8472070</v>
      </c>
      <c r="O614" s="460">
        <v>25558437</v>
      </c>
      <c r="P614" s="462">
        <v>261559</v>
      </c>
      <c r="Q614" s="462">
        <v>66</v>
      </c>
      <c r="R614" s="462">
        <v>43921</v>
      </c>
      <c r="S614" s="463">
        <v>381</v>
      </c>
      <c r="T614" s="464">
        <v>3.6</v>
      </c>
      <c r="U614" s="465">
        <v>1371.6</v>
      </c>
      <c r="V614" s="465">
        <v>13680</v>
      </c>
      <c r="W614" s="466">
        <v>0</v>
      </c>
      <c r="X614" s="467">
        <v>1</v>
      </c>
      <c r="Y614" s="466">
        <v>22577.4</v>
      </c>
      <c r="Z614" s="468" t="s">
        <v>516</v>
      </c>
      <c r="AA614" s="466">
        <v>97673.4</v>
      </c>
      <c r="AB614" s="466">
        <v>97673.4</v>
      </c>
      <c r="AC614" s="467">
        <v>0</v>
      </c>
      <c r="AD614" s="466">
        <v>0</v>
      </c>
      <c r="AE614" s="468" t="s">
        <v>516</v>
      </c>
      <c r="AF614" s="466">
        <v>0</v>
      </c>
      <c r="AG614" s="466">
        <v>0</v>
      </c>
      <c r="AH614" s="466">
        <v>16590.419999999998</v>
      </c>
      <c r="AI614" s="466">
        <v>3993.3</v>
      </c>
      <c r="AJ614" s="469" t="s">
        <v>1395</v>
      </c>
      <c r="AK614" s="470" t="s">
        <v>523</v>
      </c>
      <c r="AL614" s="471" t="s">
        <v>5963</v>
      </c>
      <c r="AM614" s="470" t="s">
        <v>13322</v>
      </c>
      <c r="AN614" s="470" t="s">
        <v>5960</v>
      </c>
      <c r="AO614" s="470" t="s">
        <v>5964</v>
      </c>
      <c r="AP614" s="470" t="s">
        <v>5965</v>
      </c>
      <c r="AQ614" s="470" t="s">
        <v>5958</v>
      </c>
      <c r="AR614" s="472" t="s">
        <v>515</v>
      </c>
      <c r="AS614" s="473" t="s">
        <v>1385</v>
      </c>
      <c r="AT614" s="472" t="s">
        <v>1390</v>
      </c>
      <c r="AU614" s="472" t="s">
        <v>420</v>
      </c>
      <c r="AV614" s="472">
        <v>2020</v>
      </c>
      <c r="AW614" s="474" t="s">
        <v>15078</v>
      </c>
      <c r="AX614" s="475" t="s">
        <v>15079</v>
      </c>
      <c r="AY614" s="515">
        <v>1</v>
      </c>
      <c r="AZ614" s="474" t="s">
        <v>15079</v>
      </c>
      <c r="BA614" s="472" t="s">
        <v>1390</v>
      </c>
      <c r="BB614" s="472" t="s">
        <v>1385</v>
      </c>
      <c r="BC614" s="472" t="s">
        <v>1385</v>
      </c>
      <c r="BD614" s="472" t="s">
        <v>1385</v>
      </c>
      <c r="BE614" s="472" t="s">
        <v>1385</v>
      </c>
      <c r="BF614" s="472">
        <v>22577.4</v>
      </c>
      <c r="BG614" s="472">
        <v>0</v>
      </c>
      <c r="BH614" s="472" t="s">
        <v>1385</v>
      </c>
      <c r="BI614" s="510">
        <v>0</v>
      </c>
      <c r="BJ614" s="510">
        <v>0</v>
      </c>
      <c r="BK614" s="510">
        <v>0</v>
      </c>
      <c r="BL614" s="510">
        <v>0</v>
      </c>
      <c r="BM614" s="510">
        <v>0</v>
      </c>
      <c r="BN614" s="510">
        <v>3500</v>
      </c>
      <c r="BO614" s="510">
        <v>0</v>
      </c>
      <c r="BP614" s="510">
        <v>0</v>
      </c>
      <c r="BQ614" s="510">
        <v>0</v>
      </c>
      <c r="BR614" s="510">
        <v>0</v>
      </c>
      <c r="BS614" s="510">
        <v>0</v>
      </c>
      <c r="BT614" s="510">
        <v>0</v>
      </c>
      <c r="BU614" s="510">
        <v>0</v>
      </c>
      <c r="BV614" s="510">
        <v>0</v>
      </c>
      <c r="BW614" s="510">
        <v>0</v>
      </c>
      <c r="BX614" s="510">
        <v>30000</v>
      </c>
      <c r="BY614" s="1011">
        <v>0</v>
      </c>
      <c r="BZ614" s="510">
        <v>0</v>
      </c>
      <c r="CA614" s="1011">
        <v>0</v>
      </c>
      <c r="CB614" s="510">
        <v>0</v>
      </c>
      <c r="CC614" s="1011">
        <v>0</v>
      </c>
      <c r="CD614" s="510">
        <v>0</v>
      </c>
      <c r="CE614" s="1011">
        <v>0</v>
      </c>
      <c r="CF614" s="510">
        <v>45096</v>
      </c>
      <c r="CG614" s="1011">
        <v>0</v>
      </c>
      <c r="CH614" s="510">
        <v>0</v>
      </c>
      <c r="CI614" s="1011">
        <v>0</v>
      </c>
    </row>
    <row r="615" spans="1:87" x14ac:dyDescent="0.2">
      <c r="A615" s="449">
        <v>84</v>
      </c>
      <c r="B615" s="453">
        <v>91022</v>
      </c>
      <c r="C615" s="454" t="s">
        <v>5966</v>
      </c>
      <c r="D615" s="454" t="s">
        <v>1390</v>
      </c>
      <c r="E615" s="454" t="s">
        <v>5967</v>
      </c>
      <c r="F615" s="454" t="s">
        <v>523</v>
      </c>
      <c r="G615" s="454" t="s">
        <v>13323</v>
      </c>
      <c r="H615" s="455">
        <v>57746919000146</v>
      </c>
      <c r="I615" s="462">
        <v>31952</v>
      </c>
      <c r="J615" s="457">
        <v>36744441</v>
      </c>
      <c r="K615" s="454" t="s">
        <v>5968</v>
      </c>
      <c r="L615" s="458">
        <v>202</v>
      </c>
      <c r="M615" s="454" t="s">
        <v>523</v>
      </c>
      <c r="N615" s="459">
        <v>8465000</v>
      </c>
      <c r="O615" s="460">
        <v>25552111</v>
      </c>
      <c r="P615" s="462">
        <v>261338</v>
      </c>
      <c r="Q615" s="462">
        <v>84</v>
      </c>
      <c r="R615" s="462">
        <v>43921</v>
      </c>
      <c r="S615" s="463">
        <v>328</v>
      </c>
      <c r="T615" s="464">
        <v>3.6</v>
      </c>
      <c r="U615" s="465">
        <v>1180.8</v>
      </c>
      <c r="V615" s="465">
        <v>13680</v>
      </c>
      <c r="W615" s="466">
        <v>0</v>
      </c>
      <c r="X615" s="467">
        <v>1</v>
      </c>
      <c r="Y615" s="466">
        <v>22291.200000000001</v>
      </c>
      <c r="Z615" s="468" t="s">
        <v>516</v>
      </c>
      <c r="AA615" s="466">
        <v>97056</v>
      </c>
      <c r="AB615" s="466">
        <v>97056</v>
      </c>
      <c r="AC615" s="467">
        <v>0</v>
      </c>
      <c r="AD615" s="466">
        <v>0</v>
      </c>
      <c r="AE615" s="468" t="s">
        <v>516</v>
      </c>
      <c r="AF615" s="466">
        <v>0</v>
      </c>
      <c r="AG615" s="466">
        <v>0</v>
      </c>
      <c r="AH615" s="466">
        <v>12836.69</v>
      </c>
      <c r="AI615" s="466">
        <v>11889.31</v>
      </c>
      <c r="AJ615" s="469" t="s">
        <v>1560</v>
      </c>
      <c r="AK615" s="470" t="s">
        <v>1615</v>
      </c>
      <c r="AL615" s="471" t="s">
        <v>13324</v>
      </c>
      <c r="AM615" s="470" t="s">
        <v>13325</v>
      </c>
      <c r="AN615" s="470" t="s">
        <v>1385</v>
      </c>
      <c r="AO615" s="470" t="s">
        <v>13326</v>
      </c>
      <c r="AP615" s="470" t="s">
        <v>5969</v>
      </c>
      <c r="AQ615" s="470" t="s">
        <v>5966</v>
      </c>
      <c r="AR615" s="472" t="s">
        <v>515</v>
      </c>
      <c r="AS615" s="473" t="s">
        <v>1385</v>
      </c>
      <c r="AT615" s="472" t="s">
        <v>1390</v>
      </c>
      <c r="AU615" s="472" t="s">
        <v>420</v>
      </c>
      <c r="AV615" s="472">
        <v>2020</v>
      </c>
      <c r="AW615" s="474" t="s">
        <v>15078</v>
      </c>
      <c r="AX615" s="475" t="s">
        <v>15079</v>
      </c>
      <c r="AY615" s="515">
        <v>1</v>
      </c>
      <c r="AZ615" s="474" t="s">
        <v>15079</v>
      </c>
      <c r="BA615" s="472" t="s">
        <v>1390</v>
      </c>
      <c r="BB615" s="472" t="s">
        <v>1385</v>
      </c>
      <c r="BC615" s="472" t="s">
        <v>1385</v>
      </c>
      <c r="BD615" s="472" t="s">
        <v>1385</v>
      </c>
      <c r="BE615" s="472" t="s">
        <v>1385</v>
      </c>
      <c r="BF615" s="472">
        <v>22291.200000000001</v>
      </c>
      <c r="BG615" s="472">
        <v>0</v>
      </c>
      <c r="BH615" s="472" t="s">
        <v>1385</v>
      </c>
      <c r="BI615" s="510">
        <v>0</v>
      </c>
      <c r="BJ615" s="510">
        <v>0</v>
      </c>
      <c r="BK615" s="510">
        <v>0</v>
      </c>
      <c r="BL615" s="510">
        <v>0</v>
      </c>
      <c r="BM615" s="510">
        <v>0</v>
      </c>
      <c r="BN615" s="510">
        <v>3500</v>
      </c>
      <c r="BO615" s="510">
        <v>0</v>
      </c>
      <c r="BP615" s="510">
        <v>0</v>
      </c>
      <c r="BQ615" s="510">
        <v>0</v>
      </c>
      <c r="BR615" s="510">
        <v>0</v>
      </c>
      <c r="BS615" s="510">
        <v>0</v>
      </c>
      <c r="BT615" s="510">
        <v>0</v>
      </c>
      <c r="BU615" s="510">
        <v>0</v>
      </c>
      <c r="BV615" s="510">
        <v>0</v>
      </c>
      <c r="BW615" s="510">
        <v>0</v>
      </c>
      <c r="BX615" s="510">
        <v>30000</v>
      </c>
      <c r="BY615" s="1011">
        <v>0</v>
      </c>
      <c r="BZ615" s="510">
        <v>0</v>
      </c>
      <c r="CA615" s="1011">
        <v>0</v>
      </c>
      <c r="CB615" s="510">
        <v>0</v>
      </c>
      <c r="CC615" s="1011">
        <v>0</v>
      </c>
      <c r="CD615" s="510">
        <v>0</v>
      </c>
      <c r="CE615" s="1011">
        <v>0</v>
      </c>
      <c r="CF615" s="510">
        <v>44764.800000000003</v>
      </c>
      <c r="CG615" s="1011">
        <v>0</v>
      </c>
      <c r="CH615" s="510">
        <v>0</v>
      </c>
      <c r="CI615" s="1011">
        <v>0</v>
      </c>
    </row>
    <row r="616" spans="1:87" x14ac:dyDescent="0.2">
      <c r="A616" s="449">
        <v>89</v>
      </c>
      <c r="B616" s="453">
        <v>91031</v>
      </c>
      <c r="C616" s="454" t="s">
        <v>5970</v>
      </c>
      <c r="D616" s="454" t="s">
        <v>1390</v>
      </c>
      <c r="E616" s="454" t="s">
        <v>5971</v>
      </c>
      <c r="F616" s="454" t="s">
        <v>523</v>
      </c>
      <c r="G616" s="454" t="s">
        <v>13327</v>
      </c>
      <c r="H616" s="455">
        <v>58373291000143</v>
      </c>
      <c r="I616" s="462">
        <v>32017</v>
      </c>
      <c r="J616" s="457">
        <v>37627937</v>
      </c>
      <c r="K616" s="454" t="s">
        <v>5973</v>
      </c>
      <c r="L616" s="458">
        <v>69</v>
      </c>
      <c r="M616" s="454" t="s">
        <v>5660</v>
      </c>
      <c r="N616" s="459">
        <v>8474220</v>
      </c>
      <c r="O616" s="460">
        <v>22821223</v>
      </c>
      <c r="P616" s="462">
        <v>52380</v>
      </c>
      <c r="Q616" s="462">
        <v>89</v>
      </c>
      <c r="R616" s="462">
        <v>43921</v>
      </c>
      <c r="S616" s="463">
        <v>373</v>
      </c>
      <c r="T616" s="464">
        <v>3.6</v>
      </c>
      <c r="U616" s="465">
        <v>1342.8</v>
      </c>
      <c r="V616" s="465">
        <v>13680</v>
      </c>
      <c r="W616" s="466">
        <v>0</v>
      </c>
      <c r="X616" s="467">
        <v>1</v>
      </c>
      <c r="Y616" s="466">
        <v>22534.2</v>
      </c>
      <c r="Z616" s="468" t="s">
        <v>516</v>
      </c>
      <c r="AA616" s="466">
        <v>97543.8</v>
      </c>
      <c r="AB616" s="466">
        <v>97543.8</v>
      </c>
      <c r="AC616" s="467">
        <v>0</v>
      </c>
      <c r="AD616" s="466">
        <v>0</v>
      </c>
      <c r="AE616" s="468" t="s">
        <v>516</v>
      </c>
      <c r="AF616" s="466">
        <v>0</v>
      </c>
      <c r="AG616" s="466">
        <v>0</v>
      </c>
      <c r="AH616" s="466">
        <v>26892.21</v>
      </c>
      <c r="AI616" s="466">
        <v>1502.68</v>
      </c>
      <c r="AJ616" s="469" t="s">
        <v>1395</v>
      </c>
      <c r="AK616" s="470" t="s">
        <v>523</v>
      </c>
      <c r="AL616" s="471" t="s">
        <v>5974</v>
      </c>
      <c r="AM616" s="470" t="s">
        <v>5975</v>
      </c>
      <c r="AN616" s="470" t="s">
        <v>5972</v>
      </c>
      <c r="AO616" s="470" t="s">
        <v>5976</v>
      </c>
      <c r="AP616" s="470" t="s">
        <v>5977</v>
      </c>
      <c r="AQ616" s="470" t="s">
        <v>5970</v>
      </c>
      <c r="AR616" s="472" t="s">
        <v>515</v>
      </c>
      <c r="AS616" s="473" t="s">
        <v>1385</v>
      </c>
      <c r="AT616" s="472" t="s">
        <v>1390</v>
      </c>
      <c r="AU616" s="472" t="s">
        <v>420</v>
      </c>
      <c r="AV616" s="472">
        <v>2020</v>
      </c>
      <c r="AW616" s="474" t="s">
        <v>15078</v>
      </c>
      <c r="AX616" s="475" t="s">
        <v>15079</v>
      </c>
      <c r="AY616" s="515">
        <v>1</v>
      </c>
      <c r="AZ616" s="474" t="s">
        <v>15079</v>
      </c>
      <c r="BA616" s="472" t="s">
        <v>1390</v>
      </c>
      <c r="BB616" s="472" t="s">
        <v>1385</v>
      </c>
      <c r="BC616" s="472" t="s">
        <v>1385</v>
      </c>
      <c r="BD616" s="472" t="s">
        <v>1385</v>
      </c>
      <c r="BE616" s="472" t="s">
        <v>1385</v>
      </c>
      <c r="BF616" s="472">
        <v>22534.2</v>
      </c>
      <c r="BG616" s="472">
        <v>0</v>
      </c>
      <c r="BH616" s="472" t="s">
        <v>1385</v>
      </c>
      <c r="BI616" s="510">
        <v>0</v>
      </c>
      <c r="BJ616" s="510">
        <v>0</v>
      </c>
      <c r="BK616" s="510">
        <v>0</v>
      </c>
      <c r="BL616" s="510">
        <v>0</v>
      </c>
      <c r="BM616" s="510">
        <v>0</v>
      </c>
      <c r="BN616" s="510">
        <v>3500</v>
      </c>
      <c r="BO616" s="510">
        <v>0</v>
      </c>
      <c r="BP616" s="510">
        <v>0</v>
      </c>
      <c r="BQ616" s="510">
        <v>0</v>
      </c>
      <c r="BR616" s="510">
        <v>0</v>
      </c>
      <c r="BS616" s="510">
        <v>0</v>
      </c>
      <c r="BT616" s="510">
        <v>0</v>
      </c>
      <c r="BU616" s="510">
        <v>0</v>
      </c>
      <c r="BV616" s="510">
        <v>0</v>
      </c>
      <c r="BW616" s="510">
        <v>0</v>
      </c>
      <c r="BX616" s="510">
        <v>30000</v>
      </c>
      <c r="BY616" s="1011">
        <v>0</v>
      </c>
      <c r="BZ616" s="510">
        <v>0</v>
      </c>
      <c r="CA616" s="1011">
        <v>0</v>
      </c>
      <c r="CB616" s="510">
        <v>0</v>
      </c>
      <c r="CC616" s="1011">
        <v>0</v>
      </c>
      <c r="CD616" s="510">
        <v>0</v>
      </c>
      <c r="CE616" s="1011">
        <v>0</v>
      </c>
      <c r="CF616" s="510">
        <v>45009.599999999999</v>
      </c>
      <c r="CG616" s="1011">
        <v>0</v>
      </c>
      <c r="CH616" s="510">
        <v>0</v>
      </c>
      <c r="CI616" s="1011">
        <v>0</v>
      </c>
    </row>
    <row r="617" spans="1:87" x14ac:dyDescent="0.2">
      <c r="A617" s="449">
        <v>77</v>
      </c>
      <c r="B617" s="453">
        <v>91057</v>
      </c>
      <c r="C617" s="454" t="s">
        <v>5978</v>
      </c>
      <c r="D617" s="454" t="s">
        <v>1390</v>
      </c>
      <c r="E617" s="454" t="s">
        <v>5979</v>
      </c>
      <c r="F617" s="454" t="s">
        <v>518</v>
      </c>
      <c r="G617" s="454" t="s">
        <v>13328</v>
      </c>
      <c r="H617" s="455">
        <v>56572308000166</v>
      </c>
      <c r="I617" s="462">
        <v>31713</v>
      </c>
      <c r="J617" s="457">
        <v>37470310</v>
      </c>
      <c r="K617" s="454" t="s">
        <v>5981</v>
      </c>
      <c r="L617" s="458">
        <v>113</v>
      </c>
      <c r="M617" s="454" t="s">
        <v>1570</v>
      </c>
      <c r="N617" s="459">
        <v>3578080</v>
      </c>
      <c r="O617" s="460">
        <v>27245949</v>
      </c>
      <c r="P617" s="462">
        <v>47050</v>
      </c>
      <c r="Q617" s="462">
        <v>46</v>
      </c>
      <c r="R617" s="462">
        <v>43943</v>
      </c>
      <c r="S617" s="463">
        <v>196</v>
      </c>
      <c r="T617" s="464">
        <v>3.6</v>
      </c>
      <c r="U617" s="465">
        <v>705.6</v>
      </c>
      <c r="V617" s="465">
        <v>10800</v>
      </c>
      <c r="W617" s="466">
        <v>0</v>
      </c>
      <c r="X617" s="467">
        <v>1</v>
      </c>
      <c r="Y617" s="466">
        <v>17258.400000000001</v>
      </c>
      <c r="Z617" s="468" t="s">
        <v>516</v>
      </c>
      <c r="AA617" s="466">
        <v>88221.6</v>
      </c>
      <c r="AB617" s="466">
        <v>88221.6</v>
      </c>
      <c r="AC617" s="467">
        <v>0</v>
      </c>
      <c r="AD617" s="466">
        <v>0</v>
      </c>
      <c r="AE617" s="468" t="s">
        <v>516</v>
      </c>
      <c r="AF617" s="466">
        <v>0</v>
      </c>
      <c r="AG617" s="466">
        <v>0</v>
      </c>
      <c r="AH617" s="466">
        <v>7983.79</v>
      </c>
      <c r="AI617" s="466">
        <v>5752.8</v>
      </c>
      <c r="AJ617" s="469" t="s">
        <v>5982</v>
      </c>
      <c r="AK617" s="470" t="s">
        <v>1776</v>
      </c>
      <c r="AL617" s="471" t="s">
        <v>5983</v>
      </c>
      <c r="AM617" s="470" t="s">
        <v>13329</v>
      </c>
      <c r="AN617" s="470" t="s">
        <v>5980</v>
      </c>
      <c r="AO617" s="470" t="s">
        <v>15012</v>
      </c>
      <c r="AP617" s="470" t="s">
        <v>5984</v>
      </c>
      <c r="AQ617" s="470" t="s">
        <v>5978</v>
      </c>
      <c r="AR617" s="472" t="s">
        <v>515</v>
      </c>
      <c r="AS617" s="473" t="s">
        <v>1385</v>
      </c>
      <c r="AT617" s="472" t="s">
        <v>1390</v>
      </c>
      <c r="AU617" s="472" t="s">
        <v>420</v>
      </c>
      <c r="AV617" s="472">
        <v>2020</v>
      </c>
      <c r="AW617" s="474" t="s">
        <v>15078</v>
      </c>
      <c r="AX617" s="475" t="s">
        <v>15079</v>
      </c>
      <c r="AY617" s="515">
        <v>1</v>
      </c>
      <c r="AZ617" s="474" t="s">
        <v>15079</v>
      </c>
      <c r="BA617" s="472" t="s">
        <v>1390</v>
      </c>
      <c r="BB617" s="472" t="s">
        <v>1385</v>
      </c>
      <c r="BC617" s="472" t="s">
        <v>1385</v>
      </c>
      <c r="BD617" s="472" t="s">
        <v>1385</v>
      </c>
      <c r="BE617" s="472" t="s">
        <v>1385</v>
      </c>
      <c r="BF617" s="472">
        <v>17258.400000000001</v>
      </c>
      <c r="BG617" s="472">
        <v>0</v>
      </c>
      <c r="BH617" s="472" t="s">
        <v>1385</v>
      </c>
      <c r="BI617" s="510">
        <v>0</v>
      </c>
      <c r="BJ617" s="510">
        <v>0</v>
      </c>
      <c r="BK617" s="510">
        <v>0</v>
      </c>
      <c r="BL617" s="510">
        <v>0</v>
      </c>
      <c r="BM617" s="510">
        <v>0</v>
      </c>
      <c r="BN617" s="510">
        <v>3000</v>
      </c>
      <c r="BO617" s="510">
        <v>0</v>
      </c>
      <c r="BP617" s="510">
        <v>0</v>
      </c>
      <c r="BQ617" s="510">
        <v>0</v>
      </c>
      <c r="BR617" s="510">
        <v>0</v>
      </c>
      <c r="BS617" s="510">
        <v>0</v>
      </c>
      <c r="BT617" s="510">
        <v>0</v>
      </c>
      <c r="BU617" s="510">
        <v>0</v>
      </c>
      <c r="BV617" s="510">
        <v>0</v>
      </c>
      <c r="BW617" s="510">
        <v>0</v>
      </c>
      <c r="BX617" s="510">
        <v>30000</v>
      </c>
      <c r="BY617" s="1011">
        <v>0</v>
      </c>
      <c r="BZ617" s="510">
        <v>0</v>
      </c>
      <c r="CA617" s="1011">
        <v>0</v>
      </c>
      <c r="CB617" s="510">
        <v>0</v>
      </c>
      <c r="CC617" s="1011">
        <v>0</v>
      </c>
      <c r="CD617" s="510">
        <v>0</v>
      </c>
      <c r="CE617" s="1011">
        <v>0</v>
      </c>
      <c r="CF617" s="510">
        <v>40963.199999999997</v>
      </c>
      <c r="CG617" s="1011">
        <v>0</v>
      </c>
      <c r="CH617" s="510">
        <v>0</v>
      </c>
      <c r="CI617" s="1011">
        <v>0</v>
      </c>
    </row>
    <row r="618" spans="1:87" x14ac:dyDescent="0.2">
      <c r="A618" s="449">
        <v>104</v>
      </c>
      <c r="B618" s="453">
        <v>91065</v>
      </c>
      <c r="C618" s="454" t="s">
        <v>5985</v>
      </c>
      <c r="D618" s="454" t="s">
        <v>1390</v>
      </c>
      <c r="E618" s="454" t="s">
        <v>5986</v>
      </c>
      <c r="F618" s="454" t="s">
        <v>513</v>
      </c>
      <c r="G618" s="454" t="s">
        <v>13330</v>
      </c>
      <c r="H618" s="455">
        <v>57126492000183</v>
      </c>
      <c r="I618" s="462">
        <v>31756</v>
      </c>
      <c r="J618" s="457">
        <v>37531948</v>
      </c>
      <c r="K618" s="454" t="s">
        <v>5987</v>
      </c>
      <c r="L618" s="458">
        <v>340</v>
      </c>
      <c r="M618" s="454" t="s">
        <v>513</v>
      </c>
      <c r="N618" s="459">
        <v>3963100</v>
      </c>
      <c r="O618" s="460">
        <v>29199960</v>
      </c>
      <c r="P618" s="462">
        <v>151591</v>
      </c>
      <c r="Q618" s="462">
        <v>104</v>
      </c>
      <c r="R618" s="462">
        <v>43937</v>
      </c>
      <c r="S618" s="463">
        <v>341</v>
      </c>
      <c r="T618" s="464">
        <v>3.6</v>
      </c>
      <c r="U618" s="465">
        <v>1227.5999999999999</v>
      </c>
      <c r="V618" s="465">
        <v>13680</v>
      </c>
      <c r="W618" s="466">
        <v>0</v>
      </c>
      <c r="X618" s="467">
        <v>1</v>
      </c>
      <c r="Y618" s="466">
        <v>22361.4</v>
      </c>
      <c r="Z618" s="468" t="s">
        <v>516</v>
      </c>
      <c r="AA618" s="466">
        <v>97558.2</v>
      </c>
      <c r="AB618" s="466">
        <v>97558.2</v>
      </c>
      <c r="AC618" s="467">
        <v>0</v>
      </c>
      <c r="AD618" s="466">
        <v>0</v>
      </c>
      <c r="AE618" s="468" t="s">
        <v>516</v>
      </c>
      <c r="AF618" s="466">
        <v>0</v>
      </c>
      <c r="AG618" s="466">
        <v>0</v>
      </c>
      <c r="AH618" s="466">
        <v>14674.24</v>
      </c>
      <c r="AI618" s="466">
        <v>0</v>
      </c>
      <c r="AJ618" s="469" t="s">
        <v>2030</v>
      </c>
      <c r="AK618" s="470" t="s">
        <v>513</v>
      </c>
      <c r="AL618" s="471" t="s">
        <v>5988</v>
      </c>
      <c r="AM618" s="470" t="s">
        <v>5989</v>
      </c>
      <c r="AN618" s="470" t="s">
        <v>1385</v>
      </c>
      <c r="AO618" s="470" t="s">
        <v>5990</v>
      </c>
      <c r="AP618" s="470" t="s">
        <v>5991</v>
      </c>
      <c r="AQ618" s="470" t="s">
        <v>5985</v>
      </c>
      <c r="AR618" s="472" t="s">
        <v>515</v>
      </c>
      <c r="AS618" s="473" t="s">
        <v>1385</v>
      </c>
      <c r="AT618" s="472" t="s">
        <v>1390</v>
      </c>
      <c r="AU618" s="472" t="s">
        <v>420</v>
      </c>
      <c r="AV618" s="472">
        <v>2020</v>
      </c>
      <c r="AW618" s="474" t="s">
        <v>15078</v>
      </c>
      <c r="AX618" s="475" t="s">
        <v>15079</v>
      </c>
      <c r="AY618" s="515">
        <v>1</v>
      </c>
      <c r="AZ618" s="474" t="s">
        <v>15079</v>
      </c>
      <c r="BA618" s="472" t="s">
        <v>1390</v>
      </c>
      <c r="BB618" s="472" t="s">
        <v>1385</v>
      </c>
      <c r="BC618" s="472" t="s">
        <v>1385</v>
      </c>
      <c r="BD618" s="472" t="s">
        <v>1385</v>
      </c>
      <c r="BE618" s="472" t="s">
        <v>1385</v>
      </c>
      <c r="BF618" s="472">
        <v>22361.4</v>
      </c>
      <c r="BG618" s="472">
        <v>0</v>
      </c>
      <c r="BH618" s="472" t="s">
        <v>1385</v>
      </c>
      <c r="BI618" s="510">
        <v>0</v>
      </c>
      <c r="BJ618" s="510">
        <v>0</v>
      </c>
      <c r="BK618" s="510">
        <v>0</v>
      </c>
      <c r="BL618" s="510">
        <v>0</v>
      </c>
      <c r="BM618" s="510">
        <v>0</v>
      </c>
      <c r="BN618" s="510">
        <v>3500</v>
      </c>
      <c r="BO618" s="510">
        <v>0</v>
      </c>
      <c r="BP618" s="510">
        <v>0</v>
      </c>
      <c r="BQ618" s="510">
        <v>0</v>
      </c>
      <c r="BR618" s="510">
        <v>0</v>
      </c>
      <c r="BS618" s="510">
        <v>0</v>
      </c>
      <c r="BT618" s="510">
        <v>0</v>
      </c>
      <c r="BU618" s="510">
        <v>0</v>
      </c>
      <c r="BV618" s="510">
        <v>0</v>
      </c>
      <c r="BW618" s="510">
        <v>0</v>
      </c>
      <c r="BX618" s="510">
        <v>30000</v>
      </c>
      <c r="BY618" s="1011">
        <v>0</v>
      </c>
      <c r="BZ618" s="510">
        <v>0</v>
      </c>
      <c r="CA618" s="1011">
        <v>0</v>
      </c>
      <c r="CB618" s="510">
        <v>0</v>
      </c>
      <c r="CC618" s="1011">
        <v>0</v>
      </c>
      <c r="CD618" s="510">
        <v>0</v>
      </c>
      <c r="CE618" s="1011">
        <v>0</v>
      </c>
      <c r="CF618" s="510">
        <v>45196.800000000003</v>
      </c>
      <c r="CG618" s="1011">
        <v>0</v>
      </c>
      <c r="CH618" s="510">
        <v>0</v>
      </c>
      <c r="CI618" s="1011">
        <v>0</v>
      </c>
    </row>
    <row r="619" spans="1:87" x14ac:dyDescent="0.2">
      <c r="A619" s="449">
        <v>77</v>
      </c>
      <c r="B619" s="453">
        <v>91073</v>
      </c>
      <c r="C619" s="454" t="s">
        <v>5992</v>
      </c>
      <c r="D619" s="454" t="s">
        <v>1390</v>
      </c>
      <c r="E619" s="454" t="s">
        <v>5993</v>
      </c>
      <c r="F619" s="454" t="s">
        <v>527</v>
      </c>
      <c r="G619" s="454" t="s">
        <v>13331</v>
      </c>
      <c r="H619" s="455">
        <v>50712769000100</v>
      </c>
      <c r="I619" s="462">
        <v>30187</v>
      </c>
      <c r="J619" s="457">
        <v>37554760</v>
      </c>
      <c r="K619" s="454" t="s">
        <v>5994</v>
      </c>
      <c r="L619" s="458">
        <v>643</v>
      </c>
      <c r="M619" s="454" t="s">
        <v>2332</v>
      </c>
      <c r="N619" s="459">
        <v>3805000</v>
      </c>
      <c r="O619" s="460">
        <v>29436562</v>
      </c>
      <c r="P619" s="462">
        <v>196676</v>
      </c>
      <c r="Q619" s="462">
        <v>37</v>
      </c>
      <c r="R619" s="462">
        <v>43928</v>
      </c>
      <c r="S619" s="463">
        <v>379</v>
      </c>
      <c r="T619" s="464">
        <v>3.6</v>
      </c>
      <c r="U619" s="465">
        <v>1364.4</v>
      </c>
      <c r="V619" s="465">
        <v>13680</v>
      </c>
      <c r="W619" s="466">
        <v>0</v>
      </c>
      <c r="X619" s="467">
        <v>1</v>
      </c>
      <c r="Y619" s="466">
        <v>22566.6</v>
      </c>
      <c r="Z619" s="468" t="s">
        <v>516</v>
      </c>
      <c r="AA619" s="466">
        <v>97633.8</v>
      </c>
      <c r="AB619" s="466">
        <v>97633.8</v>
      </c>
      <c r="AC619" s="467">
        <v>0</v>
      </c>
      <c r="AD619" s="466">
        <v>0</v>
      </c>
      <c r="AE619" s="468" t="s">
        <v>516</v>
      </c>
      <c r="AF619" s="466">
        <v>0</v>
      </c>
      <c r="AG619" s="466">
        <v>0</v>
      </c>
      <c r="AH619" s="466">
        <v>6339.42</v>
      </c>
      <c r="AI619" s="466">
        <v>3939.98</v>
      </c>
      <c r="AJ619" s="469" t="s">
        <v>2004</v>
      </c>
      <c r="AK619" s="470" t="s">
        <v>2005</v>
      </c>
      <c r="AL619" s="471" t="s">
        <v>5995</v>
      </c>
      <c r="AM619" s="470" t="s">
        <v>5996</v>
      </c>
      <c r="AN619" s="470" t="s">
        <v>13331</v>
      </c>
      <c r="AO619" s="470" t="s">
        <v>13332</v>
      </c>
      <c r="AP619" s="470" t="s">
        <v>5998</v>
      </c>
      <c r="AQ619" s="470" t="s">
        <v>5992</v>
      </c>
      <c r="AR619" s="472" t="s">
        <v>515</v>
      </c>
      <c r="AS619" s="473" t="s">
        <v>1385</v>
      </c>
      <c r="AT619" s="472" t="s">
        <v>1390</v>
      </c>
      <c r="AU619" s="472" t="s">
        <v>420</v>
      </c>
      <c r="AV619" s="472">
        <v>2020</v>
      </c>
      <c r="AW619" s="474" t="s">
        <v>15078</v>
      </c>
      <c r="AX619" s="475" t="s">
        <v>15079</v>
      </c>
      <c r="AY619" s="515">
        <v>1</v>
      </c>
      <c r="AZ619" s="474" t="s">
        <v>15079</v>
      </c>
      <c r="BA619" s="472" t="s">
        <v>1390</v>
      </c>
      <c r="BB619" s="472" t="s">
        <v>1385</v>
      </c>
      <c r="BC619" s="472" t="s">
        <v>1385</v>
      </c>
      <c r="BD619" s="472" t="s">
        <v>1385</v>
      </c>
      <c r="BE619" s="472" t="s">
        <v>1385</v>
      </c>
      <c r="BF619" s="472">
        <v>22566.6</v>
      </c>
      <c r="BG619" s="472">
        <v>0</v>
      </c>
      <c r="BH619" s="472" t="s">
        <v>1385</v>
      </c>
      <c r="BI619" s="510">
        <v>0</v>
      </c>
      <c r="BJ619" s="510">
        <v>0</v>
      </c>
      <c r="BK619" s="510">
        <v>0</v>
      </c>
      <c r="BL619" s="510">
        <v>0</v>
      </c>
      <c r="BM619" s="510">
        <v>0</v>
      </c>
      <c r="BN619" s="510">
        <v>3500</v>
      </c>
      <c r="BO619" s="510">
        <v>0</v>
      </c>
      <c r="BP619" s="510">
        <v>0</v>
      </c>
      <c r="BQ619" s="510">
        <v>0</v>
      </c>
      <c r="BR619" s="510">
        <v>0</v>
      </c>
      <c r="BS619" s="510">
        <v>0</v>
      </c>
      <c r="BT619" s="510">
        <v>0</v>
      </c>
      <c r="BU619" s="510">
        <v>0</v>
      </c>
      <c r="BV619" s="510">
        <v>0</v>
      </c>
      <c r="BW619" s="510">
        <v>0</v>
      </c>
      <c r="BX619" s="510">
        <v>30000</v>
      </c>
      <c r="BY619" s="1011">
        <v>0</v>
      </c>
      <c r="BZ619" s="510">
        <v>0</v>
      </c>
      <c r="CA619" s="1011">
        <v>0</v>
      </c>
      <c r="CB619" s="510">
        <v>0</v>
      </c>
      <c r="CC619" s="1011">
        <v>0</v>
      </c>
      <c r="CD619" s="510">
        <v>0</v>
      </c>
      <c r="CE619" s="1011">
        <v>0</v>
      </c>
      <c r="CF619" s="510">
        <v>45067.199999999997</v>
      </c>
      <c r="CG619" s="1011">
        <v>0</v>
      </c>
      <c r="CH619" s="510">
        <v>0</v>
      </c>
      <c r="CI619" s="1011">
        <v>0</v>
      </c>
    </row>
    <row r="620" spans="1:87" x14ac:dyDescent="0.2">
      <c r="A620" s="449">
        <v>107</v>
      </c>
      <c r="B620" s="453">
        <v>91081</v>
      </c>
      <c r="C620" s="454" t="s">
        <v>5999</v>
      </c>
      <c r="D620" s="454" t="s">
        <v>1390</v>
      </c>
      <c r="E620" s="454" t="s">
        <v>6000</v>
      </c>
      <c r="F620" s="454" t="s">
        <v>527</v>
      </c>
      <c r="G620" s="454" t="s">
        <v>13333</v>
      </c>
      <c r="H620" s="455">
        <v>52634532000184</v>
      </c>
      <c r="I620" s="462">
        <v>30551</v>
      </c>
      <c r="J620" s="457">
        <v>37588087</v>
      </c>
      <c r="K620" s="454" t="s">
        <v>6001</v>
      </c>
      <c r="L620" s="458">
        <v>258</v>
      </c>
      <c r="M620" s="454" t="s">
        <v>4092</v>
      </c>
      <c r="N620" s="459">
        <v>3809150</v>
      </c>
      <c r="O620" s="460">
        <v>29432869</v>
      </c>
      <c r="P620" s="462">
        <v>216499</v>
      </c>
      <c r="Q620" s="462">
        <v>69</v>
      </c>
      <c r="R620" s="462">
        <v>43917</v>
      </c>
      <c r="S620" s="463">
        <v>234</v>
      </c>
      <c r="T620" s="464">
        <v>3.6</v>
      </c>
      <c r="U620" s="465">
        <v>842.4</v>
      </c>
      <c r="V620" s="465">
        <v>12240</v>
      </c>
      <c r="W620" s="466">
        <v>0</v>
      </c>
      <c r="X620" s="467">
        <v>1</v>
      </c>
      <c r="Y620" s="466">
        <v>19623.599999999999</v>
      </c>
      <c r="Z620" s="468" t="s">
        <v>516</v>
      </c>
      <c r="AA620" s="466">
        <v>90802.8</v>
      </c>
      <c r="AB620" s="466">
        <v>90802.8</v>
      </c>
      <c r="AC620" s="467">
        <v>0</v>
      </c>
      <c r="AD620" s="466">
        <v>0</v>
      </c>
      <c r="AE620" s="468" t="s">
        <v>516</v>
      </c>
      <c r="AF620" s="466">
        <v>0</v>
      </c>
      <c r="AG620" s="466">
        <v>0</v>
      </c>
      <c r="AH620" s="466">
        <v>33188.519999999997</v>
      </c>
      <c r="AI620" s="466">
        <v>1068.3599999999999</v>
      </c>
      <c r="AJ620" s="469" t="s">
        <v>2004</v>
      </c>
      <c r="AK620" s="470" t="s">
        <v>2005</v>
      </c>
      <c r="AL620" s="471" t="s">
        <v>6002</v>
      </c>
      <c r="AM620" s="470" t="s">
        <v>6003</v>
      </c>
      <c r="AN620" s="470" t="s">
        <v>13333</v>
      </c>
      <c r="AO620" s="470" t="s">
        <v>13334</v>
      </c>
      <c r="AP620" s="470" t="s">
        <v>6004</v>
      </c>
      <c r="AQ620" s="470" t="s">
        <v>5999</v>
      </c>
      <c r="AR620" s="472" t="s">
        <v>515</v>
      </c>
      <c r="AS620" s="473" t="s">
        <v>1385</v>
      </c>
      <c r="AT620" s="472" t="s">
        <v>1390</v>
      </c>
      <c r="AU620" s="472" t="s">
        <v>420</v>
      </c>
      <c r="AV620" s="472">
        <v>2020</v>
      </c>
      <c r="AW620" s="474" t="s">
        <v>15078</v>
      </c>
      <c r="AX620" s="475" t="s">
        <v>15079</v>
      </c>
      <c r="AY620" s="515">
        <v>1</v>
      </c>
      <c r="AZ620" s="474" t="s">
        <v>15079</v>
      </c>
      <c r="BA620" s="472" t="s">
        <v>1390</v>
      </c>
      <c r="BB620" s="472" t="s">
        <v>1385</v>
      </c>
      <c r="BC620" s="472" t="s">
        <v>1385</v>
      </c>
      <c r="BD620" s="472" t="s">
        <v>1385</v>
      </c>
      <c r="BE620" s="472" t="s">
        <v>1385</v>
      </c>
      <c r="BF620" s="472">
        <v>19623.599999999999</v>
      </c>
      <c r="BG620" s="472">
        <v>0</v>
      </c>
      <c r="BH620" s="472" t="s">
        <v>1385</v>
      </c>
      <c r="BI620" s="510">
        <v>0</v>
      </c>
      <c r="BJ620" s="510">
        <v>0</v>
      </c>
      <c r="BK620" s="510">
        <v>0</v>
      </c>
      <c r="BL620" s="510">
        <v>0</v>
      </c>
      <c r="BM620" s="510">
        <v>0</v>
      </c>
      <c r="BN620" s="510">
        <v>3000</v>
      </c>
      <c r="BO620" s="510">
        <v>0</v>
      </c>
      <c r="BP620" s="510">
        <v>0</v>
      </c>
      <c r="BQ620" s="510">
        <v>0</v>
      </c>
      <c r="BR620" s="510">
        <v>0</v>
      </c>
      <c r="BS620" s="510">
        <v>0</v>
      </c>
      <c r="BT620" s="510">
        <v>0</v>
      </c>
      <c r="BU620" s="510">
        <v>0</v>
      </c>
      <c r="BV620" s="510">
        <v>0</v>
      </c>
      <c r="BW620" s="510">
        <v>0</v>
      </c>
      <c r="BX620" s="510">
        <v>30000</v>
      </c>
      <c r="BY620" s="1011">
        <v>0</v>
      </c>
      <c r="BZ620" s="510">
        <v>0</v>
      </c>
      <c r="CA620" s="1011">
        <v>0</v>
      </c>
      <c r="CB620" s="510">
        <v>0</v>
      </c>
      <c r="CC620" s="1011">
        <v>0</v>
      </c>
      <c r="CD620" s="510">
        <v>0</v>
      </c>
      <c r="CE620" s="1011">
        <v>0</v>
      </c>
      <c r="CF620" s="510">
        <v>41179.199999999997</v>
      </c>
      <c r="CG620" s="1011">
        <v>0</v>
      </c>
      <c r="CH620" s="510">
        <v>0</v>
      </c>
      <c r="CI620" s="1011">
        <v>0</v>
      </c>
    </row>
    <row r="621" spans="1:87" x14ac:dyDescent="0.2">
      <c r="A621" s="449">
        <v>108</v>
      </c>
      <c r="B621" s="453">
        <v>91090</v>
      </c>
      <c r="C621" s="454" t="s">
        <v>6005</v>
      </c>
      <c r="D621" s="454" t="s">
        <v>1390</v>
      </c>
      <c r="E621" s="454" t="s">
        <v>6006</v>
      </c>
      <c r="F621" s="454" t="s">
        <v>527</v>
      </c>
      <c r="G621" s="454" t="s">
        <v>13335</v>
      </c>
      <c r="H621" s="455">
        <v>52642642000198</v>
      </c>
      <c r="I621" s="462">
        <v>30480</v>
      </c>
      <c r="J621" s="457">
        <v>37555227</v>
      </c>
      <c r="K621" s="454" t="s">
        <v>6007</v>
      </c>
      <c r="L621" s="458">
        <v>37</v>
      </c>
      <c r="M621" s="454" t="s">
        <v>6008</v>
      </c>
      <c r="N621" s="459">
        <v>3887010</v>
      </c>
      <c r="O621" s="460">
        <v>22809978</v>
      </c>
      <c r="P621" s="462">
        <v>217134</v>
      </c>
      <c r="Q621" s="462">
        <v>70</v>
      </c>
      <c r="R621" s="462">
        <v>43944</v>
      </c>
      <c r="S621" s="463">
        <v>307</v>
      </c>
      <c r="T621" s="464">
        <v>3.6</v>
      </c>
      <c r="U621" s="465">
        <v>1105.2</v>
      </c>
      <c r="V621" s="465">
        <v>13680</v>
      </c>
      <c r="W621" s="466">
        <v>0</v>
      </c>
      <c r="X621" s="467">
        <v>1</v>
      </c>
      <c r="Y621" s="466">
        <v>22177.8</v>
      </c>
      <c r="Z621" s="468" t="s">
        <v>516</v>
      </c>
      <c r="AA621" s="466">
        <v>96748.2</v>
      </c>
      <c r="AB621" s="466">
        <v>96748.2</v>
      </c>
      <c r="AC621" s="467">
        <v>0</v>
      </c>
      <c r="AD621" s="466">
        <v>0</v>
      </c>
      <c r="AE621" s="468" t="s">
        <v>516</v>
      </c>
      <c r="AF621" s="466">
        <v>0</v>
      </c>
      <c r="AG621" s="466">
        <v>0</v>
      </c>
      <c r="AH621" s="466">
        <v>6683.15</v>
      </c>
      <c r="AI621" s="466">
        <v>6693.21</v>
      </c>
      <c r="AJ621" s="469" t="s">
        <v>2004</v>
      </c>
      <c r="AK621" s="470" t="s">
        <v>2005</v>
      </c>
      <c r="AL621" s="471" t="s">
        <v>6009</v>
      </c>
      <c r="AM621" s="470" t="s">
        <v>13336</v>
      </c>
      <c r="AN621" s="470" t="s">
        <v>13335</v>
      </c>
      <c r="AO621" s="470" t="s">
        <v>13337</v>
      </c>
      <c r="AP621" s="470" t="s">
        <v>6010</v>
      </c>
      <c r="AQ621" s="470" t="s">
        <v>6005</v>
      </c>
      <c r="AR621" s="472" t="s">
        <v>515</v>
      </c>
      <c r="AS621" s="473" t="s">
        <v>1385</v>
      </c>
      <c r="AT621" s="472" t="s">
        <v>1390</v>
      </c>
      <c r="AU621" s="472" t="s">
        <v>420</v>
      </c>
      <c r="AV621" s="472">
        <v>2020</v>
      </c>
      <c r="AW621" s="474" t="s">
        <v>15078</v>
      </c>
      <c r="AX621" s="475" t="s">
        <v>15079</v>
      </c>
      <c r="AY621" s="515">
        <v>1</v>
      </c>
      <c r="AZ621" s="474" t="s">
        <v>15079</v>
      </c>
      <c r="BA621" s="472" t="s">
        <v>1390</v>
      </c>
      <c r="BB621" s="472" t="s">
        <v>1385</v>
      </c>
      <c r="BC621" s="472" t="s">
        <v>1385</v>
      </c>
      <c r="BD621" s="472" t="s">
        <v>1385</v>
      </c>
      <c r="BE621" s="472" t="s">
        <v>1385</v>
      </c>
      <c r="BF621" s="472">
        <v>22177.8</v>
      </c>
      <c r="BG621" s="472">
        <v>0</v>
      </c>
      <c r="BH621" s="472" t="s">
        <v>1385</v>
      </c>
      <c r="BI621" s="510">
        <v>0</v>
      </c>
      <c r="BJ621" s="510">
        <v>0</v>
      </c>
      <c r="BK621" s="510">
        <v>0</v>
      </c>
      <c r="BL621" s="510">
        <v>0</v>
      </c>
      <c r="BM621" s="510">
        <v>0</v>
      </c>
      <c r="BN621" s="510">
        <v>3500</v>
      </c>
      <c r="BO621" s="510">
        <v>0</v>
      </c>
      <c r="BP621" s="510">
        <v>0</v>
      </c>
      <c r="BQ621" s="510">
        <v>0</v>
      </c>
      <c r="BR621" s="510">
        <v>0</v>
      </c>
      <c r="BS621" s="510">
        <v>0</v>
      </c>
      <c r="BT621" s="510">
        <v>0</v>
      </c>
      <c r="BU621" s="510">
        <v>0</v>
      </c>
      <c r="BV621" s="510">
        <v>0</v>
      </c>
      <c r="BW621" s="510">
        <v>0</v>
      </c>
      <c r="BX621" s="510">
        <v>30000</v>
      </c>
      <c r="BY621" s="1011">
        <v>0</v>
      </c>
      <c r="BZ621" s="510">
        <v>0</v>
      </c>
      <c r="CA621" s="1011">
        <v>0</v>
      </c>
      <c r="CB621" s="510">
        <v>0</v>
      </c>
      <c r="CC621" s="1011">
        <v>0</v>
      </c>
      <c r="CD621" s="510">
        <v>0</v>
      </c>
      <c r="CE621" s="1011">
        <v>0</v>
      </c>
      <c r="CF621" s="510">
        <v>44570.400000000001</v>
      </c>
      <c r="CG621" s="1011">
        <v>0</v>
      </c>
      <c r="CH621" s="510">
        <v>0</v>
      </c>
      <c r="CI621" s="1011">
        <v>0</v>
      </c>
    </row>
    <row r="622" spans="1:87" x14ac:dyDescent="0.2">
      <c r="A622" s="449">
        <v>107</v>
      </c>
      <c r="B622" s="453">
        <v>91103</v>
      </c>
      <c r="C622" s="454" t="s">
        <v>6011</v>
      </c>
      <c r="D622" s="454" t="s">
        <v>1390</v>
      </c>
      <c r="E622" s="454" t="s">
        <v>6012</v>
      </c>
      <c r="F622" s="454" t="s">
        <v>526</v>
      </c>
      <c r="G622" s="454" t="s">
        <v>13338</v>
      </c>
      <c r="H622" s="455">
        <v>53054490000175</v>
      </c>
      <c r="I622" s="462">
        <v>30561</v>
      </c>
      <c r="J622" s="457">
        <v>37476521</v>
      </c>
      <c r="K622" s="454" t="s">
        <v>6013</v>
      </c>
      <c r="L622" s="458">
        <v>261</v>
      </c>
      <c r="M622" s="454" t="s">
        <v>1888</v>
      </c>
      <c r="N622" s="459">
        <v>8061020</v>
      </c>
      <c r="O622" s="460">
        <v>20370819</v>
      </c>
      <c r="P622" s="462">
        <v>136410</v>
      </c>
      <c r="Q622" s="462">
        <v>107</v>
      </c>
      <c r="R622" s="462">
        <v>43928</v>
      </c>
      <c r="S622" s="463">
        <v>276</v>
      </c>
      <c r="T622" s="464">
        <v>3.6</v>
      </c>
      <c r="U622" s="465">
        <v>993.6</v>
      </c>
      <c r="V622" s="465">
        <v>12240</v>
      </c>
      <c r="W622" s="466">
        <v>0</v>
      </c>
      <c r="X622" s="467">
        <v>1</v>
      </c>
      <c r="Y622" s="466">
        <v>25358.400000000001</v>
      </c>
      <c r="Z622" s="468" t="s">
        <v>516</v>
      </c>
      <c r="AA622" s="466">
        <v>108759.2</v>
      </c>
      <c r="AB622" s="466">
        <v>108759.2</v>
      </c>
      <c r="AC622" s="467">
        <v>0</v>
      </c>
      <c r="AD622" s="466">
        <v>0</v>
      </c>
      <c r="AE622" s="468" t="s">
        <v>516</v>
      </c>
      <c r="AF622" s="466">
        <v>2000</v>
      </c>
      <c r="AG622" s="466">
        <v>2000</v>
      </c>
      <c r="AH622" s="466">
        <v>3492.81</v>
      </c>
      <c r="AI622" s="466">
        <v>101.15</v>
      </c>
      <c r="AJ622" s="469" t="s">
        <v>1839</v>
      </c>
      <c r="AK622" s="470" t="s">
        <v>526</v>
      </c>
      <c r="AL622" s="471" t="s">
        <v>6014</v>
      </c>
      <c r="AM622" s="470" t="s">
        <v>6015</v>
      </c>
      <c r="AN622" s="470" t="s">
        <v>1385</v>
      </c>
      <c r="AO622" s="470" t="s">
        <v>6016</v>
      </c>
      <c r="AP622" s="470" t="s">
        <v>4785</v>
      </c>
      <c r="AQ622" s="470" t="s">
        <v>6011</v>
      </c>
      <c r="AR622" s="472" t="s">
        <v>515</v>
      </c>
      <c r="AS622" s="473" t="s">
        <v>1385</v>
      </c>
      <c r="AT622" s="472" t="s">
        <v>1390</v>
      </c>
      <c r="AU622" s="472" t="s">
        <v>420</v>
      </c>
      <c r="AV622" s="472">
        <v>2020</v>
      </c>
      <c r="AW622" s="474" t="s">
        <v>15078</v>
      </c>
      <c r="AX622" s="475" t="s">
        <v>15079</v>
      </c>
      <c r="AY622" s="515">
        <v>1</v>
      </c>
      <c r="AZ622" s="474" t="s">
        <v>15079</v>
      </c>
      <c r="BA622" s="472" t="s">
        <v>1390</v>
      </c>
      <c r="BB622" s="472" t="s">
        <v>516</v>
      </c>
      <c r="BC622" s="472">
        <v>10</v>
      </c>
      <c r="BD622" s="472">
        <v>3672</v>
      </c>
      <c r="BE622" s="472">
        <v>0</v>
      </c>
      <c r="BF622" s="472">
        <v>25358.400000000001</v>
      </c>
      <c r="BG622" s="472">
        <v>0</v>
      </c>
      <c r="BH622" s="472" t="s">
        <v>1385</v>
      </c>
      <c r="BI622" s="510">
        <v>0</v>
      </c>
      <c r="BJ622" s="510">
        <v>0</v>
      </c>
      <c r="BK622" s="510">
        <v>0</v>
      </c>
      <c r="BL622" s="510">
        <v>0</v>
      </c>
      <c r="BM622" s="510">
        <v>0</v>
      </c>
      <c r="BN622" s="510">
        <v>2060</v>
      </c>
      <c r="BO622" s="510">
        <v>0</v>
      </c>
      <c r="BP622" s="510">
        <v>2000</v>
      </c>
      <c r="BQ622" s="510">
        <v>0</v>
      </c>
      <c r="BR622" s="510">
        <v>0</v>
      </c>
      <c r="BS622" s="510">
        <v>0</v>
      </c>
      <c r="BT622" s="510">
        <v>0</v>
      </c>
      <c r="BU622" s="510">
        <v>0</v>
      </c>
      <c r="BV622" s="510">
        <v>0</v>
      </c>
      <c r="BW622" s="510">
        <v>0</v>
      </c>
      <c r="BX622" s="510">
        <v>30000</v>
      </c>
      <c r="BY622" s="1011">
        <v>0</v>
      </c>
      <c r="BZ622" s="510">
        <v>0</v>
      </c>
      <c r="CA622" s="1011">
        <v>0</v>
      </c>
      <c r="CB622" s="510">
        <v>0</v>
      </c>
      <c r="CC622" s="1011">
        <v>0</v>
      </c>
      <c r="CD622" s="510">
        <v>0</v>
      </c>
      <c r="CE622" s="1011">
        <v>0</v>
      </c>
      <c r="CF622" s="510">
        <v>53400.800000000003</v>
      </c>
      <c r="CG622" s="1011">
        <v>0</v>
      </c>
      <c r="CH622" s="510">
        <v>0</v>
      </c>
      <c r="CI622" s="1011">
        <v>0</v>
      </c>
    </row>
    <row r="623" spans="1:87" x14ac:dyDescent="0.2">
      <c r="A623" s="449">
        <v>101</v>
      </c>
      <c r="B623" s="453">
        <v>91111</v>
      </c>
      <c r="C623" s="454" t="s">
        <v>6017</v>
      </c>
      <c r="D623" s="454" t="s">
        <v>1390</v>
      </c>
      <c r="E623" s="454" t="s">
        <v>6018</v>
      </c>
      <c r="F623" s="454" t="s">
        <v>526</v>
      </c>
      <c r="G623" s="454" t="s">
        <v>13339</v>
      </c>
      <c r="H623" s="455">
        <v>52025590000100</v>
      </c>
      <c r="I623" s="462">
        <v>30196</v>
      </c>
      <c r="J623" s="457">
        <v>37475479</v>
      </c>
      <c r="K623" s="454" t="s">
        <v>6019</v>
      </c>
      <c r="L623" s="458">
        <v>10</v>
      </c>
      <c r="M623" s="454" t="s">
        <v>6020</v>
      </c>
      <c r="N623" s="459">
        <v>8051080</v>
      </c>
      <c r="O623" s="460">
        <v>22809888</v>
      </c>
      <c r="P623" s="462">
        <v>143750</v>
      </c>
      <c r="Q623" s="462">
        <v>101</v>
      </c>
      <c r="R623" s="462">
        <v>43928</v>
      </c>
      <c r="S623" s="463">
        <v>350</v>
      </c>
      <c r="T623" s="464">
        <v>3.6</v>
      </c>
      <c r="U623" s="465">
        <v>1260</v>
      </c>
      <c r="V623" s="465">
        <v>13680</v>
      </c>
      <c r="W623" s="466">
        <v>0</v>
      </c>
      <c r="X623" s="467">
        <v>1</v>
      </c>
      <c r="Y623" s="466">
        <v>22410</v>
      </c>
      <c r="Z623" s="468" t="s">
        <v>516</v>
      </c>
      <c r="AA623" s="466">
        <v>97275.6</v>
      </c>
      <c r="AB623" s="466">
        <v>97275.6</v>
      </c>
      <c r="AC623" s="467">
        <v>0</v>
      </c>
      <c r="AD623" s="466">
        <v>0</v>
      </c>
      <c r="AE623" s="468" t="s">
        <v>516</v>
      </c>
      <c r="AF623" s="466">
        <v>0</v>
      </c>
      <c r="AG623" s="466">
        <v>0</v>
      </c>
      <c r="AH623" s="466">
        <v>9299.2099999999991</v>
      </c>
      <c r="AI623" s="466">
        <v>2988</v>
      </c>
      <c r="AJ623" s="469" t="s">
        <v>1889</v>
      </c>
      <c r="AK623" s="470" t="s">
        <v>1890</v>
      </c>
      <c r="AL623" s="471" t="s">
        <v>6021</v>
      </c>
      <c r="AM623" s="470" t="s">
        <v>6022</v>
      </c>
      <c r="AN623" s="470" t="s">
        <v>1385</v>
      </c>
      <c r="AO623" s="470" t="s">
        <v>6023</v>
      </c>
      <c r="AP623" s="470" t="s">
        <v>6024</v>
      </c>
      <c r="AQ623" s="470" t="s">
        <v>6017</v>
      </c>
      <c r="AR623" s="472" t="s">
        <v>515</v>
      </c>
      <c r="AS623" s="473" t="s">
        <v>1385</v>
      </c>
      <c r="AT623" s="472" t="s">
        <v>1390</v>
      </c>
      <c r="AU623" s="472" t="s">
        <v>420</v>
      </c>
      <c r="AV623" s="472">
        <v>2020</v>
      </c>
      <c r="AW623" s="474" t="s">
        <v>15078</v>
      </c>
      <c r="AX623" s="475" t="s">
        <v>15079</v>
      </c>
      <c r="AY623" s="515">
        <v>1</v>
      </c>
      <c r="AZ623" s="474" t="s">
        <v>15079</v>
      </c>
      <c r="BA623" s="472" t="s">
        <v>1390</v>
      </c>
      <c r="BB623" s="472" t="s">
        <v>1385</v>
      </c>
      <c r="BC623" s="472" t="s">
        <v>1385</v>
      </c>
      <c r="BD623" s="472" t="s">
        <v>1385</v>
      </c>
      <c r="BE623" s="472" t="s">
        <v>1385</v>
      </c>
      <c r="BF623" s="472">
        <v>22410</v>
      </c>
      <c r="BG623" s="472">
        <v>0</v>
      </c>
      <c r="BH623" s="472" t="s">
        <v>1385</v>
      </c>
      <c r="BI623" s="510">
        <v>0</v>
      </c>
      <c r="BJ623" s="510">
        <v>0</v>
      </c>
      <c r="BK623" s="510">
        <v>0</v>
      </c>
      <c r="BL623" s="510">
        <v>0</v>
      </c>
      <c r="BM623" s="510">
        <v>0</v>
      </c>
      <c r="BN623" s="510">
        <v>3500</v>
      </c>
      <c r="BO623" s="510">
        <v>0</v>
      </c>
      <c r="BP623" s="510">
        <v>0</v>
      </c>
      <c r="BQ623" s="510">
        <v>0</v>
      </c>
      <c r="BR623" s="510">
        <v>0</v>
      </c>
      <c r="BS623" s="510">
        <v>0</v>
      </c>
      <c r="BT623" s="510">
        <v>0</v>
      </c>
      <c r="BU623" s="510">
        <v>0</v>
      </c>
      <c r="BV623" s="510">
        <v>0</v>
      </c>
      <c r="BW623" s="510">
        <v>0</v>
      </c>
      <c r="BX623" s="510">
        <v>30000</v>
      </c>
      <c r="BY623" s="1011">
        <v>0</v>
      </c>
      <c r="BZ623" s="510">
        <v>0</v>
      </c>
      <c r="CA623" s="1011">
        <v>0</v>
      </c>
      <c r="CB623" s="510">
        <v>0</v>
      </c>
      <c r="CC623" s="1011">
        <v>0</v>
      </c>
      <c r="CD623" s="510">
        <v>0</v>
      </c>
      <c r="CE623" s="1011">
        <v>0</v>
      </c>
      <c r="CF623" s="510">
        <v>44865.599999999999</v>
      </c>
      <c r="CG623" s="1011">
        <v>0</v>
      </c>
      <c r="CH623" s="510">
        <v>0</v>
      </c>
      <c r="CI623" s="1011">
        <v>0</v>
      </c>
    </row>
    <row r="624" spans="1:87" x14ac:dyDescent="0.2">
      <c r="A624" s="449">
        <v>88</v>
      </c>
      <c r="B624" s="453">
        <v>91120</v>
      </c>
      <c r="C624" s="454" t="s">
        <v>6025</v>
      </c>
      <c r="D624" s="454" t="s">
        <v>1390</v>
      </c>
      <c r="E624" s="454" t="s">
        <v>6026</v>
      </c>
      <c r="F624" s="454" t="s">
        <v>526</v>
      </c>
      <c r="G624" s="454" t="s">
        <v>13340</v>
      </c>
      <c r="H624" s="455">
        <v>50960632000175</v>
      </c>
      <c r="I624" s="462">
        <v>30174</v>
      </c>
      <c r="J624" s="457">
        <v>37476335</v>
      </c>
      <c r="K624" s="454" t="s">
        <v>6027</v>
      </c>
      <c r="L624" s="458">
        <v>230</v>
      </c>
      <c r="M624" s="454" t="s">
        <v>1888</v>
      </c>
      <c r="N624" s="459">
        <v>8050130</v>
      </c>
      <c r="O624" s="460">
        <v>20537250</v>
      </c>
      <c r="P624" s="462">
        <v>138277</v>
      </c>
      <c r="Q624" s="462">
        <v>88</v>
      </c>
      <c r="R624" s="462">
        <v>43928</v>
      </c>
      <c r="S624" s="463">
        <v>686</v>
      </c>
      <c r="T624" s="464">
        <v>3.6</v>
      </c>
      <c r="U624" s="465">
        <v>2469.6</v>
      </c>
      <c r="V624" s="465">
        <v>18000</v>
      </c>
      <c r="W624" s="466">
        <v>0</v>
      </c>
      <c r="X624" s="467">
        <v>1</v>
      </c>
      <c r="Y624" s="466">
        <v>30704.400000000001</v>
      </c>
      <c r="Z624" s="468" t="s">
        <v>516</v>
      </c>
      <c r="AA624" s="466">
        <v>116650.8</v>
      </c>
      <c r="AB624" s="466">
        <v>116650.8</v>
      </c>
      <c r="AC624" s="467">
        <v>0</v>
      </c>
      <c r="AD624" s="466">
        <v>0</v>
      </c>
      <c r="AE624" s="468" t="s">
        <v>516</v>
      </c>
      <c r="AF624" s="466">
        <v>0</v>
      </c>
      <c r="AG624" s="466">
        <v>0</v>
      </c>
      <c r="AH624" s="466">
        <v>9414.4699999999993</v>
      </c>
      <c r="AI624" s="466">
        <v>4908.82</v>
      </c>
      <c r="AJ624" s="469" t="s">
        <v>1839</v>
      </c>
      <c r="AK624" s="470" t="s">
        <v>526</v>
      </c>
      <c r="AL624" s="471" t="s">
        <v>6028</v>
      </c>
      <c r="AM624" s="470" t="s">
        <v>6029</v>
      </c>
      <c r="AN624" s="470" t="s">
        <v>1385</v>
      </c>
      <c r="AO624" s="470" t="s">
        <v>6030</v>
      </c>
      <c r="AP624" s="470" t="s">
        <v>6031</v>
      </c>
      <c r="AQ624" s="470" t="s">
        <v>6025</v>
      </c>
      <c r="AR624" s="472" t="s">
        <v>515</v>
      </c>
      <c r="AS624" s="473" t="s">
        <v>1385</v>
      </c>
      <c r="AT624" s="472" t="s">
        <v>1390</v>
      </c>
      <c r="AU624" s="472" t="s">
        <v>420</v>
      </c>
      <c r="AV624" s="472">
        <v>2020</v>
      </c>
      <c r="AW624" s="474" t="s">
        <v>15078</v>
      </c>
      <c r="AX624" s="475" t="s">
        <v>15079</v>
      </c>
      <c r="AY624" s="515">
        <v>1</v>
      </c>
      <c r="AZ624" s="474" t="s">
        <v>15079</v>
      </c>
      <c r="BA624" s="472" t="s">
        <v>1390</v>
      </c>
      <c r="BB624" s="472" t="s">
        <v>1385</v>
      </c>
      <c r="BC624" s="472" t="s">
        <v>1385</v>
      </c>
      <c r="BD624" s="472" t="s">
        <v>1385</v>
      </c>
      <c r="BE624" s="472" t="s">
        <v>1385</v>
      </c>
      <c r="BF624" s="509">
        <v>30704.400000000001</v>
      </c>
      <c r="BG624" s="472">
        <v>0</v>
      </c>
      <c r="BH624" s="472" t="s">
        <v>1385</v>
      </c>
      <c r="BI624" s="510">
        <v>0</v>
      </c>
      <c r="BJ624" s="510">
        <v>0</v>
      </c>
      <c r="BK624" s="510">
        <v>0</v>
      </c>
      <c r="BL624" s="510">
        <v>0</v>
      </c>
      <c r="BM624" s="510">
        <v>0</v>
      </c>
      <c r="BN624" s="510">
        <v>5000</v>
      </c>
      <c r="BO624" s="510">
        <v>0</v>
      </c>
      <c r="BP624" s="510">
        <v>0</v>
      </c>
      <c r="BQ624" s="510">
        <v>0</v>
      </c>
      <c r="BR624" s="510">
        <v>0</v>
      </c>
      <c r="BS624" s="510">
        <v>0</v>
      </c>
      <c r="BT624" s="510">
        <v>0</v>
      </c>
      <c r="BU624" s="510">
        <v>0</v>
      </c>
      <c r="BV624" s="510">
        <v>0</v>
      </c>
      <c r="BW624" s="510">
        <v>0</v>
      </c>
      <c r="BX624" s="510">
        <v>30000</v>
      </c>
      <c r="BY624" s="1011">
        <v>0</v>
      </c>
      <c r="BZ624" s="510">
        <v>0</v>
      </c>
      <c r="CA624" s="1011">
        <v>0</v>
      </c>
      <c r="CB624" s="510">
        <v>0</v>
      </c>
      <c r="CC624" s="1011">
        <v>0</v>
      </c>
      <c r="CD624" s="510">
        <v>0</v>
      </c>
      <c r="CE624" s="1011">
        <v>0</v>
      </c>
      <c r="CF624" s="510">
        <v>55946.400000000001</v>
      </c>
      <c r="CG624" s="1011">
        <v>0</v>
      </c>
      <c r="CH624" s="510">
        <v>0</v>
      </c>
      <c r="CI624" s="1011">
        <v>0</v>
      </c>
    </row>
    <row r="625" spans="1:87" x14ac:dyDescent="0.2">
      <c r="A625" s="449">
        <v>92</v>
      </c>
      <c r="B625" s="453">
        <v>91138</v>
      </c>
      <c r="C625" s="454" t="s">
        <v>6032</v>
      </c>
      <c r="D625" s="454" t="s">
        <v>1390</v>
      </c>
      <c r="E625" s="454" t="s">
        <v>6033</v>
      </c>
      <c r="F625" s="454" t="s">
        <v>526</v>
      </c>
      <c r="G625" s="454" t="s">
        <v>13341</v>
      </c>
      <c r="H625" s="455">
        <v>50997642000185</v>
      </c>
      <c r="I625" s="462">
        <v>30209</v>
      </c>
      <c r="J625" s="457">
        <v>37470698</v>
      </c>
      <c r="K625" s="454" t="s">
        <v>6034</v>
      </c>
      <c r="L625" s="458">
        <v>112</v>
      </c>
      <c r="M625" s="454" t="s">
        <v>1888</v>
      </c>
      <c r="N625" s="459">
        <v>8011420</v>
      </c>
      <c r="O625" s="460">
        <v>22970178</v>
      </c>
      <c r="P625" s="462">
        <v>165541</v>
      </c>
      <c r="Q625" s="462">
        <v>92</v>
      </c>
      <c r="R625" s="462">
        <v>43928</v>
      </c>
      <c r="S625" s="463">
        <v>393</v>
      </c>
      <c r="T625" s="464">
        <v>3.6</v>
      </c>
      <c r="U625" s="465">
        <v>1414.8</v>
      </c>
      <c r="V625" s="465">
        <v>13680</v>
      </c>
      <c r="W625" s="466">
        <v>0</v>
      </c>
      <c r="X625" s="467">
        <v>1</v>
      </c>
      <c r="Y625" s="466">
        <v>22642.2</v>
      </c>
      <c r="Z625" s="468" t="s">
        <v>516</v>
      </c>
      <c r="AA625" s="466">
        <v>97666.2</v>
      </c>
      <c r="AB625" s="466">
        <v>97666.2</v>
      </c>
      <c r="AC625" s="467">
        <v>0</v>
      </c>
      <c r="AD625" s="466">
        <v>0</v>
      </c>
      <c r="AE625" s="468" t="s">
        <v>516</v>
      </c>
      <c r="AF625" s="466">
        <v>0</v>
      </c>
      <c r="AG625" s="466">
        <v>0</v>
      </c>
      <c r="AH625" s="466">
        <v>11848.13</v>
      </c>
      <c r="AI625" s="466">
        <v>2.12</v>
      </c>
      <c r="AJ625" s="469" t="s">
        <v>1839</v>
      </c>
      <c r="AK625" s="470" t="s">
        <v>526</v>
      </c>
      <c r="AL625" s="471" t="s">
        <v>6035</v>
      </c>
      <c r="AM625" s="470" t="s">
        <v>6036</v>
      </c>
      <c r="AN625" s="470" t="s">
        <v>1385</v>
      </c>
      <c r="AO625" s="470" t="s">
        <v>6037</v>
      </c>
      <c r="AP625" s="470" t="s">
        <v>6038</v>
      </c>
      <c r="AQ625" s="470" t="s">
        <v>6032</v>
      </c>
      <c r="AR625" s="472" t="s">
        <v>515</v>
      </c>
      <c r="AS625" s="473" t="s">
        <v>1385</v>
      </c>
      <c r="AT625" s="472" t="s">
        <v>1390</v>
      </c>
      <c r="AU625" s="472" t="s">
        <v>420</v>
      </c>
      <c r="AV625" s="472">
        <v>2020</v>
      </c>
      <c r="AW625" s="474" t="s">
        <v>15078</v>
      </c>
      <c r="AX625" s="475" t="s">
        <v>15079</v>
      </c>
      <c r="AY625" s="515">
        <v>1</v>
      </c>
      <c r="AZ625" s="474" t="s">
        <v>15079</v>
      </c>
      <c r="BA625" s="472" t="s">
        <v>1390</v>
      </c>
      <c r="BB625" s="472" t="s">
        <v>1385</v>
      </c>
      <c r="BC625" s="472" t="s">
        <v>1385</v>
      </c>
      <c r="BD625" s="472" t="s">
        <v>1385</v>
      </c>
      <c r="BE625" s="472" t="s">
        <v>1385</v>
      </c>
      <c r="BF625" s="472">
        <v>22642.2</v>
      </c>
      <c r="BG625" s="472">
        <v>0</v>
      </c>
      <c r="BH625" s="472" t="s">
        <v>1385</v>
      </c>
      <c r="BI625" s="510">
        <v>0</v>
      </c>
      <c r="BJ625" s="510">
        <v>0</v>
      </c>
      <c r="BK625" s="510">
        <v>0</v>
      </c>
      <c r="BL625" s="510">
        <v>0</v>
      </c>
      <c r="BM625" s="510">
        <v>0</v>
      </c>
      <c r="BN625" s="510">
        <v>3500</v>
      </c>
      <c r="BO625" s="510">
        <v>0</v>
      </c>
      <c r="BP625" s="510">
        <v>0</v>
      </c>
      <c r="BQ625" s="510">
        <v>0</v>
      </c>
      <c r="BR625" s="510">
        <v>0</v>
      </c>
      <c r="BS625" s="510">
        <v>0</v>
      </c>
      <c r="BT625" s="510">
        <v>0</v>
      </c>
      <c r="BU625" s="510">
        <v>0</v>
      </c>
      <c r="BV625" s="510">
        <v>0</v>
      </c>
      <c r="BW625" s="510">
        <v>0</v>
      </c>
      <c r="BX625" s="510">
        <v>30000</v>
      </c>
      <c r="BY625" s="1011">
        <v>0</v>
      </c>
      <c r="BZ625" s="510">
        <v>0</v>
      </c>
      <c r="CA625" s="1011">
        <v>0</v>
      </c>
      <c r="CB625" s="510">
        <v>0</v>
      </c>
      <c r="CC625" s="1011">
        <v>0</v>
      </c>
      <c r="CD625" s="510">
        <v>0</v>
      </c>
      <c r="CE625" s="1011">
        <v>0</v>
      </c>
      <c r="CF625" s="510">
        <v>45024</v>
      </c>
      <c r="CG625" s="1011">
        <v>0</v>
      </c>
      <c r="CH625" s="510">
        <v>0</v>
      </c>
      <c r="CI625" s="1011">
        <v>0</v>
      </c>
    </row>
    <row r="626" spans="1:87" x14ac:dyDescent="0.2">
      <c r="A626" s="449">
        <v>104</v>
      </c>
      <c r="B626" s="453">
        <v>91146</v>
      </c>
      <c r="C626" s="454" t="s">
        <v>6039</v>
      </c>
      <c r="D626" s="454" t="s">
        <v>1390</v>
      </c>
      <c r="E626" s="454" t="s">
        <v>6040</v>
      </c>
      <c r="F626" s="454" t="s">
        <v>526</v>
      </c>
      <c r="G626" s="454" t="s">
        <v>13342</v>
      </c>
      <c r="H626" s="455">
        <v>51933174000148</v>
      </c>
      <c r="I626" s="462">
        <v>30202</v>
      </c>
      <c r="J626" s="457">
        <v>37470752</v>
      </c>
      <c r="K626" s="454" t="s">
        <v>6041</v>
      </c>
      <c r="L626" s="458">
        <v>478</v>
      </c>
      <c r="M626" s="454" t="s">
        <v>6042</v>
      </c>
      <c r="N626" s="459">
        <v>8030290</v>
      </c>
      <c r="O626" s="460">
        <v>20354949</v>
      </c>
      <c r="P626" s="462">
        <v>133933</v>
      </c>
      <c r="Q626" s="462">
        <v>104</v>
      </c>
      <c r="R626" s="462">
        <v>43928</v>
      </c>
      <c r="S626" s="463">
        <v>315</v>
      </c>
      <c r="T626" s="464">
        <v>3.6</v>
      </c>
      <c r="U626" s="465">
        <v>1134</v>
      </c>
      <c r="V626" s="465">
        <v>13680</v>
      </c>
      <c r="W626" s="466">
        <v>0</v>
      </c>
      <c r="X626" s="467">
        <v>1</v>
      </c>
      <c r="Y626" s="466">
        <v>22221</v>
      </c>
      <c r="Z626" s="468" t="s">
        <v>516</v>
      </c>
      <c r="AA626" s="466">
        <v>96784.2</v>
      </c>
      <c r="AB626" s="466">
        <v>96784.2</v>
      </c>
      <c r="AC626" s="467">
        <v>0</v>
      </c>
      <c r="AD626" s="466">
        <v>0</v>
      </c>
      <c r="AE626" s="468" t="s">
        <v>516</v>
      </c>
      <c r="AF626" s="466">
        <v>0</v>
      </c>
      <c r="AG626" s="466">
        <v>0</v>
      </c>
      <c r="AH626" s="466">
        <v>28123.42</v>
      </c>
      <c r="AI626" s="466">
        <v>3526.3</v>
      </c>
      <c r="AJ626" s="469" t="s">
        <v>1839</v>
      </c>
      <c r="AK626" s="470" t="s">
        <v>526</v>
      </c>
      <c r="AL626" s="471" t="s">
        <v>6043</v>
      </c>
      <c r="AM626" s="470" t="s">
        <v>13343</v>
      </c>
      <c r="AN626" s="470" t="s">
        <v>1385</v>
      </c>
      <c r="AO626" s="470" t="s">
        <v>13344</v>
      </c>
      <c r="AP626" s="470" t="s">
        <v>6044</v>
      </c>
      <c r="AQ626" s="470" t="s">
        <v>6039</v>
      </c>
      <c r="AR626" s="472" t="s">
        <v>515</v>
      </c>
      <c r="AS626" s="473" t="s">
        <v>1385</v>
      </c>
      <c r="AT626" s="472" t="s">
        <v>1390</v>
      </c>
      <c r="AU626" s="472" t="s">
        <v>420</v>
      </c>
      <c r="AV626" s="472">
        <v>2020</v>
      </c>
      <c r="AW626" s="474" t="s">
        <v>15078</v>
      </c>
      <c r="AX626" s="475" t="s">
        <v>15079</v>
      </c>
      <c r="AY626" s="515">
        <v>1</v>
      </c>
      <c r="AZ626" s="474" t="s">
        <v>15079</v>
      </c>
      <c r="BA626" s="472" t="s">
        <v>1390</v>
      </c>
      <c r="BB626" s="472" t="s">
        <v>1385</v>
      </c>
      <c r="BC626" s="472" t="s">
        <v>1385</v>
      </c>
      <c r="BD626" s="472" t="s">
        <v>1385</v>
      </c>
      <c r="BE626" s="472" t="s">
        <v>1385</v>
      </c>
      <c r="BF626" s="472">
        <v>22221</v>
      </c>
      <c r="BG626" s="472">
        <v>0</v>
      </c>
      <c r="BH626" s="472" t="s">
        <v>1385</v>
      </c>
      <c r="BI626" s="510">
        <v>0</v>
      </c>
      <c r="BJ626" s="510">
        <v>0</v>
      </c>
      <c r="BK626" s="510">
        <v>0</v>
      </c>
      <c r="BL626" s="510">
        <v>0</v>
      </c>
      <c r="BM626" s="510">
        <v>0</v>
      </c>
      <c r="BN626" s="510">
        <v>3500</v>
      </c>
      <c r="BO626" s="510">
        <v>0</v>
      </c>
      <c r="BP626" s="510">
        <v>0</v>
      </c>
      <c r="BQ626" s="510">
        <v>0</v>
      </c>
      <c r="BR626" s="510">
        <v>0</v>
      </c>
      <c r="BS626" s="510">
        <v>0</v>
      </c>
      <c r="BT626" s="510">
        <v>0</v>
      </c>
      <c r="BU626" s="510">
        <v>0</v>
      </c>
      <c r="BV626" s="510">
        <v>0</v>
      </c>
      <c r="BW626" s="510">
        <v>0</v>
      </c>
      <c r="BX626" s="510">
        <v>30000</v>
      </c>
      <c r="BY626" s="1011">
        <v>0</v>
      </c>
      <c r="BZ626" s="510">
        <v>0</v>
      </c>
      <c r="CA626" s="1011">
        <v>0</v>
      </c>
      <c r="CB626" s="510">
        <v>0</v>
      </c>
      <c r="CC626" s="1011">
        <v>0</v>
      </c>
      <c r="CD626" s="510">
        <v>0</v>
      </c>
      <c r="CE626" s="1011">
        <v>0</v>
      </c>
      <c r="CF626" s="510">
        <v>44563.199999999997</v>
      </c>
      <c r="CG626" s="1011">
        <v>0</v>
      </c>
      <c r="CH626" s="510">
        <v>0</v>
      </c>
      <c r="CI626" s="1011">
        <v>0</v>
      </c>
    </row>
    <row r="627" spans="1:87" x14ac:dyDescent="0.2">
      <c r="A627" s="449">
        <v>67</v>
      </c>
      <c r="B627" s="453">
        <v>91154</v>
      </c>
      <c r="C627" s="454" t="s">
        <v>6045</v>
      </c>
      <c r="D627" s="454" t="s">
        <v>1390</v>
      </c>
      <c r="E627" s="454" t="s">
        <v>6046</v>
      </c>
      <c r="F627" s="454" t="s">
        <v>523</v>
      </c>
      <c r="G627" s="454" t="s">
        <v>13345</v>
      </c>
      <c r="H627" s="455">
        <v>52034014000120</v>
      </c>
      <c r="I627" s="462">
        <v>30278</v>
      </c>
      <c r="J627" s="457">
        <v>37615319</v>
      </c>
      <c r="K627" s="454" t="s">
        <v>6047</v>
      </c>
      <c r="L627" s="458">
        <v>982</v>
      </c>
      <c r="M627" s="454" t="s">
        <v>4923</v>
      </c>
      <c r="N627" s="459">
        <v>8032370</v>
      </c>
      <c r="O627" s="460">
        <v>20351874</v>
      </c>
      <c r="P627" s="462">
        <v>261540</v>
      </c>
      <c r="Q627" s="462">
        <v>67</v>
      </c>
      <c r="R627" s="462">
        <v>43921</v>
      </c>
      <c r="S627" s="463">
        <v>548</v>
      </c>
      <c r="T627" s="464">
        <v>3.6</v>
      </c>
      <c r="U627" s="465">
        <v>1972.8</v>
      </c>
      <c r="V627" s="465">
        <v>16560</v>
      </c>
      <c r="W627" s="466">
        <v>0</v>
      </c>
      <c r="X627" s="467">
        <v>1</v>
      </c>
      <c r="Y627" s="466">
        <v>27799.200000000001</v>
      </c>
      <c r="Z627" s="468" t="s">
        <v>516</v>
      </c>
      <c r="AA627" s="466">
        <v>109591.2</v>
      </c>
      <c r="AB627" s="466">
        <v>109591.2</v>
      </c>
      <c r="AC627" s="467">
        <v>0</v>
      </c>
      <c r="AD627" s="466">
        <v>0</v>
      </c>
      <c r="AE627" s="468" t="s">
        <v>516</v>
      </c>
      <c r="AF627" s="466">
        <v>0</v>
      </c>
      <c r="AG627" s="466">
        <v>0</v>
      </c>
      <c r="AH627" s="466">
        <v>3201.6</v>
      </c>
      <c r="AI627" s="466">
        <v>7786.93</v>
      </c>
      <c r="AJ627" s="469" t="s">
        <v>2764</v>
      </c>
      <c r="AK627" s="470" t="s">
        <v>5154</v>
      </c>
      <c r="AL627" s="471" t="s">
        <v>6048</v>
      </c>
      <c r="AM627" s="470" t="s">
        <v>6049</v>
      </c>
      <c r="AN627" s="470" t="s">
        <v>1385</v>
      </c>
      <c r="AO627" s="470" t="s">
        <v>13346</v>
      </c>
      <c r="AP627" s="470" t="s">
        <v>6050</v>
      </c>
      <c r="AQ627" s="470" t="s">
        <v>6045</v>
      </c>
      <c r="AR627" s="472" t="s">
        <v>515</v>
      </c>
      <c r="AS627" s="473" t="s">
        <v>1385</v>
      </c>
      <c r="AT627" s="472" t="s">
        <v>1390</v>
      </c>
      <c r="AU627" s="472" t="s">
        <v>420</v>
      </c>
      <c r="AV627" s="472">
        <v>2020</v>
      </c>
      <c r="AW627" s="474" t="s">
        <v>15078</v>
      </c>
      <c r="AX627" s="475" t="s">
        <v>15079</v>
      </c>
      <c r="AY627" s="515">
        <v>1</v>
      </c>
      <c r="AZ627" s="474" t="s">
        <v>15079</v>
      </c>
      <c r="BA627" s="472" t="s">
        <v>1390</v>
      </c>
      <c r="BB627" s="472" t="s">
        <v>1385</v>
      </c>
      <c r="BC627" s="472" t="s">
        <v>1385</v>
      </c>
      <c r="BD627" s="472" t="s">
        <v>1385</v>
      </c>
      <c r="BE627" s="472" t="s">
        <v>1385</v>
      </c>
      <c r="BF627" s="472">
        <v>27799.200000000001</v>
      </c>
      <c r="BG627" s="472">
        <v>0</v>
      </c>
      <c r="BH627" s="472" t="s">
        <v>1385</v>
      </c>
      <c r="BI627" s="510">
        <v>0</v>
      </c>
      <c r="BJ627" s="510">
        <v>0</v>
      </c>
      <c r="BK627" s="510">
        <v>0</v>
      </c>
      <c r="BL627" s="510">
        <v>0</v>
      </c>
      <c r="BM627" s="510">
        <v>0</v>
      </c>
      <c r="BN627" s="510">
        <v>4000</v>
      </c>
      <c r="BO627" s="510">
        <v>0</v>
      </c>
      <c r="BP627" s="510">
        <v>0</v>
      </c>
      <c r="BQ627" s="510">
        <v>0</v>
      </c>
      <c r="BR627" s="510">
        <v>0</v>
      </c>
      <c r="BS627" s="510">
        <v>0</v>
      </c>
      <c r="BT627" s="510">
        <v>0</v>
      </c>
      <c r="BU627" s="510">
        <v>0</v>
      </c>
      <c r="BV627" s="510">
        <v>0</v>
      </c>
      <c r="BW627" s="510">
        <v>0</v>
      </c>
      <c r="BX627" s="510">
        <v>30000</v>
      </c>
      <c r="BY627" s="1011">
        <v>0</v>
      </c>
      <c r="BZ627" s="510">
        <v>0</v>
      </c>
      <c r="CA627" s="1011">
        <v>0</v>
      </c>
      <c r="CB627" s="510">
        <v>0</v>
      </c>
      <c r="CC627" s="1011">
        <v>0</v>
      </c>
      <c r="CD627" s="510">
        <v>0</v>
      </c>
      <c r="CE627" s="1011">
        <v>0</v>
      </c>
      <c r="CF627" s="510">
        <v>51792</v>
      </c>
      <c r="CG627" s="1011">
        <v>0</v>
      </c>
      <c r="CH627" s="510">
        <v>0</v>
      </c>
      <c r="CI627" s="1011">
        <v>0</v>
      </c>
    </row>
    <row r="628" spans="1:87" x14ac:dyDescent="0.2">
      <c r="A628" s="449">
        <v>80</v>
      </c>
      <c r="B628" s="453">
        <v>91162</v>
      </c>
      <c r="C628" s="454" t="s">
        <v>6051</v>
      </c>
      <c r="D628" s="454" t="s">
        <v>1390</v>
      </c>
      <c r="E628" s="454" t="s">
        <v>6052</v>
      </c>
      <c r="F628" s="454" t="s">
        <v>523</v>
      </c>
      <c r="G628" s="454" t="s">
        <v>13347</v>
      </c>
      <c r="H628" s="455">
        <v>52027422000154</v>
      </c>
      <c r="I628" s="462">
        <v>30216</v>
      </c>
      <c r="J628" s="457">
        <v>37627988</v>
      </c>
      <c r="K628" s="454" t="s">
        <v>6054</v>
      </c>
      <c r="L628" s="458">
        <v>1056</v>
      </c>
      <c r="M628" s="454" t="s">
        <v>523</v>
      </c>
      <c r="N628" s="459">
        <v>8440000</v>
      </c>
      <c r="O628" s="460">
        <v>20351662</v>
      </c>
      <c r="P628" s="462">
        <v>261370</v>
      </c>
      <c r="Q628" s="462">
        <v>80</v>
      </c>
      <c r="R628" s="462">
        <v>43921</v>
      </c>
      <c r="S628" s="463">
        <v>482</v>
      </c>
      <c r="T628" s="464">
        <v>3.6</v>
      </c>
      <c r="U628" s="465">
        <v>1735.2</v>
      </c>
      <c r="V628" s="465">
        <v>15120</v>
      </c>
      <c r="W628" s="466">
        <v>0</v>
      </c>
      <c r="X628" s="467">
        <v>1</v>
      </c>
      <c r="Y628" s="466">
        <v>25282.799999999999</v>
      </c>
      <c r="Z628" s="468" t="s">
        <v>516</v>
      </c>
      <c r="AA628" s="466">
        <v>103719.6</v>
      </c>
      <c r="AB628" s="466">
        <v>103719.6</v>
      </c>
      <c r="AC628" s="467">
        <v>0</v>
      </c>
      <c r="AD628" s="466">
        <v>0</v>
      </c>
      <c r="AE628" s="468" t="s">
        <v>516</v>
      </c>
      <c r="AF628" s="466">
        <v>0</v>
      </c>
      <c r="AG628" s="466">
        <v>0</v>
      </c>
      <c r="AH628" s="466">
        <v>23494.76</v>
      </c>
      <c r="AI628" s="466">
        <v>3.32</v>
      </c>
      <c r="AJ628" s="469" t="s">
        <v>1395</v>
      </c>
      <c r="AK628" s="470" t="s">
        <v>523</v>
      </c>
      <c r="AL628" s="471" t="s">
        <v>6055</v>
      </c>
      <c r="AM628" s="470" t="s">
        <v>13348</v>
      </c>
      <c r="AN628" s="470" t="s">
        <v>6053</v>
      </c>
      <c r="AO628" s="470" t="s">
        <v>13349</v>
      </c>
      <c r="AP628" s="470" t="s">
        <v>6056</v>
      </c>
      <c r="AQ628" s="470" t="s">
        <v>6051</v>
      </c>
      <c r="AR628" s="472" t="s">
        <v>515</v>
      </c>
      <c r="AS628" s="473" t="s">
        <v>1385</v>
      </c>
      <c r="AT628" s="472" t="s">
        <v>1390</v>
      </c>
      <c r="AU628" s="472" t="s">
        <v>420</v>
      </c>
      <c r="AV628" s="472">
        <v>2020</v>
      </c>
      <c r="AW628" s="474" t="s">
        <v>15078</v>
      </c>
      <c r="AX628" s="475" t="s">
        <v>15079</v>
      </c>
      <c r="AY628" s="515">
        <v>1</v>
      </c>
      <c r="AZ628" s="474" t="s">
        <v>15079</v>
      </c>
      <c r="BA628" s="472" t="s">
        <v>1390</v>
      </c>
      <c r="BB628" s="472" t="s">
        <v>1385</v>
      </c>
      <c r="BC628" s="472" t="s">
        <v>1385</v>
      </c>
      <c r="BD628" s="472" t="s">
        <v>1385</v>
      </c>
      <c r="BE628" s="472" t="s">
        <v>1385</v>
      </c>
      <c r="BF628" s="472">
        <v>25282.799999999999</v>
      </c>
      <c r="BG628" s="472">
        <v>0</v>
      </c>
      <c r="BH628" s="472" t="s">
        <v>1385</v>
      </c>
      <c r="BI628" s="510">
        <v>0</v>
      </c>
      <c r="BJ628" s="510">
        <v>0</v>
      </c>
      <c r="BK628" s="510">
        <v>0</v>
      </c>
      <c r="BL628" s="510">
        <v>0</v>
      </c>
      <c r="BM628" s="510">
        <v>0</v>
      </c>
      <c r="BN628" s="510">
        <v>4000</v>
      </c>
      <c r="BO628" s="510">
        <v>0</v>
      </c>
      <c r="BP628" s="510">
        <v>0</v>
      </c>
      <c r="BQ628" s="510">
        <v>0</v>
      </c>
      <c r="BR628" s="510">
        <v>0</v>
      </c>
      <c r="BS628" s="510">
        <v>0</v>
      </c>
      <c r="BT628" s="510">
        <v>0</v>
      </c>
      <c r="BU628" s="510">
        <v>0</v>
      </c>
      <c r="BV628" s="510">
        <v>0</v>
      </c>
      <c r="BW628" s="510">
        <v>0</v>
      </c>
      <c r="BX628" s="510">
        <v>30000</v>
      </c>
      <c r="BY628" s="1011">
        <v>0</v>
      </c>
      <c r="BZ628" s="510">
        <v>0</v>
      </c>
      <c r="CA628" s="1011">
        <v>0</v>
      </c>
      <c r="CB628" s="510">
        <v>0</v>
      </c>
      <c r="CC628" s="1011">
        <v>0</v>
      </c>
      <c r="CD628" s="510">
        <v>0</v>
      </c>
      <c r="CE628" s="1011">
        <v>0</v>
      </c>
      <c r="CF628" s="510">
        <v>48436.800000000003</v>
      </c>
      <c r="CG628" s="1011">
        <v>0</v>
      </c>
      <c r="CH628" s="510">
        <v>0</v>
      </c>
      <c r="CI628" s="1011">
        <v>0</v>
      </c>
    </row>
    <row r="629" spans="1:87" x14ac:dyDescent="0.2">
      <c r="A629" s="449">
        <v>112</v>
      </c>
      <c r="B629" s="453">
        <v>91171</v>
      </c>
      <c r="C629" s="454" t="s">
        <v>6057</v>
      </c>
      <c r="D629" s="454" t="s">
        <v>1390</v>
      </c>
      <c r="E629" s="454" t="s">
        <v>6058</v>
      </c>
      <c r="F629" s="454" t="s">
        <v>526</v>
      </c>
      <c r="G629" s="454" t="s">
        <v>13350</v>
      </c>
      <c r="H629" s="455">
        <v>52033974000175</v>
      </c>
      <c r="I629" s="462">
        <v>30278</v>
      </c>
      <c r="J629" s="457">
        <v>37476327</v>
      </c>
      <c r="K629" s="454" t="s">
        <v>6059</v>
      </c>
      <c r="L629" s="458">
        <v>8</v>
      </c>
      <c r="M629" s="454" t="s">
        <v>1411</v>
      </c>
      <c r="N629" s="459">
        <v>8160090</v>
      </c>
      <c r="O629" s="460">
        <v>20353777</v>
      </c>
      <c r="P629" s="462">
        <v>143114</v>
      </c>
      <c r="Q629" s="462">
        <v>112</v>
      </c>
      <c r="R629" s="462">
        <v>43928</v>
      </c>
      <c r="S629" s="463">
        <v>340</v>
      </c>
      <c r="T629" s="464">
        <v>3.6</v>
      </c>
      <c r="U629" s="465">
        <v>1224</v>
      </c>
      <c r="V629" s="465">
        <v>13680</v>
      </c>
      <c r="W629" s="466">
        <v>0</v>
      </c>
      <c r="X629" s="467">
        <v>1</v>
      </c>
      <c r="Y629" s="466">
        <v>22356</v>
      </c>
      <c r="Z629" s="468" t="s">
        <v>516</v>
      </c>
      <c r="AA629" s="466">
        <v>97171.199999999997</v>
      </c>
      <c r="AB629" s="466">
        <v>97171.199999999997</v>
      </c>
      <c r="AC629" s="467">
        <v>0</v>
      </c>
      <c r="AD629" s="466">
        <v>0</v>
      </c>
      <c r="AE629" s="468" t="s">
        <v>516</v>
      </c>
      <c r="AF629" s="466">
        <v>0</v>
      </c>
      <c r="AG629" s="466">
        <v>0</v>
      </c>
      <c r="AH629" s="466">
        <v>13175.76</v>
      </c>
      <c r="AI629" s="466">
        <v>2980.8</v>
      </c>
      <c r="AJ629" s="469" t="s">
        <v>1410</v>
      </c>
      <c r="AK629" s="470" t="s">
        <v>1411</v>
      </c>
      <c r="AL629" s="471" t="s">
        <v>6060</v>
      </c>
      <c r="AM629" s="470" t="s">
        <v>6061</v>
      </c>
      <c r="AN629" s="470" t="s">
        <v>1385</v>
      </c>
      <c r="AO629" s="470" t="s">
        <v>13351</v>
      </c>
      <c r="AP629" s="470" t="s">
        <v>6062</v>
      </c>
      <c r="AQ629" s="470" t="s">
        <v>6057</v>
      </c>
      <c r="AR629" s="472" t="s">
        <v>515</v>
      </c>
      <c r="AS629" s="473" t="s">
        <v>1385</v>
      </c>
      <c r="AT629" s="472" t="s">
        <v>1390</v>
      </c>
      <c r="AU629" s="472" t="s">
        <v>420</v>
      </c>
      <c r="AV629" s="472">
        <v>2020</v>
      </c>
      <c r="AW629" s="474" t="s">
        <v>15078</v>
      </c>
      <c r="AX629" s="475" t="s">
        <v>15079</v>
      </c>
      <c r="AY629" s="515">
        <v>1</v>
      </c>
      <c r="AZ629" s="474" t="s">
        <v>15079</v>
      </c>
      <c r="BA629" s="472" t="s">
        <v>1390</v>
      </c>
      <c r="BB629" s="472" t="s">
        <v>1385</v>
      </c>
      <c r="BC629" s="472" t="s">
        <v>1385</v>
      </c>
      <c r="BD629" s="472" t="s">
        <v>1385</v>
      </c>
      <c r="BE629" s="472" t="s">
        <v>1385</v>
      </c>
      <c r="BF629" s="472">
        <v>22356</v>
      </c>
      <c r="BG629" s="472">
        <v>0</v>
      </c>
      <c r="BH629" s="472" t="s">
        <v>1385</v>
      </c>
      <c r="BI629" s="510">
        <v>0</v>
      </c>
      <c r="BJ629" s="510">
        <v>0</v>
      </c>
      <c r="BK629" s="510">
        <v>0</v>
      </c>
      <c r="BL629" s="510">
        <v>0</v>
      </c>
      <c r="BM629" s="510">
        <v>0</v>
      </c>
      <c r="BN629" s="510">
        <v>3500</v>
      </c>
      <c r="BO629" s="510">
        <v>0</v>
      </c>
      <c r="BP629" s="510">
        <v>0</v>
      </c>
      <c r="BQ629" s="510">
        <v>0</v>
      </c>
      <c r="BR629" s="510">
        <v>0</v>
      </c>
      <c r="BS629" s="510">
        <v>0</v>
      </c>
      <c r="BT629" s="510">
        <v>0</v>
      </c>
      <c r="BU629" s="510">
        <v>0</v>
      </c>
      <c r="BV629" s="510">
        <v>0</v>
      </c>
      <c r="BW629" s="510">
        <v>0</v>
      </c>
      <c r="BX629" s="510">
        <v>30000</v>
      </c>
      <c r="BY629" s="1011">
        <v>0</v>
      </c>
      <c r="BZ629" s="510">
        <v>0</v>
      </c>
      <c r="CA629" s="1011">
        <v>0</v>
      </c>
      <c r="CB629" s="510">
        <v>0</v>
      </c>
      <c r="CC629" s="1011">
        <v>0</v>
      </c>
      <c r="CD629" s="510">
        <v>0</v>
      </c>
      <c r="CE629" s="1011">
        <v>0</v>
      </c>
      <c r="CF629" s="510">
        <v>44815.199999999997</v>
      </c>
      <c r="CG629" s="1011">
        <v>0</v>
      </c>
      <c r="CH629" s="510">
        <v>0</v>
      </c>
      <c r="CI629" s="1011">
        <v>0</v>
      </c>
    </row>
    <row r="630" spans="1:87" x14ac:dyDescent="0.2">
      <c r="A630" s="449">
        <v>108</v>
      </c>
      <c r="B630" s="453">
        <v>91189</v>
      </c>
      <c r="C630" s="454" t="s">
        <v>6063</v>
      </c>
      <c r="D630" s="454" t="s">
        <v>1390</v>
      </c>
      <c r="E630" s="454" t="s">
        <v>6064</v>
      </c>
      <c r="F630" s="454" t="s">
        <v>526</v>
      </c>
      <c r="G630" s="454" t="s">
        <v>13352</v>
      </c>
      <c r="H630" s="455">
        <v>50997626000192</v>
      </c>
      <c r="I630" s="462">
        <v>30208</v>
      </c>
      <c r="J630" s="457">
        <v>37476874</v>
      </c>
      <c r="K630" s="454" t="s">
        <v>6065</v>
      </c>
      <c r="L630" s="458">
        <v>251</v>
      </c>
      <c r="M630" s="454" t="s">
        <v>1411</v>
      </c>
      <c r="N630" s="459">
        <v>8160580</v>
      </c>
      <c r="O630" s="460">
        <v>25613788</v>
      </c>
      <c r="P630" s="462">
        <v>133747</v>
      </c>
      <c r="Q630" s="462">
        <v>108</v>
      </c>
      <c r="R630" s="462">
        <v>43928</v>
      </c>
      <c r="S630" s="463">
        <v>435</v>
      </c>
      <c r="T630" s="464">
        <v>3.6</v>
      </c>
      <c r="U630" s="465">
        <v>1566</v>
      </c>
      <c r="V630" s="465">
        <v>15120</v>
      </c>
      <c r="W630" s="466">
        <v>0</v>
      </c>
      <c r="X630" s="467">
        <v>1</v>
      </c>
      <c r="Y630" s="466">
        <v>25029</v>
      </c>
      <c r="Z630" s="468" t="s">
        <v>516</v>
      </c>
      <c r="AA630" s="466">
        <v>100240.2</v>
      </c>
      <c r="AB630" s="466">
        <v>100240.2</v>
      </c>
      <c r="AC630" s="467">
        <v>0</v>
      </c>
      <c r="AD630" s="466">
        <v>0</v>
      </c>
      <c r="AE630" s="468" t="s">
        <v>516</v>
      </c>
      <c r="AF630" s="466">
        <v>0</v>
      </c>
      <c r="AG630" s="466">
        <v>0</v>
      </c>
      <c r="AH630" s="466">
        <v>2492.9</v>
      </c>
      <c r="AI630" s="466">
        <v>2707.5</v>
      </c>
      <c r="AJ630" s="469" t="s">
        <v>1410</v>
      </c>
      <c r="AK630" s="470" t="s">
        <v>1411</v>
      </c>
      <c r="AL630" s="471" t="s">
        <v>6066</v>
      </c>
      <c r="AM630" s="470" t="s">
        <v>13353</v>
      </c>
      <c r="AN630" s="470" t="s">
        <v>1385</v>
      </c>
      <c r="AO630" s="470" t="s">
        <v>6067</v>
      </c>
      <c r="AP630" s="470" t="s">
        <v>6068</v>
      </c>
      <c r="AQ630" s="470" t="s">
        <v>6063</v>
      </c>
      <c r="AR630" s="472" t="s">
        <v>515</v>
      </c>
      <c r="AS630" s="473" t="s">
        <v>1385</v>
      </c>
      <c r="AT630" s="472" t="s">
        <v>1390</v>
      </c>
      <c r="AU630" s="472" t="s">
        <v>420</v>
      </c>
      <c r="AV630" s="472">
        <v>2020</v>
      </c>
      <c r="AW630" s="474" t="s">
        <v>15078</v>
      </c>
      <c r="AX630" s="475" t="s">
        <v>15079</v>
      </c>
      <c r="AY630" s="515">
        <v>1</v>
      </c>
      <c r="AZ630" s="474" t="s">
        <v>15079</v>
      </c>
      <c r="BA630" s="472" t="s">
        <v>1390</v>
      </c>
      <c r="BB630" s="472" t="s">
        <v>1385</v>
      </c>
      <c r="BC630" s="472" t="s">
        <v>1385</v>
      </c>
      <c r="BD630" s="472" t="s">
        <v>1385</v>
      </c>
      <c r="BE630" s="472" t="s">
        <v>1385</v>
      </c>
      <c r="BF630" s="472">
        <v>25029</v>
      </c>
      <c r="BG630" s="472">
        <v>0</v>
      </c>
      <c r="BH630" s="472" t="s">
        <v>1385</v>
      </c>
      <c r="BI630" s="510">
        <v>0</v>
      </c>
      <c r="BJ630" s="510">
        <v>0</v>
      </c>
      <c r="BK630" s="510">
        <v>0</v>
      </c>
      <c r="BL630" s="510">
        <v>0</v>
      </c>
      <c r="BM630" s="510">
        <v>0</v>
      </c>
      <c r="BN630" s="510">
        <v>4000</v>
      </c>
      <c r="BO630" s="510">
        <v>0</v>
      </c>
      <c r="BP630" s="510">
        <v>0</v>
      </c>
      <c r="BQ630" s="510">
        <v>0</v>
      </c>
      <c r="BR630" s="510">
        <v>0</v>
      </c>
      <c r="BS630" s="510">
        <v>0</v>
      </c>
      <c r="BT630" s="510">
        <v>0</v>
      </c>
      <c r="BU630" s="510">
        <v>0</v>
      </c>
      <c r="BV630" s="510">
        <v>0</v>
      </c>
      <c r="BW630" s="510">
        <v>0</v>
      </c>
      <c r="BX630" s="510">
        <v>30000</v>
      </c>
      <c r="BY630" s="1011">
        <v>0</v>
      </c>
      <c r="BZ630" s="510">
        <v>0</v>
      </c>
      <c r="CA630" s="1011">
        <v>0</v>
      </c>
      <c r="CB630" s="510">
        <v>0</v>
      </c>
      <c r="CC630" s="1011">
        <v>0</v>
      </c>
      <c r="CD630" s="510">
        <v>0</v>
      </c>
      <c r="CE630" s="1011">
        <v>0</v>
      </c>
      <c r="CF630" s="510">
        <v>45211.199999999997</v>
      </c>
      <c r="CG630" s="1011">
        <v>0</v>
      </c>
      <c r="CH630" s="510">
        <v>0</v>
      </c>
      <c r="CI630" s="1011">
        <v>0</v>
      </c>
    </row>
    <row r="631" spans="1:87" x14ac:dyDescent="0.2">
      <c r="A631" s="449">
        <v>117</v>
      </c>
      <c r="B631" s="453">
        <v>91197</v>
      </c>
      <c r="C631" s="454" t="s">
        <v>6069</v>
      </c>
      <c r="D631" s="454" t="s">
        <v>1390</v>
      </c>
      <c r="E631" s="454" t="s">
        <v>6070</v>
      </c>
      <c r="F631" s="454" t="s">
        <v>526</v>
      </c>
      <c r="G631" s="454" t="s">
        <v>13354</v>
      </c>
      <c r="H631" s="455">
        <v>52035128000194</v>
      </c>
      <c r="I631" s="462">
        <v>30266</v>
      </c>
      <c r="J631" s="457">
        <v>37476238</v>
      </c>
      <c r="K631" s="454" t="s">
        <v>6071</v>
      </c>
      <c r="L631" s="458">
        <v>1280</v>
      </c>
      <c r="M631" s="454" t="s">
        <v>6072</v>
      </c>
      <c r="N631" s="459">
        <v>8080650</v>
      </c>
      <c r="O631" s="460">
        <v>25814043</v>
      </c>
      <c r="P631" s="462">
        <v>133909</v>
      </c>
      <c r="Q631" s="462">
        <v>117</v>
      </c>
      <c r="R631" s="462">
        <v>43928</v>
      </c>
      <c r="S631" s="463">
        <v>412</v>
      </c>
      <c r="T631" s="464">
        <v>3.6</v>
      </c>
      <c r="U631" s="465">
        <v>1483.2</v>
      </c>
      <c r="V631" s="465">
        <v>15120</v>
      </c>
      <c r="W631" s="466">
        <v>0</v>
      </c>
      <c r="X631" s="467">
        <v>1</v>
      </c>
      <c r="Y631" s="466">
        <v>24904.799999999999</v>
      </c>
      <c r="Z631" s="468" t="s">
        <v>516</v>
      </c>
      <c r="AA631" s="466">
        <v>103046.39999999999</v>
      </c>
      <c r="AB631" s="466">
        <v>103046.39999999999</v>
      </c>
      <c r="AC631" s="467">
        <v>0</v>
      </c>
      <c r="AD631" s="466">
        <v>0</v>
      </c>
      <c r="AE631" s="468" t="s">
        <v>516</v>
      </c>
      <c r="AF631" s="466">
        <v>0</v>
      </c>
      <c r="AG631" s="466">
        <v>0</v>
      </c>
      <c r="AH631" s="466">
        <v>7819.6</v>
      </c>
      <c r="AI631" s="466">
        <v>0</v>
      </c>
      <c r="AJ631" s="469" t="s">
        <v>1839</v>
      </c>
      <c r="AK631" s="470" t="s">
        <v>526</v>
      </c>
      <c r="AL631" s="471" t="s">
        <v>6073</v>
      </c>
      <c r="AM631" s="470" t="s">
        <v>13355</v>
      </c>
      <c r="AN631" s="470" t="s">
        <v>1385</v>
      </c>
      <c r="AO631" s="470" t="s">
        <v>6074</v>
      </c>
      <c r="AP631" s="470" t="s">
        <v>6075</v>
      </c>
      <c r="AQ631" s="470" t="s">
        <v>6069</v>
      </c>
      <c r="AR631" s="472" t="s">
        <v>515</v>
      </c>
      <c r="AS631" s="473" t="s">
        <v>1385</v>
      </c>
      <c r="AT631" s="472" t="s">
        <v>1390</v>
      </c>
      <c r="AU631" s="472" t="s">
        <v>420</v>
      </c>
      <c r="AV631" s="472">
        <v>2020</v>
      </c>
      <c r="AW631" s="474" t="s">
        <v>15078</v>
      </c>
      <c r="AX631" s="475" t="s">
        <v>15079</v>
      </c>
      <c r="AY631" s="515">
        <v>1</v>
      </c>
      <c r="AZ631" s="474" t="s">
        <v>15079</v>
      </c>
      <c r="BA631" s="472" t="s">
        <v>1390</v>
      </c>
      <c r="BB631" s="472" t="s">
        <v>1385</v>
      </c>
      <c r="BC631" s="472" t="s">
        <v>1385</v>
      </c>
      <c r="BD631" s="472" t="s">
        <v>1385</v>
      </c>
      <c r="BE631" s="472" t="s">
        <v>1385</v>
      </c>
      <c r="BF631" s="472">
        <v>24904.799999999999</v>
      </c>
      <c r="BG631" s="472">
        <v>0</v>
      </c>
      <c r="BH631" s="472" t="s">
        <v>1385</v>
      </c>
      <c r="BI631" s="510">
        <v>0</v>
      </c>
      <c r="BJ631" s="510">
        <v>0</v>
      </c>
      <c r="BK631" s="510">
        <v>0</v>
      </c>
      <c r="BL631" s="510">
        <v>0</v>
      </c>
      <c r="BM631" s="510">
        <v>0</v>
      </c>
      <c r="BN631" s="510">
        <v>4000</v>
      </c>
      <c r="BO631" s="510">
        <v>0</v>
      </c>
      <c r="BP631" s="510">
        <v>0</v>
      </c>
      <c r="BQ631" s="510">
        <v>0</v>
      </c>
      <c r="BR631" s="510">
        <v>0</v>
      </c>
      <c r="BS631" s="510">
        <v>0</v>
      </c>
      <c r="BT631" s="510">
        <v>0</v>
      </c>
      <c r="BU631" s="510">
        <v>0</v>
      </c>
      <c r="BV631" s="510">
        <v>0</v>
      </c>
      <c r="BW631" s="510">
        <v>0</v>
      </c>
      <c r="BX631" s="510">
        <v>30000</v>
      </c>
      <c r="BY631" s="1011">
        <v>0</v>
      </c>
      <c r="BZ631" s="510">
        <v>0</v>
      </c>
      <c r="CA631" s="1011">
        <v>0</v>
      </c>
      <c r="CB631" s="510">
        <v>0</v>
      </c>
      <c r="CC631" s="1011">
        <v>0</v>
      </c>
      <c r="CD631" s="510">
        <v>0</v>
      </c>
      <c r="CE631" s="1011">
        <v>0</v>
      </c>
      <c r="CF631" s="510">
        <v>48141.599999999999</v>
      </c>
      <c r="CG631" s="1011">
        <v>0</v>
      </c>
      <c r="CH631" s="510">
        <v>0</v>
      </c>
      <c r="CI631" s="1011">
        <v>0</v>
      </c>
    </row>
    <row r="632" spans="1:87" x14ac:dyDescent="0.2">
      <c r="A632" s="449">
        <v>115</v>
      </c>
      <c r="B632" s="453">
        <v>91201</v>
      </c>
      <c r="C632" s="454" t="s">
        <v>6076</v>
      </c>
      <c r="D632" s="454" t="s">
        <v>1390</v>
      </c>
      <c r="E632" s="454" t="s">
        <v>6077</v>
      </c>
      <c r="F632" s="454" t="s">
        <v>526</v>
      </c>
      <c r="G632" s="454" t="s">
        <v>13356</v>
      </c>
      <c r="H632" s="455">
        <v>51933075000166</v>
      </c>
      <c r="I632" s="462">
        <v>30210</v>
      </c>
      <c r="J632" s="457">
        <v>37476823</v>
      </c>
      <c r="K632" s="454" t="s">
        <v>6078</v>
      </c>
      <c r="L632" s="458">
        <v>126</v>
      </c>
      <c r="M632" s="454" t="s">
        <v>1888</v>
      </c>
      <c r="N632" s="459">
        <v>8081330</v>
      </c>
      <c r="O632" s="460">
        <v>25810422</v>
      </c>
      <c r="P632" s="462">
        <v>136959</v>
      </c>
      <c r="Q632" s="462">
        <v>115</v>
      </c>
      <c r="R632" s="462">
        <v>43928</v>
      </c>
      <c r="S632" s="463">
        <v>397</v>
      </c>
      <c r="T632" s="464">
        <v>3.6</v>
      </c>
      <c r="U632" s="465">
        <v>1429.2</v>
      </c>
      <c r="V632" s="465">
        <v>13680</v>
      </c>
      <c r="W632" s="466">
        <v>0</v>
      </c>
      <c r="X632" s="467">
        <v>1</v>
      </c>
      <c r="Y632" s="466">
        <v>22663.8</v>
      </c>
      <c r="Z632" s="468" t="s">
        <v>516</v>
      </c>
      <c r="AA632" s="466">
        <v>100913.4</v>
      </c>
      <c r="AB632" s="466">
        <v>100913.4</v>
      </c>
      <c r="AC632" s="467">
        <v>0</v>
      </c>
      <c r="AD632" s="466">
        <v>0</v>
      </c>
      <c r="AE632" s="468" t="s">
        <v>516</v>
      </c>
      <c r="AF632" s="466">
        <v>0</v>
      </c>
      <c r="AG632" s="466">
        <v>0</v>
      </c>
      <c r="AH632" s="466">
        <v>11348.73</v>
      </c>
      <c r="AI632" s="466">
        <v>1626.74</v>
      </c>
      <c r="AJ632" s="469" t="s">
        <v>1410</v>
      </c>
      <c r="AK632" s="470" t="s">
        <v>1411</v>
      </c>
      <c r="AL632" s="471" t="s">
        <v>6079</v>
      </c>
      <c r="AM632" s="470" t="s">
        <v>6080</v>
      </c>
      <c r="AN632" s="470" t="s">
        <v>1385</v>
      </c>
      <c r="AO632" s="470" t="s">
        <v>6081</v>
      </c>
      <c r="AP632" s="470" t="s">
        <v>6082</v>
      </c>
      <c r="AQ632" s="470" t="s">
        <v>6076</v>
      </c>
      <c r="AR632" s="472" t="s">
        <v>515</v>
      </c>
      <c r="AS632" s="473" t="s">
        <v>1385</v>
      </c>
      <c r="AT632" s="472" t="s">
        <v>1390</v>
      </c>
      <c r="AU632" s="472" t="s">
        <v>420</v>
      </c>
      <c r="AV632" s="472">
        <v>2020</v>
      </c>
      <c r="AW632" s="474" t="s">
        <v>15078</v>
      </c>
      <c r="AX632" s="475" t="s">
        <v>15079</v>
      </c>
      <c r="AY632" s="515">
        <v>1</v>
      </c>
      <c r="AZ632" s="474" t="s">
        <v>15079</v>
      </c>
      <c r="BA632" s="472" t="s">
        <v>1390</v>
      </c>
      <c r="BB632" s="472" t="s">
        <v>1385</v>
      </c>
      <c r="BC632" s="472" t="s">
        <v>1385</v>
      </c>
      <c r="BD632" s="472" t="s">
        <v>1385</v>
      </c>
      <c r="BE632" s="472" t="s">
        <v>1385</v>
      </c>
      <c r="BF632" s="472">
        <v>22663.8</v>
      </c>
      <c r="BG632" s="472">
        <v>0</v>
      </c>
      <c r="BH632" s="472" t="s">
        <v>1385</v>
      </c>
      <c r="BI632" s="510">
        <v>0</v>
      </c>
      <c r="BJ632" s="510">
        <v>0</v>
      </c>
      <c r="BK632" s="510">
        <v>0</v>
      </c>
      <c r="BL632" s="510">
        <v>0</v>
      </c>
      <c r="BM632" s="510">
        <v>0</v>
      </c>
      <c r="BN632" s="510">
        <v>3500</v>
      </c>
      <c r="BO632" s="510">
        <v>0</v>
      </c>
      <c r="BP632" s="510">
        <v>0</v>
      </c>
      <c r="BQ632" s="510">
        <v>0</v>
      </c>
      <c r="BR632" s="510">
        <v>0</v>
      </c>
      <c r="BS632" s="510">
        <v>0</v>
      </c>
      <c r="BT632" s="510">
        <v>0</v>
      </c>
      <c r="BU632" s="510">
        <v>0</v>
      </c>
      <c r="BV632" s="510">
        <v>0</v>
      </c>
      <c r="BW632" s="510">
        <v>0</v>
      </c>
      <c r="BX632" s="510">
        <v>30000</v>
      </c>
      <c r="BY632" s="1011">
        <v>0</v>
      </c>
      <c r="BZ632" s="510">
        <v>0</v>
      </c>
      <c r="CA632" s="1011">
        <v>0</v>
      </c>
      <c r="CB632" s="510">
        <v>0</v>
      </c>
      <c r="CC632" s="1011">
        <v>0</v>
      </c>
      <c r="CD632" s="510">
        <v>0</v>
      </c>
      <c r="CE632" s="1011">
        <v>0</v>
      </c>
      <c r="CF632" s="510">
        <v>48249.599999999999</v>
      </c>
      <c r="CG632" s="1011">
        <v>0</v>
      </c>
      <c r="CH632" s="510">
        <v>0</v>
      </c>
      <c r="CI632" s="1011">
        <v>0</v>
      </c>
    </row>
    <row r="633" spans="1:87" x14ac:dyDescent="0.2">
      <c r="A633" s="449">
        <v>89</v>
      </c>
      <c r="B633" s="453">
        <v>91219</v>
      </c>
      <c r="C633" s="454" t="s">
        <v>6083</v>
      </c>
      <c r="D633" s="454" t="s">
        <v>1390</v>
      </c>
      <c r="E633" s="454" t="s">
        <v>6084</v>
      </c>
      <c r="F633" s="454" t="s">
        <v>526</v>
      </c>
      <c r="G633" s="454" t="s">
        <v>13357</v>
      </c>
      <c r="H633" s="455">
        <v>52037686000199</v>
      </c>
      <c r="I633" s="462">
        <v>30250</v>
      </c>
      <c r="J633" s="457">
        <v>37586114</v>
      </c>
      <c r="K633" s="454" t="s">
        <v>6085</v>
      </c>
      <c r="L633" s="458">
        <v>452</v>
      </c>
      <c r="M633" s="454" t="s">
        <v>6086</v>
      </c>
      <c r="N633" s="459">
        <v>8120300</v>
      </c>
      <c r="O633" s="460">
        <v>25678404</v>
      </c>
      <c r="P633" s="462">
        <v>142568</v>
      </c>
      <c r="Q633" s="462">
        <v>89</v>
      </c>
      <c r="R633" s="462">
        <v>43928</v>
      </c>
      <c r="S633" s="463">
        <v>581</v>
      </c>
      <c r="T633" s="464">
        <v>3.6</v>
      </c>
      <c r="U633" s="465">
        <v>2091.6</v>
      </c>
      <c r="V633" s="465">
        <v>16560</v>
      </c>
      <c r="W633" s="466">
        <v>0</v>
      </c>
      <c r="X633" s="467">
        <v>1</v>
      </c>
      <c r="Y633" s="466">
        <v>27977.4</v>
      </c>
      <c r="Z633" s="468" t="s">
        <v>516</v>
      </c>
      <c r="AA633" s="466">
        <v>111367</v>
      </c>
      <c r="AB633" s="466">
        <v>111367</v>
      </c>
      <c r="AC633" s="467">
        <v>0</v>
      </c>
      <c r="AD633" s="466">
        <v>0</v>
      </c>
      <c r="AE633" s="468" t="s">
        <v>516</v>
      </c>
      <c r="AF633" s="466">
        <v>1000</v>
      </c>
      <c r="AG633" s="466">
        <v>1000</v>
      </c>
      <c r="AH633" s="466">
        <v>19930.66</v>
      </c>
      <c r="AI633" s="466">
        <v>11.88</v>
      </c>
      <c r="AJ633" s="469" t="s">
        <v>1410</v>
      </c>
      <c r="AK633" s="470" t="s">
        <v>1411</v>
      </c>
      <c r="AL633" s="471" t="s">
        <v>6087</v>
      </c>
      <c r="AM633" s="470" t="s">
        <v>6088</v>
      </c>
      <c r="AN633" s="470" t="s">
        <v>1385</v>
      </c>
      <c r="AO633" s="470" t="s">
        <v>13358</v>
      </c>
      <c r="AP633" s="470" t="s">
        <v>6089</v>
      </c>
      <c r="AQ633" s="470" t="s">
        <v>6083</v>
      </c>
      <c r="AR633" s="472" t="s">
        <v>515</v>
      </c>
      <c r="AS633" s="473" t="s">
        <v>1385</v>
      </c>
      <c r="AT633" s="472" t="s">
        <v>1390</v>
      </c>
      <c r="AU633" s="472" t="s">
        <v>420</v>
      </c>
      <c r="AV633" s="472">
        <v>2020</v>
      </c>
      <c r="AW633" s="474" t="s">
        <v>15078</v>
      </c>
      <c r="AX633" s="475" t="s">
        <v>15079</v>
      </c>
      <c r="AY633" s="515">
        <v>1</v>
      </c>
      <c r="AZ633" s="474" t="s">
        <v>15079</v>
      </c>
      <c r="BA633" s="472" t="s">
        <v>1390</v>
      </c>
      <c r="BB633" s="472" t="s">
        <v>1385</v>
      </c>
      <c r="BC633" s="472" t="s">
        <v>1385</v>
      </c>
      <c r="BD633" s="472" t="s">
        <v>1385</v>
      </c>
      <c r="BE633" s="472" t="s">
        <v>1385</v>
      </c>
      <c r="BF633" s="472">
        <v>27977.4</v>
      </c>
      <c r="BG633" s="472">
        <v>0</v>
      </c>
      <c r="BH633" s="472" t="s">
        <v>1385</v>
      </c>
      <c r="BI633" s="510">
        <v>0</v>
      </c>
      <c r="BJ633" s="510">
        <v>0</v>
      </c>
      <c r="BK633" s="510">
        <v>0</v>
      </c>
      <c r="BL633" s="510">
        <v>0</v>
      </c>
      <c r="BM633" s="510">
        <v>0</v>
      </c>
      <c r="BN633" s="510">
        <v>5000</v>
      </c>
      <c r="BO633" s="510">
        <v>1000</v>
      </c>
      <c r="BP633" s="510">
        <v>1000</v>
      </c>
      <c r="BQ633" s="510">
        <v>0</v>
      </c>
      <c r="BR633" s="510">
        <v>0</v>
      </c>
      <c r="BS633" s="510">
        <v>0</v>
      </c>
      <c r="BT633" s="510">
        <v>0</v>
      </c>
      <c r="BU633" s="510">
        <v>0</v>
      </c>
      <c r="BV633" s="510">
        <v>0</v>
      </c>
      <c r="BW633" s="510">
        <v>0</v>
      </c>
      <c r="BX633" s="510">
        <v>30000</v>
      </c>
      <c r="BY633" s="1011">
        <v>0</v>
      </c>
      <c r="BZ633" s="510">
        <v>0</v>
      </c>
      <c r="CA633" s="1011">
        <v>0</v>
      </c>
      <c r="CB633" s="510">
        <v>0</v>
      </c>
      <c r="CC633" s="1011">
        <v>0</v>
      </c>
      <c r="CD633" s="510">
        <v>0</v>
      </c>
      <c r="CE633" s="1011">
        <v>0</v>
      </c>
      <c r="CF633" s="510">
        <v>52389.599999999999</v>
      </c>
      <c r="CG633" s="1011">
        <v>0</v>
      </c>
      <c r="CH633" s="510">
        <v>0</v>
      </c>
      <c r="CI633" s="1011">
        <v>0</v>
      </c>
    </row>
    <row r="634" spans="1:87" x14ac:dyDescent="0.2">
      <c r="A634" s="449">
        <v>116</v>
      </c>
      <c r="B634" s="453">
        <v>91227</v>
      </c>
      <c r="C634" s="454" t="s">
        <v>6090</v>
      </c>
      <c r="D634" s="454" t="s">
        <v>1390</v>
      </c>
      <c r="E634" s="454" t="s">
        <v>6091</v>
      </c>
      <c r="F634" s="454" t="s">
        <v>526</v>
      </c>
      <c r="G634" s="454" t="s">
        <v>13359</v>
      </c>
      <c r="H634" s="455">
        <v>52037231000173</v>
      </c>
      <c r="I634" s="462">
        <v>30266</v>
      </c>
      <c r="J634" s="457">
        <v>37476017</v>
      </c>
      <c r="K634" s="454" t="s">
        <v>6092</v>
      </c>
      <c r="L634" s="458">
        <v>95</v>
      </c>
      <c r="M634" s="454" t="s">
        <v>1411</v>
      </c>
      <c r="N634" s="459">
        <v>8121440</v>
      </c>
      <c r="O634" s="460">
        <v>29632541</v>
      </c>
      <c r="P634" s="462">
        <v>139001</v>
      </c>
      <c r="Q634" s="462">
        <v>116</v>
      </c>
      <c r="R634" s="462">
        <v>43928</v>
      </c>
      <c r="S634" s="463">
        <v>410</v>
      </c>
      <c r="T634" s="464">
        <v>3.6</v>
      </c>
      <c r="U634" s="465">
        <v>1476</v>
      </c>
      <c r="V634" s="465">
        <v>15120</v>
      </c>
      <c r="W634" s="466">
        <v>0</v>
      </c>
      <c r="X634" s="467">
        <v>1</v>
      </c>
      <c r="Y634" s="466">
        <v>24894</v>
      </c>
      <c r="Z634" s="468" t="s">
        <v>516</v>
      </c>
      <c r="AA634" s="466">
        <v>103114.8</v>
      </c>
      <c r="AB634" s="466">
        <v>103114.8</v>
      </c>
      <c r="AC634" s="467">
        <v>0</v>
      </c>
      <c r="AD634" s="466">
        <v>0</v>
      </c>
      <c r="AE634" s="468" t="s">
        <v>516</v>
      </c>
      <c r="AF634" s="466">
        <v>0</v>
      </c>
      <c r="AG634" s="466">
        <v>0</v>
      </c>
      <c r="AH634" s="466">
        <v>3451.4</v>
      </c>
      <c r="AI634" s="466">
        <v>0</v>
      </c>
      <c r="AJ634" s="469" t="s">
        <v>1839</v>
      </c>
      <c r="AK634" s="470" t="s">
        <v>526</v>
      </c>
      <c r="AL634" s="471" t="s">
        <v>6093</v>
      </c>
      <c r="AM634" s="470" t="s">
        <v>6094</v>
      </c>
      <c r="AN634" s="470" t="s">
        <v>1385</v>
      </c>
      <c r="AO634" s="470" t="s">
        <v>6095</v>
      </c>
      <c r="AP634" s="470" t="s">
        <v>6096</v>
      </c>
      <c r="AQ634" s="470" t="s">
        <v>6090</v>
      </c>
      <c r="AR634" s="472" t="s">
        <v>515</v>
      </c>
      <c r="AS634" s="473" t="s">
        <v>1385</v>
      </c>
      <c r="AT634" s="472" t="s">
        <v>1390</v>
      </c>
      <c r="AU634" s="472" t="s">
        <v>420</v>
      </c>
      <c r="AV634" s="472">
        <v>2020</v>
      </c>
      <c r="AW634" s="474" t="s">
        <v>15078</v>
      </c>
      <c r="AX634" s="475" t="s">
        <v>15079</v>
      </c>
      <c r="AY634" s="515">
        <v>1</v>
      </c>
      <c r="AZ634" s="474" t="s">
        <v>15079</v>
      </c>
      <c r="BA634" s="472" t="s">
        <v>1390</v>
      </c>
      <c r="BB634" s="472" t="s">
        <v>1385</v>
      </c>
      <c r="BC634" s="472" t="s">
        <v>1385</v>
      </c>
      <c r="BD634" s="472" t="s">
        <v>1385</v>
      </c>
      <c r="BE634" s="472" t="s">
        <v>1385</v>
      </c>
      <c r="BF634" s="472">
        <v>24894</v>
      </c>
      <c r="BG634" s="472">
        <v>0</v>
      </c>
      <c r="BH634" s="472" t="s">
        <v>1385</v>
      </c>
      <c r="BI634" s="510">
        <v>0</v>
      </c>
      <c r="BJ634" s="510">
        <v>0</v>
      </c>
      <c r="BK634" s="510">
        <v>0</v>
      </c>
      <c r="BL634" s="510">
        <v>0</v>
      </c>
      <c r="BM634" s="510">
        <v>0</v>
      </c>
      <c r="BN634" s="510">
        <v>0</v>
      </c>
      <c r="BO634" s="510">
        <v>0</v>
      </c>
      <c r="BP634" s="510">
        <v>0</v>
      </c>
      <c r="BQ634" s="510">
        <v>0</v>
      </c>
      <c r="BR634" s="510">
        <v>0</v>
      </c>
      <c r="BS634" s="510">
        <v>0</v>
      </c>
      <c r="BT634" s="510">
        <v>0</v>
      </c>
      <c r="BU634" s="510">
        <v>0</v>
      </c>
      <c r="BV634" s="510">
        <v>0</v>
      </c>
      <c r="BW634" s="510">
        <v>0</v>
      </c>
      <c r="BX634" s="510">
        <v>30000</v>
      </c>
      <c r="BY634" s="1011">
        <v>0</v>
      </c>
      <c r="BZ634" s="510">
        <v>0</v>
      </c>
      <c r="CA634" s="1011">
        <v>0</v>
      </c>
      <c r="CB634" s="510">
        <v>0</v>
      </c>
      <c r="CC634" s="1011">
        <v>0</v>
      </c>
      <c r="CD634" s="510">
        <v>0</v>
      </c>
      <c r="CE634" s="1011">
        <v>0</v>
      </c>
      <c r="CF634" s="510">
        <v>48220.800000000003</v>
      </c>
      <c r="CG634" s="1011">
        <v>0</v>
      </c>
      <c r="CH634" s="510">
        <v>0</v>
      </c>
      <c r="CI634" s="1011">
        <v>0</v>
      </c>
    </row>
    <row r="635" spans="1:87" x14ac:dyDescent="0.2">
      <c r="A635" s="449">
        <v>105</v>
      </c>
      <c r="B635" s="453">
        <v>91235</v>
      </c>
      <c r="C635" s="454" t="s">
        <v>6097</v>
      </c>
      <c r="D635" s="454" t="s">
        <v>1390</v>
      </c>
      <c r="E635" s="454" t="s">
        <v>6098</v>
      </c>
      <c r="F635" s="454" t="s">
        <v>526</v>
      </c>
      <c r="G635" s="454" t="s">
        <v>13360</v>
      </c>
      <c r="H635" s="455">
        <v>53832085000130</v>
      </c>
      <c r="I635" s="462">
        <v>30984</v>
      </c>
      <c r="J635" s="457">
        <v>37476785</v>
      </c>
      <c r="K635" s="454" t="s">
        <v>6099</v>
      </c>
      <c r="L635" s="458">
        <v>471</v>
      </c>
      <c r="M635" s="454" t="s">
        <v>1888</v>
      </c>
      <c r="N635" s="459">
        <v>8021480</v>
      </c>
      <c r="O635" s="460">
        <v>20375037</v>
      </c>
      <c r="P635" s="462">
        <v>164367</v>
      </c>
      <c r="Q635" s="462">
        <v>105</v>
      </c>
      <c r="R635" s="462">
        <v>43928</v>
      </c>
      <c r="S635" s="463">
        <v>466</v>
      </c>
      <c r="T635" s="464">
        <v>3.6</v>
      </c>
      <c r="U635" s="465">
        <v>1677.6</v>
      </c>
      <c r="V635" s="465">
        <v>15120</v>
      </c>
      <c r="W635" s="466">
        <v>0</v>
      </c>
      <c r="X635" s="467">
        <v>1</v>
      </c>
      <c r="Y635" s="466">
        <v>25196.400000000001</v>
      </c>
      <c r="Z635" s="468" t="s">
        <v>516</v>
      </c>
      <c r="AA635" s="466">
        <v>103662</v>
      </c>
      <c r="AB635" s="466">
        <v>103662</v>
      </c>
      <c r="AC635" s="467">
        <v>0</v>
      </c>
      <c r="AD635" s="466">
        <v>0</v>
      </c>
      <c r="AE635" s="468" t="s">
        <v>516</v>
      </c>
      <c r="AF635" s="466">
        <v>0</v>
      </c>
      <c r="AG635" s="466">
        <v>0</v>
      </c>
      <c r="AH635" s="466">
        <v>4147.6000000000004</v>
      </c>
      <c r="AI635" s="466">
        <v>0</v>
      </c>
      <c r="AJ635" s="469" t="s">
        <v>1839</v>
      </c>
      <c r="AK635" s="470" t="s">
        <v>526</v>
      </c>
      <c r="AL635" s="471" t="s">
        <v>6100</v>
      </c>
      <c r="AM635" s="470" t="s">
        <v>6101</v>
      </c>
      <c r="AN635" s="470" t="s">
        <v>1385</v>
      </c>
      <c r="AO635" s="470" t="s">
        <v>6102</v>
      </c>
      <c r="AP635" s="470" t="s">
        <v>6103</v>
      </c>
      <c r="AQ635" s="470" t="s">
        <v>6097</v>
      </c>
      <c r="AR635" s="472" t="s">
        <v>515</v>
      </c>
      <c r="AS635" s="473" t="s">
        <v>1385</v>
      </c>
      <c r="AT635" s="472" t="s">
        <v>1390</v>
      </c>
      <c r="AU635" s="472" t="s">
        <v>420</v>
      </c>
      <c r="AV635" s="472">
        <v>2020</v>
      </c>
      <c r="AW635" s="474" t="s">
        <v>15078</v>
      </c>
      <c r="AX635" s="475" t="s">
        <v>15079</v>
      </c>
      <c r="AY635" s="515">
        <v>1</v>
      </c>
      <c r="AZ635" s="474" t="s">
        <v>15079</v>
      </c>
      <c r="BA635" s="472" t="s">
        <v>1390</v>
      </c>
      <c r="BB635" s="472" t="s">
        <v>1385</v>
      </c>
      <c r="BC635" s="472" t="s">
        <v>1385</v>
      </c>
      <c r="BD635" s="472" t="s">
        <v>1385</v>
      </c>
      <c r="BE635" s="472" t="s">
        <v>1385</v>
      </c>
      <c r="BF635" s="472">
        <v>25196.400000000001</v>
      </c>
      <c r="BG635" s="472">
        <v>0</v>
      </c>
      <c r="BH635" s="472" t="s">
        <v>1385</v>
      </c>
      <c r="BI635" s="510">
        <v>0</v>
      </c>
      <c r="BJ635" s="510">
        <v>19.399999999999999</v>
      </c>
      <c r="BK635" s="510">
        <v>0</v>
      </c>
      <c r="BL635" s="510">
        <v>0</v>
      </c>
      <c r="BM635" s="510">
        <v>0</v>
      </c>
      <c r="BN635" s="510">
        <v>4000</v>
      </c>
      <c r="BO635" s="510">
        <v>0</v>
      </c>
      <c r="BP635" s="510">
        <v>0</v>
      </c>
      <c r="BQ635" s="510">
        <v>0</v>
      </c>
      <c r="BR635" s="510">
        <v>0</v>
      </c>
      <c r="BS635" s="510">
        <v>0</v>
      </c>
      <c r="BT635" s="510">
        <v>0</v>
      </c>
      <c r="BU635" s="510">
        <v>0</v>
      </c>
      <c r="BV635" s="510">
        <v>0</v>
      </c>
      <c r="BW635" s="510">
        <v>0</v>
      </c>
      <c r="BX635" s="510">
        <v>30000</v>
      </c>
      <c r="BY635" s="1011">
        <v>0</v>
      </c>
      <c r="BZ635" s="510">
        <v>0</v>
      </c>
      <c r="CA635" s="1011">
        <v>0</v>
      </c>
      <c r="CB635" s="510">
        <v>0</v>
      </c>
      <c r="CC635" s="1011">
        <v>0</v>
      </c>
      <c r="CD635" s="510">
        <v>0</v>
      </c>
      <c r="CE635" s="1011">
        <v>0</v>
      </c>
      <c r="CF635" s="510">
        <v>48465.599999999999</v>
      </c>
      <c r="CG635" s="1011">
        <v>0</v>
      </c>
      <c r="CH635" s="510">
        <v>0</v>
      </c>
      <c r="CI635" s="1011">
        <v>0</v>
      </c>
    </row>
    <row r="636" spans="1:87" x14ac:dyDescent="0.2">
      <c r="A636" s="449">
        <v>110</v>
      </c>
      <c r="B636" s="453">
        <v>91243</v>
      </c>
      <c r="C636" s="454" t="s">
        <v>6104</v>
      </c>
      <c r="D636" s="454" t="s">
        <v>1390</v>
      </c>
      <c r="E636" s="454" t="s">
        <v>6105</v>
      </c>
      <c r="F636" s="454" t="s">
        <v>526</v>
      </c>
      <c r="G636" s="454" t="s">
        <v>13361</v>
      </c>
      <c r="H636" s="455">
        <v>58104928000104</v>
      </c>
      <c r="I636" s="462">
        <v>31999</v>
      </c>
      <c r="J636" s="457">
        <v>37476777</v>
      </c>
      <c r="K636" s="454" t="s">
        <v>6106</v>
      </c>
      <c r="L636" s="458">
        <v>13</v>
      </c>
      <c r="M636" s="454" t="s">
        <v>6107</v>
      </c>
      <c r="N636" s="459">
        <v>8161310</v>
      </c>
      <c r="O636" s="460">
        <v>20353633</v>
      </c>
      <c r="P636" s="462">
        <v>125116</v>
      </c>
      <c r="Q636" s="462">
        <v>110</v>
      </c>
      <c r="R636" s="462">
        <v>43928</v>
      </c>
      <c r="S636" s="463">
        <v>202</v>
      </c>
      <c r="T636" s="464">
        <v>3.6</v>
      </c>
      <c r="U636" s="465">
        <v>727.2</v>
      </c>
      <c r="V636" s="465">
        <v>12240</v>
      </c>
      <c r="W636" s="466">
        <v>0</v>
      </c>
      <c r="X636" s="467">
        <v>1</v>
      </c>
      <c r="Y636" s="466">
        <v>24958.799999999999</v>
      </c>
      <c r="Z636" s="468" t="s">
        <v>516</v>
      </c>
      <c r="AA636" s="466">
        <v>108518</v>
      </c>
      <c r="AB636" s="466">
        <v>108518</v>
      </c>
      <c r="AC636" s="467">
        <v>0</v>
      </c>
      <c r="AD636" s="466">
        <v>0</v>
      </c>
      <c r="AE636" s="468" t="s">
        <v>516</v>
      </c>
      <c r="AF636" s="466">
        <v>0</v>
      </c>
      <c r="AG636" s="466">
        <v>0</v>
      </c>
      <c r="AH636" s="466">
        <v>20654.34</v>
      </c>
      <c r="AI636" s="466">
        <v>0.43</v>
      </c>
      <c r="AJ636" s="469" t="s">
        <v>6108</v>
      </c>
      <c r="AK636" s="470" t="s">
        <v>1411</v>
      </c>
      <c r="AL636" s="471" t="s">
        <v>6109</v>
      </c>
      <c r="AM636" s="470" t="s">
        <v>6110</v>
      </c>
      <c r="AN636" s="470" t="s">
        <v>1385</v>
      </c>
      <c r="AO636" s="470" t="s">
        <v>6111</v>
      </c>
      <c r="AP636" s="470" t="s">
        <v>6112</v>
      </c>
      <c r="AQ636" s="470" t="s">
        <v>6104</v>
      </c>
      <c r="AR636" s="472" t="s">
        <v>515</v>
      </c>
      <c r="AS636" s="473" t="s">
        <v>1385</v>
      </c>
      <c r="AT636" s="472" t="s">
        <v>1390</v>
      </c>
      <c r="AU636" s="472" t="s">
        <v>420</v>
      </c>
      <c r="AV636" s="472">
        <v>2020</v>
      </c>
      <c r="AW636" s="474" t="s">
        <v>15078</v>
      </c>
      <c r="AX636" s="475" t="s">
        <v>15079</v>
      </c>
      <c r="AY636" s="515">
        <v>1</v>
      </c>
      <c r="AZ636" s="474" t="s">
        <v>15079</v>
      </c>
      <c r="BA636" s="472" t="s">
        <v>1390</v>
      </c>
      <c r="BB636" s="472" t="s">
        <v>516</v>
      </c>
      <c r="BC636" s="472">
        <v>8</v>
      </c>
      <c r="BD636" s="472">
        <v>3672</v>
      </c>
      <c r="BE636" s="472">
        <v>0</v>
      </c>
      <c r="BF636" s="472">
        <v>24958.799999999999</v>
      </c>
      <c r="BG636" s="472">
        <v>0</v>
      </c>
      <c r="BH636" s="472" t="s">
        <v>1385</v>
      </c>
      <c r="BI636" s="510">
        <v>0</v>
      </c>
      <c r="BJ636" s="510">
        <v>0</v>
      </c>
      <c r="BK636" s="510">
        <v>0</v>
      </c>
      <c r="BL636" s="510">
        <v>0</v>
      </c>
      <c r="BM636" s="510">
        <v>0</v>
      </c>
      <c r="BN636" s="510">
        <v>1000</v>
      </c>
      <c r="BO636" s="510">
        <v>0</v>
      </c>
      <c r="BP636" s="510">
        <v>0</v>
      </c>
      <c r="BQ636" s="510">
        <v>0</v>
      </c>
      <c r="BR636" s="510">
        <v>0</v>
      </c>
      <c r="BS636" s="510">
        <v>0</v>
      </c>
      <c r="BT636" s="510">
        <v>0</v>
      </c>
      <c r="BU636" s="510">
        <v>0</v>
      </c>
      <c r="BV636" s="510">
        <v>0</v>
      </c>
      <c r="BW636" s="510">
        <v>0</v>
      </c>
      <c r="BX636" s="510">
        <v>30000</v>
      </c>
      <c r="BY636" s="1011">
        <v>0</v>
      </c>
      <c r="BZ636" s="510">
        <v>0</v>
      </c>
      <c r="CA636" s="1011">
        <v>0</v>
      </c>
      <c r="CB636" s="510">
        <v>0</v>
      </c>
      <c r="CC636" s="1011">
        <v>0</v>
      </c>
      <c r="CD636" s="510">
        <v>0</v>
      </c>
      <c r="CE636" s="1011">
        <v>0</v>
      </c>
      <c r="CF636" s="510">
        <v>53559.199999999997</v>
      </c>
      <c r="CG636" s="1011">
        <v>0</v>
      </c>
      <c r="CH636" s="510">
        <v>0</v>
      </c>
      <c r="CI636" s="1011">
        <v>0</v>
      </c>
    </row>
    <row r="637" spans="1:87" x14ac:dyDescent="0.2">
      <c r="A637" s="449">
        <v>69</v>
      </c>
      <c r="B637" s="453">
        <v>91251</v>
      </c>
      <c r="C637" s="454" t="s">
        <v>6113</v>
      </c>
      <c r="D637" s="454" t="s">
        <v>1390</v>
      </c>
      <c r="E637" s="454" t="s">
        <v>6114</v>
      </c>
      <c r="F637" s="454" t="s">
        <v>518</v>
      </c>
      <c r="G637" s="454" t="s">
        <v>13362</v>
      </c>
      <c r="H637" s="455">
        <v>57749673000166</v>
      </c>
      <c r="I637" s="462">
        <v>31742</v>
      </c>
      <c r="J637" s="457">
        <v>37470108</v>
      </c>
      <c r="K637" s="454" t="s">
        <v>6116</v>
      </c>
      <c r="L637" s="458">
        <v>493</v>
      </c>
      <c r="M637" s="454" t="s">
        <v>6117</v>
      </c>
      <c r="N637" s="459">
        <v>8235590</v>
      </c>
      <c r="O637" s="460">
        <v>20515733</v>
      </c>
      <c r="P637" s="462">
        <v>46950</v>
      </c>
      <c r="Q637" s="462">
        <v>38</v>
      </c>
      <c r="R637" s="462">
        <v>43934</v>
      </c>
      <c r="S637" s="463">
        <v>340</v>
      </c>
      <c r="T637" s="464">
        <v>3.6</v>
      </c>
      <c r="U637" s="465">
        <v>1224</v>
      </c>
      <c r="V637" s="465">
        <v>13680</v>
      </c>
      <c r="W637" s="466">
        <v>0</v>
      </c>
      <c r="X637" s="467">
        <v>1</v>
      </c>
      <c r="Y637" s="466">
        <v>22356</v>
      </c>
      <c r="Z637" s="468" t="s">
        <v>516</v>
      </c>
      <c r="AA637" s="466">
        <v>97142.399999999994</v>
      </c>
      <c r="AB637" s="466">
        <v>97142.399999999994</v>
      </c>
      <c r="AC637" s="467">
        <v>0</v>
      </c>
      <c r="AD637" s="466">
        <v>0</v>
      </c>
      <c r="AE637" s="468" t="s">
        <v>516</v>
      </c>
      <c r="AF637" s="466">
        <v>0</v>
      </c>
      <c r="AG637" s="466">
        <v>0</v>
      </c>
      <c r="AH637" s="466">
        <v>22045.32</v>
      </c>
      <c r="AI637" s="466">
        <v>8443.6</v>
      </c>
      <c r="AJ637" s="469" t="s">
        <v>1674</v>
      </c>
      <c r="AK637" s="470" t="s">
        <v>518</v>
      </c>
      <c r="AL637" s="471" t="s">
        <v>6118</v>
      </c>
      <c r="AM637" s="470" t="s">
        <v>6119</v>
      </c>
      <c r="AN637" s="470" t="s">
        <v>6115</v>
      </c>
      <c r="AO637" s="470" t="s">
        <v>15013</v>
      </c>
      <c r="AP637" s="470" t="s">
        <v>6120</v>
      </c>
      <c r="AQ637" s="470" t="s">
        <v>6113</v>
      </c>
      <c r="AR637" s="472" t="s">
        <v>515</v>
      </c>
      <c r="AS637" s="473" t="s">
        <v>1385</v>
      </c>
      <c r="AT637" s="472" t="s">
        <v>1390</v>
      </c>
      <c r="AU637" s="472" t="s">
        <v>420</v>
      </c>
      <c r="AV637" s="472">
        <v>2020</v>
      </c>
      <c r="AW637" s="474" t="s">
        <v>15078</v>
      </c>
      <c r="AX637" s="475" t="s">
        <v>15079</v>
      </c>
      <c r="AY637" s="515">
        <v>1</v>
      </c>
      <c r="AZ637" s="474" t="s">
        <v>15079</v>
      </c>
      <c r="BA637" s="472" t="s">
        <v>1390</v>
      </c>
      <c r="BB637" s="472" t="s">
        <v>1385</v>
      </c>
      <c r="BC637" s="472" t="s">
        <v>1385</v>
      </c>
      <c r="BD637" s="472" t="s">
        <v>1385</v>
      </c>
      <c r="BE637" s="472" t="s">
        <v>1385</v>
      </c>
      <c r="BF637" s="472">
        <v>22356</v>
      </c>
      <c r="BG637" s="472">
        <v>0</v>
      </c>
      <c r="BH637" s="472" t="s">
        <v>1385</v>
      </c>
      <c r="BI637" s="510">
        <v>0</v>
      </c>
      <c r="BJ637" s="510">
        <v>7554.4</v>
      </c>
      <c r="BK637" s="510">
        <v>0</v>
      </c>
      <c r="BL637" s="510">
        <v>0</v>
      </c>
      <c r="BM637" s="510">
        <v>0</v>
      </c>
      <c r="BN637" s="510">
        <v>3500</v>
      </c>
      <c r="BO637" s="510">
        <v>0</v>
      </c>
      <c r="BP637" s="510">
        <v>0</v>
      </c>
      <c r="BQ637" s="510">
        <v>0</v>
      </c>
      <c r="BR637" s="510">
        <v>0</v>
      </c>
      <c r="BS637" s="510">
        <v>0</v>
      </c>
      <c r="BT637" s="510">
        <v>0</v>
      </c>
      <c r="BU637" s="510">
        <v>0</v>
      </c>
      <c r="BV637" s="510">
        <v>0</v>
      </c>
      <c r="BW637" s="510">
        <v>0</v>
      </c>
      <c r="BX637" s="510">
        <v>30000</v>
      </c>
      <c r="BY637" s="1011">
        <v>0</v>
      </c>
      <c r="BZ637" s="510">
        <v>0</v>
      </c>
      <c r="CA637" s="1011">
        <v>0</v>
      </c>
      <c r="CB637" s="510">
        <v>0</v>
      </c>
      <c r="CC637" s="1011">
        <v>0</v>
      </c>
      <c r="CD637" s="510">
        <v>0</v>
      </c>
      <c r="CE637" s="1011">
        <v>0</v>
      </c>
      <c r="CF637" s="510">
        <v>44786.400000000001</v>
      </c>
      <c r="CG637" s="1011">
        <v>0</v>
      </c>
      <c r="CH637" s="510">
        <v>0</v>
      </c>
      <c r="CI637" s="1011">
        <v>0</v>
      </c>
    </row>
    <row r="638" spans="1:87" x14ac:dyDescent="0.2">
      <c r="A638" s="449">
        <v>92</v>
      </c>
      <c r="B638" s="453">
        <v>91260</v>
      </c>
      <c r="C638" s="454" t="s">
        <v>6121</v>
      </c>
      <c r="D638" s="454" t="s">
        <v>1390</v>
      </c>
      <c r="E638" s="454" t="s">
        <v>6122</v>
      </c>
      <c r="F638" s="454" t="s">
        <v>527</v>
      </c>
      <c r="G638" s="454" t="s">
        <v>13363</v>
      </c>
      <c r="H638" s="455">
        <v>52027737000100</v>
      </c>
      <c r="I638" s="462">
        <v>30272</v>
      </c>
      <c r="J638" s="457">
        <v>38804409</v>
      </c>
      <c r="K638" s="454" t="s">
        <v>6123</v>
      </c>
      <c r="L638" s="458">
        <v>640</v>
      </c>
      <c r="M638" s="454" t="s">
        <v>2314</v>
      </c>
      <c r="N638" s="459">
        <v>3306000</v>
      </c>
      <c r="O638" s="460">
        <v>22960970</v>
      </c>
      <c r="P638" s="462">
        <v>184929</v>
      </c>
      <c r="Q638" s="462">
        <v>53</v>
      </c>
      <c r="R638" s="462">
        <v>43917</v>
      </c>
      <c r="S638" s="463">
        <v>156</v>
      </c>
      <c r="T638" s="464">
        <v>3.6</v>
      </c>
      <c r="U638" s="465">
        <v>561.6</v>
      </c>
      <c r="V638" s="465">
        <v>10800</v>
      </c>
      <c r="W638" s="466">
        <v>0</v>
      </c>
      <c r="X638" s="467">
        <v>1</v>
      </c>
      <c r="Y638" s="466">
        <v>17042.400000000001</v>
      </c>
      <c r="Z638" s="468" t="s">
        <v>516</v>
      </c>
      <c r="AA638" s="466">
        <v>84837.6</v>
      </c>
      <c r="AB638" s="466">
        <v>84837.6</v>
      </c>
      <c r="AC638" s="467">
        <v>0</v>
      </c>
      <c r="AD638" s="466">
        <v>0</v>
      </c>
      <c r="AE638" s="468" t="s">
        <v>516</v>
      </c>
      <c r="AF638" s="466">
        <v>0</v>
      </c>
      <c r="AG638" s="466">
        <v>0</v>
      </c>
      <c r="AH638" s="466">
        <v>17459.599999999999</v>
      </c>
      <c r="AI638" s="466">
        <v>6082.44</v>
      </c>
      <c r="AJ638" s="469" t="s">
        <v>2315</v>
      </c>
      <c r="AK638" s="470" t="s">
        <v>2316</v>
      </c>
      <c r="AL638" s="471" t="s">
        <v>6124</v>
      </c>
      <c r="AM638" s="470" t="s">
        <v>6125</v>
      </c>
      <c r="AN638" s="470" t="s">
        <v>13363</v>
      </c>
      <c r="AO638" s="470" t="s">
        <v>13364</v>
      </c>
      <c r="AP638" s="470" t="s">
        <v>6126</v>
      </c>
      <c r="AQ638" s="470" t="s">
        <v>6121</v>
      </c>
      <c r="AR638" s="472" t="s">
        <v>515</v>
      </c>
      <c r="AS638" s="473" t="s">
        <v>1385</v>
      </c>
      <c r="AT638" s="472" t="s">
        <v>1390</v>
      </c>
      <c r="AU638" s="472" t="s">
        <v>420</v>
      </c>
      <c r="AV638" s="472">
        <v>2020</v>
      </c>
      <c r="AW638" s="474" t="s">
        <v>15078</v>
      </c>
      <c r="AX638" s="475" t="s">
        <v>15079</v>
      </c>
      <c r="AY638" s="515">
        <v>1</v>
      </c>
      <c r="AZ638" s="474" t="s">
        <v>15079</v>
      </c>
      <c r="BA638" s="472" t="s">
        <v>1390</v>
      </c>
      <c r="BB638" s="472" t="s">
        <v>1385</v>
      </c>
      <c r="BC638" s="472" t="s">
        <v>1385</v>
      </c>
      <c r="BD638" s="472" t="s">
        <v>1385</v>
      </c>
      <c r="BE638" s="472" t="s">
        <v>1385</v>
      </c>
      <c r="BF638" s="472">
        <v>17042.400000000001</v>
      </c>
      <c r="BG638" s="472">
        <v>0</v>
      </c>
      <c r="BH638" s="472" t="s">
        <v>1385</v>
      </c>
      <c r="BI638" s="510">
        <v>0</v>
      </c>
      <c r="BJ638" s="510">
        <v>1214.9100000000001</v>
      </c>
      <c r="BK638" s="510">
        <v>0</v>
      </c>
      <c r="BL638" s="510">
        <v>0</v>
      </c>
      <c r="BM638" s="510">
        <v>0</v>
      </c>
      <c r="BN638" s="510">
        <v>3000</v>
      </c>
      <c r="BO638" s="510">
        <v>0</v>
      </c>
      <c r="BP638" s="510">
        <v>0</v>
      </c>
      <c r="BQ638" s="510">
        <v>0</v>
      </c>
      <c r="BR638" s="510">
        <v>0</v>
      </c>
      <c r="BS638" s="510">
        <v>0</v>
      </c>
      <c r="BT638" s="510">
        <v>0</v>
      </c>
      <c r="BU638" s="510">
        <v>0</v>
      </c>
      <c r="BV638" s="510">
        <v>0</v>
      </c>
      <c r="BW638" s="510">
        <v>0</v>
      </c>
      <c r="BX638" s="510">
        <v>30000</v>
      </c>
      <c r="BY638" s="1011">
        <v>0</v>
      </c>
      <c r="BZ638" s="510">
        <v>0</v>
      </c>
      <c r="CA638" s="1011">
        <v>0</v>
      </c>
      <c r="CB638" s="510">
        <v>0</v>
      </c>
      <c r="CC638" s="1011">
        <v>0</v>
      </c>
      <c r="CD638" s="510">
        <v>0</v>
      </c>
      <c r="CE638" s="1011">
        <v>0</v>
      </c>
      <c r="CF638" s="510">
        <v>37795.199999999997</v>
      </c>
      <c r="CG638" s="1011">
        <v>0</v>
      </c>
      <c r="CH638" s="510">
        <v>0</v>
      </c>
      <c r="CI638" s="1011">
        <v>0</v>
      </c>
    </row>
    <row r="639" spans="1:87" x14ac:dyDescent="0.2">
      <c r="A639" s="449">
        <v>88</v>
      </c>
      <c r="B639" s="453">
        <v>91278</v>
      </c>
      <c r="C639" s="454" t="s">
        <v>6127</v>
      </c>
      <c r="D639" s="454" t="s">
        <v>1390</v>
      </c>
      <c r="E639" s="454" t="s">
        <v>6128</v>
      </c>
      <c r="F639" s="454" t="s">
        <v>527</v>
      </c>
      <c r="G639" s="454" t="s">
        <v>13365</v>
      </c>
      <c r="H639" s="455">
        <v>50949759000193</v>
      </c>
      <c r="I639" s="462">
        <v>30203</v>
      </c>
      <c r="J639" s="457">
        <v>37554620</v>
      </c>
      <c r="K639" s="454" t="s">
        <v>6129</v>
      </c>
      <c r="L639" s="458" t="s">
        <v>1446</v>
      </c>
      <c r="M639" s="454" t="s">
        <v>6130</v>
      </c>
      <c r="N639" s="459">
        <v>3322080</v>
      </c>
      <c r="O639" s="460">
        <v>22957940</v>
      </c>
      <c r="P639" s="462">
        <v>210504</v>
      </c>
      <c r="Q639" s="462">
        <v>49</v>
      </c>
      <c r="R639" s="462">
        <v>43917</v>
      </c>
      <c r="S639" s="463">
        <v>98</v>
      </c>
      <c r="T639" s="464">
        <v>3.6</v>
      </c>
      <c r="U639" s="465">
        <v>352.8</v>
      </c>
      <c r="V639" s="465">
        <v>10800</v>
      </c>
      <c r="W639" s="466">
        <v>0</v>
      </c>
      <c r="X639" s="467">
        <v>1</v>
      </c>
      <c r="Y639" s="466">
        <v>19969.2</v>
      </c>
      <c r="Z639" s="468" t="s">
        <v>516</v>
      </c>
      <c r="AA639" s="466">
        <v>96551.6</v>
      </c>
      <c r="AB639" s="466">
        <v>96551.6</v>
      </c>
      <c r="AC639" s="467">
        <v>0</v>
      </c>
      <c r="AD639" s="466">
        <v>0</v>
      </c>
      <c r="AE639" s="468" t="s">
        <v>516</v>
      </c>
      <c r="AF639" s="466">
        <v>0</v>
      </c>
      <c r="AG639" s="466">
        <v>0</v>
      </c>
      <c r="AH639" s="466">
        <v>15852.13</v>
      </c>
      <c r="AI639" s="466">
        <v>1047.56</v>
      </c>
      <c r="AJ639" s="469" t="s">
        <v>2315</v>
      </c>
      <c r="AK639" s="470" t="s">
        <v>2316</v>
      </c>
      <c r="AL639" s="471" t="s">
        <v>6131</v>
      </c>
      <c r="AM639" s="470" t="s">
        <v>6132</v>
      </c>
      <c r="AN639" s="470" t="s">
        <v>13365</v>
      </c>
      <c r="AO639" s="470" t="s">
        <v>13366</v>
      </c>
      <c r="AP639" s="470" t="s">
        <v>6133</v>
      </c>
      <c r="AQ639" s="470" t="s">
        <v>6127</v>
      </c>
      <c r="AR639" s="472" t="s">
        <v>515</v>
      </c>
      <c r="AS639" s="473" t="s">
        <v>1385</v>
      </c>
      <c r="AT639" s="472" t="s">
        <v>1390</v>
      </c>
      <c r="AU639" s="472" t="s">
        <v>420</v>
      </c>
      <c r="AV639" s="472">
        <v>2020</v>
      </c>
      <c r="AW639" s="474" t="s">
        <v>15078</v>
      </c>
      <c r="AX639" s="475" t="s">
        <v>15079</v>
      </c>
      <c r="AY639" s="515">
        <v>1</v>
      </c>
      <c r="AZ639" s="474" t="s">
        <v>15079</v>
      </c>
      <c r="BA639" s="472" t="s">
        <v>1390</v>
      </c>
      <c r="BB639" s="472" t="s">
        <v>516</v>
      </c>
      <c r="BC639" s="472">
        <v>3</v>
      </c>
      <c r="BD639" s="472">
        <v>2160</v>
      </c>
      <c r="BE639" s="472">
        <v>0</v>
      </c>
      <c r="BF639" s="472">
        <v>19969.2</v>
      </c>
      <c r="BG639" s="472">
        <v>0</v>
      </c>
      <c r="BH639" s="472" t="s">
        <v>1385</v>
      </c>
      <c r="BI639" s="510">
        <v>0</v>
      </c>
      <c r="BJ639" s="510">
        <v>845.7</v>
      </c>
      <c r="BK639" s="510">
        <v>0</v>
      </c>
      <c r="BL639" s="510">
        <v>0</v>
      </c>
      <c r="BM639" s="510">
        <v>0</v>
      </c>
      <c r="BN639" s="510">
        <v>500</v>
      </c>
      <c r="BO639" s="510">
        <v>0</v>
      </c>
      <c r="BP639" s="510">
        <v>0</v>
      </c>
      <c r="BQ639" s="510">
        <v>0</v>
      </c>
      <c r="BR639" s="510">
        <v>0</v>
      </c>
      <c r="BS639" s="510">
        <v>0</v>
      </c>
      <c r="BT639" s="510">
        <v>0</v>
      </c>
      <c r="BU639" s="510">
        <v>0</v>
      </c>
      <c r="BV639" s="510">
        <v>0</v>
      </c>
      <c r="BW639" s="510">
        <v>0</v>
      </c>
      <c r="BX639" s="510">
        <v>30000</v>
      </c>
      <c r="BY639" s="1011">
        <v>0</v>
      </c>
      <c r="BZ639" s="510">
        <v>0</v>
      </c>
      <c r="CA639" s="1011">
        <v>0</v>
      </c>
      <c r="CB639" s="510">
        <v>0</v>
      </c>
      <c r="CC639" s="1011">
        <v>0</v>
      </c>
      <c r="CD639" s="510">
        <v>0</v>
      </c>
      <c r="CE639" s="1011">
        <v>0</v>
      </c>
      <c r="CF639" s="510">
        <v>46582.400000000001</v>
      </c>
      <c r="CG639" s="1011">
        <v>0</v>
      </c>
      <c r="CH639" s="510">
        <v>0</v>
      </c>
      <c r="CI639" s="1011">
        <v>0</v>
      </c>
    </row>
    <row r="640" spans="1:87" x14ac:dyDescent="0.2">
      <c r="A640" s="449">
        <v>80</v>
      </c>
      <c r="B640" s="453">
        <v>91286</v>
      </c>
      <c r="C640" s="454" t="s">
        <v>6134</v>
      </c>
      <c r="D640" s="454" t="s">
        <v>1390</v>
      </c>
      <c r="E640" s="454" t="s">
        <v>6135</v>
      </c>
      <c r="F640" s="454" t="s">
        <v>518</v>
      </c>
      <c r="G640" s="454" t="s">
        <v>13367</v>
      </c>
      <c r="H640" s="455">
        <v>50958487000198</v>
      </c>
      <c r="I640" s="462">
        <v>30194</v>
      </c>
      <c r="J640" s="457">
        <v>37469223</v>
      </c>
      <c r="K640" s="454" t="s">
        <v>6137</v>
      </c>
      <c r="L640" s="458" t="s">
        <v>1446</v>
      </c>
      <c r="M640" s="454" t="s">
        <v>6138</v>
      </c>
      <c r="N640" s="459">
        <v>3410060</v>
      </c>
      <c r="O640" s="460">
        <v>22953938</v>
      </c>
      <c r="P640" s="462">
        <v>47107</v>
      </c>
      <c r="Q640" s="462">
        <v>49</v>
      </c>
      <c r="R640" s="462">
        <v>43943</v>
      </c>
      <c r="S640" s="463">
        <v>183</v>
      </c>
      <c r="T640" s="464">
        <v>3.6</v>
      </c>
      <c r="U640" s="465">
        <v>658.8</v>
      </c>
      <c r="V640" s="465">
        <v>10800</v>
      </c>
      <c r="W640" s="466">
        <v>0</v>
      </c>
      <c r="X640" s="467">
        <v>1</v>
      </c>
      <c r="Y640" s="466">
        <v>17188.2</v>
      </c>
      <c r="Z640" s="468" t="s">
        <v>516</v>
      </c>
      <c r="AA640" s="466">
        <v>85192.2</v>
      </c>
      <c r="AB640" s="466">
        <v>85192.2</v>
      </c>
      <c r="AC640" s="467">
        <v>0</v>
      </c>
      <c r="AD640" s="466">
        <v>0</v>
      </c>
      <c r="AE640" s="468" t="s">
        <v>516</v>
      </c>
      <c r="AF640" s="466">
        <v>0</v>
      </c>
      <c r="AG640" s="466">
        <v>0</v>
      </c>
      <c r="AH640" s="466">
        <v>11848.3</v>
      </c>
      <c r="AI640" s="466">
        <v>9006.67</v>
      </c>
      <c r="AJ640" s="469" t="s">
        <v>6139</v>
      </c>
      <c r="AK640" s="470" t="s">
        <v>6140</v>
      </c>
      <c r="AL640" s="471" t="s">
        <v>6141</v>
      </c>
      <c r="AM640" s="470" t="s">
        <v>6142</v>
      </c>
      <c r="AN640" s="470" t="s">
        <v>6136</v>
      </c>
      <c r="AO640" s="470" t="s">
        <v>15014</v>
      </c>
      <c r="AP640" s="470" t="s">
        <v>6143</v>
      </c>
      <c r="AQ640" s="470" t="s">
        <v>6134</v>
      </c>
      <c r="AR640" s="472" t="s">
        <v>515</v>
      </c>
      <c r="AS640" s="473" t="s">
        <v>1385</v>
      </c>
      <c r="AT640" s="472" t="s">
        <v>1390</v>
      </c>
      <c r="AU640" s="472" t="s">
        <v>420</v>
      </c>
      <c r="AV640" s="472">
        <v>2020</v>
      </c>
      <c r="AW640" s="474" t="s">
        <v>15078</v>
      </c>
      <c r="AX640" s="475" t="s">
        <v>15079</v>
      </c>
      <c r="AY640" s="515">
        <v>1</v>
      </c>
      <c r="AZ640" s="474" t="s">
        <v>15079</v>
      </c>
      <c r="BA640" s="472" t="s">
        <v>1390</v>
      </c>
      <c r="BB640" s="472" t="s">
        <v>1385</v>
      </c>
      <c r="BC640" s="472" t="s">
        <v>1385</v>
      </c>
      <c r="BD640" s="472" t="s">
        <v>1385</v>
      </c>
      <c r="BE640" s="472" t="s">
        <v>1385</v>
      </c>
      <c r="BF640" s="472">
        <v>17188.2</v>
      </c>
      <c r="BG640" s="472">
        <v>0</v>
      </c>
      <c r="BH640" s="472" t="s">
        <v>1385</v>
      </c>
      <c r="BI640" s="510">
        <v>0</v>
      </c>
      <c r="BJ640" s="510">
        <v>0</v>
      </c>
      <c r="BK640" s="510">
        <v>0</v>
      </c>
      <c r="BL640" s="510">
        <v>0</v>
      </c>
      <c r="BM640" s="510">
        <v>0</v>
      </c>
      <c r="BN640" s="510">
        <v>3000</v>
      </c>
      <c r="BO640" s="510">
        <v>0</v>
      </c>
      <c r="BP640" s="510">
        <v>0</v>
      </c>
      <c r="BQ640" s="510">
        <v>0</v>
      </c>
      <c r="BR640" s="510">
        <v>0</v>
      </c>
      <c r="BS640" s="510">
        <v>0</v>
      </c>
      <c r="BT640" s="510">
        <v>0</v>
      </c>
      <c r="BU640" s="510">
        <v>0</v>
      </c>
      <c r="BV640" s="510">
        <v>0</v>
      </c>
      <c r="BW640" s="510">
        <v>0</v>
      </c>
      <c r="BX640" s="510">
        <v>30000</v>
      </c>
      <c r="BY640" s="1011">
        <v>0</v>
      </c>
      <c r="BZ640" s="510">
        <v>0</v>
      </c>
      <c r="CA640" s="1011">
        <v>0</v>
      </c>
      <c r="CB640" s="510">
        <v>0</v>
      </c>
      <c r="CC640" s="1011">
        <v>0</v>
      </c>
      <c r="CD640" s="510">
        <v>0</v>
      </c>
      <c r="CE640" s="1011">
        <v>0</v>
      </c>
      <c r="CF640" s="510">
        <v>38004</v>
      </c>
      <c r="CG640" s="1011">
        <v>0</v>
      </c>
      <c r="CH640" s="510">
        <v>0</v>
      </c>
      <c r="CI640" s="1011">
        <v>0</v>
      </c>
    </row>
    <row r="641" spans="1:87" x14ac:dyDescent="0.2">
      <c r="A641" s="449">
        <v>112</v>
      </c>
      <c r="B641" s="453">
        <v>91294</v>
      </c>
      <c r="C641" s="454" t="s">
        <v>6144</v>
      </c>
      <c r="D641" s="454" t="s">
        <v>1390</v>
      </c>
      <c r="E641" s="454" t="s">
        <v>6145</v>
      </c>
      <c r="F641" s="454" t="s">
        <v>527</v>
      </c>
      <c r="G641" s="454" t="s">
        <v>13368</v>
      </c>
      <c r="H641" s="455">
        <v>52023611000159</v>
      </c>
      <c r="I641" s="462">
        <v>30251</v>
      </c>
      <c r="J641" s="457">
        <v>37586920</v>
      </c>
      <c r="K641" s="454" t="s">
        <v>13369</v>
      </c>
      <c r="L641" s="458">
        <v>468</v>
      </c>
      <c r="M641" s="454" t="s">
        <v>2314</v>
      </c>
      <c r="N641" s="459">
        <v>3312000</v>
      </c>
      <c r="O641" s="460">
        <v>22953555</v>
      </c>
      <c r="P641" s="462">
        <v>218190</v>
      </c>
      <c r="Q641" s="462">
        <v>75</v>
      </c>
      <c r="R641" s="462">
        <v>43917</v>
      </c>
      <c r="S641" s="463">
        <v>224</v>
      </c>
      <c r="T641" s="464">
        <v>3.6</v>
      </c>
      <c r="U641" s="465">
        <v>806.4</v>
      </c>
      <c r="V641" s="465">
        <v>12240</v>
      </c>
      <c r="W641" s="466">
        <v>0</v>
      </c>
      <c r="X641" s="467">
        <v>1</v>
      </c>
      <c r="Y641" s="466">
        <v>19569.599999999999</v>
      </c>
      <c r="Z641" s="468" t="s">
        <v>516</v>
      </c>
      <c r="AA641" s="466">
        <v>90669.6</v>
      </c>
      <c r="AB641" s="466">
        <v>90669.6</v>
      </c>
      <c r="AC641" s="467">
        <v>0</v>
      </c>
      <c r="AD641" s="466">
        <v>0</v>
      </c>
      <c r="AE641" s="468" t="s">
        <v>516</v>
      </c>
      <c r="AF641" s="466">
        <v>0</v>
      </c>
      <c r="AG641" s="466">
        <v>0</v>
      </c>
      <c r="AH641" s="466">
        <v>4290.6499999999996</v>
      </c>
      <c r="AI641" s="466">
        <v>5779.09</v>
      </c>
      <c r="AJ641" s="469" t="s">
        <v>5982</v>
      </c>
      <c r="AK641" s="470" t="s">
        <v>6146</v>
      </c>
      <c r="AL641" s="471" t="s">
        <v>6147</v>
      </c>
      <c r="AM641" s="470" t="s">
        <v>13370</v>
      </c>
      <c r="AN641" s="470" t="s">
        <v>13368</v>
      </c>
      <c r="AO641" s="470" t="s">
        <v>13371</v>
      </c>
      <c r="AP641" s="470" t="s">
        <v>6148</v>
      </c>
      <c r="AQ641" s="470" t="s">
        <v>6144</v>
      </c>
      <c r="AR641" s="472" t="s">
        <v>515</v>
      </c>
      <c r="AS641" s="473" t="s">
        <v>1385</v>
      </c>
      <c r="AT641" s="472" t="s">
        <v>1390</v>
      </c>
      <c r="AU641" s="472" t="s">
        <v>420</v>
      </c>
      <c r="AV641" s="472">
        <v>2020</v>
      </c>
      <c r="AW641" s="474" t="s">
        <v>15078</v>
      </c>
      <c r="AX641" s="475" t="s">
        <v>15079</v>
      </c>
      <c r="AY641" s="515">
        <v>1</v>
      </c>
      <c r="AZ641" s="474" t="s">
        <v>15079</v>
      </c>
      <c r="BA641" s="472" t="s">
        <v>1390</v>
      </c>
      <c r="BB641" s="472" t="s">
        <v>1385</v>
      </c>
      <c r="BC641" s="472" t="s">
        <v>1385</v>
      </c>
      <c r="BD641" s="472" t="s">
        <v>1385</v>
      </c>
      <c r="BE641" s="472" t="s">
        <v>1385</v>
      </c>
      <c r="BF641" s="472">
        <v>19569.599999999999</v>
      </c>
      <c r="BG641" s="472">
        <v>0</v>
      </c>
      <c r="BH641" s="472" t="s">
        <v>1385</v>
      </c>
      <c r="BI641" s="510">
        <v>0</v>
      </c>
      <c r="BJ641" s="510">
        <v>0</v>
      </c>
      <c r="BK641" s="510">
        <v>0</v>
      </c>
      <c r="BL641" s="510">
        <v>0</v>
      </c>
      <c r="BM641" s="510">
        <v>0</v>
      </c>
      <c r="BN641" s="510">
        <v>3000</v>
      </c>
      <c r="BO641" s="510">
        <v>0</v>
      </c>
      <c r="BP641" s="510">
        <v>0</v>
      </c>
      <c r="BQ641" s="510">
        <v>0</v>
      </c>
      <c r="BR641" s="510">
        <v>0</v>
      </c>
      <c r="BS641" s="510">
        <v>0</v>
      </c>
      <c r="BT641" s="510">
        <v>0</v>
      </c>
      <c r="BU641" s="510">
        <v>0</v>
      </c>
      <c r="BV641" s="510">
        <v>0</v>
      </c>
      <c r="BW641" s="510">
        <v>0</v>
      </c>
      <c r="BX641" s="510">
        <v>30000</v>
      </c>
      <c r="BY641" s="1011">
        <v>0</v>
      </c>
      <c r="BZ641" s="510">
        <v>0</v>
      </c>
      <c r="CA641" s="1011">
        <v>0</v>
      </c>
      <c r="CB641" s="510">
        <v>0</v>
      </c>
      <c r="CC641" s="1011">
        <v>0</v>
      </c>
      <c r="CD641" s="510">
        <v>0</v>
      </c>
      <c r="CE641" s="1011">
        <v>0</v>
      </c>
      <c r="CF641" s="510">
        <v>41100</v>
      </c>
      <c r="CG641" s="1011">
        <v>0</v>
      </c>
      <c r="CH641" s="510">
        <v>0</v>
      </c>
      <c r="CI641" s="1011">
        <v>0</v>
      </c>
    </row>
    <row r="642" spans="1:87" x14ac:dyDescent="0.2">
      <c r="A642" s="449">
        <v>113</v>
      </c>
      <c r="B642" s="453">
        <v>91308</v>
      </c>
      <c r="C642" s="454" t="s">
        <v>6149</v>
      </c>
      <c r="D642" s="454" t="s">
        <v>1390</v>
      </c>
      <c r="E642" s="454" t="s">
        <v>6150</v>
      </c>
      <c r="F642" s="454" t="s">
        <v>527</v>
      </c>
      <c r="G642" s="454" t="s">
        <v>13372</v>
      </c>
      <c r="H642" s="455">
        <v>50956572000117</v>
      </c>
      <c r="I642" s="462">
        <v>30204</v>
      </c>
      <c r="J642" s="457">
        <v>37554557</v>
      </c>
      <c r="K642" s="454" t="s">
        <v>6151</v>
      </c>
      <c r="L642" s="458">
        <v>30</v>
      </c>
      <c r="M642" s="454" t="s">
        <v>6152</v>
      </c>
      <c r="N642" s="459">
        <v>3541040</v>
      </c>
      <c r="O642" s="460">
        <v>29588611</v>
      </c>
      <c r="P642" s="462">
        <v>185763</v>
      </c>
      <c r="Q642" s="462">
        <v>76</v>
      </c>
      <c r="R642" s="462">
        <v>43917</v>
      </c>
      <c r="S642" s="463">
        <v>228</v>
      </c>
      <c r="T642" s="464">
        <v>3.6</v>
      </c>
      <c r="U642" s="465">
        <v>820.8</v>
      </c>
      <c r="V642" s="465">
        <v>12240</v>
      </c>
      <c r="W642" s="466">
        <v>0</v>
      </c>
      <c r="X642" s="467">
        <v>1</v>
      </c>
      <c r="Y642" s="466">
        <v>19591.2</v>
      </c>
      <c r="Z642" s="468" t="s">
        <v>516</v>
      </c>
      <c r="AA642" s="466">
        <v>90756</v>
      </c>
      <c r="AB642" s="466">
        <v>90756</v>
      </c>
      <c r="AC642" s="467">
        <v>0</v>
      </c>
      <c r="AD642" s="466">
        <v>0</v>
      </c>
      <c r="AE642" s="468" t="s">
        <v>516</v>
      </c>
      <c r="AF642" s="466">
        <v>0</v>
      </c>
      <c r="AG642" s="466">
        <v>0</v>
      </c>
      <c r="AH642" s="466">
        <v>5751.28</v>
      </c>
      <c r="AI642" s="466">
        <v>0</v>
      </c>
      <c r="AJ642" s="469" t="s">
        <v>5717</v>
      </c>
      <c r="AK642" s="470" t="s">
        <v>5718</v>
      </c>
      <c r="AL642" s="471" t="s">
        <v>6153</v>
      </c>
      <c r="AM642" s="470" t="s">
        <v>6154</v>
      </c>
      <c r="AN642" s="470" t="s">
        <v>13372</v>
      </c>
      <c r="AO642" s="470" t="s">
        <v>13373</v>
      </c>
      <c r="AP642" s="470" t="s">
        <v>6155</v>
      </c>
      <c r="AQ642" s="470" t="s">
        <v>6149</v>
      </c>
      <c r="AR642" s="472" t="s">
        <v>515</v>
      </c>
      <c r="AS642" s="473" t="s">
        <v>1385</v>
      </c>
      <c r="AT642" s="472" t="s">
        <v>1390</v>
      </c>
      <c r="AU642" s="472" t="s">
        <v>420</v>
      </c>
      <c r="AV642" s="472">
        <v>2020</v>
      </c>
      <c r="AW642" s="474" t="s">
        <v>15078</v>
      </c>
      <c r="AX642" s="475" t="s">
        <v>15079</v>
      </c>
      <c r="AY642" s="515">
        <v>1</v>
      </c>
      <c r="AZ642" s="474" t="s">
        <v>15079</v>
      </c>
      <c r="BA642" s="472" t="s">
        <v>1390</v>
      </c>
      <c r="BB642" s="472" t="s">
        <v>1385</v>
      </c>
      <c r="BC642" s="472" t="s">
        <v>1385</v>
      </c>
      <c r="BD642" s="472" t="s">
        <v>1385</v>
      </c>
      <c r="BE642" s="472" t="s">
        <v>1385</v>
      </c>
      <c r="BF642" s="472">
        <v>19591.2</v>
      </c>
      <c r="BG642" s="472">
        <v>0</v>
      </c>
      <c r="BH642" s="472" t="s">
        <v>1385</v>
      </c>
      <c r="BI642" s="510">
        <v>0</v>
      </c>
      <c r="BJ642" s="510">
        <v>263.60000000000002</v>
      </c>
      <c r="BK642" s="510">
        <v>0</v>
      </c>
      <c r="BL642" s="510">
        <v>0</v>
      </c>
      <c r="BM642" s="510">
        <v>0</v>
      </c>
      <c r="BN642" s="510">
        <v>0</v>
      </c>
      <c r="BO642" s="510">
        <v>0</v>
      </c>
      <c r="BP642" s="510">
        <v>0</v>
      </c>
      <c r="BQ642" s="510">
        <v>0</v>
      </c>
      <c r="BR642" s="510">
        <v>0</v>
      </c>
      <c r="BS642" s="510">
        <v>0</v>
      </c>
      <c r="BT642" s="510">
        <v>0</v>
      </c>
      <c r="BU642" s="510">
        <v>0</v>
      </c>
      <c r="BV642" s="510">
        <v>0</v>
      </c>
      <c r="BW642" s="510">
        <v>0</v>
      </c>
      <c r="BX642" s="510">
        <v>30000</v>
      </c>
      <c r="BY642" s="1011">
        <v>0</v>
      </c>
      <c r="BZ642" s="510">
        <v>0</v>
      </c>
      <c r="CA642" s="1011">
        <v>0</v>
      </c>
      <c r="CB642" s="510">
        <v>0</v>
      </c>
      <c r="CC642" s="1011">
        <v>0</v>
      </c>
      <c r="CD642" s="510">
        <v>0</v>
      </c>
      <c r="CE642" s="1011">
        <v>0</v>
      </c>
      <c r="CF642" s="510">
        <v>41164.800000000003</v>
      </c>
      <c r="CG642" s="1011">
        <v>0</v>
      </c>
      <c r="CH642" s="510">
        <v>0</v>
      </c>
      <c r="CI642" s="1011">
        <v>0</v>
      </c>
    </row>
    <row r="643" spans="1:87" x14ac:dyDescent="0.2">
      <c r="A643" s="449">
        <v>100</v>
      </c>
      <c r="B643" s="453">
        <v>91316</v>
      </c>
      <c r="C643" s="454" t="s">
        <v>6156</v>
      </c>
      <c r="D643" s="454" t="s">
        <v>1390</v>
      </c>
      <c r="E643" s="454" t="s">
        <v>6157</v>
      </c>
      <c r="F643" s="454" t="s">
        <v>527</v>
      </c>
      <c r="G643" s="454" t="s">
        <v>13374</v>
      </c>
      <c r="H643" s="455">
        <v>50956531000120</v>
      </c>
      <c r="I643" s="462">
        <v>30204</v>
      </c>
      <c r="J643" s="457">
        <v>37588494</v>
      </c>
      <c r="K643" s="454" t="s">
        <v>6158</v>
      </c>
      <c r="L643" s="458">
        <v>244</v>
      </c>
      <c r="M643" s="454" t="s">
        <v>6159</v>
      </c>
      <c r="N643" s="459">
        <v>3557040</v>
      </c>
      <c r="O643" s="460">
        <v>27491667</v>
      </c>
      <c r="P643" s="462">
        <v>213406</v>
      </c>
      <c r="Q643" s="462">
        <v>61</v>
      </c>
      <c r="R643" s="462">
        <v>43917</v>
      </c>
      <c r="S643" s="463">
        <v>277</v>
      </c>
      <c r="T643" s="464">
        <v>3.6</v>
      </c>
      <c r="U643" s="465">
        <v>997.2</v>
      </c>
      <c r="V643" s="465">
        <v>12240</v>
      </c>
      <c r="W643" s="466">
        <v>0</v>
      </c>
      <c r="X643" s="467">
        <v>1</v>
      </c>
      <c r="Y643" s="466">
        <v>19855.8</v>
      </c>
      <c r="Z643" s="468" t="s">
        <v>516</v>
      </c>
      <c r="AA643" s="466">
        <v>91258.2</v>
      </c>
      <c r="AB643" s="466">
        <v>91258.2</v>
      </c>
      <c r="AC643" s="467">
        <v>0</v>
      </c>
      <c r="AD643" s="466">
        <v>0</v>
      </c>
      <c r="AE643" s="468" t="s">
        <v>516</v>
      </c>
      <c r="AF643" s="466">
        <v>0</v>
      </c>
      <c r="AG643" s="466">
        <v>0</v>
      </c>
      <c r="AH643" s="466">
        <v>42212.65</v>
      </c>
      <c r="AI643" s="466">
        <v>2205</v>
      </c>
      <c r="AJ643" s="469" t="s">
        <v>2196</v>
      </c>
      <c r="AK643" s="470" t="s">
        <v>2197</v>
      </c>
      <c r="AL643" s="471" t="s">
        <v>6160</v>
      </c>
      <c r="AM643" s="470" t="s">
        <v>6161</v>
      </c>
      <c r="AN643" s="470" t="s">
        <v>13374</v>
      </c>
      <c r="AO643" s="470" t="s">
        <v>13375</v>
      </c>
      <c r="AP643" s="470" t="s">
        <v>6162</v>
      </c>
      <c r="AQ643" s="470" t="s">
        <v>6156</v>
      </c>
      <c r="AR643" s="472" t="s">
        <v>515</v>
      </c>
      <c r="AS643" s="473" t="s">
        <v>1385</v>
      </c>
      <c r="AT643" s="472" t="s">
        <v>1390</v>
      </c>
      <c r="AU643" s="472" t="s">
        <v>420</v>
      </c>
      <c r="AV643" s="472">
        <v>2020</v>
      </c>
      <c r="AW643" s="474" t="s">
        <v>15078</v>
      </c>
      <c r="AX643" s="475" t="s">
        <v>15079</v>
      </c>
      <c r="AY643" s="515">
        <v>1</v>
      </c>
      <c r="AZ643" s="474" t="s">
        <v>15079</v>
      </c>
      <c r="BA643" s="472" t="s">
        <v>1390</v>
      </c>
      <c r="BB643" s="472" t="s">
        <v>1385</v>
      </c>
      <c r="BC643" s="472" t="s">
        <v>1385</v>
      </c>
      <c r="BD643" s="472" t="s">
        <v>1385</v>
      </c>
      <c r="BE643" s="472" t="s">
        <v>1385</v>
      </c>
      <c r="BF643" s="472">
        <v>19855.8</v>
      </c>
      <c r="BG643" s="472">
        <v>0</v>
      </c>
      <c r="BH643" s="472" t="s">
        <v>1385</v>
      </c>
      <c r="BI643" s="510">
        <v>0</v>
      </c>
      <c r="BJ643" s="510">
        <v>5</v>
      </c>
      <c r="BK643" s="510">
        <v>0</v>
      </c>
      <c r="BL643" s="510">
        <v>0</v>
      </c>
      <c r="BM643" s="510">
        <v>0</v>
      </c>
      <c r="BN643" s="510">
        <v>3500</v>
      </c>
      <c r="BO643" s="510">
        <v>0</v>
      </c>
      <c r="BP643" s="510">
        <v>0</v>
      </c>
      <c r="BQ643" s="510">
        <v>0</v>
      </c>
      <c r="BR643" s="510">
        <v>0</v>
      </c>
      <c r="BS643" s="510">
        <v>0</v>
      </c>
      <c r="BT643" s="510">
        <v>0</v>
      </c>
      <c r="BU643" s="510">
        <v>0</v>
      </c>
      <c r="BV643" s="510">
        <v>0</v>
      </c>
      <c r="BW643" s="510">
        <v>0</v>
      </c>
      <c r="BX643" s="510">
        <v>30000</v>
      </c>
      <c r="BY643" s="1011">
        <v>0</v>
      </c>
      <c r="BZ643" s="510">
        <v>0</v>
      </c>
      <c r="CA643" s="1011">
        <v>0</v>
      </c>
      <c r="CB643" s="510">
        <v>0</v>
      </c>
      <c r="CC643" s="1011">
        <v>0</v>
      </c>
      <c r="CD643" s="510">
        <v>0</v>
      </c>
      <c r="CE643" s="1011">
        <v>0</v>
      </c>
      <c r="CF643" s="510">
        <v>41402.400000000001</v>
      </c>
      <c r="CG643" s="1011">
        <v>0</v>
      </c>
      <c r="CH643" s="510">
        <v>0</v>
      </c>
      <c r="CI643" s="1011">
        <v>0</v>
      </c>
    </row>
    <row r="644" spans="1:87" x14ac:dyDescent="0.2">
      <c r="A644" s="449">
        <v>86</v>
      </c>
      <c r="B644" s="453">
        <v>91324</v>
      </c>
      <c r="C644" s="454" t="s">
        <v>6163</v>
      </c>
      <c r="D644" s="454" t="s">
        <v>1390</v>
      </c>
      <c r="E644" s="454" t="s">
        <v>6164</v>
      </c>
      <c r="F644" s="454" t="s">
        <v>527</v>
      </c>
      <c r="G644" s="454" t="s">
        <v>13376</v>
      </c>
      <c r="H644" s="455">
        <v>50994557000163</v>
      </c>
      <c r="I644" s="462">
        <v>30224</v>
      </c>
      <c r="J644" s="457">
        <v>37555006</v>
      </c>
      <c r="K644" s="454" t="s">
        <v>6165</v>
      </c>
      <c r="L644" s="458">
        <v>40</v>
      </c>
      <c r="M644" s="454" t="s">
        <v>2195</v>
      </c>
      <c r="N644" s="459">
        <v>3690010</v>
      </c>
      <c r="O644" s="460">
        <v>20483062</v>
      </c>
      <c r="P644" s="462">
        <v>181350</v>
      </c>
      <c r="Q644" s="462">
        <v>47</v>
      </c>
      <c r="R644" s="462">
        <v>43917</v>
      </c>
      <c r="S644" s="463">
        <v>380</v>
      </c>
      <c r="T644" s="464">
        <v>3.6</v>
      </c>
      <c r="U644" s="465">
        <v>1368</v>
      </c>
      <c r="V644" s="465">
        <v>13680</v>
      </c>
      <c r="W644" s="466">
        <v>0</v>
      </c>
      <c r="X644" s="467">
        <v>1</v>
      </c>
      <c r="Y644" s="466">
        <v>22572</v>
      </c>
      <c r="Z644" s="468" t="s">
        <v>516</v>
      </c>
      <c r="AA644" s="466">
        <v>97617.600000000006</v>
      </c>
      <c r="AB644" s="466">
        <v>97617.600000000006</v>
      </c>
      <c r="AC644" s="467">
        <v>0</v>
      </c>
      <c r="AD644" s="466">
        <v>0</v>
      </c>
      <c r="AE644" s="468" t="s">
        <v>516</v>
      </c>
      <c r="AF644" s="466">
        <v>0</v>
      </c>
      <c r="AG644" s="466">
        <v>0</v>
      </c>
      <c r="AH644" s="466">
        <v>26953.46</v>
      </c>
      <c r="AI644" s="466">
        <v>415.99</v>
      </c>
      <c r="AJ644" s="469" t="s">
        <v>2644</v>
      </c>
      <c r="AK644" s="470" t="s">
        <v>2645</v>
      </c>
      <c r="AL644" s="471" t="s">
        <v>6166</v>
      </c>
      <c r="AM644" s="470" t="s">
        <v>6167</v>
      </c>
      <c r="AN644" s="470" t="s">
        <v>13376</v>
      </c>
      <c r="AO644" s="470" t="s">
        <v>13377</v>
      </c>
      <c r="AP644" s="470" t="s">
        <v>6168</v>
      </c>
      <c r="AQ644" s="470" t="s">
        <v>6163</v>
      </c>
      <c r="AR644" s="472" t="s">
        <v>515</v>
      </c>
      <c r="AS644" s="473" t="s">
        <v>1385</v>
      </c>
      <c r="AT644" s="472" t="s">
        <v>1390</v>
      </c>
      <c r="AU644" s="472" t="s">
        <v>420</v>
      </c>
      <c r="AV644" s="472">
        <v>2020</v>
      </c>
      <c r="AW644" s="474" t="s">
        <v>15078</v>
      </c>
      <c r="AX644" s="475" t="s">
        <v>15079</v>
      </c>
      <c r="AY644" s="515">
        <v>1</v>
      </c>
      <c r="AZ644" s="474" t="s">
        <v>15079</v>
      </c>
      <c r="BA644" s="472" t="s">
        <v>1390</v>
      </c>
      <c r="BB644" s="472" t="s">
        <v>1385</v>
      </c>
      <c r="BC644" s="472" t="s">
        <v>1385</v>
      </c>
      <c r="BD644" s="472" t="s">
        <v>1385</v>
      </c>
      <c r="BE644" s="472" t="s">
        <v>1385</v>
      </c>
      <c r="BF644" s="472">
        <v>22572</v>
      </c>
      <c r="BG644" s="472">
        <v>0</v>
      </c>
      <c r="BH644" s="472" t="s">
        <v>1385</v>
      </c>
      <c r="BI644" s="510">
        <v>0</v>
      </c>
      <c r="BJ644" s="510">
        <v>6452.6</v>
      </c>
      <c r="BK644" s="510">
        <v>0</v>
      </c>
      <c r="BL644" s="510">
        <v>0</v>
      </c>
      <c r="BM644" s="510">
        <v>0</v>
      </c>
      <c r="BN644" s="510">
        <v>3500</v>
      </c>
      <c r="BO644" s="510">
        <v>0</v>
      </c>
      <c r="BP644" s="510">
        <v>0</v>
      </c>
      <c r="BQ644" s="510">
        <v>0</v>
      </c>
      <c r="BR644" s="510">
        <v>0</v>
      </c>
      <c r="BS644" s="510">
        <v>0</v>
      </c>
      <c r="BT644" s="510">
        <v>0</v>
      </c>
      <c r="BU644" s="510">
        <v>0</v>
      </c>
      <c r="BV644" s="510">
        <v>0</v>
      </c>
      <c r="BW644" s="510">
        <v>0</v>
      </c>
      <c r="BX644" s="510">
        <v>30000</v>
      </c>
      <c r="BY644" s="1011">
        <v>0</v>
      </c>
      <c r="BZ644" s="510">
        <v>0</v>
      </c>
      <c r="CA644" s="1011">
        <v>0</v>
      </c>
      <c r="CB644" s="510">
        <v>0</v>
      </c>
      <c r="CC644" s="1011">
        <v>0</v>
      </c>
      <c r="CD644" s="510">
        <v>0</v>
      </c>
      <c r="CE644" s="1011">
        <v>0</v>
      </c>
      <c r="CF644" s="510">
        <v>45045.599999999999</v>
      </c>
      <c r="CG644" s="1011">
        <v>0</v>
      </c>
      <c r="CH644" s="510">
        <v>0</v>
      </c>
      <c r="CI644" s="1011">
        <v>0</v>
      </c>
    </row>
    <row r="645" spans="1:87" x14ac:dyDescent="0.2">
      <c r="A645" s="449">
        <v>119</v>
      </c>
      <c r="B645" s="453">
        <v>91332</v>
      </c>
      <c r="C645" s="454" t="s">
        <v>6169</v>
      </c>
      <c r="D645" s="454" t="s">
        <v>1390</v>
      </c>
      <c r="E645" s="454" t="s">
        <v>6170</v>
      </c>
      <c r="F645" s="454" t="s">
        <v>527</v>
      </c>
      <c r="G645" s="454" t="s">
        <v>13378</v>
      </c>
      <c r="H645" s="455">
        <v>52166055000170</v>
      </c>
      <c r="I645" s="462">
        <v>30225</v>
      </c>
      <c r="J645" s="457">
        <v>37554980</v>
      </c>
      <c r="K645" s="454" t="s">
        <v>6171</v>
      </c>
      <c r="L645" s="458">
        <v>46</v>
      </c>
      <c r="M645" s="454" t="s">
        <v>6172</v>
      </c>
      <c r="N645" s="459">
        <v>3683040</v>
      </c>
      <c r="O645" s="460">
        <v>22804895</v>
      </c>
      <c r="P645" s="462">
        <v>183221</v>
      </c>
      <c r="Q645" s="462">
        <v>82</v>
      </c>
      <c r="R645" s="462">
        <v>43917</v>
      </c>
      <c r="S645" s="463">
        <v>350</v>
      </c>
      <c r="T645" s="464">
        <v>3.6</v>
      </c>
      <c r="U645" s="465">
        <v>1260</v>
      </c>
      <c r="V645" s="465">
        <v>13680</v>
      </c>
      <c r="W645" s="466">
        <v>0</v>
      </c>
      <c r="X645" s="467">
        <v>1</v>
      </c>
      <c r="Y645" s="466">
        <v>22410</v>
      </c>
      <c r="Z645" s="468" t="s">
        <v>516</v>
      </c>
      <c r="AA645" s="466">
        <v>97318.8</v>
      </c>
      <c r="AB645" s="466">
        <v>97318.8</v>
      </c>
      <c r="AC645" s="467">
        <v>0</v>
      </c>
      <c r="AD645" s="466">
        <v>0</v>
      </c>
      <c r="AE645" s="468" t="s">
        <v>516</v>
      </c>
      <c r="AF645" s="466">
        <v>0</v>
      </c>
      <c r="AG645" s="466">
        <v>0</v>
      </c>
      <c r="AH645" s="466">
        <v>34573.03</v>
      </c>
      <c r="AI645" s="466">
        <v>10156.290000000001</v>
      </c>
      <c r="AJ645" s="469" t="s">
        <v>2233</v>
      </c>
      <c r="AK645" s="470" t="s">
        <v>2653</v>
      </c>
      <c r="AL645" s="471" t="s">
        <v>6173</v>
      </c>
      <c r="AM645" s="470" t="s">
        <v>6174</v>
      </c>
      <c r="AN645" s="470" t="s">
        <v>13378</v>
      </c>
      <c r="AO645" s="470" t="s">
        <v>13379</v>
      </c>
      <c r="AP645" s="470" t="s">
        <v>6175</v>
      </c>
      <c r="AQ645" s="470" t="s">
        <v>6169</v>
      </c>
      <c r="AR645" s="472" t="s">
        <v>515</v>
      </c>
      <c r="AS645" s="473" t="s">
        <v>1385</v>
      </c>
      <c r="AT645" s="472" t="s">
        <v>1390</v>
      </c>
      <c r="AU645" s="472" t="s">
        <v>420</v>
      </c>
      <c r="AV645" s="472">
        <v>2020</v>
      </c>
      <c r="AW645" s="474" t="s">
        <v>15078</v>
      </c>
      <c r="AX645" s="475" t="s">
        <v>15079</v>
      </c>
      <c r="AY645" s="515">
        <v>1</v>
      </c>
      <c r="AZ645" s="474" t="s">
        <v>15079</v>
      </c>
      <c r="BA645" s="472" t="s">
        <v>1390</v>
      </c>
      <c r="BB645" s="472" t="s">
        <v>1385</v>
      </c>
      <c r="BC645" s="472" t="s">
        <v>1385</v>
      </c>
      <c r="BD645" s="472" t="s">
        <v>1385</v>
      </c>
      <c r="BE645" s="472" t="s">
        <v>1385</v>
      </c>
      <c r="BF645" s="472">
        <v>22410</v>
      </c>
      <c r="BG645" s="472">
        <v>0</v>
      </c>
      <c r="BH645" s="472" t="s">
        <v>1385</v>
      </c>
      <c r="BI645" s="510">
        <v>0</v>
      </c>
      <c r="BJ645" s="510">
        <v>0</v>
      </c>
      <c r="BK645" s="510">
        <v>0</v>
      </c>
      <c r="BL645" s="510">
        <v>0</v>
      </c>
      <c r="BM645" s="510">
        <v>0</v>
      </c>
      <c r="BN645" s="510">
        <v>3500</v>
      </c>
      <c r="BO645" s="510">
        <v>0</v>
      </c>
      <c r="BP645" s="510">
        <v>0</v>
      </c>
      <c r="BQ645" s="510">
        <v>0</v>
      </c>
      <c r="BR645" s="510">
        <v>0</v>
      </c>
      <c r="BS645" s="510">
        <v>0</v>
      </c>
      <c r="BT645" s="510">
        <v>0</v>
      </c>
      <c r="BU645" s="510">
        <v>0</v>
      </c>
      <c r="BV645" s="510">
        <v>0</v>
      </c>
      <c r="BW645" s="510">
        <v>0</v>
      </c>
      <c r="BX645" s="510">
        <v>30000</v>
      </c>
      <c r="BY645" s="1011">
        <v>0</v>
      </c>
      <c r="BZ645" s="510">
        <v>0</v>
      </c>
      <c r="CA645" s="1011">
        <v>0</v>
      </c>
      <c r="CB645" s="510">
        <v>0</v>
      </c>
      <c r="CC645" s="1011">
        <v>0</v>
      </c>
      <c r="CD645" s="510">
        <v>0</v>
      </c>
      <c r="CE645" s="1011">
        <v>0</v>
      </c>
      <c r="CF645" s="510">
        <v>44908.800000000003</v>
      </c>
      <c r="CG645" s="1011">
        <v>0</v>
      </c>
      <c r="CH645" s="510">
        <v>0</v>
      </c>
      <c r="CI645" s="1011">
        <v>0</v>
      </c>
    </row>
    <row r="646" spans="1:87" x14ac:dyDescent="0.2">
      <c r="A646" s="449">
        <v>97</v>
      </c>
      <c r="B646" s="453">
        <v>91341</v>
      </c>
      <c r="C646" s="454" t="s">
        <v>6176</v>
      </c>
      <c r="D646" s="454" t="s">
        <v>1390</v>
      </c>
      <c r="E646" s="454" t="s">
        <v>6177</v>
      </c>
      <c r="F646" s="454" t="s">
        <v>527</v>
      </c>
      <c r="G646" s="454" t="s">
        <v>13380</v>
      </c>
      <c r="H646" s="455">
        <v>50713056000161</v>
      </c>
      <c r="I646" s="462">
        <v>30186</v>
      </c>
      <c r="J646" s="457">
        <v>37554999</v>
      </c>
      <c r="K646" s="454" t="s">
        <v>6178</v>
      </c>
      <c r="L646" s="458">
        <v>695</v>
      </c>
      <c r="M646" s="454" t="s">
        <v>6179</v>
      </c>
      <c r="N646" s="459">
        <v>3732010</v>
      </c>
      <c r="O646" s="460">
        <v>26414958</v>
      </c>
      <c r="P646" s="462">
        <v>181423</v>
      </c>
      <c r="Q646" s="462">
        <v>57</v>
      </c>
      <c r="R646" s="462">
        <v>43917</v>
      </c>
      <c r="S646" s="463">
        <v>501</v>
      </c>
      <c r="T646" s="464">
        <v>3.6</v>
      </c>
      <c r="U646" s="465">
        <v>1803.6</v>
      </c>
      <c r="V646" s="465">
        <v>16560</v>
      </c>
      <c r="W646" s="466">
        <v>0</v>
      </c>
      <c r="X646" s="467">
        <v>1</v>
      </c>
      <c r="Y646" s="466">
        <v>27545.4</v>
      </c>
      <c r="Z646" s="468" t="s">
        <v>516</v>
      </c>
      <c r="AA646" s="466">
        <v>106270.2</v>
      </c>
      <c r="AB646" s="466">
        <v>106270.2</v>
      </c>
      <c r="AC646" s="467">
        <v>0</v>
      </c>
      <c r="AD646" s="466">
        <v>0</v>
      </c>
      <c r="AE646" s="468" t="s">
        <v>516</v>
      </c>
      <c r="AF646" s="466">
        <v>0</v>
      </c>
      <c r="AG646" s="466">
        <v>0</v>
      </c>
      <c r="AH646" s="466">
        <v>18276.740000000002</v>
      </c>
      <c r="AI646" s="466">
        <v>13541.52</v>
      </c>
      <c r="AJ646" s="469" t="s">
        <v>3829</v>
      </c>
      <c r="AK646" s="470" t="s">
        <v>3830</v>
      </c>
      <c r="AL646" s="471" t="s">
        <v>6180</v>
      </c>
      <c r="AM646" s="470" t="s">
        <v>6181</v>
      </c>
      <c r="AN646" s="470" t="s">
        <v>13380</v>
      </c>
      <c r="AO646" s="470" t="s">
        <v>13381</v>
      </c>
      <c r="AP646" s="470" t="s">
        <v>6182</v>
      </c>
      <c r="AQ646" s="470" t="s">
        <v>6176</v>
      </c>
      <c r="AR646" s="472" t="s">
        <v>515</v>
      </c>
      <c r="AS646" s="473" t="s">
        <v>1385</v>
      </c>
      <c r="AT646" s="472" t="s">
        <v>1390</v>
      </c>
      <c r="AU646" s="472" t="s">
        <v>420</v>
      </c>
      <c r="AV646" s="472">
        <v>2020</v>
      </c>
      <c r="AW646" s="474" t="s">
        <v>15078</v>
      </c>
      <c r="AX646" s="475" t="s">
        <v>15079</v>
      </c>
      <c r="AY646" s="515">
        <v>1</v>
      </c>
      <c r="AZ646" s="474" t="s">
        <v>15079</v>
      </c>
      <c r="BA646" s="472" t="s">
        <v>1390</v>
      </c>
      <c r="BB646" s="472" t="s">
        <v>1385</v>
      </c>
      <c r="BC646" s="472" t="s">
        <v>1385</v>
      </c>
      <c r="BD646" s="472" t="s">
        <v>1385</v>
      </c>
      <c r="BE646" s="472" t="s">
        <v>1385</v>
      </c>
      <c r="BF646" s="472">
        <v>27545.4</v>
      </c>
      <c r="BG646" s="472">
        <v>0</v>
      </c>
      <c r="BH646" s="472" t="s">
        <v>1385</v>
      </c>
      <c r="BI646" s="510">
        <v>0</v>
      </c>
      <c r="BJ646" s="510">
        <v>347.6</v>
      </c>
      <c r="BK646" s="510">
        <v>0</v>
      </c>
      <c r="BL646" s="510">
        <v>0</v>
      </c>
      <c r="BM646" s="510">
        <v>0</v>
      </c>
      <c r="BN646" s="510">
        <v>4000</v>
      </c>
      <c r="BO646" s="510">
        <v>0</v>
      </c>
      <c r="BP646" s="510">
        <v>0</v>
      </c>
      <c r="BQ646" s="510">
        <v>0</v>
      </c>
      <c r="BR646" s="510">
        <v>0</v>
      </c>
      <c r="BS646" s="510">
        <v>0</v>
      </c>
      <c r="BT646" s="510">
        <v>0</v>
      </c>
      <c r="BU646" s="510">
        <v>0</v>
      </c>
      <c r="BV646" s="510">
        <v>0</v>
      </c>
      <c r="BW646" s="510">
        <v>0</v>
      </c>
      <c r="BX646" s="510">
        <v>30000</v>
      </c>
      <c r="BY646" s="1011">
        <v>0</v>
      </c>
      <c r="BZ646" s="510">
        <v>0</v>
      </c>
      <c r="CA646" s="1011">
        <v>0</v>
      </c>
      <c r="CB646" s="510">
        <v>0</v>
      </c>
      <c r="CC646" s="1011">
        <v>0</v>
      </c>
      <c r="CD646" s="510">
        <v>0</v>
      </c>
      <c r="CE646" s="1011">
        <v>0</v>
      </c>
      <c r="CF646" s="510">
        <v>48724.800000000003</v>
      </c>
      <c r="CG646" s="1011">
        <v>0</v>
      </c>
      <c r="CH646" s="510">
        <v>0</v>
      </c>
      <c r="CI646" s="1011">
        <v>0</v>
      </c>
    </row>
    <row r="647" spans="1:87" x14ac:dyDescent="0.2">
      <c r="A647" s="449">
        <v>105</v>
      </c>
      <c r="B647" s="453">
        <v>91359</v>
      </c>
      <c r="C647" s="454" t="s">
        <v>6183</v>
      </c>
      <c r="D647" s="454" t="s">
        <v>1390</v>
      </c>
      <c r="E647" s="454" t="s">
        <v>6184</v>
      </c>
      <c r="F647" s="454" t="s">
        <v>527</v>
      </c>
      <c r="G647" s="454" t="s">
        <v>13382</v>
      </c>
      <c r="H647" s="455">
        <v>52566692000133</v>
      </c>
      <c r="I647" s="462">
        <v>30370</v>
      </c>
      <c r="J647" s="457">
        <v>37587862</v>
      </c>
      <c r="K647" s="454" t="s">
        <v>6185</v>
      </c>
      <c r="L647" s="458">
        <v>160</v>
      </c>
      <c r="M647" s="454" t="s">
        <v>6186</v>
      </c>
      <c r="N647" s="459">
        <v>3736000</v>
      </c>
      <c r="O647" s="460">
        <v>29577264</v>
      </c>
      <c r="P647" s="462">
        <v>204970</v>
      </c>
      <c r="Q647" s="462">
        <v>67</v>
      </c>
      <c r="R647" s="462">
        <v>43917</v>
      </c>
      <c r="S647" s="463">
        <v>223</v>
      </c>
      <c r="T647" s="464">
        <v>3.6</v>
      </c>
      <c r="U647" s="465">
        <v>802.8</v>
      </c>
      <c r="V647" s="465">
        <v>12240</v>
      </c>
      <c r="W647" s="466">
        <v>0</v>
      </c>
      <c r="X647" s="467">
        <v>1</v>
      </c>
      <c r="Y647" s="466">
        <v>19564.2</v>
      </c>
      <c r="Z647" s="468" t="s">
        <v>516</v>
      </c>
      <c r="AA647" s="466">
        <v>90628.2</v>
      </c>
      <c r="AB647" s="466">
        <v>90628.2</v>
      </c>
      <c r="AC647" s="467">
        <v>0</v>
      </c>
      <c r="AD647" s="466">
        <v>0</v>
      </c>
      <c r="AE647" s="468" t="s">
        <v>516</v>
      </c>
      <c r="AF647" s="466">
        <v>0</v>
      </c>
      <c r="AG647" s="466">
        <v>0</v>
      </c>
      <c r="AH647" s="466">
        <v>7994.09</v>
      </c>
      <c r="AI647" s="466">
        <v>1971.63</v>
      </c>
      <c r="AJ647" s="469" t="s">
        <v>4055</v>
      </c>
      <c r="AK647" s="470" t="s">
        <v>6187</v>
      </c>
      <c r="AL647" s="471" t="s">
        <v>6188</v>
      </c>
      <c r="AM647" s="470" t="s">
        <v>6189</v>
      </c>
      <c r="AN647" s="470" t="s">
        <v>13382</v>
      </c>
      <c r="AO647" s="470" t="s">
        <v>13383</v>
      </c>
      <c r="AP647" s="470" t="s">
        <v>6190</v>
      </c>
      <c r="AQ647" s="470" t="s">
        <v>6183</v>
      </c>
      <c r="AR647" s="472" t="s">
        <v>515</v>
      </c>
      <c r="AS647" s="473" t="s">
        <v>1385</v>
      </c>
      <c r="AT647" s="472" t="s">
        <v>1390</v>
      </c>
      <c r="AU647" s="472" t="s">
        <v>420</v>
      </c>
      <c r="AV647" s="472">
        <v>2020</v>
      </c>
      <c r="AW647" s="474" t="s">
        <v>15078</v>
      </c>
      <c r="AX647" s="475" t="s">
        <v>15079</v>
      </c>
      <c r="AY647" s="515">
        <v>1</v>
      </c>
      <c r="AZ647" s="474" t="s">
        <v>15079</v>
      </c>
      <c r="BA647" s="472" t="s">
        <v>1390</v>
      </c>
      <c r="BB647" s="472" t="s">
        <v>1385</v>
      </c>
      <c r="BC647" s="472" t="s">
        <v>1385</v>
      </c>
      <c r="BD647" s="472" t="s">
        <v>1385</v>
      </c>
      <c r="BE647" s="472" t="s">
        <v>1385</v>
      </c>
      <c r="BF647" s="472">
        <v>19564.2</v>
      </c>
      <c r="BG647" s="472">
        <v>0</v>
      </c>
      <c r="BH647" s="472" t="s">
        <v>1385</v>
      </c>
      <c r="BI647" s="510">
        <v>0</v>
      </c>
      <c r="BJ647" s="510">
        <v>0</v>
      </c>
      <c r="BK647" s="510">
        <v>0</v>
      </c>
      <c r="BL647" s="510">
        <v>0</v>
      </c>
      <c r="BM647" s="510">
        <v>0</v>
      </c>
      <c r="BN647" s="510">
        <v>215.04</v>
      </c>
      <c r="BO647" s="510">
        <v>0</v>
      </c>
      <c r="BP647" s="510">
        <v>0</v>
      </c>
      <c r="BQ647" s="510">
        <v>0</v>
      </c>
      <c r="BR647" s="510">
        <v>0</v>
      </c>
      <c r="BS647" s="510">
        <v>0</v>
      </c>
      <c r="BT647" s="510">
        <v>0</v>
      </c>
      <c r="BU647" s="510">
        <v>0</v>
      </c>
      <c r="BV647" s="510">
        <v>0</v>
      </c>
      <c r="BW647" s="510">
        <v>0</v>
      </c>
      <c r="BX647" s="510">
        <v>30000</v>
      </c>
      <c r="BY647" s="1011">
        <v>0</v>
      </c>
      <c r="BZ647" s="510">
        <v>0</v>
      </c>
      <c r="CA647" s="1011">
        <v>0</v>
      </c>
      <c r="CB647" s="510">
        <v>0</v>
      </c>
      <c r="CC647" s="1011">
        <v>0</v>
      </c>
      <c r="CD647" s="510">
        <v>0</v>
      </c>
      <c r="CE647" s="1011">
        <v>0</v>
      </c>
      <c r="CF647" s="510">
        <v>41064</v>
      </c>
      <c r="CG647" s="1011">
        <v>0</v>
      </c>
      <c r="CH647" s="510">
        <v>0</v>
      </c>
      <c r="CI647" s="1011">
        <v>0</v>
      </c>
    </row>
    <row r="648" spans="1:87" x14ac:dyDescent="0.2">
      <c r="A648" s="449">
        <v>89</v>
      </c>
      <c r="B648" s="453">
        <v>91367</v>
      </c>
      <c r="C648" s="454" t="s">
        <v>6191</v>
      </c>
      <c r="D648" s="454" t="s">
        <v>1390</v>
      </c>
      <c r="E648" s="454" t="s">
        <v>6192</v>
      </c>
      <c r="F648" s="454" t="s">
        <v>527</v>
      </c>
      <c r="G648" s="454" t="s">
        <v>13384</v>
      </c>
      <c r="H648" s="455">
        <v>52026556000150</v>
      </c>
      <c r="I648" s="462">
        <v>30266</v>
      </c>
      <c r="J648" s="457">
        <v>37555065</v>
      </c>
      <c r="K648" s="454" t="s">
        <v>6193</v>
      </c>
      <c r="L648" s="458">
        <v>365</v>
      </c>
      <c r="M648" s="454" t="s">
        <v>6194</v>
      </c>
      <c r="N648" s="459">
        <v>3725040</v>
      </c>
      <c r="O648" s="460">
        <v>26217131</v>
      </c>
      <c r="P648" s="462">
        <v>181377</v>
      </c>
      <c r="Q648" s="462">
        <v>50</v>
      </c>
      <c r="R648" s="462">
        <v>43917</v>
      </c>
      <c r="S648" s="463">
        <v>446</v>
      </c>
      <c r="T648" s="464">
        <v>3.6</v>
      </c>
      <c r="U648" s="465">
        <v>1605.6</v>
      </c>
      <c r="V648" s="465">
        <v>15120</v>
      </c>
      <c r="W648" s="466">
        <v>0</v>
      </c>
      <c r="X648" s="467">
        <v>1</v>
      </c>
      <c r="Y648" s="466">
        <v>25088.400000000001</v>
      </c>
      <c r="Z648" s="468" t="s">
        <v>516</v>
      </c>
      <c r="AA648" s="466">
        <v>103496.4</v>
      </c>
      <c r="AB648" s="466">
        <v>103496.4</v>
      </c>
      <c r="AC648" s="467">
        <v>0</v>
      </c>
      <c r="AD648" s="466">
        <v>0</v>
      </c>
      <c r="AE648" s="468" t="s">
        <v>516</v>
      </c>
      <c r="AF648" s="466">
        <v>0</v>
      </c>
      <c r="AG648" s="466">
        <v>0</v>
      </c>
      <c r="AH648" s="466">
        <v>21537.09</v>
      </c>
      <c r="AI648" s="466">
        <v>1147.1199999999999</v>
      </c>
      <c r="AJ648" s="469" t="s">
        <v>1889</v>
      </c>
      <c r="AK648" s="470" t="s">
        <v>1890</v>
      </c>
      <c r="AL648" s="471" t="s">
        <v>6195</v>
      </c>
      <c r="AM648" s="470" t="s">
        <v>6196</v>
      </c>
      <c r="AN648" s="470" t="s">
        <v>13384</v>
      </c>
      <c r="AO648" s="470" t="s">
        <v>13385</v>
      </c>
      <c r="AP648" s="470" t="s">
        <v>6197</v>
      </c>
      <c r="AQ648" s="470" t="s">
        <v>6191</v>
      </c>
      <c r="AR648" s="472" t="s">
        <v>515</v>
      </c>
      <c r="AS648" s="473" t="s">
        <v>1385</v>
      </c>
      <c r="AT648" s="472" t="s">
        <v>1390</v>
      </c>
      <c r="AU648" s="472" t="s">
        <v>420</v>
      </c>
      <c r="AV648" s="472">
        <v>2020</v>
      </c>
      <c r="AW648" s="474" t="s">
        <v>15078</v>
      </c>
      <c r="AX648" s="475" t="s">
        <v>15079</v>
      </c>
      <c r="AY648" s="515">
        <v>1</v>
      </c>
      <c r="AZ648" s="474" t="s">
        <v>15079</v>
      </c>
      <c r="BA648" s="472" t="s">
        <v>1390</v>
      </c>
      <c r="BB648" s="472" t="s">
        <v>1385</v>
      </c>
      <c r="BC648" s="472" t="s">
        <v>1385</v>
      </c>
      <c r="BD648" s="472" t="s">
        <v>1385</v>
      </c>
      <c r="BE648" s="472" t="s">
        <v>1385</v>
      </c>
      <c r="BF648" s="472">
        <v>25088.400000000001</v>
      </c>
      <c r="BG648" s="472">
        <v>0</v>
      </c>
      <c r="BH648" s="472" t="s">
        <v>1385</v>
      </c>
      <c r="BI648" s="510">
        <v>0</v>
      </c>
      <c r="BJ648" s="510">
        <v>0</v>
      </c>
      <c r="BK648" s="510">
        <v>0</v>
      </c>
      <c r="BL648" s="510">
        <v>0</v>
      </c>
      <c r="BM648" s="510">
        <v>0</v>
      </c>
      <c r="BN648" s="510">
        <v>4000</v>
      </c>
      <c r="BO648" s="510">
        <v>0</v>
      </c>
      <c r="BP648" s="510">
        <v>0</v>
      </c>
      <c r="BQ648" s="510">
        <v>0</v>
      </c>
      <c r="BR648" s="510">
        <v>0</v>
      </c>
      <c r="BS648" s="510">
        <v>0</v>
      </c>
      <c r="BT648" s="510">
        <v>0</v>
      </c>
      <c r="BU648" s="510">
        <v>0</v>
      </c>
      <c r="BV648" s="510">
        <v>0</v>
      </c>
      <c r="BW648" s="510">
        <v>0</v>
      </c>
      <c r="BX648" s="510">
        <v>30000</v>
      </c>
      <c r="BY648" s="1011">
        <v>0</v>
      </c>
      <c r="BZ648" s="510">
        <v>0</v>
      </c>
      <c r="CA648" s="1011">
        <v>0</v>
      </c>
      <c r="CB648" s="510">
        <v>0</v>
      </c>
      <c r="CC648" s="1011">
        <v>0</v>
      </c>
      <c r="CD648" s="510">
        <v>0</v>
      </c>
      <c r="CE648" s="1011">
        <v>0</v>
      </c>
      <c r="CF648" s="510">
        <v>48408</v>
      </c>
      <c r="CG648" s="1011">
        <v>0</v>
      </c>
      <c r="CH648" s="510">
        <v>0</v>
      </c>
      <c r="CI648" s="1011">
        <v>0</v>
      </c>
    </row>
    <row r="649" spans="1:87" x14ac:dyDescent="0.2">
      <c r="A649" s="449">
        <v>117</v>
      </c>
      <c r="B649" s="453">
        <v>91375</v>
      </c>
      <c r="C649" s="454" t="s">
        <v>6198</v>
      </c>
      <c r="D649" s="454" t="s">
        <v>1390</v>
      </c>
      <c r="E649" s="454" t="s">
        <v>6199</v>
      </c>
      <c r="F649" s="454" t="s">
        <v>527</v>
      </c>
      <c r="G649" s="454" t="s">
        <v>13386</v>
      </c>
      <c r="H649" s="455">
        <v>52033875000193</v>
      </c>
      <c r="I649" s="462">
        <v>30295</v>
      </c>
      <c r="J649" s="457">
        <v>37585983</v>
      </c>
      <c r="K649" s="454" t="s">
        <v>6200</v>
      </c>
      <c r="L649" s="458" t="s">
        <v>1446</v>
      </c>
      <c r="M649" s="454" t="s">
        <v>2314</v>
      </c>
      <c r="N649" s="459">
        <v>3089010</v>
      </c>
      <c r="O649" s="460">
        <v>22952470</v>
      </c>
      <c r="P649" s="462">
        <v>196544</v>
      </c>
      <c r="Q649" s="462">
        <v>80</v>
      </c>
      <c r="R649" s="462">
        <v>43917</v>
      </c>
      <c r="S649" s="463">
        <v>65</v>
      </c>
      <c r="T649" s="464">
        <v>3.6</v>
      </c>
      <c r="U649" s="465">
        <v>234</v>
      </c>
      <c r="V649" s="465">
        <v>10800</v>
      </c>
      <c r="W649" s="466">
        <v>0</v>
      </c>
      <c r="X649" s="467">
        <v>1</v>
      </c>
      <c r="Y649" s="466">
        <v>16551</v>
      </c>
      <c r="Z649" s="468" t="s">
        <v>516</v>
      </c>
      <c r="AA649" s="466">
        <v>83986.2</v>
      </c>
      <c r="AB649" s="466">
        <v>83986.2</v>
      </c>
      <c r="AC649" s="467">
        <v>0</v>
      </c>
      <c r="AD649" s="466">
        <v>0</v>
      </c>
      <c r="AE649" s="468" t="s">
        <v>516</v>
      </c>
      <c r="AF649" s="466">
        <v>0</v>
      </c>
      <c r="AG649" s="466">
        <v>0</v>
      </c>
      <c r="AH649" s="466">
        <v>21178.81</v>
      </c>
      <c r="AI649" s="466">
        <v>4560.8900000000003</v>
      </c>
      <c r="AJ649" s="469" t="s">
        <v>5982</v>
      </c>
      <c r="AK649" s="470" t="s">
        <v>6146</v>
      </c>
      <c r="AL649" s="471" t="s">
        <v>6201</v>
      </c>
      <c r="AM649" s="470" t="s">
        <v>6202</v>
      </c>
      <c r="AN649" s="470" t="s">
        <v>13386</v>
      </c>
      <c r="AO649" s="470" t="s">
        <v>13387</v>
      </c>
      <c r="AP649" s="470" t="s">
        <v>2316</v>
      </c>
      <c r="AQ649" s="470" t="s">
        <v>6198</v>
      </c>
      <c r="AR649" s="472" t="s">
        <v>515</v>
      </c>
      <c r="AS649" s="473" t="s">
        <v>1385</v>
      </c>
      <c r="AT649" s="472" t="s">
        <v>1390</v>
      </c>
      <c r="AU649" s="472" t="s">
        <v>420</v>
      </c>
      <c r="AV649" s="472">
        <v>2020</v>
      </c>
      <c r="AW649" s="474" t="s">
        <v>15078</v>
      </c>
      <c r="AX649" s="475" t="s">
        <v>15079</v>
      </c>
      <c r="AY649" s="515">
        <v>1</v>
      </c>
      <c r="AZ649" s="474" t="s">
        <v>15079</v>
      </c>
      <c r="BA649" s="472" t="s">
        <v>1390</v>
      </c>
      <c r="BB649" s="472" t="s">
        <v>1385</v>
      </c>
      <c r="BC649" s="472" t="s">
        <v>1385</v>
      </c>
      <c r="BD649" s="472" t="s">
        <v>1385</v>
      </c>
      <c r="BE649" s="472" t="s">
        <v>1385</v>
      </c>
      <c r="BF649" s="472">
        <v>16551</v>
      </c>
      <c r="BG649" s="472">
        <v>0</v>
      </c>
      <c r="BH649" s="472" t="s">
        <v>1385</v>
      </c>
      <c r="BI649" s="510">
        <v>0</v>
      </c>
      <c r="BJ649" s="510">
        <v>0</v>
      </c>
      <c r="BK649" s="510">
        <v>0</v>
      </c>
      <c r="BL649" s="510">
        <v>0</v>
      </c>
      <c r="BM649" s="510">
        <v>0</v>
      </c>
      <c r="BN649" s="510">
        <v>2000</v>
      </c>
      <c r="BO649" s="510">
        <v>0</v>
      </c>
      <c r="BP649" s="510">
        <v>0</v>
      </c>
      <c r="BQ649" s="510">
        <v>0</v>
      </c>
      <c r="BR649" s="510">
        <v>0</v>
      </c>
      <c r="BS649" s="510">
        <v>0</v>
      </c>
      <c r="BT649" s="510">
        <v>0</v>
      </c>
      <c r="BU649" s="510">
        <v>0</v>
      </c>
      <c r="BV649" s="510">
        <v>0</v>
      </c>
      <c r="BW649" s="510">
        <v>0</v>
      </c>
      <c r="BX649" s="510">
        <v>30000</v>
      </c>
      <c r="BY649" s="1011">
        <v>0</v>
      </c>
      <c r="BZ649" s="510">
        <v>0</v>
      </c>
      <c r="CA649" s="1011">
        <v>0</v>
      </c>
      <c r="CB649" s="510">
        <v>0</v>
      </c>
      <c r="CC649" s="1011">
        <v>0</v>
      </c>
      <c r="CD649" s="510">
        <v>0</v>
      </c>
      <c r="CE649" s="1011">
        <v>0</v>
      </c>
      <c r="CF649" s="510">
        <v>37435.199999999997</v>
      </c>
      <c r="CG649" s="1011">
        <v>0</v>
      </c>
      <c r="CH649" s="510">
        <v>0</v>
      </c>
      <c r="CI649" s="1011">
        <v>0</v>
      </c>
    </row>
    <row r="650" spans="1:87" x14ac:dyDescent="0.2">
      <c r="A650" s="449">
        <v>84</v>
      </c>
      <c r="B650" s="453">
        <v>91383</v>
      </c>
      <c r="C650" s="454" t="s">
        <v>6203</v>
      </c>
      <c r="D650" s="454" t="s">
        <v>1390</v>
      </c>
      <c r="E650" s="454" t="s">
        <v>6204</v>
      </c>
      <c r="F650" s="454" t="s">
        <v>527</v>
      </c>
      <c r="G650" s="454" t="s">
        <v>13388</v>
      </c>
      <c r="H650" s="455">
        <v>52028461000176</v>
      </c>
      <c r="I650" s="462">
        <v>30274</v>
      </c>
      <c r="J650" s="457">
        <v>38089599</v>
      </c>
      <c r="K650" s="454" t="s">
        <v>6205</v>
      </c>
      <c r="L650" s="458">
        <v>146</v>
      </c>
      <c r="M650" s="454" t="s">
        <v>2314</v>
      </c>
      <c r="N650" s="459">
        <v>3086050</v>
      </c>
      <c r="O650" s="460">
        <v>22953726</v>
      </c>
      <c r="P650" s="462">
        <v>180770</v>
      </c>
      <c r="Q650" s="462">
        <v>45</v>
      </c>
      <c r="R650" s="462">
        <v>43917</v>
      </c>
      <c r="S650" s="463">
        <v>132</v>
      </c>
      <c r="T650" s="464">
        <v>3.6</v>
      </c>
      <c r="U650" s="465">
        <v>475.2</v>
      </c>
      <c r="V650" s="465">
        <v>10800</v>
      </c>
      <c r="W650" s="466">
        <v>0</v>
      </c>
      <c r="X650" s="467">
        <v>1</v>
      </c>
      <c r="Y650" s="466">
        <v>0</v>
      </c>
      <c r="Z650" s="468" t="s">
        <v>514</v>
      </c>
      <c r="AA650" s="466">
        <v>0</v>
      </c>
      <c r="AB650" s="466">
        <v>0</v>
      </c>
      <c r="AC650" s="467">
        <v>0</v>
      </c>
      <c r="AD650" s="466">
        <v>0</v>
      </c>
      <c r="AE650" s="468" t="s">
        <v>516</v>
      </c>
      <c r="AF650" s="466">
        <v>0</v>
      </c>
      <c r="AG650" s="466">
        <v>0</v>
      </c>
      <c r="AH650" s="466">
        <v>367.54</v>
      </c>
      <c r="AI650" s="466">
        <v>960.62</v>
      </c>
      <c r="AJ650" s="469" t="s">
        <v>2982</v>
      </c>
      <c r="AK650" s="470" t="s">
        <v>2314</v>
      </c>
      <c r="AL650" s="471" t="s">
        <v>6206</v>
      </c>
      <c r="AM650" s="470" t="s">
        <v>6207</v>
      </c>
      <c r="AN650" s="470" t="s">
        <v>13388</v>
      </c>
      <c r="AO650" s="470" t="s">
        <v>13389</v>
      </c>
      <c r="AP650" s="470" t="s">
        <v>6208</v>
      </c>
      <c r="AQ650" s="470" t="s">
        <v>6203</v>
      </c>
      <c r="AR650" s="472" t="s">
        <v>515</v>
      </c>
      <c r="AS650" s="473" t="s">
        <v>1385</v>
      </c>
      <c r="AT650" s="472" t="s">
        <v>1390</v>
      </c>
      <c r="AU650" s="472" t="s">
        <v>420</v>
      </c>
      <c r="AV650" s="472">
        <v>2020</v>
      </c>
      <c r="AW650" s="474" t="s">
        <v>15078</v>
      </c>
      <c r="AX650" s="475" t="s">
        <v>15079</v>
      </c>
      <c r="AY650" s="515">
        <v>1</v>
      </c>
      <c r="AZ650" s="474" t="s">
        <v>15079</v>
      </c>
      <c r="BA650" s="472" t="s">
        <v>1385</v>
      </c>
      <c r="BB650" s="472" t="s">
        <v>516</v>
      </c>
      <c r="BC650" s="472">
        <v>4</v>
      </c>
      <c r="BD650" s="472">
        <v>2700</v>
      </c>
      <c r="BE650" s="472">
        <v>0</v>
      </c>
      <c r="BF650" s="472">
        <v>20962.8</v>
      </c>
      <c r="BG650" s="472">
        <v>0</v>
      </c>
      <c r="BH650" s="472" t="s">
        <v>516</v>
      </c>
      <c r="BI650" s="510">
        <v>0</v>
      </c>
      <c r="BJ650" s="510">
        <v>0</v>
      </c>
      <c r="BK650" s="510">
        <v>0</v>
      </c>
      <c r="BL650" s="510">
        <v>0</v>
      </c>
      <c r="BM650" s="510">
        <v>0</v>
      </c>
      <c r="BN650" s="510">
        <v>0</v>
      </c>
      <c r="BO650" s="510">
        <v>0</v>
      </c>
      <c r="BP650" s="510">
        <v>0</v>
      </c>
      <c r="BQ650" s="510">
        <v>0</v>
      </c>
      <c r="BR650" s="510">
        <v>0</v>
      </c>
      <c r="BS650" s="510">
        <v>0</v>
      </c>
      <c r="BT650" s="510">
        <v>0</v>
      </c>
      <c r="BU650" s="510">
        <v>0</v>
      </c>
      <c r="BV650" s="510">
        <v>0</v>
      </c>
      <c r="BW650" s="510">
        <v>0</v>
      </c>
      <c r="BX650" s="510">
        <v>0</v>
      </c>
      <c r="BY650" s="1011">
        <v>0</v>
      </c>
      <c r="BZ650" s="510">
        <v>0</v>
      </c>
      <c r="CA650" s="1011">
        <v>0</v>
      </c>
      <c r="CB650" s="510">
        <v>0</v>
      </c>
      <c r="CC650" s="1011">
        <v>0</v>
      </c>
      <c r="CD650" s="510">
        <v>0</v>
      </c>
      <c r="CE650" s="1011">
        <v>0</v>
      </c>
      <c r="CF650" s="510">
        <v>0</v>
      </c>
      <c r="CG650" s="1011">
        <v>0</v>
      </c>
      <c r="CH650" s="510">
        <v>0</v>
      </c>
      <c r="CI650" s="1011">
        <v>0</v>
      </c>
    </row>
    <row r="651" spans="1:87" x14ac:dyDescent="0.2">
      <c r="A651" s="449">
        <v>106</v>
      </c>
      <c r="B651" s="453">
        <v>91391</v>
      </c>
      <c r="C651" s="454" t="s">
        <v>6209</v>
      </c>
      <c r="D651" s="454" t="s">
        <v>1390</v>
      </c>
      <c r="E651" s="454" t="s">
        <v>6210</v>
      </c>
      <c r="F651" s="454" t="s">
        <v>527</v>
      </c>
      <c r="G651" s="454" t="s">
        <v>13390</v>
      </c>
      <c r="H651" s="455">
        <v>50713262000171</v>
      </c>
      <c r="I651" s="462">
        <v>30186</v>
      </c>
      <c r="J651" s="457">
        <v>37555022</v>
      </c>
      <c r="K651" s="454" t="s">
        <v>6211</v>
      </c>
      <c r="L651" s="458">
        <v>150</v>
      </c>
      <c r="M651" s="454" t="s">
        <v>2314</v>
      </c>
      <c r="N651" s="459">
        <v>3065020</v>
      </c>
      <c r="O651" s="460">
        <v>22952298</v>
      </c>
      <c r="P651" s="462">
        <v>198911</v>
      </c>
      <c r="Q651" s="462">
        <v>68</v>
      </c>
      <c r="R651" s="462">
        <v>43917</v>
      </c>
      <c r="S651" s="463">
        <v>153</v>
      </c>
      <c r="T651" s="464">
        <v>3.6</v>
      </c>
      <c r="U651" s="465">
        <v>550.79999999999995</v>
      </c>
      <c r="V651" s="465">
        <v>10800</v>
      </c>
      <c r="W651" s="466">
        <v>0</v>
      </c>
      <c r="X651" s="467">
        <v>1</v>
      </c>
      <c r="Y651" s="466">
        <v>21886.2</v>
      </c>
      <c r="Z651" s="468" t="s">
        <v>516</v>
      </c>
      <c r="AA651" s="466">
        <v>101031.8</v>
      </c>
      <c r="AB651" s="466">
        <v>101031.8</v>
      </c>
      <c r="AC651" s="467">
        <v>0</v>
      </c>
      <c r="AD651" s="466">
        <v>0</v>
      </c>
      <c r="AE651" s="468" t="s">
        <v>516</v>
      </c>
      <c r="AF651" s="466">
        <v>0</v>
      </c>
      <c r="AG651" s="466">
        <v>0</v>
      </c>
      <c r="AH651" s="466">
        <v>16477.21</v>
      </c>
      <c r="AI651" s="466">
        <v>14678.21</v>
      </c>
      <c r="AJ651" s="469" t="s">
        <v>2982</v>
      </c>
      <c r="AK651" s="470" t="s">
        <v>2983</v>
      </c>
      <c r="AL651" s="471" t="s">
        <v>6212</v>
      </c>
      <c r="AM651" s="470" t="s">
        <v>6213</v>
      </c>
      <c r="AN651" s="470" t="s">
        <v>13390</v>
      </c>
      <c r="AO651" s="470" t="s">
        <v>13391</v>
      </c>
      <c r="AP651" s="470" t="s">
        <v>6214</v>
      </c>
      <c r="AQ651" s="470" t="s">
        <v>6209</v>
      </c>
      <c r="AR651" s="472" t="s">
        <v>515</v>
      </c>
      <c r="AS651" s="473" t="s">
        <v>1385</v>
      </c>
      <c r="AT651" s="472" t="s">
        <v>1390</v>
      </c>
      <c r="AU651" s="472" t="s">
        <v>420</v>
      </c>
      <c r="AV651" s="472">
        <v>2020</v>
      </c>
      <c r="AW651" s="474" t="s">
        <v>15078</v>
      </c>
      <c r="AX651" s="475" t="s">
        <v>15079</v>
      </c>
      <c r="AY651" s="515">
        <v>1</v>
      </c>
      <c r="AZ651" s="474" t="s">
        <v>15079</v>
      </c>
      <c r="BA651" s="472" t="s">
        <v>1390</v>
      </c>
      <c r="BB651" s="472" t="s">
        <v>516</v>
      </c>
      <c r="BC651" s="472">
        <v>5</v>
      </c>
      <c r="BD651" s="472">
        <v>3240</v>
      </c>
      <c r="BE651" s="472">
        <v>0</v>
      </c>
      <c r="BF651" s="472">
        <v>21886.2</v>
      </c>
      <c r="BG651" s="472">
        <v>0</v>
      </c>
      <c r="BH651" s="472" t="s">
        <v>1385</v>
      </c>
      <c r="BI651" s="510">
        <v>0</v>
      </c>
      <c r="BJ651" s="510">
        <v>8942.4</v>
      </c>
      <c r="BK651" s="510">
        <v>0</v>
      </c>
      <c r="BL651" s="510">
        <v>0</v>
      </c>
      <c r="BM651" s="510">
        <v>0</v>
      </c>
      <c r="BN651" s="510">
        <v>3000</v>
      </c>
      <c r="BO651" s="510">
        <v>0</v>
      </c>
      <c r="BP651" s="510">
        <v>0</v>
      </c>
      <c r="BQ651" s="510">
        <v>0</v>
      </c>
      <c r="BR651" s="510">
        <v>0</v>
      </c>
      <c r="BS651" s="510">
        <v>0</v>
      </c>
      <c r="BT651" s="510">
        <v>0</v>
      </c>
      <c r="BU651" s="510">
        <v>0</v>
      </c>
      <c r="BV651" s="510">
        <v>0</v>
      </c>
      <c r="BW651" s="510">
        <v>0</v>
      </c>
      <c r="BX651" s="510">
        <v>30000</v>
      </c>
      <c r="BY651" s="1011">
        <v>0</v>
      </c>
      <c r="BZ651" s="510">
        <v>0</v>
      </c>
      <c r="CA651" s="1011">
        <v>0</v>
      </c>
      <c r="CB651" s="510">
        <v>0</v>
      </c>
      <c r="CC651" s="1011">
        <v>0</v>
      </c>
      <c r="CD651" s="510">
        <v>0</v>
      </c>
      <c r="CE651" s="1011">
        <v>0</v>
      </c>
      <c r="CF651" s="510">
        <v>49145.599999999999</v>
      </c>
      <c r="CG651" s="1011">
        <v>0</v>
      </c>
      <c r="CH651" s="510">
        <v>0</v>
      </c>
      <c r="CI651" s="1011">
        <v>0</v>
      </c>
    </row>
    <row r="652" spans="1:87" x14ac:dyDescent="0.2">
      <c r="A652" s="449">
        <v>102</v>
      </c>
      <c r="B652" s="453">
        <v>91405</v>
      </c>
      <c r="C652" s="454" t="s">
        <v>6215</v>
      </c>
      <c r="D652" s="454" t="s">
        <v>1390</v>
      </c>
      <c r="E652" s="454" t="s">
        <v>6216</v>
      </c>
      <c r="F652" s="454" t="s">
        <v>527</v>
      </c>
      <c r="G652" s="454" t="s">
        <v>13392</v>
      </c>
      <c r="H652" s="455">
        <v>53819785000195</v>
      </c>
      <c r="I652" s="462">
        <v>30950</v>
      </c>
      <c r="J652" s="457">
        <v>37555189</v>
      </c>
      <c r="K652" s="454" t="s">
        <v>6217</v>
      </c>
      <c r="L652" s="458">
        <v>136</v>
      </c>
      <c r="M652" s="454" t="s">
        <v>6218</v>
      </c>
      <c r="N652" s="459">
        <v>3522080</v>
      </c>
      <c r="O652" s="460">
        <v>26510704</v>
      </c>
      <c r="P652" s="462">
        <v>226133</v>
      </c>
      <c r="Q652" s="462">
        <v>64</v>
      </c>
      <c r="R652" s="462">
        <v>43986</v>
      </c>
      <c r="S652" s="463">
        <v>404</v>
      </c>
      <c r="T652" s="464">
        <v>3.6</v>
      </c>
      <c r="U652" s="465">
        <v>1454.4</v>
      </c>
      <c r="V652" s="465">
        <v>15120</v>
      </c>
      <c r="W652" s="466">
        <v>0</v>
      </c>
      <c r="X652" s="467">
        <v>1</v>
      </c>
      <c r="Y652" s="466">
        <v>24861.599999999999</v>
      </c>
      <c r="Z652" s="468" t="s">
        <v>516</v>
      </c>
      <c r="AA652" s="466">
        <v>103010.4</v>
      </c>
      <c r="AB652" s="466">
        <v>103010.4</v>
      </c>
      <c r="AC652" s="467">
        <v>0</v>
      </c>
      <c r="AD652" s="466">
        <v>0</v>
      </c>
      <c r="AE652" s="468" t="s">
        <v>516</v>
      </c>
      <c r="AF652" s="466">
        <v>0</v>
      </c>
      <c r="AG652" s="466">
        <v>0</v>
      </c>
      <c r="AH652" s="466">
        <v>35126.660000000003</v>
      </c>
      <c r="AI652" s="466">
        <v>7484.38</v>
      </c>
      <c r="AJ652" s="469" t="s">
        <v>5717</v>
      </c>
      <c r="AK652" s="470" t="s">
        <v>6219</v>
      </c>
      <c r="AL652" s="471" t="s">
        <v>6220</v>
      </c>
      <c r="AM652" s="470" t="s">
        <v>13393</v>
      </c>
      <c r="AN652" s="470" t="s">
        <v>13392</v>
      </c>
      <c r="AO652" s="470" t="s">
        <v>13394</v>
      </c>
      <c r="AP652" s="470" t="s">
        <v>6221</v>
      </c>
      <c r="AQ652" s="470" t="s">
        <v>6215</v>
      </c>
      <c r="AR652" s="472" t="s">
        <v>515</v>
      </c>
      <c r="AS652" s="473" t="s">
        <v>1385</v>
      </c>
      <c r="AT652" s="472" t="s">
        <v>1390</v>
      </c>
      <c r="AU652" s="472" t="s">
        <v>420</v>
      </c>
      <c r="AV652" s="472">
        <v>2020</v>
      </c>
      <c r="AW652" s="474" t="s">
        <v>15078</v>
      </c>
      <c r="AX652" s="475" t="s">
        <v>15079</v>
      </c>
      <c r="AY652" s="515">
        <v>1</v>
      </c>
      <c r="AZ652" s="474" t="s">
        <v>15079</v>
      </c>
      <c r="BA652" s="472" t="s">
        <v>1390</v>
      </c>
      <c r="BB652" s="472" t="s">
        <v>1385</v>
      </c>
      <c r="BC652" s="472" t="s">
        <v>1385</v>
      </c>
      <c r="BD652" s="472" t="s">
        <v>1385</v>
      </c>
      <c r="BE652" s="472" t="s">
        <v>1385</v>
      </c>
      <c r="BF652" s="472">
        <v>24861.599999999999</v>
      </c>
      <c r="BG652" s="472">
        <v>0</v>
      </c>
      <c r="BH652" s="472" t="s">
        <v>1385</v>
      </c>
      <c r="BI652" s="510">
        <v>0</v>
      </c>
      <c r="BJ652" s="510">
        <v>0</v>
      </c>
      <c r="BK652" s="510">
        <v>0</v>
      </c>
      <c r="BL652" s="510">
        <v>0</v>
      </c>
      <c r="BM652" s="510">
        <v>0</v>
      </c>
      <c r="BN652" s="510">
        <v>4000</v>
      </c>
      <c r="BO652" s="510">
        <v>0</v>
      </c>
      <c r="BP652" s="510">
        <v>0</v>
      </c>
      <c r="BQ652" s="510">
        <v>0</v>
      </c>
      <c r="BR652" s="510">
        <v>0</v>
      </c>
      <c r="BS652" s="510">
        <v>0</v>
      </c>
      <c r="BT652" s="510">
        <v>0</v>
      </c>
      <c r="BU652" s="510">
        <v>0</v>
      </c>
      <c r="BV652" s="510">
        <v>0</v>
      </c>
      <c r="BW652" s="510">
        <v>0</v>
      </c>
      <c r="BX652" s="510">
        <v>30000</v>
      </c>
      <c r="BY652" s="1011">
        <v>0</v>
      </c>
      <c r="BZ652" s="510">
        <v>0</v>
      </c>
      <c r="CA652" s="1011">
        <v>0</v>
      </c>
      <c r="CB652" s="510">
        <v>0</v>
      </c>
      <c r="CC652" s="1011">
        <v>0</v>
      </c>
      <c r="CD652" s="510">
        <v>0</v>
      </c>
      <c r="CE652" s="1011">
        <v>0</v>
      </c>
      <c r="CF652" s="510">
        <v>48148.800000000003</v>
      </c>
      <c r="CG652" s="1011">
        <v>0</v>
      </c>
      <c r="CH652" s="510">
        <v>0</v>
      </c>
      <c r="CI652" s="1011">
        <v>0</v>
      </c>
    </row>
    <row r="653" spans="1:87" x14ac:dyDescent="0.2">
      <c r="A653" s="449">
        <v>115</v>
      </c>
      <c r="B653" s="453">
        <v>91413</v>
      </c>
      <c r="C653" s="454" t="s">
        <v>6222</v>
      </c>
      <c r="D653" s="454" t="s">
        <v>1390</v>
      </c>
      <c r="E653" s="454" t="s">
        <v>6223</v>
      </c>
      <c r="F653" s="454" t="s">
        <v>527</v>
      </c>
      <c r="G653" s="454" t="s">
        <v>13395</v>
      </c>
      <c r="H653" s="455">
        <v>56709199000186</v>
      </c>
      <c r="I653" s="462">
        <v>31684</v>
      </c>
      <c r="J653" s="457">
        <v>37555480</v>
      </c>
      <c r="K653" s="454" t="s">
        <v>4054</v>
      </c>
      <c r="L653" s="458">
        <v>237</v>
      </c>
      <c r="M653" s="454" t="s">
        <v>2211</v>
      </c>
      <c r="N653" s="459">
        <v>3817000</v>
      </c>
      <c r="O653" s="460">
        <v>25460814</v>
      </c>
      <c r="P653" s="462">
        <v>183205</v>
      </c>
      <c r="Q653" s="462">
        <v>78</v>
      </c>
      <c r="R653" s="462">
        <v>43917</v>
      </c>
      <c r="S653" s="463">
        <v>537</v>
      </c>
      <c r="T653" s="464">
        <v>3.6</v>
      </c>
      <c r="U653" s="465">
        <v>1933.2</v>
      </c>
      <c r="V653" s="465">
        <v>16560</v>
      </c>
      <c r="W653" s="466">
        <v>0</v>
      </c>
      <c r="X653" s="467">
        <v>1</v>
      </c>
      <c r="Y653" s="466">
        <v>27739.8</v>
      </c>
      <c r="Z653" s="468" t="s">
        <v>516</v>
      </c>
      <c r="AA653" s="466">
        <v>109783.8</v>
      </c>
      <c r="AB653" s="466">
        <v>109783.8</v>
      </c>
      <c r="AC653" s="467">
        <v>0</v>
      </c>
      <c r="AD653" s="466">
        <v>0</v>
      </c>
      <c r="AE653" s="468" t="s">
        <v>516</v>
      </c>
      <c r="AF653" s="466">
        <v>0</v>
      </c>
      <c r="AG653" s="466">
        <v>0</v>
      </c>
      <c r="AH653" s="466">
        <v>3444.11</v>
      </c>
      <c r="AI653" s="466">
        <v>74.319999999999993</v>
      </c>
      <c r="AJ653" s="469" t="s">
        <v>2004</v>
      </c>
      <c r="AK653" s="470" t="s">
        <v>2005</v>
      </c>
      <c r="AL653" s="471" t="s">
        <v>6224</v>
      </c>
      <c r="AM653" s="470" t="s">
        <v>13396</v>
      </c>
      <c r="AN653" s="470" t="s">
        <v>13395</v>
      </c>
      <c r="AO653" s="470" t="s">
        <v>13397</v>
      </c>
      <c r="AP653" s="470" t="s">
        <v>6225</v>
      </c>
      <c r="AQ653" s="470" t="s">
        <v>6222</v>
      </c>
      <c r="AR653" s="472" t="s">
        <v>515</v>
      </c>
      <c r="AS653" s="473" t="s">
        <v>1385</v>
      </c>
      <c r="AT653" s="472" t="s">
        <v>1390</v>
      </c>
      <c r="AU653" s="472" t="s">
        <v>420</v>
      </c>
      <c r="AV653" s="472">
        <v>2020</v>
      </c>
      <c r="AW653" s="474" t="s">
        <v>15078</v>
      </c>
      <c r="AX653" s="475" t="s">
        <v>15079</v>
      </c>
      <c r="AY653" s="515">
        <v>1</v>
      </c>
      <c r="AZ653" s="474" t="s">
        <v>15079</v>
      </c>
      <c r="BA653" s="472" t="s">
        <v>1390</v>
      </c>
      <c r="BB653" s="472" t="s">
        <v>1385</v>
      </c>
      <c r="BC653" s="472" t="s">
        <v>1385</v>
      </c>
      <c r="BD653" s="472" t="s">
        <v>1385</v>
      </c>
      <c r="BE653" s="472" t="s">
        <v>1385</v>
      </c>
      <c r="BF653" s="472">
        <v>27739.8</v>
      </c>
      <c r="BG653" s="472">
        <v>0</v>
      </c>
      <c r="BH653" s="472" t="s">
        <v>1385</v>
      </c>
      <c r="BI653" s="510">
        <v>0</v>
      </c>
      <c r="BJ653" s="510">
        <v>0</v>
      </c>
      <c r="BK653" s="510">
        <v>0</v>
      </c>
      <c r="BL653" s="510">
        <v>0</v>
      </c>
      <c r="BM653" s="510">
        <v>0</v>
      </c>
      <c r="BN653" s="510">
        <v>4000</v>
      </c>
      <c r="BO653" s="510">
        <v>0</v>
      </c>
      <c r="BP653" s="510">
        <v>0</v>
      </c>
      <c r="BQ653" s="510">
        <v>0</v>
      </c>
      <c r="BR653" s="510">
        <v>0</v>
      </c>
      <c r="BS653" s="510">
        <v>0</v>
      </c>
      <c r="BT653" s="510">
        <v>0</v>
      </c>
      <c r="BU653" s="510">
        <v>0</v>
      </c>
      <c r="BV653" s="510">
        <v>0</v>
      </c>
      <c r="BW653" s="510">
        <v>0</v>
      </c>
      <c r="BX653" s="510">
        <v>30000</v>
      </c>
      <c r="BY653" s="1011">
        <v>0</v>
      </c>
      <c r="BZ653" s="510">
        <v>0</v>
      </c>
      <c r="CA653" s="1011">
        <v>0</v>
      </c>
      <c r="CB653" s="510">
        <v>0</v>
      </c>
      <c r="CC653" s="1011">
        <v>0</v>
      </c>
      <c r="CD653" s="510">
        <v>0</v>
      </c>
      <c r="CE653" s="1011">
        <v>0</v>
      </c>
      <c r="CF653" s="510">
        <v>52044</v>
      </c>
      <c r="CG653" s="1011">
        <v>0</v>
      </c>
      <c r="CH653" s="510">
        <v>0</v>
      </c>
      <c r="CI653" s="1011">
        <v>0</v>
      </c>
    </row>
    <row r="654" spans="1:87" x14ac:dyDescent="0.2">
      <c r="A654" s="449">
        <v>74</v>
      </c>
      <c r="B654" s="453">
        <v>91421</v>
      </c>
      <c r="C654" s="454" t="s">
        <v>6226</v>
      </c>
      <c r="D654" s="454" t="s">
        <v>1390</v>
      </c>
      <c r="E654" s="454" t="s">
        <v>6227</v>
      </c>
      <c r="F654" s="454" t="s">
        <v>527</v>
      </c>
      <c r="G654" s="454" t="s">
        <v>13398</v>
      </c>
      <c r="H654" s="455">
        <v>57065245000114</v>
      </c>
      <c r="I654" s="462">
        <v>31821</v>
      </c>
      <c r="J654" s="457">
        <v>37554921</v>
      </c>
      <c r="K654" s="454" t="s">
        <v>6228</v>
      </c>
      <c r="L654" s="458">
        <v>360</v>
      </c>
      <c r="M654" s="454" t="s">
        <v>3465</v>
      </c>
      <c r="N654" s="459">
        <v>3721080</v>
      </c>
      <c r="O654" s="460">
        <v>29578588</v>
      </c>
      <c r="P654" s="462">
        <v>241701</v>
      </c>
      <c r="Q654" s="462">
        <v>34</v>
      </c>
      <c r="R654" s="462">
        <v>43917</v>
      </c>
      <c r="S654" s="463">
        <v>404</v>
      </c>
      <c r="T654" s="464">
        <v>3.6</v>
      </c>
      <c r="U654" s="465">
        <v>1454.4</v>
      </c>
      <c r="V654" s="465">
        <v>15120</v>
      </c>
      <c r="W654" s="466">
        <v>0</v>
      </c>
      <c r="X654" s="467">
        <v>1</v>
      </c>
      <c r="Y654" s="466">
        <v>24861.599999999999</v>
      </c>
      <c r="Z654" s="468" t="s">
        <v>516</v>
      </c>
      <c r="AA654" s="466">
        <v>100036.8</v>
      </c>
      <c r="AB654" s="466">
        <v>100036.8</v>
      </c>
      <c r="AC654" s="467">
        <v>0</v>
      </c>
      <c r="AD654" s="466">
        <v>0</v>
      </c>
      <c r="AE654" s="468" t="s">
        <v>516</v>
      </c>
      <c r="AF654" s="466">
        <v>0</v>
      </c>
      <c r="AG654" s="466">
        <v>0</v>
      </c>
      <c r="AH654" s="466">
        <v>20057.84</v>
      </c>
      <c r="AI654" s="466">
        <v>10434.969999999999</v>
      </c>
      <c r="AJ654" s="469" t="s">
        <v>3829</v>
      </c>
      <c r="AK654" s="470" t="s">
        <v>3830</v>
      </c>
      <c r="AL654" s="471" t="s">
        <v>6229</v>
      </c>
      <c r="AM654" s="470" t="s">
        <v>6230</v>
      </c>
      <c r="AN654" s="470" t="s">
        <v>13399</v>
      </c>
      <c r="AO654" s="470" t="s">
        <v>13400</v>
      </c>
      <c r="AP654" s="470" t="s">
        <v>6231</v>
      </c>
      <c r="AQ654" s="470" t="s">
        <v>6226</v>
      </c>
      <c r="AR654" s="472" t="s">
        <v>515</v>
      </c>
      <c r="AS654" s="473" t="s">
        <v>1385</v>
      </c>
      <c r="AT654" s="472" t="s">
        <v>1390</v>
      </c>
      <c r="AU654" s="472" t="s">
        <v>420</v>
      </c>
      <c r="AV654" s="472">
        <v>2020</v>
      </c>
      <c r="AW654" s="474" t="s">
        <v>15078</v>
      </c>
      <c r="AX654" s="475" t="s">
        <v>15079</v>
      </c>
      <c r="AY654" s="515">
        <v>1</v>
      </c>
      <c r="AZ654" s="474" t="s">
        <v>15079</v>
      </c>
      <c r="BA654" s="472" t="s">
        <v>1390</v>
      </c>
      <c r="BB654" s="472" t="s">
        <v>1385</v>
      </c>
      <c r="BC654" s="472" t="s">
        <v>1385</v>
      </c>
      <c r="BD654" s="472" t="s">
        <v>1385</v>
      </c>
      <c r="BE654" s="472" t="s">
        <v>1385</v>
      </c>
      <c r="BF654" s="472">
        <v>24861.599999999999</v>
      </c>
      <c r="BG654" s="472">
        <v>0</v>
      </c>
      <c r="BH654" s="472" t="s">
        <v>1385</v>
      </c>
      <c r="BI654" s="510">
        <v>0</v>
      </c>
      <c r="BJ654" s="510">
        <v>0</v>
      </c>
      <c r="BK654" s="510">
        <v>0</v>
      </c>
      <c r="BL654" s="510">
        <v>0</v>
      </c>
      <c r="BM654" s="510">
        <v>0</v>
      </c>
      <c r="BN654" s="510">
        <v>4000</v>
      </c>
      <c r="BO654" s="510">
        <v>0</v>
      </c>
      <c r="BP654" s="510">
        <v>0</v>
      </c>
      <c r="BQ654" s="510">
        <v>0</v>
      </c>
      <c r="BR654" s="510">
        <v>0</v>
      </c>
      <c r="BS654" s="510">
        <v>0</v>
      </c>
      <c r="BT654" s="510">
        <v>0</v>
      </c>
      <c r="BU654" s="510">
        <v>0</v>
      </c>
      <c r="BV654" s="510">
        <v>0</v>
      </c>
      <c r="BW654" s="510">
        <v>0</v>
      </c>
      <c r="BX654" s="510">
        <v>30000</v>
      </c>
      <c r="BY654" s="1011">
        <v>0</v>
      </c>
      <c r="BZ654" s="510">
        <v>0</v>
      </c>
      <c r="CA654" s="1011">
        <v>0</v>
      </c>
      <c r="CB654" s="510">
        <v>0</v>
      </c>
      <c r="CC654" s="1011">
        <v>0</v>
      </c>
      <c r="CD654" s="510">
        <v>0</v>
      </c>
      <c r="CE654" s="1011">
        <v>0</v>
      </c>
      <c r="CF654" s="510">
        <v>45175.199999999997</v>
      </c>
      <c r="CG654" s="1011">
        <v>0</v>
      </c>
      <c r="CH654" s="510">
        <v>0</v>
      </c>
      <c r="CI654" s="1011">
        <v>0</v>
      </c>
    </row>
    <row r="655" spans="1:87" x14ac:dyDescent="0.2">
      <c r="A655" s="449">
        <v>77</v>
      </c>
      <c r="B655" s="453">
        <v>91430</v>
      </c>
      <c r="C655" s="454" t="s">
        <v>6232</v>
      </c>
      <c r="D655" s="454" t="s">
        <v>1390</v>
      </c>
      <c r="E655" s="454" t="s">
        <v>6233</v>
      </c>
      <c r="F655" s="454" t="s">
        <v>522</v>
      </c>
      <c r="G655" s="454" t="s">
        <v>13401</v>
      </c>
      <c r="H655" s="455">
        <v>50951045000110</v>
      </c>
      <c r="I655" s="462">
        <v>30217</v>
      </c>
      <c r="J655" s="457">
        <v>37587153</v>
      </c>
      <c r="K655" s="454" t="s">
        <v>6234</v>
      </c>
      <c r="L655" s="458">
        <v>356</v>
      </c>
      <c r="M655" s="454" t="s">
        <v>1437</v>
      </c>
      <c r="N655" s="459">
        <v>2731000</v>
      </c>
      <c r="O655" s="460">
        <v>39313871</v>
      </c>
      <c r="P655" s="462">
        <v>95799</v>
      </c>
      <c r="Q655" s="462">
        <v>22</v>
      </c>
      <c r="R655" s="462">
        <v>43922</v>
      </c>
      <c r="S655" s="463">
        <v>471</v>
      </c>
      <c r="T655" s="464">
        <v>3.6</v>
      </c>
      <c r="U655" s="465">
        <v>1695.6</v>
      </c>
      <c r="V655" s="465">
        <v>15120</v>
      </c>
      <c r="W655" s="466">
        <v>0</v>
      </c>
      <c r="X655" s="467">
        <v>1</v>
      </c>
      <c r="Y655" s="466">
        <v>25223.4</v>
      </c>
      <c r="Z655" s="468" t="s">
        <v>516</v>
      </c>
      <c r="AA655" s="466">
        <v>103811.4</v>
      </c>
      <c r="AB655" s="466">
        <v>103811.4</v>
      </c>
      <c r="AC655" s="467">
        <v>0</v>
      </c>
      <c r="AD655" s="466">
        <v>0</v>
      </c>
      <c r="AE655" s="468" t="s">
        <v>516</v>
      </c>
      <c r="AF655" s="466">
        <v>0</v>
      </c>
      <c r="AG655" s="466">
        <v>0</v>
      </c>
      <c r="AH655" s="466">
        <v>15636.32</v>
      </c>
      <c r="AI655" s="466">
        <v>3363.12</v>
      </c>
      <c r="AJ655" s="469" t="s">
        <v>1438</v>
      </c>
      <c r="AK655" s="470" t="s">
        <v>12345</v>
      </c>
      <c r="AL655" s="471" t="s">
        <v>6235</v>
      </c>
      <c r="AM655" s="470" t="s">
        <v>6236</v>
      </c>
      <c r="AN655" s="470" t="s">
        <v>1385</v>
      </c>
      <c r="AO655" s="470" t="s">
        <v>6237</v>
      </c>
      <c r="AP655" s="470" t="s">
        <v>6238</v>
      </c>
      <c r="AQ655" s="470" t="s">
        <v>6232</v>
      </c>
      <c r="AR655" s="472" t="s">
        <v>515</v>
      </c>
      <c r="AS655" s="473" t="s">
        <v>1385</v>
      </c>
      <c r="AT655" s="472" t="s">
        <v>1390</v>
      </c>
      <c r="AU655" s="472" t="s">
        <v>420</v>
      </c>
      <c r="AV655" s="472">
        <v>2020</v>
      </c>
      <c r="AW655" s="474" t="s">
        <v>15078</v>
      </c>
      <c r="AX655" s="475" t="s">
        <v>15079</v>
      </c>
      <c r="AY655" s="515">
        <v>1</v>
      </c>
      <c r="AZ655" s="474" t="s">
        <v>15079</v>
      </c>
      <c r="BA655" s="472" t="s">
        <v>1390</v>
      </c>
      <c r="BB655" s="472" t="s">
        <v>1385</v>
      </c>
      <c r="BC655" s="472" t="s">
        <v>1385</v>
      </c>
      <c r="BD655" s="472" t="s">
        <v>1385</v>
      </c>
      <c r="BE655" s="472" t="s">
        <v>1385</v>
      </c>
      <c r="BF655" s="472">
        <v>25223.4</v>
      </c>
      <c r="BG655" s="472">
        <v>0</v>
      </c>
      <c r="BH655" s="472" t="s">
        <v>1385</v>
      </c>
      <c r="BI655" s="510">
        <v>0</v>
      </c>
      <c r="BJ655" s="510">
        <v>0</v>
      </c>
      <c r="BK655" s="510">
        <v>0</v>
      </c>
      <c r="BL655" s="510">
        <v>0</v>
      </c>
      <c r="BM655" s="510">
        <v>0</v>
      </c>
      <c r="BN655" s="510">
        <v>4000</v>
      </c>
      <c r="BO655" s="510">
        <v>0</v>
      </c>
      <c r="BP655" s="510">
        <v>0</v>
      </c>
      <c r="BQ655" s="510">
        <v>0</v>
      </c>
      <c r="BR655" s="510">
        <v>0</v>
      </c>
      <c r="BS655" s="510">
        <v>0</v>
      </c>
      <c r="BT655" s="510">
        <v>0</v>
      </c>
      <c r="BU655" s="510">
        <v>0</v>
      </c>
      <c r="BV655" s="510">
        <v>0</v>
      </c>
      <c r="BW655" s="510">
        <v>0</v>
      </c>
      <c r="BX655" s="510">
        <v>30000</v>
      </c>
      <c r="BY655" s="1011">
        <v>0</v>
      </c>
      <c r="BZ655" s="510">
        <v>0</v>
      </c>
      <c r="CA655" s="1011">
        <v>0</v>
      </c>
      <c r="CB655" s="510">
        <v>0</v>
      </c>
      <c r="CC655" s="1011">
        <v>0</v>
      </c>
      <c r="CD655" s="510">
        <v>0</v>
      </c>
      <c r="CE655" s="1011">
        <v>0</v>
      </c>
      <c r="CF655" s="510">
        <v>48588</v>
      </c>
      <c r="CG655" s="1011">
        <v>0</v>
      </c>
      <c r="CH655" s="510">
        <v>0</v>
      </c>
      <c r="CI655" s="1011">
        <v>0</v>
      </c>
    </row>
    <row r="656" spans="1:87" x14ac:dyDescent="0.2">
      <c r="A656" s="449">
        <v>83</v>
      </c>
      <c r="B656" s="453">
        <v>91448</v>
      </c>
      <c r="C656" s="454" t="s">
        <v>6239</v>
      </c>
      <c r="D656" s="454" t="s">
        <v>1390</v>
      </c>
      <c r="E656" s="454" t="s">
        <v>6240</v>
      </c>
      <c r="F656" s="454" t="s">
        <v>522</v>
      </c>
      <c r="G656" s="454" t="s">
        <v>13402</v>
      </c>
      <c r="H656" s="455">
        <v>52034428000159</v>
      </c>
      <c r="I656" s="462">
        <v>30299</v>
      </c>
      <c r="J656" s="457">
        <v>37605275</v>
      </c>
      <c r="K656" s="454" t="s">
        <v>6241</v>
      </c>
      <c r="L656" s="458" t="s">
        <v>1446</v>
      </c>
      <c r="M656" s="454" t="s">
        <v>1437</v>
      </c>
      <c r="N656" s="459">
        <v>2803030</v>
      </c>
      <c r="O656" s="460">
        <v>39756643</v>
      </c>
      <c r="P656" s="462">
        <v>75160</v>
      </c>
      <c r="Q656" s="462">
        <v>28</v>
      </c>
      <c r="R656" s="462">
        <v>43911</v>
      </c>
      <c r="S656" s="463">
        <v>259</v>
      </c>
      <c r="T656" s="464">
        <v>3.6</v>
      </c>
      <c r="U656" s="465">
        <v>932.4</v>
      </c>
      <c r="V656" s="465">
        <v>12240</v>
      </c>
      <c r="W656" s="466">
        <v>0</v>
      </c>
      <c r="X656" s="467">
        <v>1</v>
      </c>
      <c r="Y656" s="466">
        <v>19758.599999999999</v>
      </c>
      <c r="Z656" s="468" t="s">
        <v>516</v>
      </c>
      <c r="AA656" s="466">
        <v>91175.4</v>
      </c>
      <c r="AB656" s="466">
        <v>91175.4</v>
      </c>
      <c r="AC656" s="467">
        <v>0</v>
      </c>
      <c r="AD656" s="466">
        <v>0</v>
      </c>
      <c r="AE656" s="468" t="s">
        <v>516</v>
      </c>
      <c r="AF656" s="466">
        <v>0</v>
      </c>
      <c r="AG656" s="466">
        <v>0</v>
      </c>
      <c r="AH656" s="466">
        <v>12166.08</v>
      </c>
      <c r="AI656" s="466">
        <v>497.35</v>
      </c>
      <c r="AJ656" s="469" t="s">
        <v>1438</v>
      </c>
      <c r="AK656" s="470" t="s">
        <v>12345</v>
      </c>
      <c r="AL656" s="471" t="s">
        <v>13403</v>
      </c>
      <c r="AM656" s="470" t="s">
        <v>6242</v>
      </c>
      <c r="AN656" s="470" t="s">
        <v>1385</v>
      </c>
      <c r="AO656" s="470" t="s">
        <v>6243</v>
      </c>
      <c r="AP656" s="470" t="s">
        <v>6244</v>
      </c>
      <c r="AQ656" s="470" t="s">
        <v>6239</v>
      </c>
      <c r="AR656" s="472" t="s">
        <v>515</v>
      </c>
      <c r="AS656" s="473" t="s">
        <v>1385</v>
      </c>
      <c r="AT656" s="472" t="s">
        <v>1390</v>
      </c>
      <c r="AU656" s="472" t="s">
        <v>420</v>
      </c>
      <c r="AV656" s="472">
        <v>2020</v>
      </c>
      <c r="AW656" s="474" t="s">
        <v>15078</v>
      </c>
      <c r="AX656" s="475" t="s">
        <v>15079</v>
      </c>
      <c r="AY656" s="515">
        <v>1</v>
      </c>
      <c r="AZ656" s="474" t="s">
        <v>15079</v>
      </c>
      <c r="BA656" s="472" t="s">
        <v>1390</v>
      </c>
      <c r="BB656" s="472" t="s">
        <v>1385</v>
      </c>
      <c r="BC656" s="472" t="s">
        <v>1385</v>
      </c>
      <c r="BD656" s="472" t="s">
        <v>1385</v>
      </c>
      <c r="BE656" s="472" t="s">
        <v>1385</v>
      </c>
      <c r="BF656" s="472">
        <v>19758.599999999999</v>
      </c>
      <c r="BG656" s="472">
        <v>0</v>
      </c>
      <c r="BH656" s="472" t="s">
        <v>1385</v>
      </c>
      <c r="BI656" s="510">
        <v>0</v>
      </c>
      <c r="BJ656" s="510">
        <v>0</v>
      </c>
      <c r="BK656" s="510">
        <v>0</v>
      </c>
      <c r="BL656" s="510">
        <v>0</v>
      </c>
      <c r="BM656" s="510">
        <v>0</v>
      </c>
      <c r="BN656" s="510">
        <v>3500</v>
      </c>
      <c r="BO656" s="510">
        <v>0</v>
      </c>
      <c r="BP656" s="510">
        <v>0</v>
      </c>
      <c r="BQ656" s="510">
        <v>0</v>
      </c>
      <c r="BR656" s="510">
        <v>0</v>
      </c>
      <c r="BS656" s="510">
        <v>0</v>
      </c>
      <c r="BT656" s="510">
        <v>0</v>
      </c>
      <c r="BU656" s="510">
        <v>0</v>
      </c>
      <c r="BV656" s="510">
        <v>0</v>
      </c>
      <c r="BW656" s="510">
        <v>0</v>
      </c>
      <c r="BX656" s="510">
        <v>30000</v>
      </c>
      <c r="BY656" s="1011">
        <v>0</v>
      </c>
      <c r="BZ656" s="510">
        <v>0</v>
      </c>
      <c r="CA656" s="1011">
        <v>0</v>
      </c>
      <c r="CB656" s="510">
        <v>0</v>
      </c>
      <c r="CC656" s="1011">
        <v>0</v>
      </c>
      <c r="CD656" s="510">
        <v>0</v>
      </c>
      <c r="CE656" s="1011">
        <v>0</v>
      </c>
      <c r="CF656" s="510">
        <v>41416.800000000003</v>
      </c>
      <c r="CG656" s="1011">
        <v>0</v>
      </c>
      <c r="CH656" s="510">
        <v>0</v>
      </c>
      <c r="CI656" s="1011">
        <v>0</v>
      </c>
    </row>
    <row r="657" spans="1:87" x14ac:dyDescent="0.2">
      <c r="A657" s="449">
        <v>71</v>
      </c>
      <c r="B657" s="453">
        <v>91456</v>
      </c>
      <c r="C657" s="454" t="s">
        <v>6245</v>
      </c>
      <c r="D657" s="454" t="s">
        <v>1390</v>
      </c>
      <c r="E657" s="454" t="s">
        <v>6246</v>
      </c>
      <c r="F657" s="454" t="s">
        <v>522</v>
      </c>
      <c r="G657" s="454" t="s">
        <v>13404</v>
      </c>
      <c r="H657" s="455">
        <v>51931673000104</v>
      </c>
      <c r="I657" s="462">
        <v>30244</v>
      </c>
      <c r="J657" s="457">
        <v>37587110</v>
      </c>
      <c r="K657" s="454" t="s">
        <v>6247</v>
      </c>
      <c r="L657" s="458">
        <v>1347</v>
      </c>
      <c r="M657" s="454" t="s">
        <v>1437</v>
      </c>
      <c r="N657" s="459">
        <v>2842280</v>
      </c>
      <c r="O657" s="460">
        <v>39241946</v>
      </c>
      <c r="P657" s="462">
        <v>86153</v>
      </c>
      <c r="Q657" s="462">
        <v>16</v>
      </c>
      <c r="R657" s="462">
        <v>43911</v>
      </c>
      <c r="S657" s="463">
        <v>517</v>
      </c>
      <c r="T657" s="464">
        <v>3.6</v>
      </c>
      <c r="U657" s="465">
        <v>1861.2</v>
      </c>
      <c r="V657" s="465">
        <v>16560</v>
      </c>
      <c r="W657" s="466">
        <v>0</v>
      </c>
      <c r="X657" s="467">
        <v>1</v>
      </c>
      <c r="Y657" s="466">
        <v>27631.8</v>
      </c>
      <c r="Z657" s="468" t="s">
        <v>516</v>
      </c>
      <c r="AA657" s="466">
        <v>109452.6</v>
      </c>
      <c r="AB657" s="466">
        <v>109452.6</v>
      </c>
      <c r="AC657" s="467">
        <v>0</v>
      </c>
      <c r="AD657" s="466">
        <v>0</v>
      </c>
      <c r="AE657" s="468" t="s">
        <v>516</v>
      </c>
      <c r="AF657" s="466">
        <v>0</v>
      </c>
      <c r="AG657" s="466">
        <v>0</v>
      </c>
      <c r="AH657" s="466">
        <v>11206.5</v>
      </c>
      <c r="AI657" s="466">
        <v>3950.6</v>
      </c>
      <c r="AJ657" s="469" t="s">
        <v>1438</v>
      </c>
      <c r="AK657" s="470" t="s">
        <v>12345</v>
      </c>
      <c r="AL657" s="471" t="s">
        <v>6248</v>
      </c>
      <c r="AM657" s="470" t="s">
        <v>6249</v>
      </c>
      <c r="AN657" s="470" t="s">
        <v>1385</v>
      </c>
      <c r="AO657" s="470" t="s">
        <v>6250</v>
      </c>
      <c r="AP657" s="470" t="s">
        <v>6251</v>
      </c>
      <c r="AQ657" s="470" t="s">
        <v>6245</v>
      </c>
      <c r="AR657" s="472" t="s">
        <v>515</v>
      </c>
      <c r="AS657" s="473" t="s">
        <v>1385</v>
      </c>
      <c r="AT657" s="472" t="s">
        <v>1390</v>
      </c>
      <c r="AU657" s="472" t="s">
        <v>420</v>
      </c>
      <c r="AV657" s="472">
        <v>2020</v>
      </c>
      <c r="AW657" s="474" t="s">
        <v>15078</v>
      </c>
      <c r="AX657" s="475" t="s">
        <v>15079</v>
      </c>
      <c r="AY657" s="515">
        <v>1</v>
      </c>
      <c r="AZ657" s="474" t="s">
        <v>15079</v>
      </c>
      <c r="BA657" s="472" t="s">
        <v>1390</v>
      </c>
      <c r="BB657" s="472" t="s">
        <v>1385</v>
      </c>
      <c r="BC657" s="472" t="s">
        <v>1385</v>
      </c>
      <c r="BD657" s="472" t="s">
        <v>1385</v>
      </c>
      <c r="BE657" s="472" t="s">
        <v>1385</v>
      </c>
      <c r="BF657" s="472">
        <v>27631.8</v>
      </c>
      <c r="BG657" s="472">
        <v>0</v>
      </c>
      <c r="BH657" s="472" t="s">
        <v>1385</v>
      </c>
      <c r="BI657" s="510">
        <v>0</v>
      </c>
      <c r="BJ657" s="510">
        <v>0</v>
      </c>
      <c r="BK657" s="510">
        <v>0</v>
      </c>
      <c r="BL657" s="510">
        <v>0</v>
      </c>
      <c r="BM657" s="510">
        <v>0</v>
      </c>
      <c r="BN657" s="510">
        <v>4000</v>
      </c>
      <c r="BO657" s="510">
        <v>0</v>
      </c>
      <c r="BP657" s="510">
        <v>0</v>
      </c>
      <c r="BQ657" s="510">
        <v>0</v>
      </c>
      <c r="BR657" s="510">
        <v>0</v>
      </c>
      <c r="BS657" s="510">
        <v>0</v>
      </c>
      <c r="BT657" s="510">
        <v>0</v>
      </c>
      <c r="BU657" s="510">
        <v>0</v>
      </c>
      <c r="BV657" s="510">
        <v>0</v>
      </c>
      <c r="BW657" s="510">
        <v>0</v>
      </c>
      <c r="BX657" s="510">
        <v>30000</v>
      </c>
      <c r="BY657" s="1011">
        <v>0</v>
      </c>
      <c r="BZ657" s="510">
        <v>0</v>
      </c>
      <c r="CA657" s="1011">
        <v>0</v>
      </c>
      <c r="CB657" s="510">
        <v>0</v>
      </c>
      <c r="CC657" s="1011">
        <v>0</v>
      </c>
      <c r="CD657" s="510">
        <v>0</v>
      </c>
      <c r="CE657" s="1011">
        <v>0</v>
      </c>
      <c r="CF657" s="510">
        <v>51820.800000000003</v>
      </c>
      <c r="CG657" s="1011">
        <v>0</v>
      </c>
      <c r="CH657" s="510">
        <v>0</v>
      </c>
      <c r="CI657" s="1011">
        <v>0</v>
      </c>
    </row>
    <row r="658" spans="1:87" x14ac:dyDescent="0.2">
      <c r="A658" s="449">
        <v>56</v>
      </c>
      <c r="B658" s="453">
        <v>91464</v>
      </c>
      <c r="C658" s="454" t="s">
        <v>6252</v>
      </c>
      <c r="D658" s="454" t="s">
        <v>1390</v>
      </c>
      <c r="E658" s="454" t="s">
        <v>6253</v>
      </c>
      <c r="F658" s="454" t="s">
        <v>522</v>
      </c>
      <c r="G658" s="454" t="s">
        <v>13405</v>
      </c>
      <c r="H658" s="455">
        <v>50864065000153</v>
      </c>
      <c r="I658" s="462">
        <v>30159</v>
      </c>
      <c r="J658" s="457">
        <v>37588915</v>
      </c>
      <c r="K658" s="454" t="s">
        <v>6254</v>
      </c>
      <c r="L658" s="458">
        <v>182</v>
      </c>
      <c r="M658" s="454" t="s">
        <v>1437</v>
      </c>
      <c r="N658" s="459">
        <v>2965140</v>
      </c>
      <c r="O658" s="460">
        <v>39752738</v>
      </c>
      <c r="P658" s="462">
        <v>74970</v>
      </c>
      <c r="Q658" s="462">
        <v>1</v>
      </c>
      <c r="R658" s="462">
        <v>43922</v>
      </c>
      <c r="S658" s="463">
        <v>399</v>
      </c>
      <c r="T658" s="464">
        <v>3.6</v>
      </c>
      <c r="U658" s="465">
        <v>1436.4</v>
      </c>
      <c r="V658" s="465">
        <v>13680</v>
      </c>
      <c r="W658" s="466">
        <v>0</v>
      </c>
      <c r="X658" s="467">
        <v>1</v>
      </c>
      <c r="Y658" s="466">
        <v>22674.6</v>
      </c>
      <c r="Z658" s="468" t="s">
        <v>516</v>
      </c>
      <c r="AA658" s="466">
        <v>100895.4</v>
      </c>
      <c r="AB658" s="466">
        <v>100895.4</v>
      </c>
      <c r="AC658" s="467">
        <v>0</v>
      </c>
      <c r="AD658" s="466">
        <v>0</v>
      </c>
      <c r="AE658" s="468" t="s">
        <v>516</v>
      </c>
      <c r="AF658" s="466">
        <v>0</v>
      </c>
      <c r="AG658" s="466">
        <v>0</v>
      </c>
      <c r="AH658" s="466">
        <v>13454.11</v>
      </c>
      <c r="AI658" s="466">
        <v>4540.67</v>
      </c>
      <c r="AJ658" s="469" t="s">
        <v>1438</v>
      </c>
      <c r="AK658" s="470" t="s">
        <v>12345</v>
      </c>
      <c r="AL658" s="471" t="s">
        <v>6255</v>
      </c>
      <c r="AM658" s="470" t="s">
        <v>6256</v>
      </c>
      <c r="AN658" s="470" t="s">
        <v>1385</v>
      </c>
      <c r="AO658" s="470" t="s">
        <v>13406</v>
      </c>
      <c r="AP658" s="470" t="s">
        <v>6257</v>
      </c>
      <c r="AQ658" s="470" t="s">
        <v>6252</v>
      </c>
      <c r="AR658" s="472" t="s">
        <v>515</v>
      </c>
      <c r="AS658" s="473" t="s">
        <v>1385</v>
      </c>
      <c r="AT658" s="472" t="s">
        <v>1390</v>
      </c>
      <c r="AU658" s="472" t="s">
        <v>420</v>
      </c>
      <c r="AV658" s="472">
        <v>2020</v>
      </c>
      <c r="AW658" s="474" t="s">
        <v>15078</v>
      </c>
      <c r="AX658" s="475" t="s">
        <v>15079</v>
      </c>
      <c r="AY658" s="515">
        <v>1</v>
      </c>
      <c r="AZ658" s="474" t="s">
        <v>15079</v>
      </c>
      <c r="BA658" s="472" t="s">
        <v>1390</v>
      </c>
      <c r="BB658" s="472" t="s">
        <v>1385</v>
      </c>
      <c r="BC658" s="472" t="s">
        <v>1385</v>
      </c>
      <c r="BD658" s="472" t="s">
        <v>1385</v>
      </c>
      <c r="BE658" s="472" t="s">
        <v>1385</v>
      </c>
      <c r="BF658" s="472">
        <v>22674.6</v>
      </c>
      <c r="BG658" s="472">
        <v>0</v>
      </c>
      <c r="BH658" s="472" t="s">
        <v>1385</v>
      </c>
      <c r="BI658" s="510">
        <v>0</v>
      </c>
      <c r="BJ658" s="510">
        <v>0</v>
      </c>
      <c r="BK658" s="510">
        <v>0</v>
      </c>
      <c r="BL658" s="510">
        <v>0</v>
      </c>
      <c r="BM658" s="510">
        <v>0</v>
      </c>
      <c r="BN658" s="510">
        <v>3500</v>
      </c>
      <c r="BO658" s="510">
        <v>0</v>
      </c>
      <c r="BP658" s="510">
        <v>0</v>
      </c>
      <c r="BQ658" s="510">
        <v>0</v>
      </c>
      <c r="BR658" s="510">
        <v>0</v>
      </c>
      <c r="BS658" s="510">
        <v>0</v>
      </c>
      <c r="BT658" s="510">
        <v>0</v>
      </c>
      <c r="BU658" s="510">
        <v>0</v>
      </c>
      <c r="BV658" s="510">
        <v>0</v>
      </c>
      <c r="BW658" s="510">
        <v>0</v>
      </c>
      <c r="BX658" s="510">
        <v>30000</v>
      </c>
      <c r="BY658" s="1011">
        <v>0</v>
      </c>
      <c r="BZ658" s="510">
        <v>0</v>
      </c>
      <c r="CA658" s="1011">
        <v>0</v>
      </c>
      <c r="CB658" s="510">
        <v>0</v>
      </c>
      <c r="CC658" s="1011">
        <v>0</v>
      </c>
      <c r="CD658" s="510">
        <v>0</v>
      </c>
      <c r="CE658" s="1011">
        <v>0</v>
      </c>
      <c r="CF658" s="510">
        <v>48220.800000000003</v>
      </c>
      <c r="CG658" s="1011">
        <v>0</v>
      </c>
      <c r="CH658" s="510">
        <v>0</v>
      </c>
      <c r="CI658" s="1011">
        <v>0</v>
      </c>
    </row>
    <row r="659" spans="1:87" x14ac:dyDescent="0.2">
      <c r="A659" s="449">
        <v>73</v>
      </c>
      <c r="B659" s="453">
        <v>91472</v>
      </c>
      <c r="C659" s="454" t="s">
        <v>6258</v>
      </c>
      <c r="D659" s="454" t="s">
        <v>1390</v>
      </c>
      <c r="E659" s="454" t="s">
        <v>6259</v>
      </c>
      <c r="F659" s="454" t="s">
        <v>522</v>
      </c>
      <c r="G659" s="454" t="s">
        <v>13407</v>
      </c>
      <c r="H659" s="455">
        <v>50861418000161</v>
      </c>
      <c r="I659" s="462">
        <v>30173</v>
      </c>
      <c r="J659" s="457">
        <v>37587129</v>
      </c>
      <c r="K659" s="454" t="s">
        <v>6260</v>
      </c>
      <c r="L659" s="458">
        <v>2</v>
      </c>
      <c r="M659" s="454" t="s">
        <v>6261</v>
      </c>
      <c r="N659" s="459">
        <v>2855030</v>
      </c>
      <c r="O659" s="460">
        <v>39213260</v>
      </c>
      <c r="P659" s="462">
        <v>73361</v>
      </c>
      <c r="Q659" s="462">
        <v>18</v>
      </c>
      <c r="R659" s="462">
        <v>43911</v>
      </c>
      <c r="S659" s="463">
        <v>386</v>
      </c>
      <c r="T659" s="464">
        <v>3.6</v>
      </c>
      <c r="U659" s="465">
        <v>1389.6</v>
      </c>
      <c r="V659" s="465">
        <v>13680</v>
      </c>
      <c r="W659" s="466">
        <v>0</v>
      </c>
      <c r="X659" s="467">
        <v>1</v>
      </c>
      <c r="Y659" s="466">
        <v>22604.400000000001</v>
      </c>
      <c r="Z659" s="468" t="s">
        <v>516</v>
      </c>
      <c r="AA659" s="466">
        <v>97758</v>
      </c>
      <c r="AB659" s="466">
        <v>97758</v>
      </c>
      <c r="AC659" s="467">
        <v>0</v>
      </c>
      <c r="AD659" s="466">
        <v>0</v>
      </c>
      <c r="AE659" s="468" t="s">
        <v>516</v>
      </c>
      <c r="AF659" s="466">
        <v>0</v>
      </c>
      <c r="AG659" s="466">
        <v>0</v>
      </c>
      <c r="AH659" s="466">
        <v>18115.689999999999</v>
      </c>
      <c r="AI659" s="466">
        <v>7832.66</v>
      </c>
      <c r="AJ659" s="469" t="s">
        <v>1438</v>
      </c>
      <c r="AK659" s="470" t="s">
        <v>12345</v>
      </c>
      <c r="AL659" s="471" t="s">
        <v>6262</v>
      </c>
      <c r="AM659" s="470" t="s">
        <v>6263</v>
      </c>
      <c r="AN659" s="470" t="s">
        <v>1385</v>
      </c>
      <c r="AO659" s="470" t="s">
        <v>6264</v>
      </c>
      <c r="AP659" s="470" t="s">
        <v>6265</v>
      </c>
      <c r="AQ659" s="470" t="s">
        <v>6258</v>
      </c>
      <c r="AR659" s="472" t="s">
        <v>515</v>
      </c>
      <c r="AS659" s="473" t="s">
        <v>1385</v>
      </c>
      <c r="AT659" s="472" t="s">
        <v>1390</v>
      </c>
      <c r="AU659" s="472" t="s">
        <v>420</v>
      </c>
      <c r="AV659" s="472">
        <v>2020</v>
      </c>
      <c r="AW659" s="474" t="s">
        <v>15078</v>
      </c>
      <c r="AX659" s="475" t="s">
        <v>15079</v>
      </c>
      <c r="AY659" s="515">
        <v>1</v>
      </c>
      <c r="AZ659" s="474" t="s">
        <v>15079</v>
      </c>
      <c r="BA659" s="472" t="s">
        <v>1390</v>
      </c>
      <c r="BB659" s="472" t="s">
        <v>1385</v>
      </c>
      <c r="BC659" s="472" t="s">
        <v>1385</v>
      </c>
      <c r="BD659" s="472" t="s">
        <v>1385</v>
      </c>
      <c r="BE659" s="472" t="s">
        <v>1385</v>
      </c>
      <c r="BF659" s="509">
        <v>22604.400000000001</v>
      </c>
      <c r="BG659" s="509">
        <v>0</v>
      </c>
      <c r="BH659" s="472" t="s">
        <v>1385</v>
      </c>
      <c r="BI659" s="510">
        <v>0</v>
      </c>
      <c r="BJ659" s="510">
        <v>0</v>
      </c>
      <c r="BK659" s="510">
        <v>0</v>
      </c>
      <c r="BL659" s="510">
        <v>0</v>
      </c>
      <c r="BM659" s="510">
        <v>0</v>
      </c>
      <c r="BN659" s="510">
        <v>3500</v>
      </c>
      <c r="BO659" s="510">
        <v>0</v>
      </c>
      <c r="BP659" s="510">
        <v>0</v>
      </c>
      <c r="BQ659" s="510">
        <v>0</v>
      </c>
      <c r="BR659" s="510">
        <v>0</v>
      </c>
      <c r="BS659" s="510">
        <v>0</v>
      </c>
      <c r="BT659" s="510">
        <v>0</v>
      </c>
      <c r="BU659" s="510">
        <v>0</v>
      </c>
      <c r="BV659" s="510">
        <v>0</v>
      </c>
      <c r="BW659" s="510">
        <v>0</v>
      </c>
      <c r="BX659" s="510">
        <v>30000</v>
      </c>
      <c r="BY659" s="1011">
        <v>0</v>
      </c>
      <c r="BZ659" s="510">
        <v>0</v>
      </c>
      <c r="CA659" s="1011">
        <v>0</v>
      </c>
      <c r="CB659" s="510">
        <v>0</v>
      </c>
      <c r="CC659" s="1011">
        <v>0</v>
      </c>
      <c r="CD659" s="510">
        <v>0</v>
      </c>
      <c r="CE659" s="1011">
        <v>0</v>
      </c>
      <c r="CF659" s="510">
        <v>45153.599999999999</v>
      </c>
      <c r="CG659" s="1011">
        <v>0</v>
      </c>
      <c r="CH659" s="510">
        <v>0</v>
      </c>
      <c r="CI659" s="1011">
        <v>0</v>
      </c>
    </row>
    <row r="660" spans="1:87" x14ac:dyDescent="0.2">
      <c r="A660" s="449">
        <v>60</v>
      </c>
      <c r="B660" s="453">
        <v>91481</v>
      </c>
      <c r="C660" s="454" t="s">
        <v>6266</v>
      </c>
      <c r="D660" s="454" t="s">
        <v>1390</v>
      </c>
      <c r="E660" s="454" t="s">
        <v>6267</v>
      </c>
      <c r="F660" s="454" t="s">
        <v>522</v>
      </c>
      <c r="G660" s="454" t="s">
        <v>13408</v>
      </c>
      <c r="H660" s="455">
        <v>51931657000103</v>
      </c>
      <c r="I660" s="462">
        <v>30244</v>
      </c>
      <c r="J660" s="457">
        <v>37589105</v>
      </c>
      <c r="K660" s="454" t="s">
        <v>6268</v>
      </c>
      <c r="L660" s="458">
        <v>12</v>
      </c>
      <c r="M660" s="454" t="s">
        <v>6269</v>
      </c>
      <c r="N660" s="459">
        <v>2879050</v>
      </c>
      <c r="O660" s="460">
        <v>39216872</v>
      </c>
      <c r="P660" s="462">
        <v>73280</v>
      </c>
      <c r="Q660" s="462">
        <v>5</v>
      </c>
      <c r="R660" s="462">
        <v>43936</v>
      </c>
      <c r="S660" s="463">
        <v>275</v>
      </c>
      <c r="T660" s="464">
        <v>3.6</v>
      </c>
      <c r="U660" s="465">
        <v>990</v>
      </c>
      <c r="V660" s="465">
        <v>12240</v>
      </c>
      <c r="W660" s="466">
        <v>0</v>
      </c>
      <c r="X660" s="467">
        <v>1</v>
      </c>
      <c r="Y660" s="466">
        <v>19845</v>
      </c>
      <c r="Z660" s="468" t="s">
        <v>516</v>
      </c>
      <c r="AA660" s="466">
        <v>91290.6</v>
      </c>
      <c r="AB660" s="466">
        <v>91290.6</v>
      </c>
      <c r="AC660" s="467">
        <v>0</v>
      </c>
      <c r="AD660" s="466">
        <v>0</v>
      </c>
      <c r="AE660" s="468" t="s">
        <v>516</v>
      </c>
      <c r="AF660" s="466">
        <v>0</v>
      </c>
      <c r="AG660" s="466">
        <v>0</v>
      </c>
      <c r="AH660" s="466">
        <v>14140.85</v>
      </c>
      <c r="AI660" s="466">
        <v>275.82</v>
      </c>
      <c r="AJ660" s="469" t="s">
        <v>1438</v>
      </c>
      <c r="AK660" s="470" t="s">
        <v>12345</v>
      </c>
      <c r="AL660" s="471" t="s">
        <v>13409</v>
      </c>
      <c r="AM660" s="470" t="s">
        <v>13410</v>
      </c>
      <c r="AN660" s="470" t="s">
        <v>1385</v>
      </c>
      <c r="AO660" s="470" t="s">
        <v>6270</v>
      </c>
      <c r="AP660" s="470" t="s">
        <v>6271</v>
      </c>
      <c r="AQ660" s="470" t="s">
        <v>6266</v>
      </c>
      <c r="AR660" s="472" t="s">
        <v>515</v>
      </c>
      <c r="AS660" s="473" t="s">
        <v>1385</v>
      </c>
      <c r="AT660" s="472" t="s">
        <v>1390</v>
      </c>
      <c r="AU660" s="472" t="s">
        <v>420</v>
      </c>
      <c r="AV660" s="472">
        <v>2020</v>
      </c>
      <c r="AW660" s="474" t="s">
        <v>15078</v>
      </c>
      <c r="AX660" s="475" t="s">
        <v>15079</v>
      </c>
      <c r="AY660" s="515">
        <v>1</v>
      </c>
      <c r="AZ660" s="474" t="s">
        <v>15079</v>
      </c>
      <c r="BA660" s="472" t="s">
        <v>1390</v>
      </c>
      <c r="BB660" s="472" t="s">
        <v>1385</v>
      </c>
      <c r="BC660" s="472" t="s">
        <v>1385</v>
      </c>
      <c r="BD660" s="472" t="s">
        <v>1385</v>
      </c>
      <c r="BE660" s="472" t="s">
        <v>1385</v>
      </c>
      <c r="BF660" s="472">
        <v>19845</v>
      </c>
      <c r="BG660" s="472">
        <v>0</v>
      </c>
      <c r="BH660" s="472" t="s">
        <v>1385</v>
      </c>
      <c r="BI660" s="510">
        <v>0</v>
      </c>
      <c r="BJ660" s="510">
        <v>0</v>
      </c>
      <c r="BK660" s="510">
        <v>0</v>
      </c>
      <c r="BL660" s="510">
        <v>0</v>
      </c>
      <c r="BM660" s="510">
        <v>0</v>
      </c>
      <c r="BN660" s="510">
        <v>3500</v>
      </c>
      <c r="BO660" s="510">
        <v>0</v>
      </c>
      <c r="BP660" s="510">
        <v>0</v>
      </c>
      <c r="BQ660" s="510">
        <v>0</v>
      </c>
      <c r="BR660" s="510">
        <v>0</v>
      </c>
      <c r="BS660" s="510">
        <v>0</v>
      </c>
      <c r="BT660" s="510">
        <v>0</v>
      </c>
      <c r="BU660" s="510">
        <v>0</v>
      </c>
      <c r="BV660" s="510">
        <v>0</v>
      </c>
      <c r="BW660" s="510">
        <v>0</v>
      </c>
      <c r="BX660" s="510">
        <v>30000</v>
      </c>
      <c r="BY660" s="1011">
        <v>0</v>
      </c>
      <c r="BZ660" s="510">
        <v>0</v>
      </c>
      <c r="CA660" s="1011">
        <v>0</v>
      </c>
      <c r="CB660" s="510">
        <v>0</v>
      </c>
      <c r="CC660" s="1011">
        <v>0</v>
      </c>
      <c r="CD660" s="510">
        <v>0</v>
      </c>
      <c r="CE660" s="1011">
        <v>0</v>
      </c>
      <c r="CF660" s="510">
        <v>41445.599999999999</v>
      </c>
      <c r="CG660" s="1011">
        <v>0</v>
      </c>
      <c r="CH660" s="510">
        <v>0</v>
      </c>
      <c r="CI660" s="1011">
        <v>0</v>
      </c>
    </row>
    <row r="661" spans="1:87" x14ac:dyDescent="0.2">
      <c r="A661" s="449">
        <v>61</v>
      </c>
      <c r="B661" s="453">
        <v>91499</v>
      </c>
      <c r="C661" s="454" t="s">
        <v>6272</v>
      </c>
      <c r="D661" s="454" t="s">
        <v>1390</v>
      </c>
      <c r="E661" s="454" t="s">
        <v>6273</v>
      </c>
      <c r="F661" s="454" t="s">
        <v>522</v>
      </c>
      <c r="G661" s="454" t="s">
        <v>13411</v>
      </c>
      <c r="H661" s="455">
        <v>51931863000113</v>
      </c>
      <c r="I661" s="462">
        <v>30244</v>
      </c>
      <c r="J661" s="457">
        <v>37586653</v>
      </c>
      <c r="K661" s="454" t="s">
        <v>6274</v>
      </c>
      <c r="L661" s="458">
        <v>60</v>
      </c>
      <c r="M661" s="454" t="s">
        <v>6275</v>
      </c>
      <c r="N661" s="459">
        <v>2850040</v>
      </c>
      <c r="O661" s="460">
        <v>38515611</v>
      </c>
      <c r="P661" s="462">
        <v>77120</v>
      </c>
      <c r="Q661" s="462">
        <v>6</v>
      </c>
      <c r="R661" s="462">
        <v>43911</v>
      </c>
      <c r="S661" s="463">
        <v>454</v>
      </c>
      <c r="T661" s="464">
        <v>3.6</v>
      </c>
      <c r="U661" s="465">
        <v>1634.4</v>
      </c>
      <c r="V661" s="465">
        <v>15120</v>
      </c>
      <c r="W661" s="466">
        <v>0</v>
      </c>
      <c r="X661" s="467">
        <v>1</v>
      </c>
      <c r="Y661" s="466">
        <v>25131.599999999999</v>
      </c>
      <c r="Z661" s="468" t="s">
        <v>516</v>
      </c>
      <c r="AA661" s="466">
        <v>103575.6</v>
      </c>
      <c r="AB661" s="466">
        <v>103575.6</v>
      </c>
      <c r="AC661" s="467">
        <v>0</v>
      </c>
      <c r="AD661" s="466">
        <v>0</v>
      </c>
      <c r="AE661" s="468" t="s">
        <v>516</v>
      </c>
      <c r="AF661" s="466">
        <v>0</v>
      </c>
      <c r="AG661" s="466">
        <v>0</v>
      </c>
      <c r="AH661" s="466">
        <v>14728.06</v>
      </c>
      <c r="AI661" s="466">
        <v>8451.5300000000007</v>
      </c>
      <c r="AJ661" s="469" t="s">
        <v>1438</v>
      </c>
      <c r="AK661" s="470" t="s">
        <v>12345</v>
      </c>
      <c r="AL661" s="471" t="s">
        <v>6276</v>
      </c>
      <c r="AM661" s="470" t="s">
        <v>6277</v>
      </c>
      <c r="AN661" s="470" t="s">
        <v>1385</v>
      </c>
      <c r="AO661" s="470" t="s">
        <v>6278</v>
      </c>
      <c r="AP661" s="470" t="s">
        <v>6279</v>
      </c>
      <c r="AQ661" s="470" t="s">
        <v>6272</v>
      </c>
      <c r="AR661" s="472" t="s">
        <v>515</v>
      </c>
      <c r="AS661" s="473" t="s">
        <v>1385</v>
      </c>
      <c r="AT661" s="472" t="s">
        <v>1390</v>
      </c>
      <c r="AU661" s="472" t="s">
        <v>420</v>
      </c>
      <c r="AV661" s="472">
        <v>2020</v>
      </c>
      <c r="AW661" s="474" t="s">
        <v>15078</v>
      </c>
      <c r="AX661" s="475" t="s">
        <v>15079</v>
      </c>
      <c r="AY661" s="515">
        <v>1</v>
      </c>
      <c r="AZ661" s="474" t="s">
        <v>15079</v>
      </c>
      <c r="BA661" s="472" t="s">
        <v>1390</v>
      </c>
      <c r="BB661" s="472" t="s">
        <v>1385</v>
      </c>
      <c r="BC661" s="472" t="s">
        <v>1385</v>
      </c>
      <c r="BD661" s="472" t="s">
        <v>1385</v>
      </c>
      <c r="BE661" s="472" t="s">
        <v>1385</v>
      </c>
      <c r="BF661" s="472">
        <v>25131.599999999999</v>
      </c>
      <c r="BG661" s="472">
        <v>0</v>
      </c>
      <c r="BH661" s="472" t="s">
        <v>1385</v>
      </c>
      <c r="BI661" s="510">
        <v>0</v>
      </c>
      <c r="BJ661" s="510">
        <v>0</v>
      </c>
      <c r="BK661" s="510">
        <v>0</v>
      </c>
      <c r="BL661" s="510">
        <v>0</v>
      </c>
      <c r="BM661" s="510">
        <v>0</v>
      </c>
      <c r="BN661" s="510">
        <v>4000</v>
      </c>
      <c r="BO661" s="510">
        <v>0</v>
      </c>
      <c r="BP661" s="510">
        <v>0</v>
      </c>
      <c r="BQ661" s="510">
        <v>0</v>
      </c>
      <c r="BR661" s="510">
        <v>0</v>
      </c>
      <c r="BS661" s="510">
        <v>0</v>
      </c>
      <c r="BT661" s="510">
        <v>0</v>
      </c>
      <c r="BU661" s="510">
        <v>0</v>
      </c>
      <c r="BV661" s="510">
        <v>0</v>
      </c>
      <c r="BW661" s="510">
        <v>0</v>
      </c>
      <c r="BX661" s="510">
        <v>30000</v>
      </c>
      <c r="BY661" s="1011">
        <v>0</v>
      </c>
      <c r="BZ661" s="510">
        <v>0</v>
      </c>
      <c r="CA661" s="1011">
        <v>0</v>
      </c>
      <c r="CB661" s="510">
        <v>0</v>
      </c>
      <c r="CC661" s="1011">
        <v>0</v>
      </c>
      <c r="CD661" s="510">
        <v>0</v>
      </c>
      <c r="CE661" s="1011">
        <v>0</v>
      </c>
      <c r="CF661" s="510">
        <v>48444</v>
      </c>
      <c r="CG661" s="1011">
        <v>0</v>
      </c>
      <c r="CH661" s="510">
        <v>0</v>
      </c>
      <c r="CI661" s="1011">
        <v>0</v>
      </c>
    </row>
    <row r="662" spans="1:87" x14ac:dyDescent="0.2">
      <c r="A662" s="449">
        <v>80</v>
      </c>
      <c r="B662" s="453">
        <v>91502</v>
      </c>
      <c r="C662" s="454" t="s">
        <v>6280</v>
      </c>
      <c r="D662" s="454" t="s">
        <v>1390</v>
      </c>
      <c r="E662" s="454" t="s">
        <v>6281</v>
      </c>
      <c r="F662" s="454" t="s">
        <v>522</v>
      </c>
      <c r="G662" s="454" t="s">
        <v>13412</v>
      </c>
      <c r="H662" s="455">
        <v>52035854000107</v>
      </c>
      <c r="I662" s="462">
        <v>30300</v>
      </c>
      <c r="J662" s="457">
        <v>37605259</v>
      </c>
      <c r="K662" s="454" t="s">
        <v>6282</v>
      </c>
      <c r="L662" s="458">
        <v>205</v>
      </c>
      <c r="M662" s="454" t="s">
        <v>6283</v>
      </c>
      <c r="N662" s="459">
        <v>2870020</v>
      </c>
      <c r="O662" s="460">
        <v>38510479</v>
      </c>
      <c r="P662" s="462">
        <v>75151</v>
      </c>
      <c r="Q662" s="462">
        <v>25</v>
      </c>
      <c r="R662" s="462">
        <v>43911</v>
      </c>
      <c r="S662" s="463">
        <v>394</v>
      </c>
      <c r="T662" s="464">
        <v>3.6</v>
      </c>
      <c r="U662" s="465">
        <v>1418.4</v>
      </c>
      <c r="V662" s="465">
        <v>13680</v>
      </c>
      <c r="W662" s="466">
        <v>0</v>
      </c>
      <c r="X662" s="467">
        <v>1</v>
      </c>
      <c r="Y662" s="466">
        <v>22647.599999999999</v>
      </c>
      <c r="Z662" s="468" t="s">
        <v>516</v>
      </c>
      <c r="AA662" s="466">
        <v>97729.2</v>
      </c>
      <c r="AB662" s="466">
        <v>97729.2</v>
      </c>
      <c r="AC662" s="467">
        <v>0</v>
      </c>
      <c r="AD662" s="466">
        <v>0</v>
      </c>
      <c r="AE662" s="468" t="s">
        <v>516</v>
      </c>
      <c r="AF662" s="466">
        <v>0</v>
      </c>
      <c r="AG662" s="466">
        <v>0</v>
      </c>
      <c r="AH662" s="466">
        <v>13940.42</v>
      </c>
      <c r="AI662" s="466">
        <v>0</v>
      </c>
      <c r="AJ662" s="469" t="s">
        <v>4101</v>
      </c>
      <c r="AK662" s="470" t="s">
        <v>1499</v>
      </c>
      <c r="AL662" s="471" t="s">
        <v>6284</v>
      </c>
      <c r="AM662" s="470" t="s">
        <v>6285</v>
      </c>
      <c r="AN662" s="470" t="s">
        <v>1385</v>
      </c>
      <c r="AO662" s="470" t="s">
        <v>13413</v>
      </c>
      <c r="AP662" s="470" t="s">
        <v>6286</v>
      </c>
      <c r="AQ662" s="470" t="s">
        <v>6280</v>
      </c>
      <c r="AR662" s="472" t="s">
        <v>515</v>
      </c>
      <c r="AS662" s="473" t="s">
        <v>1385</v>
      </c>
      <c r="AT662" s="472" t="s">
        <v>1390</v>
      </c>
      <c r="AU662" s="472" t="s">
        <v>420</v>
      </c>
      <c r="AV662" s="472">
        <v>2020</v>
      </c>
      <c r="AW662" s="474" t="s">
        <v>15078</v>
      </c>
      <c r="AX662" s="475" t="s">
        <v>15079</v>
      </c>
      <c r="AY662" s="515">
        <v>1</v>
      </c>
      <c r="AZ662" s="474" t="s">
        <v>15079</v>
      </c>
      <c r="BA662" s="472" t="s">
        <v>1390</v>
      </c>
      <c r="BB662" s="472" t="s">
        <v>1385</v>
      </c>
      <c r="BC662" s="472" t="s">
        <v>1385</v>
      </c>
      <c r="BD662" s="472" t="s">
        <v>1385</v>
      </c>
      <c r="BE662" s="472" t="s">
        <v>1385</v>
      </c>
      <c r="BF662" s="472">
        <v>22647.599999999999</v>
      </c>
      <c r="BG662" s="472">
        <v>0</v>
      </c>
      <c r="BH662" s="472" t="s">
        <v>1385</v>
      </c>
      <c r="BI662" s="510">
        <v>0</v>
      </c>
      <c r="BJ662" s="510">
        <v>0</v>
      </c>
      <c r="BK662" s="510">
        <v>0</v>
      </c>
      <c r="BL662" s="510">
        <v>0</v>
      </c>
      <c r="BM662" s="510">
        <v>0</v>
      </c>
      <c r="BN662" s="510">
        <v>3500</v>
      </c>
      <c r="BO662" s="510">
        <v>0</v>
      </c>
      <c r="BP662" s="510">
        <v>0</v>
      </c>
      <c r="BQ662" s="510">
        <v>0</v>
      </c>
      <c r="BR662" s="510">
        <v>0</v>
      </c>
      <c r="BS662" s="510">
        <v>0</v>
      </c>
      <c r="BT662" s="510">
        <v>0</v>
      </c>
      <c r="BU662" s="510">
        <v>0</v>
      </c>
      <c r="BV662" s="510">
        <v>0</v>
      </c>
      <c r="BW662" s="510">
        <v>0</v>
      </c>
      <c r="BX662" s="510">
        <v>30000</v>
      </c>
      <c r="BY662" s="1011">
        <v>0</v>
      </c>
      <c r="BZ662" s="510">
        <v>0</v>
      </c>
      <c r="CA662" s="1011">
        <v>0</v>
      </c>
      <c r="CB662" s="510">
        <v>0</v>
      </c>
      <c r="CC662" s="1011">
        <v>0</v>
      </c>
      <c r="CD662" s="510">
        <v>0</v>
      </c>
      <c r="CE662" s="1011">
        <v>0</v>
      </c>
      <c r="CF662" s="510">
        <v>45081.599999999999</v>
      </c>
      <c r="CG662" s="1011">
        <v>0</v>
      </c>
      <c r="CH662" s="510">
        <v>0</v>
      </c>
      <c r="CI662" s="1011">
        <v>0</v>
      </c>
    </row>
    <row r="663" spans="1:87" x14ac:dyDescent="0.2">
      <c r="A663" s="449">
        <v>76</v>
      </c>
      <c r="B663" s="453">
        <v>91511</v>
      </c>
      <c r="C663" s="454" t="s">
        <v>6287</v>
      </c>
      <c r="D663" s="454" t="s">
        <v>1390</v>
      </c>
      <c r="E663" s="454" t="s">
        <v>6288</v>
      </c>
      <c r="F663" s="454" t="s">
        <v>522</v>
      </c>
      <c r="G663" s="454" t="s">
        <v>13414</v>
      </c>
      <c r="H663" s="455">
        <v>52805645000103</v>
      </c>
      <c r="I663" s="462">
        <v>30525</v>
      </c>
      <c r="J663" s="457">
        <v>37590146</v>
      </c>
      <c r="K663" s="454" t="s">
        <v>6289</v>
      </c>
      <c r="L663" s="458">
        <v>140</v>
      </c>
      <c r="M663" s="454" t="s">
        <v>6290</v>
      </c>
      <c r="N663" s="459">
        <v>2872000</v>
      </c>
      <c r="O663" s="460">
        <v>38512560</v>
      </c>
      <c r="P663" s="462">
        <v>213031</v>
      </c>
      <c r="Q663" s="462">
        <v>21</v>
      </c>
      <c r="R663" s="462">
        <v>43967</v>
      </c>
      <c r="S663" s="463">
        <v>416</v>
      </c>
      <c r="T663" s="464">
        <v>3.6</v>
      </c>
      <c r="U663" s="465">
        <v>1497.6</v>
      </c>
      <c r="V663" s="465">
        <v>15120</v>
      </c>
      <c r="W663" s="466">
        <v>0</v>
      </c>
      <c r="X663" s="467">
        <v>1</v>
      </c>
      <c r="Y663" s="466">
        <v>24926.400000000001</v>
      </c>
      <c r="Z663" s="468" t="s">
        <v>516</v>
      </c>
      <c r="AA663" s="466">
        <v>103140</v>
      </c>
      <c r="AB663" s="466">
        <v>103140</v>
      </c>
      <c r="AC663" s="467">
        <v>0</v>
      </c>
      <c r="AD663" s="466">
        <v>0</v>
      </c>
      <c r="AE663" s="468" t="s">
        <v>516</v>
      </c>
      <c r="AF663" s="466">
        <v>0</v>
      </c>
      <c r="AG663" s="466">
        <v>0</v>
      </c>
      <c r="AH663" s="466">
        <v>1302.46</v>
      </c>
      <c r="AI663" s="466">
        <v>0</v>
      </c>
      <c r="AJ663" s="469" t="s">
        <v>1438</v>
      </c>
      <c r="AK663" s="470" t="s">
        <v>12345</v>
      </c>
      <c r="AL663" s="471" t="s">
        <v>13415</v>
      </c>
      <c r="AM663" s="470" t="s">
        <v>13416</v>
      </c>
      <c r="AN663" s="470" t="s">
        <v>1385</v>
      </c>
      <c r="AO663" s="470" t="s">
        <v>13417</v>
      </c>
      <c r="AP663" s="470" t="s">
        <v>6291</v>
      </c>
      <c r="AQ663" s="470" t="s">
        <v>6287</v>
      </c>
      <c r="AR663" s="472" t="s">
        <v>515</v>
      </c>
      <c r="AS663" s="473" t="s">
        <v>1385</v>
      </c>
      <c r="AT663" s="472" t="s">
        <v>1390</v>
      </c>
      <c r="AU663" s="472" t="s">
        <v>420</v>
      </c>
      <c r="AV663" s="472">
        <v>2020</v>
      </c>
      <c r="AW663" s="474" t="s">
        <v>15078</v>
      </c>
      <c r="AX663" s="475" t="s">
        <v>15079</v>
      </c>
      <c r="AY663" s="515">
        <v>1</v>
      </c>
      <c r="AZ663" s="474" t="s">
        <v>15079</v>
      </c>
      <c r="BA663" s="472" t="s">
        <v>1390</v>
      </c>
      <c r="BB663" s="472" t="s">
        <v>1385</v>
      </c>
      <c r="BC663" s="472" t="s">
        <v>1385</v>
      </c>
      <c r="BD663" s="472" t="s">
        <v>1385</v>
      </c>
      <c r="BE663" s="472" t="s">
        <v>1385</v>
      </c>
      <c r="BF663" s="472">
        <v>24926.400000000001</v>
      </c>
      <c r="BG663" s="472">
        <v>0</v>
      </c>
      <c r="BH663" s="472" t="s">
        <v>1385</v>
      </c>
      <c r="BI663" s="510">
        <v>0</v>
      </c>
      <c r="BJ663" s="510">
        <v>747.52</v>
      </c>
      <c r="BK663" s="510">
        <v>0</v>
      </c>
      <c r="BL663" s="510">
        <v>0</v>
      </c>
      <c r="BM663" s="510">
        <v>0</v>
      </c>
      <c r="BN663" s="510">
        <v>4000</v>
      </c>
      <c r="BO663" s="510">
        <v>0</v>
      </c>
      <c r="BP663" s="510">
        <v>0</v>
      </c>
      <c r="BQ663" s="510">
        <v>0</v>
      </c>
      <c r="BR663" s="510">
        <v>0</v>
      </c>
      <c r="BS663" s="510">
        <v>0</v>
      </c>
      <c r="BT663" s="510">
        <v>0</v>
      </c>
      <c r="BU663" s="510">
        <v>0</v>
      </c>
      <c r="BV663" s="510">
        <v>0</v>
      </c>
      <c r="BW663" s="510">
        <v>0</v>
      </c>
      <c r="BX663" s="510">
        <v>30000</v>
      </c>
      <c r="BY663" s="1011">
        <v>0</v>
      </c>
      <c r="BZ663" s="510">
        <v>0</v>
      </c>
      <c r="CA663" s="1011">
        <v>0</v>
      </c>
      <c r="CB663" s="510">
        <v>0</v>
      </c>
      <c r="CC663" s="1011">
        <v>0</v>
      </c>
      <c r="CD663" s="510">
        <v>0</v>
      </c>
      <c r="CE663" s="1011">
        <v>0</v>
      </c>
      <c r="CF663" s="510">
        <v>48213.599999999999</v>
      </c>
      <c r="CG663" s="1011">
        <v>0</v>
      </c>
      <c r="CH663" s="510">
        <v>0</v>
      </c>
      <c r="CI663" s="1011">
        <v>0</v>
      </c>
    </row>
    <row r="664" spans="1:87" x14ac:dyDescent="0.2">
      <c r="A664" s="449">
        <v>66</v>
      </c>
      <c r="B664" s="453">
        <v>91529</v>
      </c>
      <c r="C664" s="454" t="s">
        <v>6292</v>
      </c>
      <c r="D664" s="454" t="s">
        <v>1390</v>
      </c>
      <c r="E664" s="454" t="s">
        <v>6293</v>
      </c>
      <c r="F664" s="454" t="s">
        <v>522</v>
      </c>
      <c r="G664" s="454" t="s">
        <v>13418</v>
      </c>
      <c r="H664" s="455">
        <v>52164001000175</v>
      </c>
      <c r="I664" s="462">
        <v>30351</v>
      </c>
      <c r="J664" s="457">
        <v>37587021</v>
      </c>
      <c r="K664" s="454" t="s">
        <v>6294</v>
      </c>
      <c r="L664" s="458">
        <v>19</v>
      </c>
      <c r="M664" s="454" t="s">
        <v>6295</v>
      </c>
      <c r="N664" s="459">
        <v>2878080</v>
      </c>
      <c r="O664" s="460">
        <v>38513508</v>
      </c>
      <c r="P664" s="462">
        <v>73493</v>
      </c>
      <c r="Q664" s="462">
        <v>11</v>
      </c>
      <c r="R664" s="462">
        <v>43911</v>
      </c>
      <c r="S664" s="463">
        <v>416</v>
      </c>
      <c r="T664" s="464">
        <v>3.6</v>
      </c>
      <c r="U664" s="465">
        <v>1497.6</v>
      </c>
      <c r="V664" s="465">
        <v>15120</v>
      </c>
      <c r="W664" s="466">
        <v>0</v>
      </c>
      <c r="X664" s="467">
        <v>1</v>
      </c>
      <c r="Y664" s="466">
        <v>24926.400000000001</v>
      </c>
      <c r="Z664" s="468" t="s">
        <v>516</v>
      </c>
      <c r="AA664" s="466">
        <v>103082.4</v>
      </c>
      <c r="AB664" s="466">
        <v>103082.4</v>
      </c>
      <c r="AC664" s="467">
        <v>0</v>
      </c>
      <c r="AD664" s="466">
        <v>0</v>
      </c>
      <c r="AE664" s="468" t="s">
        <v>516</v>
      </c>
      <c r="AF664" s="466">
        <v>0</v>
      </c>
      <c r="AG664" s="466">
        <v>0</v>
      </c>
      <c r="AH664" s="466">
        <v>10610.36</v>
      </c>
      <c r="AI664" s="466">
        <v>3397.38</v>
      </c>
      <c r="AJ664" s="469" t="s">
        <v>1438</v>
      </c>
      <c r="AK664" s="470" t="s">
        <v>12345</v>
      </c>
      <c r="AL664" s="471" t="s">
        <v>6296</v>
      </c>
      <c r="AM664" s="470" t="s">
        <v>6297</v>
      </c>
      <c r="AN664" s="470" t="s">
        <v>1385</v>
      </c>
      <c r="AO664" s="470" t="s">
        <v>13419</v>
      </c>
      <c r="AP664" s="470" t="s">
        <v>6298</v>
      </c>
      <c r="AQ664" s="470" t="s">
        <v>6292</v>
      </c>
      <c r="AR664" s="472" t="s">
        <v>515</v>
      </c>
      <c r="AS664" s="473" t="s">
        <v>1385</v>
      </c>
      <c r="AT664" s="472" t="s">
        <v>1390</v>
      </c>
      <c r="AU664" s="472" t="s">
        <v>420</v>
      </c>
      <c r="AV664" s="472">
        <v>2020</v>
      </c>
      <c r="AW664" s="474" t="s">
        <v>15078</v>
      </c>
      <c r="AX664" s="475" t="s">
        <v>15079</v>
      </c>
      <c r="AY664" s="515">
        <v>1</v>
      </c>
      <c r="AZ664" s="474" t="s">
        <v>15079</v>
      </c>
      <c r="BA664" s="472" t="s">
        <v>1390</v>
      </c>
      <c r="BB664" s="472" t="s">
        <v>1385</v>
      </c>
      <c r="BC664" s="472" t="s">
        <v>1385</v>
      </c>
      <c r="BD664" s="472" t="s">
        <v>1385</v>
      </c>
      <c r="BE664" s="472" t="s">
        <v>1385</v>
      </c>
      <c r="BF664" s="472">
        <v>24926.400000000001</v>
      </c>
      <c r="BG664" s="472">
        <v>0</v>
      </c>
      <c r="BH664" s="472" t="s">
        <v>1385</v>
      </c>
      <c r="BI664" s="510">
        <v>0</v>
      </c>
      <c r="BJ664" s="510">
        <v>0</v>
      </c>
      <c r="BK664" s="510">
        <v>0</v>
      </c>
      <c r="BL664" s="510">
        <v>0</v>
      </c>
      <c r="BM664" s="510">
        <v>0</v>
      </c>
      <c r="BN664" s="510">
        <v>4000</v>
      </c>
      <c r="BO664" s="510">
        <v>0</v>
      </c>
      <c r="BP664" s="510">
        <v>0</v>
      </c>
      <c r="BQ664" s="510">
        <v>0</v>
      </c>
      <c r="BR664" s="510">
        <v>0</v>
      </c>
      <c r="BS664" s="510">
        <v>0</v>
      </c>
      <c r="BT664" s="510">
        <v>0</v>
      </c>
      <c r="BU664" s="510">
        <v>0</v>
      </c>
      <c r="BV664" s="510">
        <v>0</v>
      </c>
      <c r="BW664" s="510">
        <v>0</v>
      </c>
      <c r="BX664" s="510">
        <v>30000</v>
      </c>
      <c r="BY664" s="1011">
        <v>0</v>
      </c>
      <c r="BZ664" s="510">
        <v>0</v>
      </c>
      <c r="CA664" s="1011">
        <v>0</v>
      </c>
      <c r="CB664" s="510">
        <v>0</v>
      </c>
      <c r="CC664" s="1011">
        <v>0</v>
      </c>
      <c r="CD664" s="510">
        <v>0</v>
      </c>
      <c r="CE664" s="1011">
        <v>0</v>
      </c>
      <c r="CF664" s="510">
        <v>48156</v>
      </c>
      <c r="CG664" s="1011">
        <v>0</v>
      </c>
      <c r="CH664" s="510">
        <v>0</v>
      </c>
      <c r="CI664" s="1011">
        <v>0</v>
      </c>
    </row>
    <row r="665" spans="1:87" x14ac:dyDescent="0.2">
      <c r="A665" s="449">
        <v>84</v>
      </c>
      <c r="B665" s="453">
        <v>91537</v>
      </c>
      <c r="C665" s="454" t="s">
        <v>6299</v>
      </c>
      <c r="D665" s="454" t="s">
        <v>1390</v>
      </c>
      <c r="E665" s="454" t="s">
        <v>6300</v>
      </c>
      <c r="F665" s="454" t="s">
        <v>522</v>
      </c>
      <c r="G665" s="454" t="s">
        <v>13420</v>
      </c>
      <c r="H665" s="455">
        <v>50953082000167</v>
      </c>
      <c r="I665" s="462">
        <v>30196</v>
      </c>
      <c r="J665" s="457">
        <v>37588320</v>
      </c>
      <c r="K665" s="454" t="s">
        <v>6301</v>
      </c>
      <c r="L665" s="458" t="s">
        <v>1446</v>
      </c>
      <c r="M665" s="454" t="s">
        <v>6302</v>
      </c>
      <c r="N665" s="459">
        <v>2649010</v>
      </c>
      <c r="O665" s="460">
        <v>38510054</v>
      </c>
      <c r="P665" s="462">
        <v>75003</v>
      </c>
      <c r="Q665" s="462">
        <v>29</v>
      </c>
      <c r="R665" s="462">
        <v>43911</v>
      </c>
      <c r="S665" s="463">
        <v>445</v>
      </c>
      <c r="T665" s="464">
        <v>3.6</v>
      </c>
      <c r="U665" s="465">
        <v>1602</v>
      </c>
      <c r="V665" s="465">
        <v>15120</v>
      </c>
      <c r="W665" s="466">
        <v>0</v>
      </c>
      <c r="X665" s="467">
        <v>1</v>
      </c>
      <c r="Y665" s="466">
        <v>25083</v>
      </c>
      <c r="Z665" s="468" t="s">
        <v>516</v>
      </c>
      <c r="AA665" s="466">
        <v>103555.8</v>
      </c>
      <c r="AB665" s="466">
        <v>103555.8</v>
      </c>
      <c r="AC665" s="467">
        <v>0</v>
      </c>
      <c r="AD665" s="466">
        <v>0</v>
      </c>
      <c r="AE665" s="468" t="s">
        <v>516</v>
      </c>
      <c r="AF665" s="466">
        <v>0</v>
      </c>
      <c r="AG665" s="466">
        <v>0</v>
      </c>
      <c r="AH665" s="466">
        <v>12652.84</v>
      </c>
      <c r="AI665" s="466">
        <v>3410.63</v>
      </c>
      <c r="AJ665" s="469" t="s">
        <v>4024</v>
      </c>
      <c r="AK665" s="470" t="s">
        <v>12893</v>
      </c>
      <c r="AL665" s="471" t="s">
        <v>6304</v>
      </c>
      <c r="AM665" s="470" t="s">
        <v>13421</v>
      </c>
      <c r="AN665" s="470" t="s">
        <v>1385</v>
      </c>
      <c r="AO665" s="470" t="s">
        <v>13422</v>
      </c>
      <c r="AP665" s="470" t="s">
        <v>6305</v>
      </c>
      <c r="AQ665" s="470" t="s">
        <v>6299</v>
      </c>
      <c r="AR665" s="472" t="s">
        <v>515</v>
      </c>
      <c r="AS665" s="473" t="s">
        <v>1385</v>
      </c>
      <c r="AT665" s="472" t="s">
        <v>1390</v>
      </c>
      <c r="AU665" s="472" t="s">
        <v>420</v>
      </c>
      <c r="AV665" s="472">
        <v>2020</v>
      </c>
      <c r="AW665" s="474" t="s">
        <v>15078</v>
      </c>
      <c r="AX665" s="475" t="s">
        <v>15079</v>
      </c>
      <c r="AY665" s="515">
        <v>1</v>
      </c>
      <c r="AZ665" s="474" t="s">
        <v>15079</v>
      </c>
      <c r="BA665" s="472" t="s">
        <v>1390</v>
      </c>
      <c r="BB665" s="472" t="s">
        <v>1385</v>
      </c>
      <c r="BC665" s="472" t="s">
        <v>1385</v>
      </c>
      <c r="BD665" s="472" t="s">
        <v>1385</v>
      </c>
      <c r="BE665" s="472" t="s">
        <v>1385</v>
      </c>
      <c r="BF665" s="472">
        <v>25083</v>
      </c>
      <c r="BG665" s="472">
        <v>0</v>
      </c>
      <c r="BH665" s="472" t="s">
        <v>1385</v>
      </c>
      <c r="BI665" s="510">
        <v>0</v>
      </c>
      <c r="BJ665" s="510">
        <v>850</v>
      </c>
      <c r="BK665" s="510">
        <v>0</v>
      </c>
      <c r="BL665" s="510">
        <v>0</v>
      </c>
      <c r="BM665" s="510">
        <v>0</v>
      </c>
      <c r="BN665" s="510">
        <v>1150</v>
      </c>
      <c r="BO665" s="510">
        <v>0</v>
      </c>
      <c r="BP665" s="510">
        <v>0</v>
      </c>
      <c r="BQ665" s="510">
        <v>0</v>
      </c>
      <c r="BR665" s="510">
        <v>0</v>
      </c>
      <c r="BS665" s="510">
        <v>0</v>
      </c>
      <c r="BT665" s="510">
        <v>0</v>
      </c>
      <c r="BU665" s="510">
        <v>0</v>
      </c>
      <c r="BV665" s="510">
        <v>0</v>
      </c>
      <c r="BW665" s="510">
        <v>0</v>
      </c>
      <c r="BX665" s="510">
        <v>30000</v>
      </c>
      <c r="BY665" s="1011">
        <v>0</v>
      </c>
      <c r="BZ665" s="510">
        <v>0</v>
      </c>
      <c r="CA665" s="1011">
        <v>0</v>
      </c>
      <c r="CB665" s="510">
        <v>0</v>
      </c>
      <c r="CC665" s="1011">
        <v>0</v>
      </c>
      <c r="CD665" s="510">
        <v>0</v>
      </c>
      <c r="CE665" s="1011">
        <v>0</v>
      </c>
      <c r="CF665" s="510">
        <v>48472.800000000003</v>
      </c>
      <c r="CG665" s="1011">
        <v>0</v>
      </c>
      <c r="CH665" s="510">
        <v>0</v>
      </c>
      <c r="CI665" s="1011">
        <v>0</v>
      </c>
    </row>
    <row r="666" spans="1:87" x14ac:dyDescent="0.2">
      <c r="A666" s="449">
        <v>75</v>
      </c>
      <c r="B666" s="453">
        <v>91545</v>
      </c>
      <c r="C666" s="454" t="s">
        <v>6306</v>
      </c>
      <c r="D666" s="454" t="s">
        <v>1390</v>
      </c>
      <c r="E666" s="454" t="s">
        <v>6307</v>
      </c>
      <c r="F666" s="454" t="s">
        <v>522</v>
      </c>
      <c r="G666" s="454" t="s">
        <v>13423</v>
      </c>
      <c r="H666" s="455">
        <v>52502705000100</v>
      </c>
      <c r="I666" s="462">
        <v>30419</v>
      </c>
      <c r="J666" s="457">
        <v>37586580</v>
      </c>
      <c r="K666" s="454" t="s">
        <v>6308</v>
      </c>
      <c r="L666" s="458">
        <v>64</v>
      </c>
      <c r="M666" s="454" t="s">
        <v>3436</v>
      </c>
      <c r="N666" s="459">
        <v>2882100</v>
      </c>
      <c r="O666" s="460">
        <v>38514943</v>
      </c>
      <c r="P666" s="462">
        <v>73329</v>
      </c>
      <c r="Q666" s="462">
        <v>20</v>
      </c>
      <c r="R666" s="462">
        <v>43911</v>
      </c>
      <c r="S666" s="463">
        <v>556</v>
      </c>
      <c r="T666" s="464">
        <v>3.6</v>
      </c>
      <c r="U666" s="465">
        <v>2001.6</v>
      </c>
      <c r="V666" s="465">
        <v>16560</v>
      </c>
      <c r="W666" s="466">
        <v>0</v>
      </c>
      <c r="X666" s="467">
        <v>1</v>
      </c>
      <c r="Y666" s="466">
        <v>27842.400000000001</v>
      </c>
      <c r="Z666" s="468" t="s">
        <v>516</v>
      </c>
      <c r="AA666" s="466">
        <v>109958.39999999999</v>
      </c>
      <c r="AB666" s="466">
        <v>109958.39999999999</v>
      </c>
      <c r="AC666" s="467">
        <v>0</v>
      </c>
      <c r="AD666" s="466">
        <v>0</v>
      </c>
      <c r="AE666" s="468" t="s">
        <v>516</v>
      </c>
      <c r="AF666" s="466">
        <v>0</v>
      </c>
      <c r="AG666" s="466">
        <v>0</v>
      </c>
      <c r="AH666" s="466">
        <v>15280.04</v>
      </c>
      <c r="AI666" s="466">
        <v>7091.89</v>
      </c>
      <c r="AJ666" s="469" t="s">
        <v>4024</v>
      </c>
      <c r="AK666" s="470" t="s">
        <v>12893</v>
      </c>
      <c r="AL666" s="471" t="s">
        <v>6309</v>
      </c>
      <c r="AM666" s="470" t="s">
        <v>6310</v>
      </c>
      <c r="AN666" s="470" t="s">
        <v>1385</v>
      </c>
      <c r="AO666" s="470" t="s">
        <v>13424</v>
      </c>
      <c r="AP666" s="470" t="s">
        <v>6311</v>
      </c>
      <c r="AQ666" s="470" t="s">
        <v>6306</v>
      </c>
      <c r="AR666" s="472" t="s">
        <v>515</v>
      </c>
      <c r="AS666" s="473" t="s">
        <v>1385</v>
      </c>
      <c r="AT666" s="472" t="s">
        <v>1390</v>
      </c>
      <c r="AU666" s="472" t="s">
        <v>420</v>
      </c>
      <c r="AV666" s="472">
        <v>2020</v>
      </c>
      <c r="AW666" s="474" t="s">
        <v>15078</v>
      </c>
      <c r="AX666" s="475" t="s">
        <v>15079</v>
      </c>
      <c r="AY666" s="515">
        <v>1</v>
      </c>
      <c r="AZ666" s="474" t="s">
        <v>15079</v>
      </c>
      <c r="BA666" s="472" t="s">
        <v>1390</v>
      </c>
      <c r="BB666" s="472" t="s">
        <v>1385</v>
      </c>
      <c r="BC666" s="472" t="s">
        <v>1385</v>
      </c>
      <c r="BD666" s="472" t="s">
        <v>1385</v>
      </c>
      <c r="BE666" s="472" t="s">
        <v>1385</v>
      </c>
      <c r="BF666" s="472">
        <v>27842.400000000001</v>
      </c>
      <c r="BG666" s="472">
        <v>0</v>
      </c>
      <c r="BH666" s="472" t="s">
        <v>1385</v>
      </c>
      <c r="BI666" s="510">
        <v>0</v>
      </c>
      <c r="BJ666" s="510">
        <v>0</v>
      </c>
      <c r="BK666" s="510">
        <v>0</v>
      </c>
      <c r="BL666" s="510">
        <v>0</v>
      </c>
      <c r="BM666" s="510">
        <v>0</v>
      </c>
      <c r="BN666" s="510">
        <v>5000</v>
      </c>
      <c r="BO666" s="510">
        <v>0</v>
      </c>
      <c r="BP666" s="510">
        <v>0</v>
      </c>
      <c r="BQ666" s="510">
        <v>0</v>
      </c>
      <c r="BR666" s="510">
        <v>0</v>
      </c>
      <c r="BS666" s="510">
        <v>0</v>
      </c>
      <c r="BT666" s="510">
        <v>0</v>
      </c>
      <c r="BU666" s="510">
        <v>0</v>
      </c>
      <c r="BV666" s="510">
        <v>0</v>
      </c>
      <c r="BW666" s="510">
        <v>0</v>
      </c>
      <c r="BX666" s="510">
        <v>30000</v>
      </c>
      <c r="BY666" s="1011">
        <v>0</v>
      </c>
      <c r="BZ666" s="510">
        <v>0</v>
      </c>
      <c r="CA666" s="1011">
        <v>0</v>
      </c>
      <c r="CB666" s="510">
        <v>0</v>
      </c>
      <c r="CC666" s="1011">
        <v>0</v>
      </c>
      <c r="CD666" s="510">
        <v>0</v>
      </c>
      <c r="CE666" s="1011">
        <v>0</v>
      </c>
      <c r="CF666" s="510">
        <v>52116</v>
      </c>
      <c r="CG666" s="1011">
        <v>0</v>
      </c>
      <c r="CH666" s="510">
        <v>0</v>
      </c>
      <c r="CI666" s="1011">
        <v>0</v>
      </c>
    </row>
    <row r="667" spans="1:87" x14ac:dyDescent="0.2">
      <c r="A667" s="449">
        <v>72</v>
      </c>
      <c r="B667" s="453">
        <v>91553</v>
      </c>
      <c r="C667" s="454" t="s">
        <v>6312</v>
      </c>
      <c r="D667" s="454" t="s">
        <v>1390</v>
      </c>
      <c r="E667" s="454" t="s">
        <v>6313</v>
      </c>
      <c r="F667" s="454" t="s">
        <v>522</v>
      </c>
      <c r="G667" s="454" t="s">
        <v>13425</v>
      </c>
      <c r="H667" s="455">
        <v>50713486000183</v>
      </c>
      <c r="I667" s="462">
        <v>30188</v>
      </c>
      <c r="J667" s="457">
        <v>37605194</v>
      </c>
      <c r="K667" s="454" t="s">
        <v>6314</v>
      </c>
      <c r="L667" s="458">
        <v>358</v>
      </c>
      <c r="M667" s="454" t="s">
        <v>2554</v>
      </c>
      <c r="N667" s="459">
        <v>27101000</v>
      </c>
      <c r="O667" s="460">
        <v>39661082</v>
      </c>
      <c r="P667" s="462">
        <v>73213</v>
      </c>
      <c r="Q667" s="462">
        <v>17</v>
      </c>
      <c r="R667" s="462">
        <v>43967</v>
      </c>
      <c r="S667" s="463">
        <v>206</v>
      </c>
      <c r="T667" s="464">
        <v>3.6</v>
      </c>
      <c r="U667" s="465">
        <v>741.6</v>
      </c>
      <c r="V667" s="465">
        <v>12240</v>
      </c>
      <c r="W667" s="466">
        <v>0</v>
      </c>
      <c r="X667" s="467">
        <v>1</v>
      </c>
      <c r="Y667" s="466">
        <v>24980.400000000001</v>
      </c>
      <c r="Z667" s="468" t="s">
        <v>516</v>
      </c>
      <c r="AA667" s="466">
        <v>108309.2</v>
      </c>
      <c r="AB667" s="466">
        <v>108309.2</v>
      </c>
      <c r="AC667" s="467">
        <v>0</v>
      </c>
      <c r="AD667" s="466">
        <v>0</v>
      </c>
      <c r="AE667" s="468" t="s">
        <v>516</v>
      </c>
      <c r="AF667" s="466">
        <v>0</v>
      </c>
      <c r="AG667" s="466">
        <v>0</v>
      </c>
      <c r="AH667" s="466">
        <v>1262.47</v>
      </c>
      <c r="AI667" s="466">
        <v>250.82</v>
      </c>
      <c r="AJ667" s="469" t="s">
        <v>4101</v>
      </c>
      <c r="AK667" s="470" t="s">
        <v>1499</v>
      </c>
      <c r="AL667" s="471" t="s">
        <v>6315</v>
      </c>
      <c r="AM667" s="470" t="s">
        <v>13426</v>
      </c>
      <c r="AN667" s="470" t="s">
        <v>1385</v>
      </c>
      <c r="AO667" s="470" t="s">
        <v>6316</v>
      </c>
      <c r="AP667" s="470" t="s">
        <v>6317</v>
      </c>
      <c r="AQ667" s="470" t="s">
        <v>6312</v>
      </c>
      <c r="AR667" s="472" t="s">
        <v>515</v>
      </c>
      <c r="AS667" s="473" t="s">
        <v>1385</v>
      </c>
      <c r="AT667" s="472" t="s">
        <v>1390</v>
      </c>
      <c r="AU667" s="472" t="s">
        <v>420</v>
      </c>
      <c r="AV667" s="472">
        <v>2020</v>
      </c>
      <c r="AW667" s="474" t="s">
        <v>15078</v>
      </c>
      <c r="AX667" s="475" t="s">
        <v>15079</v>
      </c>
      <c r="AY667" s="515">
        <v>1</v>
      </c>
      <c r="AZ667" s="474" t="s">
        <v>15079</v>
      </c>
      <c r="BA667" s="472" t="s">
        <v>1390</v>
      </c>
      <c r="BB667" s="472" t="s">
        <v>516</v>
      </c>
      <c r="BC667" s="472">
        <v>7</v>
      </c>
      <c r="BD667" s="472">
        <v>3672</v>
      </c>
      <c r="BE667" s="472">
        <v>0</v>
      </c>
      <c r="BF667" s="472">
        <v>24980.400000000001</v>
      </c>
      <c r="BG667" s="472">
        <v>0</v>
      </c>
      <c r="BH667" s="472" t="s">
        <v>1385</v>
      </c>
      <c r="BI667" s="510">
        <v>0</v>
      </c>
      <c r="BJ667" s="510">
        <v>0</v>
      </c>
      <c r="BK667" s="510">
        <v>0</v>
      </c>
      <c r="BL667" s="510">
        <v>0</v>
      </c>
      <c r="BM667" s="510">
        <v>0</v>
      </c>
      <c r="BN667" s="510">
        <v>3000</v>
      </c>
      <c r="BO667" s="510">
        <v>0</v>
      </c>
      <c r="BP667" s="510">
        <v>0</v>
      </c>
      <c r="BQ667" s="510">
        <v>0</v>
      </c>
      <c r="BR667" s="510">
        <v>0</v>
      </c>
      <c r="BS667" s="510">
        <v>0</v>
      </c>
      <c r="BT667" s="510">
        <v>0</v>
      </c>
      <c r="BU667" s="510">
        <v>0</v>
      </c>
      <c r="BV667" s="510">
        <v>0</v>
      </c>
      <c r="BW667" s="510">
        <v>0</v>
      </c>
      <c r="BX667" s="510">
        <v>30000</v>
      </c>
      <c r="BY667" s="1011">
        <v>0</v>
      </c>
      <c r="BZ667" s="510">
        <v>0</v>
      </c>
      <c r="CA667" s="1011">
        <v>0</v>
      </c>
      <c r="CB667" s="510">
        <v>0</v>
      </c>
      <c r="CC667" s="1011">
        <v>0</v>
      </c>
      <c r="CD667" s="510">
        <v>0</v>
      </c>
      <c r="CE667" s="1011">
        <v>0</v>
      </c>
      <c r="CF667" s="510">
        <v>53328.800000000003</v>
      </c>
      <c r="CG667" s="1011">
        <v>0</v>
      </c>
      <c r="CH667" s="510">
        <v>0</v>
      </c>
      <c r="CI667" s="1011">
        <v>0</v>
      </c>
    </row>
    <row r="668" spans="1:87" x14ac:dyDescent="0.2">
      <c r="A668" s="449">
        <v>58</v>
      </c>
      <c r="B668" s="453">
        <v>91561</v>
      </c>
      <c r="C668" s="454" t="s">
        <v>6318</v>
      </c>
      <c r="D668" s="454" t="s">
        <v>1390</v>
      </c>
      <c r="E668" s="454" t="s">
        <v>6319</v>
      </c>
      <c r="F668" s="454" t="s">
        <v>522</v>
      </c>
      <c r="G668" s="454" t="s">
        <v>13427</v>
      </c>
      <c r="H668" s="455">
        <v>50952274000159</v>
      </c>
      <c r="I668" s="462">
        <v>30211</v>
      </c>
      <c r="J668" s="457">
        <v>37589008</v>
      </c>
      <c r="K668" s="454" t="s">
        <v>6320</v>
      </c>
      <c r="L668" s="458">
        <v>70</v>
      </c>
      <c r="M668" s="454" t="s">
        <v>1499</v>
      </c>
      <c r="N668" s="459">
        <v>2515040</v>
      </c>
      <c r="O668" s="460">
        <v>39550167</v>
      </c>
      <c r="P668" s="462">
        <v>73230</v>
      </c>
      <c r="Q668" s="462">
        <v>3</v>
      </c>
      <c r="R668" s="462">
        <v>43911</v>
      </c>
      <c r="S668" s="463">
        <v>349</v>
      </c>
      <c r="T668" s="464">
        <v>3.6</v>
      </c>
      <c r="U668" s="465">
        <v>1256.4000000000001</v>
      </c>
      <c r="V668" s="465">
        <v>13680</v>
      </c>
      <c r="W668" s="466">
        <v>0</v>
      </c>
      <c r="X668" s="467">
        <v>1</v>
      </c>
      <c r="Y668" s="466">
        <v>22404.6</v>
      </c>
      <c r="Z668" s="468" t="s">
        <v>516</v>
      </c>
      <c r="AA668" s="466">
        <v>97176.6</v>
      </c>
      <c r="AB668" s="466">
        <v>97176.6</v>
      </c>
      <c r="AC668" s="467">
        <v>0</v>
      </c>
      <c r="AD668" s="466">
        <v>0</v>
      </c>
      <c r="AE668" s="468" t="s">
        <v>516</v>
      </c>
      <c r="AF668" s="466">
        <v>0</v>
      </c>
      <c r="AG668" s="466">
        <v>0</v>
      </c>
      <c r="AH668" s="466">
        <v>9608.4500000000007</v>
      </c>
      <c r="AI668" s="466">
        <v>3128.4</v>
      </c>
      <c r="AJ668" s="469" t="s">
        <v>4101</v>
      </c>
      <c r="AK668" s="470" t="s">
        <v>1499</v>
      </c>
      <c r="AL668" s="471" t="s">
        <v>6321</v>
      </c>
      <c r="AM668" s="470" t="s">
        <v>6322</v>
      </c>
      <c r="AN668" s="470" t="s">
        <v>1385</v>
      </c>
      <c r="AO668" s="470" t="s">
        <v>13428</v>
      </c>
      <c r="AP668" s="470" t="s">
        <v>6323</v>
      </c>
      <c r="AQ668" s="470" t="s">
        <v>6318</v>
      </c>
      <c r="AR668" s="472" t="s">
        <v>515</v>
      </c>
      <c r="AS668" s="473" t="s">
        <v>1385</v>
      </c>
      <c r="AT668" s="472" t="s">
        <v>1390</v>
      </c>
      <c r="AU668" s="472" t="s">
        <v>420</v>
      </c>
      <c r="AV668" s="472">
        <v>2020</v>
      </c>
      <c r="AW668" s="474" t="s">
        <v>15078</v>
      </c>
      <c r="AX668" s="475" t="s">
        <v>15079</v>
      </c>
      <c r="AY668" s="515">
        <v>1</v>
      </c>
      <c r="AZ668" s="474" t="s">
        <v>15079</v>
      </c>
      <c r="BA668" s="472" t="s">
        <v>1390</v>
      </c>
      <c r="BB668" s="472" t="s">
        <v>1385</v>
      </c>
      <c r="BC668" s="472" t="s">
        <v>1385</v>
      </c>
      <c r="BD668" s="472" t="s">
        <v>1385</v>
      </c>
      <c r="BE668" s="472" t="s">
        <v>1385</v>
      </c>
      <c r="BF668" s="472">
        <v>22404.6</v>
      </c>
      <c r="BG668" s="472">
        <v>0</v>
      </c>
      <c r="BH668" s="472" t="s">
        <v>1385</v>
      </c>
      <c r="BI668" s="510">
        <v>0</v>
      </c>
      <c r="BJ668" s="510">
        <v>0</v>
      </c>
      <c r="BK668" s="510">
        <v>0</v>
      </c>
      <c r="BL668" s="510">
        <v>0</v>
      </c>
      <c r="BM668" s="510">
        <v>0</v>
      </c>
      <c r="BN668" s="510">
        <v>3500</v>
      </c>
      <c r="BO668" s="510">
        <v>0</v>
      </c>
      <c r="BP668" s="510">
        <v>0</v>
      </c>
      <c r="BQ668" s="510">
        <v>0</v>
      </c>
      <c r="BR668" s="510">
        <v>0</v>
      </c>
      <c r="BS668" s="510">
        <v>0</v>
      </c>
      <c r="BT668" s="510">
        <v>0</v>
      </c>
      <c r="BU668" s="510">
        <v>0</v>
      </c>
      <c r="BV668" s="510">
        <v>0</v>
      </c>
      <c r="BW668" s="510">
        <v>0</v>
      </c>
      <c r="BX668" s="510">
        <v>30000</v>
      </c>
      <c r="BY668" s="1011">
        <v>0</v>
      </c>
      <c r="BZ668" s="510">
        <v>0</v>
      </c>
      <c r="CA668" s="1011">
        <v>0</v>
      </c>
      <c r="CB668" s="510">
        <v>0</v>
      </c>
      <c r="CC668" s="1011">
        <v>0</v>
      </c>
      <c r="CD668" s="510">
        <v>0</v>
      </c>
      <c r="CE668" s="1011">
        <v>0</v>
      </c>
      <c r="CF668" s="510">
        <v>44772</v>
      </c>
      <c r="CG668" s="1011">
        <v>0</v>
      </c>
      <c r="CH668" s="510">
        <v>0</v>
      </c>
      <c r="CI668" s="1011">
        <v>0</v>
      </c>
    </row>
    <row r="669" spans="1:87" x14ac:dyDescent="0.2">
      <c r="A669" s="449">
        <v>69</v>
      </c>
      <c r="B669" s="453">
        <v>91570</v>
      </c>
      <c r="C669" s="454" t="s">
        <v>6324</v>
      </c>
      <c r="D669" s="454" t="s">
        <v>1390</v>
      </c>
      <c r="E669" s="454" t="s">
        <v>6325</v>
      </c>
      <c r="F669" s="454" t="s">
        <v>522</v>
      </c>
      <c r="G669" s="454" t="s">
        <v>13429</v>
      </c>
      <c r="H669" s="455">
        <v>52447034000122</v>
      </c>
      <c r="I669" s="462">
        <v>31835</v>
      </c>
      <c r="J669" s="457">
        <v>37586610</v>
      </c>
      <c r="K669" s="454" t="s">
        <v>6326</v>
      </c>
      <c r="L669" s="458">
        <v>800</v>
      </c>
      <c r="M669" s="454" t="s">
        <v>6327</v>
      </c>
      <c r="N669" s="459">
        <v>2533010</v>
      </c>
      <c r="O669" s="460">
        <v>39660434</v>
      </c>
      <c r="P669" s="462">
        <v>73221</v>
      </c>
      <c r="Q669" s="462">
        <v>14</v>
      </c>
      <c r="R669" s="462">
        <v>43911</v>
      </c>
      <c r="S669" s="463">
        <v>379</v>
      </c>
      <c r="T669" s="464">
        <v>3.6</v>
      </c>
      <c r="U669" s="465">
        <v>1364.4</v>
      </c>
      <c r="V669" s="465">
        <v>13680</v>
      </c>
      <c r="W669" s="466">
        <v>0</v>
      </c>
      <c r="X669" s="467">
        <v>1</v>
      </c>
      <c r="Y669" s="466">
        <v>22566.6</v>
      </c>
      <c r="Z669" s="468" t="s">
        <v>516</v>
      </c>
      <c r="AA669" s="466">
        <v>97756.2</v>
      </c>
      <c r="AB669" s="466">
        <v>97756.2</v>
      </c>
      <c r="AC669" s="467">
        <v>0</v>
      </c>
      <c r="AD669" s="466">
        <v>0</v>
      </c>
      <c r="AE669" s="468" t="s">
        <v>516</v>
      </c>
      <c r="AF669" s="466">
        <v>0</v>
      </c>
      <c r="AG669" s="466">
        <v>0</v>
      </c>
      <c r="AH669" s="466">
        <v>5511.35</v>
      </c>
      <c r="AI669" s="466">
        <v>0</v>
      </c>
      <c r="AJ669" s="469" t="s">
        <v>4101</v>
      </c>
      <c r="AK669" s="470" t="s">
        <v>1499</v>
      </c>
      <c r="AL669" s="471" t="s">
        <v>6328</v>
      </c>
      <c r="AM669" s="470" t="s">
        <v>6329</v>
      </c>
      <c r="AN669" s="470" t="s">
        <v>1385</v>
      </c>
      <c r="AO669" s="470" t="s">
        <v>6330</v>
      </c>
      <c r="AP669" s="470" t="s">
        <v>6331</v>
      </c>
      <c r="AQ669" s="470" t="s">
        <v>6324</v>
      </c>
      <c r="AR669" s="472" t="s">
        <v>515</v>
      </c>
      <c r="AS669" s="473" t="s">
        <v>1385</v>
      </c>
      <c r="AT669" s="472" t="s">
        <v>1390</v>
      </c>
      <c r="AU669" s="472" t="s">
        <v>420</v>
      </c>
      <c r="AV669" s="472">
        <v>2020</v>
      </c>
      <c r="AW669" s="474" t="s">
        <v>15078</v>
      </c>
      <c r="AX669" s="475" t="s">
        <v>15079</v>
      </c>
      <c r="AY669" s="515">
        <v>1</v>
      </c>
      <c r="AZ669" s="474" t="s">
        <v>15079</v>
      </c>
      <c r="BA669" s="472" t="s">
        <v>1390</v>
      </c>
      <c r="BB669" s="472" t="s">
        <v>1385</v>
      </c>
      <c r="BC669" s="472" t="s">
        <v>1385</v>
      </c>
      <c r="BD669" s="472" t="s">
        <v>1385</v>
      </c>
      <c r="BE669" s="472" t="s">
        <v>1385</v>
      </c>
      <c r="BF669" s="472">
        <v>22566.6</v>
      </c>
      <c r="BG669" s="472">
        <v>0</v>
      </c>
      <c r="BH669" s="472" t="s">
        <v>1385</v>
      </c>
      <c r="BI669" s="510">
        <v>0</v>
      </c>
      <c r="BJ669" s="510">
        <v>0</v>
      </c>
      <c r="BK669" s="510">
        <v>0</v>
      </c>
      <c r="BL669" s="510">
        <v>0</v>
      </c>
      <c r="BM669" s="510">
        <v>0</v>
      </c>
      <c r="BN669" s="510">
        <v>0</v>
      </c>
      <c r="BO669" s="510">
        <v>0</v>
      </c>
      <c r="BP669" s="510">
        <v>0</v>
      </c>
      <c r="BQ669" s="510">
        <v>0</v>
      </c>
      <c r="BR669" s="510">
        <v>0</v>
      </c>
      <c r="BS669" s="510">
        <v>0</v>
      </c>
      <c r="BT669" s="510">
        <v>0</v>
      </c>
      <c r="BU669" s="510">
        <v>0</v>
      </c>
      <c r="BV669" s="510">
        <v>0</v>
      </c>
      <c r="BW669" s="510">
        <v>0</v>
      </c>
      <c r="BX669" s="510">
        <v>30000</v>
      </c>
      <c r="BY669" s="1011">
        <v>0</v>
      </c>
      <c r="BZ669" s="510">
        <v>0</v>
      </c>
      <c r="CA669" s="1011">
        <v>0</v>
      </c>
      <c r="CB669" s="510">
        <v>0</v>
      </c>
      <c r="CC669" s="1011">
        <v>0</v>
      </c>
      <c r="CD669" s="510">
        <v>0</v>
      </c>
      <c r="CE669" s="1011">
        <v>0</v>
      </c>
      <c r="CF669" s="510">
        <v>45189.599999999999</v>
      </c>
      <c r="CG669" s="1011">
        <v>0</v>
      </c>
      <c r="CH669" s="510">
        <v>0</v>
      </c>
      <c r="CI669" s="1011">
        <v>0</v>
      </c>
    </row>
    <row r="670" spans="1:87" x14ac:dyDescent="0.2">
      <c r="A670" s="449">
        <v>65</v>
      </c>
      <c r="B670" s="453">
        <v>91588</v>
      </c>
      <c r="C670" s="454" t="s">
        <v>6332</v>
      </c>
      <c r="D670" s="454" t="s">
        <v>1390</v>
      </c>
      <c r="E670" s="454" t="s">
        <v>6333</v>
      </c>
      <c r="F670" s="454" t="s">
        <v>522</v>
      </c>
      <c r="G670" s="454" t="s">
        <v>13430</v>
      </c>
      <c r="H670" s="455">
        <v>59283341000164</v>
      </c>
      <c r="I670" s="462">
        <v>32339</v>
      </c>
      <c r="J670" s="457">
        <v>37590235</v>
      </c>
      <c r="K670" s="454" t="s">
        <v>6334</v>
      </c>
      <c r="L670" s="458">
        <v>117</v>
      </c>
      <c r="M670" s="454" t="s">
        <v>3730</v>
      </c>
      <c r="N670" s="459">
        <v>2873250</v>
      </c>
      <c r="O670" s="460">
        <v>38515094</v>
      </c>
      <c r="P670" s="462">
        <v>73302</v>
      </c>
      <c r="Q670" s="462">
        <v>10</v>
      </c>
      <c r="R670" s="462">
        <v>43911</v>
      </c>
      <c r="S670" s="463">
        <v>576</v>
      </c>
      <c r="T670" s="464">
        <v>3.6</v>
      </c>
      <c r="U670" s="465">
        <v>2073.6</v>
      </c>
      <c r="V670" s="465">
        <v>16560</v>
      </c>
      <c r="W670" s="466">
        <v>0</v>
      </c>
      <c r="X670" s="467">
        <v>1</v>
      </c>
      <c r="Y670" s="466">
        <v>27950.400000000001</v>
      </c>
      <c r="Z670" s="468" t="s">
        <v>516</v>
      </c>
      <c r="AA670" s="466">
        <v>110282.4</v>
      </c>
      <c r="AB670" s="466">
        <v>110282.4</v>
      </c>
      <c r="AC670" s="467">
        <v>0</v>
      </c>
      <c r="AD670" s="466">
        <v>0</v>
      </c>
      <c r="AE670" s="468" t="s">
        <v>516</v>
      </c>
      <c r="AF670" s="466">
        <v>0</v>
      </c>
      <c r="AG670" s="466">
        <v>0</v>
      </c>
      <c r="AH670" s="466">
        <v>8653.43</v>
      </c>
      <c r="AI670" s="466">
        <v>1055.6600000000001</v>
      </c>
      <c r="AJ670" s="469" t="s">
        <v>1438</v>
      </c>
      <c r="AK670" s="470" t="s">
        <v>12345</v>
      </c>
      <c r="AL670" s="471" t="s">
        <v>13431</v>
      </c>
      <c r="AM670" s="470" t="s">
        <v>6335</v>
      </c>
      <c r="AN670" s="470" t="s">
        <v>1385</v>
      </c>
      <c r="AO670" s="470" t="s">
        <v>6336</v>
      </c>
      <c r="AP670" s="470" t="s">
        <v>6337</v>
      </c>
      <c r="AQ670" s="470" t="s">
        <v>6332</v>
      </c>
      <c r="AR670" s="472" t="s">
        <v>515</v>
      </c>
      <c r="AS670" s="473" t="s">
        <v>1385</v>
      </c>
      <c r="AT670" s="472" t="s">
        <v>1390</v>
      </c>
      <c r="AU670" s="472" t="s">
        <v>420</v>
      </c>
      <c r="AV670" s="472">
        <v>2020</v>
      </c>
      <c r="AW670" s="474" t="s">
        <v>15078</v>
      </c>
      <c r="AX670" s="475" t="s">
        <v>15079</v>
      </c>
      <c r="AY670" s="515">
        <v>1</v>
      </c>
      <c r="AZ670" s="474" t="s">
        <v>15079</v>
      </c>
      <c r="BA670" s="472" t="s">
        <v>1390</v>
      </c>
      <c r="BB670" s="472" t="s">
        <v>1385</v>
      </c>
      <c r="BC670" s="472" t="s">
        <v>1385</v>
      </c>
      <c r="BD670" s="472" t="s">
        <v>1385</v>
      </c>
      <c r="BE670" s="472" t="s">
        <v>1385</v>
      </c>
      <c r="BF670" s="472">
        <v>27950.400000000001</v>
      </c>
      <c r="BG670" s="472">
        <v>0</v>
      </c>
      <c r="BH670" s="472" t="s">
        <v>1385</v>
      </c>
      <c r="BI670" s="510">
        <v>0</v>
      </c>
      <c r="BJ670" s="510">
        <v>0</v>
      </c>
      <c r="BK670" s="510">
        <v>0</v>
      </c>
      <c r="BL670" s="510">
        <v>0</v>
      </c>
      <c r="BM670" s="510">
        <v>0</v>
      </c>
      <c r="BN670" s="510">
        <v>450</v>
      </c>
      <c r="BO670" s="510">
        <v>0</v>
      </c>
      <c r="BP670" s="510">
        <v>0</v>
      </c>
      <c r="BQ670" s="510">
        <v>0</v>
      </c>
      <c r="BR670" s="510">
        <v>0</v>
      </c>
      <c r="BS670" s="510">
        <v>0</v>
      </c>
      <c r="BT670" s="510">
        <v>0</v>
      </c>
      <c r="BU670" s="510">
        <v>0</v>
      </c>
      <c r="BV670" s="510">
        <v>0</v>
      </c>
      <c r="BW670" s="510">
        <v>0</v>
      </c>
      <c r="BX670" s="510">
        <v>30000</v>
      </c>
      <c r="BY670" s="1011">
        <v>0</v>
      </c>
      <c r="BZ670" s="510">
        <v>0</v>
      </c>
      <c r="CA670" s="1011">
        <v>0</v>
      </c>
      <c r="CB670" s="510">
        <v>0</v>
      </c>
      <c r="CC670" s="1011">
        <v>0</v>
      </c>
      <c r="CD670" s="510">
        <v>0</v>
      </c>
      <c r="CE670" s="1011">
        <v>0</v>
      </c>
      <c r="CF670" s="510">
        <v>52332</v>
      </c>
      <c r="CG670" s="1011">
        <v>0</v>
      </c>
      <c r="CH670" s="510">
        <v>0</v>
      </c>
      <c r="CI670" s="1011">
        <v>0</v>
      </c>
    </row>
    <row r="671" spans="1:87" x14ac:dyDescent="0.2">
      <c r="A671" s="449">
        <v>70</v>
      </c>
      <c r="B671" s="453">
        <v>91596</v>
      </c>
      <c r="C671" s="454" t="s">
        <v>6338</v>
      </c>
      <c r="D671" s="454" t="s">
        <v>1390</v>
      </c>
      <c r="E671" s="454" t="s">
        <v>6339</v>
      </c>
      <c r="F671" s="454" t="s">
        <v>522</v>
      </c>
      <c r="G671" s="454" t="s">
        <v>13432</v>
      </c>
      <c r="H671" s="455">
        <v>57121659000113</v>
      </c>
      <c r="I671" s="462">
        <v>31835</v>
      </c>
      <c r="J671" s="457">
        <v>37587099</v>
      </c>
      <c r="K671" s="454" t="s">
        <v>6340</v>
      </c>
      <c r="L671" s="458">
        <v>911</v>
      </c>
      <c r="M671" s="454" t="s">
        <v>6341</v>
      </c>
      <c r="N671" s="459">
        <v>2539000</v>
      </c>
      <c r="O671" s="460">
        <v>22398109</v>
      </c>
      <c r="P671" s="462">
        <v>73205</v>
      </c>
      <c r="Q671" s="462">
        <v>15</v>
      </c>
      <c r="R671" s="462">
        <v>43911</v>
      </c>
      <c r="S671" s="463">
        <v>316</v>
      </c>
      <c r="T671" s="464">
        <v>3.6</v>
      </c>
      <c r="U671" s="465">
        <v>1137.5999999999999</v>
      </c>
      <c r="V671" s="465">
        <v>13680</v>
      </c>
      <c r="W671" s="466">
        <v>0</v>
      </c>
      <c r="X671" s="467">
        <v>1</v>
      </c>
      <c r="Y671" s="466">
        <v>22226.400000000001</v>
      </c>
      <c r="Z671" s="468" t="s">
        <v>516</v>
      </c>
      <c r="AA671" s="466">
        <v>96890.4</v>
      </c>
      <c r="AB671" s="466">
        <v>96890.4</v>
      </c>
      <c r="AC671" s="467">
        <v>0</v>
      </c>
      <c r="AD671" s="466">
        <v>0</v>
      </c>
      <c r="AE671" s="468" t="s">
        <v>516</v>
      </c>
      <c r="AF671" s="466">
        <v>0</v>
      </c>
      <c r="AG671" s="466">
        <v>0</v>
      </c>
      <c r="AH671" s="466">
        <v>13920.91</v>
      </c>
      <c r="AI671" s="466">
        <v>2984.37</v>
      </c>
      <c r="AJ671" s="469" t="s">
        <v>1403</v>
      </c>
      <c r="AK671" s="470" t="s">
        <v>6341</v>
      </c>
      <c r="AL671" s="471" t="s">
        <v>6342</v>
      </c>
      <c r="AM671" s="470" t="s">
        <v>6343</v>
      </c>
      <c r="AN671" s="470" t="s">
        <v>1385</v>
      </c>
      <c r="AO671" s="470" t="s">
        <v>13433</v>
      </c>
      <c r="AP671" s="470" t="s">
        <v>6344</v>
      </c>
      <c r="AQ671" s="470" t="s">
        <v>6338</v>
      </c>
      <c r="AR671" s="472" t="s">
        <v>515</v>
      </c>
      <c r="AS671" s="473" t="s">
        <v>1385</v>
      </c>
      <c r="AT671" s="472" t="s">
        <v>1390</v>
      </c>
      <c r="AU671" s="472" t="s">
        <v>420</v>
      </c>
      <c r="AV671" s="472">
        <v>2020</v>
      </c>
      <c r="AW671" s="474" t="s">
        <v>15078</v>
      </c>
      <c r="AX671" s="475" t="s">
        <v>15079</v>
      </c>
      <c r="AY671" s="515">
        <v>1</v>
      </c>
      <c r="AZ671" s="474" t="s">
        <v>15079</v>
      </c>
      <c r="BA671" s="472" t="s">
        <v>1390</v>
      </c>
      <c r="BB671" s="472" t="s">
        <v>1385</v>
      </c>
      <c r="BC671" s="472" t="s">
        <v>1385</v>
      </c>
      <c r="BD671" s="472" t="s">
        <v>1385</v>
      </c>
      <c r="BE671" s="472" t="s">
        <v>1385</v>
      </c>
      <c r="BF671" s="472">
        <v>22226.400000000001</v>
      </c>
      <c r="BG671" s="472">
        <v>0</v>
      </c>
      <c r="BH671" s="472" t="s">
        <v>1385</v>
      </c>
      <c r="BI671" s="510">
        <v>0</v>
      </c>
      <c r="BJ671" s="510">
        <v>0</v>
      </c>
      <c r="BK671" s="510">
        <v>0</v>
      </c>
      <c r="BL671" s="510">
        <v>0</v>
      </c>
      <c r="BM671" s="510">
        <v>0</v>
      </c>
      <c r="BN671" s="510">
        <v>3500</v>
      </c>
      <c r="BO671" s="510">
        <v>0</v>
      </c>
      <c r="BP671" s="510">
        <v>0</v>
      </c>
      <c r="BQ671" s="510">
        <v>0</v>
      </c>
      <c r="BR671" s="510">
        <v>0</v>
      </c>
      <c r="BS671" s="510">
        <v>0</v>
      </c>
      <c r="BT671" s="510">
        <v>0</v>
      </c>
      <c r="BU671" s="510">
        <v>0</v>
      </c>
      <c r="BV671" s="510">
        <v>0</v>
      </c>
      <c r="BW671" s="510">
        <v>0</v>
      </c>
      <c r="BX671" s="510">
        <v>30000</v>
      </c>
      <c r="BY671" s="1011">
        <v>0</v>
      </c>
      <c r="BZ671" s="510">
        <v>0</v>
      </c>
      <c r="CA671" s="1011">
        <v>0</v>
      </c>
      <c r="CB671" s="510">
        <v>0</v>
      </c>
      <c r="CC671" s="1011">
        <v>0</v>
      </c>
      <c r="CD671" s="510">
        <v>0</v>
      </c>
      <c r="CE671" s="1011">
        <v>0</v>
      </c>
      <c r="CF671" s="510">
        <v>44664</v>
      </c>
      <c r="CG671" s="1011">
        <v>0</v>
      </c>
      <c r="CH671" s="510">
        <v>0</v>
      </c>
      <c r="CI671" s="1011">
        <v>0</v>
      </c>
    </row>
    <row r="672" spans="1:87" x14ac:dyDescent="0.2">
      <c r="A672" s="449">
        <v>118</v>
      </c>
      <c r="B672" s="453">
        <v>91600</v>
      </c>
      <c r="C672" s="454" t="s">
        <v>6345</v>
      </c>
      <c r="D672" s="454" t="s">
        <v>1390</v>
      </c>
      <c r="E672" s="454" t="s">
        <v>6346</v>
      </c>
      <c r="F672" s="454" t="s">
        <v>528</v>
      </c>
      <c r="G672" s="454" t="s">
        <v>13434</v>
      </c>
      <c r="H672" s="455">
        <v>52034485000138</v>
      </c>
      <c r="I672" s="462">
        <v>30299</v>
      </c>
      <c r="J672" s="457">
        <v>37376128</v>
      </c>
      <c r="K672" s="454" t="s">
        <v>6348</v>
      </c>
      <c r="L672" s="458">
        <v>66</v>
      </c>
      <c r="M672" s="454" t="s">
        <v>6349</v>
      </c>
      <c r="N672" s="459">
        <v>2933140</v>
      </c>
      <c r="O672" s="460">
        <v>39767523</v>
      </c>
      <c r="P672" s="462">
        <v>292837</v>
      </c>
      <c r="Q672" s="462">
        <v>118</v>
      </c>
      <c r="R672" s="462">
        <v>43938</v>
      </c>
      <c r="S672" s="463">
        <v>268</v>
      </c>
      <c r="T672" s="464">
        <v>3.6</v>
      </c>
      <c r="U672" s="465">
        <v>964.8</v>
      </c>
      <c r="V672" s="465">
        <v>12240</v>
      </c>
      <c r="W672" s="466">
        <v>0</v>
      </c>
      <c r="X672" s="467">
        <v>1</v>
      </c>
      <c r="Y672" s="466">
        <v>19807.2</v>
      </c>
      <c r="Z672" s="468" t="s">
        <v>516</v>
      </c>
      <c r="AA672" s="466">
        <v>90972</v>
      </c>
      <c r="AB672" s="466">
        <v>90972</v>
      </c>
      <c r="AC672" s="467">
        <v>0</v>
      </c>
      <c r="AD672" s="466">
        <v>0</v>
      </c>
      <c r="AE672" s="468" t="s">
        <v>516</v>
      </c>
      <c r="AF672" s="466">
        <v>0</v>
      </c>
      <c r="AG672" s="466">
        <v>0</v>
      </c>
      <c r="AH672" s="466">
        <v>11887.73</v>
      </c>
      <c r="AI672" s="466">
        <v>10402.76</v>
      </c>
      <c r="AJ672" s="469" t="s">
        <v>1571</v>
      </c>
      <c r="AK672" s="470" t="s">
        <v>528</v>
      </c>
      <c r="AL672" s="471" t="s">
        <v>6350</v>
      </c>
      <c r="AM672" s="470" t="s">
        <v>6351</v>
      </c>
      <c r="AN672" s="470" t="s">
        <v>6347</v>
      </c>
      <c r="AO672" s="470" t="s">
        <v>13435</v>
      </c>
      <c r="AP672" s="470" t="s">
        <v>6352</v>
      </c>
      <c r="AQ672" s="470" t="s">
        <v>6345</v>
      </c>
      <c r="AR672" s="472" t="s">
        <v>515</v>
      </c>
      <c r="AS672" s="473" t="s">
        <v>1385</v>
      </c>
      <c r="AT672" s="472" t="s">
        <v>1390</v>
      </c>
      <c r="AU672" s="472" t="s">
        <v>420</v>
      </c>
      <c r="AV672" s="472">
        <v>2020</v>
      </c>
      <c r="AW672" s="474" t="s">
        <v>15078</v>
      </c>
      <c r="AX672" s="475" t="s">
        <v>15079</v>
      </c>
      <c r="AY672" s="515">
        <v>1</v>
      </c>
      <c r="AZ672" s="474" t="s">
        <v>15079</v>
      </c>
      <c r="BA672" s="472" t="s">
        <v>1390</v>
      </c>
      <c r="BB672" s="472" t="s">
        <v>1385</v>
      </c>
      <c r="BC672" s="472" t="s">
        <v>1385</v>
      </c>
      <c r="BD672" s="472" t="s">
        <v>1385</v>
      </c>
      <c r="BE672" s="472" t="s">
        <v>1385</v>
      </c>
      <c r="BF672" s="472">
        <v>19807.2</v>
      </c>
      <c r="BG672" s="472">
        <v>0</v>
      </c>
      <c r="BH672" s="472" t="s">
        <v>1385</v>
      </c>
      <c r="BI672" s="510">
        <v>0</v>
      </c>
      <c r="BJ672" s="510">
        <v>728.8</v>
      </c>
      <c r="BK672" s="510">
        <v>0</v>
      </c>
      <c r="BL672" s="510">
        <v>0</v>
      </c>
      <c r="BM672" s="510">
        <v>0</v>
      </c>
      <c r="BN672" s="510">
        <v>1410</v>
      </c>
      <c r="BO672" s="510">
        <v>0</v>
      </c>
      <c r="BP672" s="510">
        <v>0</v>
      </c>
      <c r="BQ672" s="510">
        <v>0</v>
      </c>
      <c r="BR672" s="510">
        <v>0</v>
      </c>
      <c r="BS672" s="510">
        <v>0</v>
      </c>
      <c r="BT672" s="510">
        <v>0</v>
      </c>
      <c r="BU672" s="510">
        <v>0</v>
      </c>
      <c r="BV672" s="510">
        <v>0</v>
      </c>
      <c r="BW672" s="510">
        <v>0</v>
      </c>
      <c r="BX672" s="510">
        <v>30000</v>
      </c>
      <c r="BY672" s="1011">
        <v>0</v>
      </c>
      <c r="BZ672" s="510">
        <v>0</v>
      </c>
      <c r="CA672" s="1011">
        <v>0</v>
      </c>
      <c r="CB672" s="510">
        <v>0</v>
      </c>
      <c r="CC672" s="1011">
        <v>0</v>
      </c>
      <c r="CD672" s="510">
        <v>0</v>
      </c>
      <c r="CE672" s="1011">
        <v>0</v>
      </c>
      <c r="CF672" s="510">
        <v>41164.800000000003</v>
      </c>
      <c r="CG672" s="1011">
        <v>0</v>
      </c>
      <c r="CH672" s="510">
        <v>0</v>
      </c>
      <c r="CI672" s="1011">
        <v>0</v>
      </c>
    </row>
    <row r="673" spans="1:87" x14ac:dyDescent="0.2">
      <c r="A673" s="449">
        <v>119</v>
      </c>
      <c r="B673" s="453">
        <v>91618</v>
      </c>
      <c r="C673" s="454" t="s">
        <v>6353</v>
      </c>
      <c r="D673" s="454" t="s">
        <v>1390</v>
      </c>
      <c r="E673" s="454" t="s">
        <v>6354</v>
      </c>
      <c r="F673" s="454" t="s">
        <v>528</v>
      </c>
      <c r="G673" s="454" t="s">
        <v>13436</v>
      </c>
      <c r="H673" s="455">
        <v>50707579000103</v>
      </c>
      <c r="I673" s="462">
        <v>30141</v>
      </c>
      <c r="J673" s="457">
        <v>37376063</v>
      </c>
      <c r="K673" s="454" t="s">
        <v>6355</v>
      </c>
      <c r="L673" s="458" t="s">
        <v>1446</v>
      </c>
      <c r="M673" s="454" t="s">
        <v>528</v>
      </c>
      <c r="N673" s="459">
        <v>2935110</v>
      </c>
      <c r="O673" s="460">
        <v>39755315</v>
      </c>
      <c r="P673" s="462">
        <v>253688</v>
      </c>
      <c r="Q673" s="462">
        <v>119</v>
      </c>
      <c r="R673" s="462">
        <v>43938</v>
      </c>
      <c r="S673" s="463">
        <v>165</v>
      </c>
      <c r="T673" s="464">
        <v>3.6</v>
      </c>
      <c r="U673" s="465">
        <v>594</v>
      </c>
      <c r="V673" s="465">
        <v>10800</v>
      </c>
      <c r="W673" s="466">
        <v>0</v>
      </c>
      <c r="X673" s="467">
        <v>1</v>
      </c>
      <c r="Y673" s="466">
        <v>17091</v>
      </c>
      <c r="Z673" s="468" t="s">
        <v>516</v>
      </c>
      <c r="AA673" s="466">
        <v>84828.6</v>
      </c>
      <c r="AB673" s="466">
        <v>84828.6</v>
      </c>
      <c r="AC673" s="467">
        <v>0</v>
      </c>
      <c r="AD673" s="466">
        <v>0</v>
      </c>
      <c r="AE673" s="468" t="s">
        <v>516</v>
      </c>
      <c r="AF673" s="466">
        <v>0</v>
      </c>
      <c r="AG673" s="466">
        <v>0</v>
      </c>
      <c r="AH673" s="466">
        <v>8315.7199999999993</v>
      </c>
      <c r="AI673" s="466">
        <v>3730.73</v>
      </c>
      <c r="AJ673" s="469" t="s">
        <v>1571</v>
      </c>
      <c r="AK673" s="470" t="s">
        <v>528</v>
      </c>
      <c r="AL673" s="471" t="s">
        <v>2878</v>
      </c>
      <c r="AM673" s="470" t="s">
        <v>6356</v>
      </c>
      <c r="AN673" s="470" t="s">
        <v>6357</v>
      </c>
      <c r="AO673" s="470" t="s">
        <v>13437</v>
      </c>
      <c r="AP673" s="470" t="s">
        <v>6358</v>
      </c>
      <c r="AQ673" s="470" t="s">
        <v>6353</v>
      </c>
      <c r="AR673" s="472" t="s">
        <v>515</v>
      </c>
      <c r="AS673" s="473" t="s">
        <v>1385</v>
      </c>
      <c r="AT673" s="472" t="s">
        <v>1390</v>
      </c>
      <c r="AU673" s="472" t="s">
        <v>420</v>
      </c>
      <c r="AV673" s="472">
        <v>2020</v>
      </c>
      <c r="AW673" s="474" t="s">
        <v>15078</v>
      </c>
      <c r="AX673" s="475" t="s">
        <v>15079</v>
      </c>
      <c r="AY673" s="515">
        <v>1</v>
      </c>
      <c r="AZ673" s="474" t="s">
        <v>15079</v>
      </c>
      <c r="BA673" s="472" t="s">
        <v>1390</v>
      </c>
      <c r="BB673" s="472" t="s">
        <v>1385</v>
      </c>
      <c r="BC673" s="472" t="s">
        <v>1385</v>
      </c>
      <c r="BD673" s="472" t="s">
        <v>1385</v>
      </c>
      <c r="BE673" s="472" t="s">
        <v>1385</v>
      </c>
      <c r="BF673" s="472">
        <v>17091</v>
      </c>
      <c r="BG673" s="472">
        <v>0</v>
      </c>
      <c r="BH673" s="472" t="s">
        <v>1385</v>
      </c>
      <c r="BI673" s="510">
        <v>0</v>
      </c>
      <c r="BJ673" s="510">
        <v>0</v>
      </c>
      <c r="BK673" s="510">
        <v>0</v>
      </c>
      <c r="BL673" s="510">
        <v>0</v>
      </c>
      <c r="BM673" s="510">
        <v>0</v>
      </c>
      <c r="BN673" s="510">
        <v>3000</v>
      </c>
      <c r="BO673" s="510">
        <v>0</v>
      </c>
      <c r="BP673" s="510">
        <v>0</v>
      </c>
      <c r="BQ673" s="510">
        <v>0</v>
      </c>
      <c r="BR673" s="510">
        <v>0</v>
      </c>
      <c r="BS673" s="510">
        <v>0</v>
      </c>
      <c r="BT673" s="510">
        <v>0</v>
      </c>
      <c r="BU673" s="510">
        <v>0</v>
      </c>
      <c r="BV673" s="510">
        <v>0</v>
      </c>
      <c r="BW673" s="510">
        <v>0</v>
      </c>
      <c r="BX673" s="510">
        <v>30000</v>
      </c>
      <c r="BY673" s="1011">
        <v>0</v>
      </c>
      <c r="BZ673" s="510">
        <v>0</v>
      </c>
      <c r="CA673" s="1011">
        <v>0</v>
      </c>
      <c r="CB673" s="510">
        <v>0</v>
      </c>
      <c r="CC673" s="1011">
        <v>0</v>
      </c>
      <c r="CD673" s="510">
        <v>0</v>
      </c>
      <c r="CE673" s="1011">
        <v>0</v>
      </c>
      <c r="CF673" s="510">
        <v>37737.599999999999</v>
      </c>
      <c r="CG673" s="1011">
        <v>0</v>
      </c>
      <c r="CH673" s="510">
        <v>0</v>
      </c>
      <c r="CI673" s="1011">
        <v>0</v>
      </c>
    </row>
    <row r="674" spans="1:87" x14ac:dyDescent="0.2">
      <c r="A674" s="449">
        <v>100</v>
      </c>
      <c r="B674" s="453">
        <v>91626</v>
      </c>
      <c r="C674" s="454" t="s">
        <v>6359</v>
      </c>
      <c r="D674" s="454" t="s">
        <v>1390</v>
      </c>
      <c r="E674" s="454" t="s">
        <v>6360</v>
      </c>
      <c r="F674" s="454" t="s">
        <v>528</v>
      </c>
      <c r="G674" s="454" t="s">
        <v>13438</v>
      </c>
      <c r="H674" s="455">
        <v>50866425000156</v>
      </c>
      <c r="I674" s="462">
        <v>30155</v>
      </c>
      <c r="J674" s="457">
        <v>37587595</v>
      </c>
      <c r="K674" s="454" t="s">
        <v>6362</v>
      </c>
      <c r="L674" s="458">
        <v>185</v>
      </c>
      <c r="M674" s="454" t="s">
        <v>2291</v>
      </c>
      <c r="N674" s="459">
        <v>2942030</v>
      </c>
      <c r="O674" s="460">
        <v>39793456</v>
      </c>
      <c r="P674" s="462">
        <v>265449</v>
      </c>
      <c r="Q674" s="462">
        <v>100</v>
      </c>
      <c r="R674" s="462">
        <v>43938</v>
      </c>
      <c r="S674" s="463">
        <v>320</v>
      </c>
      <c r="T674" s="464">
        <v>3.6</v>
      </c>
      <c r="U674" s="465">
        <v>1152</v>
      </c>
      <c r="V674" s="465">
        <v>13680</v>
      </c>
      <c r="W674" s="466">
        <v>0</v>
      </c>
      <c r="X674" s="467">
        <v>1</v>
      </c>
      <c r="Y674" s="466">
        <v>22248</v>
      </c>
      <c r="Z674" s="468" t="s">
        <v>516</v>
      </c>
      <c r="AA674" s="466">
        <v>96912</v>
      </c>
      <c r="AB674" s="466">
        <v>96912</v>
      </c>
      <c r="AC674" s="467">
        <v>0</v>
      </c>
      <c r="AD674" s="466">
        <v>0</v>
      </c>
      <c r="AE674" s="468" t="s">
        <v>516</v>
      </c>
      <c r="AF674" s="466">
        <v>0</v>
      </c>
      <c r="AG674" s="466">
        <v>0</v>
      </c>
      <c r="AH674" s="466">
        <v>24938.34</v>
      </c>
      <c r="AI674" s="466">
        <v>2966.9</v>
      </c>
      <c r="AJ674" s="469" t="s">
        <v>1571</v>
      </c>
      <c r="AK674" s="470" t="s">
        <v>528</v>
      </c>
      <c r="AL674" s="471" t="s">
        <v>6363</v>
      </c>
      <c r="AM674" s="470" t="s">
        <v>6364</v>
      </c>
      <c r="AN674" s="470" t="s">
        <v>6361</v>
      </c>
      <c r="AO674" s="470" t="s">
        <v>13439</v>
      </c>
      <c r="AP674" s="470" t="s">
        <v>6365</v>
      </c>
      <c r="AQ674" s="470" t="s">
        <v>6359</v>
      </c>
      <c r="AR674" s="472" t="s">
        <v>515</v>
      </c>
      <c r="AS674" s="473" t="s">
        <v>1385</v>
      </c>
      <c r="AT674" s="472" t="s">
        <v>1390</v>
      </c>
      <c r="AU674" s="472" t="s">
        <v>420</v>
      </c>
      <c r="AV674" s="472">
        <v>2020</v>
      </c>
      <c r="AW674" s="474" t="s">
        <v>15078</v>
      </c>
      <c r="AX674" s="475" t="s">
        <v>15079</v>
      </c>
      <c r="AY674" s="515">
        <v>1</v>
      </c>
      <c r="AZ674" s="474" t="s">
        <v>15079</v>
      </c>
      <c r="BA674" s="472" t="s">
        <v>1390</v>
      </c>
      <c r="BB674" s="472" t="s">
        <v>1385</v>
      </c>
      <c r="BC674" s="472" t="s">
        <v>1385</v>
      </c>
      <c r="BD674" s="472" t="s">
        <v>1385</v>
      </c>
      <c r="BE674" s="472" t="s">
        <v>1385</v>
      </c>
      <c r="BF674" s="509">
        <v>22248</v>
      </c>
      <c r="BG674" s="472">
        <v>0</v>
      </c>
      <c r="BH674" s="472" t="s">
        <v>1385</v>
      </c>
      <c r="BI674" s="510">
        <v>0</v>
      </c>
      <c r="BJ674" s="510">
        <v>0</v>
      </c>
      <c r="BK674" s="510">
        <v>0</v>
      </c>
      <c r="BL674" s="510">
        <v>0</v>
      </c>
      <c r="BM674" s="510">
        <v>0</v>
      </c>
      <c r="BN674" s="510">
        <v>3500</v>
      </c>
      <c r="BO674" s="510">
        <v>0</v>
      </c>
      <c r="BP674" s="510">
        <v>0</v>
      </c>
      <c r="BQ674" s="510">
        <v>0</v>
      </c>
      <c r="BR674" s="510">
        <v>0</v>
      </c>
      <c r="BS674" s="510">
        <v>0</v>
      </c>
      <c r="BT674" s="510">
        <v>0</v>
      </c>
      <c r="BU674" s="510">
        <v>0</v>
      </c>
      <c r="BV674" s="510">
        <v>0</v>
      </c>
      <c r="BW674" s="510">
        <v>0</v>
      </c>
      <c r="BX674" s="510">
        <v>30000</v>
      </c>
      <c r="BY674" s="1011">
        <v>0</v>
      </c>
      <c r="BZ674" s="510">
        <v>0</v>
      </c>
      <c r="CA674" s="1011">
        <v>0</v>
      </c>
      <c r="CB674" s="510">
        <v>0</v>
      </c>
      <c r="CC674" s="1011">
        <v>0</v>
      </c>
      <c r="CD674" s="510">
        <v>0</v>
      </c>
      <c r="CE674" s="1011">
        <v>0</v>
      </c>
      <c r="CF674" s="510">
        <v>44664</v>
      </c>
      <c r="CG674" s="1011">
        <v>0</v>
      </c>
      <c r="CH674" s="510">
        <v>0</v>
      </c>
      <c r="CI674" s="1011">
        <v>0</v>
      </c>
    </row>
    <row r="675" spans="1:87" x14ac:dyDescent="0.2">
      <c r="A675" s="449">
        <v>98</v>
      </c>
      <c r="B675" s="453">
        <v>91634</v>
      </c>
      <c r="C675" s="454" t="s">
        <v>6366</v>
      </c>
      <c r="D675" s="454" t="s">
        <v>1390</v>
      </c>
      <c r="E675" s="454" t="s">
        <v>6367</v>
      </c>
      <c r="F675" s="454" t="s">
        <v>528</v>
      </c>
      <c r="G675" s="454" t="s">
        <v>13440</v>
      </c>
      <c r="H675" s="455">
        <v>50950211000163</v>
      </c>
      <c r="I675" s="462">
        <v>38266</v>
      </c>
      <c r="J675" s="457">
        <v>37382438</v>
      </c>
      <c r="K675" s="454" t="s">
        <v>6368</v>
      </c>
      <c r="L675" s="458">
        <v>81</v>
      </c>
      <c r="M675" s="454" t="s">
        <v>2225</v>
      </c>
      <c r="N675" s="459">
        <v>2815040</v>
      </c>
      <c r="O675" s="460">
        <v>39714784</v>
      </c>
      <c r="P675" s="462">
        <v>212507</v>
      </c>
      <c r="Q675" s="462">
        <v>98</v>
      </c>
      <c r="R675" s="462">
        <v>43938</v>
      </c>
      <c r="S675" s="463">
        <v>549</v>
      </c>
      <c r="T675" s="464">
        <v>3.6</v>
      </c>
      <c r="U675" s="465">
        <v>1976.4</v>
      </c>
      <c r="V675" s="465">
        <v>16560</v>
      </c>
      <c r="W675" s="466">
        <v>0</v>
      </c>
      <c r="X675" s="467">
        <v>1</v>
      </c>
      <c r="Y675" s="466">
        <v>27804.6</v>
      </c>
      <c r="Z675" s="468" t="s">
        <v>516</v>
      </c>
      <c r="AA675" s="466">
        <v>109863</v>
      </c>
      <c r="AB675" s="466">
        <v>109863</v>
      </c>
      <c r="AC675" s="467">
        <v>0</v>
      </c>
      <c r="AD675" s="466">
        <v>0</v>
      </c>
      <c r="AE675" s="468" t="s">
        <v>516</v>
      </c>
      <c r="AF675" s="466">
        <v>0</v>
      </c>
      <c r="AG675" s="466">
        <v>0</v>
      </c>
      <c r="AH675" s="466">
        <v>31006.28</v>
      </c>
      <c r="AI675" s="466">
        <v>12410.94</v>
      </c>
      <c r="AJ675" s="469" t="s">
        <v>1571</v>
      </c>
      <c r="AK675" s="470" t="s">
        <v>528</v>
      </c>
      <c r="AL675" s="471" t="s">
        <v>6369</v>
      </c>
      <c r="AM675" s="470" t="s">
        <v>6370</v>
      </c>
      <c r="AN675" s="470" t="s">
        <v>6371</v>
      </c>
      <c r="AO675" s="470" t="s">
        <v>13441</v>
      </c>
      <c r="AP675" s="470" t="s">
        <v>6372</v>
      </c>
      <c r="AQ675" s="470" t="s">
        <v>6366</v>
      </c>
      <c r="AR675" s="472" t="s">
        <v>515</v>
      </c>
      <c r="AS675" s="473" t="s">
        <v>1385</v>
      </c>
      <c r="AT675" s="472" t="s">
        <v>1390</v>
      </c>
      <c r="AU675" s="472" t="s">
        <v>420</v>
      </c>
      <c r="AV675" s="472">
        <v>2020</v>
      </c>
      <c r="AW675" s="474" t="s">
        <v>15078</v>
      </c>
      <c r="AX675" s="475" t="s">
        <v>15079</v>
      </c>
      <c r="AY675" s="515">
        <v>1</v>
      </c>
      <c r="AZ675" s="474" t="s">
        <v>15079</v>
      </c>
      <c r="BA675" s="472" t="s">
        <v>1390</v>
      </c>
      <c r="BB675" s="472" t="s">
        <v>1385</v>
      </c>
      <c r="BC675" s="472" t="s">
        <v>1385</v>
      </c>
      <c r="BD675" s="472" t="s">
        <v>1385</v>
      </c>
      <c r="BE675" s="472" t="s">
        <v>1385</v>
      </c>
      <c r="BF675" s="472">
        <v>27804.6</v>
      </c>
      <c r="BG675" s="472">
        <v>0</v>
      </c>
      <c r="BH675" s="472" t="s">
        <v>1385</v>
      </c>
      <c r="BI675" s="510">
        <v>0</v>
      </c>
      <c r="BJ675" s="510">
        <v>11360.9</v>
      </c>
      <c r="BK675" s="510">
        <v>0</v>
      </c>
      <c r="BL675" s="510">
        <v>0</v>
      </c>
      <c r="BM675" s="510">
        <v>0</v>
      </c>
      <c r="BN675" s="510">
        <v>4000</v>
      </c>
      <c r="BO675" s="510">
        <v>0</v>
      </c>
      <c r="BP675" s="510">
        <v>0</v>
      </c>
      <c r="BQ675" s="510">
        <v>0</v>
      </c>
      <c r="BR675" s="510">
        <v>0</v>
      </c>
      <c r="BS675" s="510">
        <v>0</v>
      </c>
      <c r="BT675" s="510">
        <v>0</v>
      </c>
      <c r="BU675" s="510">
        <v>0</v>
      </c>
      <c r="BV675" s="510">
        <v>0</v>
      </c>
      <c r="BW675" s="510">
        <v>0</v>
      </c>
      <c r="BX675" s="510">
        <v>30000</v>
      </c>
      <c r="BY675" s="1011">
        <v>0</v>
      </c>
      <c r="BZ675" s="510">
        <v>0</v>
      </c>
      <c r="CA675" s="1011">
        <v>0</v>
      </c>
      <c r="CB675" s="510">
        <v>0</v>
      </c>
      <c r="CC675" s="1011">
        <v>0</v>
      </c>
      <c r="CD675" s="510">
        <v>0</v>
      </c>
      <c r="CE675" s="1011">
        <v>0</v>
      </c>
      <c r="CF675" s="510">
        <v>52058.400000000001</v>
      </c>
      <c r="CG675" s="1011">
        <v>0</v>
      </c>
      <c r="CH675" s="510">
        <v>0</v>
      </c>
      <c r="CI675" s="1011">
        <v>0</v>
      </c>
    </row>
    <row r="676" spans="1:87" x14ac:dyDescent="0.2">
      <c r="A676" s="449">
        <v>102</v>
      </c>
      <c r="B676" s="453">
        <v>91642</v>
      </c>
      <c r="C676" s="454" t="s">
        <v>6373</v>
      </c>
      <c r="D676" s="454" t="s">
        <v>1390</v>
      </c>
      <c r="E676" s="454" t="s">
        <v>6374</v>
      </c>
      <c r="F676" s="454" t="s">
        <v>528</v>
      </c>
      <c r="G676" s="454" t="s">
        <v>13442</v>
      </c>
      <c r="H676" s="455">
        <v>50713163000190</v>
      </c>
      <c r="I676" s="462">
        <v>36004</v>
      </c>
      <c r="J676" s="457">
        <v>37382691</v>
      </c>
      <c r="K676" s="454" t="s">
        <v>6375</v>
      </c>
      <c r="L676" s="458">
        <v>510</v>
      </c>
      <c r="M676" s="454" t="s">
        <v>6376</v>
      </c>
      <c r="N676" s="459">
        <v>2993000</v>
      </c>
      <c r="O676" s="460">
        <v>39412362</v>
      </c>
      <c r="P676" s="462">
        <v>254390</v>
      </c>
      <c r="Q676" s="462">
        <v>102</v>
      </c>
      <c r="R676" s="462">
        <v>43938</v>
      </c>
      <c r="S676" s="463">
        <v>453</v>
      </c>
      <c r="T676" s="464">
        <v>3.6</v>
      </c>
      <c r="U676" s="465">
        <v>1630.8</v>
      </c>
      <c r="V676" s="465">
        <v>15120</v>
      </c>
      <c r="W676" s="466">
        <v>0</v>
      </c>
      <c r="X676" s="467">
        <v>1</v>
      </c>
      <c r="Y676" s="466">
        <v>25126.2</v>
      </c>
      <c r="Z676" s="468" t="s">
        <v>516</v>
      </c>
      <c r="AA676" s="466">
        <v>103663.8</v>
      </c>
      <c r="AB676" s="466">
        <v>103663.8</v>
      </c>
      <c r="AC676" s="467">
        <v>0</v>
      </c>
      <c r="AD676" s="466">
        <v>0</v>
      </c>
      <c r="AE676" s="468" t="s">
        <v>516</v>
      </c>
      <c r="AF676" s="466">
        <v>2000</v>
      </c>
      <c r="AG676" s="466">
        <v>2000</v>
      </c>
      <c r="AH676" s="466">
        <v>20579.96</v>
      </c>
      <c r="AI676" s="466">
        <v>154.11000000000001</v>
      </c>
      <c r="AJ676" s="469" t="s">
        <v>1571</v>
      </c>
      <c r="AK676" s="470" t="s">
        <v>528</v>
      </c>
      <c r="AL676" s="471" t="s">
        <v>6377</v>
      </c>
      <c r="AM676" s="470" t="s">
        <v>6378</v>
      </c>
      <c r="AN676" s="470" t="s">
        <v>6379</v>
      </c>
      <c r="AO676" s="470" t="s">
        <v>6380</v>
      </c>
      <c r="AP676" s="470" t="s">
        <v>6381</v>
      </c>
      <c r="AQ676" s="470" t="s">
        <v>6373</v>
      </c>
      <c r="AR676" s="472" t="s">
        <v>515</v>
      </c>
      <c r="AS676" s="473" t="s">
        <v>1385</v>
      </c>
      <c r="AT676" s="472" t="s">
        <v>1390</v>
      </c>
      <c r="AU676" s="472" t="s">
        <v>420</v>
      </c>
      <c r="AV676" s="472">
        <v>2020</v>
      </c>
      <c r="AW676" s="474" t="s">
        <v>15078</v>
      </c>
      <c r="AX676" s="475" t="s">
        <v>15079</v>
      </c>
      <c r="AY676" s="515">
        <v>1</v>
      </c>
      <c r="AZ676" s="474" t="s">
        <v>15079</v>
      </c>
      <c r="BA676" s="472" t="s">
        <v>1390</v>
      </c>
      <c r="BB676" s="472" t="s">
        <v>1385</v>
      </c>
      <c r="BC676" s="472" t="s">
        <v>1385</v>
      </c>
      <c r="BD676" s="472" t="s">
        <v>1385</v>
      </c>
      <c r="BE676" s="472" t="s">
        <v>1385</v>
      </c>
      <c r="BF676" s="472">
        <v>25126.2</v>
      </c>
      <c r="BG676" s="472">
        <v>0</v>
      </c>
      <c r="BH676" s="472" t="s">
        <v>1385</v>
      </c>
      <c r="BI676" s="510">
        <v>0</v>
      </c>
      <c r="BJ676" s="510">
        <v>287.55</v>
      </c>
      <c r="BK676" s="510">
        <v>0</v>
      </c>
      <c r="BL676" s="510">
        <v>0</v>
      </c>
      <c r="BM676" s="510">
        <v>0</v>
      </c>
      <c r="BN676" s="510">
        <v>4000</v>
      </c>
      <c r="BO676" s="510">
        <v>0</v>
      </c>
      <c r="BP676" s="510">
        <v>2000</v>
      </c>
      <c r="BQ676" s="510">
        <v>0</v>
      </c>
      <c r="BR676" s="510">
        <v>0</v>
      </c>
      <c r="BS676" s="510">
        <v>0</v>
      </c>
      <c r="BT676" s="510">
        <v>0</v>
      </c>
      <c r="BU676" s="510">
        <v>0</v>
      </c>
      <c r="BV676" s="510">
        <v>0</v>
      </c>
      <c r="BW676" s="510">
        <v>0</v>
      </c>
      <c r="BX676" s="510">
        <v>30000</v>
      </c>
      <c r="BY676" s="1011">
        <v>0</v>
      </c>
      <c r="BZ676" s="510">
        <v>0</v>
      </c>
      <c r="CA676" s="1011">
        <v>0</v>
      </c>
      <c r="CB676" s="510">
        <v>0</v>
      </c>
      <c r="CC676" s="1011">
        <v>0</v>
      </c>
      <c r="CD676" s="510">
        <v>0</v>
      </c>
      <c r="CE676" s="1011">
        <v>0</v>
      </c>
      <c r="CF676" s="510">
        <v>48537.599999999999</v>
      </c>
      <c r="CG676" s="1011">
        <v>0</v>
      </c>
      <c r="CH676" s="510">
        <v>0</v>
      </c>
      <c r="CI676" s="1011">
        <v>0</v>
      </c>
    </row>
    <row r="677" spans="1:87" x14ac:dyDescent="0.2">
      <c r="A677" s="449">
        <v>120</v>
      </c>
      <c r="B677" s="453">
        <v>91651</v>
      </c>
      <c r="C677" s="454" t="s">
        <v>6382</v>
      </c>
      <c r="D677" s="454" t="s">
        <v>1390</v>
      </c>
      <c r="E677" s="454" t="s">
        <v>6383</v>
      </c>
      <c r="F677" s="454" t="s">
        <v>528</v>
      </c>
      <c r="G677" s="454" t="s">
        <v>13443</v>
      </c>
      <c r="H677" s="455">
        <v>50856939000120</v>
      </c>
      <c r="I677" s="462">
        <v>30182</v>
      </c>
      <c r="J677" s="457">
        <v>37375784</v>
      </c>
      <c r="K677" s="454" t="s">
        <v>6384</v>
      </c>
      <c r="L677" s="458">
        <v>476</v>
      </c>
      <c r="M677" s="454" t="s">
        <v>2241</v>
      </c>
      <c r="N677" s="459">
        <v>5204110</v>
      </c>
      <c r="O677" s="460">
        <v>39170758</v>
      </c>
      <c r="P677" s="462">
        <v>263853</v>
      </c>
      <c r="Q677" s="462">
        <v>120</v>
      </c>
      <c r="R677" s="462">
        <v>43938</v>
      </c>
      <c r="S677" s="463">
        <v>490</v>
      </c>
      <c r="T677" s="464">
        <v>3.6</v>
      </c>
      <c r="U677" s="465">
        <v>1764</v>
      </c>
      <c r="V677" s="465">
        <v>15120</v>
      </c>
      <c r="W677" s="466">
        <v>0</v>
      </c>
      <c r="X677" s="467">
        <v>1</v>
      </c>
      <c r="Y677" s="466">
        <v>25326</v>
      </c>
      <c r="Z677" s="468" t="s">
        <v>516</v>
      </c>
      <c r="AA677" s="466">
        <v>104151.6</v>
      </c>
      <c r="AB677" s="466">
        <v>104151.6</v>
      </c>
      <c r="AC677" s="467">
        <v>0</v>
      </c>
      <c r="AD677" s="466">
        <v>0</v>
      </c>
      <c r="AE677" s="468" t="s">
        <v>516</v>
      </c>
      <c r="AF677" s="466">
        <v>2000</v>
      </c>
      <c r="AG677" s="466">
        <v>2000</v>
      </c>
      <c r="AH677" s="466">
        <v>0</v>
      </c>
      <c r="AI677" s="466">
        <v>0</v>
      </c>
      <c r="AJ677" s="469" t="s">
        <v>2242</v>
      </c>
      <c r="AK677" s="470" t="s">
        <v>2241</v>
      </c>
      <c r="AL677" s="471" t="s">
        <v>6385</v>
      </c>
      <c r="AM677" s="470" t="s">
        <v>6386</v>
      </c>
      <c r="AN677" s="470" t="s">
        <v>6387</v>
      </c>
      <c r="AO677" s="470" t="s">
        <v>13444</v>
      </c>
      <c r="AP677" s="470" t="s">
        <v>6388</v>
      </c>
      <c r="AQ677" s="470" t="s">
        <v>6382</v>
      </c>
      <c r="AR677" s="472" t="s">
        <v>515</v>
      </c>
      <c r="AS677" s="473" t="s">
        <v>1385</v>
      </c>
      <c r="AT677" s="472" t="s">
        <v>1390</v>
      </c>
      <c r="AU677" s="472" t="s">
        <v>420</v>
      </c>
      <c r="AV677" s="472">
        <v>2020</v>
      </c>
      <c r="AW677" s="474" t="s">
        <v>15078</v>
      </c>
      <c r="AX677" s="475" t="s">
        <v>15079</v>
      </c>
      <c r="AY677" s="515">
        <v>1</v>
      </c>
      <c r="AZ677" s="474" t="s">
        <v>15079</v>
      </c>
      <c r="BA677" s="472" t="s">
        <v>1390</v>
      </c>
      <c r="BB677" s="472" t="s">
        <v>1385</v>
      </c>
      <c r="BC677" s="472" t="s">
        <v>1385</v>
      </c>
      <c r="BD677" s="472" t="s">
        <v>1385</v>
      </c>
      <c r="BE677" s="472" t="s">
        <v>1385</v>
      </c>
      <c r="BF677" s="472">
        <v>25326</v>
      </c>
      <c r="BG677" s="472">
        <v>0</v>
      </c>
      <c r="BH677" s="472" t="s">
        <v>1385</v>
      </c>
      <c r="BI677" s="510">
        <v>0</v>
      </c>
      <c r="BJ677" s="510">
        <v>0</v>
      </c>
      <c r="BK677" s="510">
        <v>0</v>
      </c>
      <c r="BL677" s="510">
        <v>0</v>
      </c>
      <c r="BM677" s="510">
        <v>0</v>
      </c>
      <c r="BN677" s="510">
        <v>3431.05</v>
      </c>
      <c r="BO677" s="510">
        <v>0</v>
      </c>
      <c r="BP677" s="510">
        <v>2000</v>
      </c>
      <c r="BQ677" s="510">
        <v>0</v>
      </c>
      <c r="BR677" s="510">
        <v>0</v>
      </c>
      <c r="BS677" s="510">
        <v>0</v>
      </c>
      <c r="BT677" s="510">
        <v>0</v>
      </c>
      <c r="BU677" s="510">
        <v>0</v>
      </c>
      <c r="BV677" s="510">
        <v>0</v>
      </c>
      <c r="BW677" s="510">
        <v>0</v>
      </c>
      <c r="BX677" s="510">
        <v>30000</v>
      </c>
      <c r="BY677" s="1011">
        <v>0</v>
      </c>
      <c r="BZ677" s="510">
        <v>0</v>
      </c>
      <c r="CA677" s="1011">
        <v>0</v>
      </c>
      <c r="CB677" s="510">
        <v>0</v>
      </c>
      <c r="CC677" s="1011">
        <v>0</v>
      </c>
      <c r="CD677" s="510">
        <v>0</v>
      </c>
      <c r="CE677" s="1011">
        <v>0</v>
      </c>
      <c r="CF677" s="510">
        <v>48825.599999999999</v>
      </c>
      <c r="CG677" s="1011">
        <v>0</v>
      </c>
      <c r="CH677" s="510">
        <v>0</v>
      </c>
      <c r="CI677" s="1011">
        <v>0</v>
      </c>
    </row>
    <row r="678" spans="1:87" x14ac:dyDescent="0.2">
      <c r="A678" s="449">
        <v>125</v>
      </c>
      <c r="B678" s="453">
        <v>91669</v>
      </c>
      <c r="C678" s="454" t="s">
        <v>6389</v>
      </c>
      <c r="D678" s="454" t="s">
        <v>1390</v>
      </c>
      <c r="E678" s="454" t="s">
        <v>6390</v>
      </c>
      <c r="F678" s="454" t="s">
        <v>528</v>
      </c>
      <c r="G678" s="454" t="s">
        <v>13445</v>
      </c>
      <c r="H678" s="455">
        <v>50707553000157</v>
      </c>
      <c r="I678" s="462">
        <v>30125</v>
      </c>
      <c r="J678" s="457">
        <v>37380125</v>
      </c>
      <c r="K678" s="454" t="s">
        <v>6391</v>
      </c>
      <c r="L678" s="458">
        <v>65</v>
      </c>
      <c r="M678" s="454" t="s">
        <v>6392</v>
      </c>
      <c r="N678" s="459">
        <v>5177030</v>
      </c>
      <c r="O678" s="460">
        <v>39015006</v>
      </c>
      <c r="P678" s="462">
        <v>212868</v>
      </c>
      <c r="Q678" s="462">
        <v>125</v>
      </c>
      <c r="R678" s="462">
        <v>43938</v>
      </c>
      <c r="S678" s="463">
        <v>220</v>
      </c>
      <c r="T678" s="464">
        <v>3.6</v>
      </c>
      <c r="U678" s="465">
        <v>792</v>
      </c>
      <c r="V678" s="465">
        <v>12240</v>
      </c>
      <c r="W678" s="466">
        <v>0</v>
      </c>
      <c r="X678" s="467">
        <v>1</v>
      </c>
      <c r="Y678" s="466">
        <v>19548</v>
      </c>
      <c r="Z678" s="468" t="s">
        <v>516</v>
      </c>
      <c r="AA678" s="466">
        <v>90482.4</v>
      </c>
      <c r="AB678" s="466">
        <v>90482.4</v>
      </c>
      <c r="AC678" s="467">
        <v>0</v>
      </c>
      <c r="AD678" s="466">
        <v>0</v>
      </c>
      <c r="AE678" s="468" t="s">
        <v>516</v>
      </c>
      <c r="AF678" s="466">
        <v>0</v>
      </c>
      <c r="AG678" s="466">
        <v>0</v>
      </c>
      <c r="AH678" s="466">
        <v>28749.34</v>
      </c>
      <c r="AI678" s="466">
        <v>11383.64</v>
      </c>
      <c r="AJ678" s="469" t="s">
        <v>1422</v>
      </c>
      <c r="AK678" s="470" t="s">
        <v>6393</v>
      </c>
      <c r="AL678" s="471" t="s">
        <v>6394</v>
      </c>
      <c r="AM678" s="470" t="s">
        <v>13446</v>
      </c>
      <c r="AN678" s="470" t="s">
        <v>6395</v>
      </c>
      <c r="AO678" s="470" t="s">
        <v>6396</v>
      </c>
      <c r="AP678" s="470" t="s">
        <v>6397</v>
      </c>
      <c r="AQ678" s="470" t="s">
        <v>6389</v>
      </c>
      <c r="AR678" s="472" t="s">
        <v>515</v>
      </c>
      <c r="AS678" s="473" t="s">
        <v>1385</v>
      </c>
      <c r="AT678" s="472" t="s">
        <v>1390</v>
      </c>
      <c r="AU678" s="472" t="s">
        <v>420</v>
      </c>
      <c r="AV678" s="472">
        <v>2020</v>
      </c>
      <c r="AW678" s="474" t="s">
        <v>15078</v>
      </c>
      <c r="AX678" s="475" t="s">
        <v>15079</v>
      </c>
      <c r="AY678" s="515">
        <v>1</v>
      </c>
      <c r="AZ678" s="474" t="s">
        <v>15079</v>
      </c>
      <c r="BA678" s="472" t="s">
        <v>1390</v>
      </c>
      <c r="BB678" s="472" t="s">
        <v>1385</v>
      </c>
      <c r="BC678" s="472" t="s">
        <v>1385</v>
      </c>
      <c r="BD678" s="472" t="s">
        <v>1385</v>
      </c>
      <c r="BE678" s="472" t="s">
        <v>1385</v>
      </c>
      <c r="BF678" s="472">
        <v>19548</v>
      </c>
      <c r="BG678" s="472">
        <v>0</v>
      </c>
      <c r="BH678" s="472" t="s">
        <v>1385</v>
      </c>
      <c r="BI678" s="510">
        <v>0</v>
      </c>
      <c r="BJ678" s="510">
        <v>0</v>
      </c>
      <c r="BK678" s="510">
        <v>0</v>
      </c>
      <c r="BL678" s="510">
        <v>0</v>
      </c>
      <c r="BM678" s="510">
        <v>0</v>
      </c>
      <c r="BN678" s="510">
        <v>3000</v>
      </c>
      <c r="BO678" s="510">
        <v>0</v>
      </c>
      <c r="BP678" s="510">
        <v>0</v>
      </c>
      <c r="BQ678" s="510">
        <v>0</v>
      </c>
      <c r="BR678" s="510">
        <v>0</v>
      </c>
      <c r="BS678" s="510">
        <v>0</v>
      </c>
      <c r="BT678" s="510">
        <v>0</v>
      </c>
      <c r="BU678" s="510">
        <v>0</v>
      </c>
      <c r="BV678" s="510">
        <v>0</v>
      </c>
      <c r="BW678" s="510">
        <v>0</v>
      </c>
      <c r="BX678" s="510">
        <v>30000</v>
      </c>
      <c r="BY678" s="1011">
        <v>0</v>
      </c>
      <c r="BZ678" s="510">
        <v>0</v>
      </c>
      <c r="CA678" s="1011">
        <v>0</v>
      </c>
      <c r="CB678" s="510">
        <v>0</v>
      </c>
      <c r="CC678" s="1011">
        <v>0</v>
      </c>
      <c r="CD678" s="510">
        <v>0</v>
      </c>
      <c r="CE678" s="1011">
        <v>0</v>
      </c>
      <c r="CF678" s="510">
        <v>40934.400000000001</v>
      </c>
      <c r="CG678" s="1011">
        <v>0</v>
      </c>
      <c r="CH678" s="510">
        <v>0</v>
      </c>
      <c r="CI678" s="1011">
        <v>0</v>
      </c>
    </row>
    <row r="679" spans="1:87" x14ac:dyDescent="0.2">
      <c r="A679" s="449">
        <v>89</v>
      </c>
      <c r="B679" s="453">
        <v>91677</v>
      </c>
      <c r="C679" s="454" t="s">
        <v>6398</v>
      </c>
      <c r="D679" s="454" t="s">
        <v>1390</v>
      </c>
      <c r="E679" s="454" t="s">
        <v>6399</v>
      </c>
      <c r="F679" s="454" t="s">
        <v>528</v>
      </c>
      <c r="G679" s="454" t="s">
        <v>13447</v>
      </c>
      <c r="H679" s="455">
        <v>50712173000100</v>
      </c>
      <c r="I679" s="462">
        <v>30183</v>
      </c>
      <c r="J679" s="457">
        <v>37382535</v>
      </c>
      <c r="K679" s="454" t="s">
        <v>6400</v>
      </c>
      <c r="L679" s="458">
        <v>1406</v>
      </c>
      <c r="M679" s="454" t="s">
        <v>528</v>
      </c>
      <c r="N679" s="459">
        <v>5110000</v>
      </c>
      <c r="O679" s="460">
        <v>39045459</v>
      </c>
      <c r="P679" s="462">
        <v>254730</v>
      </c>
      <c r="Q679" s="462">
        <v>89</v>
      </c>
      <c r="R679" s="462">
        <v>43938</v>
      </c>
      <c r="S679" s="463">
        <v>395</v>
      </c>
      <c r="T679" s="464">
        <v>3.6</v>
      </c>
      <c r="U679" s="465">
        <v>1422</v>
      </c>
      <c r="V679" s="465">
        <v>13680</v>
      </c>
      <c r="W679" s="466">
        <v>0</v>
      </c>
      <c r="X679" s="467">
        <v>1</v>
      </c>
      <c r="Y679" s="466">
        <v>22653</v>
      </c>
      <c r="Z679" s="468" t="s">
        <v>516</v>
      </c>
      <c r="AA679" s="466">
        <v>97849.8</v>
      </c>
      <c r="AB679" s="466">
        <v>97849.8</v>
      </c>
      <c r="AC679" s="467">
        <v>0</v>
      </c>
      <c r="AD679" s="466">
        <v>0</v>
      </c>
      <c r="AE679" s="468" t="s">
        <v>516</v>
      </c>
      <c r="AF679" s="466">
        <v>2000</v>
      </c>
      <c r="AG679" s="466">
        <v>2000</v>
      </c>
      <c r="AH679" s="466">
        <v>11025.7</v>
      </c>
      <c r="AI679" s="466">
        <v>1946.64</v>
      </c>
      <c r="AJ679" s="469" t="s">
        <v>1422</v>
      </c>
      <c r="AK679" s="470" t="s">
        <v>6401</v>
      </c>
      <c r="AL679" s="471" t="s">
        <v>6402</v>
      </c>
      <c r="AM679" s="470" t="s">
        <v>13448</v>
      </c>
      <c r="AN679" s="470" t="s">
        <v>6403</v>
      </c>
      <c r="AO679" s="470" t="s">
        <v>13449</v>
      </c>
      <c r="AP679" s="470" t="s">
        <v>6404</v>
      </c>
      <c r="AQ679" s="470" t="s">
        <v>6398</v>
      </c>
      <c r="AR679" s="472" t="s">
        <v>515</v>
      </c>
      <c r="AS679" s="473" t="s">
        <v>1385</v>
      </c>
      <c r="AT679" s="472" t="s">
        <v>1390</v>
      </c>
      <c r="AU679" s="472" t="s">
        <v>420</v>
      </c>
      <c r="AV679" s="472">
        <v>2020</v>
      </c>
      <c r="AW679" s="474" t="s">
        <v>15078</v>
      </c>
      <c r="AX679" s="475" t="s">
        <v>15079</v>
      </c>
      <c r="AY679" s="515">
        <v>1</v>
      </c>
      <c r="AZ679" s="474" t="s">
        <v>15079</v>
      </c>
      <c r="BA679" s="472" t="s">
        <v>1390</v>
      </c>
      <c r="BB679" s="472" t="s">
        <v>1385</v>
      </c>
      <c r="BC679" s="472" t="s">
        <v>1385</v>
      </c>
      <c r="BD679" s="472" t="s">
        <v>1385</v>
      </c>
      <c r="BE679" s="472" t="s">
        <v>1385</v>
      </c>
      <c r="BF679" s="472">
        <v>22653</v>
      </c>
      <c r="BG679" s="472">
        <v>0</v>
      </c>
      <c r="BH679" s="472" t="s">
        <v>1385</v>
      </c>
      <c r="BI679" s="510">
        <v>0</v>
      </c>
      <c r="BJ679" s="510">
        <v>0</v>
      </c>
      <c r="BK679" s="510">
        <v>0</v>
      </c>
      <c r="BL679" s="510">
        <v>0</v>
      </c>
      <c r="BM679" s="510">
        <v>0</v>
      </c>
      <c r="BN679" s="510">
        <v>3500</v>
      </c>
      <c r="BO679" s="510">
        <v>0</v>
      </c>
      <c r="BP679" s="510">
        <v>2000</v>
      </c>
      <c r="BQ679" s="510">
        <v>0</v>
      </c>
      <c r="BR679" s="510">
        <v>0</v>
      </c>
      <c r="BS679" s="510">
        <v>0</v>
      </c>
      <c r="BT679" s="510">
        <v>0</v>
      </c>
      <c r="BU679" s="510">
        <v>0</v>
      </c>
      <c r="BV679" s="510">
        <v>0</v>
      </c>
      <c r="BW679" s="510">
        <v>0</v>
      </c>
      <c r="BX679" s="510">
        <v>30000</v>
      </c>
      <c r="BY679" s="1011">
        <v>0</v>
      </c>
      <c r="BZ679" s="510">
        <v>0</v>
      </c>
      <c r="CA679" s="1011">
        <v>0</v>
      </c>
      <c r="CB679" s="510">
        <v>0</v>
      </c>
      <c r="CC679" s="1011">
        <v>0</v>
      </c>
      <c r="CD679" s="510">
        <v>0</v>
      </c>
      <c r="CE679" s="1011">
        <v>0</v>
      </c>
      <c r="CF679" s="510">
        <v>45196.800000000003</v>
      </c>
      <c r="CG679" s="1011">
        <v>0</v>
      </c>
      <c r="CH679" s="510">
        <v>0</v>
      </c>
      <c r="CI679" s="1011">
        <v>0</v>
      </c>
    </row>
    <row r="680" spans="1:87" x14ac:dyDescent="0.2">
      <c r="A680" s="449">
        <v>123</v>
      </c>
      <c r="B680" s="453">
        <v>91685</v>
      </c>
      <c r="C680" s="454" t="s">
        <v>6405</v>
      </c>
      <c r="D680" s="454" t="s">
        <v>1390</v>
      </c>
      <c r="E680" s="454" t="s">
        <v>6406</v>
      </c>
      <c r="F680" s="454" t="s">
        <v>528</v>
      </c>
      <c r="G680" s="454" t="s">
        <v>13450</v>
      </c>
      <c r="H680" s="455">
        <v>50861400000160</v>
      </c>
      <c r="I680" s="462">
        <v>30172</v>
      </c>
      <c r="J680" s="457">
        <v>37375857</v>
      </c>
      <c r="K680" s="454" t="s">
        <v>6407</v>
      </c>
      <c r="L680" s="458" t="s">
        <v>1446</v>
      </c>
      <c r="M680" s="454" t="s">
        <v>6408</v>
      </c>
      <c r="N680" s="459">
        <v>5132210</v>
      </c>
      <c r="O680" s="460">
        <v>39040555</v>
      </c>
      <c r="P680" s="462">
        <v>212841</v>
      </c>
      <c r="Q680" s="462">
        <v>123</v>
      </c>
      <c r="R680" s="462">
        <v>43938</v>
      </c>
      <c r="S680" s="463">
        <v>251</v>
      </c>
      <c r="T680" s="464">
        <v>3.6</v>
      </c>
      <c r="U680" s="465">
        <v>903.6</v>
      </c>
      <c r="V680" s="465">
        <v>12240</v>
      </c>
      <c r="W680" s="466">
        <v>0</v>
      </c>
      <c r="X680" s="467">
        <v>1</v>
      </c>
      <c r="Y680" s="466">
        <v>19715.400000000001</v>
      </c>
      <c r="Z680" s="468" t="s">
        <v>516</v>
      </c>
      <c r="AA680" s="466">
        <v>91305</v>
      </c>
      <c r="AB680" s="466">
        <v>91305</v>
      </c>
      <c r="AC680" s="467">
        <v>0</v>
      </c>
      <c r="AD680" s="466">
        <v>0</v>
      </c>
      <c r="AE680" s="468" t="s">
        <v>516</v>
      </c>
      <c r="AF680" s="466">
        <v>0</v>
      </c>
      <c r="AG680" s="466">
        <v>0</v>
      </c>
      <c r="AH680" s="466">
        <v>13199.85</v>
      </c>
      <c r="AI680" s="466">
        <v>15464</v>
      </c>
      <c r="AJ680" s="469" t="s">
        <v>1588</v>
      </c>
      <c r="AK680" s="470" t="s">
        <v>1589</v>
      </c>
      <c r="AL680" s="471" t="s">
        <v>6409</v>
      </c>
      <c r="AM680" s="470" t="s">
        <v>6410</v>
      </c>
      <c r="AN680" s="470" t="s">
        <v>6411</v>
      </c>
      <c r="AO680" s="470" t="s">
        <v>13451</v>
      </c>
      <c r="AP680" s="470" t="s">
        <v>6412</v>
      </c>
      <c r="AQ680" s="470" t="s">
        <v>6405</v>
      </c>
      <c r="AR680" s="472" t="s">
        <v>515</v>
      </c>
      <c r="AS680" s="473" t="s">
        <v>1385</v>
      </c>
      <c r="AT680" s="472" t="s">
        <v>1390</v>
      </c>
      <c r="AU680" s="472" t="s">
        <v>420</v>
      </c>
      <c r="AV680" s="472">
        <v>2020</v>
      </c>
      <c r="AW680" s="474" t="s">
        <v>15078</v>
      </c>
      <c r="AX680" s="475" t="s">
        <v>15079</v>
      </c>
      <c r="AY680" s="515">
        <v>1</v>
      </c>
      <c r="AZ680" s="474" t="s">
        <v>15079</v>
      </c>
      <c r="BA680" s="472" t="s">
        <v>1390</v>
      </c>
      <c r="BB680" s="472" t="s">
        <v>1385</v>
      </c>
      <c r="BC680" s="472" t="s">
        <v>1385</v>
      </c>
      <c r="BD680" s="472" t="s">
        <v>1385</v>
      </c>
      <c r="BE680" s="472" t="s">
        <v>1385</v>
      </c>
      <c r="BF680" s="472">
        <v>19715.400000000001</v>
      </c>
      <c r="BG680" s="472">
        <v>0</v>
      </c>
      <c r="BH680" s="472" t="s">
        <v>1385</v>
      </c>
      <c r="BI680" s="510">
        <v>0</v>
      </c>
      <c r="BJ680" s="510">
        <v>0.6</v>
      </c>
      <c r="BK680" s="510">
        <v>0</v>
      </c>
      <c r="BL680" s="510">
        <v>0</v>
      </c>
      <c r="BM680" s="510">
        <v>0</v>
      </c>
      <c r="BN680" s="510">
        <v>3500</v>
      </c>
      <c r="BO680" s="510">
        <v>0</v>
      </c>
      <c r="BP680" s="510">
        <v>0</v>
      </c>
      <c r="BQ680" s="510">
        <v>0</v>
      </c>
      <c r="BR680" s="510">
        <v>0</v>
      </c>
      <c r="BS680" s="510">
        <v>0</v>
      </c>
      <c r="BT680" s="510">
        <v>0</v>
      </c>
      <c r="BU680" s="510">
        <v>0</v>
      </c>
      <c r="BV680" s="510">
        <v>0</v>
      </c>
      <c r="BW680" s="510">
        <v>0</v>
      </c>
      <c r="BX680" s="510">
        <v>30000</v>
      </c>
      <c r="BY680" s="1011">
        <v>0</v>
      </c>
      <c r="BZ680" s="510">
        <v>0</v>
      </c>
      <c r="CA680" s="1011">
        <v>0</v>
      </c>
      <c r="CB680" s="510">
        <v>0</v>
      </c>
      <c r="CC680" s="1011">
        <v>0</v>
      </c>
      <c r="CD680" s="510">
        <v>0</v>
      </c>
      <c r="CE680" s="1011">
        <v>0</v>
      </c>
      <c r="CF680" s="510">
        <v>41589.599999999999</v>
      </c>
      <c r="CG680" s="1011">
        <v>0</v>
      </c>
      <c r="CH680" s="510">
        <v>0</v>
      </c>
      <c r="CI680" s="1011">
        <v>0</v>
      </c>
    </row>
    <row r="681" spans="1:87" x14ac:dyDescent="0.2">
      <c r="A681" s="449">
        <v>94</v>
      </c>
      <c r="B681" s="453">
        <v>91693</v>
      </c>
      <c r="C681" s="454" t="s">
        <v>6413</v>
      </c>
      <c r="D681" s="454" t="s">
        <v>1390</v>
      </c>
      <c r="E681" s="454" t="s">
        <v>6414</v>
      </c>
      <c r="F681" s="454" t="s">
        <v>528</v>
      </c>
      <c r="G681" s="454" t="s">
        <v>13452</v>
      </c>
      <c r="H681" s="455">
        <v>50859750000191</v>
      </c>
      <c r="I681" s="462">
        <v>30175</v>
      </c>
      <c r="J681" s="457">
        <v>37376152</v>
      </c>
      <c r="K681" s="454" t="s">
        <v>6400</v>
      </c>
      <c r="L681" s="458">
        <v>4855</v>
      </c>
      <c r="M681" s="454" t="s">
        <v>6415</v>
      </c>
      <c r="N681" s="459">
        <v>5110000</v>
      </c>
      <c r="O681" s="460">
        <v>36212665</v>
      </c>
      <c r="P681" s="462">
        <v>267069</v>
      </c>
      <c r="Q681" s="462">
        <v>94</v>
      </c>
      <c r="R681" s="462">
        <v>43938</v>
      </c>
      <c r="S681" s="463">
        <v>361</v>
      </c>
      <c r="T681" s="464">
        <v>3.6</v>
      </c>
      <c r="U681" s="465">
        <v>1299.5999999999999</v>
      </c>
      <c r="V681" s="465">
        <v>13680</v>
      </c>
      <c r="W681" s="466">
        <v>0</v>
      </c>
      <c r="X681" s="467">
        <v>1</v>
      </c>
      <c r="Y681" s="466">
        <v>22469.4</v>
      </c>
      <c r="Z681" s="468" t="s">
        <v>516</v>
      </c>
      <c r="AA681" s="466">
        <v>97219.8</v>
      </c>
      <c r="AB681" s="466">
        <v>97219.8</v>
      </c>
      <c r="AC681" s="467">
        <v>0</v>
      </c>
      <c r="AD681" s="466">
        <v>0</v>
      </c>
      <c r="AE681" s="468" t="s">
        <v>516</v>
      </c>
      <c r="AF681" s="466">
        <v>0</v>
      </c>
      <c r="AG681" s="466">
        <v>0</v>
      </c>
      <c r="AH681" s="466">
        <v>25422.01</v>
      </c>
      <c r="AI681" s="466">
        <v>12804.05</v>
      </c>
      <c r="AJ681" s="469" t="s">
        <v>1729</v>
      </c>
      <c r="AK681" s="470" t="s">
        <v>2973</v>
      </c>
      <c r="AL681" s="471" t="s">
        <v>6416</v>
      </c>
      <c r="AM681" s="470" t="s">
        <v>6417</v>
      </c>
      <c r="AN681" s="470" t="s">
        <v>6418</v>
      </c>
      <c r="AO681" s="470" t="s">
        <v>13453</v>
      </c>
      <c r="AP681" s="470" t="s">
        <v>6419</v>
      </c>
      <c r="AQ681" s="470" t="s">
        <v>6413</v>
      </c>
      <c r="AR681" s="472" t="s">
        <v>515</v>
      </c>
      <c r="AS681" s="473" t="s">
        <v>1385</v>
      </c>
      <c r="AT681" s="472" t="s">
        <v>1390</v>
      </c>
      <c r="AU681" s="472" t="s">
        <v>420</v>
      </c>
      <c r="AV681" s="472">
        <v>2020</v>
      </c>
      <c r="AW681" s="474" t="s">
        <v>15078</v>
      </c>
      <c r="AX681" s="475" t="s">
        <v>15079</v>
      </c>
      <c r="AY681" s="515">
        <v>1</v>
      </c>
      <c r="AZ681" s="474" t="s">
        <v>15079</v>
      </c>
      <c r="BA681" s="472" t="s">
        <v>1390</v>
      </c>
      <c r="BB681" s="472" t="s">
        <v>1385</v>
      </c>
      <c r="BC681" s="472" t="s">
        <v>1385</v>
      </c>
      <c r="BD681" s="472" t="s">
        <v>1385</v>
      </c>
      <c r="BE681" s="472" t="s">
        <v>1385</v>
      </c>
      <c r="BF681" s="472">
        <v>22469.4</v>
      </c>
      <c r="BG681" s="472">
        <v>0</v>
      </c>
      <c r="BH681" s="472" t="s">
        <v>1385</v>
      </c>
      <c r="BI681" s="510">
        <v>0</v>
      </c>
      <c r="BJ681" s="510">
        <v>0</v>
      </c>
      <c r="BK681" s="510">
        <v>0</v>
      </c>
      <c r="BL681" s="510">
        <v>0</v>
      </c>
      <c r="BM681" s="510">
        <v>0</v>
      </c>
      <c r="BN681" s="510">
        <v>3500</v>
      </c>
      <c r="BO681" s="510">
        <v>0</v>
      </c>
      <c r="BP681" s="510">
        <v>0</v>
      </c>
      <c r="BQ681" s="510">
        <v>0</v>
      </c>
      <c r="BR681" s="510">
        <v>0</v>
      </c>
      <c r="BS681" s="510">
        <v>0</v>
      </c>
      <c r="BT681" s="510">
        <v>0</v>
      </c>
      <c r="BU681" s="510">
        <v>0</v>
      </c>
      <c r="BV681" s="510">
        <v>0</v>
      </c>
      <c r="BW681" s="510">
        <v>0</v>
      </c>
      <c r="BX681" s="510">
        <v>30000</v>
      </c>
      <c r="BY681" s="1011">
        <v>0</v>
      </c>
      <c r="BZ681" s="510">
        <v>0</v>
      </c>
      <c r="CA681" s="1011">
        <v>0</v>
      </c>
      <c r="CB681" s="510">
        <v>0</v>
      </c>
      <c r="CC681" s="1011">
        <v>0</v>
      </c>
      <c r="CD681" s="510">
        <v>0</v>
      </c>
      <c r="CE681" s="1011">
        <v>0</v>
      </c>
      <c r="CF681" s="510">
        <v>44750.400000000001</v>
      </c>
      <c r="CG681" s="1011">
        <v>0</v>
      </c>
      <c r="CH681" s="510">
        <v>0</v>
      </c>
      <c r="CI681" s="1011">
        <v>0</v>
      </c>
    </row>
    <row r="682" spans="1:87" x14ac:dyDescent="0.2">
      <c r="A682" s="449">
        <v>124</v>
      </c>
      <c r="B682" s="453">
        <v>91707</v>
      </c>
      <c r="C682" s="454" t="s">
        <v>6420</v>
      </c>
      <c r="D682" s="454" t="s">
        <v>1390</v>
      </c>
      <c r="E682" s="454" t="s">
        <v>6421</v>
      </c>
      <c r="F682" s="454" t="s">
        <v>528</v>
      </c>
      <c r="G682" s="454" t="s">
        <v>13454</v>
      </c>
      <c r="H682" s="455">
        <v>50713189000138</v>
      </c>
      <c r="I682" s="462">
        <v>30187</v>
      </c>
      <c r="J682" s="457">
        <v>37382748</v>
      </c>
      <c r="K682" s="454" t="s">
        <v>6422</v>
      </c>
      <c r="L682" s="458">
        <v>677</v>
      </c>
      <c r="M682" s="454" t="s">
        <v>2936</v>
      </c>
      <c r="N682" s="459">
        <v>5116001</v>
      </c>
      <c r="O682" s="460">
        <v>36251791</v>
      </c>
      <c r="P682" s="462">
        <v>257080</v>
      </c>
      <c r="Q682" s="462">
        <v>124</v>
      </c>
      <c r="R682" s="462">
        <v>43938</v>
      </c>
      <c r="S682" s="463">
        <v>229</v>
      </c>
      <c r="T682" s="464">
        <v>3.6</v>
      </c>
      <c r="U682" s="465">
        <v>824.4</v>
      </c>
      <c r="V682" s="465">
        <v>12240</v>
      </c>
      <c r="W682" s="466">
        <v>0</v>
      </c>
      <c r="X682" s="467">
        <v>1</v>
      </c>
      <c r="Y682" s="466">
        <v>19596.599999999999</v>
      </c>
      <c r="Z682" s="468" t="s">
        <v>516</v>
      </c>
      <c r="AA682" s="466">
        <v>90761.4</v>
      </c>
      <c r="AB682" s="466">
        <v>90761.4</v>
      </c>
      <c r="AC682" s="467">
        <v>0</v>
      </c>
      <c r="AD682" s="466">
        <v>0</v>
      </c>
      <c r="AE682" s="468" t="s">
        <v>516</v>
      </c>
      <c r="AF682" s="466">
        <v>0</v>
      </c>
      <c r="AG682" s="466">
        <v>0</v>
      </c>
      <c r="AH682" s="466">
        <v>9538.59</v>
      </c>
      <c r="AI682" s="466">
        <v>3220.24</v>
      </c>
      <c r="AJ682" s="469" t="s">
        <v>1729</v>
      </c>
      <c r="AK682" s="470" t="s">
        <v>2973</v>
      </c>
      <c r="AL682" s="471" t="s">
        <v>6423</v>
      </c>
      <c r="AM682" s="470" t="s">
        <v>6424</v>
      </c>
      <c r="AN682" s="470" t="s">
        <v>6425</v>
      </c>
      <c r="AO682" s="470" t="s">
        <v>13455</v>
      </c>
      <c r="AP682" s="470" t="s">
        <v>6426</v>
      </c>
      <c r="AQ682" s="470" t="s">
        <v>6420</v>
      </c>
      <c r="AR682" s="472" t="s">
        <v>515</v>
      </c>
      <c r="AS682" s="473" t="s">
        <v>1385</v>
      </c>
      <c r="AT682" s="472" t="s">
        <v>1390</v>
      </c>
      <c r="AU682" s="472" t="s">
        <v>420</v>
      </c>
      <c r="AV682" s="472">
        <v>2020</v>
      </c>
      <c r="AW682" s="474" t="s">
        <v>15078</v>
      </c>
      <c r="AX682" s="475" t="s">
        <v>15079</v>
      </c>
      <c r="AY682" s="515">
        <v>1</v>
      </c>
      <c r="AZ682" s="474" t="s">
        <v>15079</v>
      </c>
      <c r="BA682" s="472" t="s">
        <v>1390</v>
      </c>
      <c r="BB682" s="472" t="s">
        <v>1385</v>
      </c>
      <c r="BC682" s="472" t="s">
        <v>1385</v>
      </c>
      <c r="BD682" s="472" t="s">
        <v>1385</v>
      </c>
      <c r="BE682" s="472" t="s">
        <v>1385</v>
      </c>
      <c r="BF682" s="472">
        <v>19596.599999999999</v>
      </c>
      <c r="BG682" s="472">
        <v>0</v>
      </c>
      <c r="BH682" s="472" t="s">
        <v>1385</v>
      </c>
      <c r="BI682" s="510">
        <v>0</v>
      </c>
      <c r="BJ682" s="510">
        <v>0</v>
      </c>
      <c r="BK682" s="510">
        <v>0</v>
      </c>
      <c r="BL682" s="510">
        <v>0</v>
      </c>
      <c r="BM682" s="510">
        <v>0</v>
      </c>
      <c r="BN682" s="510">
        <v>3000</v>
      </c>
      <c r="BO682" s="510">
        <v>0</v>
      </c>
      <c r="BP682" s="510">
        <v>0</v>
      </c>
      <c r="BQ682" s="510">
        <v>0</v>
      </c>
      <c r="BR682" s="510">
        <v>0</v>
      </c>
      <c r="BS682" s="510">
        <v>0</v>
      </c>
      <c r="BT682" s="510">
        <v>0</v>
      </c>
      <c r="BU682" s="510">
        <v>0</v>
      </c>
      <c r="BV682" s="510">
        <v>0</v>
      </c>
      <c r="BW682" s="510">
        <v>0</v>
      </c>
      <c r="BX682" s="510">
        <v>30000</v>
      </c>
      <c r="BY682" s="1011">
        <v>0</v>
      </c>
      <c r="BZ682" s="510">
        <v>0</v>
      </c>
      <c r="CA682" s="1011">
        <v>0</v>
      </c>
      <c r="CB682" s="510">
        <v>0</v>
      </c>
      <c r="CC682" s="1011">
        <v>0</v>
      </c>
      <c r="CD682" s="510">
        <v>0</v>
      </c>
      <c r="CE682" s="1011">
        <v>0</v>
      </c>
      <c r="CF682" s="510">
        <v>41164.800000000003</v>
      </c>
      <c r="CG682" s="1011">
        <v>0</v>
      </c>
      <c r="CH682" s="510">
        <v>0</v>
      </c>
      <c r="CI682" s="1011">
        <v>0</v>
      </c>
    </row>
    <row r="683" spans="1:87" x14ac:dyDescent="0.2">
      <c r="A683" s="449">
        <v>95</v>
      </c>
      <c r="B683" s="453">
        <v>91715</v>
      </c>
      <c r="C683" s="454" t="s">
        <v>6427</v>
      </c>
      <c r="D683" s="454" t="s">
        <v>1390</v>
      </c>
      <c r="E683" s="454" t="s">
        <v>6428</v>
      </c>
      <c r="F683" s="454" t="s">
        <v>528</v>
      </c>
      <c r="G683" s="454" t="s">
        <v>13456</v>
      </c>
      <c r="H683" s="455">
        <v>56090178000125</v>
      </c>
      <c r="I683" s="462">
        <v>31617</v>
      </c>
      <c r="J683" s="457">
        <v>373780150</v>
      </c>
      <c r="K683" s="454" t="s">
        <v>6429</v>
      </c>
      <c r="L683" s="458">
        <v>170</v>
      </c>
      <c r="M683" s="454" t="s">
        <v>2241</v>
      </c>
      <c r="N683" s="459">
        <v>5202070</v>
      </c>
      <c r="O683" s="460">
        <v>39171985</v>
      </c>
      <c r="P683" s="462">
        <v>254307</v>
      </c>
      <c r="Q683" s="462">
        <v>95</v>
      </c>
      <c r="R683" s="462">
        <v>43938</v>
      </c>
      <c r="S683" s="463">
        <v>322</v>
      </c>
      <c r="T683" s="464">
        <v>3.6</v>
      </c>
      <c r="U683" s="465">
        <v>1159.2</v>
      </c>
      <c r="V683" s="465">
        <v>13680</v>
      </c>
      <c r="W683" s="466">
        <v>0</v>
      </c>
      <c r="X683" s="467">
        <v>1</v>
      </c>
      <c r="Y683" s="466">
        <v>22258.799999999999</v>
      </c>
      <c r="Z683" s="468" t="s">
        <v>516</v>
      </c>
      <c r="AA683" s="466">
        <v>96850.8</v>
      </c>
      <c r="AB683" s="466">
        <v>96850.8</v>
      </c>
      <c r="AC683" s="467">
        <v>0</v>
      </c>
      <c r="AD683" s="466">
        <v>0</v>
      </c>
      <c r="AE683" s="468" t="s">
        <v>516</v>
      </c>
      <c r="AF683" s="466">
        <v>0</v>
      </c>
      <c r="AG683" s="466">
        <v>0</v>
      </c>
      <c r="AH683" s="466">
        <v>15966.23</v>
      </c>
      <c r="AI683" s="466">
        <v>2.2000000000000002</v>
      </c>
      <c r="AJ683" s="469" t="s">
        <v>2242</v>
      </c>
      <c r="AK683" s="470" t="s">
        <v>2241</v>
      </c>
      <c r="AL683" s="471" t="s">
        <v>6430</v>
      </c>
      <c r="AM683" s="470" t="s">
        <v>6431</v>
      </c>
      <c r="AN683" s="470" t="s">
        <v>6432</v>
      </c>
      <c r="AO683" s="470" t="s">
        <v>13457</v>
      </c>
      <c r="AP683" s="470" t="s">
        <v>6433</v>
      </c>
      <c r="AQ683" s="470" t="s">
        <v>6427</v>
      </c>
      <c r="AR683" s="472" t="s">
        <v>515</v>
      </c>
      <c r="AS683" s="473" t="s">
        <v>1385</v>
      </c>
      <c r="AT683" s="472" t="s">
        <v>1390</v>
      </c>
      <c r="AU683" s="472" t="s">
        <v>420</v>
      </c>
      <c r="AV683" s="472">
        <v>2020</v>
      </c>
      <c r="AW683" s="474" t="s">
        <v>15078</v>
      </c>
      <c r="AX683" s="475" t="s">
        <v>15079</v>
      </c>
      <c r="AY683" s="515">
        <v>1</v>
      </c>
      <c r="AZ683" s="474" t="s">
        <v>15079</v>
      </c>
      <c r="BA683" s="472" t="s">
        <v>1390</v>
      </c>
      <c r="BB683" s="472" t="s">
        <v>1385</v>
      </c>
      <c r="BC683" s="472" t="s">
        <v>1385</v>
      </c>
      <c r="BD683" s="472" t="s">
        <v>1385</v>
      </c>
      <c r="BE683" s="472" t="s">
        <v>1385</v>
      </c>
      <c r="BF683" s="472">
        <v>22258.799999999999</v>
      </c>
      <c r="BG683" s="472">
        <v>0</v>
      </c>
      <c r="BH683" s="472" t="s">
        <v>1385</v>
      </c>
      <c r="BI683" s="510">
        <v>0</v>
      </c>
      <c r="BJ683" s="510">
        <v>0</v>
      </c>
      <c r="BK683" s="510">
        <v>0</v>
      </c>
      <c r="BL683" s="510">
        <v>0</v>
      </c>
      <c r="BM683" s="510">
        <v>0</v>
      </c>
      <c r="BN683" s="510">
        <v>3500</v>
      </c>
      <c r="BO683" s="510">
        <v>0</v>
      </c>
      <c r="BP683" s="510">
        <v>0</v>
      </c>
      <c r="BQ683" s="510">
        <v>0</v>
      </c>
      <c r="BR683" s="510">
        <v>0</v>
      </c>
      <c r="BS683" s="510">
        <v>0</v>
      </c>
      <c r="BT683" s="510">
        <v>0</v>
      </c>
      <c r="BU683" s="510">
        <v>0</v>
      </c>
      <c r="BV683" s="510">
        <v>0</v>
      </c>
      <c r="BW683" s="510">
        <v>0</v>
      </c>
      <c r="BX683" s="510">
        <v>30000</v>
      </c>
      <c r="BY683" s="1011">
        <v>0</v>
      </c>
      <c r="BZ683" s="510">
        <v>0</v>
      </c>
      <c r="CA683" s="1011">
        <v>0</v>
      </c>
      <c r="CB683" s="510">
        <v>0</v>
      </c>
      <c r="CC683" s="1011">
        <v>0</v>
      </c>
      <c r="CD683" s="510">
        <v>0</v>
      </c>
      <c r="CE683" s="1011">
        <v>0</v>
      </c>
      <c r="CF683" s="510">
        <v>44592</v>
      </c>
      <c r="CG683" s="1011">
        <v>0</v>
      </c>
      <c r="CH683" s="510">
        <v>0</v>
      </c>
      <c r="CI683" s="1011">
        <v>0</v>
      </c>
    </row>
    <row r="684" spans="1:87" x14ac:dyDescent="0.2">
      <c r="A684" s="449">
        <v>78</v>
      </c>
      <c r="B684" s="453">
        <v>91723</v>
      </c>
      <c r="C684" s="454" t="s">
        <v>6434</v>
      </c>
      <c r="D684" s="454" t="s">
        <v>1390</v>
      </c>
      <c r="E684" s="454" t="s">
        <v>6435</v>
      </c>
      <c r="F684" s="454" t="s">
        <v>522</v>
      </c>
      <c r="G684" s="454" t="s">
        <v>13458</v>
      </c>
      <c r="H684" s="455">
        <v>56271794000182</v>
      </c>
      <c r="I684" s="462">
        <v>31650</v>
      </c>
      <c r="J684" s="457">
        <v>37605240</v>
      </c>
      <c r="K684" s="454" t="s">
        <v>6436</v>
      </c>
      <c r="L684" s="458">
        <v>151</v>
      </c>
      <c r="M684" s="454" t="s">
        <v>6437</v>
      </c>
      <c r="N684" s="459">
        <v>2811020</v>
      </c>
      <c r="O684" s="460">
        <v>39782337</v>
      </c>
      <c r="P684" s="462">
        <v>74945</v>
      </c>
      <c r="Q684" s="462">
        <v>23</v>
      </c>
      <c r="R684" s="462">
        <v>43911</v>
      </c>
      <c r="S684" s="463">
        <v>330</v>
      </c>
      <c r="T684" s="464">
        <v>3.6</v>
      </c>
      <c r="U684" s="465">
        <v>1188</v>
      </c>
      <c r="V684" s="465">
        <v>13680</v>
      </c>
      <c r="W684" s="466">
        <v>0</v>
      </c>
      <c r="X684" s="467">
        <v>1</v>
      </c>
      <c r="Y684" s="466">
        <v>22302</v>
      </c>
      <c r="Z684" s="468" t="s">
        <v>516</v>
      </c>
      <c r="AA684" s="466">
        <v>97131.6</v>
      </c>
      <c r="AB684" s="466">
        <v>97131.6</v>
      </c>
      <c r="AC684" s="467">
        <v>0</v>
      </c>
      <c r="AD684" s="466">
        <v>0</v>
      </c>
      <c r="AE684" s="468" t="s">
        <v>516</v>
      </c>
      <c r="AF684" s="466">
        <v>0</v>
      </c>
      <c r="AG684" s="466">
        <v>0</v>
      </c>
      <c r="AH684" s="466">
        <v>14315.61</v>
      </c>
      <c r="AI684" s="466">
        <v>1238.49</v>
      </c>
      <c r="AJ684" s="469" t="s">
        <v>1438</v>
      </c>
      <c r="AK684" s="470" t="s">
        <v>12345</v>
      </c>
      <c r="AL684" s="471" t="s">
        <v>6438</v>
      </c>
      <c r="AM684" s="470" t="s">
        <v>14968</v>
      </c>
      <c r="AN684" s="470" t="s">
        <v>1385</v>
      </c>
      <c r="AO684" s="470" t="s">
        <v>13459</v>
      </c>
      <c r="AP684" s="470" t="s">
        <v>6439</v>
      </c>
      <c r="AQ684" s="470" t="s">
        <v>6434</v>
      </c>
      <c r="AR684" s="472" t="s">
        <v>515</v>
      </c>
      <c r="AS684" s="473" t="s">
        <v>1385</v>
      </c>
      <c r="AT684" s="472" t="s">
        <v>1390</v>
      </c>
      <c r="AU684" s="472" t="s">
        <v>420</v>
      </c>
      <c r="AV684" s="472">
        <v>2020</v>
      </c>
      <c r="AW684" s="474" t="s">
        <v>15078</v>
      </c>
      <c r="AX684" s="475" t="s">
        <v>15079</v>
      </c>
      <c r="AY684" s="515">
        <v>1</v>
      </c>
      <c r="AZ684" s="474" t="s">
        <v>15079</v>
      </c>
      <c r="BA684" s="472" t="s">
        <v>1390</v>
      </c>
      <c r="BB684" s="472" t="s">
        <v>1385</v>
      </c>
      <c r="BC684" s="472" t="s">
        <v>1385</v>
      </c>
      <c r="BD684" s="472" t="s">
        <v>1385</v>
      </c>
      <c r="BE684" s="472" t="s">
        <v>1385</v>
      </c>
      <c r="BF684" s="472">
        <v>22302</v>
      </c>
      <c r="BG684" s="472">
        <v>0</v>
      </c>
      <c r="BH684" s="472" t="s">
        <v>1385</v>
      </c>
      <c r="BI684" s="510">
        <v>0</v>
      </c>
      <c r="BJ684" s="510">
        <v>0</v>
      </c>
      <c r="BK684" s="510">
        <v>0</v>
      </c>
      <c r="BL684" s="510">
        <v>0</v>
      </c>
      <c r="BM684" s="510">
        <v>0</v>
      </c>
      <c r="BN684" s="510">
        <v>3500</v>
      </c>
      <c r="BO684" s="510">
        <v>0</v>
      </c>
      <c r="BP684" s="510">
        <v>0</v>
      </c>
      <c r="BQ684" s="510">
        <v>0</v>
      </c>
      <c r="BR684" s="510">
        <v>0</v>
      </c>
      <c r="BS684" s="510">
        <v>0</v>
      </c>
      <c r="BT684" s="510">
        <v>0</v>
      </c>
      <c r="BU684" s="510">
        <v>0</v>
      </c>
      <c r="BV684" s="510">
        <v>0</v>
      </c>
      <c r="BW684" s="510">
        <v>0</v>
      </c>
      <c r="BX684" s="510">
        <v>30000</v>
      </c>
      <c r="BY684" s="1011">
        <v>0</v>
      </c>
      <c r="BZ684" s="510">
        <v>0</v>
      </c>
      <c r="CA684" s="1011">
        <v>0</v>
      </c>
      <c r="CB684" s="510">
        <v>0</v>
      </c>
      <c r="CC684" s="1011">
        <v>0</v>
      </c>
      <c r="CD684" s="510">
        <v>0</v>
      </c>
      <c r="CE684" s="1011">
        <v>0</v>
      </c>
      <c r="CF684" s="510">
        <v>44829.599999999999</v>
      </c>
      <c r="CG684" s="1011">
        <v>0</v>
      </c>
      <c r="CH684" s="510">
        <v>0</v>
      </c>
      <c r="CI684" s="1011">
        <v>0</v>
      </c>
    </row>
    <row r="685" spans="1:87" x14ac:dyDescent="0.2">
      <c r="A685" s="449">
        <v>57</v>
      </c>
      <c r="B685" s="453">
        <v>91731</v>
      </c>
      <c r="C685" s="454" t="s">
        <v>6440</v>
      </c>
      <c r="D685" s="454" t="s">
        <v>1390</v>
      </c>
      <c r="E685" s="454" t="s">
        <v>6441</v>
      </c>
      <c r="F685" s="454" t="s">
        <v>522</v>
      </c>
      <c r="G685" s="454" t="s">
        <v>13460</v>
      </c>
      <c r="H685" s="455">
        <v>50867290000143</v>
      </c>
      <c r="I685" s="462">
        <v>30152</v>
      </c>
      <c r="J685" s="457">
        <v>37605097</v>
      </c>
      <c r="K685" s="454" t="s">
        <v>6442</v>
      </c>
      <c r="L685" s="458">
        <v>23</v>
      </c>
      <c r="M685" s="454" t="s">
        <v>6443</v>
      </c>
      <c r="N685" s="459">
        <v>2560150</v>
      </c>
      <c r="O685" s="460">
        <v>39510799</v>
      </c>
      <c r="P685" s="462">
        <v>75119</v>
      </c>
      <c r="Q685" s="462">
        <v>2</v>
      </c>
      <c r="R685" s="462">
        <v>43922</v>
      </c>
      <c r="S685" s="463">
        <v>335</v>
      </c>
      <c r="T685" s="464">
        <v>3.6</v>
      </c>
      <c r="U685" s="465">
        <v>1206</v>
      </c>
      <c r="V685" s="465">
        <v>13680</v>
      </c>
      <c r="W685" s="466">
        <v>0</v>
      </c>
      <c r="X685" s="467">
        <v>1</v>
      </c>
      <c r="Y685" s="466">
        <v>22329</v>
      </c>
      <c r="Z685" s="468" t="s">
        <v>516</v>
      </c>
      <c r="AA685" s="466">
        <v>100470.6</v>
      </c>
      <c r="AB685" s="466">
        <v>100470.6</v>
      </c>
      <c r="AC685" s="467">
        <v>0</v>
      </c>
      <c r="AD685" s="466">
        <v>0</v>
      </c>
      <c r="AE685" s="468" t="s">
        <v>516</v>
      </c>
      <c r="AF685" s="466">
        <v>0</v>
      </c>
      <c r="AG685" s="466">
        <v>0</v>
      </c>
      <c r="AH685" s="466">
        <v>12574.59</v>
      </c>
      <c r="AI685" s="466">
        <v>11835.2</v>
      </c>
      <c r="AJ685" s="469" t="s">
        <v>1438</v>
      </c>
      <c r="AK685" s="470" t="s">
        <v>12345</v>
      </c>
      <c r="AL685" s="471" t="s">
        <v>6444</v>
      </c>
      <c r="AM685" s="470" t="s">
        <v>13461</v>
      </c>
      <c r="AN685" s="470" t="s">
        <v>1385</v>
      </c>
      <c r="AO685" s="470" t="s">
        <v>13462</v>
      </c>
      <c r="AP685" s="470" t="s">
        <v>6445</v>
      </c>
      <c r="AQ685" s="470" t="s">
        <v>6440</v>
      </c>
      <c r="AR685" s="472" t="s">
        <v>515</v>
      </c>
      <c r="AS685" s="473" t="s">
        <v>1385</v>
      </c>
      <c r="AT685" s="472" t="s">
        <v>1390</v>
      </c>
      <c r="AU685" s="472" t="s">
        <v>420</v>
      </c>
      <c r="AV685" s="472">
        <v>2020</v>
      </c>
      <c r="AW685" s="474" t="s">
        <v>15078</v>
      </c>
      <c r="AX685" s="475" t="s">
        <v>15079</v>
      </c>
      <c r="AY685" s="515">
        <v>1</v>
      </c>
      <c r="AZ685" s="474" t="s">
        <v>15079</v>
      </c>
      <c r="BA685" s="472" t="s">
        <v>1390</v>
      </c>
      <c r="BB685" s="472" t="s">
        <v>1385</v>
      </c>
      <c r="BC685" s="472" t="s">
        <v>1385</v>
      </c>
      <c r="BD685" s="472" t="s">
        <v>1385</v>
      </c>
      <c r="BE685" s="472" t="s">
        <v>1385</v>
      </c>
      <c r="BF685" s="472">
        <v>22329</v>
      </c>
      <c r="BG685" s="472">
        <v>0</v>
      </c>
      <c r="BH685" s="472" t="s">
        <v>1385</v>
      </c>
      <c r="BI685" s="510">
        <v>0</v>
      </c>
      <c r="BJ685" s="510">
        <v>0</v>
      </c>
      <c r="BK685" s="510">
        <v>0</v>
      </c>
      <c r="BL685" s="510">
        <v>0</v>
      </c>
      <c r="BM685" s="510">
        <v>0</v>
      </c>
      <c r="BN685" s="510">
        <v>3500</v>
      </c>
      <c r="BO685" s="510">
        <v>0</v>
      </c>
      <c r="BP685" s="510">
        <v>0</v>
      </c>
      <c r="BQ685" s="510">
        <v>0</v>
      </c>
      <c r="BR685" s="510">
        <v>0</v>
      </c>
      <c r="BS685" s="510">
        <v>0</v>
      </c>
      <c r="BT685" s="510">
        <v>0</v>
      </c>
      <c r="BU685" s="510">
        <v>0</v>
      </c>
      <c r="BV685" s="510">
        <v>0</v>
      </c>
      <c r="BW685" s="510">
        <v>0</v>
      </c>
      <c r="BX685" s="510">
        <v>30000</v>
      </c>
      <c r="BY685" s="1011">
        <v>0</v>
      </c>
      <c r="BZ685" s="510">
        <v>0</v>
      </c>
      <c r="CA685" s="1011">
        <v>0</v>
      </c>
      <c r="CB685" s="510">
        <v>0</v>
      </c>
      <c r="CC685" s="1011">
        <v>0</v>
      </c>
      <c r="CD685" s="510">
        <v>0</v>
      </c>
      <c r="CE685" s="1011">
        <v>0</v>
      </c>
      <c r="CF685" s="510">
        <v>48141.599999999999</v>
      </c>
      <c r="CG685" s="1011">
        <v>0</v>
      </c>
      <c r="CH685" s="510">
        <v>0</v>
      </c>
      <c r="CI685" s="1011">
        <v>0</v>
      </c>
    </row>
    <row r="686" spans="1:87" x14ac:dyDescent="0.2">
      <c r="A686" s="449">
        <v>87</v>
      </c>
      <c r="B686" s="453">
        <v>91740</v>
      </c>
      <c r="C686" s="454" t="s">
        <v>6446</v>
      </c>
      <c r="D686" s="454" t="s">
        <v>1390</v>
      </c>
      <c r="E686" s="454" t="s">
        <v>6447</v>
      </c>
      <c r="F686" s="454" t="s">
        <v>525</v>
      </c>
      <c r="G686" s="454" t="s">
        <v>13463</v>
      </c>
      <c r="H686" s="455">
        <v>50997337000193</v>
      </c>
      <c r="I686" s="462">
        <v>30221</v>
      </c>
      <c r="J686" s="457">
        <v>37387189</v>
      </c>
      <c r="K686" s="454" t="s">
        <v>6449</v>
      </c>
      <c r="L686" s="458">
        <v>581</v>
      </c>
      <c r="M686" s="454" t="s">
        <v>2323</v>
      </c>
      <c r="N686" s="459">
        <v>2013002</v>
      </c>
      <c r="O686" s="460">
        <v>29784772</v>
      </c>
      <c r="P686" s="462">
        <v>335706</v>
      </c>
      <c r="Q686" s="462">
        <v>87</v>
      </c>
      <c r="R686" s="462">
        <v>43950</v>
      </c>
      <c r="S686" s="463">
        <v>243</v>
      </c>
      <c r="T686" s="464">
        <v>3.6</v>
      </c>
      <c r="U686" s="465">
        <v>874.8</v>
      </c>
      <c r="V686" s="465">
        <v>12240</v>
      </c>
      <c r="W686" s="466">
        <v>0</v>
      </c>
      <c r="X686" s="467">
        <v>1</v>
      </c>
      <c r="Y686" s="466">
        <v>25180.2</v>
      </c>
      <c r="Z686" s="468" t="s">
        <v>516</v>
      </c>
      <c r="AA686" s="466">
        <v>108833</v>
      </c>
      <c r="AB686" s="466">
        <v>108833</v>
      </c>
      <c r="AC686" s="467">
        <v>0</v>
      </c>
      <c r="AD686" s="466">
        <v>0</v>
      </c>
      <c r="AE686" s="468" t="s">
        <v>516</v>
      </c>
      <c r="AF686" s="466">
        <v>0</v>
      </c>
      <c r="AG686" s="466">
        <v>0</v>
      </c>
      <c r="AH686" s="466">
        <v>15615.73</v>
      </c>
      <c r="AI686" s="466">
        <v>6714.72</v>
      </c>
      <c r="AJ686" s="469" t="s">
        <v>1448</v>
      </c>
      <c r="AK686" s="470" t="s">
        <v>1449</v>
      </c>
      <c r="AL686" s="471" t="s">
        <v>6450</v>
      </c>
      <c r="AM686" s="470" t="s">
        <v>13464</v>
      </c>
      <c r="AN686" s="470" t="s">
        <v>6448</v>
      </c>
      <c r="AO686" s="470" t="s">
        <v>6451</v>
      </c>
      <c r="AP686" s="470" t="s">
        <v>6452</v>
      </c>
      <c r="AQ686" s="470" t="s">
        <v>6446</v>
      </c>
      <c r="AR686" s="472" t="s">
        <v>515</v>
      </c>
      <c r="AS686" s="473" t="s">
        <v>1385</v>
      </c>
      <c r="AT686" s="472" t="s">
        <v>1390</v>
      </c>
      <c r="AU686" s="472" t="s">
        <v>420</v>
      </c>
      <c r="AV686" s="472">
        <v>2020</v>
      </c>
      <c r="AW686" s="474" t="s">
        <v>15078</v>
      </c>
      <c r="AX686" s="475" t="s">
        <v>15079</v>
      </c>
      <c r="AY686" s="515">
        <v>1</v>
      </c>
      <c r="AZ686" s="474" t="s">
        <v>15079</v>
      </c>
      <c r="BA686" s="472" t="s">
        <v>1390</v>
      </c>
      <c r="BB686" s="472" t="s">
        <v>516</v>
      </c>
      <c r="BC686" s="472">
        <v>8</v>
      </c>
      <c r="BD686" s="472">
        <v>3672</v>
      </c>
      <c r="BE686" s="472">
        <v>0</v>
      </c>
      <c r="BF686" s="472">
        <v>25180.2</v>
      </c>
      <c r="BG686" s="472">
        <v>0</v>
      </c>
      <c r="BH686" s="472" t="s">
        <v>1385</v>
      </c>
      <c r="BI686" s="510">
        <v>0</v>
      </c>
      <c r="BJ686" s="510">
        <v>0</v>
      </c>
      <c r="BK686" s="510">
        <v>0</v>
      </c>
      <c r="BL686" s="510">
        <v>0</v>
      </c>
      <c r="BM686" s="510">
        <v>0</v>
      </c>
      <c r="BN686" s="510">
        <v>3000</v>
      </c>
      <c r="BO686" s="510">
        <v>0</v>
      </c>
      <c r="BP686" s="510">
        <v>0</v>
      </c>
      <c r="BQ686" s="510">
        <v>0</v>
      </c>
      <c r="BR686" s="510">
        <v>0</v>
      </c>
      <c r="BS686" s="510">
        <v>0</v>
      </c>
      <c r="BT686" s="510">
        <v>0</v>
      </c>
      <c r="BU686" s="510">
        <v>0</v>
      </c>
      <c r="BV686" s="510">
        <v>0</v>
      </c>
      <c r="BW686" s="510">
        <v>0</v>
      </c>
      <c r="BX686" s="510">
        <v>30000</v>
      </c>
      <c r="BY686" s="1011">
        <v>0</v>
      </c>
      <c r="BZ686" s="510">
        <v>0</v>
      </c>
      <c r="CA686" s="1011">
        <v>0</v>
      </c>
      <c r="CB686" s="510">
        <v>0</v>
      </c>
      <c r="CC686" s="1011">
        <v>0</v>
      </c>
      <c r="CD686" s="510">
        <v>0</v>
      </c>
      <c r="CE686" s="1011">
        <v>0</v>
      </c>
      <c r="CF686" s="510">
        <v>53652.800000000003</v>
      </c>
      <c r="CG686" s="1011">
        <v>0</v>
      </c>
      <c r="CH686" s="510">
        <v>0</v>
      </c>
      <c r="CI686" s="1011">
        <v>0</v>
      </c>
    </row>
    <row r="687" spans="1:87" x14ac:dyDescent="0.2">
      <c r="A687" s="449">
        <v>86</v>
      </c>
      <c r="B687" s="453">
        <v>91758</v>
      </c>
      <c r="C687" s="454" t="s">
        <v>6453</v>
      </c>
      <c r="D687" s="454" t="s">
        <v>1390</v>
      </c>
      <c r="E687" s="454" t="s">
        <v>6454</v>
      </c>
      <c r="F687" s="454" t="s">
        <v>525</v>
      </c>
      <c r="G687" s="454" t="s">
        <v>13465</v>
      </c>
      <c r="H687" s="455">
        <v>52025285000119</v>
      </c>
      <c r="I687" s="462">
        <v>33905</v>
      </c>
      <c r="J687" s="457">
        <v>37387197</v>
      </c>
      <c r="K687" s="454" t="s">
        <v>6456</v>
      </c>
      <c r="L687" s="458">
        <v>51</v>
      </c>
      <c r="M687" s="454" t="s">
        <v>2323</v>
      </c>
      <c r="N687" s="459">
        <v>2403080</v>
      </c>
      <c r="O687" s="460">
        <v>29768057</v>
      </c>
      <c r="P687" s="462">
        <v>335579</v>
      </c>
      <c r="Q687" s="462">
        <v>86</v>
      </c>
      <c r="R687" s="462">
        <v>43950</v>
      </c>
      <c r="S687" s="463">
        <v>129</v>
      </c>
      <c r="T687" s="464">
        <v>3.6</v>
      </c>
      <c r="U687" s="465">
        <v>464.4</v>
      </c>
      <c r="V687" s="465">
        <v>10800</v>
      </c>
      <c r="W687" s="466">
        <v>0</v>
      </c>
      <c r="X687" s="467">
        <v>1</v>
      </c>
      <c r="Y687" s="466">
        <v>16896.599999999999</v>
      </c>
      <c r="Z687" s="468" t="s">
        <v>516</v>
      </c>
      <c r="AA687" s="466">
        <v>84396.6</v>
      </c>
      <c r="AB687" s="466">
        <v>84396.6</v>
      </c>
      <c r="AC687" s="467">
        <v>0</v>
      </c>
      <c r="AD687" s="466">
        <v>0</v>
      </c>
      <c r="AE687" s="468" t="s">
        <v>516</v>
      </c>
      <c r="AF687" s="466">
        <v>0</v>
      </c>
      <c r="AG687" s="466">
        <v>0</v>
      </c>
      <c r="AH687" s="466">
        <v>11536.82</v>
      </c>
      <c r="AI687" s="466">
        <v>6758.64</v>
      </c>
      <c r="AJ687" s="469" t="s">
        <v>6457</v>
      </c>
      <c r="AK687" s="470" t="s">
        <v>6458</v>
      </c>
      <c r="AL687" s="471" t="s">
        <v>6459</v>
      </c>
      <c r="AM687" s="470" t="s">
        <v>6460</v>
      </c>
      <c r="AN687" s="470" t="s">
        <v>6455</v>
      </c>
      <c r="AO687" s="470" t="s">
        <v>6461</v>
      </c>
      <c r="AP687" s="470" t="s">
        <v>6462</v>
      </c>
      <c r="AQ687" s="470" t="s">
        <v>6453</v>
      </c>
      <c r="AR687" s="472" t="s">
        <v>515</v>
      </c>
      <c r="AS687" s="473" t="s">
        <v>1385</v>
      </c>
      <c r="AT687" s="472" t="s">
        <v>1390</v>
      </c>
      <c r="AU687" s="472" t="s">
        <v>420</v>
      </c>
      <c r="AV687" s="472">
        <v>2020</v>
      </c>
      <c r="AW687" s="474" t="s">
        <v>15078</v>
      </c>
      <c r="AX687" s="475" t="s">
        <v>15079</v>
      </c>
      <c r="AY687" s="515">
        <v>1</v>
      </c>
      <c r="AZ687" s="474" t="s">
        <v>15079</v>
      </c>
      <c r="BA687" s="472" t="s">
        <v>1390</v>
      </c>
      <c r="BB687" s="472" t="s">
        <v>1385</v>
      </c>
      <c r="BC687" s="472" t="s">
        <v>1385</v>
      </c>
      <c r="BD687" s="472" t="s">
        <v>1385</v>
      </c>
      <c r="BE687" s="472" t="s">
        <v>1385</v>
      </c>
      <c r="BF687" s="472">
        <v>16896.599999999999</v>
      </c>
      <c r="BG687" s="472">
        <v>0</v>
      </c>
      <c r="BH687" s="472" t="s">
        <v>1385</v>
      </c>
      <c r="BI687" s="510">
        <v>0</v>
      </c>
      <c r="BJ687" s="510">
        <v>0</v>
      </c>
      <c r="BK687" s="510">
        <v>0</v>
      </c>
      <c r="BL687" s="510">
        <v>0</v>
      </c>
      <c r="BM687" s="510">
        <v>0</v>
      </c>
      <c r="BN687" s="510">
        <v>2000</v>
      </c>
      <c r="BO687" s="510">
        <v>0</v>
      </c>
      <c r="BP687" s="510">
        <v>0</v>
      </c>
      <c r="BQ687" s="510">
        <v>0</v>
      </c>
      <c r="BR687" s="510">
        <v>0</v>
      </c>
      <c r="BS687" s="510">
        <v>0</v>
      </c>
      <c r="BT687" s="510">
        <v>0</v>
      </c>
      <c r="BU687" s="510">
        <v>0</v>
      </c>
      <c r="BV687" s="510">
        <v>0</v>
      </c>
      <c r="BW687" s="510">
        <v>0</v>
      </c>
      <c r="BX687" s="510">
        <v>30000</v>
      </c>
      <c r="BY687" s="1011">
        <v>0</v>
      </c>
      <c r="BZ687" s="510">
        <v>0</v>
      </c>
      <c r="CA687" s="1011">
        <v>0</v>
      </c>
      <c r="CB687" s="510">
        <v>0</v>
      </c>
      <c r="CC687" s="1011">
        <v>0</v>
      </c>
      <c r="CD687" s="510">
        <v>0</v>
      </c>
      <c r="CE687" s="1011">
        <v>0</v>
      </c>
      <c r="CF687" s="510">
        <v>37500</v>
      </c>
      <c r="CG687" s="1011">
        <v>0</v>
      </c>
      <c r="CH687" s="510">
        <v>0</v>
      </c>
      <c r="CI687" s="1011">
        <v>0</v>
      </c>
    </row>
    <row r="688" spans="1:87" x14ac:dyDescent="0.2">
      <c r="A688" s="449">
        <v>82</v>
      </c>
      <c r="B688" s="453">
        <v>91766</v>
      </c>
      <c r="C688" s="454" t="s">
        <v>6463</v>
      </c>
      <c r="D688" s="454" t="s">
        <v>1390</v>
      </c>
      <c r="E688" s="454" t="s">
        <v>6464</v>
      </c>
      <c r="F688" s="454" t="s">
        <v>525</v>
      </c>
      <c r="G688" s="454" t="s">
        <v>13466</v>
      </c>
      <c r="H688" s="455">
        <v>50950633000139</v>
      </c>
      <c r="I688" s="462">
        <v>30204</v>
      </c>
      <c r="J688" s="457">
        <v>37387243</v>
      </c>
      <c r="K688" s="454" t="s">
        <v>6466</v>
      </c>
      <c r="L688" s="458">
        <v>111</v>
      </c>
      <c r="M688" s="454" t="s">
        <v>2180</v>
      </c>
      <c r="N688" s="459">
        <v>2409050</v>
      </c>
      <c r="O688" s="460">
        <v>29536959</v>
      </c>
      <c r="P688" s="462">
        <v>335293</v>
      </c>
      <c r="Q688" s="462">
        <v>82</v>
      </c>
      <c r="R688" s="462">
        <v>43950</v>
      </c>
      <c r="S688" s="463">
        <v>245</v>
      </c>
      <c r="T688" s="464">
        <v>3.6</v>
      </c>
      <c r="U688" s="465">
        <v>882</v>
      </c>
      <c r="V688" s="465">
        <v>12240</v>
      </c>
      <c r="W688" s="466">
        <v>0</v>
      </c>
      <c r="X688" s="467">
        <v>1</v>
      </c>
      <c r="Y688" s="466">
        <v>19683</v>
      </c>
      <c r="Z688" s="468" t="s">
        <v>516</v>
      </c>
      <c r="AA688" s="466">
        <v>90948.6</v>
      </c>
      <c r="AB688" s="466">
        <v>90948.6</v>
      </c>
      <c r="AC688" s="467">
        <v>0</v>
      </c>
      <c r="AD688" s="466">
        <v>0</v>
      </c>
      <c r="AE688" s="468" t="s">
        <v>516</v>
      </c>
      <c r="AF688" s="466">
        <v>2000</v>
      </c>
      <c r="AG688" s="466">
        <v>2000</v>
      </c>
      <c r="AH688" s="466">
        <v>10721.05</v>
      </c>
      <c r="AI688" s="466">
        <v>694.06</v>
      </c>
      <c r="AJ688" s="469" t="s">
        <v>1448</v>
      </c>
      <c r="AK688" s="470" t="s">
        <v>1449</v>
      </c>
      <c r="AL688" s="471" t="s">
        <v>6467</v>
      </c>
      <c r="AM688" s="470" t="s">
        <v>6468</v>
      </c>
      <c r="AN688" s="470" t="s">
        <v>6465</v>
      </c>
      <c r="AO688" s="470" t="s">
        <v>6469</v>
      </c>
      <c r="AP688" s="470" t="s">
        <v>6470</v>
      </c>
      <c r="AQ688" s="470" t="s">
        <v>6463</v>
      </c>
      <c r="AR688" s="472" t="s">
        <v>515</v>
      </c>
      <c r="AS688" s="473" t="s">
        <v>1385</v>
      </c>
      <c r="AT688" s="472" t="s">
        <v>1390</v>
      </c>
      <c r="AU688" s="472" t="s">
        <v>420</v>
      </c>
      <c r="AV688" s="472">
        <v>2020</v>
      </c>
      <c r="AW688" s="474" t="s">
        <v>15078</v>
      </c>
      <c r="AX688" s="475" t="s">
        <v>15079</v>
      </c>
      <c r="AY688" s="515">
        <v>1</v>
      </c>
      <c r="AZ688" s="474" t="s">
        <v>15079</v>
      </c>
      <c r="BA688" s="472" t="s">
        <v>1390</v>
      </c>
      <c r="BB688" s="472" t="s">
        <v>1385</v>
      </c>
      <c r="BC688" s="472" t="s">
        <v>1385</v>
      </c>
      <c r="BD688" s="472" t="s">
        <v>1385</v>
      </c>
      <c r="BE688" s="472" t="s">
        <v>1385</v>
      </c>
      <c r="BF688" s="472">
        <v>19683</v>
      </c>
      <c r="BG688" s="472">
        <v>0</v>
      </c>
      <c r="BH688" s="472" t="s">
        <v>1385</v>
      </c>
      <c r="BI688" s="510">
        <v>0</v>
      </c>
      <c r="BJ688" s="510">
        <v>0</v>
      </c>
      <c r="BK688" s="510">
        <v>0</v>
      </c>
      <c r="BL688" s="510">
        <v>0</v>
      </c>
      <c r="BM688" s="510">
        <v>0</v>
      </c>
      <c r="BN688" s="510">
        <v>3000</v>
      </c>
      <c r="BO688" s="510">
        <v>0</v>
      </c>
      <c r="BP688" s="510">
        <v>2000</v>
      </c>
      <c r="BQ688" s="510">
        <v>0</v>
      </c>
      <c r="BR688" s="510">
        <v>0</v>
      </c>
      <c r="BS688" s="510">
        <v>0</v>
      </c>
      <c r="BT688" s="510">
        <v>0</v>
      </c>
      <c r="BU688" s="510">
        <v>0</v>
      </c>
      <c r="BV688" s="510">
        <v>0</v>
      </c>
      <c r="BW688" s="510">
        <v>0</v>
      </c>
      <c r="BX688" s="510">
        <v>30000</v>
      </c>
      <c r="BY688" s="1011">
        <v>0</v>
      </c>
      <c r="BZ688" s="510">
        <v>0</v>
      </c>
      <c r="CA688" s="1011">
        <v>0</v>
      </c>
      <c r="CB688" s="510">
        <v>0</v>
      </c>
      <c r="CC688" s="1011">
        <v>0</v>
      </c>
      <c r="CD688" s="510">
        <v>0</v>
      </c>
      <c r="CE688" s="1011">
        <v>0</v>
      </c>
      <c r="CF688" s="510">
        <v>41265.599999999999</v>
      </c>
      <c r="CG688" s="1011">
        <v>0</v>
      </c>
      <c r="CH688" s="510">
        <v>0</v>
      </c>
      <c r="CI688" s="1011">
        <v>0</v>
      </c>
    </row>
    <row r="689" spans="1:87" x14ac:dyDescent="0.2">
      <c r="A689" s="449">
        <v>78</v>
      </c>
      <c r="B689" s="453">
        <v>91774</v>
      </c>
      <c r="C689" s="454" t="s">
        <v>6471</v>
      </c>
      <c r="D689" s="454" t="s">
        <v>1390</v>
      </c>
      <c r="E689" s="454" t="s">
        <v>6472</v>
      </c>
      <c r="F689" s="454" t="s">
        <v>525</v>
      </c>
      <c r="G689" s="454" t="s">
        <v>13467</v>
      </c>
      <c r="H689" s="455">
        <v>52943917000123</v>
      </c>
      <c r="I689" s="462">
        <v>30592</v>
      </c>
      <c r="J689" s="457">
        <v>37389262</v>
      </c>
      <c r="K689" s="454" t="s">
        <v>6473</v>
      </c>
      <c r="L689" s="458">
        <v>80</v>
      </c>
      <c r="M689" s="454" t="s">
        <v>1740</v>
      </c>
      <c r="N689" s="459">
        <v>2440160</v>
      </c>
      <c r="O689" s="460">
        <v>22586173</v>
      </c>
      <c r="P689" s="462">
        <v>335161</v>
      </c>
      <c r="Q689" s="462">
        <v>78</v>
      </c>
      <c r="R689" s="462">
        <v>43950</v>
      </c>
      <c r="S689" s="463">
        <v>380</v>
      </c>
      <c r="T689" s="464">
        <v>3.6</v>
      </c>
      <c r="U689" s="465">
        <v>1368</v>
      </c>
      <c r="V689" s="465">
        <v>13680</v>
      </c>
      <c r="W689" s="466">
        <v>0</v>
      </c>
      <c r="X689" s="467">
        <v>1</v>
      </c>
      <c r="Y689" s="466">
        <v>22572</v>
      </c>
      <c r="Z689" s="468" t="s">
        <v>516</v>
      </c>
      <c r="AA689" s="466">
        <v>97639.2</v>
      </c>
      <c r="AB689" s="466">
        <v>97639.2</v>
      </c>
      <c r="AC689" s="467">
        <v>0</v>
      </c>
      <c r="AD689" s="466">
        <v>0</v>
      </c>
      <c r="AE689" s="468" t="s">
        <v>516</v>
      </c>
      <c r="AF689" s="466">
        <v>0</v>
      </c>
      <c r="AG689" s="466">
        <v>0</v>
      </c>
      <c r="AH689" s="466">
        <v>14574.34</v>
      </c>
      <c r="AI689" s="466">
        <v>13380.4</v>
      </c>
      <c r="AJ689" s="469" t="s">
        <v>6474</v>
      </c>
      <c r="AK689" s="470" t="s">
        <v>6475</v>
      </c>
      <c r="AL689" s="471" t="s">
        <v>6476</v>
      </c>
      <c r="AM689" s="470" t="s">
        <v>6477</v>
      </c>
      <c r="AN689" s="470" t="s">
        <v>6478</v>
      </c>
      <c r="AO689" s="470" t="s">
        <v>13468</v>
      </c>
      <c r="AP689" s="470" t="s">
        <v>6479</v>
      </c>
      <c r="AQ689" s="470" t="s">
        <v>6471</v>
      </c>
      <c r="AR689" s="472" t="s">
        <v>515</v>
      </c>
      <c r="AS689" s="473" t="s">
        <v>1385</v>
      </c>
      <c r="AT689" s="472" t="s">
        <v>1390</v>
      </c>
      <c r="AU689" s="472" t="s">
        <v>420</v>
      </c>
      <c r="AV689" s="472">
        <v>2020</v>
      </c>
      <c r="AW689" s="474" t="s">
        <v>15078</v>
      </c>
      <c r="AX689" s="475" t="s">
        <v>15079</v>
      </c>
      <c r="AY689" s="515">
        <v>1</v>
      </c>
      <c r="AZ689" s="474" t="s">
        <v>15079</v>
      </c>
      <c r="BA689" s="472" t="s">
        <v>1390</v>
      </c>
      <c r="BB689" s="472" t="s">
        <v>1385</v>
      </c>
      <c r="BC689" s="472" t="s">
        <v>1385</v>
      </c>
      <c r="BD689" s="472" t="s">
        <v>1385</v>
      </c>
      <c r="BE689" s="472" t="s">
        <v>1385</v>
      </c>
      <c r="BF689" s="472">
        <v>22572</v>
      </c>
      <c r="BG689" s="472">
        <v>0</v>
      </c>
      <c r="BH689" s="472" t="s">
        <v>1385</v>
      </c>
      <c r="BI689" s="510">
        <v>0</v>
      </c>
      <c r="BJ689" s="510">
        <v>0</v>
      </c>
      <c r="BK689" s="510">
        <v>0</v>
      </c>
      <c r="BL689" s="510">
        <v>0</v>
      </c>
      <c r="BM689" s="510">
        <v>0</v>
      </c>
      <c r="BN689" s="510">
        <v>3500</v>
      </c>
      <c r="BO689" s="510">
        <v>0</v>
      </c>
      <c r="BP689" s="510">
        <v>0</v>
      </c>
      <c r="BQ689" s="510">
        <v>0</v>
      </c>
      <c r="BR689" s="510">
        <v>0</v>
      </c>
      <c r="BS689" s="510">
        <v>0</v>
      </c>
      <c r="BT689" s="510">
        <v>0</v>
      </c>
      <c r="BU689" s="510">
        <v>0</v>
      </c>
      <c r="BV689" s="510">
        <v>0</v>
      </c>
      <c r="BW689" s="510">
        <v>0</v>
      </c>
      <c r="BX689" s="510">
        <v>30000</v>
      </c>
      <c r="BY689" s="1011">
        <v>0</v>
      </c>
      <c r="BZ689" s="510">
        <v>0</v>
      </c>
      <c r="CA689" s="1011">
        <v>0</v>
      </c>
      <c r="CB689" s="510">
        <v>0</v>
      </c>
      <c r="CC689" s="1011">
        <v>0</v>
      </c>
      <c r="CD689" s="510">
        <v>0</v>
      </c>
      <c r="CE689" s="1011">
        <v>0</v>
      </c>
      <c r="CF689" s="510">
        <v>45067.199999999997</v>
      </c>
      <c r="CG689" s="1011">
        <v>0</v>
      </c>
      <c r="CH689" s="510">
        <v>0</v>
      </c>
      <c r="CI689" s="1011">
        <v>0</v>
      </c>
    </row>
    <row r="690" spans="1:87" x14ac:dyDescent="0.2">
      <c r="A690" s="449">
        <v>79</v>
      </c>
      <c r="B690" s="453">
        <v>91782</v>
      </c>
      <c r="C690" s="454" t="s">
        <v>6480</v>
      </c>
      <c r="D690" s="454" t="s">
        <v>1390</v>
      </c>
      <c r="E690" s="454" t="s">
        <v>6481</v>
      </c>
      <c r="F690" s="454" t="s">
        <v>525</v>
      </c>
      <c r="G690" s="454" t="s">
        <v>13469</v>
      </c>
      <c r="H690" s="455">
        <v>50956648000104</v>
      </c>
      <c r="I690" s="462">
        <v>30189</v>
      </c>
      <c r="J690" s="457">
        <v>37389238</v>
      </c>
      <c r="K690" s="454" t="s">
        <v>6483</v>
      </c>
      <c r="L690" s="458">
        <v>246</v>
      </c>
      <c r="M690" s="454" t="s">
        <v>6484</v>
      </c>
      <c r="N690" s="459">
        <v>2351000</v>
      </c>
      <c r="O690" s="460">
        <v>29534388</v>
      </c>
      <c r="P690" s="462">
        <v>335188</v>
      </c>
      <c r="Q690" s="462">
        <v>79</v>
      </c>
      <c r="R690" s="462">
        <v>43950</v>
      </c>
      <c r="S690" s="463">
        <v>397</v>
      </c>
      <c r="T690" s="464">
        <v>3.6</v>
      </c>
      <c r="U690" s="465">
        <v>1429.2</v>
      </c>
      <c r="V690" s="465">
        <v>13680</v>
      </c>
      <c r="W690" s="466">
        <v>0</v>
      </c>
      <c r="X690" s="467">
        <v>1</v>
      </c>
      <c r="Y690" s="466">
        <v>22663.8</v>
      </c>
      <c r="Z690" s="468" t="s">
        <v>516</v>
      </c>
      <c r="AA690" s="466">
        <v>97867.8</v>
      </c>
      <c r="AB690" s="466">
        <v>97867.8</v>
      </c>
      <c r="AC690" s="467">
        <v>0</v>
      </c>
      <c r="AD690" s="466">
        <v>0</v>
      </c>
      <c r="AE690" s="468" t="s">
        <v>516</v>
      </c>
      <c r="AF690" s="466">
        <v>0</v>
      </c>
      <c r="AG690" s="466">
        <v>0</v>
      </c>
      <c r="AH690" s="466">
        <v>23080.47</v>
      </c>
      <c r="AI690" s="466">
        <v>8527.68</v>
      </c>
      <c r="AJ690" s="469" t="s">
        <v>1448</v>
      </c>
      <c r="AK690" s="470" t="s">
        <v>1449</v>
      </c>
      <c r="AL690" s="471" t="s">
        <v>6485</v>
      </c>
      <c r="AM690" s="470" t="s">
        <v>6486</v>
      </c>
      <c r="AN690" s="470" t="s">
        <v>6482</v>
      </c>
      <c r="AO690" s="470" t="s">
        <v>6487</v>
      </c>
      <c r="AP690" s="470" t="s">
        <v>6488</v>
      </c>
      <c r="AQ690" s="470" t="s">
        <v>6480</v>
      </c>
      <c r="AR690" s="472" t="s">
        <v>515</v>
      </c>
      <c r="AS690" s="473" t="s">
        <v>1385</v>
      </c>
      <c r="AT690" s="472" t="s">
        <v>1390</v>
      </c>
      <c r="AU690" s="472" t="s">
        <v>420</v>
      </c>
      <c r="AV690" s="472">
        <v>2020</v>
      </c>
      <c r="AW690" s="474" t="s">
        <v>15078</v>
      </c>
      <c r="AX690" s="475" t="s">
        <v>15079</v>
      </c>
      <c r="AY690" s="515">
        <v>1</v>
      </c>
      <c r="AZ690" s="474" t="s">
        <v>15079</v>
      </c>
      <c r="BA690" s="472" t="s">
        <v>1390</v>
      </c>
      <c r="BB690" s="472" t="s">
        <v>1385</v>
      </c>
      <c r="BC690" s="472" t="s">
        <v>1385</v>
      </c>
      <c r="BD690" s="472" t="s">
        <v>1385</v>
      </c>
      <c r="BE690" s="472" t="s">
        <v>1385</v>
      </c>
      <c r="BF690" s="472">
        <v>22663.8</v>
      </c>
      <c r="BG690" s="472">
        <v>0</v>
      </c>
      <c r="BH690" s="472" t="s">
        <v>1385</v>
      </c>
      <c r="BI690" s="510">
        <v>0</v>
      </c>
      <c r="BJ690" s="510">
        <v>0</v>
      </c>
      <c r="BK690" s="510">
        <v>0</v>
      </c>
      <c r="BL690" s="510">
        <v>0</v>
      </c>
      <c r="BM690" s="510">
        <v>0</v>
      </c>
      <c r="BN690" s="510">
        <v>3500</v>
      </c>
      <c r="BO690" s="510">
        <v>0</v>
      </c>
      <c r="BP690" s="510">
        <v>0</v>
      </c>
      <c r="BQ690" s="510">
        <v>0</v>
      </c>
      <c r="BR690" s="510">
        <v>0</v>
      </c>
      <c r="BS690" s="510">
        <v>0</v>
      </c>
      <c r="BT690" s="510">
        <v>0</v>
      </c>
      <c r="BU690" s="510">
        <v>0</v>
      </c>
      <c r="BV690" s="510">
        <v>0</v>
      </c>
      <c r="BW690" s="510">
        <v>0</v>
      </c>
      <c r="BX690" s="510">
        <v>30000</v>
      </c>
      <c r="BY690" s="1011">
        <v>0</v>
      </c>
      <c r="BZ690" s="510">
        <v>0</v>
      </c>
      <c r="CA690" s="1011">
        <v>0</v>
      </c>
      <c r="CB690" s="510">
        <v>0</v>
      </c>
      <c r="CC690" s="1011">
        <v>0</v>
      </c>
      <c r="CD690" s="510">
        <v>0</v>
      </c>
      <c r="CE690" s="1011">
        <v>0</v>
      </c>
      <c r="CF690" s="510">
        <v>45204</v>
      </c>
      <c r="CG690" s="1011">
        <v>0</v>
      </c>
      <c r="CH690" s="510">
        <v>0</v>
      </c>
      <c r="CI690" s="1011">
        <v>0</v>
      </c>
    </row>
    <row r="691" spans="1:87" x14ac:dyDescent="0.2">
      <c r="A691" s="449">
        <v>69</v>
      </c>
      <c r="B691" s="453">
        <v>91791</v>
      </c>
      <c r="C691" s="454" t="s">
        <v>6489</v>
      </c>
      <c r="D691" s="454" t="s">
        <v>1390</v>
      </c>
      <c r="E691" s="454" t="s">
        <v>6490</v>
      </c>
      <c r="F691" s="454" t="s">
        <v>525</v>
      </c>
      <c r="G691" s="454" t="s">
        <v>13470</v>
      </c>
      <c r="H691" s="455">
        <v>51978468000196</v>
      </c>
      <c r="I691" s="462">
        <v>30218</v>
      </c>
      <c r="J691" s="457">
        <v>37387286</v>
      </c>
      <c r="K691" s="454" t="s">
        <v>6492</v>
      </c>
      <c r="L691" s="458">
        <v>20</v>
      </c>
      <c r="M691" s="454" t="s">
        <v>1394</v>
      </c>
      <c r="N691" s="459">
        <v>2043080</v>
      </c>
      <c r="O691" s="460">
        <v>29735970</v>
      </c>
      <c r="P691" s="462">
        <v>334866</v>
      </c>
      <c r="Q691" s="462">
        <v>69</v>
      </c>
      <c r="R691" s="462">
        <v>43950</v>
      </c>
      <c r="S691" s="463">
        <v>307</v>
      </c>
      <c r="T691" s="464">
        <v>3.6</v>
      </c>
      <c r="U691" s="465">
        <v>1105.2</v>
      </c>
      <c r="V691" s="465">
        <v>13680</v>
      </c>
      <c r="W691" s="466">
        <v>0</v>
      </c>
      <c r="X691" s="467">
        <v>1</v>
      </c>
      <c r="Y691" s="466">
        <v>22177.8</v>
      </c>
      <c r="Z691" s="468" t="s">
        <v>516</v>
      </c>
      <c r="AA691" s="466">
        <v>93817.8</v>
      </c>
      <c r="AB691" s="466">
        <v>93817.8</v>
      </c>
      <c r="AC691" s="467">
        <v>0</v>
      </c>
      <c r="AD691" s="466">
        <v>0</v>
      </c>
      <c r="AE691" s="468" t="s">
        <v>516</v>
      </c>
      <c r="AF691" s="466">
        <v>0</v>
      </c>
      <c r="AG691" s="466">
        <v>0</v>
      </c>
      <c r="AH691" s="466">
        <v>17555.18</v>
      </c>
      <c r="AI691" s="466">
        <v>12344.36</v>
      </c>
      <c r="AJ691" s="469" t="s">
        <v>6493</v>
      </c>
      <c r="AK691" s="470" t="s">
        <v>4079</v>
      </c>
      <c r="AL691" s="471" t="s">
        <v>6494</v>
      </c>
      <c r="AM691" s="470" t="s">
        <v>6495</v>
      </c>
      <c r="AN691" s="470" t="s">
        <v>6491</v>
      </c>
      <c r="AO691" s="470" t="s">
        <v>13471</v>
      </c>
      <c r="AP691" s="470" t="s">
        <v>6496</v>
      </c>
      <c r="AQ691" s="470" t="s">
        <v>6489</v>
      </c>
      <c r="AR691" s="472" t="s">
        <v>515</v>
      </c>
      <c r="AS691" s="473" t="s">
        <v>1385</v>
      </c>
      <c r="AT691" s="472" t="s">
        <v>1390</v>
      </c>
      <c r="AU691" s="472" t="s">
        <v>420</v>
      </c>
      <c r="AV691" s="472">
        <v>2020</v>
      </c>
      <c r="AW691" s="474" t="s">
        <v>15078</v>
      </c>
      <c r="AX691" s="475" t="s">
        <v>15079</v>
      </c>
      <c r="AY691" s="515">
        <v>1</v>
      </c>
      <c r="AZ691" s="474" t="s">
        <v>15079</v>
      </c>
      <c r="BA691" s="472" t="s">
        <v>1390</v>
      </c>
      <c r="BB691" s="472" t="s">
        <v>1385</v>
      </c>
      <c r="BC691" s="472" t="s">
        <v>1385</v>
      </c>
      <c r="BD691" s="472" t="s">
        <v>1385</v>
      </c>
      <c r="BE691" s="472" t="s">
        <v>1385</v>
      </c>
      <c r="BF691" s="472">
        <v>22177.8</v>
      </c>
      <c r="BG691" s="472">
        <v>0</v>
      </c>
      <c r="BH691" s="472" t="s">
        <v>1385</v>
      </c>
      <c r="BI691" s="510">
        <v>0</v>
      </c>
      <c r="BJ691" s="510">
        <v>0</v>
      </c>
      <c r="BK691" s="510">
        <v>0</v>
      </c>
      <c r="BL691" s="510">
        <v>0</v>
      </c>
      <c r="BM691" s="510">
        <v>0</v>
      </c>
      <c r="BN691" s="510">
        <v>3500</v>
      </c>
      <c r="BO691" s="510">
        <v>0</v>
      </c>
      <c r="BP691" s="510">
        <v>0</v>
      </c>
      <c r="BQ691" s="510">
        <v>0</v>
      </c>
      <c r="BR691" s="510">
        <v>0</v>
      </c>
      <c r="BS691" s="510">
        <v>0</v>
      </c>
      <c r="BT691" s="510">
        <v>0</v>
      </c>
      <c r="BU691" s="510">
        <v>0</v>
      </c>
      <c r="BV691" s="510">
        <v>0</v>
      </c>
      <c r="BW691" s="510">
        <v>0</v>
      </c>
      <c r="BX691" s="510">
        <v>30000</v>
      </c>
      <c r="BY691" s="1011">
        <v>0</v>
      </c>
      <c r="BZ691" s="510">
        <v>0</v>
      </c>
      <c r="CA691" s="1011">
        <v>0</v>
      </c>
      <c r="CB691" s="510">
        <v>0</v>
      </c>
      <c r="CC691" s="1011">
        <v>0</v>
      </c>
      <c r="CD691" s="510">
        <v>0</v>
      </c>
      <c r="CE691" s="1011">
        <v>0</v>
      </c>
      <c r="CF691" s="510">
        <v>41640</v>
      </c>
      <c r="CG691" s="1011">
        <v>0</v>
      </c>
      <c r="CH691" s="510">
        <v>0</v>
      </c>
      <c r="CI691" s="1011">
        <v>0</v>
      </c>
    </row>
    <row r="692" spans="1:87" x14ac:dyDescent="0.2">
      <c r="A692" s="449">
        <v>45</v>
      </c>
      <c r="B692" s="453">
        <v>91804</v>
      </c>
      <c r="C692" s="454" t="s">
        <v>6497</v>
      </c>
      <c r="D692" s="454" t="s">
        <v>517</v>
      </c>
      <c r="E692" s="454" t="s">
        <v>6498</v>
      </c>
      <c r="F692" s="454" t="s">
        <v>522</v>
      </c>
      <c r="G692" s="454" t="s">
        <v>13472</v>
      </c>
      <c r="H692" s="455">
        <v>44379386000160</v>
      </c>
      <c r="I692" s="462">
        <v>29451</v>
      </c>
      <c r="J692" s="457">
        <v>37587633</v>
      </c>
      <c r="K692" s="454" t="s">
        <v>6499</v>
      </c>
      <c r="L692" s="458">
        <v>356</v>
      </c>
      <c r="M692" s="454" t="s">
        <v>6500</v>
      </c>
      <c r="N692" s="459">
        <v>2510030</v>
      </c>
      <c r="O692" s="460">
        <v>39664317</v>
      </c>
      <c r="P692" s="462">
        <v>80350</v>
      </c>
      <c r="Q692" s="462">
        <v>77</v>
      </c>
      <c r="R692" s="462">
        <v>43911</v>
      </c>
      <c r="S692" s="463">
        <v>539</v>
      </c>
      <c r="T692" s="464">
        <v>5.4</v>
      </c>
      <c r="U692" s="465">
        <v>2910.6</v>
      </c>
      <c r="V692" s="465">
        <v>17100</v>
      </c>
      <c r="W692" s="466">
        <v>0</v>
      </c>
      <c r="X692" s="467">
        <v>1</v>
      </c>
      <c r="Y692" s="466">
        <v>37710.9</v>
      </c>
      <c r="Z692" s="468" t="s">
        <v>516</v>
      </c>
      <c r="AA692" s="466">
        <v>140358.9</v>
      </c>
      <c r="AB692" s="466">
        <v>140358.9</v>
      </c>
      <c r="AC692" s="467">
        <v>0</v>
      </c>
      <c r="AD692" s="466">
        <v>0</v>
      </c>
      <c r="AE692" s="468" t="s">
        <v>516</v>
      </c>
      <c r="AF692" s="466">
        <v>2000</v>
      </c>
      <c r="AG692" s="466">
        <v>2000</v>
      </c>
      <c r="AH692" s="466">
        <v>23197.71</v>
      </c>
      <c r="AI692" s="466">
        <v>0</v>
      </c>
      <c r="AJ692" s="469" t="s">
        <v>4101</v>
      </c>
      <c r="AK692" s="470" t="s">
        <v>1499</v>
      </c>
      <c r="AL692" s="471" t="s">
        <v>6501</v>
      </c>
      <c r="AM692" s="470" t="s">
        <v>13473</v>
      </c>
      <c r="AN692" s="470" t="s">
        <v>1385</v>
      </c>
      <c r="AO692" s="470" t="s">
        <v>13474</v>
      </c>
      <c r="AP692" s="470" t="s">
        <v>6502</v>
      </c>
      <c r="AQ692" s="470" t="s">
        <v>6497</v>
      </c>
      <c r="AR692" s="472" t="s">
        <v>515</v>
      </c>
      <c r="AS692" s="473" t="s">
        <v>1385</v>
      </c>
      <c r="AT692" s="472" t="s">
        <v>517</v>
      </c>
      <c r="AU692" s="472" t="s">
        <v>420</v>
      </c>
      <c r="AV692" s="472">
        <v>2020</v>
      </c>
      <c r="AW692" s="474" t="s">
        <v>15078</v>
      </c>
      <c r="AX692" s="475" t="s">
        <v>15079</v>
      </c>
      <c r="AY692" s="515">
        <v>1</v>
      </c>
      <c r="AZ692" s="474" t="s">
        <v>15079</v>
      </c>
      <c r="BA692" s="472" t="s">
        <v>517</v>
      </c>
      <c r="BB692" s="472" t="s">
        <v>516</v>
      </c>
      <c r="BC692" s="472">
        <v>14</v>
      </c>
      <c r="BD692" s="472">
        <v>5130</v>
      </c>
      <c r="BE692" s="472">
        <v>0</v>
      </c>
      <c r="BF692" s="472">
        <v>37710.9</v>
      </c>
      <c r="BG692" s="472">
        <v>0</v>
      </c>
      <c r="BH692" s="472" t="s">
        <v>1385</v>
      </c>
      <c r="BI692" s="510">
        <v>0</v>
      </c>
      <c r="BJ692" s="510">
        <v>0</v>
      </c>
      <c r="BK692" s="510">
        <v>0</v>
      </c>
      <c r="BL692" s="510">
        <v>0</v>
      </c>
      <c r="BM692" s="510">
        <v>0</v>
      </c>
      <c r="BN692" s="510">
        <v>3500</v>
      </c>
      <c r="BO692" s="510">
        <v>0</v>
      </c>
      <c r="BP692" s="510">
        <v>2000</v>
      </c>
      <c r="BQ692" s="510">
        <v>0</v>
      </c>
      <c r="BR692" s="510">
        <v>0</v>
      </c>
      <c r="BS692" s="510">
        <v>0</v>
      </c>
      <c r="BT692" s="510">
        <v>0</v>
      </c>
      <c r="BU692" s="510">
        <v>2500</v>
      </c>
      <c r="BV692" s="510">
        <v>2500</v>
      </c>
      <c r="BW692" s="510">
        <v>0</v>
      </c>
      <c r="BX692" s="510">
        <v>30000</v>
      </c>
      <c r="BY692" s="1011">
        <v>0</v>
      </c>
      <c r="BZ692" s="510">
        <v>0</v>
      </c>
      <c r="CA692" s="1011">
        <v>0</v>
      </c>
      <c r="CB692" s="510">
        <v>22000</v>
      </c>
      <c r="CC692" s="1011">
        <v>0</v>
      </c>
      <c r="CD692" s="510">
        <v>0</v>
      </c>
      <c r="CE692" s="1011">
        <v>0</v>
      </c>
      <c r="CF692" s="510">
        <v>50648</v>
      </c>
      <c r="CG692" s="1011">
        <v>0</v>
      </c>
      <c r="CH692" s="510">
        <v>0</v>
      </c>
      <c r="CI692" s="1011">
        <v>0</v>
      </c>
    </row>
    <row r="693" spans="1:87" x14ac:dyDescent="0.2">
      <c r="A693" s="449">
        <v>24</v>
      </c>
      <c r="B693" s="453">
        <v>91812</v>
      </c>
      <c r="C693" s="454" t="s">
        <v>6503</v>
      </c>
      <c r="D693" s="454" t="s">
        <v>1417</v>
      </c>
      <c r="E693" s="454" t="s">
        <v>6504</v>
      </c>
      <c r="F693" s="454" t="s">
        <v>524</v>
      </c>
      <c r="G693" s="454" t="s">
        <v>13475</v>
      </c>
      <c r="H693" s="455">
        <v>58399973000125</v>
      </c>
      <c r="I693" s="462">
        <v>32113</v>
      </c>
      <c r="J693" s="457">
        <v>37500058</v>
      </c>
      <c r="K693" s="454" t="s">
        <v>6505</v>
      </c>
      <c r="L693" s="458">
        <v>314</v>
      </c>
      <c r="M693" s="454" t="s">
        <v>6506</v>
      </c>
      <c r="N693" s="459">
        <v>4109000</v>
      </c>
      <c r="O693" s="460">
        <v>55734189</v>
      </c>
      <c r="P693" s="462">
        <v>202790</v>
      </c>
      <c r="Q693" s="462">
        <v>29</v>
      </c>
      <c r="R693" s="462">
        <v>43906</v>
      </c>
      <c r="S693" s="463">
        <v>138</v>
      </c>
      <c r="T693" s="464">
        <v>5.4</v>
      </c>
      <c r="U693" s="465">
        <v>745.2</v>
      </c>
      <c r="V693" s="465">
        <v>18000</v>
      </c>
      <c r="W693" s="466">
        <v>0</v>
      </c>
      <c r="X693" s="467">
        <v>1</v>
      </c>
      <c r="Y693" s="466">
        <v>28117.8</v>
      </c>
      <c r="Z693" s="468" t="s">
        <v>516</v>
      </c>
      <c r="AA693" s="466">
        <v>110953.8</v>
      </c>
      <c r="AB693" s="466">
        <v>110953.8</v>
      </c>
      <c r="AC693" s="467">
        <v>0</v>
      </c>
      <c r="AD693" s="466">
        <v>0</v>
      </c>
      <c r="AE693" s="468" t="s">
        <v>516</v>
      </c>
      <c r="AF693" s="466">
        <v>0</v>
      </c>
      <c r="AG693" s="466">
        <v>0</v>
      </c>
      <c r="AH693" s="466">
        <v>17142.53</v>
      </c>
      <c r="AI693" s="466">
        <v>11277.61</v>
      </c>
      <c r="AJ693" s="469" t="s">
        <v>6507</v>
      </c>
      <c r="AK693" s="470" t="s">
        <v>6508</v>
      </c>
      <c r="AL693" s="471" t="s">
        <v>6509</v>
      </c>
      <c r="AM693" s="470" t="s">
        <v>15109</v>
      </c>
      <c r="AN693" s="470" t="s">
        <v>6510</v>
      </c>
      <c r="AO693" s="470" t="s">
        <v>6511</v>
      </c>
      <c r="AP693" s="470" t="s">
        <v>6512</v>
      </c>
      <c r="AQ693" s="470" t="s">
        <v>6503</v>
      </c>
      <c r="AR693" s="472" t="s">
        <v>515</v>
      </c>
      <c r="AS693" s="473" t="s">
        <v>1385</v>
      </c>
      <c r="AT693" s="472" t="s">
        <v>1417</v>
      </c>
      <c r="AU693" s="472" t="s">
        <v>420</v>
      </c>
      <c r="AV693" s="472">
        <v>2020</v>
      </c>
      <c r="AW693" s="474" t="s">
        <v>15078</v>
      </c>
      <c r="AX693" s="475" t="s">
        <v>15079</v>
      </c>
      <c r="AY693" s="515">
        <v>1</v>
      </c>
      <c r="AZ693" s="474" t="s">
        <v>15079</v>
      </c>
      <c r="BA693" s="472" t="s">
        <v>1417</v>
      </c>
      <c r="BB693" s="472" t="s">
        <v>1385</v>
      </c>
      <c r="BC693" s="472" t="s">
        <v>1385</v>
      </c>
      <c r="BD693" s="472" t="s">
        <v>1385</v>
      </c>
      <c r="BE693" s="472" t="s">
        <v>1385</v>
      </c>
      <c r="BF693" s="472">
        <v>28117.8</v>
      </c>
      <c r="BG693" s="472">
        <v>0</v>
      </c>
      <c r="BH693" s="472" t="s">
        <v>1385</v>
      </c>
      <c r="BI693" s="510">
        <v>0</v>
      </c>
      <c r="BJ693" s="510">
        <v>0</v>
      </c>
      <c r="BK693" s="510">
        <v>0</v>
      </c>
      <c r="BL693" s="510">
        <v>586.96</v>
      </c>
      <c r="BM693" s="510">
        <v>0</v>
      </c>
      <c r="BN693" s="510">
        <v>2000</v>
      </c>
      <c r="BO693" s="510">
        <v>0</v>
      </c>
      <c r="BP693" s="510">
        <v>0</v>
      </c>
      <c r="BQ693" s="510">
        <v>0</v>
      </c>
      <c r="BR693" s="510">
        <v>0</v>
      </c>
      <c r="BS693" s="510">
        <v>0</v>
      </c>
      <c r="BT693" s="510">
        <v>0</v>
      </c>
      <c r="BU693" s="510">
        <v>2500</v>
      </c>
      <c r="BV693" s="510">
        <v>2500</v>
      </c>
      <c r="BW693" s="510">
        <v>0</v>
      </c>
      <c r="BX693" s="510">
        <v>30000</v>
      </c>
      <c r="BY693" s="1011">
        <v>0</v>
      </c>
      <c r="BZ693" s="510">
        <v>0</v>
      </c>
      <c r="CA693" s="1011">
        <v>0</v>
      </c>
      <c r="CB693" s="510">
        <v>0</v>
      </c>
      <c r="CC693" s="1011">
        <v>0</v>
      </c>
      <c r="CD693" s="510">
        <v>0</v>
      </c>
      <c r="CE693" s="1011">
        <v>0</v>
      </c>
      <c r="CF693" s="510">
        <v>52836</v>
      </c>
      <c r="CG693" s="1011">
        <v>0</v>
      </c>
      <c r="CH693" s="510">
        <v>0</v>
      </c>
      <c r="CI693" s="1011">
        <v>0</v>
      </c>
    </row>
    <row r="694" spans="1:87" x14ac:dyDescent="0.2">
      <c r="A694" s="449">
        <v>77</v>
      </c>
      <c r="B694" s="453">
        <v>91821</v>
      </c>
      <c r="C694" s="454" t="s">
        <v>6513</v>
      </c>
      <c r="D694" s="454" t="s">
        <v>1390</v>
      </c>
      <c r="E694" s="454" t="s">
        <v>6514</v>
      </c>
      <c r="F694" s="454" t="s">
        <v>524</v>
      </c>
      <c r="G694" s="454" t="s">
        <v>13476</v>
      </c>
      <c r="H694" s="455">
        <v>52030723000137</v>
      </c>
      <c r="I694" s="462">
        <v>30246</v>
      </c>
      <c r="J694" s="457">
        <v>47201430</v>
      </c>
      <c r="K694" s="454" t="s">
        <v>6516</v>
      </c>
      <c r="L694" s="458">
        <v>795</v>
      </c>
      <c r="M694" s="454" t="s">
        <v>6517</v>
      </c>
      <c r="N694" s="459">
        <v>1536000</v>
      </c>
      <c r="O694" s="460">
        <v>32087804</v>
      </c>
      <c r="P694" s="462">
        <v>213538</v>
      </c>
      <c r="Q694" s="462">
        <v>83</v>
      </c>
      <c r="R694" s="462">
        <v>43906</v>
      </c>
      <c r="S694" s="463">
        <v>255</v>
      </c>
      <c r="T694" s="464">
        <v>3.6</v>
      </c>
      <c r="U694" s="465">
        <v>918</v>
      </c>
      <c r="V694" s="465">
        <v>12240</v>
      </c>
      <c r="W694" s="466">
        <v>0</v>
      </c>
      <c r="X694" s="467">
        <v>1</v>
      </c>
      <c r="Y694" s="466">
        <v>19737</v>
      </c>
      <c r="Z694" s="468" t="s">
        <v>516</v>
      </c>
      <c r="AA694" s="466">
        <v>91110.6</v>
      </c>
      <c r="AB694" s="466">
        <v>91110.6</v>
      </c>
      <c r="AC694" s="467">
        <v>0</v>
      </c>
      <c r="AD694" s="466">
        <v>0</v>
      </c>
      <c r="AE694" s="468" t="s">
        <v>516</v>
      </c>
      <c r="AF694" s="466">
        <v>0</v>
      </c>
      <c r="AG694" s="466">
        <v>0</v>
      </c>
      <c r="AH694" s="466">
        <v>20169.03</v>
      </c>
      <c r="AI694" s="466">
        <v>3726.13</v>
      </c>
      <c r="AJ694" s="469" t="s">
        <v>6518</v>
      </c>
      <c r="AK694" s="470" t="s">
        <v>6519</v>
      </c>
      <c r="AL694" s="471" t="s">
        <v>6520</v>
      </c>
      <c r="AM694" s="470" t="s">
        <v>15163</v>
      </c>
      <c r="AN694" s="470" t="s">
        <v>6515</v>
      </c>
      <c r="AO694" s="470" t="s">
        <v>13477</v>
      </c>
      <c r="AP694" s="470" t="s">
        <v>6521</v>
      </c>
      <c r="AQ694" s="470" t="s">
        <v>6513</v>
      </c>
      <c r="AR694" s="472" t="s">
        <v>515</v>
      </c>
      <c r="AS694" s="473" t="s">
        <v>1385</v>
      </c>
      <c r="AT694" s="472" t="s">
        <v>1390</v>
      </c>
      <c r="AU694" s="472" t="s">
        <v>420</v>
      </c>
      <c r="AV694" s="472">
        <v>2020</v>
      </c>
      <c r="AW694" s="474" t="s">
        <v>15078</v>
      </c>
      <c r="AX694" s="475" t="s">
        <v>15079</v>
      </c>
      <c r="AY694" s="515">
        <v>1</v>
      </c>
      <c r="AZ694" s="474" t="s">
        <v>15079</v>
      </c>
      <c r="BA694" s="472" t="s">
        <v>1390</v>
      </c>
      <c r="BB694" s="472" t="s">
        <v>1385</v>
      </c>
      <c r="BC694" s="472" t="s">
        <v>1385</v>
      </c>
      <c r="BD694" s="472" t="s">
        <v>1385</v>
      </c>
      <c r="BE694" s="472" t="s">
        <v>1385</v>
      </c>
      <c r="BF694" s="472">
        <v>19737</v>
      </c>
      <c r="BG694" s="472">
        <v>0</v>
      </c>
      <c r="BH694" s="472" t="s">
        <v>1385</v>
      </c>
      <c r="BI694" s="510">
        <v>0</v>
      </c>
      <c r="BJ694" s="510">
        <v>0</v>
      </c>
      <c r="BK694" s="510">
        <v>0</v>
      </c>
      <c r="BL694" s="510">
        <v>0</v>
      </c>
      <c r="BM694" s="510">
        <v>0</v>
      </c>
      <c r="BN694" s="510">
        <v>3500</v>
      </c>
      <c r="BO694" s="510">
        <v>0</v>
      </c>
      <c r="BP694" s="510">
        <v>0</v>
      </c>
      <c r="BQ694" s="510">
        <v>0</v>
      </c>
      <c r="BR694" s="510">
        <v>0</v>
      </c>
      <c r="BS694" s="510">
        <v>0</v>
      </c>
      <c r="BT694" s="510">
        <v>0</v>
      </c>
      <c r="BU694" s="510">
        <v>0</v>
      </c>
      <c r="BV694" s="510">
        <v>0</v>
      </c>
      <c r="BW694" s="510">
        <v>0</v>
      </c>
      <c r="BX694" s="510">
        <v>30000</v>
      </c>
      <c r="BY694" s="1011">
        <v>0</v>
      </c>
      <c r="BZ694" s="510">
        <v>0</v>
      </c>
      <c r="CA694" s="1011">
        <v>0</v>
      </c>
      <c r="CB694" s="510">
        <v>0</v>
      </c>
      <c r="CC694" s="1011">
        <v>0</v>
      </c>
      <c r="CD694" s="510">
        <v>0</v>
      </c>
      <c r="CE694" s="1011">
        <v>0</v>
      </c>
      <c r="CF694" s="510">
        <v>41373.599999999999</v>
      </c>
      <c r="CG694" s="1011">
        <v>0</v>
      </c>
      <c r="CH694" s="510">
        <v>0</v>
      </c>
      <c r="CI694" s="1011">
        <v>0</v>
      </c>
    </row>
    <row r="695" spans="1:87" x14ac:dyDescent="0.2">
      <c r="A695" s="449">
        <v>61</v>
      </c>
      <c r="B695" s="453">
        <v>91839</v>
      </c>
      <c r="C695" s="454" t="s">
        <v>6522</v>
      </c>
      <c r="D695" s="454" t="s">
        <v>1390</v>
      </c>
      <c r="E695" s="454" t="s">
        <v>6523</v>
      </c>
      <c r="F695" s="454" t="s">
        <v>524</v>
      </c>
      <c r="G695" s="454" t="s">
        <v>13478</v>
      </c>
      <c r="H695" s="455">
        <v>50859263000129</v>
      </c>
      <c r="I695" s="462">
        <v>30174</v>
      </c>
      <c r="J695" s="457">
        <v>37499858</v>
      </c>
      <c r="K695" s="454" t="s">
        <v>6525</v>
      </c>
      <c r="L695" s="458">
        <v>335</v>
      </c>
      <c r="M695" s="454" t="s">
        <v>6517</v>
      </c>
      <c r="N695" s="459">
        <v>1518080</v>
      </c>
      <c r="O695" s="460">
        <v>32087982</v>
      </c>
      <c r="P695" s="462">
        <v>205039</v>
      </c>
      <c r="Q695" s="462">
        <v>67</v>
      </c>
      <c r="R695" s="462">
        <v>43906</v>
      </c>
      <c r="S695" s="463">
        <v>247</v>
      </c>
      <c r="T695" s="464">
        <v>3.6</v>
      </c>
      <c r="U695" s="465">
        <v>889.2</v>
      </c>
      <c r="V695" s="465">
        <v>12240</v>
      </c>
      <c r="W695" s="466">
        <v>0</v>
      </c>
      <c r="X695" s="467">
        <v>1</v>
      </c>
      <c r="Y695" s="466">
        <v>19693.8</v>
      </c>
      <c r="Z695" s="468" t="s">
        <v>516</v>
      </c>
      <c r="AA695" s="466">
        <v>91189.8</v>
      </c>
      <c r="AB695" s="466">
        <v>91189.8</v>
      </c>
      <c r="AC695" s="467">
        <v>0</v>
      </c>
      <c r="AD695" s="466">
        <v>0</v>
      </c>
      <c r="AE695" s="468" t="s">
        <v>516</v>
      </c>
      <c r="AF695" s="466">
        <v>0</v>
      </c>
      <c r="AG695" s="466">
        <v>0</v>
      </c>
      <c r="AH695" s="466">
        <v>21917.21</v>
      </c>
      <c r="AI695" s="466">
        <v>2021.95</v>
      </c>
      <c r="AJ695" s="469" t="s">
        <v>6526</v>
      </c>
      <c r="AK695" s="470" t="s">
        <v>6527</v>
      </c>
      <c r="AL695" s="471" t="s">
        <v>6528</v>
      </c>
      <c r="AM695" s="470" t="s">
        <v>15149</v>
      </c>
      <c r="AN695" s="470" t="s">
        <v>6524</v>
      </c>
      <c r="AO695" s="470" t="s">
        <v>13479</v>
      </c>
      <c r="AP695" s="470" t="s">
        <v>6529</v>
      </c>
      <c r="AQ695" s="470" t="s">
        <v>6522</v>
      </c>
      <c r="AR695" s="472" t="s">
        <v>515</v>
      </c>
      <c r="AS695" s="473" t="s">
        <v>1385</v>
      </c>
      <c r="AT695" s="472" t="s">
        <v>1390</v>
      </c>
      <c r="AU695" s="472" t="s">
        <v>420</v>
      </c>
      <c r="AV695" s="472">
        <v>2020</v>
      </c>
      <c r="AW695" s="474" t="s">
        <v>15078</v>
      </c>
      <c r="AX695" s="475" t="s">
        <v>15079</v>
      </c>
      <c r="AY695" s="515">
        <v>1</v>
      </c>
      <c r="AZ695" s="474" t="s">
        <v>15079</v>
      </c>
      <c r="BA695" s="472" t="s">
        <v>1390</v>
      </c>
      <c r="BB695" s="472" t="s">
        <v>1385</v>
      </c>
      <c r="BC695" s="472" t="s">
        <v>1385</v>
      </c>
      <c r="BD695" s="472" t="s">
        <v>1385</v>
      </c>
      <c r="BE695" s="472" t="s">
        <v>1385</v>
      </c>
      <c r="BF695" s="472">
        <v>19693.8</v>
      </c>
      <c r="BG695" s="472">
        <v>0</v>
      </c>
      <c r="BH695" s="472" t="s">
        <v>1385</v>
      </c>
      <c r="BI695" s="510">
        <v>0</v>
      </c>
      <c r="BJ695" s="510">
        <v>0</v>
      </c>
      <c r="BK695" s="510">
        <v>0</v>
      </c>
      <c r="BL695" s="510">
        <v>0</v>
      </c>
      <c r="BM695" s="510">
        <v>0</v>
      </c>
      <c r="BN695" s="510">
        <v>3000</v>
      </c>
      <c r="BO695" s="510">
        <v>0</v>
      </c>
      <c r="BP695" s="510">
        <v>0</v>
      </c>
      <c r="BQ695" s="510">
        <v>0</v>
      </c>
      <c r="BR695" s="510">
        <v>0</v>
      </c>
      <c r="BS695" s="510">
        <v>0</v>
      </c>
      <c r="BT695" s="510">
        <v>0</v>
      </c>
      <c r="BU695" s="510">
        <v>0</v>
      </c>
      <c r="BV695" s="510">
        <v>0</v>
      </c>
      <c r="BW695" s="510">
        <v>0</v>
      </c>
      <c r="BX695" s="510">
        <v>30000</v>
      </c>
      <c r="BY695" s="1011">
        <v>0</v>
      </c>
      <c r="BZ695" s="510">
        <v>0</v>
      </c>
      <c r="CA695" s="1011">
        <v>0</v>
      </c>
      <c r="CB695" s="510">
        <v>0</v>
      </c>
      <c r="CC695" s="1011">
        <v>0</v>
      </c>
      <c r="CD695" s="510">
        <v>0</v>
      </c>
      <c r="CE695" s="1011">
        <v>0</v>
      </c>
      <c r="CF695" s="510">
        <v>41496</v>
      </c>
      <c r="CG695" s="1011">
        <v>0</v>
      </c>
      <c r="CH695" s="510">
        <v>0</v>
      </c>
      <c r="CI695" s="1011">
        <v>0</v>
      </c>
    </row>
    <row r="696" spans="1:87" x14ac:dyDescent="0.2">
      <c r="A696" s="449">
        <v>64</v>
      </c>
      <c r="B696" s="453">
        <v>91847</v>
      </c>
      <c r="C696" s="454" t="s">
        <v>6530</v>
      </c>
      <c r="D696" s="454" t="s">
        <v>1390</v>
      </c>
      <c r="E696" s="454" t="s">
        <v>6531</v>
      </c>
      <c r="F696" s="454" t="s">
        <v>524</v>
      </c>
      <c r="G696" s="454" t="s">
        <v>13480</v>
      </c>
      <c r="H696" s="455">
        <v>50863539000142</v>
      </c>
      <c r="I696" s="462">
        <v>30139</v>
      </c>
      <c r="J696" s="457">
        <v>37500082</v>
      </c>
      <c r="K696" s="454" t="s">
        <v>6532</v>
      </c>
      <c r="L696" s="458">
        <v>536</v>
      </c>
      <c r="M696" s="454" t="s">
        <v>4023</v>
      </c>
      <c r="N696" s="459">
        <v>1321010</v>
      </c>
      <c r="O696" s="460">
        <v>31151766</v>
      </c>
      <c r="P696" s="462" t="s">
        <v>1385</v>
      </c>
      <c r="Q696" s="462">
        <v>70</v>
      </c>
      <c r="R696" s="462">
        <v>43906</v>
      </c>
      <c r="S696" s="463">
        <v>315</v>
      </c>
      <c r="T696" s="464">
        <v>3.6</v>
      </c>
      <c r="U696" s="465">
        <v>1134</v>
      </c>
      <c r="V696" s="465">
        <v>13680</v>
      </c>
      <c r="W696" s="466">
        <v>0</v>
      </c>
      <c r="X696" s="467">
        <v>1</v>
      </c>
      <c r="Y696" s="466">
        <v>22221</v>
      </c>
      <c r="Z696" s="468" t="s">
        <v>516</v>
      </c>
      <c r="AA696" s="466">
        <v>96834.6</v>
      </c>
      <c r="AB696" s="466">
        <v>96834.6</v>
      </c>
      <c r="AC696" s="467">
        <v>0</v>
      </c>
      <c r="AD696" s="466">
        <v>0</v>
      </c>
      <c r="AE696" s="468" t="s">
        <v>516</v>
      </c>
      <c r="AF696" s="466">
        <v>0</v>
      </c>
      <c r="AG696" s="466">
        <v>0</v>
      </c>
      <c r="AH696" s="466">
        <v>19854.46</v>
      </c>
      <c r="AI696" s="466">
        <v>8854.2000000000007</v>
      </c>
      <c r="AJ696" s="469" t="s">
        <v>6533</v>
      </c>
      <c r="AK696" s="470" t="s">
        <v>6534</v>
      </c>
      <c r="AL696" s="471" t="s">
        <v>6535</v>
      </c>
      <c r="AM696" s="470" t="s">
        <v>1385</v>
      </c>
      <c r="AN696" s="470" t="s">
        <v>6536</v>
      </c>
      <c r="AO696" s="470" t="s">
        <v>6537</v>
      </c>
      <c r="AP696" s="470" t="s">
        <v>6538</v>
      </c>
      <c r="AQ696" s="470" t="s">
        <v>6530</v>
      </c>
      <c r="AR696" s="472" t="s">
        <v>515</v>
      </c>
      <c r="AS696" s="473" t="s">
        <v>1385</v>
      </c>
      <c r="AT696" s="472" t="s">
        <v>1390</v>
      </c>
      <c r="AU696" s="472" t="s">
        <v>420</v>
      </c>
      <c r="AV696" s="472">
        <v>2020</v>
      </c>
      <c r="AW696" s="474" t="s">
        <v>15078</v>
      </c>
      <c r="AX696" s="475" t="s">
        <v>15079</v>
      </c>
      <c r="AY696" s="515">
        <v>1</v>
      </c>
      <c r="AZ696" s="474" t="s">
        <v>15079</v>
      </c>
      <c r="BA696" s="472" t="s">
        <v>1390</v>
      </c>
      <c r="BB696" s="472" t="s">
        <v>1385</v>
      </c>
      <c r="BC696" s="472" t="s">
        <v>1385</v>
      </c>
      <c r="BD696" s="472" t="s">
        <v>1385</v>
      </c>
      <c r="BE696" s="472" t="s">
        <v>1385</v>
      </c>
      <c r="BF696" s="472">
        <v>22221</v>
      </c>
      <c r="BG696" s="472">
        <v>0</v>
      </c>
      <c r="BH696" s="472" t="s">
        <v>1385</v>
      </c>
      <c r="BI696" s="510">
        <v>0</v>
      </c>
      <c r="BJ696" s="510">
        <v>0</v>
      </c>
      <c r="BK696" s="510">
        <v>0</v>
      </c>
      <c r="BL696" s="510">
        <v>0</v>
      </c>
      <c r="BM696" s="510">
        <v>0</v>
      </c>
      <c r="BN696" s="510">
        <v>3500</v>
      </c>
      <c r="BO696" s="510">
        <v>0</v>
      </c>
      <c r="BP696" s="510">
        <v>0</v>
      </c>
      <c r="BQ696" s="510">
        <v>0</v>
      </c>
      <c r="BR696" s="510">
        <v>0</v>
      </c>
      <c r="BS696" s="510">
        <v>0</v>
      </c>
      <c r="BT696" s="510">
        <v>0</v>
      </c>
      <c r="BU696" s="510">
        <v>0</v>
      </c>
      <c r="BV696" s="510">
        <v>0</v>
      </c>
      <c r="BW696" s="510">
        <v>0</v>
      </c>
      <c r="BX696" s="510">
        <v>30000</v>
      </c>
      <c r="BY696" s="1011">
        <v>0</v>
      </c>
      <c r="BZ696" s="510">
        <v>0</v>
      </c>
      <c r="CA696" s="1011">
        <v>0</v>
      </c>
      <c r="CB696" s="510">
        <v>0</v>
      </c>
      <c r="CC696" s="1011">
        <v>0</v>
      </c>
      <c r="CD696" s="510">
        <v>0</v>
      </c>
      <c r="CE696" s="1011">
        <v>0</v>
      </c>
      <c r="CF696" s="510">
        <v>44613.599999999999</v>
      </c>
      <c r="CG696" s="1011">
        <v>0</v>
      </c>
      <c r="CH696" s="510">
        <v>0</v>
      </c>
      <c r="CI696" s="1011">
        <v>0</v>
      </c>
    </row>
    <row r="697" spans="1:87" x14ac:dyDescent="0.2">
      <c r="A697" s="449">
        <v>95</v>
      </c>
      <c r="B697" s="453">
        <v>91855</v>
      </c>
      <c r="C697" s="454" t="s">
        <v>6539</v>
      </c>
      <c r="D697" s="454" t="s">
        <v>1390</v>
      </c>
      <c r="E697" s="454" t="s">
        <v>6540</v>
      </c>
      <c r="F697" s="454" t="s">
        <v>524</v>
      </c>
      <c r="G697" s="454" t="s">
        <v>13481</v>
      </c>
      <c r="H697" s="455">
        <v>50863745000152</v>
      </c>
      <c r="I697" s="462">
        <v>30139</v>
      </c>
      <c r="J697" s="457">
        <v>37498100</v>
      </c>
      <c r="K697" s="454" t="s">
        <v>6542</v>
      </c>
      <c r="L697" s="458">
        <v>135</v>
      </c>
      <c r="M697" s="454" t="s">
        <v>6543</v>
      </c>
      <c r="N697" s="459">
        <v>1303030</v>
      </c>
      <c r="O697" s="460">
        <v>32567859</v>
      </c>
      <c r="P697" s="462">
        <v>206213</v>
      </c>
      <c r="Q697" s="462">
        <v>103</v>
      </c>
      <c r="R697" s="462">
        <v>43906</v>
      </c>
      <c r="S697" s="463">
        <v>306</v>
      </c>
      <c r="T697" s="464">
        <v>3.6</v>
      </c>
      <c r="U697" s="465">
        <v>1101.5999999999999</v>
      </c>
      <c r="V697" s="465">
        <v>13680</v>
      </c>
      <c r="W697" s="466">
        <v>0</v>
      </c>
      <c r="X697" s="467">
        <v>1</v>
      </c>
      <c r="Y697" s="466">
        <v>22172.400000000001</v>
      </c>
      <c r="Z697" s="468" t="s">
        <v>516</v>
      </c>
      <c r="AA697" s="466">
        <v>96908.4</v>
      </c>
      <c r="AB697" s="466">
        <v>96908.4</v>
      </c>
      <c r="AC697" s="467">
        <v>0</v>
      </c>
      <c r="AD697" s="466">
        <v>0</v>
      </c>
      <c r="AE697" s="468" t="s">
        <v>516</v>
      </c>
      <c r="AF697" s="466">
        <v>0</v>
      </c>
      <c r="AG697" s="466">
        <v>0</v>
      </c>
      <c r="AH697" s="466">
        <v>22515.65</v>
      </c>
      <c r="AI697" s="466">
        <v>5139.92</v>
      </c>
      <c r="AJ697" s="469" t="s">
        <v>6544</v>
      </c>
      <c r="AK697" s="470" t="s">
        <v>6545</v>
      </c>
      <c r="AL697" s="471" t="s">
        <v>6546</v>
      </c>
      <c r="AM697" s="470" t="s">
        <v>15181</v>
      </c>
      <c r="AN697" s="470" t="s">
        <v>6541</v>
      </c>
      <c r="AO697" s="470" t="s">
        <v>6547</v>
      </c>
      <c r="AP697" s="470" t="s">
        <v>6548</v>
      </c>
      <c r="AQ697" s="470" t="s">
        <v>6539</v>
      </c>
      <c r="AR697" s="472" t="s">
        <v>515</v>
      </c>
      <c r="AS697" s="473" t="s">
        <v>1385</v>
      </c>
      <c r="AT697" s="472" t="s">
        <v>1390</v>
      </c>
      <c r="AU697" s="472" t="s">
        <v>420</v>
      </c>
      <c r="AV697" s="472">
        <v>2020</v>
      </c>
      <c r="AW697" s="474" t="s">
        <v>15078</v>
      </c>
      <c r="AX697" s="475" t="s">
        <v>15079</v>
      </c>
      <c r="AY697" s="515">
        <v>1</v>
      </c>
      <c r="AZ697" s="474" t="s">
        <v>15079</v>
      </c>
      <c r="BA697" s="472" t="s">
        <v>1390</v>
      </c>
      <c r="BB697" s="472" t="s">
        <v>1385</v>
      </c>
      <c r="BC697" s="472" t="s">
        <v>1385</v>
      </c>
      <c r="BD697" s="472" t="s">
        <v>1385</v>
      </c>
      <c r="BE697" s="472" t="s">
        <v>1385</v>
      </c>
      <c r="BF697" s="472">
        <v>22172.400000000001</v>
      </c>
      <c r="BG697" s="472">
        <v>0</v>
      </c>
      <c r="BH697" s="472" t="s">
        <v>1385</v>
      </c>
      <c r="BI697" s="510">
        <v>0</v>
      </c>
      <c r="BJ697" s="510">
        <v>0</v>
      </c>
      <c r="BK697" s="510">
        <v>0</v>
      </c>
      <c r="BL697" s="510">
        <v>0</v>
      </c>
      <c r="BM697" s="510">
        <v>0</v>
      </c>
      <c r="BN697" s="510">
        <v>3500</v>
      </c>
      <c r="BO697" s="510">
        <v>0</v>
      </c>
      <c r="BP697" s="510">
        <v>0</v>
      </c>
      <c r="BQ697" s="510">
        <v>0</v>
      </c>
      <c r="BR697" s="510">
        <v>0</v>
      </c>
      <c r="BS697" s="510">
        <v>0</v>
      </c>
      <c r="BT697" s="510">
        <v>0</v>
      </c>
      <c r="BU697" s="510">
        <v>0</v>
      </c>
      <c r="BV697" s="510">
        <v>0</v>
      </c>
      <c r="BW697" s="510">
        <v>0</v>
      </c>
      <c r="BX697" s="510">
        <v>30000</v>
      </c>
      <c r="BY697" s="1011">
        <v>0</v>
      </c>
      <c r="BZ697" s="510">
        <v>0</v>
      </c>
      <c r="CA697" s="1011">
        <v>0</v>
      </c>
      <c r="CB697" s="510">
        <v>0</v>
      </c>
      <c r="CC697" s="1011">
        <v>0</v>
      </c>
      <c r="CD697" s="510">
        <v>0</v>
      </c>
      <c r="CE697" s="1011">
        <v>0</v>
      </c>
      <c r="CF697" s="510">
        <v>44736</v>
      </c>
      <c r="CG697" s="1011">
        <v>0</v>
      </c>
      <c r="CH697" s="510">
        <v>0</v>
      </c>
      <c r="CI697" s="1011">
        <v>0</v>
      </c>
    </row>
    <row r="698" spans="1:87" x14ac:dyDescent="0.2">
      <c r="A698" s="449">
        <v>78</v>
      </c>
      <c r="B698" s="453">
        <v>91863</v>
      </c>
      <c r="C698" s="454" t="s">
        <v>6549</v>
      </c>
      <c r="D698" s="454" t="s">
        <v>1390</v>
      </c>
      <c r="E698" s="454" t="s">
        <v>6550</v>
      </c>
      <c r="F698" s="454" t="s">
        <v>524</v>
      </c>
      <c r="G698" s="454" t="s">
        <v>13482</v>
      </c>
      <c r="H698" s="455">
        <v>52031408000124</v>
      </c>
      <c r="I698" s="462">
        <v>30271</v>
      </c>
      <c r="J698" s="457">
        <v>37499602</v>
      </c>
      <c r="K698" s="454" t="s">
        <v>6552</v>
      </c>
      <c r="L698" s="458">
        <v>1012</v>
      </c>
      <c r="M698" s="454" t="s">
        <v>6543</v>
      </c>
      <c r="N698" s="459">
        <v>1302000</v>
      </c>
      <c r="O698" s="460">
        <v>32567260</v>
      </c>
      <c r="P698" s="462">
        <v>199586</v>
      </c>
      <c r="Q698" s="462">
        <v>84</v>
      </c>
      <c r="R698" s="462">
        <v>43906</v>
      </c>
      <c r="S698" s="463">
        <v>222</v>
      </c>
      <c r="T698" s="464">
        <v>3.6</v>
      </c>
      <c r="U698" s="465">
        <v>799.2</v>
      </c>
      <c r="V698" s="465">
        <v>12240</v>
      </c>
      <c r="W698" s="466">
        <v>0</v>
      </c>
      <c r="X698" s="467">
        <v>1</v>
      </c>
      <c r="Y698" s="466">
        <v>19558.8</v>
      </c>
      <c r="Z698" s="468" t="s">
        <v>516</v>
      </c>
      <c r="AA698" s="466">
        <v>90536.4</v>
      </c>
      <c r="AB698" s="466">
        <v>90536.4</v>
      </c>
      <c r="AC698" s="467">
        <v>0</v>
      </c>
      <c r="AD698" s="466">
        <v>0</v>
      </c>
      <c r="AE698" s="468" t="s">
        <v>516</v>
      </c>
      <c r="AF698" s="466">
        <v>2000</v>
      </c>
      <c r="AG698" s="466">
        <v>2000</v>
      </c>
      <c r="AH698" s="466">
        <v>12988.95</v>
      </c>
      <c r="AI698" s="466">
        <v>3468.43</v>
      </c>
      <c r="AJ698" s="469" t="s">
        <v>5541</v>
      </c>
      <c r="AK698" s="470" t="s">
        <v>6553</v>
      </c>
      <c r="AL698" s="471" t="s">
        <v>6554</v>
      </c>
      <c r="AM698" s="470" t="s">
        <v>15164</v>
      </c>
      <c r="AN698" s="470" t="s">
        <v>6551</v>
      </c>
      <c r="AO698" s="470" t="s">
        <v>13483</v>
      </c>
      <c r="AP698" s="470" t="s">
        <v>6555</v>
      </c>
      <c r="AQ698" s="470" t="s">
        <v>6549</v>
      </c>
      <c r="AR698" s="472" t="s">
        <v>515</v>
      </c>
      <c r="AS698" s="473" t="s">
        <v>1385</v>
      </c>
      <c r="AT698" s="472" t="s">
        <v>1390</v>
      </c>
      <c r="AU698" s="472" t="s">
        <v>420</v>
      </c>
      <c r="AV698" s="472">
        <v>2020</v>
      </c>
      <c r="AW698" s="474" t="s">
        <v>15078</v>
      </c>
      <c r="AX698" s="475" t="s">
        <v>15079</v>
      </c>
      <c r="AY698" s="515">
        <v>1</v>
      </c>
      <c r="AZ698" s="474" t="s">
        <v>15079</v>
      </c>
      <c r="BA698" s="472" t="s">
        <v>1390</v>
      </c>
      <c r="BB698" s="472" t="s">
        <v>1385</v>
      </c>
      <c r="BC698" s="472" t="s">
        <v>1385</v>
      </c>
      <c r="BD698" s="472" t="s">
        <v>1385</v>
      </c>
      <c r="BE698" s="472" t="s">
        <v>1385</v>
      </c>
      <c r="BF698" s="472">
        <v>19558.8</v>
      </c>
      <c r="BG698" s="472">
        <v>0</v>
      </c>
      <c r="BH698" s="472" t="s">
        <v>1385</v>
      </c>
      <c r="BI698" s="510">
        <v>0</v>
      </c>
      <c r="BJ698" s="510">
        <v>0</v>
      </c>
      <c r="BK698" s="510">
        <v>0</v>
      </c>
      <c r="BL698" s="510">
        <v>0</v>
      </c>
      <c r="BM698" s="510">
        <v>0</v>
      </c>
      <c r="BN698" s="510">
        <v>3000</v>
      </c>
      <c r="BO698" s="510">
        <v>0</v>
      </c>
      <c r="BP698" s="510">
        <v>2000</v>
      </c>
      <c r="BQ698" s="510">
        <v>0</v>
      </c>
      <c r="BR698" s="510">
        <v>0</v>
      </c>
      <c r="BS698" s="510">
        <v>0</v>
      </c>
      <c r="BT698" s="510">
        <v>0</v>
      </c>
      <c r="BU698" s="510">
        <v>0</v>
      </c>
      <c r="BV698" s="510">
        <v>0</v>
      </c>
      <c r="BW698" s="510">
        <v>0</v>
      </c>
      <c r="BX698" s="510">
        <v>30000</v>
      </c>
      <c r="BY698" s="1011">
        <v>0</v>
      </c>
      <c r="BZ698" s="510">
        <v>0</v>
      </c>
      <c r="CA698" s="1011">
        <v>0</v>
      </c>
      <c r="CB698" s="510">
        <v>0</v>
      </c>
      <c r="CC698" s="1011">
        <v>0</v>
      </c>
      <c r="CD698" s="510">
        <v>0</v>
      </c>
      <c r="CE698" s="1011">
        <v>0</v>
      </c>
      <c r="CF698" s="510">
        <v>40977.599999999999</v>
      </c>
      <c r="CG698" s="1011">
        <v>0</v>
      </c>
      <c r="CH698" s="510">
        <v>0</v>
      </c>
      <c r="CI698" s="1011">
        <v>0</v>
      </c>
    </row>
    <row r="699" spans="1:87" x14ac:dyDescent="0.2">
      <c r="A699" s="449">
        <v>69</v>
      </c>
      <c r="B699" s="453">
        <v>91871</v>
      </c>
      <c r="C699" s="454" t="s">
        <v>6556</v>
      </c>
      <c r="D699" s="454" t="s">
        <v>1390</v>
      </c>
      <c r="E699" s="454" t="s">
        <v>6557</v>
      </c>
      <c r="F699" s="454" t="s">
        <v>524</v>
      </c>
      <c r="G699" s="454" t="s">
        <v>13484</v>
      </c>
      <c r="H699" s="455">
        <v>50997170000160</v>
      </c>
      <c r="I699" s="462">
        <v>30235</v>
      </c>
      <c r="J699" s="457">
        <v>37500120</v>
      </c>
      <c r="K699" s="454" t="s">
        <v>6558</v>
      </c>
      <c r="L699" s="458">
        <v>350</v>
      </c>
      <c r="M699" s="454" t="s">
        <v>6559</v>
      </c>
      <c r="N699" s="459">
        <v>1045000</v>
      </c>
      <c r="O699" s="460">
        <v>32213892</v>
      </c>
      <c r="P699" s="462">
        <v>203338</v>
      </c>
      <c r="Q699" s="462">
        <v>75</v>
      </c>
      <c r="R699" s="462">
        <v>43906</v>
      </c>
      <c r="S699" s="463">
        <v>386</v>
      </c>
      <c r="T699" s="464">
        <v>3.6</v>
      </c>
      <c r="U699" s="465">
        <v>1389.6</v>
      </c>
      <c r="V699" s="465">
        <v>13680</v>
      </c>
      <c r="W699" s="466">
        <v>0</v>
      </c>
      <c r="X699" s="467">
        <v>1</v>
      </c>
      <c r="Y699" s="466">
        <v>22604.400000000001</v>
      </c>
      <c r="Z699" s="468" t="s">
        <v>516</v>
      </c>
      <c r="AA699" s="466">
        <v>97729.2</v>
      </c>
      <c r="AB699" s="466">
        <v>97729.2</v>
      </c>
      <c r="AC699" s="467">
        <v>0</v>
      </c>
      <c r="AD699" s="466">
        <v>0</v>
      </c>
      <c r="AE699" s="468" t="s">
        <v>516</v>
      </c>
      <c r="AF699" s="466">
        <v>0</v>
      </c>
      <c r="AG699" s="466">
        <v>0</v>
      </c>
      <c r="AH699" s="466">
        <v>20894.04</v>
      </c>
      <c r="AI699" s="466">
        <v>2314.21</v>
      </c>
      <c r="AJ699" s="469" t="s">
        <v>2384</v>
      </c>
      <c r="AK699" s="470" t="s">
        <v>6560</v>
      </c>
      <c r="AL699" s="471" t="s">
        <v>6561</v>
      </c>
      <c r="AM699" s="470" t="s">
        <v>15155</v>
      </c>
      <c r="AN699" s="470" t="s">
        <v>6562</v>
      </c>
      <c r="AO699" s="470" t="s">
        <v>13485</v>
      </c>
      <c r="AP699" s="470" t="s">
        <v>6563</v>
      </c>
      <c r="AQ699" s="470" t="s">
        <v>6556</v>
      </c>
      <c r="AR699" s="472" t="s">
        <v>515</v>
      </c>
      <c r="AS699" s="473" t="s">
        <v>1385</v>
      </c>
      <c r="AT699" s="472" t="s">
        <v>1390</v>
      </c>
      <c r="AU699" s="472" t="s">
        <v>420</v>
      </c>
      <c r="AV699" s="472">
        <v>2020</v>
      </c>
      <c r="AW699" s="474" t="s">
        <v>15078</v>
      </c>
      <c r="AX699" s="475" t="s">
        <v>15079</v>
      </c>
      <c r="AY699" s="515">
        <v>1</v>
      </c>
      <c r="AZ699" s="474" t="s">
        <v>15079</v>
      </c>
      <c r="BA699" s="472" t="s">
        <v>1390</v>
      </c>
      <c r="BB699" s="472" t="s">
        <v>1385</v>
      </c>
      <c r="BC699" s="472" t="s">
        <v>1385</v>
      </c>
      <c r="BD699" s="472" t="s">
        <v>1385</v>
      </c>
      <c r="BE699" s="472" t="s">
        <v>1385</v>
      </c>
      <c r="BF699" s="472">
        <v>22604.400000000001</v>
      </c>
      <c r="BG699" s="472">
        <v>0</v>
      </c>
      <c r="BH699" s="472" t="s">
        <v>1385</v>
      </c>
      <c r="BI699" s="510">
        <v>0</v>
      </c>
      <c r="BJ699" s="510">
        <v>0</v>
      </c>
      <c r="BK699" s="510">
        <v>0</v>
      </c>
      <c r="BL699" s="510">
        <v>0</v>
      </c>
      <c r="BM699" s="510">
        <v>0</v>
      </c>
      <c r="BN699" s="510">
        <v>3500</v>
      </c>
      <c r="BO699" s="510">
        <v>0</v>
      </c>
      <c r="BP699" s="510">
        <v>0</v>
      </c>
      <c r="BQ699" s="510">
        <v>0</v>
      </c>
      <c r="BR699" s="510">
        <v>0</v>
      </c>
      <c r="BS699" s="510">
        <v>0</v>
      </c>
      <c r="BT699" s="510">
        <v>0</v>
      </c>
      <c r="BU699" s="510">
        <v>0</v>
      </c>
      <c r="BV699" s="510">
        <v>0</v>
      </c>
      <c r="BW699" s="510">
        <v>0</v>
      </c>
      <c r="BX699" s="510">
        <v>30000</v>
      </c>
      <c r="BY699" s="1011">
        <v>0</v>
      </c>
      <c r="BZ699" s="510">
        <v>0</v>
      </c>
      <c r="CA699" s="1011">
        <v>0</v>
      </c>
      <c r="CB699" s="510">
        <v>0</v>
      </c>
      <c r="CC699" s="1011">
        <v>0</v>
      </c>
      <c r="CD699" s="510">
        <v>0</v>
      </c>
      <c r="CE699" s="1011">
        <v>0</v>
      </c>
      <c r="CF699" s="510">
        <v>45124.800000000003</v>
      </c>
      <c r="CG699" s="1011">
        <v>0</v>
      </c>
      <c r="CH699" s="510">
        <v>0</v>
      </c>
      <c r="CI699" s="1011">
        <v>0</v>
      </c>
    </row>
    <row r="700" spans="1:87" x14ac:dyDescent="0.2">
      <c r="A700" s="449">
        <v>82</v>
      </c>
      <c r="B700" s="453">
        <v>91880</v>
      </c>
      <c r="C700" s="454" t="s">
        <v>6564</v>
      </c>
      <c r="D700" s="454" t="s">
        <v>1390</v>
      </c>
      <c r="E700" s="454" t="s">
        <v>6565</v>
      </c>
      <c r="F700" s="454" t="s">
        <v>524</v>
      </c>
      <c r="G700" s="454" t="s">
        <v>13486</v>
      </c>
      <c r="H700" s="455">
        <v>52643871000127</v>
      </c>
      <c r="I700" s="462">
        <v>30483</v>
      </c>
      <c r="J700" s="457">
        <v>37499700</v>
      </c>
      <c r="K700" s="454" t="s">
        <v>6567</v>
      </c>
      <c r="L700" s="458">
        <v>230</v>
      </c>
      <c r="M700" s="454" t="s">
        <v>6568</v>
      </c>
      <c r="N700" s="459">
        <v>1122000</v>
      </c>
      <c r="O700" s="460">
        <v>33264632</v>
      </c>
      <c r="P700" s="462">
        <v>200037</v>
      </c>
      <c r="Q700" s="462">
        <v>89</v>
      </c>
      <c r="R700" s="462">
        <v>43906</v>
      </c>
      <c r="S700" s="463">
        <v>250</v>
      </c>
      <c r="T700" s="464">
        <v>3.6</v>
      </c>
      <c r="U700" s="465">
        <v>900</v>
      </c>
      <c r="V700" s="465">
        <v>12240</v>
      </c>
      <c r="W700" s="466">
        <v>0</v>
      </c>
      <c r="X700" s="467">
        <v>1</v>
      </c>
      <c r="Y700" s="466">
        <v>19710</v>
      </c>
      <c r="Z700" s="468" t="s">
        <v>516</v>
      </c>
      <c r="AA700" s="466">
        <v>90975.6</v>
      </c>
      <c r="AB700" s="466">
        <v>90975.6</v>
      </c>
      <c r="AC700" s="467">
        <v>0</v>
      </c>
      <c r="AD700" s="466">
        <v>0</v>
      </c>
      <c r="AE700" s="468" t="s">
        <v>516</v>
      </c>
      <c r="AF700" s="466">
        <v>0</v>
      </c>
      <c r="AG700" s="466">
        <v>0</v>
      </c>
      <c r="AH700" s="466">
        <v>21595.56</v>
      </c>
      <c r="AI700" s="466">
        <v>5920.21</v>
      </c>
      <c r="AJ700" s="469" t="s">
        <v>6569</v>
      </c>
      <c r="AK700" s="470" t="s">
        <v>6570</v>
      </c>
      <c r="AL700" s="471" t="s">
        <v>6571</v>
      </c>
      <c r="AM700" s="470" t="s">
        <v>15168</v>
      </c>
      <c r="AN700" s="470" t="s">
        <v>6566</v>
      </c>
      <c r="AO700" s="470" t="s">
        <v>6572</v>
      </c>
      <c r="AP700" s="470" t="s">
        <v>6573</v>
      </c>
      <c r="AQ700" s="470" t="s">
        <v>6564</v>
      </c>
      <c r="AR700" s="472" t="s">
        <v>515</v>
      </c>
      <c r="AS700" s="473" t="s">
        <v>1385</v>
      </c>
      <c r="AT700" s="472" t="s">
        <v>1390</v>
      </c>
      <c r="AU700" s="472" t="s">
        <v>420</v>
      </c>
      <c r="AV700" s="472">
        <v>2020</v>
      </c>
      <c r="AW700" s="474" t="s">
        <v>15078</v>
      </c>
      <c r="AX700" s="475" t="s">
        <v>15079</v>
      </c>
      <c r="AY700" s="515">
        <v>1</v>
      </c>
      <c r="AZ700" s="474" t="s">
        <v>15079</v>
      </c>
      <c r="BA700" s="472" t="s">
        <v>1390</v>
      </c>
      <c r="BB700" s="472" t="s">
        <v>1385</v>
      </c>
      <c r="BC700" s="472" t="s">
        <v>1385</v>
      </c>
      <c r="BD700" s="472" t="s">
        <v>1385</v>
      </c>
      <c r="BE700" s="472" t="s">
        <v>1385</v>
      </c>
      <c r="BF700" s="472">
        <v>19710</v>
      </c>
      <c r="BG700" s="472">
        <v>0</v>
      </c>
      <c r="BH700" s="472" t="s">
        <v>1385</v>
      </c>
      <c r="BI700" s="510">
        <v>0</v>
      </c>
      <c r="BJ700" s="510">
        <v>0</v>
      </c>
      <c r="BK700" s="510">
        <v>0</v>
      </c>
      <c r="BL700" s="510">
        <v>0</v>
      </c>
      <c r="BM700" s="510">
        <v>0</v>
      </c>
      <c r="BN700" s="510">
        <v>3000</v>
      </c>
      <c r="BO700" s="510">
        <v>0</v>
      </c>
      <c r="BP700" s="510">
        <v>0</v>
      </c>
      <c r="BQ700" s="510">
        <v>0</v>
      </c>
      <c r="BR700" s="510">
        <v>0</v>
      </c>
      <c r="BS700" s="510">
        <v>0</v>
      </c>
      <c r="BT700" s="510">
        <v>0</v>
      </c>
      <c r="BU700" s="510">
        <v>0</v>
      </c>
      <c r="BV700" s="510">
        <v>0</v>
      </c>
      <c r="BW700" s="510">
        <v>0</v>
      </c>
      <c r="BX700" s="510">
        <v>30000</v>
      </c>
      <c r="BY700" s="1011">
        <v>0</v>
      </c>
      <c r="BZ700" s="510">
        <v>0</v>
      </c>
      <c r="CA700" s="1011">
        <v>0</v>
      </c>
      <c r="CB700" s="510">
        <v>0</v>
      </c>
      <c r="CC700" s="1011">
        <v>0</v>
      </c>
      <c r="CD700" s="510">
        <v>0</v>
      </c>
      <c r="CE700" s="1011">
        <v>0</v>
      </c>
      <c r="CF700" s="510">
        <v>41265.599999999999</v>
      </c>
      <c r="CG700" s="1011">
        <v>0</v>
      </c>
      <c r="CH700" s="510">
        <v>0</v>
      </c>
      <c r="CI700" s="1011">
        <v>0</v>
      </c>
    </row>
    <row r="701" spans="1:87" x14ac:dyDescent="0.2">
      <c r="A701" s="449">
        <v>62</v>
      </c>
      <c r="B701" s="453">
        <v>91898</v>
      </c>
      <c r="C701" s="454" t="s">
        <v>6574</v>
      </c>
      <c r="D701" s="454" t="s">
        <v>1390</v>
      </c>
      <c r="E701" s="454" t="s">
        <v>6575</v>
      </c>
      <c r="F701" s="454" t="s">
        <v>524</v>
      </c>
      <c r="G701" s="454" t="s">
        <v>13487</v>
      </c>
      <c r="H701" s="455">
        <v>50961036000100</v>
      </c>
      <c r="I701" s="462">
        <v>30189</v>
      </c>
      <c r="J701" s="457">
        <v>37500422</v>
      </c>
      <c r="K701" s="454" t="s">
        <v>6577</v>
      </c>
      <c r="L701" s="458" t="s">
        <v>6578</v>
      </c>
      <c r="M701" s="454" t="s">
        <v>6568</v>
      </c>
      <c r="N701" s="459">
        <v>1132010</v>
      </c>
      <c r="O701" s="460">
        <v>32219134</v>
      </c>
      <c r="P701" s="462">
        <v>206337</v>
      </c>
      <c r="Q701" s="462">
        <v>68</v>
      </c>
      <c r="R701" s="462">
        <v>43906</v>
      </c>
      <c r="S701" s="463">
        <v>256</v>
      </c>
      <c r="T701" s="464">
        <v>3.6</v>
      </c>
      <c r="U701" s="465">
        <v>921.6</v>
      </c>
      <c r="V701" s="465">
        <v>12240</v>
      </c>
      <c r="W701" s="466">
        <v>0</v>
      </c>
      <c r="X701" s="467">
        <v>1</v>
      </c>
      <c r="Y701" s="466">
        <v>19742.400000000001</v>
      </c>
      <c r="Z701" s="468" t="s">
        <v>516</v>
      </c>
      <c r="AA701" s="466">
        <v>91310.399999999994</v>
      </c>
      <c r="AB701" s="466">
        <v>91310.399999999994</v>
      </c>
      <c r="AC701" s="467">
        <v>0</v>
      </c>
      <c r="AD701" s="466">
        <v>0</v>
      </c>
      <c r="AE701" s="468" t="s">
        <v>516</v>
      </c>
      <c r="AF701" s="466">
        <v>0</v>
      </c>
      <c r="AG701" s="466">
        <v>0</v>
      </c>
      <c r="AH701" s="466">
        <v>871.18</v>
      </c>
      <c r="AI701" s="466">
        <v>2817.96</v>
      </c>
      <c r="AJ701" s="469" t="s">
        <v>2384</v>
      </c>
      <c r="AK701" s="470" t="s">
        <v>6579</v>
      </c>
      <c r="AL701" s="471" t="s">
        <v>6580</v>
      </c>
      <c r="AM701" s="470" t="s">
        <v>15150</v>
      </c>
      <c r="AN701" s="470" t="s">
        <v>6576</v>
      </c>
      <c r="AO701" s="470" t="s">
        <v>13488</v>
      </c>
      <c r="AP701" s="470" t="s">
        <v>6581</v>
      </c>
      <c r="AQ701" s="470" t="s">
        <v>6574</v>
      </c>
      <c r="AR701" s="472" t="s">
        <v>515</v>
      </c>
      <c r="AS701" s="473" t="s">
        <v>1385</v>
      </c>
      <c r="AT701" s="472" t="s">
        <v>1390</v>
      </c>
      <c r="AU701" s="472" t="s">
        <v>420</v>
      </c>
      <c r="AV701" s="472">
        <v>2020</v>
      </c>
      <c r="AW701" s="474" t="s">
        <v>15078</v>
      </c>
      <c r="AX701" s="475" t="s">
        <v>15079</v>
      </c>
      <c r="AY701" s="515">
        <v>1</v>
      </c>
      <c r="AZ701" s="474" t="s">
        <v>15079</v>
      </c>
      <c r="BA701" s="472" t="s">
        <v>1390</v>
      </c>
      <c r="BB701" s="472" t="s">
        <v>1385</v>
      </c>
      <c r="BC701" s="472" t="s">
        <v>1385</v>
      </c>
      <c r="BD701" s="472" t="s">
        <v>1385</v>
      </c>
      <c r="BE701" s="472" t="s">
        <v>1385</v>
      </c>
      <c r="BF701" s="472">
        <v>19742.400000000001</v>
      </c>
      <c r="BG701" s="472">
        <v>0</v>
      </c>
      <c r="BH701" s="472" t="s">
        <v>1385</v>
      </c>
      <c r="BI701" s="510">
        <v>0</v>
      </c>
      <c r="BJ701" s="510">
        <v>0</v>
      </c>
      <c r="BK701" s="510">
        <v>0</v>
      </c>
      <c r="BL701" s="510">
        <v>0</v>
      </c>
      <c r="BM701" s="510">
        <v>0</v>
      </c>
      <c r="BN701" s="510">
        <v>500</v>
      </c>
      <c r="BO701" s="510">
        <v>0</v>
      </c>
      <c r="BP701" s="510">
        <v>0</v>
      </c>
      <c r="BQ701" s="510">
        <v>0</v>
      </c>
      <c r="BR701" s="510">
        <v>0</v>
      </c>
      <c r="BS701" s="510">
        <v>0</v>
      </c>
      <c r="BT701" s="510">
        <v>0</v>
      </c>
      <c r="BU701" s="510">
        <v>0</v>
      </c>
      <c r="BV701" s="510">
        <v>0</v>
      </c>
      <c r="BW701" s="510">
        <v>0</v>
      </c>
      <c r="BX701" s="510">
        <v>30000</v>
      </c>
      <c r="BY701" s="1011">
        <v>0</v>
      </c>
      <c r="BZ701" s="510">
        <v>0</v>
      </c>
      <c r="CA701" s="1011">
        <v>0</v>
      </c>
      <c r="CB701" s="510">
        <v>0</v>
      </c>
      <c r="CC701" s="1011">
        <v>0</v>
      </c>
      <c r="CD701" s="510">
        <v>0</v>
      </c>
      <c r="CE701" s="1011">
        <v>0</v>
      </c>
      <c r="CF701" s="510">
        <v>41568</v>
      </c>
      <c r="CG701" s="1011">
        <v>0</v>
      </c>
      <c r="CH701" s="510">
        <v>0</v>
      </c>
      <c r="CI701" s="1011">
        <v>0</v>
      </c>
    </row>
    <row r="702" spans="1:87" x14ac:dyDescent="0.2">
      <c r="A702" s="449">
        <v>78</v>
      </c>
      <c r="B702" s="453">
        <v>91901</v>
      </c>
      <c r="C702" s="454" t="s">
        <v>6582</v>
      </c>
      <c r="D702" s="454" t="s">
        <v>1390</v>
      </c>
      <c r="E702" s="454" t="s">
        <v>6583</v>
      </c>
      <c r="F702" s="454" t="s">
        <v>527</v>
      </c>
      <c r="G702" s="454" t="s">
        <v>13489</v>
      </c>
      <c r="H702" s="455">
        <v>52581832000142</v>
      </c>
      <c r="I702" s="462">
        <v>30432</v>
      </c>
      <c r="J702" s="457">
        <v>37555111</v>
      </c>
      <c r="K702" s="454" t="s">
        <v>6584</v>
      </c>
      <c r="L702" s="458">
        <v>146</v>
      </c>
      <c r="M702" s="454" t="s">
        <v>6585</v>
      </c>
      <c r="N702" s="459">
        <v>3034070</v>
      </c>
      <c r="O702" s="460">
        <v>32283514</v>
      </c>
      <c r="P702" s="462">
        <v>206620</v>
      </c>
      <c r="Q702" s="462">
        <v>39</v>
      </c>
      <c r="R702" s="462">
        <v>43951</v>
      </c>
      <c r="S702" s="463">
        <v>304</v>
      </c>
      <c r="T702" s="464">
        <v>3.6</v>
      </c>
      <c r="U702" s="465">
        <v>1094.4000000000001</v>
      </c>
      <c r="V702" s="465">
        <v>13680</v>
      </c>
      <c r="W702" s="466">
        <v>0</v>
      </c>
      <c r="X702" s="467">
        <v>1</v>
      </c>
      <c r="Y702" s="466">
        <v>22161.599999999999</v>
      </c>
      <c r="Z702" s="468" t="s">
        <v>516</v>
      </c>
      <c r="AA702" s="466">
        <v>96782.399999999994</v>
      </c>
      <c r="AB702" s="466">
        <v>96782.399999999994</v>
      </c>
      <c r="AC702" s="467">
        <v>0</v>
      </c>
      <c r="AD702" s="466">
        <v>0</v>
      </c>
      <c r="AE702" s="468" t="s">
        <v>516</v>
      </c>
      <c r="AF702" s="466">
        <v>0</v>
      </c>
      <c r="AG702" s="466">
        <v>0</v>
      </c>
      <c r="AH702" s="466">
        <v>17870.52</v>
      </c>
      <c r="AI702" s="466">
        <v>0</v>
      </c>
      <c r="AJ702" s="469" t="s">
        <v>4526</v>
      </c>
      <c r="AK702" s="470" t="s">
        <v>4527</v>
      </c>
      <c r="AL702" s="471" t="s">
        <v>6586</v>
      </c>
      <c r="AM702" s="470" t="s">
        <v>6587</v>
      </c>
      <c r="AN702" s="470" t="s">
        <v>13489</v>
      </c>
      <c r="AO702" s="470" t="s">
        <v>13490</v>
      </c>
      <c r="AP702" s="470" t="s">
        <v>6588</v>
      </c>
      <c r="AQ702" s="470" t="s">
        <v>6582</v>
      </c>
      <c r="AR702" s="472" t="s">
        <v>515</v>
      </c>
      <c r="AS702" s="473" t="s">
        <v>1385</v>
      </c>
      <c r="AT702" s="472" t="s">
        <v>1390</v>
      </c>
      <c r="AU702" s="472" t="s">
        <v>420</v>
      </c>
      <c r="AV702" s="472">
        <v>2020</v>
      </c>
      <c r="AW702" s="474" t="s">
        <v>15078</v>
      </c>
      <c r="AX702" s="475" t="s">
        <v>15079</v>
      </c>
      <c r="AY702" s="515">
        <v>1</v>
      </c>
      <c r="AZ702" s="474" t="s">
        <v>15079</v>
      </c>
      <c r="BA702" s="472" t="s">
        <v>1390</v>
      </c>
      <c r="BB702" s="472" t="s">
        <v>1385</v>
      </c>
      <c r="BC702" s="472" t="s">
        <v>1385</v>
      </c>
      <c r="BD702" s="472" t="s">
        <v>1385</v>
      </c>
      <c r="BE702" s="472" t="s">
        <v>1385</v>
      </c>
      <c r="BF702" s="472">
        <v>22161.599999999999</v>
      </c>
      <c r="BG702" s="472">
        <v>0</v>
      </c>
      <c r="BH702" s="472" t="s">
        <v>1385</v>
      </c>
      <c r="BI702" s="510">
        <v>0</v>
      </c>
      <c r="BJ702" s="510">
        <v>0</v>
      </c>
      <c r="BK702" s="510">
        <v>0</v>
      </c>
      <c r="BL702" s="510">
        <v>0</v>
      </c>
      <c r="BM702" s="510">
        <v>0</v>
      </c>
      <c r="BN702" s="510">
        <v>3500</v>
      </c>
      <c r="BO702" s="510">
        <v>0</v>
      </c>
      <c r="BP702" s="510">
        <v>0</v>
      </c>
      <c r="BQ702" s="510">
        <v>0</v>
      </c>
      <c r="BR702" s="510">
        <v>0</v>
      </c>
      <c r="BS702" s="510">
        <v>0</v>
      </c>
      <c r="BT702" s="510">
        <v>0</v>
      </c>
      <c r="BU702" s="510">
        <v>0</v>
      </c>
      <c r="BV702" s="510">
        <v>0</v>
      </c>
      <c r="BW702" s="510">
        <v>0</v>
      </c>
      <c r="BX702" s="510">
        <v>30000</v>
      </c>
      <c r="BY702" s="1011">
        <v>0</v>
      </c>
      <c r="BZ702" s="510">
        <v>0</v>
      </c>
      <c r="CA702" s="1011">
        <v>0</v>
      </c>
      <c r="CB702" s="510">
        <v>0</v>
      </c>
      <c r="CC702" s="1011">
        <v>0</v>
      </c>
      <c r="CD702" s="510">
        <v>0</v>
      </c>
      <c r="CE702" s="1011">
        <v>0</v>
      </c>
      <c r="CF702" s="510">
        <v>44620.800000000003</v>
      </c>
      <c r="CG702" s="1011">
        <v>0</v>
      </c>
      <c r="CH702" s="510">
        <v>0</v>
      </c>
      <c r="CI702" s="1011">
        <v>0</v>
      </c>
    </row>
    <row r="703" spans="1:87" x14ac:dyDescent="0.2">
      <c r="A703" s="449">
        <v>75</v>
      </c>
      <c r="B703" s="453">
        <v>91910</v>
      </c>
      <c r="C703" s="454" t="s">
        <v>6589</v>
      </c>
      <c r="D703" s="454" t="s">
        <v>1390</v>
      </c>
      <c r="E703" s="454" t="s">
        <v>6590</v>
      </c>
      <c r="F703" s="454" t="s">
        <v>524</v>
      </c>
      <c r="G703" s="454" t="s">
        <v>13491</v>
      </c>
      <c r="H703" s="455">
        <v>50858596000133</v>
      </c>
      <c r="I703" s="462">
        <v>30181</v>
      </c>
      <c r="J703" s="457">
        <v>37499599</v>
      </c>
      <c r="K703" s="454" t="s">
        <v>6592</v>
      </c>
      <c r="L703" s="458">
        <v>30</v>
      </c>
      <c r="M703" s="454" t="s">
        <v>524</v>
      </c>
      <c r="N703" s="459">
        <v>4261140</v>
      </c>
      <c r="O703" s="460">
        <v>22733470</v>
      </c>
      <c r="P703" s="462">
        <v>199551</v>
      </c>
      <c r="Q703" s="462">
        <v>81</v>
      </c>
      <c r="R703" s="462">
        <v>43906</v>
      </c>
      <c r="S703" s="463">
        <v>156</v>
      </c>
      <c r="T703" s="464">
        <v>3.6</v>
      </c>
      <c r="U703" s="465">
        <v>561.6</v>
      </c>
      <c r="V703" s="465">
        <v>10800</v>
      </c>
      <c r="W703" s="466">
        <v>0</v>
      </c>
      <c r="X703" s="467">
        <v>1</v>
      </c>
      <c r="Y703" s="466">
        <v>17042.400000000001</v>
      </c>
      <c r="Z703" s="468" t="s">
        <v>516</v>
      </c>
      <c r="AA703" s="466">
        <v>84816</v>
      </c>
      <c r="AB703" s="466">
        <v>84816</v>
      </c>
      <c r="AC703" s="467">
        <v>0</v>
      </c>
      <c r="AD703" s="466">
        <v>0</v>
      </c>
      <c r="AE703" s="468" t="s">
        <v>516</v>
      </c>
      <c r="AF703" s="466">
        <v>0</v>
      </c>
      <c r="AG703" s="466">
        <v>0</v>
      </c>
      <c r="AH703" s="466">
        <v>6121.68</v>
      </c>
      <c r="AI703" s="466">
        <v>5928.15</v>
      </c>
      <c r="AJ703" s="469" t="s">
        <v>6593</v>
      </c>
      <c r="AK703" s="470" t="s">
        <v>6594</v>
      </c>
      <c r="AL703" s="471" t="s">
        <v>6595</v>
      </c>
      <c r="AM703" s="470" t="s">
        <v>15161</v>
      </c>
      <c r="AN703" s="470" t="s">
        <v>6591</v>
      </c>
      <c r="AO703" s="470" t="s">
        <v>13492</v>
      </c>
      <c r="AP703" s="470" t="s">
        <v>6596</v>
      </c>
      <c r="AQ703" s="470" t="s">
        <v>6589</v>
      </c>
      <c r="AR703" s="472" t="s">
        <v>515</v>
      </c>
      <c r="AS703" s="473" t="s">
        <v>1385</v>
      </c>
      <c r="AT703" s="472" t="s">
        <v>1390</v>
      </c>
      <c r="AU703" s="472" t="s">
        <v>420</v>
      </c>
      <c r="AV703" s="472">
        <v>2020</v>
      </c>
      <c r="AW703" s="474" t="s">
        <v>15078</v>
      </c>
      <c r="AX703" s="475" t="s">
        <v>15079</v>
      </c>
      <c r="AY703" s="515">
        <v>1</v>
      </c>
      <c r="AZ703" s="474" t="s">
        <v>15079</v>
      </c>
      <c r="BA703" s="472" t="s">
        <v>1390</v>
      </c>
      <c r="BB703" s="472" t="s">
        <v>1385</v>
      </c>
      <c r="BC703" s="472" t="s">
        <v>1385</v>
      </c>
      <c r="BD703" s="472" t="s">
        <v>1385</v>
      </c>
      <c r="BE703" s="472" t="s">
        <v>1385</v>
      </c>
      <c r="BF703" s="472">
        <v>17042.400000000001</v>
      </c>
      <c r="BG703" s="472">
        <v>0</v>
      </c>
      <c r="BH703" s="472" t="s">
        <v>1385</v>
      </c>
      <c r="BI703" s="510">
        <v>0</v>
      </c>
      <c r="BJ703" s="510">
        <v>0</v>
      </c>
      <c r="BK703" s="510">
        <v>0</v>
      </c>
      <c r="BL703" s="510">
        <v>0</v>
      </c>
      <c r="BM703" s="510">
        <v>0</v>
      </c>
      <c r="BN703" s="510">
        <v>3000</v>
      </c>
      <c r="BO703" s="510">
        <v>0</v>
      </c>
      <c r="BP703" s="510">
        <v>0</v>
      </c>
      <c r="BQ703" s="510">
        <v>0</v>
      </c>
      <c r="BR703" s="510">
        <v>0</v>
      </c>
      <c r="BS703" s="510">
        <v>0</v>
      </c>
      <c r="BT703" s="510">
        <v>0</v>
      </c>
      <c r="BU703" s="510">
        <v>0</v>
      </c>
      <c r="BV703" s="510">
        <v>0</v>
      </c>
      <c r="BW703" s="510">
        <v>0</v>
      </c>
      <c r="BX703" s="510">
        <v>30000</v>
      </c>
      <c r="BY703" s="1011">
        <v>0</v>
      </c>
      <c r="BZ703" s="510">
        <v>0</v>
      </c>
      <c r="CA703" s="1011">
        <v>0</v>
      </c>
      <c r="CB703" s="510">
        <v>0</v>
      </c>
      <c r="CC703" s="1011">
        <v>0</v>
      </c>
      <c r="CD703" s="510">
        <v>0</v>
      </c>
      <c r="CE703" s="1011">
        <v>0</v>
      </c>
      <c r="CF703" s="510">
        <v>37773.599999999999</v>
      </c>
      <c r="CG703" s="1011">
        <v>0</v>
      </c>
      <c r="CH703" s="510">
        <v>0</v>
      </c>
      <c r="CI703" s="1011">
        <v>0</v>
      </c>
    </row>
    <row r="704" spans="1:87" x14ac:dyDescent="0.2">
      <c r="A704" s="449">
        <v>90</v>
      </c>
      <c r="B704" s="453">
        <v>91928</v>
      </c>
      <c r="C704" s="454" t="s">
        <v>6597</v>
      </c>
      <c r="D704" s="454" t="s">
        <v>1390</v>
      </c>
      <c r="E704" s="454" t="s">
        <v>6598</v>
      </c>
      <c r="F704" s="454" t="s">
        <v>524</v>
      </c>
      <c r="G704" s="454" t="s">
        <v>13493</v>
      </c>
      <c r="H704" s="455">
        <v>50858570000195</v>
      </c>
      <c r="I704" s="462">
        <v>30181</v>
      </c>
      <c r="J704" s="457">
        <v>37499289</v>
      </c>
      <c r="K704" s="454" t="s">
        <v>6599</v>
      </c>
      <c r="L704" s="458">
        <v>469</v>
      </c>
      <c r="M704" s="454" t="s">
        <v>524</v>
      </c>
      <c r="N704" s="459">
        <v>4275050</v>
      </c>
      <c r="O704" s="460">
        <v>50615204</v>
      </c>
      <c r="P704" s="462">
        <v>200150</v>
      </c>
      <c r="Q704" s="462">
        <v>98</v>
      </c>
      <c r="R704" s="462">
        <v>43906</v>
      </c>
      <c r="S704" s="463">
        <v>102</v>
      </c>
      <c r="T704" s="464">
        <v>3.6</v>
      </c>
      <c r="U704" s="465">
        <v>367.2</v>
      </c>
      <c r="V704" s="465">
        <v>10800</v>
      </c>
      <c r="W704" s="466">
        <v>0</v>
      </c>
      <c r="X704" s="467">
        <v>1</v>
      </c>
      <c r="Y704" s="466">
        <v>19990.8</v>
      </c>
      <c r="Z704" s="468" t="s">
        <v>516</v>
      </c>
      <c r="AA704" s="466">
        <v>96566</v>
      </c>
      <c r="AB704" s="466">
        <v>96566</v>
      </c>
      <c r="AC704" s="467">
        <v>0</v>
      </c>
      <c r="AD704" s="466">
        <v>0</v>
      </c>
      <c r="AE704" s="468" t="s">
        <v>516</v>
      </c>
      <c r="AF704" s="466">
        <v>0</v>
      </c>
      <c r="AG704" s="466">
        <v>0</v>
      </c>
      <c r="AH704" s="466">
        <v>12008.4</v>
      </c>
      <c r="AI704" s="466">
        <v>3533.04</v>
      </c>
      <c r="AJ704" s="469" t="s">
        <v>6600</v>
      </c>
      <c r="AK704" s="470" t="s">
        <v>6601</v>
      </c>
      <c r="AL704" s="471" t="s">
        <v>5231</v>
      </c>
      <c r="AM704" s="470" t="s">
        <v>15176</v>
      </c>
      <c r="AN704" s="470" t="s">
        <v>13494</v>
      </c>
      <c r="AO704" s="470" t="s">
        <v>13495</v>
      </c>
      <c r="AP704" s="470" t="s">
        <v>6602</v>
      </c>
      <c r="AQ704" s="470" t="s">
        <v>6597</v>
      </c>
      <c r="AR704" s="472" t="s">
        <v>515</v>
      </c>
      <c r="AS704" s="473" t="s">
        <v>1385</v>
      </c>
      <c r="AT704" s="472" t="s">
        <v>1390</v>
      </c>
      <c r="AU704" s="472" t="s">
        <v>420</v>
      </c>
      <c r="AV704" s="472">
        <v>2020</v>
      </c>
      <c r="AW704" s="474" t="s">
        <v>15078</v>
      </c>
      <c r="AX704" s="475" t="s">
        <v>15079</v>
      </c>
      <c r="AY704" s="515">
        <v>1</v>
      </c>
      <c r="AZ704" s="474" t="s">
        <v>15079</v>
      </c>
      <c r="BA704" s="472" t="s">
        <v>1390</v>
      </c>
      <c r="BB704" s="472" t="s">
        <v>516</v>
      </c>
      <c r="BC704" s="472">
        <v>3</v>
      </c>
      <c r="BD704" s="472">
        <v>2160</v>
      </c>
      <c r="BE704" s="472">
        <v>0</v>
      </c>
      <c r="BF704" s="472">
        <v>19990.8</v>
      </c>
      <c r="BG704" s="472">
        <v>0</v>
      </c>
      <c r="BH704" s="472" t="s">
        <v>1385</v>
      </c>
      <c r="BI704" s="510">
        <v>0</v>
      </c>
      <c r="BJ704" s="510">
        <v>0</v>
      </c>
      <c r="BK704" s="510">
        <v>0</v>
      </c>
      <c r="BL704" s="510">
        <v>0</v>
      </c>
      <c r="BM704" s="510">
        <v>0</v>
      </c>
      <c r="BN704" s="510">
        <v>2000</v>
      </c>
      <c r="BO704" s="510">
        <v>0</v>
      </c>
      <c r="BP704" s="510">
        <v>0</v>
      </c>
      <c r="BQ704" s="510">
        <v>0</v>
      </c>
      <c r="BR704" s="510">
        <v>0</v>
      </c>
      <c r="BS704" s="510">
        <v>0</v>
      </c>
      <c r="BT704" s="510">
        <v>0</v>
      </c>
      <c r="BU704" s="510">
        <v>0</v>
      </c>
      <c r="BV704" s="510">
        <v>0</v>
      </c>
      <c r="BW704" s="510">
        <v>0</v>
      </c>
      <c r="BX704" s="510">
        <v>30000</v>
      </c>
      <c r="BY704" s="1011">
        <v>0</v>
      </c>
      <c r="BZ704" s="510">
        <v>0</v>
      </c>
      <c r="CA704" s="1011">
        <v>0</v>
      </c>
      <c r="CB704" s="510">
        <v>0</v>
      </c>
      <c r="CC704" s="1011">
        <v>0</v>
      </c>
      <c r="CD704" s="510">
        <v>0</v>
      </c>
      <c r="CE704" s="1011">
        <v>0</v>
      </c>
      <c r="CF704" s="510">
        <v>46575.199999999997</v>
      </c>
      <c r="CG704" s="1011">
        <v>0</v>
      </c>
      <c r="CH704" s="510">
        <v>0</v>
      </c>
      <c r="CI704" s="1011">
        <v>0</v>
      </c>
    </row>
    <row r="705" spans="1:87" x14ac:dyDescent="0.2">
      <c r="A705" s="449">
        <v>87</v>
      </c>
      <c r="B705" s="453">
        <v>91936</v>
      </c>
      <c r="C705" s="454" t="s">
        <v>6603</v>
      </c>
      <c r="D705" s="454" t="s">
        <v>1390</v>
      </c>
      <c r="E705" s="454" t="s">
        <v>6604</v>
      </c>
      <c r="F705" s="454" t="s">
        <v>524</v>
      </c>
      <c r="G705" s="454" t="s">
        <v>13496</v>
      </c>
      <c r="H705" s="455">
        <v>52029600000186</v>
      </c>
      <c r="I705" s="462">
        <v>30278</v>
      </c>
      <c r="J705" s="457">
        <v>37498410</v>
      </c>
      <c r="K705" s="454" t="s">
        <v>6605</v>
      </c>
      <c r="L705" s="458">
        <v>9</v>
      </c>
      <c r="M705" s="454" t="s">
        <v>524</v>
      </c>
      <c r="N705" s="459">
        <v>4277030</v>
      </c>
      <c r="O705" s="460">
        <v>50622288</v>
      </c>
      <c r="P705" s="462">
        <v>205225</v>
      </c>
      <c r="Q705" s="462">
        <v>94</v>
      </c>
      <c r="R705" s="462">
        <v>43906</v>
      </c>
      <c r="S705" s="463">
        <v>174</v>
      </c>
      <c r="T705" s="464">
        <v>3.6</v>
      </c>
      <c r="U705" s="465">
        <v>626.4</v>
      </c>
      <c r="V705" s="465">
        <v>10800</v>
      </c>
      <c r="W705" s="466">
        <v>0</v>
      </c>
      <c r="X705" s="467">
        <v>1</v>
      </c>
      <c r="Y705" s="466">
        <v>17139.599999999999</v>
      </c>
      <c r="Z705" s="468" t="s">
        <v>516</v>
      </c>
      <c r="AA705" s="466">
        <v>84992.4</v>
      </c>
      <c r="AB705" s="466">
        <v>84992.4</v>
      </c>
      <c r="AC705" s="467">
        <v>0</v>
      </c>
      <c r="AD705" s="466">
        <v>0</v>
      </c>
      <c r="AE705" s="468" t="s">
        <v>516</v>
      </c>
      <c r="AF705" s="466">
        <v>0</v>
      </c>
      <c r="AG705" s="466">
        <v>0</v>
      </c>
      <c r="AH705" s="466">
        <v>7118.57</v>
      </c>
      <c r="AI705" s="466">
        <v>9377.7999999999993</v>
      </c>
      <c r="AJ705" s="469" t="s">
        <v>6600</v>
      </c>
      <c r="AK705" s="470" t="s">
        <v>6601</v>
      </c>
      <c r="AL705" s="471" t="s">
        <v>6606</v>
      </c>
      <c r="AM705" s="470" t="s">
        <v>15173</v>
      </c>
      <c r="AN705" s="470" t="s">
        <v>6607</v>
      </c>
      <c r="AO705" s="470" t="s">
        <v>6608</v>
      </c>
      <c r="AP705" s="470" t="s">
        <v>6609</v>
      </c>
      <c r="AQ705" s="470" t="s">
        <v>6603</v>
      </c>
      <c r="AR705" s="472" t="s">
        <v>515</v>
      </c>
      <c r="AS705" s="473" t="s">
        <v>1385</v>
      </c>
      <c r="AT705" s="472" t="s">
        <v>1390</v>
      </c>
      <c r="AU705" s="472" t="s">
        <v>420</v>
      </c>
      <c r="AV705" s="472">
        <v>2020</v>
      </c>
      <c r="AW705" s="474" t="s">
        <v>15078</v>
      </c>
      <c r="AX705" s="475" t="s">
        <v>15079</v>
      </c>
      <c r="AY705" s="515">
        <v>1</v>
      </c>
      <c r="AZ705" s="474" t="s">
        <v>15079</v>
      </c>
      <c r="BA705" s="472" t="s">
        <v>1390</v>
      </c>
      <c r="BB705" s="472" t="s">
        <v>1385</v>
      </c>
      <c r="BC705" s="472" t="s">
        <v>1385</v>
      </c>
      <c r="BD705" s="472" t="s">
        <v>1385</v>
      </c>
      <c r="BE705" s="472" t="s">
        <v>1385</v>
      </c>
      <c r="BF705" s="472">
        <v>17139.599999999999</v>
      </c>
      <c r="BG705" s="472">
        <v>0</v>
      </c>
      <c r="BH705" s="472" t="s">
        <v>1385</v>
      </c>
      <c r="BI705" s="510">
        <v>0</v>
      </c>
      <c r="BJ705" s="510">
        <v>0</v>
      </c>
      <c r="BK705" s="510">
        <v>0</v>
      </c>
      <c r="BL705" s="510">
        <v>0</v>
      </c>
      <c r="BM705" s="510">
        <v>0</v>
      </c>
      <c r="BN705" s="510">
        <v>3000</v>
      </c>
      <c r="BO705" s="510">
        <v>0</v>
      </c>
      <c r="BP705" s="510">
        <v>0</v>
      </c>
      <c r="BQ705" s="510">
        <v>0</v>
      </c>
      <c r="BR705" s="510">
        <v>0</v>
      </c>
      <c r="BS705" s="510">
        <v>0</v>
      </c>
      <c r="BT705" s="510">
        <v>0</v>
      </c>
      <c r="BU705" s="510">
        <v>0</v>
      </c>
      <c r="BV705" s="510">
        <v>0</v>
      </c>
      <c r="BW705" s="510">
        <v>0</v>
      </c>
      <c r="BX705" s="510">
        <v>30000</v>
      </c>
      <c r="BY705" s="1011">
        <v>0</v>
      </c>
      <c r="BZ705" s="510">
        <v>0</v>
      </c>
      <c r="CA705" s="1011">
        <v>0</v>
      </c>
      <c r="CB705" s="510">
        <v>0</v>
      </c>
      <c r="CC705" s="1011">
        <v>0</v>
      </c>
      <c r="CD705" s="510">
        <v>0</v>
      </c>
      <c r="CE705" s="1011">
        <v>0</v>
      </c>
      <c r="CF705" s="510">
        <v>37852.800000000003</v>
      </c>
      <c r="CG705" s="1011">
        <v>0</v>
      </c>
      <c r="CH705" s="510">
        <v>0</v>
      </c>
      <c r="CI705" s="1011">
        <v>0</v>
      </c>
    </row>
    <row r="706" spans="1:87" x14ac:dyDescent="0.2">
      <c r="A706" s="449">
        <v>104</v>
      </c>
      <c r="B706" s="453">
        <v>91944</v>
      </c>
      <c r="C706" s="454" t="s">
        <v>6610</v>
      </c>
      <c r="D706" s="454" t="s">
        <v>1390</v>
      </c>
      <c r="E706" s="454" t="s">
        <v>6611</v>
      </c>
      <c r="F706" s="454" t="s">
        <v>524</v>
      </c>
      <c r="G706" s="454" t="s">
        <v>13497</v>
      </c>
      <c r="H706" s="455">
        <v>52842291000169</v>
      </c>
      <c r="I706" s="462">
        <v>30581</v>
      </c>
      <c r="J706" s="457">
        <v>37498711</v>
      </c>
      <c r="K706" s="454" t="s">
        <v>6613</v>
      </c>
      <c r="L706" s="458">
        <v>834</v>
      </c>
      <c r="M706" s="454" t="s">
        <v>6614</v>
      </c>
      <c r="N706" s="459">
        <v>4134021</v>
      </c>
      <c r="O706" s="460">
        <v>50623102</v>
      </c>
      <c r="P706" s="462">
        <v>204113</v>
      </c>
      <c r="Q706" s="462">
        <v>112</v>
      </c>
      <c r="R706" s="462">
        <v>43906</v>
      </c>
      <c r="S706" s="463">
        <v>136</v>
      </c>
      <c r="T706" s="464">
        <v>3.6</v>
      </c>
      <c r="U706" s="465">
        <v>489.6</v>
      </c>
      <c r="V706" s="465">
        <v>10800</v>
      </c>
      <c r="W706" s="466">
        <v>0</v>
      </c>
      <c r="X706" s="467">
        <v>1</v>
      </c>
      <c r="Y706" s="466">
        <v>21794.400000000001</v>
      </c>
      <c r="Z706" s="468" t="s">
        <v>516</v>
      </c>
      <c r="AA706" s="466">
        <v>100918.39999999999</v>
      </c>
      <c r="AB706" s="466">
        <v>100918.39999999999</v>
      </c>
      <c r="AC706" s="467">
        <v>0</v>
      </c>
      <c r="AD706" s="466">
        <v>0</v>
      </c>
      <c r="AE706" s="468" t="s">
        <v>516</v>
      </c>
      <c r="AF706" s="466">
        <v>0</v>
      </c>
      <c r="AG706" s="466">
        <v>0</v>
      </c>
      <c r="AH706" s="466">
        <v>20067.18</v>
      </c>
      <c r="AI706" s="466">
        <v>5096.1499999999996</v>
      </c>
      <c r="AJ706" s="469" t="s">
        <v>2511</v>
      </c>
      <c r="AK706" s="470" t="s">
        <v>2512</v>
      </c>
      <c r="AL706" s="471" t="s">
        <v>6615</v>
      </c>
      <c r="AM706" s="470" t="s">
        <v>15190</v>
      </c>
      <c r="AN706" s="470" t="s">
        <v>6612</v>
      </c>
      <c r="AO706" s="470" t="s">
        <v>13498</v>
      </c>
      <c r="AP706" s="470" t="s">
        <v>6616</v>
      </c>
      <c r="AQ706" s="470" t="s">
        <v>6610</v>
      </c>
      <c r="AR706" s="472" t="s">
        <v>515</v>
      </c>
      <c r="AS706" s="473" t="s">
        <v>1385</v>
      </c>
      <c r="AT706" s="472" t="s">
        <v>1390</v>
      </c>
      <c r="AU706" s="472" t="s">
        <v>420</v>
      </c>
      <c r="AV706" s="472">
        <v>2020</v>
      </c>
      <c r="AW706" s="474" t="s">
        <v>15078</v>
      </c>
      <c r="AX706" s="475" t="s">
        <v>15079</v>
      </c>
      <c r="AY706" s="515">
        <v>1</v>
      </c>
      <c r="AZ706" s="474" t="s">
        <v>15079</v>
      </c>
      <c r="BA706" s="472" t="s">
        <v>1390</v>
      </c>
      <c r="BB706" s="472" t="s">
        <v>516</v>
      </c>
      <c r="BC706" s="472">
        <v>5</v>
      </c>
      <c r="BD706" s="472">
        <v>3240</v>
      </c>
      <c r="BE706" s="472">
        <v>0</v>
      </c>
      <c r="BF706" s="509">
        <v>21794.400000000001</v>
      </c>
      <c r="BG706" s="509">
        <v>0</v>
      </c>
      <c r="BH706" s="472" t="s">
        <v>1385</v>
      </c>
      <c r="BI706" s="510">
        <v>0</v>
      </c>
      <c r="BJ706" s="510">
        <v>0</v>
      </c>
      <c r="BK706" s="510">
        <v>0</v>
      </c>
      <c r="BL706" s="510">
        <v>0</v>
      </c>
      <c r="BM706" s="510">
        <v>0</v>
      </c>
      <c r="BN706" s="510">
        <v>2000</v>
      </c>
      <c r="BO706" s="510">
        <v>0</v>
      </c>
      <c r="BP706" s="510">
        <v>0</v>
      </c>
      <c r="BQ706" s="510">
        <v>0</v>
      </c>
      <c r="BR706" s="510">
        <v>0</v>
      </c>
      <c r="BS706" s="510">
        <v>0</v>
      </c>
      <c r="BT706" s="510">
        <v>0</v>
      </c>
      <c r="BU706" s="510">
        <v>0</v>
      </c>
      <c r="BV706" s="510">
        <v>0</v>
      </c>
      <c r="BW706" s="510">
        <v>0</v>
      </c>
      <c r="BX706" s="510">
        <v>30000</v>
      </c>
      <c r="BY706" s="1011">
        <v>0</v>
      </c>
      <c r="BZ706" s="510">
        <v>0</v>
      </c>
      <c r="CA706" s="1011">
        <v>0</v>
      </c>
      <c r="CB706" s="510">
        <v>0</v>
      </c>
      <c r="CC706" s="1011">
        <v>0</v>
      </c>
      <c r="CD706" s="510">
        <v>0</v>
      </c>
      <c r="CE706" s="1011">
        <v>0</v>
      </c>
      <c r="CF706" s="510">
        <v>49124</v>
      </c>
      <c r="CG706" s="1011">
        <v>0</v>
      </c>
      <c r="CH706" s="510">
        <v>0</v>
      </c>
      <c r="CI706" s="1011">
        <v>0</v>
      </c>
    </row>
    <row r="707" spans="1:87" x14ac:dyDescent="0.2">
      <c r="A707" s="449">
        <v>92</v>
      </c>
      <c r="B707" s="453">
        <v>91952</v>
      </c>
      <c r="C707" s="454" t="s">
        <v>6617</v>
      </c>
      <c r="D707" s="454" t="s">
        <v>1390</v>
      </c>
      <c r="E707" s="454" t="s">
        <v>6618</v>
      </c>
      <c r="F707" s="454" t="s">
        <v>524</v>
      </c>
      <c r="G707" s="454" t="s">
        <v>13499</v>
      </c>
      <c r="H707" s="455">
        <v>52031630000127</v>
      </c>
      <c r="I707" s="462">
        <v>30283</v>
      </c>
      <c r="J707" s="457">
        <v>37499220</v>
      </c>
      <c r="K707" s="454" t="s">
        <v>6620</v>
      </c>
      <c r="L707" s="458">
        <v>91</v>
      </c>
      <c r="M707" s="454" t="s">
        <v>3192</v>
      </c>
      <c r="N707" s="459">
        <v>4290080</v>
      </c>
      <c r="O707" s="460">
        <v>50613090</v>
      </c>
      <c r="P707" s="462">
        <v>208895</v>
      </c>
      <c r="Q707" s="462">
        <v>100</v>
      </c>
      <c r="R707" s="462">
        <v>43906</v>
      </c>
      <c r="S707" s="463">
        <v>346</v>
      </c>
      <c r="T707" s="464">
        <v>3.6</v>
      </c>
      <c r="U707" s="465">
        <v>1245.5999999999999</v>
      </c>
      <c r="V707" s="465">
        <v>13680</v>
      </c>
      <c r="W707" s="466">
        <v>0</v>
      </c>
      <c r="X707" s="467">
        <v>1</v>
      </c>
      <c r="Y707" s="466">
        <v>22388.400000000001</v>
      </c>
      <c r="Z707" s="468" t="s">
        <v>516</v>
      </c>
      <c r="AA707" s="466">
        <v>97232.4</v>
      </c>
      <c r="AB707" s="466">
        <v>97232.4</v>
      </c>
      <c r="AC707" s="467">
        <v>0</v>
      </c>
      <c r="AD707" s="466">
        <v>0</v>
      </c>
      <c r="AE707" s="468" t="s">
        <v>516</v>
      </c>
      <c r="AF707" s="466">
        <v>2000</v>
      </c>
      <c r="AG707" s="466">
        <v>2000</v>
      </c>
      <c r="AH707" s="466">
        <v>12650.56</v>
      </c>
      <c r="AI707" s="466">
        <v>2565.1</v>
      </c>
      <c r="AJ707" s="469" t="s">
        <v>2511</v>
      </c>
      <c r="AK707" s="470" t="s">
        <v>4250</v>
      </c>
      <c r="AL707" s="471" t="s">
        <v>6621</v>
      </c>
      <c r="AM707" s="470" t="s">
        <v>15178</v>
      </c>
      <c r="AN707" s="470" t="s">
        <v>6619</v>
      </c>
      <c r="AO707" s="470" t="s">
        <v>13500</v>
      </c>
      <c r="AP707" s="470" t="s">
        <v>6622</v>
      </c>
      <c r="AQ707" s="470" t="s">
        <v>6617</v>
      </c>
      <c r="AR707" s="472" t="s">
        <v>515</v>
      </c>
      <c r="AS707" s="473" t="s">
        <v>1385</v>
      </c>
      <c r="AT707" s="472" t="s">
        <v>1390</v>
      </c>
      <c r="AU707" s="472" t="s">
        <v>420</v>
      </c>
      <c r="AV707" s="472">
        <v>2020</v>
      </c>
      <c r="AW707" s="474" t="s">
        <v>15078</v>
      </c>
      <c r="AX707" s="475" t="s">
        <v>15079</v>
      </c>
      <c r="AY707" s="515">
        <v>1</v>
      </c>
      <c r="AZ707" s="474" t="s">
        <v>15079</v>
      </c>
      <c r="BA707" s="472" t="s">
        <v>1390</v>
      </c>
      <c r="BB707" s="472" t="s">
        <v>1385</v>
      </c>
      <c r="BC707" s="472" t="s">
        <v>1385</v>
      </c>
      <c r="BD707" s="472" t="s">
        <v>1385</v>
      </c>
      <c r="BE707" s="472" t="s">
        <v>1385</v>
      </c>
      <c r="BF707" s="472">
        <v>22388.400000000001</v>
      </c>
      <c r="BG707" s="472">
        <v>0</v>
      </c>
      <c r="BH707" s="472" t="s">
        <v>1385</v>
      </c>
      <c r="BI707" s="510">
        <v>0</v>
      </c>
      <c r="BJ707" s="510">
        <v>0</v>
      </c>
      <c r="BK707" s="510">
        <v>0</v>
      </c>
      <c r="BL707" s="510">
        <v>0</v>
      </c>
      <c r="BM707" s="510">
        <v>0</v>
      </c>
      <c r="BN707" s="510">
        <v>0</v>
      </c>
      <c r="BO707" s="510">
        <v>0</v>
      </c>
      <c r="BP707" s="510">
        <v>2000</v>
      </c>
      <c r="BQ707" s="510">
        <v>0</v>
      </c>
      <c r="BR707" s="510">
        <v>0</v>
      </c>
      <c r="BS707" s="510">
        <v>0</v>
      </c>
      <c r="BT707" s="510">
        <v>0</v>
      </c>
      <c r="BU707" s="510">
        <v>0</v>
      </c>
      <c r="BV707" s="510">
        <v>0</v>
      </c>
      <c r="BW707" s="510">
        <v>0</v>
      </c>
      <c r="BX707" s="510">
        <v>30000</v>
      </c>
      <c r="BY707" s="1011">
        <v>0</v>
      </c>
      <c r="BZ707" s="510">
        <v>0</v>
      </c>
      <c r="CA707" s="1011">
        <v>0</v>
      </c>
      <c r="CB707" s="510">
        <v>0</v>
      </c>
      <c r="CC707" s="1011">
        <v>0</v>
      </c>
      <c r="CD707" s="510">
        <v>0</v>
      </c>
      <c r="CE707" s="1011">
        <v>0</v>
      </c>
      <c r="CF707" s="510">
        <v>44844</v>
      </c>
      <c r="CG707" s="1011">
        <v>0</v>
      </c>
      <c r="CH707" s="510">
        <v>0</v>
      </c>
      <c r="CI707" s="1011">
        <v>0</v>
      </c>
    </row>
    <row r="708" spans="1:87" x14ac:dyDescent="0.2">
      <c r="A708" s="449">
        <v>89</v>
      </c>
      <c r="B708" s="453">
        <v>91961</v>
      </c>
      <c r="C708" s="454" t="s">
        <v>6623</v>
      </c>
      <c r="D708" s="454" t="s">
        <v>1390</v>
      </c>
      <c r="E708" s="454" t="s">
        <v>6624</v>
      </c>
      <c r="F708" s="454" t="s">
        <v>524</v>
      </c>
      <c r="G708" s="454" t="s">
        <v>13501</v>
      </c>
      <c r="H708" s="455">
        <v>52629557000190</v>
      </c>
      <c r="I708" s="462">
        <v>30461</v>
      </c>
      <c r="J708" s="457">
        <v>37499254</v>
      </c>
      <c r="K708" s="454" t="s">
        <v>6626</v>
      </c>
      <c r="L708" s="458">
        <v>10</v>
      </c>
      <c r="M708" s="454" t="s">
        <v>6627</v>
      </c>
      <c r="N708" s="459">
        <v>4176000</v>
      </c>
      <c r="O708" s="460">
        <v>23355243</v>
      </c>
      <c r="P708" s="462">
        <v>205276</v>
      </c>
      <c r="Q708" s="462">
        <v>96</v>
      </c>
      <c r="R708" s="462">
        <v>43906</v>
      </c>
      <c r="S708" s="463">
        <v>536</v>
      </c>
      <c r="T708" s="464">
        <v>3.6</v>
      </c>
      <c r="U708" s="465">
        <v>1929.6</v>
      </c>
      <c r="V708" s="465">
        <v>16560</v>
      </c>
      <c r="W708" s="466">
        <v>0</v>
      </c>
      <c r="X708" s="467">
        <v>1</v>
      </c>
      <c r="Y708" s="466">
        <v>27734.400000000001</v>
      </c>
      <c r="Z708" s="468" t="s">
        <v>516</v>
      </c>
      <c r="AA708" s="466">
        <v>109749.6</v>
      </c>
      <c r="AB708" s="466">
        <v>109749.6</v>
      </c>
      <c r="AC708" s="467">
        <v>0</v>
      </c>
      <c r="AD708" s="466">
        <v>0</v>
      </c>
      <c r="AE708" s="468" t="s">
        <v>516</v>
      </c>
      <c r="AF708" s="466">
        <v>0</v>
      </c>
      <c r="AG708" s="466">
        <v>0</v>
      </c>
      <c r="AH708" s="466">
        <v>11224.83</v>
      </c>
      <c r="AI708" s="466">
        <v>13254.36</v>
      </c>
      <c r="AJ708" s="469" t="s">
        <v>2511</v>
      </c>
      <c r="AK708" s="470" t="s">
        <v>2512</v>
      </c>
      <c r="AL708" s="471" t="s">
        <v>6628</v>
      </c>
      <c r="AM708" s="470" t="s">
        <v>15175</v>
      </c>
      <c r="AN708" s="470" t="s">
        <v>6625</v>
      </c>
      <c r="AO708" s="470" t="s">
        <v>13502</v>
      </c>
      <c r="AP708" s="470" t="s">
        <v>6629</v>
      </c>
      <c r="AQ708" s="470" t="s">
        <v>6623</v>
      </c>
      <c r="AR708" s="472" t="s">
        <v>515</v>
      </c>
      <c r="AS708" s="473" t="s">
        <v>1385</v>
      </c>
      <c r="AT708" s="472" t="s">
        <v>1390</v>
      </c>
      <c r="AU708" s="472" t="s">
        <v>420</v>
      </c>
      <c r="AV708" s="472">
        <v>2020</v>
      </c>
      <c r="AW708" s="474" t="s">
        <v>15078</v>
      </c>
      <c r="AX708" s="475" t="s">
        <v>15079</v>
      </c>
      <c r="AY708" s="515">
        <v>1</v>
      </c>
      <c r="AZ708" s="474" t="s">
        <v>15079</v>
      </c>
      <c r="BA708" s="472" t="s">
        <v>1390</v>
      </c>
      <c r="BB708" s="472" t="s">
        <v>1385</v>
      </c>
      <c r="BC708" s="472" t="s">
        <v>1385</v>
      </c>
      <c r="BD708" s="472" t="s">
        <v>1385</v>
      </c>
      <c r="BE708" s="472" t="s">
        <v>1385</v>
      </c>
      <c r="BF708" s="472">
        <v>27734.400000000001</v>
      </c>
      <c r="BG708" s="472">
        <v>0</v>
      </c>
      <c r="BH708" s="472" t="s">
        <v>1385</v>
      </c>
      <c r="BI708" s="510">
        <v>0</v>
      </c>
      <c r="BJ708" s="510">
        <v>0</v>
      </c>
      <c r="BK708" s="510">
        <v>0</v>
      </c>
      <c r="BL708" s="510">
        <v>0</v>
      </c>
      <c r="BM708" s="510">
        <v>0</v>
      </c>
      <c r="BN708" s="510">
        <v>4000</v>
      </c>
      <c r="BO708" s="510">
        <v>0</v>
      </c>
      <c r="BP708" s="510">
        <v>0</v>
      </c>
      <c r="BQ708" s="510">
        <v>0</v>
      </c>
      <c r="BR708" s="510">
        <v>0</v>
      </c>
      <c r="BS708" s="510">
        <v>0</v>
      </c>
      <c r="BT708" s="510">
        <v>0</v>
      </c>
      <c r="BU708" s="510">
        <v>0</v>
      </c>
      <c r="BV708" s="510">
        <v>0</v>
      </c>
      <c r="BW708" s="510">
        <v>0</v>
      </c>
      <c r="BX708" s="510">
        <v>30000</v>
      </c>
      <c r="BY708" s="1011">
        <v>0</v>
      </c>
      <c r="BZ708" s="510">
        <v>0</v>
      </c>
      <c r="CA708" s="1011">
        <v>0</v>
      </c>
      <c r="CB708" s="510">
        <v>0</v>
      </c>
      <c r="CC708" s="1011">
        <v>0</v>
      </c>
      <c r="CD708" s="510">
        <v>0</v>
      </c>
      <c r="CE708" s="1011">
        <v>0</v>
      </c>
      <c r="CF708" s="510">
        <v>52015.199999999997</v>
      </c>
      <c r="CG708" s="1011">
        <v>0</v>
      </c>
      <c r="CH708" s="510">
        <v>0</v>
      </c>
      <c r="CI708" s="1011">
        <v>0</v>
      </c>
    </row>
    <row r="709" spans="1:87" x14ac:dyDescent="0.2">
      <c r="A709" s="449">
        <v>67</v>
      </c>
      <c r="B709" s="453">
        <v>91979</v>
      </c>
      <c r="C709" s="454" t="s">
        <v>6630</v>
      </c>
      <c r="D709" s="454" t="s">
        <v>2000</v>
      </c>
      <c r="E709" s="454" t="s">
        <v>6631</v>
      </c>
      <c r="F709" s="454" t="s">
        <v>524</v>
      </c>
      <c r="G709" s="454" t="s">
        <v>13503</v>
      </c>
      <c r="H709" s="455">
        <v>52032315000114</v>
      </c>
      <c r="I709" s="462">
        <v>30291</v>
      </c>
      <c r="J709" s="457">
        <v>37498495</v>
      </c>
      <c r="K709" s="454" t="s">
        <v>6633</v>
      </c>
      <c r="L709" s="458">
        <v>12</v>
      </c>
      <c r="M709" s="454" t="s">
        <v>3245</v>
      </c>
      <c r="N709" s="459">
        <v>4245010</v>
      </c>
      <c r="O709" s="460">
        <v>29463392</v>
      </c>
      <c r="P709" s="462">
        <v>208950</v>
      </c>
      <c r="Q709" s="462">
        <v>73</v>
      </c>
      <c r="R709" s="462">
        <v>43906</v>
      </c>
      <c r="S709" s="463">
        <v>338</v>
      </c>
      <c r="T709" s="464">
        <v>3.6</v>
      </c>
      <c r="U709" s="465">
        <v>1216.8</v>
      </c>
      <c r="V709" s="465">
        <v>13680</v>
      </c>
      <c r="W709" s="466">
        <v>0</v>
      </c>
      <c r="X709" s="467">
        <v>1</v>
      </c>
      <c r="Y709" s="466">
        <v>22345.200000000001</v>
      </c>
      <c r="Z709" s="468" t="s">
        <v>516</v>
      </c>
      <c r="AA709" s="466">
        <v>97218</v>
      </c>
      <c r="AB709" s="466">
        <v>97218</v>
      </c>
      <c r="AC709" s="467">
        <v>0</v>
      </c>
      <c r="AD709" s="466">
        <v>0</v>
      </c>
      <c r="AE709" s="468" t="s">
        <v>516</v>
      </c>
      <c r="AF709" s="466">
        <v>0</v>
      </c>
      <c r="AG709" s="466">
        <v>0</v>
      </c>
      <c r="AH709" s="466">
        <v>12870.24</v>
      </c>
      <c r="AI709" s="466">
        <v>0</v>
      </c>
      <c r="AJ709" s="469" t="s">
        <v>1648</v>
      </c>
      <c r="AK709" s="470" t="s">
        <v>1649</v>
      </c>
      <c r="AL709" s="471" t="s">
        <v>6634</v>
      </c>
      <c r="AM709" s="470" t="s">
        <v>15153</v>
      </c>
      <c r="AN709" s="470" t="s">
        <v>6632</v>
      </c>
      <c r="AO709" s="470" t="s">
        <v>13504</v>
      </c>
      <c r="AP709" s="470" t="s">
        <v>6635</v>
      </c>
      <c r="AQ709" s="470" t="s">
        <v>6630</v>
      </c>
      <c r="AR709" s="472" t="s">
        <v>515</v>
      </c>
      <c r="AS709" s="473" t="s">
        <v>1385</v>
      </c>
      <c r="AT709" s="472" t="s">
        <v>2000</v>
      </c>
      <c r="AU709" s="472" t="s">
        <v>420</v>
      </c>
      <c r="AV709" s="472">
        <v>2020</v>
      </c>
      <c r="AW709" s="474" t="s">
        <v>15078</v>
      </c>
      <c r="AX709" s="475" t="s">
        <v>15079</v>
      </c>
      <c r="AY709" s="515">
        <v>1</v>
      </c>
      <c r="AZ709" s="474" t="s">
        <v>15079</v>
      </c>
      <c r="BA709" s="472" t="s">
        <v>2000</v>
      </c>
      <c r="BB709" s="472" t="s">
        <v>1385</v>
      </c>
      <c r="BC709" s="472" t="s">
        <v>1385</v>
      </c>
      <c r="BD709" s="472" t="s">
        <v>1385</v>
      </c>
      <c r="BE709" s="472" t="s">
        <v>1385</v>
      </c>
      <c r="BF709" s="472">
        <v>22345.200000000001</v>
      </c>
      <c r="BG709" s="472">
        <v>0</v>
      </c>
      <c r="BH709" s="472" t="s">
        <v>1385</v>
      </c>
      <c r="BI709" s="510">
        <v>0</v>
      </c>
      <c r="BJ709" s="510">
        <v>0</v>
      </c>
      <c r="BK709" s="510">
        <v>0</v>
      </c>
      <c r="BL709" s="510">
        <v>0</v>
      </c>
      <c r="BM709" s="510">
        <v>0</v>
      </c>
      <c r="BN709" s="510">
        <v>3500</v>
      </c>
      <c r="BO709" s="510">
        <v>0</v>
      </c>
      <c r="BP709" s="510">
        <v>0</v>
      </c>
      <c r="BQ709" s="510">
        <v>0</v>
      </c>
      <c r="BR709" s="510">
        <v>0</v>
      </c>
      <c r="BS709" s="510">
        <v>0</v>
      </c>
      <c r="BT709" s="510">
        <v>0</v>
      </c>
      <c r="BU709" s="510">
        <v>0</v>
      </c>
      <c r="BV709" s="510">
        <v>0</v>
      </c>
      <c r="BW709" s="510">
        <v>0</v>
      </c>
      <c r="BX709" s="510">
        <v>30000</v>
      </c>
      <c r="BY709" s="1011">
        <v>0</v>
      </c>
      <c r="BZ709" s="510">
        <v>0</v>
      </c>
      <c r="CA709" s="1011">
        <v>0</v>
      </c>
      <c r="CB709" s="510">
        <v>0</v>
      </c>
      <c r="CC709" s="1011">
        <v>0</v>
      </c>
      <c r="CD709" s="510">
        <v>0</v>
      </c>
      <c r="CE709" s="1011">
        <v>0</v>
      </c>
      <c r="CF709" s="510">
        <v>44872.800000000003</v>
      </c>
      <c r="CG709" s="1011">
        <v>0</v>
      </c>
      <c r="CH709" s="510">
        <v>0</v>
      </c>
      <c r="CI709" s="1011">
        <v>0</v>
      </c>
    </row>
    <row r="710" spans="1:87" x14ac:dyDescent="0.2">
      <c r="A710" s="449">
        <v>107</v>
      </c>
      <c r="B710" s="453">
        <v>91987</v>
      </c>
      <c r="C710" s="454" t="s">
        <v>6636</v>
      </c>
      <c r="D710" s="454" t="s">
        <v>2000</v>
      </c>
      <c r="E710" s="454" t="s">
        <v>6637</v>
      </c>
      <c r="F710" s="454" t="s">
        <v>524</v>
      </c>
      <c r="G710" s="454" t="s">
        <v>13505</v>
      </c>
      <c r="H710" s="455">
        <v>52804283000128</v>
      </c>
      <c r="I710" s="462">
        <v>30540</v>
      </c>
      <c r="J710" s="457">
        <v>37500155</v>
      </c>
      <c r="K710" s="454" t="s">
        <v>3244</v>
      </c>
      <c r="L710" s="458">
        <v>111</v>
      </c>
      <c r="M710" s="454" t="s">
        <v>3037</v>
      </c>
      <c r="N710" s="459">
        <v>4240110</v>
      </c>
      <c r="O710" s="460">
        <v>29452519</v>
      </c>
      <c r="P710" s="462">
        <v>209379</v>
      </c>
      <c r="Q710" s="462">
        <v>115</v>
      </c>
      <c r="R710" s="462">
        <v>43978</v>
      </c>
      <c r="S710" s="463">
        <v>401</v>
      </c>
      <c r="T710" s="464">
        <v>3.6</v>
      </c>
      <c r="U710" s="465">
        <v>1443.6</v>
      </c>
      <c r="V710" s="465">
        <v>15120</v>
      </c>
      <c r="W710" s="466">
        <v>0</v>
      </c>
      <c r="X710" s="467">
        <v>1</v>
      </c>
      <c r="Y710" s="466">
        <v>24845.4</v>
      </c>
      <c r="Z710" s="468" t="s">
        <v>516</v>
      </c>
      <c r="AA710" s="466">
        <v>103253.4</v>
      </c>
      <c r="AB710" s="466">
        <v>103253.4</v>
      </c>
      <c r="AC710" s="467">
        <v>0</v>
      </c>
      <c r="AD710" s="466">
        <v>0</v>
      </c>
      <c r="AE710" s="468" t="s">
        <v>516</v>
      </c>
      <c r="AF710" s="466">
        <v>0</v>
      </c>
      <c r="AG710" s="466">
        <v>0</v>
      </c>
      <c r="AH710" s="466">
        <v>20175.990000000002</v>
      </c>
      <c r="AI710" s="466">
        <v>9544.82</v>
      </c>
      <c r="AJ710" s="469" t="s">
        <v>6600</v>
      </c>
      <c r="AK710" s="470" t="s">
        <v>6601</v>
      </c>
      <c r="AL710" s="471" t="s">
        <v>6639</v>
      </c>
      <c r="AM710" s="470" t="s">
        <v>15194</v>
      </c>
      <c r="AN710" s="470" t="s">
        <v>6638</v>
      </c>
      <c r="AO710" s="470" t="s">
        <v>13506</v>
      </c>
      <c r="AP710" s="470" t="s">
        <v>6640</v>
      </c>
      <c r="AQ710" s="470" t="s">
        <v>6636</v>
      </c>
      <c r="AR710" s="472" t="s">
        <v>515</v>
      </c>
      <c r="AS710" s="473" t="s">
        <v>1385</v>
      </c>
      <c r="AT710" s="472" t="s">
        <v>2000</v>
      </c>
      <c r="AU710" s="472" t="s">
        <v>420</v>
      </c>
      <c r="AV710" s="472">
        <v>2020</v>
      </c>
      <c r="AW710" s="474" t="s">
        <v>15078</v>
      </c>
      <c r="AX710" s="475" t="s">
        <v>15079</v>
      </c>
      <c r="AY710" s="515">
        <v>1</v>
      </c>
      <c r="AZ710" s="474" t="s">
        <v>15079</v>
      </c>
      <c r="BA710" s="472" t="s">
        <v>2000</v>
      </c>
      <c r="BB710" s="472" t="s">
        <v>1385</v>
      </c>
      <c r="BC710" s="472" t="s">
        <v>1385</v>
      </c>
      <c r="BD710" s="472" t="s">
        <v>1385</v>
      </c>
      <c r="BE710" s="472" t="s">
        <v>1385</v>
      </c>
      <c r="BF710" s="472">
        <v>24845.4</v>
      </c>
      <c r="BG710" s="472">
        <v>0</v>
      </c>
      <c r="BH710" s="472" t="s">
        <v>1385</v>
      </c>
      <c r="BI710" s="510">
        <v>0</v>
      </c>
      <c r="BJ710" s="510">
        <v>0</v>
      </c>
      <c r="BK710" s="510">
        <v>0</v>
      </c>
      <c r="BL710" s="510">
        <v>0</v>
      </c>
      <c r="BM710" s="510">
        <v>0</v>
      </c>
      <c r="BN710" s="510">
        <v>4000</v>
      </c>
      <c r="BO710" s="510">
        <v>0</v>
      </c>
      <c r="BP710" s="510">
        <v>0</v>
      </c>
      <c r="BQ710" s="510">
        <v>0</v>
      </c>
      <c r="BR710" s="510">
        <v>0</v>
      </c>
      <c r="BS710" s="510">
        <v>0</v>
      </c>
      <c r="BT710" s="510">
        <v>0</v>
      </c>
      <c r="BU710" s="510">
        <v>0</v>
      </c>
      <c r="BV710" s="510">
        <v>0</v>
      </c>
      <c r="BW710" s="510">
        <v>0</v>
      </c>
      <c r="BX710" s="510">
        <v>30000</v>
      </c>
      <c r="BY710" s="1011">
        <v>0</v>
      </c>
      <c r="BZ710" s="510">
        <v>0</v>
      </c>
      <c r="CA710" s="1011">
        <v>0</v>
      </c>
      <c r="CB710" s="510">
        <v>0</v>
      </c>
      <c r="CC710" s="1011">
        <v>0</v>
      </c>
      <c r="CD710" s="510">
        <v>0</v>
      </c>
      <c r="CE710" s="1011">
        <v>0</v>
      </c>
      <c r="CF710" s="510">
        <v>48408</v>
      </c>
      <c r="CG710" s="1011">
        <v>0</v>
      </c>
      <c r="CH710" s="510">
        <v>0</v>
      </c>
      <c r="CI710" s="1011">
        <v>0</v>
      </c>
    </row>
    <row r="711" spans="1:87" x14ac:dyDescent="0.2">
      <c r="A711" s="449">
        <v>70</v>
      </c>
      <c r="B711" s="453">
        <v>91995</v>
      </c>
      <c r="C711" s="454" t="s">
        <v>6641</v>
      </c>
      <c r="D711" s="454" t="s">
        <v>1390</v>
      </c>
      <c r="E711" s="454" t="s">
        <v>6642</v>
      </c>
      <c r="F711" s="454" t="s">
        <v>524</v>
      </c>
      <c r="G711" s="454" t="s">
        <v>13507</v>
      </c>
      <c r="H711" s="455">
        <v>52400694000158</v>
      </c>
      <c r="I711" s="462">
        <v>30391</v>
      </c>
      <c r="J711" s="457">
        <v>37498487</v>
      </c>
      <c r="K711" s="454" t="s">
        <v>6644</v>
      </c>
      <c r="L711" s="458">
        <v>5</v>
      </c>
      <c r="M711" s="454" t="s">
        <v>6645</v>
      </c>
      <c r="N711" s="459">
        <v>4231004</v>
      </c>
      <c r="O711" s="460">
        <v>22733381</v>
      </c>
      <c r="P711" s="462">
        <v>205152</v>
      </c>
      <c r="Q711" s="462">
        <v>76</v>
      </c>
      <c r="R711" s="462">
        <v>43906</v>
      </c>
      <c r="S711" s="463">
        <v>291</v>
      </c>
      <c r="T711" s="464">
        <v>3.6</v>
      </c>
      <c r="U711" s="465">
        <v>1047.5999999999999</v>
      </c>
      <c r="V711" s="465">
        <v>12240</v>
      </c>
      <c r="W711" s="466">
        <v>0</v>
      </c>
      <c r="X711" s="467">
        <v>1</v>
      </c>
      <c r="Y711" s="466">
        <v>19931.400000000001</v>
      </c>
      <c r="Z711" s="468" t="s">
        <v>516</v>
      </c>
      <c r="AA711" s="466">
        <v>91477.8</v>
      </c>
      <c r="AB711" s="466">
        <v>91477.8</v>
      </c>
      <c r="AC711" s="467">
        <v>0</v>
      </c>
      <c r="AD711" s="466">
        <v>0</v>
      </c>
      <c r="AE711" s="468" t="s">
        <v>516</v>
      </c>
      <c r="AF711" s="466">
        <v>0</v>
      </c>
      <c r="AG711" s="466">
        <v>0</v>
      </c>
      <c r="AH711" s="466">
        <v>917.17</v>
      </c>
      <c r="AI711" s="466">
        <v>0.28999999999999998</v>
      </c>
      <c r="AJ711" s="469" t="s">
        <v>1750</v>
      </c>
      <c r="AK711" s="470" t="s">
        <v>1751</v>
      </c>
      <c r="AL711" s="471" t="s">
        <v>6646</v>
      </c>
      <c r="AM711" s="470" t="s">
        <v>15156</v>
      </c>
      <c r="AN711" s="470" t="s">
        <v>6643</v>
      </c>
      <c r="AO711" s="470" t="s">
        <v>6647</v>
      </c>
      <c r="AP711" s="470" t="s">
        <v>6648</v>
      </c>
      <c r="AQ711" s="470" t="s">
        <v>6641</v>
      </c>
      <c r="AR711" s="472" t="s">
        <v>515</v>
      </c>
      <c r="AS711" s="473" t="s">
        <v>1385</v>
      </c>
      <c r="AT711" s="472" t="s">
        <v>1390</v>
      </c>
      <c r="AU711" s="472" t="s">
        <v>420</v>
      </c>
      <c r="AV711" s="472">
        <v>2020</v>
      </c>
      <c r="AW711" s="474" t="s">
        <v>15078</v>
      </c>
      <c r="AX711" s="475" t="s">
        <v>15079</v>
      </c>
      <c r="AY711" s="515">
        <v>1</v>
      </c>
      <c r="AZ711" s="474" t="s">
        <v>15079</v>
      </c>
      <c r="BA711" s="472" t="s">
        <v>1390</v>
      </c>
      <c r="BB711" s="472" t="s">
        <v>1385</v>
      </c>
      <c r="BC711" s="472" t="s">
        <v>1385</v>
      </c>
      <c r="BD711" s="472" t="s">
        <v>1385</v>
      </c>
      <c r="BE711" s="472" t="s">
        <v>1385</v>
      </c>
      <c r="BF711" s="472">
        <v>19931.400000000001</v>
      </c>
      <c r="BG711" s="472">
        <v>0</v>
      </c>
      <c r="BH711" s="472" t="s">
        <v>1385</v>
      </c>
      <c r="BI711" s="510">
        <v>0</v>
      </c>
      <c r="BJ711" s="510">
        <v>0</v>
      </c>
      <c r="BK711" s="510">
        <v>0</v>
      </c>
      <c r="BL711" s="510">
        <v>0</v>
      </c>
      <c r="BM711" s="510">
        <v>0</v>
      </c>
      <c r="BN711" s="510">
        <v>3500</v>
      </c>
      <c r="BO711" s="510">
        <v>0</v>
      </c>
      <c r="BP711" s="510">
        <v>0</v>
      </c>
      <c r="BQ711" s="510">
        <v>0</v>
      </c>
      <c r="BR711" s="510">
        <v>0</v>
      </c>
      <c r="BS711" s="510">
        <v>0</v>
      </c>
      <c r="BT711" s="510">
        <v>0</v>
      </c>
      <c r="BU711" s="510">
        <v>0</v>
      </c>
      <c r="BV711" s="510">
        <v>0</v>
      </c>
      <c r="BW711" s="510">
        <v>0</v>
      </c>
      <c r="BX711" s="510">
        <v>30000</v>
      </c>
      <c r="BY711" s="1011">
        <v>0</v>
      </c>
      <c r="BZ711" s="510">
        <v>0</v>
      </c>
      <c r="CA711" s="1011">
        <v>0</v>
      </c>
      <c r="CB711" s="510">
        <v>0</v>
      </c>
      <c r="CC711" s="1011">
        <v>0</v>
      </c>
      <c r="CD711" s="510">
        <v>0</v>
      </c>
      <c r="CE711" s="1011">
        <v>0</v>
      </c>
      <c r="CF711" s="510">
        <v>41546.400000000001</v>
      </c>
      <c r="CG711" s="1011">
        <v>0</v>
      </c>
      <c r="CH711" s="510">
        <v>0</v>
      </c>
      <c r="CI711" s="1011">
        <v>0</v>
      </c>
    </row>
    <row r="712" spans="1:87" x14ac:dyDescent="0.2">
      <c r="A712" s="449">
        <v>81</v>
      </c>
      <c r="B712" s="453">
        <v>92002</v>
      </c>
      <c r="C712" s="454" t="s">
        <v>6649</v>
      </c>
      <c r="D712" s="454" t="s">
        <v>1390</v>
      </c>
      <c r="E712" s="454" t="s">
        <v>6650</v>
      </c>
      <c r="F712" s="454" t="s">
        <v>524</v>
      </c>
      <c r="G712" s="454" t="s">
        <v>13508</v>
      </c>
      <c r="H712" s="455">
        <v>52023744000125</v>
      </c>
      <c r="I712" s="462">
        <v>30253</v>
      </c>
      <c r="J712" s="457">
        <v>37499661</v>
      </c>
      <c r="K712" s="454" t="s">
        <v>6652</v>
      </c>
      <c r="L712" s="458">
        <v>453</v>
      </c>
      <c r="M712" s="454" t="s">
        <v>6653</v>
      </c>
      <c r="N712" s="459">
        <v>4221000</v>
      </c>
      <c r="O712" s="460">
        <v>22732570</v>
      </c>
      <c r="P712" s="462">
        <v>209123</v>
      </c>
      <c r="Q712" s="462">
        <v>87</v>
      </c>
      <c r="R712" s="462">
        <v>43906</v>
      </c>
      <c r="S712" s="463">
        <v>441</v>
      </c>
      <c r="T712" s="464">
        <v>3.6</v>
      </c>
      <c r="U712" s="465">
        <v>1587.6</v>
      </c>
      <c r="V712" s="465">
        <v>15120</v>
      </c>
      <c r="W712" s="466">
        <v>0</v>
      </c>
      <c r="X712" s="467">
        <v>1</v>
      </c>
      <c r="Y712" s="466">
        <v>25061.4</v>
      </c>
      <c r="Z712" s="468" t="s">
        <v>516</v>
      </c>
      <c r="AA712" s="466">
        <v>103368.6</v>
      </c>
      <c r="AB712" s="466">
        <v>103368.6</v>
      </c>
      <c r="AC712" s="467">
        <v>0</v>
      </c>
      <c r="AD712" s="466">
        <v>0</v>
      </c>
      <c r="AE712" s="468" t="s">
        <v>516</v>
      </c>
      <c r="AF712" s="466">
        <v>0</v>
      </c>
      <c r="AG712" s="466">
        <v>0</v>
      </c>
      <c r="AH712" s="466">
        <v>23823.71</v>
      </c>
      <c r="AI712" s="466">
        <v>2503.4699999999998</v>
      </c>
      <c r="AJ712" s="469" t="s">
        <v>1750</v>
      </c>
      <c r="AK712" s="470" t="s">
        <v>1751</v>
      </c>
      <c r="AL712" s="471" t="s">
        <v>6654</v>
      </c>
      <c r="AM712" s="470" t="s">
        <v>15167</v>
      </c>
      <c r="AN712" s="470" t="s">
        <v>6651</v>
      </c>
      <c r="AO712" s="470" t="s">
        <v>13509</v>
      </c>
      <c r="AP712" s="470" t="s">
        <v>6655</v>
      </c>
      <c r="AQ712" s="470" t="s">
        <v>6649</v>
      </c>
      <c r="AR712" s="472" t="s">
        <v>515</v>
      </c>
      <c r="AS712" s="473" t="s">
        <v>1385</v>
      </c>
      <c r="AT712" s="472" t="s">
        <v>1390</v>
      </c>
      <c r="AU712" s="472" t="s">
        <v>420</v>
      </c>
      <c r="AV712" s="472">
        <v>2020</v>
      </c>
      <c r="AW712" s="474" t="s">
        <v>15078</v>
      </c>
      <c r="AX712" s="475" t="s">
        <v>15079</v>
      </c>
      <c r="AY712" s="515">
        <v>1</v>
      </c>
      <c r="AZ712" s="474" t="s">
        <v>15079</v>
      </c>
      <c r="BA712" s="472" t="s">
        <v>1390</v>
      </c>
      <c r="BB712" s="472" t="s">
        <v>1385</v>
      </c>
      <c r="BC712" s="472" t="s">
        <v>1385</v>
      </c>
      <c r="BD712" s="472" t="s">
        <v>1385</v>
      </c>
      <c r="BE712" s="472" t="s">
        <v>1385</v>
      </c>
      <c r="BF712" s="472">
        <v>25061.4</v>
      </c>
      <c r="BG712" s="472">
        <v>0</v>
      </c>
      <c r="BH712" s="472" t="s">
        <v>1385</v>
      </c>
      <c r="BI712" s="510">
        <v>0</v>
      </c>
      <c r="BJ712" s="510">
        <v>0</v>
      </c>
      <c r="BK712" s="510">
        <v>0</v>
      </c>
      <c r="BL712" s="510">
        <v>0</v>
      </c>
      <c r="BM712" s="510">
        <v>0</v>
      </c>
      <c r="BN712" s="510">
        <v>4000</v>
      </c>
      <c r="BO712" s="510">
        <v>0</v>
      </c>
      <c r="BP712" s="510">
        <v>0</v>
      </c>
      <c r="BQ712" s="510">
        <v>0</v>
      </c>
      <c r="BR712" s="510">
        <v>0</v>
      </c>
      <c r="BS712" s="510">
        <v>0</v>
      </c>
      <c r="BT712" s="510">
        <v>0</v>
      </c>
      <c r="BU712" s="510">
        <v>0</v>
      </c>
      <c r="BV712" s="510">
        <v>0</v>
      </c>
      <c r="BW712" s="510">
        <v>0</v>
      </c>
      <c r="BX712" s="510">
        <v>30000</v>
      </c>
      <c r="BY712" s="1011">
        <v>0</v>
      </c>
      <c r="BZ712" s="510">
        <v>0</v>
      </c>
      <c r="CA712" s="1011">
        <v>0</v>
      </c>
      <c r="CB712" s="510">
        <v>0</v>
      </c>
      <c r="CC712" s="1011">
        <v>0</v>
      </c>
      <c r="CD712" s="510">
        <v>0</v>
      </c>
      <c r="CE712" s="1011">
        <v>0</v>
      </c>
      <c r="CF712" s="510">
        <v>48307.199999999997</v>
      </c>
      <c r="CG712" s="1011">
        <v>0</v>
      </c>
      <c r="CH712" s="510">
        <v>0</v>
      </c>
      <c r="CI712" s="1011">
        <v>0</v>
      </c>
    </row>
    <row r="713" spans="1:87" x14ac:dyDescent="0.2">
      <c r="A713" s="449">
        <v>97</v>
      </c>
      <c r="B713" s="453">
        <v>92011</v>
      </c>
      <c r="C713" s="454" t="s">
        <v>6656</v>
      </c>
      <c r="D713" s="454" t="s">
        <v>1390</v>
      </c>
      <c r="E713" s="454" t="s">
        <v>6657</v>
      </c>
      <c r="F713" s="454" t="s">
        <v>524</v>
      </c>
      <c r="G713" s="454" t="s">
        <v>13510</v>
      </c>
      <c r="H713" s="455">
        <v>52041209000105</v>
      </c>
      <c r="I713" s="462">
        <v>30307</v>
      </c>
      <c r="J713" s="457">
        <v>37498169</v>
      </c>
      <c r="K713" s="454" t="s">
        <v>6658</v>
      </c>
      <c r="L713" s="458">
        <v>305</v>
      </c>
      <c r="M713" s="454" t="s">
        <v>524</v>
      </c>
      <c r="N713" s="459">
        <v>4205050</v>
      </c>
      <c r="O713" s="460">
        <v>22731980</v>
      </c>
      <c r="P713" s="462">
        <v>203907</v>
      </c>
      <c r="Q713" s="462">
        <v>105</v>
      </c>
      <c r="R713" s="462">
        <v>43906</v>
      </c>
      <c r="S713" s="463">
        <v>256</v>
      </c>
      <c r="T713" s="464">
        <v>3.6</v>
      </c>
      <c r="U713" s="465">
        <v>921.6</v>
      </c>
      <c r="V713" s="465">
        <v>12240</v>
      </c>
      <c r="W713" s="466">
        <v>0</v>
      </c>
      <c r="X713" s="467">
        <v>1</v>
      </c>
      <c r="Y713" s="466">
        <v>19742.400000000001</v>
      </c>
      <c r="Z713" s="468" t="s">
        <v>516</v>
      </c>
      <c r="AA713" s="466">
        <v>94334.399999999994</v>
      </c>
      <c r="AB713" s="466">
        <v>94334.399999999994</v>
      </c>
      <c r="AC713" s="467">
        <v>0</v>
      </c>
      <c r="AD713" s="466">
        <v>0</v>
      </c>
      <c r="AE713" s="468" t="s">
        <v>516</v>
      </c>
      <c r="AF713" s="466">
        <v>0</v>
      </c>
      <c r="AG713" s="466">
        <v>0</v>
      </c>
      <c r="AH713" s="466">
        <v>14808.6</v>
      </c>
      <c r="AI713" s="466">
        <v>5014.32</v>
      </c>
      <c r="AJ713" s="469" t="s">
        <v>2402</v>
      </c>
      <c r="AK713" s="470" t="s">
        <v>2403</v>
      </c>
      <c r="AL713" s="471" t="s">
        <v>6659</v>
      </c>
      <c r="AM713" s="470" t="s">
        <v>15183</v>
      </c>
      <c r="AN713" s="470" t="s">
        <v>6660</v>
      </c>
      <c r="AO713" s="470" t="s">
        <v>13511</v>
      </c>
      <c r="AP713" s="470" t="s">
        <v>6661</v>
      </c>
      <c r="AQ713" s="470" t="s">
        <v>6656</v>
      </c>
      <c r="AR713" s="472" t="s">
        <v>515</v>
      </c>
      <c r="AS713" s="473" t="s">
        <v>1385</v>
      </c>
      <c r="AT713" s="472" t="s">
        <v>1390</v>
      </c>
      <c r="AU713" s="472" t="s">
        <v>420</v>
      </c>
      <c r="AV713" s="472">
        <v>2020</v>
      </c>
      <c r="AW713" s="474" t="s">
        <v>15078</v>
      </c>
      <c r="AX713" s="475" t="s">
        <v>15079</v>
      </c>
      <c r="AY713" s="515">
        <v>1</v>
      </c>
      <c r="AZ713" s="474" t="s">
        <v>15079</v>
      </c>
      <c r="BA713" s="472" t="s">
        <v>1390</v>
      </c>
      <c r="BB713" s="472" t="s">
        <v>1385</v>
      </c>
      <c r="BC713" s="472" t="s">
        <v>1385</v>
      </c>
      <c r="BD713" s="472" t="s">
        <v>1385</v>
      </c>
      <c r="BE713" s="472" t="s">
        <v>1385</v>
      </c>
      <c r="BF713" s="472">
        <v>19742.400000000001</v>
      </c>
      <c r="BG713" s="472">
        <v>0</v>
      </c>
      <c r="BH713" s="472" t="s">
        <v>1385</v>
      </c>
      <c r="BI713" s="510">
        <v>0</v>
      </c>
      <c r="BJ713" s="510">
        <v>0</v>
      </c>
      <c r="BK713" s="510">
        <v>0</v>
      </c>
      <c r="BL713" s="510">
        <v>0</v>
      </c>
      <c r="BM713" s="510">
        <v>0</v>
      </c>
      <c r="BN713" s="510">
        <v>3500</v>
      </c>
      <c r="BO713" s="510">
        <v>0</v>
      </c>
      <c r="BP713" s="510">
        <v>0</v>
      </c>
      <c r="BQ713" s="510">
        <v>0</v>
      </c>
      <c r="BR713" s="510">
        <v>0</v>
      </c>
      <c r="BS713" s="510">
        <v>0</v>
      </c>
      <c r="BT713" s="510">
        <v>0</v>
      </c>
      <c r="BU713" s="510">
        <v>0</v>
      </c>
      <c r="BV713" s="510">
        <v>0</v>
      </c>
      <c r="BW713" s="510">
        <v>0</v>
      </c>
      <c r="BX713" s="510">
        <v>30000</v>
      </c>
      <c r="BY713" s="1011">
        <v>0</v>
      </c>
      <c r="BZ713" s="510">
        <v>0</v>
      </c>
      <c r="CA713" s="1011">
        <v>0</v>
      </c>
      <c r="CB713" s="510">
        <v>0</v>
      </c>
      <c r="CC713" s="1011">
        <v>0</v>
      </c>
      <c r="CD713" s="510">
        <v>0</v>
      </c>
      <c r="CE713" s="1011">
        <v>0</v>
      </c>
      <c r="CF713" s="510">
        <v>44592</v>
      </c>
      <c r="CG713" s="1011">
        <v>0</v>
      </c>
      <c r="CH713" s="510">
        <v>0</v>
      </c>
      <c r="CI713" s="1011">
        <v>0</v>
      </c>
    </row>
    <row r="714" spans="1:87" x14ac:dyDescent="0.2">
      <c r="A714" s="449">
        <v>118</v>
      </c>
      <c r="B714" s="453">
        <v>92029</v>
      </c>
      <c r="C714" s="454" t="s">
        <v>6662</v>
      </c>
      <c r="D714" s="454" t="s">
        <v>1390</v>
      </c>
      <c r="E714" s="454" t="s">
        <v>6663</v>
      </c>
      <c r="F714" s="454" t="s">
        <v>527</v>
      </c>
      <c r="G714" s="454" t="s">
        <v>13512</v>
      </c>
      <c r="H714" s="455">
        <v>52170578000190</v>
      </c>
      <c r="I714" s="462">
        <v>30344</v>
      </c>
      <c r="J714" s="457">
        <v>38089769</v>
      </c>
      <c r="K714" s="454" t="s">
        <v>6664</v>
      </c>
      <c r="L714" s="458">
        <v>185</v>
      </c>
      <c r="M714" s="454" t="s">
        <v>1525</v>
      </c>
      <c r="N714" s="459">
        <v>3113020</v>
      </c>
      <c r="O714" s="460">
        <v>27966928</v>
      </c>
      <c r="P714" s="462">
        <v>185887</v>
      </c>
      <c r="Q714" s="462">
        <v>81</v>
      </c>
      <c r="R714" s="462">
        <v>43917</v>
      </c>
      <c r="S714" s="463">
        <v>259</v>
      </c>
      <c r="T714" s="464">
        <v>3.6</v>
      </c>
      <c r="U714" s="465">
        <v>932.4</v>
      </c>
      <c r="V714" s="465">
        <v>12240</v>
      </c>
      <c r="W714" s="466">
        <v>0</v>
      </c>
      <c r="X714" s="467">
        <v>1</v>
      </c>
      <c r="Y714" s="466">
        <v>19758.599999999999</v>
      </c>
      <c r="Z714" s="468" t="s">
        <v>516</v>
      </c>
      <c r="AA714" s="466">
        <v>91110.6</v>
      </c>
      <c r="AB714" s="466">
        <v>91110.6</v>
      </c>
      <c r="AC714" s="467">
        <v>0</v>
      </c>
      <c r="AD714" s="466">
        <v>0</v>
      </c>
      <c r="AE714" s="468" t="s">
        <v>516</v>
      </c>
      <c r="AF714" s="466">
        <v>0</v>
      </c>
      <c r="AG714" s="466">
        <v>0</v>
      </c>
      <c r="AH714" s="466">
        <v>29077.81</v>
      </c>
      <c r="AI714" s="466">
        <v>6615.68</v>
      </c>
      <c r="AJ714" s="469" t="s">
        <v>6665</v>
      </c>
      <c r="AK714" s="470" t="s">
        <v>6666</v>
      </c>
      <c r="AL714" s="471" t="s">
        <v>6667</v>
      </c>
      <c r="AM714" s="470" t="s">
        <v>6668</v>
      </c>
      <c r="AN714" s="470" t="s">
        <v>13512</v>
      </c>
      <c r="AO714" s="470" t="s">
        <v>13513</v>
      </c>
      <c r="AP714" s="470" t="s">
        <v>6669</v>
      </c>
      <c r="AQ714" s="470" t="s">
        <v>6662</v>
      </c>
      <c r="AR714" s="472" t="s">
        <v>515</v>
      </c>
      <c r="AS714" s="473" t="s">
        <v>1385</v>
      </c>
      <c r="AT714" s="472" t="s">
        <v>1390</v>
      </c>
      <c r="AU714" s="472" t="s">
        <v>420</v>
      </c>
      <c r="AV714" s="472">
        <v>2020</v>
      </c>
      <c r="AW714" s="474" t="s">
        <v>15078</v>
      </c>
      <c r="AX714" s="475" t="s">
        <v>15079</v>
      </c>
      <c r="AY714" s="515">
        <v>1</v>
      </c>
      <c r="AZ714" s="474" t="s">
        <v>15079</v>
      </c>
      <c r="BA714" s="472" t="s">
        <v>1390</v>
      </c>
      <c r="BB714" s="472" t="s">
        <v>1385</v>
      </c>
      <c r="BC714" s="472" t="s">
        <v>1385</v>
      </c>
      <c r="BD714" s="472" t="s">
        <v>1385</v>
      </c>
      <c r="BE714" s="472" t="s">
        <v>1385</v>
      </c>
      <c r="BF714" s="472">
        <v>19758.599999999999</v>
      </c>
      <c r="BG714" s="472">
        <v>0</v>
      </c>
      <c r="BH714" s="472" t="s">
        <v>1385</v>
      </c>
      <c r="BI714" s="510">
        <v>0</v>
      </c>
      <c r="BJ714" s="510">
        <v>630.87</v>
      </c>
      <c r="BK714" s="510">
        <v>0</v>
      </c>
      <c r="BL714" s="510">
        <v>0</v>
      </c>
      <c r="BM714" s="510">
        <v>0</v>
      </c>
      <c r="BN714" s="510">
        <v>3500</v>
      </c>
      <c r="BO714" s="510">
        <v>0</v>
      </c>
      <c r="BP714" s="510">
        <v>0</v>
      </c>
      <c r="BQ714" s="510">
        <v>0</v>
      </c>
      <c r="BR714" s="510">
        <v>0</v>
      </c>
      <c r="BS714" s="510">
        <v>0</v>
      </c>
      <c r="BT714" s="510">
        <v>0</v>
      </c>
      <c r="BU714" s="510">
        <v>0</v>
      </c>
      <c r="BV714" s="510">
        <v>0</v>
      </c>
      <c r="BW714" s="510">
        <v>0</v>
      </c>
      <c r="BX714" s="510">
        <v>30000</v>
      </c>
      <c r="BY714" s="1011">
        <v>0</v>
      </c>
      <c r="BZ714" s="510">
        <v>0</v>
      </c>
      <c r="CA714" s="1011">
        <v>0</v>
      </c>
      <c r="CB714" s="510">
        <v>0</v>
      </c>
      <c r="CC714" s="1011">
        <v>0</v>
      </c>
      <c r="CD714" s="510">
        <v>0</v>
      </c>
      <c r="CE714" s="1011">
        <v>0</v>
      </c>
      <c r="CF714" s="510">
        <v>41352</v>
      </c>
      <c r="CG714" s="1011">
        <v>0</v>
      </c>
      <c r="CH714" s="510">
        <v>0</v>
      </c>
      <c r="CI714" s="1011">
        <v>0</v>
      </c>
    </row>
    <row r="715" spans="1:87" x14ac:dyDescent="0.2">
      <c r="A715" s="449">
        <v>101</v>
      </c>
      <c r="B715" s="453">
        <v>92037</v>
      </c>
      <c r="C715" s="454" t="s">
        <v>6670</v>
      </c>
      <c r="D715" s="454" t="s">
        <v>1390</v>
      </c>
      <c r="E715" s="454" t="s">
        <v>6671</v>
      </c>
      <c r="F715" s="454" t="s">
        <v>527</v>
      </c>
      <c r="G715" s="454" t="s">
        <v>13514</v>
      </c>
      <c r="H715" s="455">
        <v>52634599000119</v>
      </c>
      <c r="I715" s="462">
        <v>30474</v>
      </c>
      <c r="J715" s="457">
        <v>37555014</v>
      </c>
      <c r="K715" s="454" t="s">
        <v>6672</v>
      </c>
      <c r="L715" s="458">
        <v>360</v>
      </c>
      <c r="M715" s="454" t="s">
        <v>1525</v>
      </c>
      <c r="N715" s="459">
        <v>3163040</v>
      </c>
      <c r="O715" s="460">
        <v>26942458</v>
      </c>
      <c r="P715" s="462">
        <v>215891</v>
      </c>
      <c r="Q715" s="462">
        <v>63</v>
      </c>
      <c r="R715" s="462">
        <v>43944</v>
      </c>
      <c r="S715" s="463">
        <v>416</v>
      </c>
      <c r="T715" s="464">
        <v>3.6</v>
      </c>
      <c r="U715" s="465">
        <v>1497.6</v>
      </c>
      <c r="V715" s="465">
        <v>15120</v>
      </c>
      <c r="W715" s="466">
        <v>0</v>
      </c>
      <c r="X715" s="467">
        <v>1</v>
      </c>
      <c r="Y715" s="466">
        <v>24926.400000000001</v>
      </c>
      <c r="Z715" s="468" t="s">
        <v>516</v>
      </c>
      <c r="AA715" s="466">
        <v>100108.8</v>
      </c>
      <c r="AB715" s="466">
        <v>100108.8</v>
      </c>
      <c r="AC715" s="467">
        <v>0</v>
      </c>
      <c r="AD715" s="466">
        <v>0</v>
      </c>
      <c r="AE715" s="468" t="s">
        <v>516</v>
      </c>
      <c r="AF715" s="466">
        <v>0</v>
      </c>
      <c r="AG715" s="466">
        <v>0</v>
      </c>
      <c r="AH715" s="466">
        <v>18255.650000000001</v>
      </c>
      <c r="AI715" s="466">
        <v>9599.43</v>
      </c>
      <c r="AJ715" s="469" t="s">
        <v>1526</v>
      </c>
      <c r="AK715" s="470" t="s">
        <v>1527</v>
      </c>
      <c r="AL715" s="471" t="s">
        <v>6673</v>
      </c>
      <c r="AM715" s="470" t="s">
        <v>13515</v>
      </c>
      <c r="AN715" s="470" t="s">
        <v>13514</v>
      </c>
      <c r="AO715" s="470" t="s">
        <v>13516</v>
      </c>
      <c r="AP715" s="470" t="s">
        <v>6674</v>
      </c>
      <c r="AQ715" s="470" t="s">
        <v>6670</v>
      </c>
      <c r="AR715" s="472" t="s">
        <v>515</v>
      </c>
      <c r="AS715" s="473" t="s">
        <v>1385</v>
      </c>
      <c r="AT715" s="472" t="s">
        <v>1390</v>
      </c>
      <c r="AU715" s="472" t="s">
        <v>420</v>
      </c>
      <c r="AV715" s="472">
        <v>2020</v>
      </c>
      <c r="AW715" s="474" t="s">
        <v>15078</v>
      </c>
      <c r="AX715" s="475" t="s">
        <v>15079</v>
      </c>
      <c r="AY715" s="515">
        <v>1</v>
      </c>
      <c r="AZ715" s="474" t="s">
        <v>15079</v>
      </c>
      <c r="BA715" s="472" t="s">
        <v>1390</v>
      </c>
      <c r="BB715" s="472" t="s">
        <v>1385</v>
      </c>
      <c r="BC715" s="472" t="s">
        <v>1385</v>
      </c>
      <c r="BD715" s="472" t="s">
        <v>1385</v>
      </c>
      <c r="BE715" s="472" t="s">
        <v>1385</v>
      </c>
      <c r="BF715" s="472">
        <v>24926.400000000001</v>
      </c>
      <c r="BG715" s="472">
        <v>0</v>
      </c>
      <c r="BH715" s="472" t="s">
        <v>1385</v>
      </c>
      <c r="BI715" s="510">
        <v>0</v>
      </c>
      <c r="BJ715" s="510">
        <v>0</v>
      </c>
      <c r="BK715" s="510">
        <v>0</v>
      </c>
      <c r="BL715" s="510">
        <v>0</v>
      </c>
      <c r="BM715" s="510">
        <v>0</v>
      </c>
      <c r="BN715" s="510">
        <v>4000</v>
      </c>
      <c r="BO715" s="510">
        <v>0</v>
      </c>
      <c r="BP715" s="510">
        <v>0</v>
      </c>
      <c r="BQ715" s="510">
        <v>0</v>
      </c>
      <c r="BR715" s="510">
        <v>0</v>
      </c>
      <c r="BS715" s="510">
        <v>0</v>
      </c>
      <c r="BT715" s="510">
        <v>0</v>
      </c>
      <c r="BU715" s="510">
        <v>0</v>
      </c>
      <c r="BV715" s="510">
        <v>0</v>
      </c>
      <c r="BW715" s="510">
        <v>0</v>
      </c>
      <c r="BX715" s="510">
        <v>30000</v>
      </c>
      <c r="BY715" s="1011">
        <v>0</v>
      </c>
      <c r="BZ715" s="510">
        <v>0</v>
      </c>
      <c r="CA715" s="1011">
        <v>0</v>
      </c>
      <c r="CB715" s="510">
        <v>0</v>
      </c>
      <c r="CC715" s="1011">
        <v>0</v>
      </c>
      <c r="CD715" s="510">
        <v>0</v>
      </c>
      <c r="CE715" s="1011">
        <v>0</v>
      </c>
      <c r="CF715" s="510">
        <v>45182.400000000001</v>
      </c>
      <c r="CG715" s="1011">
        <v>0</v>
      </c>
      <c r="CH715" s="510">
        <v>0</v>
      </c>
      <c r="CI715" s="1011">
        <v>0</v>
      </c>
    </row>
    <row r="716" spans="1:87" x14ac:dyDescent="0.2">
      <c r="A716" s="449">
        <v>90</v>
      </c>
      <c r="B716" s="453">
        <v>92045</v>
      </c>
      <c r="C716" s="454" t="s">
        <v>6675</v>
      </c>
      <c r="D716" s="454" t="s">
        <v>1390</v>
      </c>
      <c r="E716" s="454" t="s">
        <v>6676</v>
      </c>
      <c r="F716" s="454" t="s">
        <v>527</v>
      </c>
      <c r="G716" s="454" t="s">
        <v>13517</v>
      </c>
      <c r="H716" s="455">
        <v>52027729000155</v>
      </c>
      <c r="I716" s="462">
        <v>38291</v>
      </c>
      <c r="J716" s="457">
        <v>37555294</v>
      </c>
      <c r="K716" s="454" t="s">
        <v>6677</v>
      </c>
      <c r="L716" s="458">
        <v>128</v>
      </c>
      <c r="M716" s="454" t="s">
        <v>1922</v>
      </c>
      <c r="N716" s="459">
        <v>3014020</v>
      </c>
      <c r="O716" s="460">
        <v>22929783</v>
      </c>
      <c r="P716" s="462">
        <v>225056</v>
      </c>
      <c r="Q716" s="462">
        <v>51</v>
      </c>
      <c r="R716" s="462">
        <v>43986</v>
      </c>
      <c r="S716" s="463">
        <v>191</v>
      </c>
      <c r="T716" s="464">
        <v>3.6</v>
      </c>
      <c r="U716" s="465">
        <v>687.6</v>
      </c>
      <c r="V716" s="465">
        <v>10800</v>
      </c>
      <c r="W716" s="466">
        <v>0</v>
      </c>
      <c r="X716" s="467">
        <v>1</v>
      </c>
      <c r="Y716" s="466">
        <v>17231.400000000001</v>
      </c>
      <c r="Z716" s="468" t="s">
        <v>516</v>
      </c>
      <c r="AA716" s="466">
        <v>85192.2</v>
      </c>
      <c r="AB716" s="466">
        <v>85192.2</v>
      </c>
      <c r="AC716" s="467">
        <v>0</v>
      </c>
      <c r="AD716" s="466">
        <v>0</v>
      </c>
      <c r="AE716" s="468" t="s">
        <v>516</v>
      </c>
      <c r="AF716" s="466">
        <v>0</v>
      </c>
      <c r="AG716" s="466">
        <v>0</v>
      </c>
      <c r="AH716" s="466">
        <v>4610.41</v>
      </c>
      <c r="AI716" s="466">
        <v>8265</v>
      </c>
      <c r="AJ716" s="469" t="s">
        <v>1923</v>
      </c>
      <c r="AK716" s="470" t="s">
        <v>1922</v>
      </c>
      <c r="AL716" s="471" t="s">
        <v>6678</v>
      </c>
      <c r="AM716" s="470" t="s">
        <v>13518</v>
      </c>
      <c r="AN716" s="470" t="s">
        <v>13519</v>
      </c>
      <c r="AO716" s="470" t="s">
        <v>13520</v>
      </c>
      <c r="AP716" s="470" t="s">
        <v>6679</v>
      </c>
      <c r="AQ716" s="470" t="s">
        <v>6675</v>
      </c>
      <c r="AR716" s="472" t="s">
        <v>515</v>
      </c>
      <c r="AS716" s="473" t="s">
        <v>1385</v>
      </c>
      <c r="AT716" s="472" t="s">
        <v>1390</v>
      </c>
      <c r="AU716" s="472" t="s">
        <v>420</v>
      </c>
      <c r="AV716" s="472">
        <v>2020</v>
      </c>
      <c r="AW716" s="474" t="s">
        <v>15078</v>
      </c>
      <c r="AX716" s="475" t="s">
        <v>15079</v>
      </c>
      <c r="AY716" s="515">
        <v>1</v>
      </c>
      <c r="AZ716" s="474" t="s">
        <v>15079</v>
      </c>
      <c r="BA716" s="472" t="s">
        <v>1390</v>
      </c>
      <c r="BB716" s="472" t="s">
        <v>1385</v>
      </c>
      <c r="BC716" s="472" t="s">
        <v>1385</v>
      </c>
      <c r="BD716" s="472" t="s">
        <v>1385</v>
      </c>
      <c r="BE716" s="472" t="s">
        <v>1385</v>
      </c>
      <c r="BF716" s="472">
        <v>17231.400000000001</v>
      </c>
      <c r="BG716" s="472">
        <v>0</v>
      </c>
      <c r="BH716" s="472" t="s">
        <v>1385</v>
      </c>
      <c r="BI716" s="510">
        <v>0</v>
      </c>
      <c r="BJ716" s="510">
        <v>0</v>
      </c>
      <c r="BK716" s="510">
        <v>0</v>
      </c>
      <c r="BL716" s="510">
        <v>0</v>
      </c>
      <c r="BM716" s="510">
        <v>0</v>
      </c>
      <c r="BN716" s="510">
        <v>3000</v>
      </c>
      <c r="BO716" s="510">
        <v>0</v>
      </c>
      <c r="BP716" s="510">
        <v>0</v>
      </c>
      <c r="BQ716" s="510">
        <v>0</v>
      </c>
      <c r="BR716" s="510">
        <v>0</v>
      </c>
      <c r="BS716" s="510">
        <v>0</v>
      </c>
      <c r="BT716" s="510">
        <v>0</v>
      </c>
      <c r="BU716" s="510">
        <v>0</v>
      </c>
      <c r="BV716" s="510">
        <v>0</v>
      </c>
      <c r="BW716" s="510">
        <v>0</v>
      </c>
      <c r="BX716" s="510">
        <v>30000</v>
      </c>
      <c r="BY716" s="1011">
        <v>0</v>
      </c>
      <c r="BZ716" s="510">
        <v>0</v>
      </c>
      <c r="CA716" s="1011">
        <v>0</v>
      </c>
      <c r="CB716" s="510">
        <v>0</v>
      </c>
      <c r="CC716" s="1011">
        <v>0</v>
      </c>
      <c r="CD716" s="510">
        <v>0</v>
      </c>
      <c r="CE716" s="1011">
        <v>0</v>
      </c>
      <c r="CF716" s="510">
        <v>37960.800000000003</v>
      </c>
      <c r="CG716" s="1011">
        <v>0</v>
      </c>
      <c r="CH716" s="510">
        <v>0</v>
      </c>
      <c r="CI716" s="1011">
        <v>0</v>
      </c>
    </row>
    <row r="717" spans="1:87" x14ac:dyDescent="0.2">
      <c r="A717" s="449">
        <v>75</v>
      </c>
      <c r="B717" s="453">
        <v>92053</v>
      </c>
      <c r="C717" s="454" t="s">
        <v>6680</v>
      </c>
      <c r="D717" s="454" t="s">
        <v>1390</v>
      </c>
      <c r="E717" s="454" t="s">
        <v>6681</v>
      </c>
      <c r="F717" s="454" t="s">
        <v>527</v>
      </c>
      <c r="G717" s="454" t="s">
        <v>13521</v>
      </c>
      <c r="H717" s="455">
        <v>52043460000109</v>
      </c>
      <c r="I717" s="462">
        <v>30314</v>
      </c>
      <c r="J717" s="457">
        <v>37555286</v>
      </c>
      <c r="K717" s="454" t="s">
        <v>6682</v>
      </c>
      <c r="L717" s="458">
        <v>250</v>
      </c>
      <c r="M717" s="454" t="s">
        <v>6683</v>
      </c>
      <c r="N717" s="459">
        <v>3192060</v>
      </c>
      <c r="O717" s="460">
        <v>29653891</v>
      </c>
      <c r="P717" s="462">
        <v>178902</v>
      </c>
      <c r="Q717" s="462">
        <v>35</v>
      </c>
      <c r="R717" s="462">
        <v>43917</v>
      </c>
      <c r="S717" s="463">
        <v>253</v>
      </c>
      <c r="T717" s="464">
        <v>3.6</v>
      </c>
      <c r="U717" s="465">
        <v>910.8</v>
      </c>
      <c r="V717" s="465">
        <v>12240</v>
      </c>
      <c r="W717" s="466">
        <v>0</v>
      </c>
      <c r="X717" s="467">
        <v>1</v>
      </c>
      <c r="Y717" s="466">
        <v>19726.2</v>
      </c>
      <c r="Z717" s="468" t="s">
        <v>516</v>
      </c>
      <c r="AA717" s="466">
        <v>91056.6</v>
      </c>
      <c r="AB717" s="466">
        <v>91056.6</v>
      </c>
      <c r="AC717" s="467">
        <v>0</v>
      </c>
      <c r="AD717" s="466">
        <v>0</v>
      </c>
      <c r="AE717" s="468" t="s">
        <v>516</v>
      </c>
      <c r="AF717" s="466">
        <v>0</v>
      </c>
      <c r="AG717" s="466">
        <v>0</v>
      </c>
      <c r="AH717" s="466">
        <v>29264.32</v>
      </c>
      <c r="AI717" s="466">
        <v>6663.8</v>
      </c>
      <c r="AJ717" s="469" t="s">
        <v>2136</v>
      </c>
      <c r="AK717" s="470" t="s">
        <v>2339</v>
      </c>
      <c r="AL717" s="471" t="s">
        <v>6684</v>
      </c>
      <c r="AM717" s="470" t="s">
        <v>6685</v>
      </c>
      <c r="AN717" s="470" t="s">
        <v>13521</v>
      </c>
      <c r="AO717" s="470" t="s">
        <v>13522</v>
      </c>
      <c r="AP717" s="470" t="s">
        <v>6686</v>
      </c>
      <c r="AQ717" s="470" t="s">
        <v>6680</v>
      </c>
      <c r="AR717" s="472" t="s">
        <v>515</v>
      </c>
      <c r="AS717" s="473" t="s">
        <v>1385</v>
      </c>
      <c r="AT717" s="472" t="s">
        <v>1390</v>
      </c>
      <c r="AU717" s="472" t="s">
        <v>420</v>
      </c>
      <c r="AV717" s="472">
        <v>2020</v>
      </c>
      <c r="AW717" s="474" t="s">
        <v>15078</v>
      </c>
      <c r="AX717" s="475" t="s">
        <v>15079</v>
      </c>
      <c r="AY717" s="515">
        <v>1</v>
      </c>
      <c r="AZ717" s="474" t="s">
        <v>15079</v>
      </c>
      <c r="BA717" s="472" t="s">
        <v>1390</v>
      </c>
      <c r="BB717" s="472" t="s">
        <v>1385</v>
      </c>
      <c r="BC717" s="472" t="s">
        <v>1385</v>
      </c>
      <c r="BD717" s="472" t="s">
        <v>1385</v>
      </c>
      <c r="BE717" s="472" t="s">
        <v>1385</v>
      </c>
      <c r="BF717" s="472">
        <v>19726.2</v>
      </c>
      <c r="BG717" s="472">
        <v>0</v>
      </c>
      <c r="BH717" s="472" t="s">
        <v>1385</v>
      </c>
      <c r="BI717" s="510">
        <v>0</v>
      </c>
      <c r="BJ717" s="510">
        <v>3587.2</v>
      </c>
      <c r="BK717" s="510">
        <v>0</v>
      </c>
      <c r="BL717" s="510">
        <v>0</v>
      </c>
      <c r="BM717" s="510">
        <v>0</v>
      </c>
      <c r="BN717" s="510">
        <v>3500</v>
      </c>
      <c r="BO717" s="510">
        <v>0</v>
      </c>
      <c r="BP717" s="510">
        <v>0</v>
      </c>
      <c r="BQ717" s="510">
        <v>0</v>
      </c>
      <c r="BR717" s="510">
        <v>0</v>
      </c>
      <c r="BS717" s="510">
        <v>0</v>
      </c>
      <c r="BT717" s="510">
        <v>0</v>
      </c>
      <c r="BU717" s="510">
        <v>0</v>
      </c>
      <c r="BV717" s="510">
        <v>0</v>
      </c>
      <c r="BW717" s="510">
        <v>0</v>
      </c>
      <c r="BX717" s="510">
        <v>30000</v>
      </c>
      <c r="BY717" s="1011">
        <v>0</v>
      </c>
      <c r="BZ717" s="510">
        <v>0</v>
      </c>
      <c r="CA717" s="1011">
        <v>0</v>
      </c>
      <c r="CB717" s="510">
        <v>0</v>
      </c>
      <c r="CC717" s="1011">
        <v>0</v>
      </c>
      <c r="CD717" s="510">
        <v>0</v>
      </c>
      <c r="CE717" s="1011">
        <v>0</v>
      </c>
      <c r="CF717" s="510">
        <v>41330.400000000001</v>
      </c>
      <c r="CG717" s="1011">
        <v>0</v>
      </c>
      <c r="CH717" s="510">
        <v>0</v>
      </c>
      <c r="CI717" s="1011">
        <v>0</v>
      </c>
    </row>
    <row r="718" spans="1:87" x14ac:dyDescent="0.2">
      <c r="A718" s="449">
        <v>80</v>
      </c>
      <c r="B718" s="453">
        <v>92061</v>
      </c>
      <c r="C718" s="454" t="s">
        <v>6687</v>
      </c>
      <c r="D718" s="454" t="s">
        <v>1390</v>
      </c>
      <c r="E718" s="454" t="s">
        <v>6688</v>
      </c>
      <c r="F718" s="454" t="s">
        <v>527</v>
      </c>
      <c r="G718" s="454" t="s">
        <v>13523</v>
      </c>
      <c r="H718" s="455">
        <v>52447158000108</v>
      </c>
      <c r="I718" s="462">
        <v>30313</v>
      </c>
      <c r="J718" s="457">
        <v>37555073</v>
      </c>
      <c r="K718" s="454" t="s">
        <v>6689</v>
      </c>
      <c r="L718" s="458">
        <v>15</v>
      </c>
      <c r="M718" s="454" t="s">
        <v>6690</v>
      </c>
      <c r="N718" s="459">
        <v>3350040</v>
      </c>
      <c r="O718" s="460">
        <v>29650372</v>
      </c>
      <c r="P718" s="462">
        <v>179054</v>
      </c>
      <c r="Q718" s="462">
        <v>41</v>
      </c>
      <c r="R718" s="462">
        <v>43917</v>
      </c>
      <c r="S718" s="463">
        <v>168</v>
      </c>
      <c r="T718" s="464">
        <v>3.6</v>
      </c>
      <c r="U718" s="465">
        <v>604.79999999999995</v>
      </c>
      <c r="V718" s="465">
        <v>10800</v>
      </c>
      <c r="W718" s="466">
        <v>0</v>
      </c>
      <c r="X718" s="467">
        <v>1</v>
      </c>
      <c r="Y718" s="466">
        <v>21157.200000000001</v>
      </c>
      <c r="Z718" s="468" t="s">
        <v>516</v>
      </c>
      <c r="AA718" s="466">
        <v>98963.6</v>
      </c>
      <c r="AB718" s="466">
        <v>98963.6</v>
      </c>
      <c r="AC718" s="467">
        <v>0</v>
      </c>
      <c r="AD718" s="466">
        <v>0</v>
      </c>
      <c r="AE718" s="468" t="s">
        <v>516</v>
      </c>
      <c r="AF718" s="466">
        <v>0</v>
      </c>
      <c r="AG718" s="466">
        <v>0</v>
      </c>
      <c r="AH718" s="466">
        <v>24401.77</v>
      </c>
      <c r="AI718" s="466">
        <v>2820.96</v>
      </c>
      <c r="AJ718" s="469" t="s">
        <v>5938</v>
      </c>
      <c r="AK718" s="470" t="s">
        <v>6691</v>
      </c>
      <c r="AL718" s="471" t="s">
        <v>6692</v>
      </c>
      <c r="AM718" s="470" t="s">
        <v>6693</v>
      </c>
      <c r="AN718" s="470" t="s">
        <v>13523</v>
      </c>
      <c r="AO718" s="470" t="s">
        <v>13524</v>
      </c>
      <c r="AP718" s="470" t="s">
        <v>6694</v>
      </c>
      <c r="AQ718" s="470" t="s">
        <v>6687</v>
      </c>
      <c r="AR718" s="472" t="s">
        <v>515</v>
      </c>
      <c r="AS718" s="473" t="s">
        <v>1385</v>
      </c>
      <c r="AT718" s="472" t="s">
        <v>1390</v>
      </c>
      <c r="AU718" s="472" t="s">
        <v>420</v>
      </c>
      <c r="AV718" s="472">
        <v>2020</v>
      </c>
      <c r="AW718" s="474" t="s">
        <v>15078</v>
      </c>
      <c r="AX718" s="475" t="s">
        <v>15079</v>
      </c>
      <c r="AY718" s="515">
        <v>1</v>
      </c>
      <c r="AZ718" s="474" t="s">
        <v>15079</v>
      </c>
      <c r="BA718" s="472" t="s">
        <v>1390</v>
      </c>
      <c r="BB718" s="472" t="s">
        <v>516</v>
      </c>
      <c r="BC718" s="472">
        <v>4</v>
      </c>
      <c r="BD718" s="472">
        <v>2700</v>
      </c>
      <c r="BE718" s="472">
        <v>0</v>
      </c>
      <c r="BF718" s="472">
        <v>21157.200000000001</v>
      </c>
      <c r="BG718" s="472">
        <v>0</v>
      </c>
      <c r="BH718" s="472" t="s">
        <v>1385</v>
      </c>
      <c r="BI718" s="510">
        <v>0</v>
      </c>
      <c r="BJ718" s="510">
        <v>0</v>
      </c>
      <c r="BK718" s="510">
        <v>0</v>
      </c>
      <c r="BL718" s="510">
        <v>0</v>
      </c>
      <c r="BM718" s="510">
        <v>0</v>
      </c>
      <c r="BN718" s="510">
        <v>3000</v>
      </c>
      <c r="BO718" s="510">
        <v>0</v>
      </c>
      <c r="BP718" s="510">
        <v>0</v>
      </c>
      <c r="BQ718" s="510">
        <v>0</v>
      </c>
      <c r="BR718" s="510">
        <v>0</v>
      </c>
      <c r="BS718" s="510">
        <v>0</v>
      </c>
      <c r="BT718" s="510">
        <v>0</v>
      </c>
      <c r="BU718" s="510">
        <v>0</v>
      </c>
      <c r="BV718" s="510">
        <v>0</v>
      </c>
      <c r="BW718" s="510">
        <v>0</v>
      </c>
      <c r="BX718" s="510">
        <v>30000</v>
      </c>
      <c r="BY718" s="1011">
        <v>0</v>
      </c>
      <c r="BZ718" s="510">
        <v>0</v>
      </c>
      <c r="CA718" s="1011">
        <v>0</v>
      </c>
      <c r="CB718" s="510">
        <v>0</v>
      </c>
      <c r="CC718" s="1011">
        <v>0</v>
      </c>
      <c r="CD718" s="510">
        <v>0</v>
      </c>
      <c r="CE718" s="1011">
        <v>0</v>
      </c>
      <c r="CF718" s="510">
        <v>47806.400000000001</v>
      </c>
      <c r="CG718" s="1011">
        <v>0</v>
      </c>
      <c r="CH718" s="510">
        <v>0</v>
      </c>
      <c r="CI718" s="1011">
        <v>0</v>
      </c>
    </row>
    <row r="719" spans="1:87" x14ac:dyDescent="0.2">
      <c r="A719" s="449">
        <v>104</v>
      </c>
      <c r="B719" s="453">
        <v>92070</v>
      </c>
      <c r="C719" s="454" t="s">
        <v>6695</v>
      </c>
      <c r="D719" s="454" t="s">
        <v>1390</v>
      </c>
      <c r="E719" s="454" t="s">
        <v>6696</v>
      </c>
      <c r="F719" s="454" t="s">
        <v>527</v>
      </c>
      <c r="G719" s="454" t="s">
        <v>13525</v>
      </c>
      <c r="H719" s="455">
        <v>52170719000174</v>
      </c>
      <c r="I719" s="462">
        <v>30372</v>
      </c>
      <c r="J719" s="457">
        <v>37555421</v>
      </c>
      <c r="K719" s="454" t="s">
        <v>6697</v>
      </c>
      <c r="L719" s="458" t="s">
        <v>1446</v>
      </c>
      <c r="M719" s="454" t="s">
        <v>6690</v>
      </c>
      <c r="N719" s="459">
        <v>3351125</v>
      </c>
      <c r="O719" s="460">
        <v>26712684</v>
      </c>
      <c r="P719" s="462">
        <v>185348</v>
      </c>
      <c r="Q719" s="462">
        <v>66</v>
      </c>
      <c r="R719" s="462">
        <v>43917</v>
      </c>
      <c r="S719" s="463">
        <v>225</v>
      </c>
      <c r="T719" s="464">
        <v>3.6</v>
      </c>
      <c r="U719" s="465">
        <v>810</v>
      </c>
      <c r="V719" s="465">
        <v>12240</v>
      </c>
      <c r="W719" s="466">
        <v>0</v>
      </c>
      <c r="X719" s="467">
        <v>1</v>
      </c>
      <c r="Y719" s="466">
        <v>0</v>
      </c>
      <c r="Z719" s="468" t="s">
        <v>514</v>
      </c>
      <c r="AA719" s="466">
        <v>0</v>
      </c>
      <c r="AB719" s="466">
        <v>0</v>
      </c>
      <c r="AC719" s="467">
        <v>0</v>
      </c>
      <c r="AD719" s="466">
        <v>0</v>
      </c>
      <c r="AE719" s="468" t="s">
        <v>516</v>
      </c>
      <c r="AF719" s="466">
        <v>0</v>
      </c>
      <c r="AG719" s="466">
        <v>0</v>
      </c>
      <c r="AH719" s="466">
        <v>0</v>
      </c>
      <c r="AI719" s="466">
        <v>0</v>
      </c>
      <c r="AJ719" s="469" t="s">
        <v>3969</v>
      </c>
      <c r="AK719" s="470" t="s">
        <v>6698</v>
      </c>
      <c r="AL719" s="471" t="s">
        <v>6699</v>
      </c>
      <c r="AM719" s="470" t="s">
        <v>6700</v>
      </c>
      <c r="AN719" s="470" t="s">
        <v>13525</v>
      </c>
      <c r="AO719" s="470" t="s">
        <v>13526</v>
      </c>
      <c r="AP719" s="470" t="s">
        <v>6701</v>
      </c>
      <c r="AQ719" s="470" t="s">
        <v>6695</v>
      </c>
      <c r="AR719" s="472" t="s">
        <v>515</v>
      </c>
      <c r="AS719" s="473" t="s">
        <v>1385</v>
      </c>
      <c r="AT719" s="472" t="s">
        <v>1390</v>
      </c>
      <c r="AU719" s="472" t="s">
        <v>420</v>
      </c>
      <c r="AV719" s="472">
        <v>2020</v>
      </c>
      <c r="AW719" s="474" t="s">
        <v>15078</v>
      </c>
      <c r="AX719" s="475" t="s">
        <v>15079</v>
      </c>
      <c r="AY719" s="515">
        <v>1</v>
      </c>
      <c r="AZ719" s="474" t="s">
        <v>15079</v>
      </c>
      <c r="BA719" s="472" t="s">
        <v>1385</v>
      </c>
      <c r="BB719" s="472" t="s">
        <v>1385</v>
      </c>
      <c r="BC719" s="472" t="s">
        <v>1385</v>
      </c>
      <c r="BD719" s="472" t="s">
        <v>1385</v>
      </c>
      <c r="BE719" s="472" t="s">
        <v>1385</v>
      </c>
      <c r="BF719" s="472">
        <v>19575</v>
      </c>
      <c r="BG719" s="472">
        <v>0</v>
      </c>
      <c r="BH719" s="472" t="s">
        <v>516</v>
      </c>
      <c r="BI719" s="510">
        <v>0</v>
      </c>
      <c r="BJ719" s="510">
        <v>0</v>
      </c>
      <c r="BK719" s="510">
        <v>0</v>
      </c>
      <c r="BL719" s="510">
        <v>0</v>
      </c>
      <c r="BM719" s="510">
        <v>0</v>
      </c>
      <c r="BN719" s="510">
        <v>0</v>
      </c>
      <c r="BO719" s="510">
        <v>0</v>
      </c>
      <c r="BP719" s="510">
        <v>0</v>
      </c>
      <c r="BQ719" s="510">
        <v>0</v>
      </c>
      <c r="BR719" s="510">
        <v>0</v>
      </c>
      <c r="BS719" s="510">
        <v>0</v>
      </c>
      <c r="BT719" s="510">
        <v>0</v>
      </c>
      <c r="BU719" s="510">
        <v>0</v>
      </c>
      <c r="BV719" s="510">
        <v>0</v>
      </c>
      <c r="BW719" s="510">
        <v>0</v>
      </c>
      <c r="BX719" s="510">
        <v>0</v>
      </c>
      <c r="BY719" s="1011">
        <v>0</v>
      </c>
      <c r="BZ719" s="510">
        <v>0</v>
      </c>
      <c r="CA719" s="1011">
        <v>0</v>
      </c>
      <c r="CB719" s="510">
        <v>0</v>
      </c>
      <c r="CC719" s="1011">
        <v>0</v>
      </c>
      <c r="CD719" s="510">
        <v>0</v>
      </c>
      <c r="CE719" s="1011">
        <v>0</v>
      </c>
      <c r="CF719" s="510">
        <v>0</v>
      </c>
      <c r="CG719" s="1011">
        <v>0</v>
      </c>
      <c r="CH719" s="510">
        <v>0</v>
      </c>
      <c r="CI719" s="1011">
        <v>0</v>
      </c>
    </row>
    <row r="720" spans="1:87" x14ac:dyDescent="0.2">
      <c r="A720" s="449">
        <v>68</v>
      </c>
      <c r="B720" s="453">
        <v>92088</v>
      </c>
      <c r="C720" s="454" t="s">
        <v>6702</v>
      </c>
      <c r="D720" s="454" t="s">
        <v>1390</v>
      </c>
      <c r="E720" s="454" t="s">
        <v>6703</v>
      </c>
      <c r="F720" s="454" t="s">
        <v>518</v>
      </c>
      <c r="G720" s="454" t="s">
        <v>13527</v>
      </c>
      <c r="H720" s="455">
        <v>53024873000109</v>
      </c>
      <c r="I720" s="462">
        <v>30614</v>
      </c>
      <c r="J720" s="457">
        <v>37470078</v>
      </c>
      <c r="K720" s="454" t="s">
        <v>6705</v>
      </c>
      <c r="L720" s="458" t="s">
        <v>1446</v>
      </c>
      <c r="M720" s="454" t="s">
        <v>2615</v>
      </c>
      <c r="N720" s="459">
        <v>3359025</v>
      </c>
      <c r="O720" s="460">
        <v>20045184</v>
      </c>
      <c r="P720" s="462">
        <v>46941</v>
      </c>
      <c r="Q720" s="462">
        <v>37</v>
      </c>
      <c r="R720" s="462">
        <v>43934</v>
      </c>
      <c r="S720" s="463">
        <v>327</v>
      </c>
      <c r="T720" s="464">
        <v>3.6</v>
      </c>
      <c r="U720" s="465">
        <v>1177.2</v>
      </c>
      <c r="V720" s="465">
        <v>13680</v>
      </c>
      <c r="W720" s="466">
        <v>0</v>
      </c>
      <c r="X720" s="467">
        <v>1</v>
      </c>
      <c r="Y720" s="466">
        <v>22285.8</v>
      </c>
      <c r="Z720" s="468" t="s">
        <v>516</v>
      </c>
      <c r="AA720" s="466">
        <v>96957</v>
      </c>
      <c r="AB720" s="466">
        <v>96957</v>
      </c>
      <c r="AC720" s="467">
        <v>0</v>
      </c>
      <c r="AD720" s="466">
        <v>0</v>
      </c>
      <c r="AE720" s="468" t="s">
        <v>516</v>
      </c>
      <c r="AF720" s="466">
        <v>0</v>
      </c>
      <c r="AG720" s="466">
        <v>0</v>
      </c>
      <c r="AH720" s="466">
        <v>20214.18</v>
      </c>
      <c r="AI720" s="466">
        <v>4206.88</v>
      </c>
      <c r="AJ720" s="469" t="s">
        <v>2614</v>
      </c>
      <c r="AK720" s="470" t="s">
        <v>2615</v>
      </c>
      <c r="AL720" s="471" t="s">
        <v>6706</v>
      </c>
      <c r="AM720" s="470" t="s">
        <v>6707</v>
      </c>
      <c r="AN720" s="470" t="s">
        <v>6704</v>
      </c>
      <c r="AO720" s="470" t="s">
        <v>15015</v>
      </c>
      <c r="AP720" s="470" t="s">
        <v>6708</v>
      </c>
      <c r="AQ720" s="470" t="s">
        <v>6702</v>
      </c>
      <c r="AR720" s="472" t="s">
        <v>515</v>
      </c>
      <c r="AS720" s="473" t="s">
        <v>1385</v>
      </c>
      <c r="AT720" s="472" t="s">
        <v>1390</v>
      </c>
      <c r="AU720" s="472" t="s">
        <v>420</v>
      </c>
      <c r="AV720" s="472">
        <v>2020</v>
      </c>
      <c r="AW720" s="474" t="s">
        <v>15078</v>
      </c>
      <c r="AX720" s="475" t="s">
        <v>15079</v>
      </c>
      <c r="AY720" s="515">
        <v>1</v>
      </c>
      <c r="AZ720" s="474" t="s">
        <v>15079</v>
      </c>
      <c r="BA720" s="472" t="s">
        <v>1390</v>
      </c>
      <c r="BB720" s="472" t="s">
        <v>1385</v>
      </c>
      <c r="BC720" s="472" t="s">
        <v>1385</v>
      </c>
      <c r="BD720" s="472" t="s">
        <v>1385</v>
      </c>
      <c r="BE720" s="472" t="s">
        <v>1385</v>
      </c>
      <c r="BF720" s="472">
        <v>22285.8</v>
      </c>
      <c r="BG720" s="472">
        <v>0</v>
      </c>
      <c r="BH720" s="472" t="s">
        <v>1385</v>
      </c>
      <c r="BI720" s="510">
        <v>0</v>
      </c>
      <c r="BJ720" s="510">
        <v>9121.25</v>
      </c>
      <c r="BK720" s="510">
        <v>0</v>
      </c>
      <c r="BL720" s="510">
        <v>0</v>
      </c>
      <c r="BM720" s="510">
        <v>0</v>
      </c>
      <c r="BN720" s="510">
        <v>3500</v>
      </c>
      <c r="BO720" s="510">
        <v>0</v>
      </c>
      <c r="BP720" s="510">
        <v>0</v>
      </c>
      <c r="BQ720" s="510">
        <v>0</v>
      </c>
      <c r="BR720" s="510">
        <v>0</v>
      </c>
      <c r="BS720" s="510">
        <v>0</v>
      </c>
      <c r="BT720" s="510">
        <v>0</v>
      </c>
      <c r="BU720" s="510">
        <v>0</v>
      </c>
      <c r="BV720" s="510">
        <v>0</v>
      </c>
      <c r="BW720" s="510">
        <v>0</v>
      </c>
      <c r="BX720" s="510">
        <v>30000</v>
      </c>
      <c r="BY720" s="1011">
        <v>0</v>
      </c>
      <c r="BZ720" s="510">
        <v>0</v>
      </c>
      <c r="CA720" s="1011">
        <v>0</v>
      </c>
      <c r="CB720" s="510">
        <v>0</v>
      </c>
      <c r="CC720" s="1011">
        <v>0</v>
      </c>
      <c r="CD720" s="510">
        <v>0</v>
      </c>
      <c r="CE720" s="1011">
        <v>0</v>
      </c>
      <c r="CF720" s="510">
        <v>44671.199999999997</v>
      </c>
      <c r="CG720" s="1011">
        <v>0</v>
      </c>
      <c r="CH720" s="510">
        <v>0</v>
      </c>
      <c r="CI720" s="1011">
        <v>0</v>
      </c>
    </row>
    <row r="721" spans="1:87" x14ac:dyDescent="0.2">
      <c r="A721" s="449">
        <v>72</v>
      </c>
      <c r="B721" s="453">
        <v>92096</v>
      </c>
      <c r="C721" s="454" t="s">
        <v>6709</v>
      </c>
      <c r="D721" s="454" t="s">
        <v>1390</v>
      </c>
      <c r="E721" s="454" t="s">
        <v>6710</v>
      </c>
      <c r="F721" s="454" t="s">
        <v>518</v>
      </c>
      <c r="G721" s="454" t="s">
        <v>13528</v>
      </c>
      <c r="H721" s="455">
        <v>50859784000186</v>
      </c>
      <c r="I721" s="462">
        <v>29788</v>
      </c>
      <c r="J721" s="457">
        <v>37470183</v>
      </c>
      <c r="K721" s="454" t="s">
        <v>6712</v>
      </c>
      <c r="L721" s="458" t="s">
        <v>1446</v>
      </c>
      <c r="M721" s="454" t="s">
        <v>2615</v>
      </c>
      <c r="N721" s="459">
        <v>3363110</v>
      </c>
      <c r="O721" s="460">
        <v>26742062</v>
      </c>
      <c r="P721" s="462">
        <v>46992</v>
      </c>
      <c r="Q721" s="462">
        <v>41</v>
      </c>
      <c r="R721" s="462">
        <v>43963</v>
      </c>
      <c r="S721" s="463">
        <v>108</v>
      </c>
      <c r="T721" s="464">
        <v>3.6</v>
      </c>
      <c r="U721" s="465">
        <v>388.8</v>
      </c>
      <c r="V721" s="465">
        <v>10800</v>
      </c>
      <c r="W721" s="466">
        <v>0</v>
      </c>
      <c r="X721" s="467">
        <v>1</v>
      </c>
      <c r="Y721" s="466">
        <v>20833.2</v>
      </c>
      <c r="Z721" s="468" t="s">
        <v>516</v>
      </c>
      <c r="AA721" s="466">
        <v>98610.8</v>
      </c>
      <c r="AB721" s="466">
        <v>98610.8</v>
      </c>
      <c r="AC721" s="467">
        <v>0</v>
      </c>
      <c r="AD721" s="466">
        <v>0</v>
      </c>
      <c r="AE721" s="468" t="s">
        <v>516</v>
      </c>
      <c r="AF721" s="466">
        <v>0</v>
      </c>
      <c r="AG721" s="466">
        <v>0</v>
      </c>
      <c r="AH721" s="466">
        <v>14722.86</v>
      </c>
      <c r="AI721" s="466">
        <v>2838.75</v>
      </c>
      <c r="AJ721" s="469" t="s">
        <v>2614</v>
      </c>
      <c r="AK721" s="470" t="s">
        <v>2615</v>
      </c>
      <c r="AL721" s="471" t="s">
        <v>6713</v>
      </c>
      <c r="AM721" s="470" t="s">
        <v>6714</v>
      </c>
      <c r="AN721" s="470" t="s">
        <v>6711</v>
      </c>
      <c r="AO721" s="470" t="s">
        <v>15016</v>
      </c>
      <c r="AP721" s="470" t="s">
        <v>6715</v>
      </c>
      <c r="AQ721" s="470" t="s">
        <v>6709</v>
      </c>
      <c r="AR721" s="472" t="s">
        <v>515</v>
      </c>
      <c r="AS721" s="473" t="s">
        <v>1385</v>
      </c>
      <c r="AT721" s="472" t="s">
        <v>1390</v>
      </c>
      <c r="AU721" s="472" t="s">
        <v>420</v>
      </c>
      <c r="AV721" s="472">
        <v>2020</v>
      </c>
      <c r="AW721" s="474" t="s">
        <v>15078</v>
      </c>
      <c r="AX721" s="475" t="s">
        <v>15079</v>
      </c>
      <c r="AY721" s="515">
        <v>1</v>
      </c>
      <c r="AZ721" s="474" t="s">
        <v>15079</v>
      </c>
      <c r="BA721" s="472" t="s">
        <v>1390</v>
      </c>
      <c r="BB721" s="472" t="s">
        <v>516</v>
      </c>
      <c r="BC721" s="472">
        <v>4</v>
      </c>
      <c r="BD721" s="472">
        <v>2700</v>
      </c>
      <c r="BE721" s="472">
        <v>0</v>
      </c>
      <c r="BF721" s="472">
        <v>20833.2</v>
      </c>
      <c r="BG721" s="472">
        <v>0</v>
      </c>
      <c r="BH721" s="472" t="s">
        <v>1385</v>
      </c>
      <c r="BI721" s="510">
        <v>0</v>
      </c>
      <c r="BJ721" s="510">
        <v>3.42</v>
      </c>
      <c r="BK721" s="510">
        <v>0</v>
      </c>
      <c r="BL721" s="510">
        <v>0</v>
      </c>
      <c r="BM721" s="510">
        <v>0</v>
      </c>
      <c r="BN721" s="510">
        <v>2000</v>
      </c>
      <c r="BO721" s="510">
        <v>0</v>
      </c>
      <c r="BP721" s="510">
        <v>0</v>
      </c>
      <c r="BQ721" s="510">
        <v>0</v>
      </c>
      <c r="BR721" s="510">
        <v>0</v>
      </c>
      <c r="BS721" s="510">
        <v>0</v>
      </c>
      <c r="BT721" s="510">
        <v>0</v>
      </c>
      <c r="BU721" s="510">
        <v>0</v>
      </c>
      <c r="BV721" s="510">
        <v>0</v>
      </c>
      <c r="BW721" s="510">
        <v>0</v>
      </c>
      <c r="BX721" s="510">
        <v>30000</v>
      </c>
      <c r="BY721" s="1011">
        <v>0</v>
      </c>
      <c r="BZ721" s="510">
        <v>0</v>
      </c>
      <c r="CA721" s="1011">
        <v>0</v>
      </c>
      <c r="CB721" s="510">
        <v>0</v>
      </c>
      <c r="CC721" s="1011">
        <v>0</v>
      </c>
      <c r="CD721" s="510">
        <v>0</v>
      </c>
      <c r="CE721" s="1011">
        <v>0</v>
      </c>
      <c r="CF721" s="510">
        <v>47777.599999999999</v>
      </c>
      <c r="CG721" s="1011">
        <v>0</v>
      </c>
      <c r="CH721" s="510">
        <v>0</v>
      </c>
      <c r="CI721" s="1011">
        <v>0</v>
      </c>
    </row>
    <row r="722" spans="1:87" x14ac:dyDescent="0.2">
      <c r="A722" s="449">
        <v>56</v>
      </c>
      <c r="B722" s="453">
        <v>92100</v>
      </c>
      <c r="C722" s="454" t="s">
        <v>6716</v>
      </c>
      <c r="D722" s="454" t="s">
        <v>1390</v>
      </c>
      <c r="E722" s="454" t="s">
        <v>6717</v>
      </c>
      <c r="F722" s="454" t="s">
        <v>518</v>
      </c>
      <c r="G722" s="454" t="s">
        <v>13529</v>
      </c>
      <c r="H722" s="455">
        <v>52943362000110</v>
      </c>
      <c r="I722" s="462">
        <v>30594</v>
      </c>
      <c r="J722" s="457">
        <v>37531840</v>
      </c>
      <c r="K722" s="454" t="s">
        <v>6719</v>
      </c>
      <c r="L722" s="458" t="s">
        <v>1446</v>
      </c>
      <c r="M722" s="454" t="s">
        <v>6720</v>
      </c>
      <c r="N722" s="459">
        <v>3423010</v>
      </c>
      <c r="O722" s="460">
        <v>22961400</v>
      </c>
      <c r="P722" s="462">
        <v>46747</v>
      </c>
      <c r="Q722" s="462">
        <v>25</v>
      </c>
      <c r="R722" s="462">
        <v>43934</v>
      </c>
      <c r="S722" s="463">
        <v>196</v>
      </c>
      <c r="T722" s="464">
        <v>3.6</v>
      </c>
      <c r="U722" s="465">
        <v>705.6</v>
      </c>
      <c r="V722" s="465">
        <v>10800</v>
      </c>
      <c r="W722" s="466">
        <v>0</v>
      </c>
      <c r="X722" s="467">
        <v>1</v>
      </c>
      <c r="Y722" s="466">
        <v>17258.400000000001</v>
      </c>
      <c r="Z722" s="468" t="s">
        <v>516</v>
      </c>
      <c r="AA722" s="466">
        <v>88214.399999999994</v>
      </c>
      <c r="AB722" s="466">
        <v>88214.399999999994</v>
      </c>
      <c r="AC722" s="467">
        <v>0</v>
      </c>
      <c r="AD722" s="466">
        <v>0</v>
      </c>
      <c r="AE722" s="468" t="s">
        <v>516</v>
      </c>
      <c r="AF722" s="466">
        <v>2000</v>
      </c>
      <c r="AG722" s="466">
        <v>2000</v>
      </c>
      <c r="AH722" s="466">
        <v>12785.88</v>
      </c>
      <c r="AI722" s="466">
        <v>2301.12</v>
      </c>
      <c r="AJ722" s="469" t="s">
        <v>6721</v>
      </c>
      <c r="AK722" s="470" t="s">
        <v>6722</v>
      </c>
      <c r="AL722" s="471" t="s">
        <v>6723</v>
      </c>
      <c r="AM722" s="470" t="s">
        <v>6724</v>
      </c>
      <c r="AN722" s="470" t="s">
        <v>6718</v>
      </c>
      <c r="AO722" s="470" t="s">
        <v>15017</v>
      </c>
      <c r="AP722" s="470" t="s">
        <v>6725</v>
      </c>
      <c r="AQ722" s="470" t="s">
        <v>6716</v>
      </c>
      <c r="AR722" s="472" t="s">
        <v>515</v>
      </c>
      <c r="AS722" s="473" t="s">
        <v>1385</v>
      </c>
      <c r="AT722" s="472" t="s">
        <v>1390</v>
      </c>
      <c r="AU722" s="472" t="s">
        <v>420</v>
      </c>
      <c r="AV722" s="472">
        <v>2020</v>
      </c>
      <c r="AW722" s="474" t="s">
        <v>15078</v>
      </c>
      <c r="AX722" s="475" t="s">
        <v>15079</v>
      </c>
      <c r="AY722" s="515">
        <v>1</v>
      </c>
      <c r="AZ722" s="474" t="s">
        <v>15079</v>
      </c>
      <c r="BA722" s="472" t="s">
        <v>1390</v>
      </c>
      <c r="BB722" s="472" t="s">
        <v>1385</v>
      </c>
      <c r="BC722" s="472" t="s">
        <v>1385</v>
      </c>
      <c r="BD722" s="472" t="s">
        <v>1385</v>
      </c>
      <c r="BE722" s="472" t="s">
        <v>1385</v>
      </c>
      <c r="BF722" s="472">
        <v>17258.400000000001</v>
      </c>
      <c r="BG722" s="472">
        <v>0</v>
      </c>
      <c r="BH722" s="472" t="s">
        <v>1385</v>
      </c>
      <c r="BI722" s="510">
        <v>0</v>
      </c>
      <c r="BJ722" s="510">
        <v>0</v>
      </c>
      <c r="BK722" s="510">
        <v>0</v>
      </c>
      <c r="BL722" s="510">
        <v>0</v>
      </c>
      <c r="BM722" s="510">
        <v>0</v>
      </c>
      <c r="BN722" s="510">
        <v>3000</v>
      </c>
      <c r="BO722" s="510">
        <v>0</v>
      </c>
      <c r="BP722" s="510">
        <v>2000</v>
      </c>
      <c r="BQ722" s="510">
        <v>0</v>
      </c>
      <c r="BR722" s="510">
        <v>0</v>
      </c>
      <c r="BS722" s="510">
        <v>0</v>
      </c>
      <c r="BT722" s="510">
        <v>0</v>
      </c>
      <c r="BU722" s="510">
        <v>0</v>
      </c>
      <c r="BV722" s="510">
        <v>0</v>
      </c>
      <c r="BW722" s="510">
        <v>0</v>
      </c>
      <c r="BX722" s="510">
        <v>30000</v>
      </c>
      <c r="BY722" s="1011">
        <v>0</v>
      </c>
      <c r="BZ722" s="510">
        <v>0</v>
      </c>
      <c r="CA722" s="1011">
        <v>0</v>
      </c>
      <c r="CB722" s="510">
        <v>0</v>
      </c>
      <c r="CC722" s="1011">
        <v>0</v>
      </c>
      <c r="CD722" s="510">
        <v>0</v>
      </c>
      <c r="CE722" s="1011">
        <v>0</v>
      </c>
      <c r="CF722" s="510">
        <v>40956</v>
      </c>
      <c r="CG722" s="1011">
        <v>0</v>
      </c>
      <c r="CH722" s="510">
        <v>0</v>
      </c>
      <c r="CI722" s="1011">
        <v>0</v>
      </c>
    </row>
    <row r="723" spans="1:87" x14ac:dyDescent="0.2">
      <c r="A723" s="449">
        <v>84</v>
      </c>
      <c r="B723" s="453">
        <v>92118</v>
      </c>
      <c r="C723" s="454" t="s">
        <v>6726</v>
      </c>
      <c r="D723" s="454" t="s">
        <v>1390</v>
      </c>
      <c r="E723" s="454" t="s">
        <v>6727</v>
      </c>
      <c r="F723" s="454" t="s">
        <v>518</v>
      </c>
      <c r="G723" s="454" t="s">
        <v>13530</v>
      </c>
      <c r="H723" s="455">
        <v>50858943000128</v>
      </c>
      <c r="I723" s="462">
        <v>30179</v>
      </c>
      <c r="J723" s="457">
        <v>37470540</v>
      </c>
      <c r="K723" s="454" t="s">
        <v>6728</v>
      </c>
      <c r="L723" s="458">
        <v>275</v>
      </c>
      <c r="M723" s="454" t="s">
        <v>6729</v>
      </c>
      <c r="N723" s="459">
        <v>3910000</v>
      </c>
      <c r="O723" s="460">
        <v>20041057</v>
      </c>
      <c r="P723" s="462">
        <v>47166</v>
      </c>
      <c r="Q723" s="462">
        <v>53</v>
      </c>
      <c r="R723" s="462">
        <v>43934</v>
      </c>
      <c r="S723" s="463">
        <v>360</v>
      </c>
      <c r="T723" s="464">
        <v>3.6</v>
      </c>
      <c r="U723" s="465">
        <v>1296</v>
      </c>
      <c r="V723" s="465">
        <v>13680</v>
      </c>
      <c r="W723" s="466">
        <v>0</v>
      </c>
      <c r="X723" s="467">
        <v>1</v>
      </c>
      <c r="Y723" s="466">
        <v>22464</v>
      </c>
      <c r="Z723" s="468" t="s">
        <v>516</v>
      </c>
      <c r="AA723" s="466">
        <v>97516.800000000003</v>
      </c>
      <c r="AB723" s="466">
        <v>97516.800000000003</v>
      </c>
      <c r="AC723" s="467">
        <v>0</v>
      </c>
      <c r="AD723" s="466">
        <v>0</v>
      </c>
      <c r="AE723" s="468" t="s">
        <v>516</v>
      </c>
      <c r="AF723" s="466">
        <v>0</v>
      </c>
      <c r="AG723" s="466">
        <v>0</v>
      </c>
      <c r="AH723" s="466">
        <v>15835.78</v>
      </c>
      <c r="AI723" s="466">
        <v>6682.36</v>
      </c>
      <c r="AJ723" s="469" t="s">
        <v>3909</v>
      </c>
      <c r="AK723" s="470" t="s">
        <v>2615</v>
      </c>
      <c r="AL723" s="471" t="s">
        <v>6730</v>
      </c>
      <c r="AM723" s="470" t="s">
        <v>6731</v>
      </c>
      <c r="AN723" s="470" t="s">
        <v>6732</v>
      </c>
      <c r="AO723" s="470" t="s">
        <v>15018</v>
      </c>
      <c r="AP723" s="470" t="s">
        <v>6733</v>
      </c>
      <c r="AQ723" s="470" t="s">
        <v>6726</v>
      </c>
      <c r="AR723" s="472" t="s">
        <v>515</v>
      </c>
      <c r="AS723" s="473" t="s">
        <v>1385</v>
      </c>
      <c r="AT723" s="472" t="s">
        <v>1390</v>
      </c>
      <c r="AU723" s="472" t="s">
        <v>420</v>
      </c>
      <c r="AV723" s="472">
        <v>2020</v>
      </c>
      <c r="AW723" s="474" t="s">
        <v>15078</v>
      </c>
      <c r="AX723" s="475" t="s">
        <v>15079</v>
      </c>
      <c r="AY723" s="515">
        <v>1</v>
      </c>
      <c r="AZ723" s="474" t="s">
        <v>15079</v>
      </c>
      <c r="BA723" s="472" t="s">
        <v>1390</v>
      </c>
      <c r="BB723" s="472" t="s">
        <v>1385</v>
      </c>
      <c r="BC723" s="472" t="s">
        <v>1385</v>
      </c>
      <c r="BD723" s="472" t="s">
        <v>1385</v>
      </c>
      <c r="BE723" s="472" t="s">
        <v>1385</v>
      </c>
      <c r="BF723" s="472">
        <v>22464</v>
      </c>
      <c r="BG723" s="472">
        <v>0</v>
      </c>
      <c r="BH723" s="472" t="s">
        <v>1385</v>
      </c>
      <c r="BI723" s="510">
        <v>0</v>
      </c>
      <c r="BJ723" s="510">
        <v>0</v>
      </c>
      <c r="BK723" s="510">
        <v>0</v>
      </c>
      <c r="BL723" s="510">
        <v>0</v>
      </c>
      <c r="BM723" s="510">
        <v>0</v>
      </c>
      <c r="BN723" s="510">
        <v>3500</v>
      </c>
      <c r="BO723" s="510">
        <v>0</v>
      </c>
      <c r="BP723" s="510">
        <v>0</v>
      </c>
      <c r="BQ723" s="510">
        <v>0</v>
      </c>
      <c r="BR723" s="510">
        <v>0</v>
      </c>
      <c r="BS723" s="510">
        <v>0</v>
      </c>
      <c r="BT723" s="510">
        <v>0</v>
      </c>
      <c r="BU723" s="510">
        <v>0</v>
      </c>
      <c r="BV723" s="510">
        <v>0</v>
      </c>
      <c r="BW723" s="510">
        <v>0</v>
      </c>
      <c r="BX723" s="510">
        <v>30000</v>
      </c>
      <c r="BY723" s="1011">
        <v>0</v>
      </c>
      <c r="BZ723" s="510">
        <v>0</v>
      </c>
      <c r="CA723" s="1011">
        <v>0</v>
      </c>
      <c r="CB723" s="510">
        <v>0</v>
      </c>
      <c r="CC723" s="1011">
        <v>0</v>
      </c>
      <c r="CD723" s="510">
        <v>0</v>
      </c>
      <c r="CE723" s="1011">
        <v>0</v>
      </c>
      <c r="CF723" s="510">
        <v>45052.800000000003</v>
      </c>
      <c r="CG723" s="1011">
        <v>0</v>
      </c>
      <c r="CH723" s="510">
        <v>0</v>
      </c>
      <c r="CI723" s="1011">
        <v>0</v>
      </c>
    </row>
    <row r="724" spans="1:87" x14ac:dyDescent="0.2">
      <c r="A724" s="449">
        <v>115</v>
      </c>
      <c r="B724" s="453">
        <v>92126</v>
      </c>
      <c r="C724" s="454" t="s">
        <v>6734</v>
      </c>
      <c r="D724" s="454" t="s">
        <v>1390</v>
      </c>
      <c r="E724" s="454" t="s">
        <v>6735</v>
      </c>
      <c r="F724" s="454" t="s">
        <v>513</v>
      </c>
      <c r="G724" s="454" t="s">
        <v>13531</v>
      </c>
      <c r="H724" s="455">
        <v>52446804000112</v>
      </c>
      <c r="I724" s="462">
        <v>30411</v>
      </c>
      <c r="J724" s="457">
        <v>37531182</v>
      </c>
      <c r="K724" s="454" t="s">
        <v>6736</v>
      </c>
      <c r="L724" s="458">
        <v>281</v>
      </c>
      <c r="M724" s="454" t="s">
        <v>3480</v>
      </c>
      <c r="N724" s="459">
        <v>3934000</v>
      </c>
      <c r="O724" s="460">
        <v>27213214</v>
      </c>
      <c r="P724" s="462">
        <v>152083</v>
      </c>
      <c r="Q724" s="462">
        <v>115</v>
      </c>
      <c r="R724" s="462">
        <v>43937</v>
      </c>
      <c r="S724" s="463">
        <v>371</v>
      </c>
      <c r="T724" s="464">
        <v>3.6</v>
      </c>
      <c r="U724" s="465">
        <v>1335.6</v>
      </c>
      <c r="V724" s="465">
        <v>13680</v>
      </c>
      <c r="W724" s="466">
        <v>0</v>
      </c>
      <c r="X724" s="467">
        <v>1</v>
      </c>
      <c r="Y724" s="466">
        <v>22523.4</v>
      </c>
      <c r="Z724" s="468" t="s">
        <v>516</v>
      </c>
      <c r="AA724" s="466">
        <v>100701</v>
      </c>
      <c r="AB724" s="466">
        <v>100701</v>
      </c>
      <c r="AC724" s="467">
        <v>0</v>
      </c>
      <c r="AD724" s="466">
        <v>0</v>
      </c>
      <c r="AE724" s="468" t="s">
        <v>516</v>
      </c>
      <c r="AF724" s="466">
        <v>0</v>
      </c>
      <c r="AG724" s="466">
        <v>0</v>
      </c>
      <c r="AH724" s="466">
        <v>12348.2</v>
      </c>
      <c r="AI724" s="466">
        <v>75.41</v>
      </c>
      <c r="AJ724" s="469" t="s">
        <v>3909</v>
      </c>
      <c r="AK724" s="470" t="s">
        <v>6737</v>
      </c>
      <c r="AL724" s="471" t="s">
        <v>6738</v>
      </c>
      <c r="AM724" s="470" t="s">
        <v>6739</v>
      </c>
      <c r="AN724" s="470" t="s">
        <v>6740</v>
      </c>
      <c r="AO724" s="470" t="s">
        <v>6741</v>
      </c>
      <c r="AP724" s="470" t="s">
        <v>6742</v>
      </c>
      <c r="AQ724" s="470" t="s">
        <v>6734</v>
      </c>
      <c r="AR724" s="472" t="s">
        <v>515</v>
      </c>
      <c r="AS724" s="473" t="s">
        <v>1385</v>
      </c>
      <c r="AT724" s="472" t="s">
        <v>1390</v>
      </c>
      <c r="AU724" s="472" t="s">
        <v>420</v>
      </c>
      <c r="AV724" s="472">
        <v>2020</v>
      </c>
      <c r="AW724" s="474" t="s">
        <v>15078</v>
      </c>
      <c r="AX724" s="475" t="s">
        <v>15079</v>
      </c>
      <c r="AY724" s="515">
        <v>1</v>
      </c>
      <c r="AZ724" s="474" t="s">
        <v>15079</v>
      </c>
      <c r="BA724" s="472" t="s">
        <v>1390</v>
      </c>
      <c r="BB724" s="472" t="s">
        <v>1385</v>
      </c>
      <c r="BC724" s="472" t="s">
        <v>1385</v>
      </c>
      <c r="BD724" s="472" t="s">
        <v>1385</v>
      </c>
      <c r="BE724" s="472" t="s">
        <v>1385</v>
      </c>
      <c r="BF724" s="472">
        <v>22523.4</v>
      </c>
      <c r="BG724" s="472">
        <v>0</v>
      </c>
      <c r="BH724" s="472" t="s">
        <v>1385</v>
      </c>
      <c r="BI724" s="510">
        <v>0</v>
      </c>
      <c r="BJ724" s="510">
        <v>0</v>
      </c>
      <c r="BK724" s="510">
        <v>0</v>
      </c>
      <c r="BL724" s="510">
        <v>0</v>
      </c>
      <c r="BM724" s="510">
        <v>0</v>
      </c>
      <c r="BN724" s="510">
        <v>3500</v>
      </c>
      <c r="BO724" s="510">
        <v>0</v>
      </c>
      <c r="BP724" s="510">
        <v>0</v>
      </c>
      <c r="BQ724" s="510">
        <v>0</v>
      </c>
      <c r="BR724" s="510">
        <v>0</v>
      </c>
      <c r="BS724" s="510">
        <v>0</v>
      </c>
      <c r="BT724" s="510">
        <v>0</v>
      </c>
      <c r="BU724" s="510">
        <v>0</v>
      </c>
      <c r="BV724" s="510">
        <v>0</v>
      </c>
      <c r="BW724" s="510">
        <v>0</v>
      </c>
      <c r="BX724" s="510">
        <v>30000</v>
      </c>
      <c r="BY724" s="1011">
        <v>0</v>
      </c>
      <c r="BZ724" s="510">
        <v>0</v>
      </c>
      <c r="CA724" s="1011">
        <v>0</v>
      </c>
      <c r="CB724" s="510">
        <v>0</v>
      </c>
      <c r="CC724" s="1011">
        <v>0</v>
      </c>
      <c r="CD724" s="510">
        <v>0</v>
      </c>
      <c r="CE724" s="1011">
        <v>0</v>
      </c>
      <c r="CF724" s="510">
        <v>48177.599999999999</v>
      </c>
      <c r="CG724" s="1011">
        <v>0</v>
      </c>
      <c r="CH724" s="510">
        <v>0</v>
      </c>
      <c r="CI724" s="1011">
        <v>0</v>
      </c>
    </row>
    <row r="725" spans="1:87" x14ac:dyDescent="0.2">
      <c r="A725" s="449">
        <v>86</v>
      </c>
      <c r="B725" s="453">
        <v>92134</v>
      </c>
      <c r="C725" s="454" t="s">
        <v>6743</v>
      </c>
      <c r="D725" s="454" t="s">
        <v>1390</v>
      </c>
      <c r="E725" s="454" t="s">
        <v>6744</v>
      </c>
      <c r="F725" s="454" t="s">
        <v>518</v>
      </c>
      <c r="G725" s="454" t="s">
        <v>13532</v>
      </c>
      <c r="H725" s="455">
        <v>52026572000143</v>
      </c>
      <c r="I725" s="462">
        <v>30266</v>
      </c>
      <c r="J725" s="457">
        <v>37474723</v>
      </c>
      <c r="K725" s="454" t="s">
        <v>6746</v>
      </c>
      <c r="L725" s="458">
        <v>395</v>
      </c>
      <c r="M725" s="454" t="s">
        <v>4038</v>
      </c>
      <c r="N725" s="459">
        <v>3451000</v>
      </c>
      <c r="O725" s="460">
        <v>27830893</v>
      </c>
      <c r="P725" s="462">
        <v>47182</v>
      </c>
      <c r="Q725" s="462">
        <v>55</v>
      </c>
      <c r="R725" s="462">
        <v>43934</v>
      </c>
      <c r="S725" s="463">
        <v>402</v>
      </c>
      <c r="T725" s="464">
        <v>3.6</v>
      </c>
      <c r="U725" s="465">
        <v>1447.2</v>
      </c>
      <c r="V725" s="465">
        <v>15120</v>
      </c>
      <c r="W725" s="466">
        <v>0</v>
      </c>
      <c r="X725" s="467">
        <v>1</v>
      </c>
      <c r="Y725" s="466">
        <v>24850.799999999999</v>
      </c>
      <c r="Z725" s="468" t="s">
        <v>516</v>
      </c>
      <c r="AA725" s="466">
        <v>103086</v>
      </c>
      <c r="AB725" s="466">
        <v>103086</v>
      </c>
      <c r="AC725" s="467">
        <v>0</v>
      </c>
      <c r="AD725" s="466">
        <v>0</v>
      </c>
      <c r="AE725" s="468" t="s">
        <v>516</v>
      </c>
      <c r="AF725" s="466">
        <v>0</v>
      </c>
      <c r="AG725" s="466">
        <v>0</v>
      </c>
      <c r="AH725" s="466">
        <v>2028.77</v>
      </c>
      <c r="AI725" s="466">
        <v>0</v>
      </c>
      <c r="AJ725" s="469" t="s">
        <v>2614</v>
      </c>
      <c r="AK725" s="470" t="s">
        <v>2615</v>
      </c>
      <c r="AL725" s="471" t="s">
        <v>3000</v>
      </c>
      <c r="AM725" s="470" t="s">
        <v>6747</v>
      </c>
      <c r="AN725" s="470" t="s">
        <v>6745</v>
      </c>
      <c r="AO725" s="470" t="s">
        <v>15019</v>
      </c>
      <c r="AP725" s="470" t="s">
        <v>6748</v>
      </c>
      <c r="AQ725" s="470" t="s">
        <v>6743</v>
      </c>
      <c r="AR725" s="472" t="s">
        <v>515</v>
      </c>
      <c r="AS725" s="473" t="s">
        <v>1385</v>
      </c>
      <c r="AT725" s="472" t="s">
        <v>1390</v>
      </c>
      <c r="AU725" s="472" t="s">
        <v>420</v>
      </c>
      <c r="AV725" s="472">
        <v>2020</v>
      </c>
      <c r="AW725" s="474" t="s">
        <v>15078</v>
      </c>
      <c r="AX725" s="475" t="s">
        <v>15079</v>
      </c>
      <c r="AY725" s="515">
        <v>1</v>
      </c>
      <c r="AZ725" s="474" t="s">
        <v>15079</v>
      </c>
      <c r="BA725" s="472" t="s">
        <v>1390</v>
      </c>
      <c r="BB725" s="472" t="s">
        <v>1385</v>
      </c>
      <c r="BC725" s="472" t="s">
        <v>1385</v>
      </c>
      <c r="BD725" s="472" t="s">
        <v>1385</v>
      </c>
      <c r="BE725" s="472" t="s">
        <v>1385</v>
      </c>
      <c r="BF725" s="472">
        <v>24850.799999999999</v>
      </c>
      <c r="BG725" s="472">
        <v>0</v>
      </c>
      <c r="BH725" s="472" t="s">
        <v>1385</v>
      </c>
      <c r="BI725" s="510">
        <v>0</v>
      </c>
      <c r="BJ725" s="510">
        <v>0</v>
      </c>
      <c r="BK725" s="510">
        <v>0</v>
      </c>
      <c r="BL725" s="510">
        <v>0</v>
      </c>
      <c r="BM725" s="510">
        <v>0</v>
      </c>
      <c r="BN725" s="510">
        <v>4000</v>
      </c>
      <c r="BO725" s="510">
        <v>0</v>
      </c>
      <c r="BP725" s="510">
        <v>0</v>
      </c>
      <c r="BQ725" s="510">
        <v>0</v>
      </c>
      <c r="BR725" s="510">
        <v>0</v>
      </c>
      <c r="BS725" s="510">
        <v>0</v>
      </c>
      <c r="BT725" s="510">
        <v>0</v>
      </c>
      <c r="BU725" s="510">
        <v>0</v>
      </c>
      <c r="BV725" s="510">
        <v>0</v>
      </c>
      <c r="BW725" s="510">
        <v>0</v>
      </c>
      <c r="BX725" s="510">
        <v>30000</v>
      </c>
      <c r="BY725" s="1011">
        <v>0</v>
      </c>
      <c r="BZ725" s="510">
        <v>0</v>
      </c>
      <c r="CA725" s="1011">
        <v>0</v>
      </c>
      <c r="CB725" s="510">
        <v>0</v>
      </c>
      <c r="CC725" s="1011">
        <v>0</v>
      </c>
      <c r="CD725" s="510">
        <v>0</v>
      </c>
      <c r="CE725" s="1011">
        <v>0</v>
      </c>
      <c r="CF725" s="510">
        <v>48235.199999999997</v>
      </c>
      <c r="CG725" s="1011">
        <v>0</v>
      </c>
      <c r="CH725" s="510">
        <v>0</v>
      </c>
      <c r="CI725" s="1011">
        <v>0</v>
      </c>
    </row>
    <row r="726" spans="1:87" x14ac:dyDescent="0.2">
      <c r="A726" s="449">
        <v>90</v>
      </c>
      <c r="B726" s="453">
        <v>92142</v>
      </c>
      <c r="C726" s="454" t="s">
        <v>6749</v>
      </c>
      <c r="D726" s="454" t="s">
        <v>1390</v>
      </c>
      <c r="E726" s="454" t="s">
        <v>6750</v>
      </c>
      <c r="F726" s="454" t="s">
        <v>518</v>
      </c>
      <c r="G726" s="454" t="s">
        <v>13533</v>
      </c>
      <c r="H726" s="455">
        <v>52172087000188</v>
      </c>
      <c r="I726" s="462">
        <v>30385</v>
      </c>
      <c r="J726" s="457">
        <v>37469312</v>
      </c>
      <c r="K726" s="454" t="s">
        <v>6752</v>
      </c>
      <c r="L726" s="458" t="s">
        <v>1446</v>
      </c>
      <c r="M726" s="454" t="s">
        <v>6753</v>
      </c>
      <c r="N726" s="459">
        <v>3444090</v>
      </c>
      <c r="O726" s="460">
        <v>29411368</v>
      </c>
      <c r="P726" s="462">
        <v>47220</v>
      </c>
      <c r="Q726" s="462">
        <v>59</v>
      </c>
      <c r="R726" s="462">
        <v>43963</v>
      </c>
      <c r="S726" s="463">
        <v>485</v>
      </c>
      <c r="T726" s="464">
        <v>3.6</v>
      </c>
      <c r="U726" s="465">
        <v>1746</v>
      </c>
      <c r="V726" s="465">
        <v>15120</v>
      </c>
      <c r="W726" s="466">
        <v>0</v>
      </c>
      <c r="X726" s="467">
        <v>1</v>
      </c>
      <c r="Y726" s="466">
        <v>25299</v>
      </c>
      <c r="Z726" s="468" t="s">
        <v>516</v>
      </c>
      <c r="AA726" s="466">
        <v>104045.4</v>
      </c>
      <c r="AB726" s="466">
        <v>104045.4</v>
      </c>
      <c r="AC726" s="467">
        <v>0</v>
      </c>
      <c r="AD726" s="466">
        <v>0</v>
      </c>
      <c r="AE726" s="468" t="s">
        <v>516</v>
      </c>
      <c r="AF726" s="466">
        <v>0</v>
      </c>
      <c r="AG726" s="466">
        <v>0</v>
      </c>
      <c r="AH726" s="466">
        <v>16601.259999999998</v>
      </c>
      <c r="AI726" s="466">
        <v>12642.26</v>
      </c>
      <c r="AJ726" s="469" t="s">
        <v>5766</v>
      </c>
      <c r="AK726" s="470" t="s">
        <v>2629</v>
      </c>
      <c r="AL726" s="471" t="s">
        <v>6754</v>
      </c>
      <c r="AM726" s="470" t="s">
        <v>6755</v>
      </c>
      <c r="AN726" s="470" t="s">
        <v>6751</v>
      </c>
      <c r="AO726" s="470" t="s">
        <v>15020</v>
      </c>
      <c r="AP726" s="470" t="s">
        <v>6756</v>
      </c>
      <c r="AQ726" s="470" t="s">
        <v>6749</v>
      </c>
      <c r="AR726" s="472" t="s">
        <v>515</v>
      </c>
      <c r="AS726" s="473" t="s">
        <v>1385</v>
      </c>
      <c r="AT726" s="472" t="s">
        <v>1390</v>
      </c>
      <c r="AU726" s="472" t="s">
        <v>420</v>
      </c>
      <c r="AV726" s="472">
        <v>2020</v>
      </c>
      <c r="AW726" s="474" t="s">
        <v>15078</v>
      </c>
      <c r="AX726" s="475" t="s">
        <v>15079</v>
      </c>
      <c r="AY726" s="515">
        <v>1</v>
      </c>
      <c r="AZ726" s="474" t="s">
        <v>15079</v>
      </c>
      <c r="BA726" s="472" t="s">
        <v>1390</v>
      </c>
      <c r="BB726" s="472" t="s">
        <v>1385</v>
      </c>
      <c r="BC726" s="472" t="s">
        <v>1385</v>
      </c>
      <c r="BD726" s="472" t="s">
        <v>1385</v>
      </c>
      <c r="BE726" s="472" t="s">
        <v>1385</v>
      </c>
      <c r="BF726" s="472">
        <v>25299</v>
      </c>
      <c r="BG726" s="472">
        <v>0</v>
      </c>
      <c r="BH726" s="472" t="s">
        <v>1385</v>
      </c>
      <c r="BI726" s="510">
        <v>0</v>
      </c>
      <c r="BJ726" s="510">
        <v>0</v>
      </c>
      <c r="BK726" s="510">
        <v>0</v>
      </c>
      <c r="BL726" s="510">
        <v>0</v>
      </c>
      <c r="BM726" s="510">
        <v>0</v>
      </c>
      <c r="BN726" s="510">
        <v>0</v>
      </c>
      <c r="BO726" s="510">
        <v>0</v>
      </c>
      <c r="BP726" s="510">
        <v>0</v>
      </c>
      <c r="BQ726" s="510">
        <v>0</v>
      </c>
      <c r="BR726" s="510">
        <v>0</v>
      </c>
      <c r="BS726" s="510">
        <v>0</v>
      </c>
      <c r="BT726" s="510">
        <v>0</v>
      </c>
      <c r="BU726" s="510">
        <v>0</v>
      </c>
      <c r="BV726" s="510">
        <v>0</v>
      </c>
      <c r="BW726" s="510">
        <v>0</v>
      </c>
      <c r="BX726" s="510">
        <v>30000</v>
      </c>
      <c r="BY726" s="1011">
        <v>0</v>
      </c>
      <c r="BZ726" s="510">
        <v>0</v>
      </c>
      <c r="CA726" s="1011">
        <v>0</v>
      </c>
      <c r="CB726" s="510">
        <v>0</v>
      </c>
      <c r="CC726" s="1011">
        <v>0</v>
      </c>
      <c r="CD726" s="510">
        <v>0</v>
      </c>
      <c r="CE726" s="1011">
        <v>0</v>
      </c>
      <c r="CF726" s="510">
        <v>48746.400000000001</v>
      </c>
      <c r="CG726" s="1011">
        <v>0</v>
      </c>
      <c r="CH726" s="510">
        <v>0</v>
      </c>
      <c r="CI726" s="1011">
        <v>0</v>
      </c>
    </row>
    <row r="727" spans="1:87" x14ac:dyDescent="0.2">
      <c r="A727" s="449">
        <v>85</v>
      </c>
      <c r="B727" s="453">
        <v>92151</v>
      </c>
      <c r="C727" s="454" t="s">
        <v>6757</v>
      </c>
      <c r="D727" s="454" t="s">
        <v>1390</v>
      </c>
      <c r="E727" s="454" t="s">
        <v>6758</v>
      </c>
      <c r="F727" s="454" t="s">
        <v>527</v>
      </c>
      <c r="G727" s="454" t="s">
        <v>13534</v>
      </c>
      <c r="H727" s="455">
        <v>52036571000180</v>
      </c>
      <c r="I727" s="462">
        <v>30279</v>
      </c>
      <c r="J727" s="457">
        <v>37593307</v>
      </c>
      <c r="K727" s="454" t="s">
        <v>1921</v>
      </c>
      <c r="L727" s="458">
        <v>134</v>
      </c>
      <c r="M727" s="454" t="s">
        <v>1922</v>
      </c>
      <c r="N727" s="459">
        <v>3021020</v>
      </c>
      <c r="O727" s="460">
        <v>26947365</v>
      </c>
      <c r="P727" s="462">
        <v>205640</v>
      </c>
      <c r="Q727" s="462">
        <v>46</v>
      </c>
      <c r="R727" s="462">
        <v>43917</v>
      </c>
      <c r="S727" s="463">
        <v>440</v>
      </c>
      <c r="T727" s="464">
        <v>3.6</v>
      </c>
      <c r="U727" s="465">
        <v>1584</v>
      </c>
      <c r="V727" s="465">
        <v>15120</v>
      </c>
      <c r="W727" s="466">
        <v>0</v>
      </c>
      <c r="X727" s="467">
        <v>1</v>
      </c>
      <c r="Y727" s="466">
        <v>25056</v>
      </c>
      <c r="Z727" s="468" t="s">
        <v>516</v>
      </c>
      <c r="AA727" s="466">
        <v>103867.2</v>
      </c>
      <c r="AB727" s="466">
        <v>103867.2</v>
      </c>
      <c r="AC727" s="467">
        <v>0</v>
      </c>
      <c r="AD727" s="466">
        <v>0</v>
      </c>
      <c r="AE727" s="468" t="s">
        <v>516</v>
      </c>
      <c r="AF727" s="466">
        <v>0</v>
      </c>
      <c r="AG727" s="466">
        <v>0</v>
      </c>
      <c r="AH727" s="466">
        <v>5598.54</v>
      </c>
      <c r="AI727" s="466">
        <v>4547.8</v>
      </c>
      <c r="AJ727" s="469" t="s">
        <v>1923</v>
      </c>
      <c r="AK727" s="470" t="s">
        <v>1922</v>
      </c>
      <c r="AL727" s="471" t="s">
        <v>6759</v>
      </c>
      <c r="AM727" s="470" t="s">
        <v>6760</v>
      </c>
      <c r="AN727" s="470" t="s">
        <v>13535</v>
      </c>
      <c r="AO727" s="470" t="s">
        <v>13536</v>
      </c>
      <c r="AP727" s="470" t="s">
        <v>6761</v>
      </c>
      <c r="AQ727" s="470" t="s">
        <v>6757</v>
      </c>
      <c r="AR727" s="472" t="s">
        <v>515</v>
      </c>
      <c r="AS727" s="473" t="s">
        <v>1385</v>
      </c>
      <c r="AT727" s="472" t="s">
        <v>1390</v>
      </c>
      <c r="AU727" s="472" t="s">
        <v>420</v>
      </c>
      <c r="AV727" s="472">
        <v>2020</v>
      </c>
      <c r="AW727" s="474" t="s">
        <v>15078</v>
      </c>
      <c r="AX727" s="475" t="s">
        <v>15079</v>
      </c>
      <c r="AY727" s="515">
        <v>1</v>
      </c>
      <c r="AZ727" s="474" t="s">
        <v>15079</v>
      </c>
      <c r="BA727" s="472" t="s">
        <v>1390</v>
      </c>
      <c r="BB727" s="472" t="s">
        <v>1385</v>
      </c>
      <c r="BC727" s="472" t="s">
        <v>1385</v>
      </c>
      <c r="BD727" s="472" t="s">
        <v>1385</v>
      </c>
      <c r="BE727" s="472" t="s">
        <v>1385</v>
      </c>
      <c r="BF727" s="472">
        <v>25056</v>
      </c>
      <c r="BG727" s="472">
        <v>0</v>
      </c>
      <c r="BH727" s="472" t="s">
        <v>1385</v>
      </c>
      <c r="BI727" s="510">
        <v>0</v>
      </c>
      <c r="BJ727" s="510">
        <v>239.59</v>
      </c>
      <c r="BK727" s="510">
        <v>0</v>
      </c>
      <c r="BL727" s="510">
        <v>0</v>
      </c>
      <c r="BM727" s="510">
        <v>0</v>
      </c>
      <c r="BN727" s="510">
        <v>4000</v>
      </c>
      <c r="BO727" s="510">
        <v>0</v>
      </c>
      <c r="BP727" s="510">
        <v>0</v>
      </c>
      <c r="BQ727" s="510">
        <v>0</v>
      </c>
      <c r="BR727" s="510">
        <v>0</v>
      </c>
      <c r="BS727" s="510">
        <v>0</v>
      </c>
      <c r="BT727" s="510">
        <v>0</v>
      </c>
      <c r="BU727" s="510">
        <v>0</v>
      </c>
      <c r="BV727" s="510">
        <v>0</v>
      </c>
      <c r="BW727" s="510">
        <v>0</v>
      </c>
      <c r="BX727" s="510">
        <v>30000</v>
      </c>
      <c r="BY727" s="1011">
        <v>0</v>
      </c>
      <c r="BZ727" s="510">
        <v>0</v>
      </c>
      <c r="CA727" s="1011">
        <v>0</v>
      </c>
      <c r="CB727" s="510">
        <v>0</v>
      </c>
      <c r="CC727" s="1011">
        <v>0</v>
      </c>
      <c r="CD727" s="510">
        <v>0</v>
      </c>
      <c r="CE727" s="1011">
        <v>0</v>
      </c>
      <c r="CF727" s="510">
        <v>48811.199999999997</v>
      </c>
      <c r="CG727" s="1011">
        <v>0</v>
      </c>
      <c r="CH727" s="510">
        <v>0</v>
      </c>
      <c r="CI727" s="1011">
        <v>0</v>
      </c>
    </row>
    <row r="728" spans="1:87" x14ac:dyDescent="0.2">
      <c r="A728" s="449">
        <v>68</v>
      </c>
      <c r="B728" s="453">
        <v>92169</v>
      </c>
      <c r="C728" s="454" t="s">
        <v>6762</v>
      </c>
      <c r="D728" s="454" t="s">
        <v>1390</v>
      </c>
      <c r="E728" s="454" t="s">
        <v>6763</v>
      </c>
      <c r="F728" s="454" t="s">
        <v>525</v>
      </c>
      <c r="G728" s="454" t="s">
        <v>13537</v>
      </c>
      <c r="H728" s="455">
        <v>50951003000189</v>
      </c>
      <c r="I728" s="462">
        <v>30193</v>
      </c>
      <c r="J728" s="457">
        <v>37387294</v>
      </c>
      <c r="K728" s="454" t="s">
        <v>6764</v>
      </c>
      <c r="L728" s="458">
        <v>1592</v>
      </c>
      <c r="M728" s="454" t="s">
        <v>4525</v>
      </c>
      <c r="N728" s="459">
        <v>2071002</v>
      </c>
      <c r="O728" s="460">
        <v>29096948</v>
      </c>
      <c r="P728" s="462">
        <v>334530</v>
      </c>
      <c r="Q728" s="462">
        <v>68</v>
      </c>
      <c r="R728" s="462">
        <v>43950</v>
      </c>
      <c r="S728" s="463">
        <v>345</v>
      </c>
      <c r="T728" s="464">
        <v>3.6</v>
      </c>
      <c r="U728" s="465">
        <v>1242</v>
      </c>
      <c r="V728" s="465">
        <v>13680</v>
      </c>
      <c r="W728" s="466">
        <v>0</v>
      </c>
      <c r="X728" s="467">
        <v>1</v>
      </c>
      <c r="Y728" s="466">
        <v>22383</v>
      </c>
      <c r="Z728" s="468" t="s">
        <v>516</v>
      </c>
      <c r="AA728" s="466">
        <v>97248.6</v>
      </c>
      <c r="AB728" s="466">
        <v>97248.6</v>
      </c>
      <c r="AC728" s="467">
        <v>0</v>
      </c>
      <c r="AD728" s="466">
        <v>0</v>
      </c>
      <c r="AE728" s="468" t="s">
        <v>516</v>
      </c>
      <c r="AF728" s="466">
        <v>0</v>
      </c>
      <c r="AG728" s="466">
        <v>0</v>
      </c>
      <c r="AH728" s="466">
        <v>14761.94</v>
      </c>
      <c r="AI728" s="466">
        <v>4404.07</v>
      </c>
      <c r="AJ728" s="469" t="s">
        <v>1448</v>
      </c>
      <c r="AK728" s="470" t="s">
        <v>1449</v>
      </c>
      <c r="AL728" s="471" t="s">
        <v>6765</v>
      </c>
      <c r="AM728" s="470" t="s">
        <v>6766</v>
      </c>
      <c r="AN728" s="470" t="s">
        <v>6767</v>
      </c>
      <c r="AO728" s="470" t="s">
        <v>6768</v>
      </c>
      <c r="AP728" s="470" t="s">
        <v>6769</v>
      </c>
      <c r="AQ728" s="470" t="s">
        <v>6762</v>
      </c>
      <c r="AR728" s="472" t="s">
        <v>515</v>
      </c>
      <c r="AS728" s="473" t="s">
        <v>1385</v>
      </c>
      <c r="AT728" s="472" t="s">
        <v>1390</v>
      </c>
      <c r="AU728" s="472" t="s">
        <v>420</v>
      </c>
      <c r="AV728" s="472">
        <v>2020</v>
      </c>
      <c r="AW728" s="474" t="s">
        <v>15078</v>
      </c>
      <c r="AX728" s="475" t="s">
        <v>15079</v>
      </c>
      <c r="AY728" s="515">
        <v>1</v>
      </c>
      <c r="AZ728" s="474" t="s">
        <v>15079</v>
      </c>
      <c r="BA728" s="472" t="s">
        <v>1390</v>
      </c>
      <c r="BB728" s="472" t="s">
        <v>1385</v>
      </c>
      <c r="BC728" s="472" t="s">
        <v>1385</v>
      </c>
      <c r="BD728" s="472" t="s">
        <v>1385</v>
      </c>
      <c r="BE728" s="472" t="s">
        <v>1385</v>
      </c>
      <c r="BF728" s="472">
        <v>22383</v>
      </c>
      <c r="BG728" s="472">
        <v>0</v>
      </c>
      <c r="BH728" s="472" t="s">
        <v>1385</v>
      </c>
      <c r="BI728" s="510">
        <v>0</v>
      </c>
      <c r="BJ728" s="510">
        <v>0</v>
      </c>
      <c r="BK728" s="510">
        <v>0</v>
      </c>
      <c r="BL728" s="510">
        <v>0</v>
      </c>
      <c r="BM728" s="510">
        <v>0</v>
      </c>
      <c r="BN728" s="510">
        <v>3500</v>
      </c>
      <c r="BO728" s="510">
        <v>0</v>
      </c>
      <c r="BP728" s="510">
        <v>0</v>
      </c>
      <c r="BQ728" s="510">
        <v>0</v>
      </c>
      <c r="BR728" s="510">
        <v>0</v>
      </c>
      <c r="BS728" s="510">
        <v>0</v>
      </c>
      <c r="BT728" s="510">
        <v>0</v>
      </c>
      <c r="BU728" s="510">
        <v>0</v>
      </c>
      <c r="BV728" s="510">
        <v>0</v>
      </c>
      <c r="BW728" s="510">
        <v>0</v>
      </c>
      <c r="BX728" s="510">
        <v>30000</v>
      </c>
      <c r="BY728" s="1011">
        <v>0</v>
      </c>
      <c r="BZ728" s="510">
        <v>0</v>
      </c>
      <c r="CA728" s="1011">
        <v>0</v>
      </c>
      <c r="CB728" s="510">
        <v>0</v>
      </c>
      <c r="CC728" s="1011">
        <v>0</v>
      </c>
      <c r="CD728" s="510">
        <v>0</v>
      </c>
      <c r="CE728" s="1011">
        <v>0</v>
      </c>
      <c r="CF728" s="510">
        <v>44865.599999999999</v>
      </c>
      <c r="CG728" s="1011">
        <v>0</v>
      </c>
      <c r="CH728" s="510">
        <v>0</v>
      </c>
      <c r="CI728" s="1011">
        <v>0</v>
      </c>
    </row>
    <row r="729" spans="1:87" x14ac:dyDescent="0.2">
      <c r="A729" s="449">
        <v>90</v>
      </c>
      <c r="B729" s="453">
        <v>92177</v>
      </c>
      <c r="C729" s="454" t="s">
        <v>6770</v>
      </c>
      <c r="D729" s="454" t="s">
        <v>1390</v>
      </c>
      <c r="E729" s="454" t="s">
        <v>6771</v>
      </c>
      <c r="F729" s="454" t="s">
        <v>525</v>
      </c>
      <c r="G729" s="454" t="s">
        <v>13538</v>
      </c>
      <c r="H729" s="455">
        <v>52030004000116</v>
      </c>
      <c r="I729" s="462">
        <v>30271</v>
      </c>
      <c r="J729" s="457">
        <v>37410644</v>
      </c>
      <c r="K729" s="454" t="s">
        <v>6772</v>
      </c>
      <c r="L729" s="458">
        <v>1062</v>
      </c>
      <c r="M729" s="454" t="s">
        <v>6773</v>
      </c>
      <c r="N729" s="459">
        <v>2118001</v>
      </c>
      <c r="O729" s="460">
        <v>29540239</v>
      </c>
      <c r="P729" s="462">
        <v>336095</v>
      </c>
      <c r="Q729" s="462">
        <v>90</v>
      </c>
      <c r="R729" s="462">
        <v>43950</v>
      </c>
      <c r="S729" s="463">
        <v>508</v>
      </c>
      <c r="T729" s="464">
        <v>3.6</v>
      </c>
      <c r="U729" s="465">
        <v>1828.8</v>
      </c>
      <c r="V729" s="465">
        <v>16560</v>
      </c>
      <c r="W729" s="466">
        <v>0</v>
      </c>
      <c r="X729" s="467">
        <v>1</v>
      </c>
      <c r="Y729" s="466">
        <v>27583.200000000001</v>
      </c>
      <c r="Z729" s="468" t="s">
        <v>516</v>
      </c>
      <c r="AA729" s="466">
        <v>109332</v>
      </c>
      <c r="AB729" s="466">
        <v>109332</v>
      </c>
      <c r="AC729" s="467">
        <v>0</v>
      </c>
      <c r="AD729" s="466">
        <v>0</v>
      </c>
      <c r="AE729" s="468" t="s">
        <v>516</v>
      </c>
      <c r="AF729" s="466">
        <v>0</v>
      </c>
      <c r="AG729" s="466">
        <v>0</v>
      </c>
      <c r="AH729" s="466">
        <v>27678.9</v>
      </c>
      <c r="AI729" s="466">
        <v>20807.7</v>
      </c>
      <c r="AJ729" s="469" t="s">
        <v>1448</v>
      </c>
      <c r="AK729" s="470" t="s">
        <v>1449</v>
      </c>
      <c r="AL729" s="471" t="s">
        <v>6774</v>
      </c>
      <c r="AM729" s="470" t="s">
        <v>13539</v>
      </c>
      <c r="AN729" s="470" t="s">
        <v>6776</v>
      </c>
      <c r="AO729" s="470" t="s">
        <v>13540</v>
      </c>
      <c r="AP729" s="470" t="s">
        <v>6777</v>
      </c>
      <c r="AQ729" s="470" t="s">
        <v>6770</v>
      </c>
      <c r="AR729" s="472" t="s">
        <v>515</v>
      </c>
      <c r="AS729" s="473" t="s">
        <v>1385</v>
      </c>
      <c r="AT729" s="472" t="s">
        <v>1390</v>
      </c>
      <c r="AU729" s="472" t="s">
        <v>420</v>
      </c>
      <c r="AV729" s="472">
        <v>2020</v>
      </c>
      <c r="AW729" s="474" t="s">
        <v>15078</v>
      </c>
      <c r="AX729" s="475" t="s">
        <v>15079</v>
      </c>
      <c r="AY729" s="515">
        <v>1</v>
      </c>
      <c r="AZ729" s="474" t="s">
        <v>15079</v>
      </c>
      <c r="BA729" s="472" t="s">
        <v>1390</v>
      </c>
      <c r="BB729" s="472" t="s">
        <v>1385</v>
      </c>
      <c r="BC729" s="472" t="s">
        <v>1385</v>
      </c>
      <c r="BD729" s="472" t="s">
        <v>1385</v>
      </c>
      <c r="BE729" s="472" t="s">
        <v>1385</v>
      </c>
      <c r="BF729" s="472">
        <v>27583.200000000001</v>
      </c>
      <c r="BG729" s="472">
        <v>0</v>
      </c>
      <c r="BH729" s="472" t="s">
        <v>1385</v>
      </c>
      <c r="BI729" s="510">
        <v>0</v>
      </c>
      <c r="BJ729" s="510">
        <v>0</v>
      </c>
      <c r="BK729" s="510">
        <v>0</v>
      </c>
      <c r="BL729" s="510">
        <v>0</v>
      </c>
      <c r="BM729" s="510">
        <v>0</v>
      </c>
      <c r="BN729" s="510">
        <v>4000</v>
      </c>
      <c r="BO729" s="510">
        <v>0</v>
      </c>
      <c r="BP729" s="510">
        <v>0</v>
      </c>
      <c r="BQ729" s="510">
        <v>0</v>
      </c>
      <c r="BR729" s="510">
        <v>0</v>
      </c>
      <c r="BS729" s="510">
        <v>0</v>
      </c>
      <c r="BT729" s="510">
        <v>0</v>
      </c>
      <c r="BU729" s="510">
        <v>0</v>
      </c>
      <c r="BV729" s="510">
        <v>0</v>
      </c>
      <c r="BW729" s="510">
        <v>0</v>
      </c>
      <c r="BX729" s="510">
        <v>30000</v>
      </c>
      <c r="BY729" s="1011">
        <v>0</v>
      </c>
      <c r="BZ729" s="510">
        <v>0</v>
      </c>
      <c r="CA729" s="1011">
        <v>0</v>
      </c>
      <c r="CB729" s="510">
        <v>0</v>
      </c>
      <c r="CC729" s="1011">
        <v>0</v>
      </c>
      <c r="CD729" s="510">
        <v>0</v>
      </c>
      <c r="CE729" s="1011">
        <v>0</v>
      </c>
      <c r="CF729" s="510">
        <v>51748.800000000003</v>
      </c>
      <c r="CG729" s="1011">
        <v>0</v>
      </c>
      <c r="CH729" s="510">
        <v>0</v>
      </c>
      <c r="CI729" s="1011">
        <v>0</v>
      </c>
    </row>
    <row r="730" spans="1:87" x14ac:dyDescent="0.2">
      <c r="A730" s="449">
        <v>67</v>
      </c>
      <c r="B730" s="453">
        <v>92185</v>
      </c>
      <c r="C730" s="454" t="s">
        <v>6778</v>
      </c>
      <c r="D730" s="454" t="s">
        <v>1390</v>
      </c>
      <c r="E730" s="454" t="s">
        <v>6779</v>
      </c>
      <c r="F730" s="454" t="s">
        <v>525</v>
      </c>
      <c r="G730" s="454" t="s">
        <v>13541</v>
      </c>
      <c r="H730" s="455">
        <v>52035532000168</v>
      </c>
      <c r="I730" s="462">
        <v>30246</v>
      </c>
      <c r="J730" s="457">
        <v>37387316</v>
      </c>
      <c r="K730" s="454" t="s">
        <v>6781</v>
      </c>
      <c r="L730" s="458">
        <v>25</v>
      </c>
      <c r="M730" s="454" t="s">
        <v>2594</v>
      </c>
      <c r="N730" s="459">
        <v>2180010</v>
      </c>
      <c r="O730" s="460">
        <v>29675166</v>
      </c>
      <c r="P730" s="462">
        <v>334300</v>
      </c>
      <c r="Q730" s="462">
        <v>67</v>
      </c>
      <c r="R730" s="462">
        <v>43950</v>
      </c>
      <c r="S730" s="463">
        <v>491</v>
      </c>
      <c r="T730" s="464">
        <v>3.6</v>
      </c>
      <c r="U730" s="465">
        <v>1767.6</v>
      </c>
      <c r="V730" s="465">
        <v>15120</v>
      </c>
      <c r="W730" s="466">
        <v>0</v>
      </c>
      <c r="X730" s="467">
        <v>1</v>
      </c>
      <c r="Y730" s="466">
        <v>25331.4</v>
      </c>
      <c r="Z730" s="468" t="s">
        <v>516</v>
      </c>
      <c r="AA730" s="466">
        <v>104149.8</v>
      </c>
      <c r="AB730" s="466">
        <v>104149.8</v>
      </c>
      <c r="AC730" s="467">
        <v>0</v>
      </c>
      <c r="AD730" s="466">
        <v>0</v>
      </c>
      <c r="AE730" s="468" t="s">
        <v>516</v>
      </c>
      <c r="AF730" s="466">
        <v>0</v>
      </c>
      <c r="AG730" s="466">
        <v>0</v>
      </c>
      <c r="AH730" s="466">
        <v>22038.34</v>
      </c>
      <c r="AI730" s="466">
        <v>12273.91</v>
      </c>
      <c r="AJ730" s="469" t="s">
        <v>6782</v>
      </c>
      <c r="AK730" s="470" t="s">
        <v>6783</v>
      </c>
      <c r="AL730" s="471" t="s">
        <v>6784</v>
      </c>
      <c r="AM730" s="470" t="s">
        <v>6785</v>
      </c>
      <c r="AN730" s="470" t="s">
        <v>6780</v>
      </c>
      <c r="AO730" s="470" t="s">
        <v>6786</v>
      </c>
      <c r="AP730" s="470" t="s">
        <v>6787</v>
      </c>
      <c r="AQ730" s="470" t="s">
        <v>6778</v>
      </c>
      <c r="AR730" s="472" t="s">
        <v>515</v>
      </c>
      <c r="AS730" s="473" t="s">
        <v>1385</v>
      </c>
      <c r="AT730" s="472" t="s">
        <v>1390</v>
      </c>
      <c r="AU730" s="472" t="s">
        <v>420</v>
      </c>
      <c r="AV730" s="472">
        <v>2020</v>
      </c>
      <c r="AW730" s="474" t="s">
        <v>15078</v>
      </c>
      <c r="AX730" s="475" t="s">
        <v>15079</v>
      </c>
      <c r="AY730" s="515">
        <v>1</v>
      </c>
      <c r="AZ730" s="474" t="s">
        <v>15079</v>
      </c>
      <c r="BA730" s="472" t="s">
        <v>1390</v>
      </c>
      <c r="BB730" s="472" t="s">
        <v>1385</v>
      </c>
      <c r="BC730" s="472" t="s">
        <v>1385</v>
      </c>
      <c r="BD730" s="472" t="s">
        <v>1385</v>
      </c>
      <c r="BE730" s="472" t="s">
        <v>1385</v>
      </c>
      <c r="BF730" s="472">
        <v>25331.4</v>
      </c>
      <c r="BG730" s="472">
        <v>0</v>
      </c>
      <c r="BH730" s="472" t="s">
        <v>1385</v>
      </c>
      <c r="BI730" s="510">
        <v>0</v>
      </c>
      <c r="BJ730" s="510">
        <v>0</v>
      </c>
      <c r="BK730" s="510">
        <v>0</v>
      </c>
      <c r="BL730" s="510">
        <v>0</v>
      </c>
      <c r="BM730" s="510">
        <v>0</v>
      </c>
      <c r="BN730" s="510">
        <v>4000</v>
      </c>
      <c r="BO730" s="510">
        <v>0</v>
      </c>
      <c r="BP730" s="510">
        <v>0</v>
      </c>
      <c r="BQ730" s="510">
        <v>0</v>
      </c>
      <c r="BR730" s="510">
        <v>0</v>
      </c>
      <c r="BS730" s="510">
        <v>0</v>
      </c>
      <c r="BT730" s="510">
        <v>0</v>
      </c>
      <c r="BU730" s="510">
        <v>0</v>
      </c>
      <c r="BV730" s="510">
        <v>0</v>
      </c>
      <c r="BW730" s="510">
        <v>0</v>
      </c>
      <c r="BX730" s="510">
        <v>30000</v>
      </c>
      <c r="BY730" s="1011">
        <v>0</v>
      </c>
      <c r="BZ730" s="510">
        <v>0</v>
      </c>
      <c r="CA730" s="1011">
        <v>0</v>
      </c>
      <c r="CB730" s="510">
        <v>0</v>
      </c>
      <c r="CC730" s="1011">
        <v>0</v>
      </c>
      <c r="CD730" s="510">
        <v>0</v>
      </c>
      <c r="CE730" s="1011">
        <v>0</v>
      </c>
      <c r="CF730" s="510">
        <v>48818.400000000001</v>
      </c>
      <c r="CG730" s="1011">
        <v>0</v>
      </c>
      <c r="CH730" s="510">
        <v>0</v>
      </c>
      <c r="CI730" s="1011">
        <v>0</v>
      </c>
    </row>
    <row r="731" spans="1:87" x14ac:dyDescent="0.2">
      <c r="A731" s="449">
        <v>102</v>
      </c>
      <c r="B731" s="453">
        <v>92193</v>
      </c>
      <c r="C731" s="454" t="s">
        <v>6788</v>
      </c>
      <c r="D731" s="454" t="s">
        <v>1390</v>
      </c>
      <c r="E731" s="454" t="s">
        <v>6789</v>
      </c>
      <c r="F731" s="454" t="s">
        <v>525</v>
      </c>
      <c r="G731" s="454" t="s">
        <v>13542</v>
      </c>
      <c r="H731" s="455">
        <v>50994466000128</v>
      </c>
      <c r="I731" s="462">
        <v>30211</v>
      </c>
      <c r="J731" s="457">
        <v>37410857</v>
      </c>
      <c r="K731" s="454" t="s">
        <v>6791</v>
      </c>
      <c r="L731" s="458" t="s">
        <v>1446</v>
      </c>
      <c r="M731" s="454" t="s">
        <v>2375</v>
      </c>
      <c r="N731" s="459">
        <v>2134050</v>
      </c>
      <c r="O731" s="460">
        <v>22010316</v>
      </c>
      <c r="P731" s="462">
        <v>336435</v>
      </c>
      <c r="Q731" s="462">
        <v>102</v>
      </c>
      <c r="R731" s="462">
        <v>43950</v>
      </c>
      <c r="S731" s="463">
        <v>300</v>
      </c>
      <c r="T731" s="464">
        <v>3.6</v>
      </c>
      <c r="U731" s="465">
        <v>1080</v>
      </c>
      <c r="V731" s="465">
        <v>12240</v>
      </c>
      <c r="W731" s="466">
        <v>0</v>
      </c>
      <c r="X731" s="467">
        <v>1</v>
      </c>
      <c r="Y731" s="466">
        <v>19980</v>
      </c>
      <c r="Z731" s="468" t="s">
        <v>516</v>
      </c>
      <c r="AA731" s="466">
        <v>94622.399999999994</v>
      </c>
      <c r="AB731" s="466">
        <v>94622.399999999994</v>
      </c>
      <c r="AC731" s="467">
        <v>0</v>
      </c>
      <c r="AD731" s="466">
        <v>0</v>
      </c>
      <c r="AE731" s="468" t="s">
        <v>516</v>
      </c>
      <c r="AF731" s="466">
        <v>0</v>
      </c>
      <c r="AG731" s="466">
        <v>0</v>
      </c>
      <c r="AH731" s="466">
        <v>21153.59</v>
      </c>
      <c r="AI731" s="466">
        <v>292</v>
      </c>
      <c r="AJ731" s="469" t="s">
        <v>1448</v>
      </c>
      <c r="AK731" s="470" t="s">
        <v>1449</v>
      </c>
      <c r="AL731" s="471" t="s">
        <v>6792</v>
      </c>
      <c r="AM731" s="470" t="s">
        <v>6793</v>
      </c>
      <c r="AN731" s="470" t="s">
        <v>6790</v>
      </c>
      <c r="AO731" s="470" t="s">
        <v>6794</v>
      </c>
      <c r="AP731" s="470" t="s">
        <v>6795</v>
      </c>
      <c r="AQ731" s="470" t="s">
        <v>6788</v>
      </c>
      <c r="AR731" s="472" t="s">
        <v>515</v>
      </c>
      <c r="AS731" s="473" t="s">
        <v>1385</v>
      </c>
      <c r="AT731" s="472" t="s">
        <v>1390</v>
      </c>
      <c r="AU731" s="472" t="s">
        <v>420</v>
      </c>
      <c r="AV731" s="472">
        <v>2020</v>
      </c>
      <c r="AW731" s="474" t="s">
        <v>15078</v>
      </c>
      <c r="AX731" s="475" t="s">
        <v>15079</v>
      </c>
      <c r="AY731" s="515">
        <v>1</v>
      </c>
      <c r="AZ731" s="474" t="s">
        <v>15079</v>
      </c>
      <c r="BA731" s="472" t="s">
        <v>1390</v>
      </c>
      <c r="BB731" s="472" t="s">
        <v>1385</v>
      </c>
      <c r="BC731" s="472" t="s">
        <v>1385</v>
      </c>
      <c r="BD731" s="472" t="s">
        <v>1385</v>
      </c>
      <c r="BE731" s="472" t="s">
        <v>1385</v>
      </c>
      <c r="BF731" s="472">
        <v>19980</v>
      </c>
      <c r="BG731" s="472">
        <v>0</v>
      </c>
      <c r="BH731" s="472" t="s">
        <v>1385</v>
      </c>
      <c r="BI731" s="510">
        <v>0</v>
      </c>
      <c r="BJ731" s="510">
        <v>0</v>
      </c>
      <c r="BK731" s="510">
        <v>0</v>
      </c>
      <c r="BL731" s="510">
        <v>0</v>
      </c>
      <c r="BM731" s="510">
        <v>0</v>
      </c>
      <c r="BN731" s="510">
        <v>3500</v>
      </c>
      <c r="BO731" s="510">
        <v>0</v>
      </c>
      <c r="BP731" s="510">
        <v>0</v>
      </c>
      <c r="BQ731" s="510">
        <v>0</v>
      </c>
      <c r="BR731" s="510">
        <v>0</v>
      </c>
      <c r="BS731" s="510">
        <v>0</v>
      </c>
      <c r="BT731" s="510">
        <v>0</v>
      </c>
      <c r="BU731" s="510">
        <v>0</v>
      </c>
      <c r="BV731" s="510">
        <v>0</v>
      </c>
      <c r="BW731" s="510">
        <v>0</v>
      </c>
      <c r="BX731" s="510">
        <v>30000</v>
      </c>
      <c r="BY731" s="1011">
        <v>0</v>
      </c>
      <c r="BZ731" s="510">
        <v>0</v>
      </c>
      <c r="CA731" s="1011">
        <v>0</v>
      </c>
      <c r="CB731" s="510">
        <v>0</v>
      </c>
      <c r="CC731" s="1011">
        <v>0</v>
      </c>
      <c r="CD731" s="510">
        <v>0</v>
      </c>
      <c r="CE731" s="1011">
        <v>0</v>
      </c>
      <c r="CF731" s="510">
        <v>44642.400000000001</v>
      </c>
      <c r="CG731" s="1011">
        <v>0</v>
      </c>
      <c r="CH731" s="510">
        <v>0</v>
      </c>
      <c r="CI731" s="1011">
        <v>0</v>
      </c>
    </row>
    <row r="732" spans="1:87" x14ac:dyDescent="0.2">
      <c r="A732" s="449">
        <v>70</v>
      </c>
      <c r="B732" s="453">
        <v>92207</v>
      </c>
      <c r="C732" s="454" t="s">
        <v>6796</v>
      </c>
      <c r="D732" s="454" t="s">
        <v>1390</v>
      </c>
      <c r="E732" s="454" t="s">
        <v>6797</v>
      </c>
      <c r="F732" s="454" t="s">
        <v>525</v>
      </c>
      <c r="G732" s="454" t="s">
        <v>13543</v>
      </c>
      <c r="H732" s="455">
        <v>50859669000101</v>
      </c>
      <c r="I732" s="462">
        <v>30174</v>
      </c>
      <c r="J732" s="457">
        <v>37389106</v>
      </c>
      <c r="K732" s="454" t="s">
        <v>6798</v>
      </c>
      <c r="L732" s="458" t="s">
        <v>1446</v>
      </c>
      <c r="M732" s="454" t="s">
        <v>1447</v>
      </c>
      <c r="N732" s="459">
        <v>2132000</v>
      </c>
      <c r="O732" s="460">
        <v>29823111</v>
      </c>
      <c r="P732" s="462">
        <v>334947</v>
      </c>
      <c r="Q732" s="462">
        <v>70</v>
      </c>
      <c r="R732" s="462">
        <v>43950</v>
      </c>
      <c r="S732" s="463">
        <v>173</v>
      </c>
      <c r="T732" s="464">
        <v>3.6</v>
      </c>
      <c r="U732" s="465">
        <v>622.79999999999995</v>
      </c>
      <c r="V732" s="465">
        <v>10800</v>
      </c>
      <c r="W732" s="466">
        <v>0</v>
      </c>
      <c r="X732" s="467">
        <v>1</v>
      </c>
      <c r="Y732" s="466">
        <v>21994.2</v>
      </c>
      <c r="Z732" s="468" t="s">
        <v>516</v>
      </c>
      <c r="AA732" s="466">
        <v>101262.2</v>
      </c>
      <c r="AB732" s="466">
        <v>101262.2</v>
      </c>
      <c r="AC732" s="467">
        <v>0</v>
      </c>
      <c r="AD732" s="466">
        <v>0</v>
      </c>
      <c r="AE732" s="468" t="s">
        <v>516</v>
      </c>
      <c r="AF732" s="466">
        <v>0</v>
      </c>
      <c r="AG732" s="466">
        <v>0</v>
      </c>
      <c r="AH732" s="466">
        <v>11685.4</v>
      </c>
      <c r="AI732" s="466">
        <v>11730.24</v>
      </c>
      <c r="AJ732" s="469" t="s">
        <v>1448</v>
      </c>
      <c r="AK732" s="470" t="s">
        <v>1449</v>
      </c>
      <c r="AL732" s="471" t="s">
        <v>6799</v>
      </c>
      <c r="AM732" s="470" t="s">
        <v>6800</v>
      </c>
      <c r="AN732" s="470" t="s">
        <v>6801</v>
      </c>
      <c r="AO732" s="470" t="s">
        <v>6802</v>
      </c>
      <c r="AP732" s="470" t="s">
        <v>6803</v>
      </c>
      <c r="AQ732" s="470" t="s">
        <v>6796</v>
      </c>
      <c r="AR732" s="472" t="s">
        <v>515</v>
      </c>
      <c r="AS732" s="473" t="s">
        <v>1385</v>
      </c>
      <c r="AT732" s="472" t="s">
        <v>1390</v>
      </c>
      <c r="AU732" s="472" t="s">
        <v>420</v>
      </c>
      <c r="AV732" s="472">
        <v>2020</v>
      </c>
      <c r="AW732" s="474" t="s">
        <v>15078</v>
      </c>
      <c r="AX732" s="475" t="s">
        <v>15079</v>
      </c>
      <c r="AY732" s="515">
        <v>1</v>
      </c>
      <c r="AZ732" s="474" t="s">
        <v>15079</v>
      </c>
      <c r="BA732" s="472" t="s">
        <v>1390</v>
      </c>
      <c r="BB732" s="472" t="s">
        <v>516</v>
      </c>
      <c r="BC732" s="472">
        <v>6</v>
      </c>
      <c r="BD732" s="472">
        <v>3240</v>
      </c>
      <c r="BE732" s="472">
        <v>0</v>
      </c>
      <c r="BF732" s="472">
        <v>21994.2</v>
      </c>
      <c r="BG732" s="472">
        <v>0</v>
      </c>
      <c r="BH732" s="472" t="s">
        <v>1385</v>
      </c>
      <c r="BI732" s="510">
        <v>0</v>
      </c>
      <c r="BJ732" s="510">
        <v>0</v>
      </c>
      <c r="BK732" s="510">
        <v>0</v>
      </c>
      <c r="BL732" s="510">
        <v>0</v>
      </c>
      <c r="BM732" s="510">
        <v>0</v>
      </c>
      <c r="BN732" s="510">
        <v>3000</v>
      </c>
      <c r="BO732" s="510">
        <v>0</v>
      </c>
      <c r="BP732" s="510">
        <v>0</v>
      </c>
      <c r="BQ732" s="510">
        <v>0</v>
      </c>
      <c r="BR732" s="510">
        <v>0</v>
      </c>
      <c r="BS732" s="510">
        <v>0</v>
      </c>
      <c r="BT732" s="510">
        <v>0</v>
      </c>
      <c r="BU732" s="510">
        <v>0</v>
      </c>
      <c r="BV732" s="510">
        <v>0</v>
      </c>
      <c r="BW732" s="510">
        <v>0</v>
      </c>
      <c r="BX732" s="510">
        <v>30000</v>
      </c>
      <c r="BY732" s="1011">
        <v>0</v>
      </c>
      <c r="BZ732" s="510">
        <v>0</v>
      </c>
      <c r="CA732" s="1011">
        <v>0</v>
      </c>
      <c r="CB732" s="510">
        <v>0</v>
      </c>
      <c r="CC732" s="1011">
        <v>0</v>
      </c>
      <c r="CD732" s="510">
        <v>0</v>
      </c>
      <c r="CE732" s="1011">
        <v>0</v>
      </c>
      <c r="CF732" s="510">
        <v>49268</v>
      </c>
      <c r="CG732" s="1011">
        <v>0</v>
      </c>
      <c r="CH732" s="510">
        <v>0</v>
      </c>
      <c r="CI732" s="1011">
        <v>0</v>
      </c>
    </row>
    <row r="733" spans="1:87" x14ac:dyDescent="0.2">
      <c r="A733" s="449">
        <v>77</v>
      </c>
      <c r="B733" s="453">
        <v>92215</v>
      </c>
      <c r="C733" s="454" t="s">
        <v>6804</v>
      </c>
      <c r="D733" s="454" t="s">
        <v>1390</v>
      </c>
      <c r="E733" s="454" t="s">
        <v>6805</v>
      </c>
      <c r="F733" s="454" t="s">
        <v>525</v>
      </c>
      <c r="G733" s="454" t="s">
        <v>13544</v>
      </c>
      <c r="H733" s="455">
        <v>51932218000115</v>
      </c>
      <c r="I733" s="462">
        <v>30274</v>
      </c>
      <c r="J733" s="457">
        <v>37389289</v>
      </c>
      <c r="K733" s="454" t="s">
        <v>6806</v>
      </c>
      <c r="L733" s="458">
        <v>7</v>
      </c>
      <c r="M733" s="454" t="s">
        <v>1447</v>
      </c>
      <c r="N733" s="459">
        <v>2127020</v>
      </c>
      <c r="O733" s="460">
        <v>29544340</v>
      </c>
      <c r="P733" s="462">
        <v>335110</v>
      </c>
      <c r="Q733" s="462">
        <v>77</v>
      </c>
      <c r="R733" s="462">
        <v>43950</v>
      </c>
      <c r="S733" s="463">
        <v>383</v>
      </c>
      <c r="T733" s="464">
        <v>3.6</v>
      </c>
      <c r="U733" s="465">
        <v>1378.8</v>
      </c>
      <c r="V733" s="465">
        <v>13680</v>
      </c>
      <c r="W733" s="466">
        <v>0</v>
      </c>
      <c r="X733" s="467">
        <v>1</v>
      </c>
      <c r="Y733" s="466">
        <v>22588.2</v>
      </c>
      <c r="Z733" s="468" t="s">
        <v>516</v>
      </c>
      <c r="AA733" s="466">
        <v>97983.4</v>
      </c>
      <c r="AB733" s="466">
        <v>97983.4</v>
      </c>
      <c r="AC733" s="467">
        <v>0</v>
      </c>
      <c r="AD733" s="466">
        <v>0</v>
      </c>
      <c r="AE733" s="468" t="s">
        <v>516</v>
      </c>
      <c r="AF733" s="466">
        <v>1600</v>
      </c>
      <c r="AG733" s="466">
        <v>1600</v>
      </c>
      <c r="AH733" s="466">
        <v>15816.73</v>
      </c>
      <c r="AI733" s="466">
        <v>1973.52</v>
      </c>
      <c r="AJ733" s="469" t="s">
        <v>1448</v>
      </c>
      <c r="AK733" s="470" t="s">
        <v>1449</v>
      </c>
      <c r="AL733" s="471" t="s">
        <v>6807</v>
      </c>
      <c r="AM733" s="470" t="s">
        <v>6775</v>
      </c>
      <c r="AN733" s="470" t="s">
        <v>6808</v>
      </c>
      <c r="AO733" s="470" t="s">
        <v>13545</v>
      </c>
      <c r="AP733" s="470" t="s">
        <v>6809</v>
      </c>
      <c r="AQ733" s="470" t="s">
        <v>6804</v>
      </c>
      <c r="AR733" s="472" t="s">
        <v>515</v>
      </c>
      <c r="AS733" s="473" t="s">
        <v>1385</v>
      </c>
      <c r="AT733" s="472" t="s">
        <v>1390</v>
      </c>
      <c r="AU733" s="472" t="s">
        <v>420</v>
      </c>
      <c r="AV733" s="472">
        <v>2020</v>
      </c>
      <c r="AW733" s="474" t="s">
        <v>15078</v>
      </c>
      <c r="AX733" s="475" t="s">
        <v>15079</v>
      </c>
      <c r="AY733" s="515">
        <v>1</v>
      </c>
      <c r="AZ733" s="474" t="s">
        <v>15079</v>
      </c>
      <c r="BA733" s="472" t="s">
        <v>1390</v>
      </c>
      <c r="BB733" s="472" t="s">
        <v>1385</v>
      </c>
      <c r="BC733" s="472" t="s">
        <v>1385</v>
      </c>
      <c r="BD733" s="472" t="s">
        <v>1385</v>
      </c>
      <c r="BE733" s="472" t="s">
        <v>1385</v>
      </c>
      <c r="BF733" s="472">
        <v>22588.2</v>
      </c>
      <c r="BG733" s="472">
        <v>0</v>
      </c>
      <c r="BH733" s="472" t="s">
        <v>1385</v>
      </c>
      <c r="BI733" s="510">
        <v>0</v>
      </c>
      <c r="BJ733" s="510">
        <v>0</v>
      </c>
      <c r="BK733" s="510">
        <v>0</v>
      </c>
      <c r="BL733" s="510">
        <v>0</v>
      </c>
      <c r="BM733" s="510">
        <v>0</v>
      </c>
      <c r="BN733" s="510">
        <v>3500</v>
      </c>
      <c r="BO733" s="510">
        <v>400</v>
      </c>
      <c r="BP733" s="510">
        <v>1600</v>
      </c>
      <c r="BQ733" s="510">
        <v>0</v>
      </c>
      <c r="BR733" s="510">
        <v>0</v>
      </c>
      <c r="BS733" s="510">
        <v>0</v>
      </c>
      <c r="BT733" s="510">
        <v>0</v>
      </c>
      <c r="BU733" s="510">
        <v>0</v>
      </c>
      <c r="BV733" s="510">
        <v>0</v>
      </c>
      <c r="BW733" s="510">
        <v>0</v>
      </c>
      <c r="BX733" s="510">
        <v>30000</v>
      </c>
      <c r="BY733" s="1011">
        <v>0</v>
      </c>
      <c r="BZ733" s="510">
        <v>0</v>
      </c>
      <c r="CA733" s="1011">
        <v>0</v>
      </c>
      <c r="CB733" s="510">
        <v>0</v>
      </c>
      <c r="CC733" s="1011">
        <v>0</v>
      </c>
      <c r="CD733" s="510">
        <v>0</v>
      </c>
      <c r="CE733" s="1011">
        <v>0</v>
      </c>
      <c r="CF733" s="510">
        <v>44995.199999999997</v>
      </c>
      <c r="CG733" s="1011">
        <v>0</v>
      </c>
      <c r="CH733" s="510">
        <v>0</v>
      </c>
      <c r="CI733" s="1011">
        <v>0</v>
      </c>
    </row>
    <row r="734" spans="1:87" x14ac:dyDescent="0.2">
      <c r="A734" s="449">
        <v>93</v>
      </c>
      <c r="B734" s="453">
        <v>92223</v>
      </c>
      <c r="C734" s="454" t="s">
        <v>6810</v>
      </c>
      <c r="D734" s="454" t="s">
        <v>1390</v>
      </c>
      <c r="E734" s="454" t="s">
        <v>6811</v>
      </c>
      <c r="F734" s="454" t="s">
        <v>525</v>
      </c>
      <c r="G734" s="454" t="s">
        <v>13546</v>
      </c>
      <c r="H734" s="455">
        <v>52807138000109</v>
      </c>
      <c r="I734" s="462">
        <v>30502</v>
      </c>
      <c r="J734" s="457">
        <v>37411071</v>
      </c>
      <c r="K734" s="454" t="s">
        <v>6813</v>
      </c>
      <c r="L734" s="458">
        <v>160</v>
      </c>
      <c r="M734" s="454" t="s">
        <v>6814</v>
      </c>
      <c r="N734" s="459">
        <v>2139020</v>
      </c>
      <c r="O734" s="460">
        <v>22018166</v>
      </c>
      <c r="P734" s="462">
        <v>336206</v>
      </c>
      <c r="Q734" s="462">
        <v>93</v>
      </c>
      <c r="R734" s="462">
        <v>43950</v>
      </c>
      <c r="S734" s="463">
        <v>359</v>
      </c>
      <c r="T734" s="464">
        <v>3.6</v>
      </c>
      <c r="U734" s="465">
        <v>1292.4000000000001</v>
      </c>
      <c r="V734" s="465">
        <v>13680</v>
      </c>
      <c r="W734" s="466">
        <v>0</v>
      </c>
      <c r="X734" s="467">
        <v>1</v>
      </c>
      <c r="Y734" s="466">
        <v>22458.6</v>
      </c>
      <c r="Z734" s="468" t="s">
        <v>516</v>
      </c>
      <c r="AA734" s="466">
        <v>97547.4</v>
      </c>
      <c r="AB734" s="466">
        <v>97547.4</v>
      </c>
      <c r="AC734" s="467">
        <v>0</v>
      </c>
      <c r="AD734" s="466">
        <v>0</v>
      </c>
      <c r="AE734" s="468" t="s">
        <v>516</v>
      </c>
      <c r="AF734" s="466">
        <v>0</v>
      </c>
      <c r="AG734" s="466">
        <v>0</v>
      </c>
      <c r="AH734" s="466">
        <v>15490.82</v>
      </c>
      <c r="AI734" s="466">
        <v>209.15</v>
      </c>
      <c r="AJ734" s="469" t="s">
        <v>6815</v>
      </c>
      <c r="AK734" s="470" t="s">
        <v>6814</v>
      </c>
      <c r="AL734" s="471" t="s">
        <v>6816</v>
      </c>
      <c r="AM734" s="470" t="s">
        <v>6817</v>
      </c>
      <c r="AN734" s="470" t="s">
        <v>6812</v>
      </c>
      <c r="AO734" s="470" t="s">
        <v>6818</v>
      </c>
      <c r="AP734" s="470" t="s">
        <v>6819</v>
      </c>
      <c r="AQ734" s="470" t="s">
        <v>6810</v>
      </c>
      <c r="AR734" s="472" t="s">
        <v>515</v>
      </c>
      <c r="AS734" s="473" t="s">
        <v>1385</v>
      </c>
      <c r="AT734" s="472" t="s">
        <v>1390</v>
      </c>
      <c r="AU734" s="472" t="s">
        <v>420</v>
      </c>
      <c r="AV734" s="472">
        <v>2020</v>
      </c>
      <c r="AW734" s="474" t="s">
        <v>15078</v>
      </c>
      <c r="AX734" s="475" t="s">
        <v>15079</v>
      </c>
      <c r="AY734" s="515">
        <v>1</v>
      </c>
      <c r="AZ734" s="474" t="s">
        <v>15079</v>
      </c>
      <c r="BA734" s="472" t="s">
        <v>1390</v>
      </c>
      <c r="BB734" s="472" t="s">
        <v>1385</v>
      </c>
      <c r="BC734" s="472" t="s">
        <v>1385</v>
      </c>
      <c r="BD734" s="472" t="s">
        <v>1385</v>
      </c>
      <c r="BE734" s="472" t="s">
        <v>1385</v>
      </c>
      <c r="BF734" s="472">
        <v>22458.6</v>
      </c>
      <c r="BG734" s="472">
        <v>0</v>
      </c>
      <c r="BH734" s="472" t="s">
        <v>1385</v>
      </c>
      <c r="BI734" s="510">
        <v>0</v>
      </c>
      <c r="BJ734" s="510">
        <v>0</v>
      </c>
      <c r="BK734" s="510">
        <v>0</v>
      </c>
      <c r="BL734" s="510">
        <v>0</v>
      </c>
      <c r="BM734" s="510">
        <v>0</v>
      </c>
      <c r="BN734" s="510">
        <v>3500</v>
      </c>
      <c r="BO734" s="510">
        <v>0</v>
      </c>
      <c r="BP734" s="510">
        <v>0</v>
      </c>
      <c r="BQ734" s="510">
        <v>0</v>
      </c>
      <c r="BR734" s="510">
        <v>0</v>
      </c>
      <c r="BS734" s="510">
        <v>0</v>
      </c>
      <c r="BT734" s="510">
        <v>0</v>
      </c>
      <c r="BU734" s="510">
        <v>0</v>
      </c>
      <c r="BV734" s="510">
        <v>0</v>
      </c>
      <c r="BW734" s="510">
        <v>0</v>
      </c>
      <c r="BX734" s="510">
        <v>30000</v>
      </c>
      <c r="BY734" s="1011">
        <v>0</v>
      </c>
      <c r="BZ734" s="510">
        <v>0</v>
      </c>
      <c r="CA734" s="1011">
        <v>0</v>
      </c>
      <c r="CB734" s="510">
        <v>0</v>
      </c>
      <c r="CC734" s="1011">
        <v>0</v>
      </c>
      <c r="CD734" s="510">
        <v>0</v>
      </c>
      <c r="CE734" s="1011">
        <v>0</v>
      </c>
      <c r="CF734" s="510">
        <v>45088.800000000003</v>
      </c>
      <c r="CG734" s="1011">
        <v>0</v>
      </c>
      <c r="CH734" s="510">
        <v>0</v>
      </c>
      <c r="CI734" s="1011">
        <v>0</v>
      </c>
    </row>
    <row r="735" spans="1:87" x14ac:dyDescent="0.2">
      <c r="A735" s="449">
        <v>72</v>
      </c>
      <c r="B735" s="453">
        <v>92231</v>
      </c>
      <c r="C735" s="454" t="s">
        <v>6820</v>
      </c>
      <c r="D735" s="454" t="s">
        <v>1390</v>
      </c>
      <c r="E735" s="454" t="s">
        <v>6821</v>
      </c>
      <c r="F735" s="454" t="s">
        <v>525</v>
      </c>
      <c r="G735" s="454" t="s">
        <v>13547</v>
      </c>
      <c r="H735" s="455">
        <v>50959683000187</v>
      </c>
      <c r="I735" s="462">
        <v>30188</v>
      </c>
      <c r="J735" s="457">
        <v>37387260</v>
      </c>
      <c r="K735" s="454" t="s">
        <v>6823</v>
      </c>
      <c r="L735" s="458">
        <v>27</v>
      </c>
      <c r="M735" s="454" t="s">
        <v>6814</v>
      </c>
      <c r="N735" s="459">
        <v>2161080</v>
      </c>
      <c r="O735" s="460">
        <v>29317209</v>
      </c>
      <c r="P735" s="462">
        <v>334998</v>
      </c>
      <c r="Q735" s="462">
        <v>72</v>
      </c>
      <c r="R735" s="462">
        <v>43950</v>
      </c>
      <c r="S735" s="463">
        <v>294</v>
      </c>
      <c r="T735" s="464">
        <v>3.6</v>
      </c>
      <c r="U735" s="465">
        <v>1058.4000000000001</v>
      </c>
      <c r="V735" s="465">
        <v>12240</v>
      </c>
      <c r="W735" s="466">
        <v>0</v>
      </c>
      <c r="X735" s="467">
        <v>1</v>
      </c>
      <c r="Y735" s="466">
        <v>19947.599999999999</v>
      </c>
      <c r="Z735" s="468" t="s">
        <v>516</v>
      </c>
      <c r="AA735" s="466">
        <v>94582.8</v>
      </c>
      <c r="AB735" s="466">
        <v>94582.8</v>
      </c>
      <c r="AC735" s="467">
        <v>0</v>
      </c>
      <c r="AD735" s="466">
        <v>0</v>
      </c>
      <c r="AE735" s="468" t="s">
        <v>516</v>
      </c>
      <c r="AF735" s="466">
        <v>0</v>
      </c>
      <c r="AG735" s="466">
        <v>0</v>
      </c>
      <c r="AH735" s="466">
        <v>7072.08</v>
      </c>
      <c r="AI735" s="466">
        <v>14100.93</v>
      </c>
      <c r="AJ735" s="469" t="s">
        <v>1448</v>
      </c>
      <c r="AK735" s="470" t="s">
        <v>1449</v>
      </c>
      <c r="AL735" s="471" t="s">
        <v>6824</v>
      </c>
      <c r="AM735" s="470" t="s">
        <v>6825</v>
      </c>
      <c r="AN735" s="470" t="s">
        <v>6822</v>
      </c>
      <c r="AO735" s="470" t="s">
        <v>6826</v>
      </c>
      <c r="AP735" s="470" t="s">
        <v>6827</v>
      </c>
      <c r="AQ735" s="470" t="s">
        <v>6820</v>
      </c>
      <c r="AR735" s="472" t="s">
        <v>515</v>
      </c>
      <c r="AS735" s="473" t="s">
        <v>1385</v>
      </c>
      <c r="AT735" s="472" t="s">
        <v>1390</v>
      </c>
      <c r="AU735" s="472" t="s">
        <v>420</v>
      </c>
      <c r="AV735" s="472">
        <v>2020</v>
      </c>
      <c r="AW735" s="474" t="s">
        <v>15078</v>
      </c>
      <c r="AX735" s="475" t="s">
        <v>15079</v>
      </c>
      <c r="AY735" s="515">
        <v>1</v>
      </c>
      <c r="AZ735" s="474" t="s">
        <v>15079</v>
      </c>
      <c r="BA735" s="472" t="s">
        <v>1390</v>
      </c>
      <c r="BB735" s="472" t="s">
        <v>1385</v>
      </c>
      <c r="BC735" s="472" t="s">
        <v>1385</v>
      </c>
      <c r="BD735" s="472" t="s">
        <v>1385</v>
      </c>
      <c r="BE735" s="472" t="s">
        <v>1385</v>
      </c>
      <c r="BF735" s="472">
        <v>19947.599999999999</v>
      </c>
      <c r="BG735" s="472">
        <v>0</v>
      </c>
      <c r="BH735" s="472" t="s">
        <v>1385</v>
      </c>
      <c r="BI735" s="510">
        <v>0</v>
      </c>
      <c r="BJ735" s="510">
        <v>0</v>
      </c>
      <c r="BK735" s="510">
        <v>0</v>
      </c>
      <c r="BL735" s="510">
        <v>0</v>
      </c>
      <c r="BM735" s="510">
        <v>0</v>
      </c>
      <c r="BN735" s="510">
        <v>0</v>
      </c>
      <c r="BO735" s="510">
        <v>0</v>
      </c>
      <c r="BP735" s="510">
        <v>0</v>
      </c>
      <c r="BQ735" s="510">
        <v>0</v>
      </c>
      <c r="BR735" s="510">
        <v>0</v>
      </c>
      <c r="BS735" s="510">
        <v>0</v>
      </c>
      <c r="BT735" s="510">
        <v>0</v>
      </c>
      <c r="BU735" s="510">
        <v>0</v>
      </c>
      <c r="BV735" s="510">
        <v>0</v>
      </c>
      <c r="BW735" s="510">
        <v>0</v>
      </c>
      <c r="BX735" s="510">
        <v>30000</v>
      </c>
      <c r="BY735" s="1011">
        <v>0</v>
      </c>
      <c r="BZ735" s="510">
        <v>0</v>
      </c>
      <c r="CA735" s="1011">
        <v>0</v>
      </c>
      <c r="CB735" s="510">
        <v>0</v>
      </c>
      <c r="CC735" s="1011">
        <v>0</v>
      </c>
      <c r="CD735" s="510">
        <v>0</v>
      </c>
      <c r="CE735" s="1011">
        <v>0</v>
      </c>
      <c r="CF735" s="510">
        <v>44635.199999999997</v>
      </c>
      <c r="CG735" s="1011">
        <v>0</v>
      </c>
      <c r="CH735" s="510">
        <v>0</v>
      </c>
      <c r="CI735" s="1011">
        <v>0</v>
      </c>
    </row>
    <row r="736" spans="1:87" x14ac:dyDescent="0.2">
      <c r="A736" s="449">
        <v>76</v>
      </c>
      <c r="B736" s="453">
        <v>92240</v>
      </c>
      <c r="C736" s="454" t="s">
        <v>6828</v>
      </c>
      <c r="D736" s="454" t="s">
        <v>1390</v>
      </c>
      <c r="E736" s="454" t="s">
        <v>6829</v>
      </c>
      <c r="F736" s="454" t="s">
        <v>525</v>
      </c>
      <c r="G736" s="454" t="s">
        <v>13548</v>
      </c>
      <c r="H736" s="455">
        <v>50959667000194</v>
      </c>
      <c r="I736" s="462">
        <v>33826</v>
      </c>
      <c r="J736" s="457">
        <v>37389157</v>
      </c>
      <c r="K736" s="454" t="s">
        <v>6831</v>
      </c>
      <c r="L736" s="458">
        <v>1561</v>
      </c>
      <c r="M736" s="454" t="s">
        <v>6832</v>
      </c>
      <c r="N736" s="459">
        <v>2229001</v>
      </c>
      <c r="O736" s="460">
        <v>22429979</v>
      </c>
      <c r="P736" s="462">
        <v>335080</v>
      </c>
      <c r="Q736" s="462">
        <v>76</v>
      </c>
      <c r="R736" s="462">
        <v>43950</v>
      </c>
      <c r="S736" s="463">
        <v>587</v>
      </c>
      <c r="T736" s="464">
        <v>3.6</v>
      </c>
      <c r="U736" s="465">
        <v>2113.1999999999998</v>
      </c>
      <c r="V736" s="465">
        <v>16560</v>
      </c>
      <c r="W736" s="466">
        <v>0</v>
      </c>
      <c r="X736" s="467">
        <v>1</v>
      </c>
      <c r="Y736" s="466">
        <v>28009.8</v>
      </c>
      <c r="Z736" s="468" t="s">
        <v>516</v>
      </c>
      <c r="AA736" s="466">
        <v>110320.2</v>
      </c>
      <c r="AB736" s="466">
        <v>110320.2</v>
      </c>
      <c r="AC736" s="467">
        <v>0</v>
      </c>
      <c r="AD736" s="466">
        <v>0</v>
      </c>
      <c r="AE736" s="468" t="s">
        <v>516</v>
      </c>
      <c r="AF736" s="466">
        <v>0</v>
      </c>
      <c r="AG736" s="466">
        <v>0</v>
      </c>
      <c r="AH736" s="466">
        <v>21224.14</v>
      </c>
      <c r="AI736" s="466">
        <v>1768.49</v>
      </c>
      <c r="AJ736" s="469" t="s">
        <v>1535</v>
      </c>
      <c r="AK736" s="470" t="s">
        <v>1536</v>
      </c>
      <c r="AL736" s="471" t="s">
        <v>6833</v>
      </c>
      <c r="AM736" s="470" t="s">
        <v>6834</v>
      </c>
      <c r="AN736" s="470" t="s">
        <v>6830</v>
      </c>
      <c r="AO736" s="470" t="s">
        <v>6835</v>
      </c>
      <c r="AP736" s="470" t="s">
        <v>6836</v>
      </c>
      <c r="AQ736" s="470" t="s">
        <v>6828</v>
      </c>
      <c r="AR736" s="472" t="s">
        <v>515</v>
      </c>
      <c r="AS736" s="473" t="s">
        <v>1385</v>
      </c>
      <c r="AT736" s="472" t="s">
        <v>1390</v>
      </c>
      <c r="AU736" s="472" t="s">
        <v>420</v>
      </c>
      <c r="AV736" s="472">
        <v>2020</v>
      </c>
      <c r="AW736" s="474" t="s">
        <v>15078</v>
      </c>
      <c r="AX736" s="475" t="s">
        <v>15079</v>
      </c>
      <c r="AY736" s="515">
        <v>1</v>
      </c>
      <c r="AZ736" s="474" t="s">
        <v>15079</v>
      </c>
      <c r="BA736" s="472" t="s">
        <v>1390</v>
      </c>
      <c r="BB736" s="472" t="s">
        <v>1385</v>
      </c>
      <c r="BC736" s="472" t="s">
        <v>1385</v>
      </c>
      <c r="BD736" s="472" t="s">
        <v>1385</v>
      </c>
      <c r="BE736" s="472" t="s">
        <v>1385</v>
      </c>
      <c r="BF736" s="472">
        <v>28009.8</v>
      </c>
      <c r="BG736" s="472">
        <v>0</v>
      </c>
      <c r="BH736" s="472" t="s">
        <v>1385</v>
      </c>
      <c r="BI736" s="510">
        <v>0</v>
      </c>
      <c r="BJ736" s="510">
        <v>0</v>
      </c>
      <c r="BK736" s="510">
        <v>0</v>
      </c>
      <c r="BL736" s="510">
        <v>0</v>
      </c>
      <c r="BM736" s="510">
        <v>0</v>
      </c>
      <c r="BN736" s="510">
        <v>5000</v>
      </c>
      <c r="BO736" s="510">
        <v>0</v>
      </c>
      <c r="BP736" s="510">
        <v>0</v>
      </c>
      <c r="BQ736" s="510">
        <v>0</v>
      </c>
      <c r="BR736" s="510">
        <v>0</v>
      </c>
      <c r="BS736" s="510">
        <v>0</v>
      </c>
      <c r="BT736" s="510">
        <v>0</v>
      </c>
      <c r="BU736" s="510">
        <v>0</v>
      </c>
      <c r="BV736" s="510">
        <v>0</v>
      </c>
      <c r="BW736" s="510">
        <v>0</v>
      </c>
      <c r="BX736" s="510">
        <v>30000</v>
      </c>
      <c r="BY736" s="1011">
        <v>0</v>
      </c>
      <c r="BZ736" s="510">
        <v>0</v>
      </c>
      <c r="CA736" s="1011">
        <v>0</v>
      </c>
      <c r="CB736" s="510">
        <v>0</v>
      </c>
      <c r="CC736" s="1011">
        <v>0</v>
      </c>
      <c r="CD736" s="510">
        <v>0</v>
      </c>
      <c r="CE736" s="1011">
        <v>0</v>
      </c>
      <c r="CF736" s="510">
        <v>52310.400000000001</v>
      </c>
      <c r="CG736" s="1011">
        <v>0</v>
      </c>
      <c r="CH736" s="510">
        <v>0</v>
      </c>
      <c r="CI736" s="1011">
        <v>0</v>
      </c>
    </row>
    <row r="737" spans="1:87" x14ac:dyDescent="0.2">
      <c r="A737" s="449">
        <v>96</v>
      </c>
      <c r="B737" s="453">
        <v>92258</v>
      </c>
      <c r="C737" s="454" t="s">
        <v>6837</v>
      </c>
      <c r="D737" s="454" t="s">
        <v>1390</v>
      </c>
      <c r="E737" s="454" t="s">
        <v>6838</v>
      </c>
      <c r="F737" s="454" t="s">
        <v>525</v>
      </c>
      <c r="G737" s="454" t="s">
        <v>13549</v>
      </c>
      <c r="H737" s="455">
        <v>50961168000131</v>
      </c>
      <c r="I737" s="462">
        <v>30173</v>
      </c>
      <c r="J737" s="457">
        <v>37389130</v>
      </c>
      <c r="K737" s="454" t="s">
        <v>6839</v>
      </c>
      <c r="L737" s="458">
        <v>62</v>
      </c>
      <c r="M737" s="454" t="s">
        <v>1536</v>
      </c>
      <c r="N737" s="459">
        <v>2274150</v>
      </c>
      <c r="O737" s="460">
        <v>22494206</v>
      </c>
      <c r="P737" s="462">
        <v>336249</v>
      </c>
      <c r="Q737" s="462">
        <v>96</v>
      </c>
      <c r="R737" s="462">
        <v>43950</v>
      </c>
      <c r="S737" s="463">
        <v>498</v>
      </c>
      <c r="T737" s="464">
        <v>3.6</v>
      </c>
      <c r="U737" s="465">
        <v>1792.8</v>
      </c>
      <c r="V737" s="465">
        <v>15120</v>
      </c>
      <c r="W737" s="466">
        <v>0</v>
      </c>
      <c r="X737" s="467">
        <v>1</v>
      </c>
      <c r="Y737" s="466">
        <v>25369.200000000001</v>
      </c>
      <c r="Z737" s="468" t="s">
        <v>516</v>
      </c>
      <c r="AA737" s="466">
        <v>107110.8</v>
      </c>
      <c r="AB737" s="466">
        <v>107110.8</v>
      </c>
      <c r="AC737" s="467">
        <v>0</v>
      </c>
      <c r="AD737" s="466">
        <v>0</v>
      </c>
      <c r="AE737" s="468" t="s">
        <v>516</v>
      </c>
      <c r="AF737" s="466">
        <v>0</v>
      </c>
      <c r="AG737" s="466">
        <v>0</v>
      </c>
      <c r="AH737" s="466">
        <v>13642.46</v>
      </c>
      <c r="AI737" s="466">
        <v>7135.72</v>
      </c>
      <c r="AJ737" s="469" t="s">
        <v>1535</v>
      </c>
      <c r="AK737" s="470" t="s">
        <v>1536</v>
      </c>
      <c r="AL737" s="471" t="s">
        <v>6840</v>
      </c>
      <c r="AM737" s="470" t="s">
        <v>6841</v>
      </c>
      <c r="AN737" s="470" t="s">
        <v>6842</v>
      </c>
      <c r="AO737" s="470" t="s">
        <v>6843</v>
      </c>
      <c r="AP737" s="470" t="s">
        <v>6844</v>
      </c>
      <c r="AQ737" s="470" t="s">
        <v>6837</v>
      </c>
      <c r="AR737" s="472" t="s">
        <v>515</v>
      </c>
      <c r="AS737" s="473" t="s">
        <v>1385</v>
      </c>
      <c r="AT737" s="472" t="s">
        <v>1390</v>
      </c>
      <c r="AU737" s="472" t="s">
        <v>420</v>
      </c>
      <c r="AV737" s="472">
        <v>2020</v>
      </c>
      <c r="AW737" s="474" t="s">
        <v>15078</v>
      </c>
      <c r="AX737" s="475" t="s">
        <v>15079</v>
      </c>
      <c r="AY737" s="515">
        <v>1</v>
      </c>
      <c r="AZ737" s="474" t="s">
        <v>15079</v>
      </c>
      <c r="BA737" s="472" t="s">
        <v>1390</v>
      </c>
      <c r="BB737" s="472" t="s">
        <v>1385</v>
      </c>
      <c r="BC737" s="472" t="s">
        <v>1385</v>
      </c>
      <c r="BD737" s="472" t="s">
        <v>1385</v>
      </c>
      <c r="BE737" s="472" t="s">
        <v>1385</v>
      </c>
      <c r="BF737" s="472">
        <v>25369.200000000001</v>
      </c>
      <c r="BG737" s="472">
        <v>0</v>
      </c>
      <c r="BH737" s="472" t="s">
        <v>1385</v>
      </c>
      <c r="BI737" s="510">
        <v>0</v>
      </c>
      <c r="BJ737" s="510">
        <v>0</v>
      </c>
      <c r="BK737" s="510">
        <v>0</v>
      </c>
      <c r="BL737" s="510">
        <v>0</v>
      </c>
      <c r="BM737" s="510">
        <v>0</v>
      </c>
      <c r="BN737" s="510">
        <v>4000</v>
      </c>
      <c r="BO737" s="510">
        <v>0</v>
      </c>
      <c r="BP737" s="510">
        <v>0</v>
      </c>
      <c r="BQ737" s="510">
        <v>0</v>
      </c>
      <c r="BR737" s="510">
        <v>0</v>
      </c>
      <c r="BS737" s="510">
        <v>0</v>
      </c>
      <c r="BT737" s="510">
        <v>0</v>
      </c>
      <c r="BU737" s="510">
        <v>0</v>
      </c>
      <c r="BV737" s="510">
        <v>0</v>
      </c>
      <c r="BW737" s="510">
        <v>0</v>
      </c>
      <c r="BX737" s="510">
        <v>30000</v>
      </c>
      <c r="BY737" s="1011">
        <v>0</v>
      </c>
      <c r="BZ737" s="510">
        <v>0</v>
      </c>
      <c r="CA737" s="1011">
        <v>0</v>
      </c>
      <c r="CB737" s="510">
        <v>0</v>
      </c>
      <c r="CC737" s="1011">
        <v>0</v>
      </c>
      <c r="CD737" s="510">
        <v>0</v>
      </c>
      <c r="CE737" s="1011">
        <v>0</v>
      </c>
      <c r="CF737" s="510">
        <v>51741.599999999999</v>
      </c>
      <c r="CG737" s="1011">
        <v>0</v>
      </c>
      <c r="CH737" s="510">
        <v>0</v>
      </c>
      <c r="CI737" s="1011">
        <v>0</v>
      </c>
    </row>
    <row r="738" spans="1:87" x14ac:dyDescent="0.2">
      <c r="A738" s="449">
        <v>99</v>
      </c>
      <c r="B738" s="453">
        <v>92266</v>
      </c>
      <c r="C738" s="454" t="s">
        <v>6845</v>
      </c>
      <c r="D738" s="454" t="s">
        <v>1390</v>
      </c>
      <c r="E738" s="454" t="s">
        <v>6846</v>
      </c>
      <c r="F738" s="454" t="s">
        <v>525</v>
      </c>
      <c r="G738" s="454" t="s">
        <v>13550</v>
      </c>
      <c r="H738" s="455">
        <v>50952688000188</v>
      </c>
      <c r="I738" s="462">
        <v>30194</v>
      </c>
      <c r="J738" s="457">
        <v>37411101</v>
      </c>
      <c r="K738" s="454" t="s">
        <v>6847</v>
      </c>
      <c r="L738" s="458">
        <v>500</v>
      </c>
      <c r="M738" s="454" t="s">
        <v>6848</v>
      </c>
      <c r="N738" s="459">
        <v>2313001</v>
      </c>
      <c r="O738" s="460">
        <v>22037669</v>
      </c>
      <c r="P738" s="462">
        <v>336290</v>
      </c>
      <c r="Q738" s="462">
        <v>99</v>
      </c>
      <c r="R738" s="462">
        <v>43950</v>
      </c>
      <c r="S738" s="463">
        <v>323</v>
      </c>
      <c r="T738" s="464">
        <v>3.6</v>
      </c>
      <c r="U738" s="465">
        <v>1162.8</v>
      </c>
      <c r="V738" s="465">
        <v>13680</v>
      </c>
      <c r="W738" s="466">
        <v>0</v>
      </c>
      <c r="X738" s="467">
        <v>1</v>
      </c>
      <c r="Y738" s="466">
        <v>22264.2</v>
      </c>
      <c r="Z738" s="468" t="s">
        <v>516</v>
      </c>
      <c r="AA738" s="466">
        <v>96949.8</v>
      </c>
      <c r="AB738" s="466">
        <v>96949.8</v>
      </c>
      <c r="AC738" s="467">
        <v>0</v>
      </c>
      <c r="AD738" s="466">
        <v>0</v>
      </c>
      <c r="AE738" s="468" t="s">
        <v>516</v>
      </c>
      <c r="AF738" s="466">
        <v>0</v>
      </c>
      <c r="AG738" s="466">
        <v>0</v>
      </c>
      <c r="AH738" s="466">
        <v>15247.01</v>
      </c>
      <c r="AI738" s="466">
        <v>0</v>
      </c>
      <c r="AJ738" s="469" t="s">
        <v>1448</v>
      </c>
      <c r="AK738" s="470" t="s">
        <v>1449</v>
      </c>
      <c r="AL738" s="471" t="s">
        <v>6849</v>
      </c>
      <c r="AM738" s="470" t="s">
        <v>6850</v>
      </c>
      <c r="AN738" s="470" t="s">
        <v>6851</v>
      </c>
      <c r="AO738" s="470" t="s">
        <v>6852</v>
      </c>
      <c r="AP738" s="470" t="s">
        <v>6853</v>
      </c>
      <c r="AQ738" s="470" t="s">
        <v>6845</v>
      </c>
      <c r="AR738" s="472" t="s">
        <v>515</v>
      </c>
      <c r="AS738" s="473" t="s">
        <v>1385</v>
      </c>
      <c r="AT738" s="472" t="s">
        <v>1390</v>
      </c>
      <c r="AU738" s="472" t="s">
        <v>420</v>
      </c>
      <c r="AV738" s="472">
        <v>2020</v>
      </c>
      <c r="AW738" s="474" t="s">
        <v>15078</v>
      </c>
      <c r="AX738" s="475" t="s">
        <v>15079</v>
      </c>
      <c r="AY738" s="515">
        <v>1</v>
      </c>
      <c r="AZ738" s="474" t="s">
        <v>15079</v>
      </c>
      <c r="BA738" s="472" t="s">
        <v>1390</v>
      </c>
      <c r="BB738" s="472" t="s">
        <v>1385</v>
      </c>
      <c r="BC738" s="472" t="s">
        <v>1385</v>
      </c>
      <c r="BD738" s="472" t="s">
        <v>1385</v>
      </c>
      <c r="BE738" s="472" t="s">
        <v>1385</v>
      </c>
      <c r="BF738" s="472">
        <v>22264.2</v>
      </c>
      <c r="BG738" s="472">
        <v>0</v>
      </c>
      <c r="BH738" s="472" t="s">
        <v>1385</v>
      </c>
      <c r="BI738" s="510">
        <v>0</v>
      </c>
      <c r="BJ738" s="510">
        <v>0</v>
      </c>
      <c r="BK738" s="510">
        <v>0</v>
      </c>
      <c r="BL738" s="510">
        <v>0</v>
      </c>
      <c r="BM738" s="510">
        <v>0</v>
      </c>
      <c r="BN738" s="510">
        <v>3500</v>
      </c>
      <c r="BO738" s="510">
        <v>0</v>
      </c>
      <c r="BP738" s="510">
        <v>0</v>
      </c>
      <c r="BQ738" s="510">
        <v>0</v>
      </c>
      <c r="BR738" s="510">
        <v>0</v>
      </c>
      <c r="BS738" s="510">
        <v>0</v>
      </c>
      <c r="BT738" s="510">
        <v>0</v>
      </c>
      <c r="BU738" s="510">
        <v>0</v>
      </c>
      <c r="BV738" s="510">
        <v>0</v>
      </c>
      <c r="BW738" s="510">
        <v>0</v>
      </c>
      <c r="BX738" s="510">
        <v>30000</v>
      </c>
      <c r="BY738" s="1011">
        <v>0</v>
      </c>
      <c r="BZ738" s="510">
        <v>0</v>
      </c>
      <c r="CA738" s="1011">
        <v>0</v>
      </c>
      <c r="CB738" s="510">
        <v>0</v>
      </c>
      <c r="CC738" s="1011">
        <v>0</v>
      </c>
      <c r="CD738" s="510">
        <v>0</v>
      </c>
      <c r="CE738" s="1011">
        <v>0</v>
      </c>
      <c r="CF738" s="510">
        <v>44685.599999999999</v>
      </c>
      <c r="CG738" s="1011">
        <v>0</v>
      </c>
      <c r="CH738" s="510">
        <v>0</v>
      </c>
      <c r="CI738" s="1011">
        <v>0</v>
      </c>
    </row>
    <row r="739" spans="1:87" x14ac:dyDescent="0.2">
      <c r="A739" s="449">
        <v>83</v>
      </c>
      <c r="B739" s="453">
        <v>92274</v>
      </c>
      <c r="C739" s="454" t="s">
        <v>6854</v>
      </c>
      <c r="D739" s="454" t="s">
        <v>1390</v>
      </c>
      <c r="E739" s="454" t="s">
        <v>6855</v>
      </c>
      <c r="F739" s="454" t="s">
        <v>525</v>
      </c>
      <c r="G739" s="454" t="s">
        <v>13551</v>
      </c>
      <c r="H739" s="455">
        <v>52030822000119</v>
      </c>
      <c r="I739" s="462">
        <v>30234</v>
      </c>
      <c r="J739" s="457">
        <v>37387170</v>
      </c>
      <c r="K739" s="454" t="s">
        <v>6857</v>
      </c>
      <c r="L739" s="458">
        <v>2680</v>
      </c>
      <c r="M739" s="454" t="s">
        <v>6858</v>
      </c>
      <c r="N739" s="459">
        <v>2201000</v>
      </c>
      <c r="O739" s="460">
        <v>22126181</v>
      </c>
      <c r="P739" s="462">
        <v>335331</v>
      </c>
      <c r="Q739" s="462">
        <v>83</v>
      </c>
      <c r="R739" s="462">
        <v>43950</v>
      </c>
      <c r="S739" s="463">
        <v>583</v>
      </c>
      <c r="T739" s="464">
        <v>3.6</v>
      </c>
      <c r="U739" s="465">
        <v>2098.8000000000002</v>
      </c>
      <c r="V739" s="465">
        <v>16560</v>
      </c>
      <c r="W739" s="466">
        <v>0</v>
      </c>
      <c r="X739" s="467">
        <v>1</v>
      </c>
      <c r="Y739" s="466">
        <v>27988.2</v>
      </c>
      <c r="Z739" s="468" t="s">
        <v>516</v>
      </c>
      <c r="AA739" s="466">
        <v>110082.6</v>
      </c>
      <c r="AB739" s="466">
        <v>110082.6</v>
      </c>
      <c r="AC739" s="467">
        <v>0</v>
      </c>
      <c r="AD739" s="466">
        <v>0</v>
      </c>
      <c r="AE739" s="468" t="s">
        <v>516</v>
      </c>
      <c r="AF739" s="466">
        <v>0</v>
      </c>
      <c r="AG739" s="466">
        <v>0</v>
      </c>
      <c r="AH739" s="466">
        <v>23150.54</v>
      </c>
      <c r="AI739" s="466">
        <v>3752.6</v>
      </c>
      <c r="AJ739" s="469" t="s">
        <v>1448</v>
      </c>
      <c r="AK739" s="470" t="s">
        <v>1449</v>
      </c>
      <c r="AL739" s="471" t="s">
        <v>6859</v>
      </c>
      <c r="AM739" s="470" t="s">
        <v>6860</v>
      </c>
      <c r="AN739" s="470" t="s">
        <v>6856</v>
      </c>
      <c r="AO739" s="470" t="s">
        <v>6861</v>
      </c>
      <c r="AP739" s="470" t="s">
        <v>6862</v>
      </c>
      <c r="AQ739" s="470" t="s">
        <v>6854</v>
      </c>
      <c r="AR739" s="472" t="s">
        <v>515</v>
      </c>
      <c r="AS739" s="473" t="s">
        <v>1385</v>
      </c>
      <c r="AT739" s="472" t="s">
        <v>1390</v>
      </c>
      <c r="AU739" s="472" t="s">
        <v>420</v>
      </c>
      <c r="AV739" s="472">
        <v>2020</v>
      </c>
      <c r="AW739" s="474" t="s">
        <v>15078</v>
      </c>
      <c r="AX739" s="475" t="s">
        <v>15079</v>
      </c>
      <c r="AY739" s="515">
        <v>1</v>
      </c>
      <c r="AZ739" s="474" t="s">
        <v>15079</v>
      </c>
      <c r="BA739" s="472" t="s">
        <v>1390</v>
      </c>
      <c r="BB739" s="472" t="s">
        <v>1385</v>
      </c>
      <c r="BC739" s="472" t="s">
        <v>1385</v>
      </c>
      <c r="BD739" s="472" t="s">
        <v>1385</v>
      </c>
      <c r="BE739" s="472" t="s">
        <v>1385</v>
      </c>
      <c r="BF739" s="472">
        <v>27988.2</v>
      </c>
      <c r="BG739" s="472">
        <v>0</v>
      </c>
      <c r="BH739" s="472" t="s">
        <v>1385</v>
      </c>
      <c r="BI739" s="510">
        <v>0</v>
      </c>
      <c r="BJ739" s="510">
        <v>0</v>
      </c>
      <c r="BK739" s="510">
        <v>0</v>
      </c>
      <c r="BL739" s="510">
        <v>0</v>
      </c>
      <c r="BM739" s="510">
        <v>0</v>
      </c>
      <c r="BN739" s="510">
        <v>5000</v>
      </c>
      <c r="BO739" s="510">
        <v>0</v>
      </c>
      <c r="BP739" s="510">
        <v>0</v>
      </c>
      <c r="BQ739" s="510">
        <v>0</v>
      </c>
      <c r="BR739" s="510">
        <v>0</v>
      </c>
      <c r="BS739" s="510">
        <v>0</v>
      </c>
      <c r="BT739" s="510">
        <v>0</v>
      </c>
      <c r="BU739" s="510">
        <v>0</v>
      </c>
      <c r="BV739" s="510">
        <v>0</v>
      </c>
      <c r="BW739" s="510">
        <v>0</v>
      </c>
      <c r="BX739" s="510">
        <v>30000</v>
      </c>
      <c r="BY739" s="1011">
        <v>0</v>
      </c>
      <c r="BZ739" s="510">
        <v>0</v>
      </c>
      <c r="CA739" s="1011">
        <v>0</v>
      </c>
      <c r="CB739" s="510">
        <v>0</v>
      </c>
      <c r="CC739" s="1011">
        <v>0</v>
      </c>
      <c r="CD739" s="510">
        <v>0</v>
      </c>
      <c r="CE739" s="1011">
        <v>0</v>
      </c>
      <c r="CF739" s="510">
        <v>52094.400000000001</v>
      </c>
      <c r="CG739" s="1011">
        <v>0</v>
      </c>
      <c r="CH739" s="510">
        <v>0</v>
      </c>
      <c r="CI739" s="1011">
        <v>0</v>
      </c>
    </row>
    <row r="740" spans="1:87" x14ac:dyDescent="0.2">
      <c r="A740" s="449">
        <v>89</v>
      </c>
      <c r="B740" s="453">
        <v>92282</v>
      </c>
      <c r="C740" s="454" t="s">
        <v>6863</v>
      </c>
      <c r="D740" s="454" t="s">
        <v>1390</v>
      </c>
      <c r="E740" s="454" t="s">
        <v>6864</v>
      </c>
      <c r="F740" s="454" t="s">
        <v>525</v>
      </c>
      <c r="G740" s="454" t="s">
        <v>13552</v>
      </c>
      <c r="H740" s="455">
        <v>50957349000194</v>
      </c>
      <c r="I740" s="462">
        <v>30187</v>
      </c>
      <c r="J740" s="457">
        <v>37410601</v>
      </c>
      <c r="K740" s="454" t="s">
        <v>6857</v>
      </c>
      <c r="L740" s="458">
        <v>915</v>
      </c>
      <c r="M740" s="454" t="s">
        <v>6866</v>
      </c>
      <c r="N740" s="459">
        <v>2201000</v>
      </c>
      <c r="O740" s="460">
        <v>29315739</v>
      </c>
      <c r="P740" s="462">
        <v>336079</v>
      </c>
      <c r="Q740" s="462">
        <v>89</v>
      </c>
      <c r="R740" s="462">
        <v>43950</v>
      </c>
      <c r="S740" s="463">
        <v>350</v>
      </c>
      <c r="T740" s="464">
        <v>3.6</v>
      </c>
      <c r="U740" s="465">
        <v>1260</v>
      </c>
      <c r="V740" s="465">
        <v>13680</v>
      </c>
      <c r="W740" s="466">
        <v>0</v>
      </c>
      <c r="X740" s="467">
        <v>1</v>
      </c>
      <c r="Y740" s="466">
        <v>0</v>
      </c>
      <c r="Z740" s="468" t="s">
        <v>514</v>
      </c>
      <c r="AA740" s="466">
        <v>0</v>
      </c>
      <c r="AB740" s="466">
        <v>0</v>
      </c>
      <c r="AC740" s="467">
        <v>0</v>
      </c>
      <c r="AD740" s="466">
        <v>0</v>
      </c>
      <c r="AE740" s="468" t="s">
        <v>516</v>
      </c>
      <c r="AF740" s="466">
        <v>0</v>
      </c>
      <c r="AG740" s="466">
        <v>0</v>
      </c>
      <c r="AH740" s="466">
        <v>0</v>
      </c>
      <c r="AI740" s="466">
        <v>0</v>
      </c>
      <c r="AJ740" s="469" t="s">
        <v>1448</v>
      </c>
      <c r="AK740" s="470" t="s">
        <v>1449</v>
      </c>
      <c r="AL740" s="471" t="s">
        <v>6867</v>
      </c>
      <c r="AM740" s="470" t="s">
        <v>6868</v>
      </c>
      <c r="AN740" s="470" t="s">
        <v>6865</v>
      </c>
      <c r="AO740" s="470" t="s">
        <v>6869</v>
      </c>
      <c r="AP740" s="470" t="s">
        <v>6870</v>
      </c>
      <c r="AQ740" s="470" t="s">
        <v>6863</v>
      </c>
      <c r="AR740" s="472" t="s">
        <v>515</v>
      </c>
      <c r="AS740" s="473" t="s">
        <v>1385</v>
      </c>
      <c r="AT740" s="472" t="s">
        <v>1390</v>
      </c>
      <c r="AU740" s="472" t="s">
        <v>420</v>
      </c>
      <c r="AV740" s="472">
        <v>2020</v>
      </c>
      <c r="AW740" s="474" t="s">
        <v>15078</v>
      </c>
      <c r="AX740" s="475" t="s">
        <v>15079</v>
      </c>
      <c r="AY740" s="515">
        <v>1</v>
      </c>
      <c r="AZ740" s="474" t="s">
        <v>15079</v>
      </c>
      <c r="BA740" s="472" t="s">
        <v>1385</v>
      </c>
      <c r="BB740" s="472" t="s">
        <v>1385</v>
      </c>
      <c r="BC740" s="472" t="s">
        <v>1385</v>
      </c>
      <c r="BD740" s="472" t="s">
        <v>1385</v>
      </c>
      <c r="BE740" s="472" t="s">
        <v>1385</v>
      </c>
      <c r="BF740" s="472">
        <v>22410</v>
      </c>
      <c r="BG740" s="472">
        <v>0</v>
      </c>
      <c r="BH740" s="472" t="s">
        <v>516</v>
      </c>
      <c r="BI740" s="510">
        <v>0</v>
      </c>
      <c r="BJ740" s="510">
        <v>0</v>
      </c>
      <c r="BK740" s="510">
        <v>0</v>
      </c>
      <c r="BL740" s="510">
        <v>0</v>
      </c>
      <c r="BM740" s="510">
        <v>0</v>
      </c>
      <c r="BN740" s="510">
        <v>0</v>
      </c>
      <c r="BO740" s="510">
        <v>0</v>
      </c>
      <c r="BP740" s="510">
        <v>0</v>
      </c>
      <c r="BQ740" s="510">
        <v>0</v>
      </c>
      <c r="BR740" s="510">
        <v>0</v>
      </c>
      <c r="BS740" s="510">
        <v>0</v>
      </c>
      <c r="BT740" s="510">
        <v>0</v>
      </c>
      <c r="BU740" s="510">
        <v>0</v>
      </c>
      <c r="BV740" s="510">
        <v>0</v>
      </c>
      <c r="BW740" s="510">
        <v>0</v>
      </c>
      <c r="BX740" s="510">
        <v>0</v>
      </c>
      <c r="BY740" s="1011">
        <v>0</v>
      </c>
      <c r="BZ740" s="510">
        <v>0</v>
      </c>
      <c r="CA740" s="1011">
        <v>0</v>
      </c>
      <c r="CB740" s="510">
        <v>0</v>
      </c>
      <c r="CC740" s="1011">
        <v>0</v>
      </c>
      <c r="CD740" s="510">
        <v>0</v>
      </c>
      <c r="CE740" s="1011">
        <v>0</v>
      </c>
      <c r="CF740" s="510">
        <v>0</v>
      </c>
      <c r="CG740" s="1011">
        <v>0</v>
      </c>
      <c r="CH740" s="510">
        <v>0</v>
      </c>
      <c r="CI740" s="1011">
        <v>0</v>
      </c>
    </row>
    <row r="741" spans="1:87" x14ac:dyDescent="0.2">
      <c r="A741" s="449">
        <v>81</v>
      </c>
      <c r="B741" s="453">
        <v>92291</v>
      </c>
      <c r="C741" s="454" t="s">
        <v>6871</v>
      </c>
      <c r="D741" s="454" t="s">
        <v>1390</v>
      </c>
      <c r="E741" s="454" t="s">
        <v>6872</v>
      </c>
      <c r="F741" s="454" t="s">
        <v>525</v>
      </c>
      <c r="G741" s="454" t="s">
        <v>13553</v>
      </c>
      <c r="H741" s="455">
        <v>56321862000170</v>
      </c>
      <c r="I741" s="462">
        <v>31667</v>
      </c>
      <c r="J741" s="457">
        <v>37389220</v>
      </c>
      <c r="K741" s="454" t="s">
        <v>6873</v>
      </c>
      <c r="L741" s="458">
        <v>735</v>
      </c>
      <c r="M741" s="454" t="s">
        <v>6874</v>
      </c>
      <c r="N741" s="459">
        <v>2278020</v>
      </c>
      <c r="O741" s="460">
        <v>22417490</v>
      </c>
      <c r="P741" s="462">
        <v>335226</v>
      </c>
      <c r="Q741" s="462">
        <v>81</v>
      </c>
      <c r="R741" s="462">
        <v>43950</v>
      </c>
      <c r="S741" s="463">
        <v>486</v>
      </c>
      <c r="T741" s="464">
        <v>3.6</v>
      </c>
      <c r="U741" s="465">
        <v>1749.6</v>
      </c>
      <c r="V741" s="465">
        <v>15120</v>
      </c>
      <c r="W741" s="466">
        <v>0</v>
      </c>
      <c r="X741" s="467">
        <v>1</v>
      </c>
      <c r="Y741" s="466">
        <v>25304.400000000001</v>
      </c>
      <c r="Z741" s="468" t="s">
        <v>516</v>
      </c>
      <c r="AA741" s="466">
        <v>104036.4</v>
      </c>
      <c r="AB741" s="466">
        <v>104036.4</v>
      </c>
      <c r="AC741" s="467">
        <v>0</v>
      </c>
      <c r="AD741" s="466">
        <v>0</v>
      </c>
      <c r="AE741" s="468" t="s">
        <v>516</v>
      </c>
      <c r="AF741" s="466">
        <v>0</v>
      </c>
      <c r="AG741" s="466">
        <v>0</v>
      </c>
      <c r="AH741" s="466">
        <v>16695.04</v>
      </c>
      <c r="AI741" s="466">
        <v>3443.91</v>
      </c>
      <c r="AJ741" s="469" t="s">
        <v>1448</v>
      </c>
      <c r="AK741" s="470" t="s">
        <v>1449</v>
      </c>
      <c r="AL741" s="471" t="s">
        <v>6875</v>
      </c>
      <c r="AM741" s="470" t="s">
        <v>13554</v>
      </c>
      <c r="AN741" s="470" t="s">
        <v>6876</v>
      </c>
      <c r="AO741" s="470" t="s">
        <v>6877</v>
      </c>
      <c r="AP741" s="470" t="s">
        <v>6878</v>
      </c>
      <c r="AQ741" s="470" t="s">
        <v>6871</v>
      </c>
      <c r="AR741" s="472" t="s">
        <v>515</v>
      </c>
      <c r="AS741" s="473" t="s">
        <v>1385</v>
      </c>
      <c r="AT741" s="472" t="s">
        <v>1390</v>
      </c>
      <c r="AU741" s="472" t="s">
        <v>420</v>
      </c>
      <c r="AV741" s="472">
        <v>2020</v>
      </c>
      <c r="AW741" s="474" t="s">
        <v>15078</v>
      </c>
      <c r="AX741" s="475" t="s">
        <v>15079</v>
      </c>
      <c r="AY741" s="515">
        <v>1</v>
      </c>
      <c r="AZ741" s="474" t="s">
        <v>15079</v>
      </c>
      <c r="BA741" s="472" t="s">
        <v>1390</v>
      </c>
      <c r="BB741" s="472" t="s">
        <v>1385</v>
      </c>
      <c r="BC741" s="472" t="s">
        <v>1385</v>
      </c>
      <c r="BD741" s="472" t="s">
        <v>1385</v>
      </c>
      <c r="BE741" s="472" t="s">
        <v>1385</v>
      </c>
      <c r="BF741" s="472">
        <v>25304.400000000001</v>
      </c>
      <c r="BG741" s="472">
        <v>0</v>
      </c>
      <c r="BH741" s="472" t="s">
        <v>1385</v>
      </c>
      <c r="BI741" s="510">
        <v>0</v>
      </c>
      <c r="BJ741" s="510">
        <v>0</v>
      </c>
      <c r="BK741" s="510">
        <v>0</v>
      </c>
      <c r="BL741" s="510">
        <v>0</v>
      </c>
      <c r="BM741" s="510">
        <v>0</v>
      </c>
      <c r="BN741" s="510">
        <v>4000</v>
      </c>
      <c r="BO741" s="510">
        <v>0</v>
      </c>
      <c r="BP741" s="510">
        <v>0</v>
      </c>
      <c r="BQ741" s="510">
        <v>0</v>
      </c>
      <c r="BR741" s="510">
        <v>0</v>
      </c>
      <c r="BS741" s="510">
        <v>0</v>
      </c>
      <c r="BT741" s="510">
        <v>0</v>
      </c>
      <c r="BU741" s="510">
        <v>0</v>
      </c>
      <c r="BV741" s="510">
        <v>0</v>
      </c>
      <c r="BW741" s="510">
        <v>0</v>
      </c>
      <c r="BX741" s="510">
        <v>30000</v>
      </c>
      <c r="BY741" s="1011">
        <v>0</v>
      </c>
      <c r="BZ741" s="510">
        <v>0</v>
      </c>
      <c r="CA741" s="1011">
        <v>0</v>
      </c>
      <c r="CB741" s="510">
        <v>0</v>
      </c>
      <c r="CC741" s="1011">
        <v>0</v>
      </c>
      <c r="CD741" s="510">
        <v>0</v>
      </c>
      <c r="CE741" s="1011">
        <v>0</v>
      </c>
      <c r="CF741" s="510">
        <v>48732</v>
      </c>
      <c r="CG741" s="1011">
        <v>0</v>
      </c>
      <c r="CH741" s="510">
        <v>0</v>
      </c>
      <c r="CI741" s="1011">
        <v>0</v>
      </c>
    </row>
    <row r="742" spans="1:87" x14ac:dyDescent="0.2">
      <c r="A742" s="449">
        <v>71</v>
      </c>
      <c r="B742" s="453">
        <v>92304</v>
      </c>
      <c r="C742" s="454" t="s">
        <v>6879</v>
      </c>
      <c r="D742" s="454" t="s">
        <v>1390</v>
      </c>
      <c r="E742" s="454" t="s">
        <v>6880</v>
      </c>
      <c r="F742" s="454" t="s">
        <v>529</v>
      </c>
      <c r="G742" s="454" t="s">
        <v>13555</v>
      </c>
      <c r="H742" s="455">
        <v>50951557000186</v>
      </c>
      <c r="I742" s="462">
        <v>30215</v>
      </c>
      <c r="J742" s="457">
        <v>37522663</v>
      </c>
      <c r="K742" s="454" t="s">
        <v>6881</v>
      </c>
      <c r="L742" s="458">
        <v>1189</v>
      </c>
      <c r="M742" s="454" t="s">
        <v>3864</v>
      </c>
      <c r="N742" s="459">
        <v>4372060</v>
      </c>
      <c r="O742" s="460">
        <v>55639045</v>
      </c>
      <c r="P742" s="462">
        <v>563423</v>
      </c>
      <c r="Q742" s="462">
        <v>36</v>
      </c>
      <c r="R742" s="462">
        <v>43921</v>
      </c>
      <c r="S742" s="463">
        <v>552</v>
      </c>
      <c r="T742" s="464">
        <v>3.6</v>
      </c>
      <c r="U742" s="465">
        <v>1987.2</v>
      </c>
      <c r="V742" s="465">
        <v>16560</v>
      </c>
      <c r="W742" s="466">
        <v>0</v>
      </c>
      <c r="X742" s="467">
        <v>1</v>
      </c>
      <c r="Y742" s="466">
        <v>27820.799999999999</v>
      </c>
      <c r="Z742" s="468" t="s">
        <v>516</v>
      </c>
      <c r="AA742" s="466">
        <v>110044.8</v>
      </c>
      <c r="AB742" s="466">
        <v>110044.8</v>
      </c>
      <c r="AC742" s="467">
        <v>0</v>
      </c>
      <c r="AD742" s="466">
        <v>0</v>
      </c>
      <c r="AE742" s="468" t="s">
        <v>516</v>
      </c>
      <c r="AF742" s="466">
        <v>0</v>
      </c>
      <c r="AG742" s="466">
        <v>0</v>
      </c>
      <c r="AH742" s="466">
        <v>55956.22</v>
      </c>
      <c r="AI742" s="466">
        <v>13728.42</v>
      </c>
      <c r="AJ742" s="469" t="s">
        <v>1790</v>
      </c>
      <c r="AK742" s="470" t="s">
        <v>1791</v>
      </c>
      <c r="AL742" s="471" t="s">
        <v>6882</v>
      </c>
      <c r="AM742" s="470" t="s">
        <v>6883</v>
      </c>
      <c r="AN742" s="470" t="s">
        <v>13555</v>
      </c>
      <c r="AO742" s="470" t="s">
        <v>13556</v>
      </c>
      <c r="AP742" s="470" t="s">
        <v>6884</v>
      </c>
      <c r="AQ742" s="470" t="s">
        <v>6879</v>
      </c>
      <c r="AR742" s="472" t="s">
        <v>515</v>
      </c>
      <c r="AS742" s="473" t="s">
        <v>1385</v>
      </c>
      <c r="AT742" s="472" t="s">
        <v>1390</v>
      </c>
      <c r="AU742" s="472" t="s">
        <v>420</v>
      </c>
      <c r="AV742" s="472">
        <v>2020</v>
      </c>
      <c r="AW742" s="474" t="s">
        <v>15078</v>
      </c>
      <c r="AX742" s="475" t="s">
        <v>15079</v>
      </c>
      <c r="AY742" s="515">
        <v>1</v>
      </c>
      <c r="AZ742" s="474" t="s">
        <v>15079</v>
      </c>
      <c r="BA742" s="472" t="s">
        <v>1390</v>
      </c>
      <c r="BB742" s="472" t="s">
        <v>1385</v>
      </c>
      <c r="BC742" s="472" t="s">
        <v>1385</v>
      </c>
      <c r="BD742" s="472" t="s">
        <v>1385</v>
      </c>
      <c r="BE742" s="472" t="s">
        <v>1385</v>
      </c>
      <c r="BF742" s="472">
        <v>27820.799999999999</v>
      </c>
      <c r="BG742" s="472">
        <v>0</v>
      </c>
      <c r="BH742" s="472" t="s">
        <v>1385</v>
      </c>
      <c r="BI742" s="510">
        <v>0</v>
      </c>
      <c r="BJ742" s="510">
        <v>0</v>
      </c>
      <c r="BK742" s="510">
        <v>0</v>
      </c>
      <c r="BL742" s="510">
        <v>0</v>
      </c>
      <c r="BM742" s="510">
        <v>0</v>
      </c>
      <c r="BN742" s="510">
        <v>5000</v>
      </c>
      <c r="BO742" s="510">
        <v>0</v>
      </c>
      <c r="BP742" s="510">
        <v>0</v>
      </c>
      <c r="BQ742" s="510">
        <v>0</v>
      </c>
      <c r="BR742" s="510">
        <v>0</v>
      </c>
      <c r="BS742" s="510">
        <v>0</v>
      </c>
      <c r="BT742" s="510">
        <v>0</v>
      </c>
      <c r="BU742" s="510">
        <v>0</v>
      </c>
      <c r="BV742" s="510">
        <v>0</v>
      </c>
      <c r="BW742" s="510">
        <v>0</v>
      </c>
      <c r="BX742" s="510">
        <v>30000</v>
      </c>
      <c r="BY742" s="1011">
        <v>0</v>
      </c>
      <c r="BZ742" s="510">
        <v>0</v>
      </c>
      <c r="CA742" s="1011">
        <v>0</v>
      </c>
      <c r="CB742" s="510">
        <v>0</v>
      </c>
      <c r="CC742" s="1011">
        <v>0</v>
      </c>
      <c r="CD742" s="510">
        <v>0</v>
      </c>
      <c r="CE742" s="1011">
        <v>0</v>
      </c>
      <c r="CF742" s="510">
        <v>52224</v>
      </c>
      <c r="CG742" s="1011">
        <v>0</v>
      </c>
      <c r="CH742" s="510">
        <v>0</v>
      </c>
      <c r="CI742" s="1011">
        <v>0</v>
      </c>
    </row>
    <row r="743" spans="1:87" x14ac:dyDescent="0.2">
      <c r="A743" s="449">
        <v>61</v>
      </c>
      <c r="B743" s="453">
        <v>92312</v>
      </c>
      <c r="C743" s="454" t="s">
        <v>6885</v>
      </c>
      <c r="D743" s="454" t="s">
        <v>1390</v>
      </c>
      <c r="E743" s="454" t="s">
        <v>6886</v>
      </c>
      <c r="F743" s="454" t="s">
        <v>529</v>
      </c>
      <c r="G743" s="454" t="s">
        <v>13557</v>
      </c>
      <c r="H743" s="455">
        <v>52578390000185</v>
      </c>
      <c r="I743" s="462">
        <v>30447</v>
      </c>
      <c r="J743" s="457">
        <v>37522442</v>
      </c>
      <c r="K743" s="454" t="s">
        <v>6887</v>
      </c>
      <c r="L743" s="458">
        <v>207</v>
      </c>
      <c r="M743" s="454" t="s">
        <v>3864</v>
      </c>
      <c r="N743" s="459">
        <v>4323070</v>
      </c>
      <c r="O743" s="460">
        <v>55881933</v>
      </c>
      <c r="P743" s="462">
        <v>563300</v>
      </c>
      <c r="Q743" s="462">
        <v>24</v>
      </c>
      <c r="R743" s="462">
        <v>43921</v>
      </c>
      <c r="S743" s="463">
        <v>433</v>
      </c>
      <c r="T743" s="464">
        <v>3.6</v>
      </c>
      <c r="U743" s="465">
        <v>1558.8</v>
      </c>
      <c r="V743" s="465">
        <v>15120</v>
      </c>
      <c r="W743" s="466">
        <v>0</v>
      </c>
      <c r="X743" s="467">
        <v>1</v>
      </c>
      <c r="Y743" s="466">
        <v>25018.2</v>
      </c>
      <c r="Z743" s="468" t="s">
        <v>516</v>
      </c>
      <c r="AA743" s="466">
        <v>103181.4</v>
      </c>
      <c r="AB743" s="466">
        <v>103181.4</v>
      </c>
      <c r="AC743" s="467">
        <v>0</v>
      </c>
      <c r="AD743" s="466">
        <v>0</v>
      </c>
      <c r="AE743" s="468" t="s">
        <v>516</v>
      </c>
      <c r="AF743" s="466">
        <v>0</v>
      </c>
      <c r="AG743" s="466">
        <v>0</v>
      </c>
      <c r="AH743" s="466">
        <v>18003.580000000002</v>
      </c>
      <c r="AI743" s="466">
        <v>20278.939999999999</v>
      </c>
      <c r="AJ743" s="469" t="s">
        <v>3879</v>
      </c>
      <c r="AK743" s="470" t="s">
        <v>3864</v>
      </c>
      <c r="AL743" s="471" t="s">
        <v>6888</v>
      </c>
      <c r="AM743" s="470" t="s">
        <v>6889</v>
      </c>
      <c r="AN743" s="470" t="s">
        <v>13557</v>
      </c>
      <c r="AO743" s="470" t="s">
        <v>13558</v>
      </c>
      <c r="AP743" s="470" t="s">
        <v>6890</v>
      </c>
      <c r="AQ743" s="470" t="s">
        <v>6885</v>
      </c>
      <c r="AR743" s="472" t="s">
        <v>515</v>
      </c>
      <c r="AS743" s="473" t="s">
        <v>1385</v>
      </c>
      <c r="AT743" s="472" t="s">
        <v>1390</v>
      </c>
      <c r="AU743" s="472" t="s">
        <v>420</v>
      </c>
      <c r="AV743" s="472">
        <v>2020</v>
      </c>
      <c r="AW743" s="474" t="s">
        <v>15078</v>
      </c>
      <c r="AX743" s="475" t="s">
        <v>15079</v>
      </c>
      <c r="AY743" s="515">
        <v>1</v>
      </c>
      <c r="AZ743" s="474" t="s">
        <v>15079</v>
      </c>
      <c r="BA743" s="472" t="s">
        <v>1390</v>
      </c>
      <c r="BB743" s="472" t="s">
        <v>1385</v>
      </c>
      <c r="BC743" s="472" t="s">
        <v>1385</v>
      </c>
      <c r="BD743" s="472" t="s">
        <v>1385</v>
      </c>
      <c r="BE743" s="472" t="s">
        <v>1385</v>
      </c>
      <c r="BF743" s="472">
        <v>25018.2</v>
      </c>
      <c r="BG743" s="472">
        <v>0</v>
      </c>
      <c r="BH743" s="472" t="s">
        <v>1385</v>
      </c>
      <c r="BI743" s="510">
        <v>0</v>
      </c>
      <c r="BJ743" s="510">
        <v>0</v>
      </c>
      <c r="BK743" s="510">
        <v>0</v>
      </c>
      <c r="BL743" s="510">
        <v>0</v>
      </c>
      <c r="BM743" s="510">
        <v>0</v>
      </c>
      <c r="BN743" s="510">
        <v>4000</v>
      </c>
      <c r="BO743" s="510">
        <v>0</v>
      </c>
      <c r="BP743" s="510">
        <v>0</v>
      </c>
      <c r="BQ743" s="510">
        <v>0</v>
      </c>
      <c r="BR743" s="510">
        <v>0</v>
      </c>
      <c r="BS743" s="510">
        <v>0</v>
      </c>
      <c r="BT743" s="510">
        <v>0</v>
      </c>
      <c r="BU743" s="510">
        <v>0</v>
      </c>
      <c r="BV743" s="510">
        <v>0</v>
      </c>
      <c r="BW743" s="510">
        <v>0</v>
      </c>
      <c r="BX743" s="510">
        <v>30000</v>
      </c>
      <c r="BY743" s="1011">
        <v>0</v>
      </c>
      <c r="BZ743" s="510">
        <v>0</v>
      </c>
      <c r="CA743" s="1011">
        <v>0</v>
      </c>
      <c r="CB743" s="510">
        <v>0</v>
      </c>
      <c r="CC743" s="1011">
        <v>0</v>
      </c>
      <c r="CD743" s="510">
        <v>0</v>
      </c>
      <c r="CE743" s="1011">
        <v>0</v>
      </c>
      <c r="CF743" s="510">
        <v>48163.199999999997</v>
      </c>
      <c r="CG743" s="1011">
        <v>0</v>
      </c>
      <c r="CH743" s="510">
        <v>0</v>
      </c>
      <c r="CI743" s="1011">
        <v>0</v>
      </c>
    </row>
    <row r="744" spans="1:87" x14ac:dyDescent="0.2">
      <c r="A744" s="449">
        <v>69</v>
      </c>
      <c r="B744" s="453">
        <v>92321</v>
      </c>
      <c r="C744" s="454" t="s">
        <v>6891</v>
      </c>
      <c r="D744" s="454" t="s">
        <v>1390</v>
      </c>
      <c r="E744" s="454" t="s">
        <v>6892</v>
      </c>
      <c r="F744" s="454" t="s">
        <v>529</v>
      </c>
      <c r="G744" s="454" t="s">
        <v>13559</v>
      </c>
      <c r="H744" s="455">
        <v>52035318000101</v>
      </c>
      <c r="I744" s="462">
        <v>30298</v>
      </c>
      <c r="J744" s="457">
        <v>37522701</v>
      </c>
      <c r="K744" s="454" t="s">
        <v>6893</v>
      </c>
      <c r="L744" s="458">
        <v>108</v>
      </c>
      <c r="M744" s="454" t="s">
        <v>3864</v>
      </c>
      <c r="N744" s="459">
        <v>4320010</v>
      </c>
      <c r="O744" s="460">
        <v>55884629</v>
      </c>
      <c r="P744" s="462">
        <v>567755</v>
      </c>
      <c r="Q744" s="462">
        <v>34</v>
      </c>
      <c r="R744" s="462">
        <v>43921</v>
      </c>
      <c r="S744" s="463">
        <v>401</v>
      </c>
      <c r="T744" s="464">
        <v>3.6</v>
      </c>
      <c r="U744" s="465">
        <v>1443.6</v>
      </c>
      <c r="V744" s="465">
        <v>15120</v>
      </c>
      <c r="W744" s="466">
        <v>0</v>
      </c>
      <c r="X744" s="467">
        <v>1</v>
      </c>
      <c r="Y744" s="466">
        <v>24845.4</v>
      </c>
      <c r="Z744" s="468" t="s">
        <v>516</v>
      </c>
      <c r="AA744" s="466">
        <v>99689.4</v>
      </c>
      <c r="AB744" s="466">
        <v>99689.4</v>
      </c>
      <c r="AC744" s="467">
        <v>0</v>
      </c>
      <c r="AD744" s="466">
        <v>0</v>
      </c>
      <c r="AE744" s="468" t="s">
        <v>516</v>
      </c>
      <c r="AF744" s="466">
        <v>0</v>
      </c>
      <c r="AG744" s="466">
        <v>0</v>
      </c>
      <c r="AH744" s="466">
        <v>40708.089999999997</v>
      </c>
      <c r="AI744" s="466">
        <v>9768.1</v>
      </c>
      <c r="AJ744" s="469" t="s">
        <v>3879</v>
      </c>
      <c r="AK744" s="470" t="s">
        <v>3864</v>
      </c>
      <c r="AL744" s="471" t="s">
        <v>6894</v>
      </c>
      <c r="AM744" s="470" t="s">
        <v>13560</v>
      </c>
      <c r="AN744" s="470" t="s">
        <v>13559</v>
      </c>
      <c r="AO744" s="470" t="s">
        <v>13561</v>
      </c>
      <c r="AP744" s="470" t="s">
        <v>6895</v>
      </c>
      <c r="AQ744" s="470" t="s">
        <v>6891</v>
      </c>
      <c r="AR744" s="472" t="s">
        <v>515</v>
      </c>
      <c r="AS744" s="473" t="s">
        <v>1385</v>
      </c>
      <c r="AT744" s="472" t="s">
        <v>1390</v>
      </c>
      <c r="AU744" s="472" t="s">
        <v>420</v>
      </c>
      <c r="AV744" s="472">
        <v>2020</v>
      </c>
      <c r="AW744" s="474" t="s">
        <v>15078</v>
      </c>
      <c r="AX744" s="475" t="s">
        <v>15079</v>
      </c>
      <c r="AY744" s="515">
        <v>1</v>
      </c>
      <c r="AZ744" s="474" t="s">
        <v>15079</v>
      </c>
      <c r="BA744" s="472" t="s">
        <v>1390</v>
      </c>
      <c r="BB744" s="472" t="s">
        <v>1385</v>
      </c>
      <c r="BC744" s="472" t="s">
        <v>1385</v>
      </c>
      <c r="BD744" s="472" t="s">
        <v>1385</v>
      </c>
      <c r="BE744" s="472" t="s">
        <v>1385</v>
      </c>
      <c r="BF744" s="472">
        <v>24845.4</v>
      </c>
      <c r="BG744" s="472">
        <v>0</v>
      </c>
      <c r="BH744" s="472" t="s">
        <v>1385</v>
      </c>
      <c r="BI744" s="510">
        <v>0</v>
      </c>
      <c r="BJ744" s="510">
        <v>0</v>
      </c>
      <c r="BK744" s="510">
        <v>0</v>
      </c>
      <c r="BL744" s="510">
        <v>0</v>
      </c>
      <c r="BM744" s="510">
        <v>0</v>
      </c>
      <c r="BN744" s="510">
        <v>4000</v>
      </c>
      <c r="BO744" s="510">
        <v>0</v>
      </c>
      <c r="BP744" s="510">
        <v>0</v>
      </c>
      <c r="BQ744" s="510">
        <v>0</v>
      </c>
      <c r="BR744" s="510">
        <v>0</v>
      </c>
      <c r="BS744" s="510">
        <v>0</v>
      </c>
      <c r="BT744" s="510">
        <v>0</v>
      </c>
      <c r="BU744" s="510">
        <v>0</v>
      </c>
      <c r="BV744" s="510">
        <v>0</v>
      </c>
      <c r="BW744" s="510">
        <v>0</v>
      </c>
      <c r="BX744" s="510">
        <v>30000</v>
      </c>
      <c r="BY744" s="1011">
        <v>0</v>
      </c>
      <c r="BZ744" s="510">
        <v>0</v>
      </c>
      <c r="CA744" s="1011">
        <v>0</v>
      </c>
      <c r="CB744" s="510">
        <v>0</v>
      </c>
      <c r="CC744" s="1011">
        <v>0</v>
      </c>
      <c r="CD744" s="510">
        <v>0</v>
      </c>
      <c r="CE744" s="1011">
        <v>0</v>
      </c>
      <c r="CF744" s="510">
        <v>44844</v>
      </c>
      <c r="CG744" s="1011">
        <v>0</v>
      </c>
      <c r="CH744" s="510">
        <v>0</v>
      </c>
      <c r="CI744" s="1011">
        <v>0</v>
      </c>
    </row>
    <row r="745" spans="1:87" x14ac:dyDescent="0.2">
      <c r="A745" s="449">
        <v>72</v>
      </c>
      <c r="B745" s="453">
        <v>92339</v>
      </c>
      <c r="C745" s="454" t="s">
        <v>6896</v>
      </c>
      <c r="D745" s="454" t="s">
        <v>1390</v>
      </c>
      <c r="E745" s="454" t="s">
        <v>6897</v>
      </c>
      <c r="F745" s="454" t="s">
        <v>529</v>
      </c>
      <c r="G745" s="454" t="s">
        <v>13562</v>
      </c>
      <c r="H745" s="455">
        <v>51933562000129</v>
      </c>
      <c r="I745" s="462">
        <v>30249</v>
      </c>
      <c r="J745" s="457">
        <v>37522647</v>
      </c>
      <c r="K745" s="454" t="s">
        <v>6898</v>
      </c>
      <c r="L745" s="458">
        <v>40</v>
      </c>
      <c r="M745" s="454" t="s">
        <v>3864</v>
      </c>
      <c r="N745" s="459">
        <v>4314130</v>
      </c>
      <c r="O745" s="460">
        <v>50170571</v>
      </c>
      <c r="P745" s="462">
        <v>563431</v>
      </c>
      <c r="Q745" s="462">
        <v>37</v>
      </c>
      <c r="R745" s="462">
        <v>43921</v>
      </c>
      <c r="S745" s="463">
        <v>268</v>
      </c>
      <c r="T745" s="464">
        <v>3.6</v>
      </c>
      <c r="U745" s="465">
        <v>964.8</v>
      </c>
      <c r="V745" s="465">
        <v>12240</v>
      </c>
      <c r="W745" s="466">
        <v>0</v>
      </c>
      <c r="X745" s="467">
        <v>1</v>
      </c>
      <c r="Y745" s="466">
        <v>19807.2</v>
      </c>
      <c r="Z745" s="468" t="s">
        <v>516</v>
      </c>
      <c r="AA745" s="466">
        <v>91008</v>
      </c>
      <c r="AB745" s="466">
        <v>91008</v>
      </c>
      <c r="AC745" s="467">
        <v>0</v>
      </c>
      <c r="AD745" s="466">
        <v>0</v>
      </c>
      <c r="AE745" s="468" t="s">
        <v>516</v>
      </c>
      <c r="AF745" s="466">
        <v>0</v>
      </c>
      <c r="AG745" s="466">
        <v>0</v>
      </c>
      <c r="AH745" s="466">
        <v>12322.1</v>
      </c>
      <c r="AI745" s="466">
        <v>3483.94</v>
      </c>
      <c r="AJ745" s="469" t="s">
        <v>6899</v>
      </c>
      <c r="AK745" s="470" t="s">
        <v>6900</v>
      </c>
      <c r="AL745" s="471" t="s">
        <v>6901</v>
      </c>
      <c r="AM745" s="470" t="s">
        <v>6902</v>
      </c>
      <c r="AN745" s="470" t="s">
        <v>13562</v>
      </c>
      <c r="AO745" s="470" t="s">
        <v>6903</v>
      </c>
      <c r="AP745" s="470" t="s">
        <v>6904</v>
      </c>
      <c r="AQ745" s="470" t="s">
        <v>6896</v>
      </c>
      <c r="AR745" s="472" t="s">
        <v>515</v>
      </c>
      <c r="AS745" s="473" t="s">
        <v>1385</v>
      </c>
      <c r="AT745" s="472" t="s">
        <v>1390</v>
      </c>
      <c r="AU745" s="472" t="s">
        <v>420</v>
      </c>
      <c r="AV745" s="472">
        <v>2020</v>
      </c>
      <c r="AW745" s="474" t="s">
        <v>15078</v>
      </c>
      <c r="AX745" s="475" t="s">
        <v>15079</v>
      </c>
      <c r="AY745" s="515">
        <v>1</v>
      </c>
      <c r="AZ745" s="474" t="s">
        <v>15079</v>
      </c>
      <c r="BA745" s="472" t="s">
        <v>1390</v>
      </c>
      <c r="BB745" s="472" t="s">
        <v>1385</v>
      </c>
      <c r="BC745" s="472" t="s">
        <v>1385</v>
      </c>
      <c r="BD745" s="472" t="s">
        <v>1385</v>
      </c>
      <c r="BE745" s="472" t="s">
        <v>1385</v>
      </c>
      <c r="BF745" s="472">
        <v>19807.2</v>
      </c>
      <c r="BG745" s="472">
        <v>0</v>
      </c>
      <c r="BH745" s="472" t="s">
        <v>1385</v>
      </c>
      <c r="BI745" s="510">
        <v>0</v>
      </c>
      <c r="BJ745" s="510">
        <v>0</v>
      </c>
      <c r="BK745" s="510">
        <v>0</v>
      </c>
      <c r="BL745" s="510">
        <v>0</v>
      </c>
      <c r="BM745" s="510">
        <v>0</v>
      </c>
      <c r="BN745" s="510">
        <v>3500</v>
      </c>
      <c r="BO745" s="510">
        <v>0</v>
      </c>
      <c r="BP745" s="510">
        <v>0</v>
      </c>
      <c r="BQ745" s="510">
        <v>0</v>
      </c>
      <c r="BR745" s="510">
        <v>0</v>
      </c>
      <c r="BS745" s="510">
        <v>0</v>
      </c>
      <c r="BT745" s="510">
        <v>0</v>
      </c>
      <c r="BU745" s="510">
        <v>0</v>
      </c>
      <c r="BV745" s="510">
        <v>0</v>
      </c>
      <c r="BW745" s="510">
        <v>0</v>
      </c>
      <c r="BX745" s="510">
        <v>30000</v>
      </c>
      <c r="BY745" s="1011">
        <v>0</v>
      </c>
      <c r="BZ745" s="510">
        <v>0</v>
      </c>
      <c r="CA745" s="1011">
        <v>0</v>
      </c>
      <c r="CB745" s="510">
        <v>0</v>
      </c>
      <c r="CC745" s="1011">
        <v>0</v>
      </c>
      <c r="CD745" s="510">
        <v>0</v>
      </c>
      <c r="CE745" s="1011">
        <v>0</v>
      </c>
      <c r="CF745" s="510">
        <v>41200.800000000003</v>
      </c>
      <c r="CG745" s="1011">
        <v>0</v>
      </c>
      <c r="CH745" s="510">
        <v>0</v>
      </c>
      <c r="CI745" s="1011">
        <v>0</v>
      </c>
    </row>
    <row r="746" spans="1:87" x14ac:dyDescent="0.2">
      <c r="A746" s="449">
        <v>68</v>
      </c>
      <c r="B746" s="453">
        <v>92347</v>
      </c>
      <c r="C746" s="454" t="s">
        <v>6905</v>
      </c>
      <c r="D746" s="454" t="s">
        <v>1390</v>
      </c>
      <c r="E746" s="454" t="s">
        <v>6906</v>
      </c>
      <c r="F746" s="454" t="s">
        <v>529</v>
      </c>
      <c r="G746" s="454" t="s">
        <v>13563</v>
      </c>
      <c r="H746" s="455">
        <v>52032927000107</v>
      </c>
      <c r="I746" s="462">
        <v>30292</v>
      </c>
      <c r="J746" s="457">
        <v>37522710</v>
      </c>
      <c r="K746" s="454" t="s">
        <v>6907</v>
      </c>
      <c r="L746" s="458">
        <v>23</v>
      </c>
      <c r="M746" s="454" t="s">
        <v>3864</v>
      </c>
      <c r="N746" s="459">
        <v>4345040</v>
      </c>
      <c r="O746" s="460">
        <v>50111810</v>
      </c>
      <c r="P746" s="462">
        <v>563415</v>
      </c>
      <c r="Q746" s="462">
        <v>33</v>
      </c>
      <c r="R746" s="462">
        <v>43921</v>
      </c>
      <c r="S746" s="463">
        <v>281</v>
      </c>
      <c r="T746" s="464">
        <v>3.6</v>
      </c>
      <c r="U746" s="465">
        <v>1011.6</v>
      </c>
      <c r="V746" s="465">
        <v>12240</v>
      </c>
      <c r="W746" s="466">
        <v>0</v>
      </c>
      <c r="X746" s="467">
        <v>1</v>
      </c>
      <c r="Y746" s="466">
        <v>19877.400000000001</v>
      </c>
      <c r="Z746" s="468" t="s">
        <v>516</v>
      </c>
      <c r="AA746" s="466">
        <v>91344.6</v>
      </c>
      <c r="AB746" s="466">
        <v>91344.6</v>
      </c>
      <c r="AC746" s="467">
        <v>0</v>
      </c>
      <c r="AD746" s="466">
        <v>0</v>
      </c>
      <c r="AE746" s="468" t="s">
        <v>516</v>
      </c>
      <c r="AF746" s="466">
        <v>0</v>
      </c>
      <c r="AG746" s="466">
        <v>0</v>
      </c>
      <c r="AH746" s="466">
        <v>16294.16</v>
      </c>
      <c r="AI746" s="466">
        <v>3030.35</v>
      </c>
      <c r="AJ746" s="469" t="s">
        <v>6908</v>
      </c>
      <c r="AK746" s="470" t="s">
        <v>2613</v>
      </c>
      <c r="AL746" s="471" t="s">
        <v>6909</v>
      </c>
      <c r="AM746" s="470" t="s">
        <v>6910</v>
      </c>
      <c r="AN746" s="470" t="s">
        <v>13563</v>
      </c>
      <c r="AO746" s="470" t="s">
        <v>6911</v>
      </c>
      <c r="AP746" s="470" t="s">
        <v>6912</v>
      </c>
      <c r="AQ746" s="470" t="s">
        <v>6905</v>
      </c>
      <c r="AR746" s="472" t="s">
        <v>515</v>
      </c>
      <c r="AS746" s="473" t="s">
        <v>1385</v>
      </c>
      <c r="AT746" s="472" t="s">
        <v>1390</v>
      </c>
      <c r="AU746" s="472" t="s">
        <v>420</v>
      </c>
      <c r="AV746" s="472">
        <v>2020</v>
      </c>
      <c r="AW746" s="474" t="s">
        <v>15078</v>
      </c>
      <c r="AX746" s="475" t="s">
        <v>15079</v>
      </c>
      <c r="AY746" s="515">
        <v>1</v>
      </c>
      <c r="AZ746" s="474" t="s">
        <v>15079</v>
      </c>
      <c r="BA746" s="472" t="s">
        <v>1390</v>
      </c>
      <c r="BB746" s="472" t="s">
        <v>1385</v>
      </c>
      <c r="BC746" s="472" t="s">
        <v>1385</v>
      </c>
      <c r="BD746" s="472" t="s">
        <v>1385</v>
      </c>
      <c r="BE746" s="472" t="s">
        <v>1385</v>
      </c>
      <c r="BF746" s="472">
        <v>19877.400000000001</v>
      </c>
      <c r="BG746" s="472">
        <v>0</v>
      </c>
      <c r="BH746" s="472" t="s">
        <v>1385</v>
      </c>
      <c r="BI746" s="510">
        <v>0</v>
      </c>
      <c r="BJ746" s="510">
        <v>0</v>
      </c>
      <c r="BK746" s="510">
        <v>0</v>
      </c>
      <c r="BL746" s="510">
        <v>0</v>
      </c>
      <c r="BM746" s="510">
        <v>0</v>
      </c>
      <c r="BN746" s="510">
        <v>3500</v>
      </c>
      <c r="BO746" s="510">
        <v>0</v>
      </c>
      <c r="BP746" s="510">
        <v>0</v>
      </c>
      <c r="BQ746" s="510">
        <v>0</v>
      </c>
      <c r="BR746" s="510">
        <v>0</v>
      </c>
      <c r="BS746" s="510">
        <v>0</v>
      </c>
      <c r="BT746" s="510">
        <v>0</v>
      </c>
      <c r="BU746" s="510">
        <v>0</v>
      </c>
      <c r="BV746" s="510">
        <v>0</v>
      </c>
      <c r="BW746" s="510">
        <v>0</v>
      </c>
      <c r="BX746" s="510">
        <v>30000</v>
      </c>
      <c r="BY746" s="1011">
        <v>0</v>
      </c>
      <c r="BZ746" s="510">
        <v>0</v>
      </c>
      <c r="CA746" s="1011">
        <v>0</v>
      </c>
      <c r="CB746" s="510">
        <v>0</v>
      </c>
      <c r="CC746" s="1011">
        <v>0</v>
      </c>
      <c r="CD746" s="510">
        <v>0</v>
      </c>
      <c r="CE746" s="1011">
        <v>0</v>
      </c>
      <c r="CF746" s="510">
        <v>41467.199999999997</v>
      </c>
      <c r="CG746" s="1011">
        <v>0</v>
      </c>
      <c r="CH746" s="510">
        <v>0</v>
      </c>
      <c r="CI746" s="1011">
        <v>0</v>
      </c>
    </row>
    <row r="747" spans="1:87" x14ac:dyDescent="0.2">
      <c r="A747" s="449">
        <v>70</v>
      </c>
      <c r="B747" s="453">
        <v>92355</v>
      </c>
      <c r="C747" s="454" t="s">
        <v>6913</v>
      </c>
      <c r="D747" s="454" t="s">
        <v>1390</v>
      </c>
      <c r="E747" s="454" t="s">
        <v>6914</v>
      </c>
      <c r="F747" s="454" t="s">
        <v>529</v>
      </c>
      <c r="G747" s="454" t="s">
        <v>13564</v>
      </c>
      <c r="H747" s="455">
        <v>50959576000159</v>
      </c>
      <c r="I747" s="462">
        <v>30195</v>
      </c>
      <c r="J747" s="457">
        <v>37522671</v>
      </c>
      <c r="K747" s="454" t="s">
        <v>6915</v>
      </c>
      <c r="L747" s="458">
        <v>264</v>
      </c>
      <c r="M747" s="454" t="s">
        <v>3864</v>
      </c>
      <c r="N747" s="459">
        <v>4307050</v>
      </c>
      <c r="O747" s="460">
        <v>22753958</v>
      </c>
      <c r="P747" s="462">
        <v>567763</v>
      </c>
      <c r="Q747" s="462">
        <v>35</v>
      </c>
      <c r="R747" s="462">
        <v>43921</v>
      </c>
      <c r="S747" s="463">
        <v>114</v>
      </c>
      <c r="T747" s="464">
        <v>3.6</v>
      </c>
      <c r="U747" s="465">
        <v>410.4</v>
      </c>
      <c r="V747" s="465">
        <v>10800</v>
      </c>
      <c r="W747" s="466">
        <v>0</v>
      </c>
      <c r="X747" s="467">
        <v>1</v>
      </c>
      <c r="Y747" s="466">
        <v>0</v>
      </c>
      <c r="Z747" s="468" t="s">
        <v>514</v>
      </c>
      <c r="AA747" s="466">
        <v>0</v>
      </c>
      <c r="AB747" s="466">
        <v>0</v>
      </c>
      <c r="AC747" s="467">
        <v>0</v>
      </c>
      <c r="AD747" s="466">
        <v>0</v>
      </c>
      <c r="AE747" s="468" t="s">
        <v>516</v>
      </c>
      <c r="AF747" s="466">
        <v>0</v>
      </c>
      <c r="AG747" s="466">
        <v>0</v>
      </c>
      <c r="AH747" s="466">
        <v>0</v>
      </c>
      <c r="AI747" s="466">
        <v>0</v>
      </c>
      <c r="AJ747" s="469" t="s">
        <v>6908</v>
      </c>
      <c r="AK747" s="470" t="s">
        <v>2613</v>
      </c>
      <c r="AL747" s="471" t="s">
        <v>6916</v>
      </c>
      <c r="AM747" s="470" t="s">
        <v>6917</v>
      </c>
      <c r="AN747" s="470" t="s">
        <v>13564</v>
      </c>
      <c r="AO747" s="470" t="s">
        <v>6918</v>
      </c>
      <c r="AP747" s="470" t="s">
        <v>6919</v>
      </c>
      <c r="AQ747" s="470" t="s">
        <v>6913</v>
      </c>
      <c r="AR747" s="472" t="s">
        <v>515</v>
      </c>
      <c r="AS747" s="473" t="s">
        <v>1385</v>
      </c>
      <c r="AT747" s="472" t="s">
        <v>1390</v>
      </c>
      <c r="AU747" s="472" t="s">
        <v>420</v>
      </c>
      <c r="AV747" s="472">
        <v>2020</v>
      </c>
      <c r="AW747" s="474" t="s">
        <v>15078</v>
      </c>
      <c r="AX747" s="475" t="s">
        <v>15079</v>
      </c>
      <c r="AY747" s="515">
        <v>1</v>
      </c>
      <c r="AZ747" s="474" t="s">
        <v>15079</v>
      </c>
      <c r="BA747" s="472" t="s">
        <v>1385</v>
      </c>
      <c r="BB747" s="472" t="s">
        <v>516</v>
      </c>
      <c r="BC747" s="472">
        <v>4</v>
      </c>
      <c r="BD747" s="472">
        <v>2700</v>
      </c>
      <c r="BE747" s="472">
        <v>0</v>
      </c>
      <c r="BF747" s="472">
        <v>20865.599999999999</v>
      </c>
      <c r="BG747" s="472">
        <v>0</v>
      </c>
      <c r="BH747" s="472" t="s">
        <v>516</v>
      </c>
      <c r="BI747" s="510">
        <v>0</v>
      </c>
      <c r="BJ747" s="510">
        <v>0</v>
      </c>
      <c r="BK747" s="510">
        <v>0</v>
      </c>
      <c r="BL747" s="510">
        <v>0</v>
      </c>
      <c r="BM747" s="510">
        <v>0</v>
      </c>
      <c r="BN747" s="510">
        <v>0</v>
      </c>
      <c r="BO747" s="510">
        <v>0</v>
      </c>
      <c r="BP747" s="510">
        <v>0</v>
      </c>
      <c r="BQ747" s="510">
        <v>0</v>
      </c>
      <c r="BR747" s="510">
        <v>0</v>
      </c>
      <c r="BS747" s="510">
        <v>0</v>
      </c>
      <c r="BT747" s="510">
        <v>0</v>
      </c>
      <c r="BU747" s="510">
        <v>0</v>
      </c>
      <c r="BV747" s="510">
        <v>0</v>
      </c>
      <c r="BW747" s="510">
        <v>0</v>
      </c>
      <c r="BX747" s="510">
        <v>0</v>
      </c>
      <c r="BY747" s="1011">
        <v>0</v>
      </c>
      <c r="BZ747" s="510">
        <v>0</v>
      </c>
      <c r="CA747" s="1011">
        <v>0</v>
      </c>
      <c r="CB747" s="510">
        <v>0</v>
      </c>
      <c r="CC747" s="1011">
        <v>0</v>
      </c>
      <c r="CD747" s="510">
        <v>0</v>
      </c>
      <c r="CE747" s="1011">
        <v>0</v>
      </c>
      <c r="CF747" s="510">
        <v>0</v>
      </c>
      <c r="CG747" s="1011">
        <v>0</v>
      </c>
      <c r="CH747" s="510">
        <v>0</v>
      </c>
      <c r="CI747" s="1011">
        <v>0</v>
      </c>
    </row>
    <row r="748" spans="1:87" x14ac:dyDescent="0.2">
      <c r="A748" s="449">
        <v>86</v>
      </c>
      <c r="B748" s="453">
        <v>92363</v>
      </c>
      <c r="C748" s="454" t="s">
        <v>6920</v>
      </c>
      <c r="D748" s="454" t="s">
        <v>1390</v>
      </c>
      <c r="E748" s="454" t="s">
        <v>6921</v>
      </c>
      <c r="F748" s="454" t="s">
        <v>524</v>
      </c>
      <c r="G748" s="454" t="s">
        <v>13565</v>
      </c>
      <c r="H748" s="455">
        <v>52035359000106</v>
      </c>
      <c r="I748" s="462">
        <v>30298</v>
      </c>
      <c r="J748" s="457">
        <v>37498908</v>
      </c>
      <c r="K748" s="454" t="s">
        <v>6923</v>
      </c>
      <c r="L748" s="458">
        <v>1410</v>
      </c>
      <c r="M748" s="454" t="s">
        <v>6924</v>
      </c>
      <c r="N748" s="459">
        <v>4076012</v>
      </c>
      <c r="O748" s="460">
        <v>50444196</v>
      </c>
      <c r="P748" s="462">
        <v>204768</v>
      </c>
      <c r="Q748" s="462">
        <v>93</v>
      </c>
      <c r="R748" s="462">
        <v>43906</v>
      </c>
      <c r="S748" s="463">
        <v>109</v>
      </c>
      <c r="T748" s="464">
        <v>3.6</v>
      </c>
      <c r="U748" s="465">
        <v>392.4</v>
      </c>
      <c r="V748" s="465">
        <v>10800</v>
      </c>
      <c r="W748" s="466">
        <v>0</v>
      </c>
      <c r="X748" s="467">
        <v>1</v>
      </c>
      <c r="Y748" s="466">
        <v>20838.599999999999</v>
      </c>
      <c r="Z748" s="468" t="s">
        <v>516</v>
      </c>
      <c r="AA748" s="466">
        <v>98666.6</v>
      </c>
      <c r="AB748" s="466">
        <v>98666.6</v>
      </c>
      <c r="AC748" s="467">
        <v>0</v>
      </c>
      <c r="AD748" s="466">
        <v>0</v>
      </c>
      <c r="AE748" s="468" t="s">
        <v>516</v>
      </c>
      <c r="AF748" s="466">
        <v>0</v>
      </c>
      <c r="AG748" s="466">
        <v>0</v>
      </c>
      <c r="AH748" s="466">
        <v>11089.06</v>
      </c>
      <c r="AI748" s="466">
        <v>3425.52</v>
      </c>
      <c r="AJ748" s="469" t="s">
        <v>6925</v>
      </c>
      <c r="AK748" s="470" t="s">
        <v>6926</v>
      </c>
      <c r="AL748" s="471" t="s">
        <v>6927</v>
      </c>
      <c r="AM748" s="470" t="s">
        <v>15172</v>
      </c>
      <c r="AN748" s="470" t="s">
        <v>6922</v>
      </c>
      <c r="AO748" s="470" t="s">
        <v>6928</v>
      </c>
      <c r="AP748" s="470" t="s">
        <v>6929</v>
      </c>
      <c r="AQ748" s="470" t="s">
        <v>6920</v>
      </c>
      <c r="AR748" s="472" t="s">
        <v>515</v>
      </c>
      <c r="AS748" s="473" t="s">
        <v>1385</v>
      </c>
      <c r="AT748" s="472" t="s">
        <v>1390</v>
      </c>
      <c r="AU748" s="472" t="s">
        <v>420</v>
      </c>
      <c r="AV748" s="472">
        <v>2020</v>
      </c>
      <c r="AW748" s="474" t="s">
        <v>15078</v>
      </c>
      <c r="AX748" s="475" t="s">
        <v>15079</v>
      </c>
      <c r="AY748" s="515">
        <v>1</v>
      </c>
      <c r="AZ748" s="474" t="s">
        <v>15079</v>
      </c>
      <c r="BA748" s="472" t="s">
        <v>1390</v>
      </c>
      <c r="BB748" s="472" t="s">
        <v>516</v>
      </c>
      <c r="BC748" s="472">
        <v>4</v>
      </c>
      <c r="BD748" s="472">
        <v>2700</v>
      </c>
      <c r="BE748" s="472">
        <v>0</v>
      </c>
      <c r="BF748" s="472">
        <v>20838.599999999999</v>
      </c>
      <c r="BG748" s="472">
        <v>0</v>
      </c>
      <c r="BH748" s="472" t="s">
        <v>1385</v>
      </c>
      <c r="BI748" s="510">
        <v>0</v>
      </c>
      <c r="BJ748" s="510">
        <v>0</v>
      </c>
      <c r="BK748" s="510">
        <v>0</v>
      </c>
      <c r="BL748" s="510">
        <v>0</v>
      </c>
      <c r="BM748" s="510">
        <v>0</v>
      </c>
      <c r="BN748" s="510">
        <v>2000</v>
      </c>
      <c r="BO748" s="510">
        <v>0</v>
      </c>
      <c r="BP748" s="510">
        <v>0</v>
      </c>
      <c r="BQ748" s="510">
        <v>0</v>
      </c>
      <c r="BR748" s="510">
        <v>0</v>
      </c>
      <c r="BS748" s="510">
        <v>0</v>
      </c>
      <c r="BT748" s="510">
        <v>0</v>
      </c>
      <c r="BU748" s="510">
        <v>0</v>
      </c>
      <c r="BV748" s="510">
        <v>0</v>
      </c>
      <c r="BW748" s="510">
        <v>0</v>
      </c>
      <c r="BX748" s="510">
        <v>30000</v>
      </c>
      <c r="BY748" s="1011">
        <v>0</v>
      </c>
      <c r="BZ748" s="510">
        <v>0</v>
      </c>
      <c r="CA748" s="1011">
        <v>0</v>
      </c>
      <c r="CB748" s="510">
        <v>0</v>
      </c>
      <c r="CC748" s="1011">
        <v>0</v>
      </c>
      <c r="CD748" s="510">
        <v>0</v>
      </c>
      <c r="CE748" s="1011">
        <v>0</v>
      </c>
      <c r="CF748" s="510">
        <v>47828</v>
      </c>
      <c r="CG748" s="1011">
        <v>0</v>
      </c>
      <c r="CH748" s="510">
        <v>0</v>
      </c>
      <c r="CI748" s="1011">
        <v>0</v>
      </c>
    </row>
    <row r="749" spans="1:87" x14ac:dyDescent="0.2">
      <c r="A749" s="449">
        <v>80</v>
      </c>
      <c r="B749" s="453">
        <v>92371</v>
      </c>
      <c r="C749" s="454" t="s">
        <v>6930</v>
      </c>
      <c r="D749" s="454" t="s">
        <v>1390</v>
      </c>
      <c r="E749" s="454" t="s">
        <v>6931</v>
      </c>
      <c r="F749" s="454" t="s">
        <v>524</v>
      </c>
      <c r="G749" s="454" t="s">
        <v>13566</v>
      </c>
      <c r="H749" s="455">
        <v>50996289000119</v>
      </c>
      <c r="I749" s="462">
        <v>30228</v>
      </c>
      <c r="J749" s="457">
        <v>37499629</v>
      </c>
      <c r="K749" s="454" t="s">
        <v>6932</v>
      </c>
      <c r="L749" s="458">
        <v>1639</v>
      </c>
      <c r="M749" s="454" t="s">
        <v>6933</v>
      </c>
      <c r="N749" s="459">
        <v>4523016</v>
      </c>
      <c r="O749" s="460">
        <v>50446652</v>
      </c>
      <c r="P749" s="462">
        <v>199730</v>
      </c>
      <c r="Q749" s="462">
        <v>86</v>
      </c>
      <c r="R749" s="462">
        <v>43924</v>
      </c>
      <c r="S749" s="463">
        <v>115</v>
      </c>
      <c r="T749" s="464">
        <v>3.6</v>
      </c>
      <c r="U749" s="465">
        <v>414</v>
      </c>
      <c r="V749" s="465">
        <v>10800</v>
      </c>
      <c r="W749" s="466">
        <v>0</v>
      </c>
      <c r="X749" s="467">
        <v>1</v>
      </c>
      <c r="Y749" s="466">
        <v>16821</v>
      </c>
      <c r="Z749" s="468" t="s">
        <v>516</v>
      </c>
      <c r="AA749" s="466">
        <v>84227.4</v>
      </c>
      <c r="AB749" s="466">
        <v>84227.4</v>
      </c>
      <c r="AC749" s="467">
        <v>0</v>
      </c>
      <c r="AD749" s="466">
        <v>0</v>
      </c>
      <c r="AE749" s="468" t="s">
        <v>516</v>
      </c>
      <c r="AF749" s="466">
        <v>0</v>
      </c>
      <c r="AG749" s="466">
        <v>0</v>
      </c>
      <c r="AH749" s="466">
        <v>7738.61</v>
      </c>
      <c r="AI749" s="466">
        <v>2774.76</v>
      </c>
      <c r="AJ749" s="469" t="s">
        <v>6925</v>
      </c>
      <c r="AK749" s="470" t="s">
        <v>6926</v>
      </c>
      <c r="AL749" s="471" t="s">
        <v>6934</v>
      </c>
      <c r="AM749" s="470" t="s">
        <v>15166</v>
      </c>
      <c r="AN749" s="470" t="s">
        <v>13567</v>
      </c>
      <c r="AO749" s="470" t="s">
        <v>13568</v>
      </c>
      <c r="AP749" s="470" t="s">
        <v>6935</v>
      </c>
      <c r="AQ749" s="470" t="s">
        <v>6930</v>
      </c>
      <c r="AR749" s="472" t="s">
        <v>515</v>
      </c>
      <c r="AS749" s="473" t="s">
        <v>1385</v>
      </c>
      <c r="AT749" s="472" t="s">
        <v>1390</v>
      </c>
      <c r="AU749" s="472" t="s">
        <v>420</v>
      </c>
      <c r="AV749" s="472">
        <v>2020</v>
      </c>
      <c r="AW749" s="474" t="s">
        <v>15078</v>
      </c>
      <c r="AX749" s="475" t="s">
        <v>15079</v>
      </c>
      <c r="AY749" s="515">
        <v>1</v>
      </c>
      <c r="AZ749" s="474" t="s">
        <v>15079</v>
      </c>
      <c r="BA749" s="472" t="s">
        <v>1390</v>
      </c>
      <c r="BB749" s="472" t="s">
        <v>1385</v>
      </c>
      <c r="BC749" s="472" t="s">
        <v>1385</v>
      </c>
      <c r="BD749" s="472" t="s">
        <v>1385</v>
      </c>
      <c r="BE749" s="472" t="s">
        <v>1385</v>
      </c>
      <c r="BF749" s="472">
        <v>16821</v>
      </c>
      <c r="BG749" s="472">
        <v>0</v>
      </c>
      <c r="BH749" s="472" t="s">
        <v>1385</v>
      </c>
      <c r="BI749" s="510">
        <v>0</v>
      </c>
      <c r="BJ749" s="510">
        <v>0</v>
      </c>
      <c r="BK749" s="510">
        <v>0</v>
      </c>
      <c r="BL749" s="510">
        <v>0</v>
      </c>
      <c r="BM749" s="510">
        <v>0</v>
      </c>
      <c r="BN749" s="510">
        <v>2000</v>
      </c>
      <c r="BO749" s="510">
        <v>0</v>
      </c>
      <c r="BP749" s="510">
        <v>0</v>
      </c>
      <c r="BQ749" s="510">
        <v>0</v>
      </c>
      <c r="BR749" s="510">
        <v>0</v>
      </c>
      <c r="BS749" s="510">
        <v>0</v>
      </c>
      <c r="BT749" s="510">
        <v>0</v>
      </c>
      <c r="BU749" s="510">
        <v>0</v>
      </c>
      <c r="BV749" s="510">
        <v>0</v>
      </c>
      <c r="BW749" s="510">
        <v>0</v>
      </c>
      <c r="BX749" s="510">
        <v>30000</v>
      </c>
      <c r="BY749" s="1011">
        <v>0</v>
      </c>
      <c r="BZ749" s="510">
        <v>0</v>
      </c>
      <c r="CA749" s="1011">
        <v>0</v>
      </c>
      <c r="CB749" s="510">
        <v>0</v>
      </c>
      <c r="CC749" s="1011">
        <v>0</v>
      </c>
      <c r="CD749" s="510">
        <v>0</v>
      </c>
      <c r="CE749" s="1011">
        <v>0</v>
      </c>
      <c r="CF749" s="510">
        <v>37406.400000000001</v>
      </c>
      <c r="CG749" s="1011">
        <v>0</v>
      </c>
      <c r="CH749" s="510">
        <v>0</v>
      </c>
      <c r="CI749" s="1011">
        <v>0</v>
      </c>
    </row>
    <row r="750" spans="1:87" x14ac:dyDescent="0.2">
      <c r="A750" s="449">
        <v>65</v>
      </c>
      <c r="B750" s="453">
        <v>92380</v>
      </c>
      <c r="C750" s="454" t="s">
        <v>6936</v>
      </c>
      <c r="D750" s="454" t="s">
        <v>1390</v>
      </c>
      <c r="E750" s="454" t="s">
        <v>6937</v>
      </c>
      <c r="F750" s="454" t="s">
        <v>524</v>
      </c>
      <c r="G750" s="454" t="s">
        <v>13569</v>
      </c>
      <c r="H750" s="455">
        <v>50951573000179</v>
      </c>
      <c r="I750" s="462">
        <v>30215</v>
      </c>
      <c r="J750" s="457">
        <v>37500104</v>
      </c>
      <c r="K750" s="454" t="s">
        <v>6938</v>
      </c>
      <c r="L750" s="458">
        <v>254</v>
      </c>
      <c r="M750" s="454" t="s">
        <v>6933</v>
      </c>
      <c r="N750" s="459">
        <v>4088000</v>
      </c>
      <c r="O750" s="460">
        <v>50522979</v>
      </c>
      <c r="P750" s="462">
        <v>204881</v>
      </c>
      <c r="Q750" s="462">
        <v>71</v>
      </c>
      <c r="R750" s="462">
        <v>43952</v>
      </c>
      <c r="S750" s="463">
        <v>126</v>
      </c>
      <c r="T750" s="464">
        <v>3.6</v>
      </c>
      <c r="U750" s="465">
        <v>453.6</v>
      </c>
      <c r="V750" s="465">
        <v>10800</v>
      </c>
      <c r="W750" s="466">
        <v>0</v>
      </c>
      <c r="X750" s="467">
        <v>1</v>
      </c>
      <c r="Y750" s="466">
        <v>0</v>
      </c>
      <c r="Z750" s="468" t="s">
        <v>514</v>
      </c>
      <c r="AA750" s="466">
        <v>0</v>
      </c>
      <c r="AB750" s="466">
        <v>0</v>
      </c>
      <c r="AC750" s="467">
        <v>0</v>
      </c>
      <c r="AD750" s="466">
        <v>0</v>
      </c>
      <c r="AE750" s="468" t="s">
        <v>516</v>
      </c>
      <c r="AF750" s="466">
        <v>0</v>
      </c>
      <c r="AG750" s="466">
        <v>0</v>
      </c>
      <c r="AH750" s="466">
        <v>0</v>
      </c>
      <c r="AI750" s="466">
        <v>0</v>
      </c>
      <c r="AJ750" s="469" t="s">
        <v>6939</v>
      </c>
      <c r="AK750" s="470" t="s">
        <v>6940</v>
      </c>
      <c r="AL750" s="471" t="s">
        <v>6941</v>
      </c>
      <c r="AM750" s="470" t="s">
        <v>15082</v>
      </c>
      <c r="AN750" s="470" t="s">
        <v>5997</v>
      </c>
      <c r="AO750" s="470" t="s">
        <v>13570</v>
      </c>
      <c r="AP750" s="470" t="s">
        <v>6942</v>
      </c>
      <c r="AQ750" s="470" t="s">
        <v>6936</v>
      </c>
      <c r="AR750" s="472" t="s">
        <v>515</v>
      </c>
      <c r="AS750" s="473" t="s">
        <v>1385</v>
      </c>
      <c r="AT750" s="472" t="s">
        <v>1390</v>
      </c>
      <c r="AU750" s="472" t="s">
        <v>420</v>
      </c>
      <c r="AV750" s="472">
        <v>2020</v>
      </c>
      <c r="AW750" s="474" t="s">
        <v>15078</v>
      </c>
      <c r="AX750" s="475" t="s">
        <v>15079</v>
      </c>
      <c r="AY750" s="515">
        <v>1</v>
      </c>
      <c r="AZ750" s="474" t="s">
        <v>15079</v>
      </c>
      <c r="BA750" s="472" t="s">
        <v>1385</v>
      </c>
      <c r="BB750" s="472" t="s">
        <v>1385</v>
      </c>
      <c r="BC750" s="472" t="s">
        <v>1385</v>
      </c>
      <c r="BD750" s="472" t="s">
        <v>1385</v>
      </c>
      <c r="BE750" s="472" t="s">
        <v>1385</v>
      </c>
      <c r="BF750" s="472">
        <v>16880.400000000001</v>
      </c>
      <c r="BG750" s="472">
        <v>0</v>
      </c>
      <c r="BH750" s="472" t="s">
        <v>516</v>
      </c>
      <c r="BI750" s="510">
        <v>0</v>
      </c>
      <c r="BJ750" s="510">
        <v>0</v>
      </c>
      <c r="BK750" s="510">
        <v>0</v>
      </c>
      <c r="BL750" s="510">
        <v>0</v>
      </c>
      <c r="BM750" s="510">
        <v>0</v>
      </c>
      <c r="BN750" s="510">
        <v>0</v>
      </c>
      <c r="BO750" s="510">
        <v>0</v>
      </c>
      <c r="BP750" s="510">
        <v>0</v>
      </c>
      <c r="BQ750" s="510">
        <v>0</v>
      </c>
      <c r="BR750" s="510">
        <v>0</v>
      </c>
      <c r="BS750" s="510">
        <v>0</v>
      </c>
      <c r="BT750" s="510">
        <v>0</v>
      </c>
      <c r="BU750" s="510">
        <v>0</v>
      </c>
      <c r="BV750" s="510">
        <v>0</v>
      </c>
      <c r="BW750" s="510">
        <v>0</v>
      </c>
      <c r="BX750" s="510">
        <v>0</v>
      </c>
      <c r="BY750" s="1011">
        <v>0</v>
      </c>
      <c r="BZ750" s="510">
        <v>0</v>
      </c>
      <c r="CA750" s="1011">
        <v>0</v>
      </c>
      <c r="CB750" s="510">
        <v>0</v>
      </c>
      <c r="CC750" s="1011">
        <v>0</v>
      </c>
      <c r="CD750" s="510">
        <v>0</v>
      </c>
      <c r="CE750" s="1011">
        <v>0</v>
      </c>
      <c r="CF750" s="510">
        <v>0</v>
      </c>
      <c r="CG750" s="1011">
        <v>0</v>
      </c>
      <c r="CH750" s="510">
        <v>0</v>
      </c>
      <c r="CI750" s="1011">
        <v>0</v>
      </c>
    </row>
    <row r="751" spans="1:87" x14ac:dyDescent="0.2">
      <c r="A751" s="449">
        <v>100</v>
      </c>
      <c r="B751" s="453">
        <v>92398</v>
      </c>
      <c r="C751" s="454" t="s">
        <v>6943</v>
      </c>
      <c r="D751" s="454" t="s">
        <v>1390</v>
      </c>
      <c r="E751" s="454" t="s">
        <v>6944</v>
      </c>
      <c r="F751" s="454" t="s">
        <v>524</v>
      </c>
      <c r="G751" s="454" t="s">
        <v>13571</v>
      </c>
      <c r="H751" s="455">
        <v>52040482000107</v>
      </c>
      <c r="I751" s="462">
        <v>30306</v>
      </c>
      <c r="J751" s="457">
        <v>37498380</v>
      </c>
      <c r="K751" s="454" t="s">
        <v>6945</v>
      </c>
      <c r="L751" s="458">
        <v>1231</v>
      </c>
      <c r="M751" s="454" t="s">
        <v>1647</v>
      </c>
      <c r="N751" s="459">
        <v>4039033</v>
      </c>
      <c r="O751" s="460">
        <v>50844157</v>
      </c>
      <c r="P751" s="462">
        <v>208968</v>
      </c>
      <c r="Q751" s="462">
        <v>108</v>
      </c>
      <c r="R751" s="462">
        <v>43906</v>
      </c>
      <c r="S751" s="463">
        <v>145</v>
      </c>
      <c r="T751" s="464">
        <v>3.6</v>
      </c>
      <c r="U751" s="465">
        <v>522</v>
      </c>
      <c r="V751" s="465">
        <v>10800</v>
      </c>
      <c r="W751" s="466">
        <v>0</v>
      </c>
      <c r="X751" s="467">
        <v>1</v>
      </c>
      <c r="Y751" s="466">
        <v>21843</v>
      </c>
      <c r="Z751" s="468" t="s">
        <v>516</v>
      </c>
      <c r="AA751" s="466">
        <v>100959.8</v>
      </c>
      <c r="AB751" s="466">
        <v>100959.8</v>
      </c>
      <c r="AC751" s="467">
        <v>0</v>
      </c>
      <c r="AD751" s="466">
        <v>0</v>
      </c>
      <c r="AE751" s="468" t="s">
        <v>516</v>
      </c>
      <c r="AF751" s="466">
        <v>0</v>
      </c>
      <c r="AG751" s="466">
        <v>0</v>
      </c>
      <c r="AH751" s="466">
        <v>10982.33</v>
      </c>
      <c r="AI751" s="466">
        <v>6101.2</v>
      </c>
      <c r="AJ751" s="469" t="s">
        <v>6925</v>
      </c>
      <c r="AK751" s="470" t="s">
        <v>6926</v>
      </c>
      <c r="AL751" s="471" t="s">
        <v>6946</v>
      </c>
      <c r="AM751" s="470" t="s">
        <v>15186</v>
      </c>
      <c r="AN751" s="470" t="s">
        <v>13572</v>
      </c>
      <c r="AO751" s="470" t="s">
        <v>13573</v>
      </c>
      <c r="AP751" s="470" t="s">
        <v>6947</v>
      </c>
      <c r="AQ751" s="470" t="s">
        <v>6943</v>
      </c>
      <c r="AR751" s="472" t="s">
        <v>515</v>
      </c>
      <c r="AS751" s="473" t="s">
        <v>1385</v>
      </c>
      <c r="AT751" s="472" t="s">
        <v>1390</v>
      </c>
      <c r="AU751" s="472" t="s">
        <v>420</v>
      </c>
      <c r="AV751" s="472">
        <v>2020</v>
      </c>
      <c r="AW751" s="474" t="s">
        <v>15078</v>
      </c>
      <c r="AX751" s="475" t="s">
        <v>15079</v>
      </c>
      <c r="AY751" s="515">
        <v>1</v>
      </c>
      <c r="AZ751" s="474" t="s">
        <v>15079</v>
      </c>
      <c r="BA751" s="472" t="s">
        <v>1390</v>
      </c>
      <c r="BB751" s="472" t="s">
        <v>516</v>
      </c>
      <c r="BC751" s="472">
        <v>5</v>
      </c>
      <c r="BD751" s="472">
        <v>3240</v>
      </c>
      <c r="BE751" s="472">
        <v>0</v>
      </c>
      <c r="BF751" s="472">
        <v>21843</v>
      </c>
      <c r="BG751" s="472">
        <v>0</v>
      </c>
      <c r="BH751" s="472" t="s">
        <v>1385</v>
      </c>
      <c r="BI751" s="510">
        <v>0</v>
      </c>
      <c r="BJ751" s="510">
        <v>0</v>
      </c>
      <c r="BK751" s="510">
        <v>0</v>
      </c>
      <c r="BL751" s="510">
        <v>0</v>
      </c>
      <c r="BM751" s="510">
        <v>0</v>
      </c>
      <c r="BN751" s="510">
        <v>2000</v>
      </c>
      <c r="BO751" s="510">
        <v>0</v>
      </c>
      <c r="BP751" s="510">
        <v>0</v>
      </c>
      <c r="BQ751" s="510">
        <v>0</v>
      </c>
      <c r="BR751" s="510">
        <v>0</v>
      </c>
      <c r="BS751" s="510">
        <v>0</v>
      </c>
      <c r="BT751" s="510">
        <v>0</v>
      </c>
      <c r="BU751" s="510">
        <v>0</v>
      </c>
      <c r="BV751" s="510">
        <v>0</v>
      </c>
      <c r="BW751" s="510">
        <v>0</v>
      </c>
      <c r="BX751" s="510">
        <v>30000</v>
      </c>
      <c r="BY751" s="1011">
        <v>0</v>
      </c>
      <c r="BZ751" s="510">
        <v>0</v>
      </c>
      <c r="CA751" s="1011">
        <v>0</v>
      </c>
      <c r="CB751" s="510">
        <v>0</v>
      </c>
      <c r="CC751" s="1011">
        <v>0</v>
      </c>
      <c r="CD751" s="510">
        <v>0</v>
      </c>
      <c r="CE751" s="1011">
        <v>0</v>
      </c>
      <c r="CF751" s="510">
        <v>49116.800000000003</v>
      </c>
      <c r="CG751" s="1011">
        <v>0</v>
      </c>
      <c r="CH751" s="510">
        <v>0</v>
      </c>
      <c r="CI751" s="1011">
        <v>0</v>
      </c>
    </row>
    <row r="752" spans="1:87" x14ac:dyDescent="0.2">
      <c r="A752" s="449">
        <v>79</v>
      </c>
      <c r="B752" s="453">
        <v>92401</v>
      </c>
      <c r="C752" s="454" t="s">
        <v>6948</v>
      </c>
      <c r="D752" s="454" t="s">
        <v>1390</v>
      </c>
      <c r="E752" s="454" t="s">
        <v>6949</v>
      </c>
      <c r="F752" s="454" t="s">
        <v>524</v>
      </c>
      <c r="G752" s="454" t="s">
        <v>13574</v>
      </c>
      <c r="H752" s="455">
        <v>51933166000100</v>
      </c>
      <c r="I752" s="462">
        <v>30244</v>
      </c>
      <c r="J752" s="457">
        <v>37498860</v>
      </c>
      <c r="K752" s="454" t="s">
        <v>6951</v>
      </c>
      <c r="L752" s="458">
        <v>232</v>
      </c>
      <c r="M752" s="454" t="s">
        <v>6952</v>
      </c>
      <c r="N752" s="459">
        <v>4005030</v>
      </c>
      <c r="O752" s="460">
        <v>38841363</v>
      </c>
      <c r="P752" s="462">
        <v>199659</v>
      </c>
      <c r="Q752" s="462">
        <v>85</v>
      </c>
      <c r="R752" s="462">
        <v>43906</v>
      </c>
      <c r="S752" s="463">
        <v>147</v>
      </c>
      <c r="T752" s="464">
        <v>3.6</v>
      </c>
      <c r="U752" s="465">
        <v>529.20000000000005</v>
      </c>
      <c r="V752" s="465">
        <v>10800</v>
      </c>
      <c r="W752" s="466">
        <v>0</v>
      </c>
      <c r="X752" s="467">
        <v>1</v>
      </c>
      <c r="Y752" s="466">
        <v>21853.8</v>
      </c>
      <c r="Z752" s="468" t="s">
        <v>516</v>
      </c>
      <c r="AA752" s="466">
        <v>100941.8</v>
      </c>
      <c r="AB752" s="466">
        <v>100941.8</v>
      </c>
      <c r="AC752" s="467">
        <v>0</v>
      </c>
      <c r="AD752" s="466">
        <v>0</v>
      </c>
      <c r="AE752" s="468" t="s">
        <v>516</v>
      </c>
      <c r="AF752" s="466">
        <v>0</v>
      </c>
      <c r="AG752" s="466">
        <v>0</v>
      </c>
      <c r="AH752" s="466">
        <v>15928.32</v>
      </c>
      <c r="AI752" s="466">
        <v>2630.88</v>
      </c>
      <c r="AJ752" s="469" t="s">
        <v>6953</v>
      </c>
      <c r="AK752" s="470" t="s">
        <v>6954</v>
      </c>
      <c r="AL752" s="471" t="s">
        <v>6955</v>
      </c>
      <c r="AM752" s="470" t="s">
        <v>15165</v>
      </c>
      <c r="AN752" s="470" t="s">
        <v>6950</v>
      </c>
      <c r="AO752" s="470" t="s">
        <v>13575</v>
      </c>
      <c r="AP752" s="470" t="s">
        <v>6956</v>
      </c>
      <c r="AQ752" s="470" t="s">
        <v>6948</v>
      </c>
      <c r="AR752" s="472" t="s">
        <v>515</v>
      </c>
      <c r="AS752" s="473" t="s">
        <v>1385</v>
      </c>
      <c r="AT752" s="472" t="s">
        <v>1390</v>
      </c>
      <c r="AU752" s="472" t="s">
        <v>420</v>
      </c>
      <c r="AV752" s="472">
        <v>2020</v>
      </c>
      <c r="AW752" s="474" t="s">
        <v>15078</v>
      </c>
      <c r="AX752" s="475" t="s">
        <v>15079</v>
      </c>
      <c r="AY752" s="515">
        <v>1</v>
      </c>
      <c r="AZ752" s="474" t="s">
        <v>15079</v>
      </c>
      <c r="BA752" s="472" t="s">
        <v>1390</v>
      </c>
      <c r="BB752" s="472" t="s">
        <v>516</v>
      </c>
      <c r="BC752" s="472">
        <v>5</v>
      </c>
      <c r="BD752" s="472">
        <v>3240</v>
      </c>
      <c r="BE752" s="472">
        <v>0</v>
      </c>
      <c r="BF752" s="472">
        <v>21853.8</v>
      </c>
      <c r="BG752" s="472">
        <v>0</v>
      </c>
      <c r="BH752" s="472" t="s">
        <v>1385</v>
      </c>
      <c r="BI752" s="510">
        <v>0</v>
      </c>
      <c r="BJ752" s="510">
        <v>0</v>
      </c>
      <c r="BK752" s="510">
        <v>0</v>
      </c>
      <c r="BL752" s="510">
        <v>0</v>
      </c>
      <c r="BM752" s="510">
        <v>0</v>
      </c>
      <c r="BN752" s="510">
        <v>2000</v>
      </c>
      <c r="BO752" s="510">
        <v>0</v>
      </c>
      <c r="BP752" s="510">
        <v>0</v>
      </c>
      <c r="BQ752" s="510">
        <v>0</v>
      </c>
      <c r="BR752" s="510">
        <v>0</v>
      </c>
      <c r="BS752" s="510">
        <v>0</v>
      </c>
      <c r="BT752" s="510">
        <v>0</v>
      </c>
      <c r="BU752" s="510">
        <v>0</v>
      </c>
      <c r="BV752" s="510">
        <v>0</v>
      </c>
      <c r="BW752" s="510">
        <v>0</v>
      </c>
      <c r="BX752" s="510">
        <v>30000</v>
      </c>
      <c r="BY752" s="1011">
        <v>0</v>
      </c>
      <c r="BZ752" s="510">
        <v>0</v>
      </c>
      <c r="CA752" s="1011">
        <v>0</v>
      </c>
      <c r="CB752" s="510">
        <v>0</v>
      </c>
      <c r="CC752" s="1011">
        <v>0</v>
      </c>
      <c r="CD752" s="510">
        <v>0</v>
      </c>
      <c r="CE752" s="1011">
        <v>0</v>
      </c>
      <c r="CF752" s="510">
        <v>49088</v>
      </c>
      <c r="CG752" s="1011">
        <v>0</v>
      </c>
      <c r="CH752" s="510">
        <v>0</v>
      </c>
      <c r="CI752" s="1011">
        <v>0</v>
      </c>
    </row>
    <row r="753" spans="1:87" x14ac:dyDescent="0.2">
      <c r="A753" s="449">
        <v>63</v>
      </c>
      <c r="B753" s="453">
        <v>92410</v>
      </c>
      <c r="C753" s="454" t="s">
        <v>6957</v>
      </c>
      <c r="D753" s="454" t="s">
        <v>1390</v>
      </c>
      <c r="E753" s="454" t="s">
        <v>6958</v>
      </c>
      <c r="F753" s="454" t="s">
        <v>524</v>
      </c>
      <c r="G753" s="454" t="s">
        <v>13576</v>
      </c>
      <c r="H753" s="455">
        <v>50998350000167</v>
      </c>
      <c r="I753" s="462">
        <v>30232</v>
      </c>
      <c r="J753" s="457">
        <v>37500384</v>
      </c>
      <c r="K753" s="454" t="s">
        <v>6959</v>
      </c>
      <c r="L753" s="458">
        <v>244</v>
      </c>
      <c r="M753" s="454" t="s">
        <v>6952</v>
      </c>
      <c r="N753" s="459">
        <v>4105040</v>
      </c>
      <c r="O753" s="460">
        <v>55734615</v>
      </c>
      <c r="P753" s="462">
        <v>205071</v>
      </c>
      <c r="Q753" s="462">
        <v>69</v>
      </c>
      <c r="R753" s="462">
        <v>43906</v>
      </c>
      <c r="S753" s="463">
        <v>296</v>
      </c>
      <c r="T753" s="464">
        <v>3.6</v>
      </c>
      <c r="U753" s="465">
        <v>1065.5999999999999</v>
      </c>
      <c r="V753" s="465">
        <v>12240</v>
      </c>
      <c r="W753" s="466">
        <v>0</v>
      </c>
      <c r="X753" s="467">
        <v>1</v>
      </c>
      <c r="Y753" s="466">
        <v>19958.400000000001</v>
      </c>
      <c r="Z753" s="468" t="s">
        <v>516</v>
      </c>
      <c r="AA753" s="466">
        <v>94809.600000000006</v>
      </c>
      <c r="AB753" s="466">
        <v>94809.600000000006</v>
      </c>
      <c r="AC753" s="467">
        <v>0</v>
      </c>
      <c r="AD753" s="466">
        <v>0</v>
      </c>
      <c r="AE753" s="468" t="s">
        <v>516</v>
      </c>
      <c r="AF753" s="466">
        <v>0</v>
      </c>
      <c r="AG753" s="466">
        <v>0</v>
      </c>
      <c r="AH753" s="466">
        <v>31256.19</v>
      </c>
      <c r="AI753" s="466">
        <v>16412.349999999999</v>
      </c>
      <c r="AJ753" s="469" t="s">
        <v>6953</v>
      </c>
      <c r="AK753" s="470" t="s">
        <v>6954</v>
      </c>
      <c r="AL753" s="471" t="s">
        <v>6960</v>
      </c>
      <c r="AM753" s="470" t="s">
        <v>15151</v>
      </c>
      <c r="AN753" s="470" t="s">
        <v>6961</v>
      </c>
      <c r="AO753" s="470" t="s">
        <v>13577</v>
      </c>
      <c r="AP753" s="470" t="s">
        <v>6962</v>
      </c>
      <c r="AQ753" s="470" t="s">
        <v>6957</v>
      </c>
      <c r="AR753" s="472" t="s">
        <v>515</v>
      </c>
      <c r="AS753" s="473" t="s">
        <v>1385</v>
      </c>
      <c r="AT753" s="472" t="s">
        <v>1390</v>
      </c>
      <c r="AU753" s="472" t="s">
        <v>420</v>
      </c>
      <c r="AV753" s="472">
        <v>2020</v>
      </c>
      <c r="AW753" s="474" t="s">
        <v>15078</v>
      </c>
      <c r="AX753" s="475" t="s">
        <v>15079</v>
      </c>
      <c r="AY753" s="515">
        <v>1</v>
      </c>
      <c r="AZ753" s="474" t="s">
        <v>15079</v>
      </c>
      <c r="BA753" s="472" t="s">
        <v>1390</v>
      </c>
      <c r="BB753" s="472" t="s">
        <v>1385</v>
      </c>
      <c r="BC753" s="472" t="s">
        <v>1385</v>
      </c>
      <c r="BD753" s="472" t="s">
        <v>1385</v>
      </c>
      <c r="BE753" s="472" t="s">
        <v>1385</v>
      </c>
      <c r="BF753" s="472">
        <v>19958.400000000001</v>
      </c>
      <c r="BG753" s="472">
        <v>0</v>
      </c>
      <c r="BH753" s="472" t="s">
        <v>1385</v>
      </c>
      <c r="BI753" s="510">
        <v>0</v>
      </c>
      <c r="BJ753" s="510">
        <v>0</v>
      </c>
      <c r="BK753" s="510">
        <v>0</v>
      </c>
      <c r="BL753" s="510">
        <v>0</v>
      </c>
      <c r="BM753" s="510">
        <v>0</v>
      </c>
      <c r="BN753" s="510">
        <v>3500</v>
      </c>
      <c r="BO753" s="510">
        <v>0</v>
      </c>
      <c r="BP753" s="510">
        <v>0</v>
      </c>
      <c r="BQ753" s="510">
        <v>0</v>
      </c>
      <c r="BR753" s="510">
        <v>0</v>
      </c>
      <c r="BS753" s="510">
        <v>0</v>
      </c>
      <c r="BT753" s="510">
        <v>0</v>
      </c>
      <c r="BU753" s="510">
        <v>0</v>
      </c>
      <c r="BV753" s="510">
        <v>0</v>
      </c>
      <c r="BW753" s="510">
        <v>0</v>
      </c>
      <c r="BX753" s="510">
        <v>30000</v>
      </c>
      <c r="BY753" s="1011">
        <v>0</v>
      </c>
      <c r="BZ753" s="510">
        <v>0</v>
      </c>
      <c r="CA753" s="1011">
        <v>0</v>
      </c>
      <c r="CB753" s="510">
        <v>0</v>
      </c>
      <c r="CC753" s="1011">
        <v>0</v>
      </c>
      <c r="CD753" s="510">
        <v>0</v>
      </c>
      <c r="CE753" s="1011">
        <v>0</v>
      </c>
      <c r="CF753" s="510">
        <v>44851.199999999997</v>
      </c>
      <c r="CG753" s="1011">
        <v>0</v>
      </c>
      <c r="CH753" s="510">
        <v>0</v>
      </c>
      <c r="CI753" s="1011">
        <v>0</v>
      </c>
    </row>
    <row r="754" spans="1:87" x14ac:dyDescent="0.2">
      <c r="A754" s="449">
        <v>93</v>
      </c>
      <c r="B754" s="453">
        <v>92428</v>
      </c>
      <c r="C754" s="454" t="s">
        <v>6963</v>
      </c>
      <c r="D754" s="454" t="s">
        <v>1390</v>
      </c>
      <c r="E754" s="454" t="s">
        <v>6964</v>
      </c>
      <c r="F754" s="454" t="s">
        <v>524</v>
      </c>
      <c r="G754" s="454" t="s">
        <v>13578</v>
      </c>
      <c r="H754" s="455">
        <v>50998335000119</v>
      </c>
      <c r="I754" s="462">
        <v>30232</v>
      </c>
      <c r="J754" s="457">
        <v>37498070</v>
      </c>
      <c r="K754" s="454" t="s">
        <v>6965</v>
      </c>
      <c r="L754" s="458">
        <v>171</v>
      </c>
      <c r="M754" s="454" t="s">
        <v>6952</v>
      </c>
      <c r="N754" s="459">
        <v>4121050</v>
      </c>
      <c r="O754" s="460">
        <v>55732558</v>
      </c>
      <c r="P754" s="462">
        <v>205977</v>
      </c>
      <c r="Q754" s="462">
        <v>101</v>
      </c>
      <c r="R754" s="462">
        <v>43906</v>
      </c>
      <c r="S754" s="463">
        <v>87</v>
      </c>
      <c r="T754" s="464">
        <v>3.6</v>
      </c>
      <c r="U754" s="465">
        <v>313.2</v>
      </c>
      <c r="V754" s="465">
        <v>10800</v>
      </c>
      <c r="W754" s="466">
        <v>0</v>
      </c>
      <c r="X754" s="467">
        <v>1</v>
      </c>
      <c r="Y754" s="466">
        <v>16669.8</v>
      </c>
      <c r="Z754" s="468" t="s">
        <v>516</v>
      </c>
      <c r="AA754" s="466">
        <v>83953.8</v>
      </c>
      <c r="AB754" s="466">
        <v>83953.8</v>
      </c>
      <c r="AC754" s="467">
        <v>0</v>
      </c>
      <c r="AD754" s="466">
        <v>0</v>
      </c>
      <c r="AE754" s="468" t="s">
        <v>516</v>
      </c>
      <c r="AF754" s="466">
        <v>0</v>
      </c>
      <c r="AG754" s="466">
        <v>0</v>
      </c>
      <c r="AH754" s="466">
        <v>11790.95</v>
      </c>
      <c r="AI754" s="466">
        <v>45.94</v>
      </c>
      <c r="AJ754" s="469" t="s">
        <v>2511</v>
      </c>
      <c r="AK754" s="470" t="s">
        <v>3193</v>
      </c>
      <c r="AL754" s="471" t="s">
        <v>6966</v>
      </c>
      <c r="AM754" s="470" t="s">
        <v>15179</v>
      </c>
      <c r="AN754" s="470" t="s">
        <v>6967</v>
      </c>
      <c r="AO754" s="470" t="s">
        <v>13579</v>
      </c>
      <c r="AP754" s="470" t="s">
        <v>6968</v>
      </c>
      <c r="AQ754" s="470" t="s">
        <v>6963</v>
      </c>
      <c r="AR754" s="472" t="s">
        <v>515</v>
      </c>
      <c r="AS754" s="473" t="s">
        <v>1385</v>
      </c>
      <c r="AT754" s="472" t="s">
        <v>1390</v>
      </c>
      <c r="AU754" s="472" t="s">
        <v>420</v>
      </c>
      <c r="AV754" s="472">
        <v>2020</v>
      </c>
      <c r="AW754" s="474" t="s">
        <v>15078</v>
      </c>
      <c r="AX754" s="475" t="s">
        <v>15079</v>
      </c>
      <c r="AY754" s="515">
        <v>1</v>
      </c>
      <c r="AZ754" s="474" t="s">
        <v>15079</v>
      </c>
      <c r="BA754" s="472" t="s">
        <v>1390</v>
      </c>
      <c r="BB754" s="472" t="s">
        <v>1385</v>
      </c>
      <c r="BC754" s="472" t="s">
        <v>1385</v>
      </c>
      <c r="BD754" s="472" t="s">
        <v>1385</v>
      </c>
      <c r="BE754" s="472" t="s">
        <v>1385</v>
      </c>
      <c r="BF754" s="472">
        <v>16669.8</v>
      </c>
      <c r="BG754" s="472">
        <v>0</v>
      </c>
      <c r="BH754" s="472" t="s">
        <v>1385</v>
      </c>
      <c r="BI754" s="510">
        <v>0</v>
      </c>
      <c r="BJ754" s="510">
        <v>0</v>
      </c>
      <c r="BK754" s="510">
        <v>0</v>
      </c>
      <c r="BL754" s="510">
        <v>0</v>
      </c>
      <c r="BM754" s="510">
        <v>0</v>
      </c>
      <c r="BN754" s="510">
        <v>2000</v>
      </c>
      <c r="BO754" s="510">
        <v>0</v>
      </c>
      <c r="BP754" s="510">
        <v>0</v>
      </c>
      <c r="BQ754" s="510">
        <v>0</v>
      </c>
      <c r="BR754" s="510">
        <v>0</v>
      </c>
      <c r="BS754" s="510">
        <v>0</v>
      </c>
      <c r="BT754" s="510">
        <v>0</v>
      </c>
      <c r="BU754" s="510">
        <v>0</v>
      </c>
      <c r="BV754" s="510">
        <v>0</v>
      </c>
      <c r="BW754" s="510">
        <v>0</v>
      </c>
      <c r="BX754" s="510">
        <v>30000</v>
      </c>
      <c r="BY754" s="1011">
        <v>0</v>
      </c>
      <c r="BZ754" s="510">
        <v>0</v>
      </c>
      <c r="CA754" s="1011">
        <v>0</v>
      </c>
      <c r="CB754" s="510">
        <v>0</v>
      </c>
      <c r="CC754" s="1011">
        <v>0</v>
      </c>
      <c r="CD754" s="510">
        <v>0</v>
      </c>
      <c r="CE754" s="1011">
        <v>0</v>
      </c>
      <c r="CF754" s="510">
        <v>37284</v>
      </c>
      <c r="CG754" s="1011">
        <v>0</v>
      </c>
      <c r="CH754" s="510">
        <v>0</v>
      </c>
      <c r="CI754" s="1011">
        <v>0</v>
      </c>
    </row>
    <row r="755" spans="1:87" x14ac:dyDescent="0.2">
      <c r="A755" s="449">
        <v>96</v>
      </c>
      <c r="B755" s="453">
        <v>92436</v>
      </c>
      <c r="C755" s="454" t="s">
        <v>6969</v>
      </c>
      <c r="D755" s="454" t="s">
        <v>1390</v>
      </c>
      <c r="E755" s="454" t="s">
        <v>6970</v>
      </c>
      <c r="F755" s="454" t="s">
        <v>524</v>
      </c>
      <c r="G755" s="454" t="s">
        <v>13580</v>
      </c>
      <c r="H755" s="455">
        <v>50996156000142</v>
      </c>
      <c r="I755" s="462">
        <v>30225</v>
      </c>
      <c r="J755" s="457">
        <v>37498134</v>
      </c>
      <c r="K755" s="454" t="s">
        <v>6971</v>
      </c>
      <c r="L755" s="458">
        <v>259</v>
      </c>
      <c r="M755" s="454" t="s">
        <v>6952</v>
      </c>
      <c r="N755" s="459">
        <v>4139010</v>
      </c>
      <c r="O755" s="460">
        <v>22759575</v>
      </c>
      <c r="P755" s="462">
        <v>200274</v>
      </c>
      <c r="Q755" s="462">
        <v>104</v>
      </c>
      <c r="R755" s="462">
        <v>43906</v>
      </c>
      <c r="S755" s="463">
        <v>223</v>
      </c>
      <c r="T755" s="464">
        <v>3.6</v>
      </c>
      <c r="U755" s="465">
        <v>802.8</v>
      </c>
      <c r="V755" s="465">
        <v>12240</v>
      </c>
      <c r="W755" s="466">
        <v>0</v>
      </c>
      <c r="X755" s="467">
        <v>1</v>
      </c>
      <c r="Y755" s="466">
        <v>19564.2</v>
      </c>
      <c r="Z755" s="468" t="s">
        <v>516</v>
      </c>
      <c r="AA755" s="466">
        <v>91060.2</v>
      </c>
      <c r="AB755" s="466">
        <v>91060.2</v>
      </c>
      <c r="AC755" s="467">
        <v>0</v>
      </c>
      <c r="AD755" s="466">
        <v>0</v>
      </c>
      <c r="AE755" s="468" t="s">
        <v>516</v>
      </c>
      <c r="AF755" s="466">
        <v>0</v>
      </c>
      <c r="AG755" s="466">
        <v>0</v>
      </c>
      <c r="AH755" s="466">
        <v>14641.96</v>
      </c>
      <c r="AI755" s="466">
        <v>5123.51</v>
      </c>
      <c r="AJ755" s="469" t="s">
        <v>6518</v>
      </c>
      <c r="AK755" s="470" t="s">
        <v>6519</v>
      </c>
      <c r="AL755" s="471" t="s">
        <v>6972</v>
      </c>
      <c r="AM755" s="470" t="s">
        <v>15182</v>
      </c>
      <c r="AN755" s="470" t="s">
        <v>13581</v>
      </c>
      <c r="AO755" s="470" t="s">
        <v>6973</v>
      </c>
      <c r="AP755" s="470" t="s">
        <v>6974</v>
      </c>
      <c r="AQ755" s="470" t="s">
        <v>6969</v>
      </c>
      <c r="AR755" s="472" t="s">
        <v>515</v>
      </c>
      <c r="AS755" s="473" t="s">
        <v>1385</v>
      </c>
      <c r="AT755" s="472" t="s">
        <v>1390</v>
      </c>
      <c r="AU755" s="472" t="s">
        <v>420</v>
      </c>
      <c r="AV755" s="472">
        <v>2020</v>
      </c>
      <c r="AW755" s="474" t="s">
        <v>15078</v>
      </c>
      <c r="AX755" s="475" t="s">
        <v>15079</v>
      </c>
      <c r="AY755" s="515">
        <v>1</v>
      </c>
      <c r="AZ755" s="474" t="s">
        <v>15079</v>
      </c>
      <c r="BA755" s="472" t="s">
        <v>1390</v>
      </c>
      <c r="BB755" s="472" t="s">
        <v>1385</v>
      </c>
      <c r="BC755" s="472" t="s">
        <v>1385</v>
      </c>
      <c r="BD755" s="472" t="s">
        <v>1385</v>
      </c>
      <c r="BE755" s="472" t="s">
        <v>1385</v>
      </c>
      <c r="BF755" s="472">
        <v>19564.2</v>
      </c>
      <c r="BG755" s="472">
        <v>0</v>
      </c>
      <c r="BH755" s="472" t="s">
        <v>1385</v>
      </c>
      <c r="BI755" s="510">
        <v>0</v>
      </c>
      <c r="BJ755" s="510">
        <v>0</v>
      </c>
      <c r="BK755" s="510">
        <v>0</v>
      </c>
      <c r="BL755" s="510">
        <v>0</v>
      </c>
      <c r="BM755" s="510">
        <v>0</v>
      </c>
      <c r="BN755" s="510">
        <v>3000</v>
      </c>
      <c r="BO755" s="510">
        <v>0</v>
      </c>
      <c r="BP755" s="510">
        <v>0</v>
      </c>
      <c r="BQ755" s="510">
        <v>0</v>
      </c>
      <c r="BR755" s="510">
        <v>0</v>
      </c>
      <c r="BS755" s="510">
        <v>0</v>
      </c>
      <c r="BT755" s="510">
        <v>0</v>
      </c>
      <c r="BU755" s="510">
        <v>0</v>
      </c>
      <c r="BV755" s="510">
        <v>0</v>
      </c>
      <c r="BW755" s="510">
        <v>0</v>
      </c>
      <c r="BX755" s="510">
        <v>30000</v>
      </c>
      <c r="BY755" s="1011">
        <v>0</v>
      </c>
      <c r="BZ755" s="510">
        <v>0</v>
      </c>
      <c r="CA755" s="1011">
        <v>0</v>
      </c>
      <c r="CB755" s="510">
        <v>0</v>
      </c>
      <c r="CC755" s="1011">
        <v>0</v>
      </c>
      <c r="CD755" s="510">
        <v>0</v>
      </c>
      <c r="CE755" s="1011">
        <v>0</v>
      </c>
      <c r="CF755" s="510">
        <v>41496</v>
      </c>
      <c r="CG755" s="1011">
        <v>0</v>
      </c>
      <c r="CH755" s="510">
        <v>0</v>
      </c>
      <c r="CI755" s="1011">
        <v>0</v>
      </c>
    </row>
    <row r="756" spans="1:87" x14ac:dyDescent="0.2">
      <c r="A756" s="449">
        <v>56</v>
      </c>
      <c r="B756" s="453">
        <v>92444</v>
      </c>
      <c r="C756" s="454" t="s">
        <v>6975</v>
      </c>
      <c r="D756" s="454" t="s">
        <v>1390</v>
      </c>
      <c r="E756" s="454" t="s">
        <v>6976</v>
      </c>
      <c r="F756" s="454" t="s">
        <v>529</v>
      </c>
      <c r="G756" s="454" t="s">
        <v>13582</v>
      </c>
      <c r="H756" s="455">
        <v>55235451000108</v>
      </c>
      <c r="I756" s="462">
        <v>31380</v>
      </c>
      <c r="J756" s="457">
        <v>37522523</v>
      </c>
      <c r="K756" s="454" t="s">
        <v>6977</v>
      </c>
      <c r="L756" s="458">
        <v>9</v>
      </c>
      <c r="M756" s="454" t="s">
        <v>1789</v>
      </c>
      <c r="N756" s="459">
        <v>4419140</v>
      </c>
      <c r="O756" s="460">
        <v>56210516</v>
      </c>
      <c r="P756" s="462">
        <v>567925</v>
      </c>
      <c r="Q756" s="462">
        <v>19</v>
      </c>
      <c r="R756" s="462">
        <v>43921</v>
      </c>
      <c r="S756" s="463">
        <v>371</v>
      </c>
      <c r="T756" s="464">
        <v>3.6</v>
      </c>
      <c r="U756" s="465">
        <v>1335.6</v>
      </c>
      <c r="V756" s="465">
        <v>13680</v>
      </c>
      <c r="W756" s="466">
        <v>0</v>
      </c>
      <c r="X756" s="467">
        <v>1</v>
      </c>
      <c r="Y756" s="466">
        <v>22523.4</v>
      </c>
      <c r="Z756" s="468" t="s">
        <v>516</v>
      </c>
      <c r="AA756" s="466">
        <v>97518.6</v>
      </c>
      <c r="AB756" s="466">
        <v>97518.6</v>
      </c>
      <c r="AC756" s="467">
        <v>0</v>
      </c>
      <c r="AD756" s="466">
        <v>0</v>
      </c>
      <c r="AE756" s="468" t="s">
        <v>516</v>
      </c>
      <c r="AF756" s="466">
        <v>0</v>
      </c>
      <c r="AG756" s="466">
        <v>0</v>
      </c>
      <c r="AH756" s="466">
        <v>15294.28</v>
      </c>
      <c r="AI756" s="466">
        <v>4069.52</v>
      </c>
      <c r="AJ756" s="469" t="s">
        <v>1790</v>
      </c>
      <c r="AK756" s="470" t="s">
        <v>1791</v>
      </c>
      <c r="AL756" s="471" t="s">
        <v>6978</v>
      </c>
      <c r="AM756" s="470" t="s">
        <v>6979</v>
      </c>
      <c r="AN756" s="470" t="s">
        <v>13582</v>
      </c>
      <c r="AO756" s="470" t="s">
        <v>6980</v>
      </c>
      <c r="AP756" s="470" t="s">
        <v>6981</v>
      </c>
      <c r="AQ756" s="470" t="s">
        <v>6975</v>
      </c>
      <c r="AR756" s="472" t="s">
        <v>515</v>
      </c>
      <c r="AS756" s="473" t="s">
        <v>1385</v>
      </c>
      <c r="AT756" s="472" t="s">
        <v>1390</v>
      </c>
      <c r="AU756" s="472" t="s">
        <v>420</v>
      </c>
      <c r="AV756" s="472">
        <v>2020</v>
      </c>
      <c r="AW756" s="474" t="s">
        <v>15078</v>
      </c>
      <c r="AX756" s="475" t="s">
        <v>15079</v>
      </c>
      <c r="AY756" s="515">
        <v>1</v>
      </c>
      <c r="AZ756" s="474" t="s">
        <v>15079</v>
      </c>
      <c r="BA756" s="472" t="s">
        <v>1390</v>
      </c>
      <c r="BB756" s="472" t="s">
        <v>1385</v>
      </c>
      <c r="BC756" s="472" t="s">
        <v>1385</v>
      </c>
      <c r="BD756" s="472" t="s">
        <v>1385</v>
      </c>
      <c r="BE756" s="472" t="s">
        <v>1385</v>
      </c>
      <c r="BF756" s="472">
        <v>22523.4</v>
      </c>
      <c r="BG756" s="472">
        <v>0</v>
      </c>
      <c r="BH756" s="472" t="s">
        <v>1385</v>
      </c>
      <c r="BI756" s="510">
        <v>0</v>
      </c>
      <c r="BJ756" s="510">
        <v>0</v>
      </c>
      <c r="BK756" s="510">
        <v>0</v>
      </c>
      <c r="BL756" s="510">
        <v>0</v>
      </c>
      <c r="BM756" s="510">
        <v>0</v>
      </c>
      <c r="BN756" s="510">
        <v>3500</v>
      </c>
      <c r="BO756" s="510">
        <v>0</v>
      </c>
      <c r="BP756" s="510">
        <v>0</v>
      </c>
      <c r="BQ756" s="510">
        <v>0</v>
      </c>
      <c r="BR756" s="510">
        <v>0</v>
      </c>
      <c r="BS756" s="510">
        <v>0</v>
      </c>
      <c r="BT756" s="510">
        <v>0</v>
      </c>
      <c r="BU756" s="510">
        <v>0</v>
      </c>
      <c r="BV756" s="510">
        <v>0</v>
      </c>
      <c r="BW756" s="510">
        <v>0</v>
      </c>
      <c r="BX756" s="510">
        <v>30000</v>
      </c>
      <c r="BY756" s="1011">
        <v>0</v>
      </c>
      <c r="BZ756" s="510">
        <v>0</v>
      </c>
      <c r="CA756" s="1011">
        <v>0</v>
      </c>
      <c r="CB756" s="510">
        <v>0</v>
      </c>
      <c r="CC756" s="1011">
        <v>0</v>
      </c>
      <c r="CD756" s="510">
        <v>0</v>
      </c>
      <c r="CE756" s="1011">
        <v>0</v>
      </c>
      <c r="CF756" s="510">
        <v>44995.199999999997</v>
      </c>
      <c r="CG756" s="1011">
        <v>0</v>
      </c>
      <c r="CH756" s="510">
        <v>0</v>
      </c>
      <c r="CI756" s="1011">
        <v>0</v>
      </c>
    </row>
    <row r="757" spans="1:87" x14ac:dyDescent="0.2">
      <c r="A757" s="449">
        <v>98</v>
      </c>
      <c r="B757" s="453">
        <v>92452</v>
      </c>
      <c r="C757" s="454" t="s">
        <v>6982</v>
      </c>
      <c r="D757" s="454" t="s">
        <v>1390</v>
      </c>
      <c r="E757" s="454" t="s">
        <v>6983</v>
      </c>
      <c r="F757" s="454" t="s">
        <v>524</v>
      </c>
      <c r="G757" s="454" t="s">
        <v>13583</v>
      </c>
      <c r="H757" s="455">
        <v>52575503000199</v>
      </c>
      <c r="I757" s="462">
        <v>30446</v>
      </c>
      <c r="J757" s="457">
        <v>37498959</v>
      </c>
      <c r="K757" s="454" t="s">
        <v>6984</v>
      </c>
      <c r="L757" s="458" t="s">
        <v>1446</v>
      </c>
      <c r="M757" s="454" t="s">
        <v>2339</v>
      </c>
      <c r="N757" s="459">
        <v>3151080</v>
      </c>
      <c r="O757" s="460">
        <v>23472891</v>
      </c>
      <c r="P757" s="462">
        <v>203559</v>
      </c>
      <c r="Q757" s="462">
        <v>106</v>
      </c>
      <c r="R757" s="462">
        <v>43906</v>
      </c>
      <c r="S757" s="463">
        <v>240</v>
      </c>
      <c r="T757" s="464">
        <v>3.6</v>
      </c>
      <c r="U757" s="465">
        <v>864</v>
      </c>
      <c r="V757" s="465">
        <v>12240</v>
      </c>
      <c r="W757" s="466">
        <v>0</v>
      </c>
      <c r="X757" s="467">
        <v>1</v>
      </c>
      <c r="Y757" s="466">
        <v>19656</v>
      </c>
      <c r="Z757" s="468" t="s">
        <v>516</v>
      </c>
      <c r="AA757" s="466">
        <v>90871.2</v>
      </c>
      <c r="AB757" s="466">
        <v>90871.2</v>
      </c>
      <c r="AC757" s="467">
        <v>0</v>
      </c>
      <c r="AD757" s="466">
        <v>0</v>
      </c>
      <c r="AE757" s="468" t="s">
        <v>516</v>
      </c>
      <c r="AF757" s="466">
        <v>0</v>
      </c>
      <c r="AG757" s="466">
        <v>0</v>
      </c>
      <c r="AH757" s="466">
        <v>9958.2900000000009</v>
      </c>
      <c r="AI757" s="466">
        <v>2275.2600000000002</v>
      </c>
      <c r="AJ757" s="469" t="s">
        <v>6985</v>
      </c>
      <c r="AK757" s="470" t="s">
        <v>6986</v>
      </c>
      <c r="AL757" s="471" t="s">
        <v>6987</v>
      </c>
      <c r="AM757" s="470" t="s">
        <v>15184</v>
      </c>
      <c r="AN757" s="470" t="s">
        <v>6988</v>
      </c>
      <c r="AO757" s="470" t="s">
        <v>13584</v>
      </c>
      <c r="AP757" s="470" t="s">
        <v>6989</v>
      </c>
      <c r="AQ757" s="470" t="s">
        <v>6982</v>
      </c>
      <c r="AR757" s="472" t="s">
        <v>515</v>
      </c>
      <c r="AS757" s="473" t="s">
        <v>1385</v>
      </c>
      <c r="AT757" s="472" t="s">
        <v>1390</v>
      </c>
      <c r="AU757" s="472" t="s">
        <v>420</v>
      </c>
      <c r="AV757" s="472">
        <v>2020</v>
      </c>
      <c r="AW757" s="474" t="s">
        <v>15078</v>
      </c>
      <c r="AX757" s="475" t="s">
        <v>15079</v>
      </c>
      <c r="AY757" s="515">
        <v>1</v>
      </c>
      <c r="AZ757" s="474" t="s">
        <v>15079</v>
      </c>
      <c r="BA757" s="472" t="s">
        <v>1390</v>
      </c>
      <c r="BB757" s="472" t="s">
        <v>1385</v>
      </c>
      <c r="BC757" s="472" t="s">
        <v>1385</v>
      </c>
      <c r="BD757" s="472" t="s">
        <v>1385</v>
      </c>
      <c r="BE757" s="472" t="s">
        <v>1385</v>
      </c>
      <c r="BF757" s="472">
        <v>19656</v>
      </c>
      <c r="BG757" s="472">
        <v>0</v>
      </c>
      <c r="BH757" s="472" t="s">
        <v>1385</v>
      </c>
      <c r="BI757" s="510">
        <v>0</v>
      </c>
      <c r="BJ757" s="510">
        <v>0</v>
      </c>
      <c r="BK757" s="510">
        <v>0</v>
      </c>
      <c r="BL757" s="510">
        <v>0</v>
      </c>
      <c r="BM757" s="510">
        <v>0</v>
      </c>
      <c r="BN757" s="510">
        <v>3000</v>
      </c>
      <c r="BO757" s="510">
        <v>0</v>
      </c>
      <c r="BP757" s="510">
        <v>0</v>
      </c>
      <c r="BQ757" s="510">
        <v>0</v>
      </c>
      <c r="BR757" s="510">
        <v>0</v>
      </c>
      <c r="BS757" s="510">
        <v>0</v>
      </c>
      <c r="BT757" s="510">
        <v>0</v>
      </c>
      <c r="BU757" s="510">
        <v>0</v>
      </c>
      <c r="BV757" s="510">
        <v>0</v>
      </c>
      <c r="BW757" s="510">
        <v>0</v>
      </c>
      <c r="BX757" s="510">
        <v>30000</v>
      </c>
      <c r="BY757" s="1011">
        <v>0</v>
      </c>
      <c r="BZ757" s="510">
        <v>0</v>
      </c>
      <c r="CA757" s="1011">
        <v>0</v>
      </c>
      <c r="CB757" s="510">
        <v>0</v>
      </c>
      <c r="CC757" s="1011">
        <v>0</v>
      </c>
      <c r="CD757" s="510">
        <v>0</v>
      </c>
      <c r="CE757" s="1011">
        <v>0</v>
      </c>
      <c r="CF757" s="510">
        <v>41215.199999999997</v>
      </c>
      <c r="CG757" s="1011">
        <v>0</v>
      </c>
      <c r="CH757" s="510">
        <v>0</v>
      </c>
      <c r="CI757" s="1011">
        <v>0</v>
      </c>
    </row>
    <row r="758" spans="1:87" x14ac:dyDescent="0.2">
      <c r="A758" s="449">
        <v>60</v>
      </c>
      <c r="B758" s="453">
        <v>92461</v>
      </c>
      <c r="C758" s="454" t="s">
        <v>6990</v>
      </c>
      <c r="D758" s="454" t="s">
        <v>1390</v>
      </c>
      <c r="E758" s="454" t="s">
        <v>6991</v>
      </c>
      <c r="F758" s="454" t="s">
        <v>524</v>
      </c>
      <c r="G758" s="454" t="s">
        <v>13585</v>
      </c>
      <c r="H758" s="455">
        <v>52442969000116</v>
      </c>
      <c r="I758" s="462">
        <v>30386</v>
      </c>
      <c r="J758" s="457">
        <v>37499840</v>
      </c>
      <c r="K758" s="454" t="s">
        <v>6993</v>
      </c>
      <c r="L758" s="458">
        <v>61</v>
      </c>
      <c r="M758" s="454" t="s">
        <v>6994</v>
      </c>
      <c r="N758" s="459">
        <v>3206070</v>
      </c>
      <c r="O758" s="460">
        <v>29172429</v>
      </c>
      <c r="P758" s="462">
        <v>210253</v>
      </c>
      <c r="Q758" s="462">
        <v>66</v>
      </c>
      <c r="R758" s="462">
        <v>43906</v>
      </c>
      <c r="S758" s="463">
        <v>188</v>
      </c>
      <c r="T758" s="464">
        <v>3.6</v>
      </c>
      <c r="U758" s="465">
        <v>676.8</v>
      </c>
      <c r="V758" s="465">
        <v>10800</v>
      </c>
      <c r="W758" s="466">
        <v>0</v>
      </c>
      <c r="X758" s="467">
        <v>1</v>
      </c>
      <c r="Y758" s="466">
        <v>17215.2</v>
      </c>
      <c r="Z758" s="468" t="s">
        <v>516</v>
      </c>
      <c r="AA758" s="466">
        <v>88329.600000000006</v>
      </c>
      <c r="AB758" s="466">
        <v>88329.600000000006</v>
      </c>
      <c r="AC758" s="467">
        <v>0</v>
      </c>
      <c r="AD758" s="466">
        <v>0</v>
      </c>
      <c r="AE758" s="468" t="s">
        <v>516</v>
      </c>
      <c r="AF758" s="466">
        <v>0</v>
      </c>
      <c r="AG758" s="466">
        <v>0</v>
      </c>
      <c r="AH758" s="466">
        <v>19482.3</v>
      </c>
      <c r="AI758" s="466">
        <v>2645.4</v>
      </c>
      <c r="AJ758" s="469" t="s">
        <v>6995</v>
      </c>
      <c r="AK758" s="470" t="s">
        <v>6996</v>
      </c>
      <c r="AL758" s="471" t="s">
        <v>6997</v>
      </c>
      <c r="AM758" s="470" t="s">
        <v>15148</v>
      </c>
      <c r="AN758" s="470" t="s">
        <v>6992</v>
      </c>
      <c r="AO758" s="470" t="s">
        <v>13586</v>
      </c>
      <c r="AP758" s="470" t="s">
        <v>6998</v>
      </c>
      <c r="AQ758" s="470" t="s">
        <v>6990</v>
      </c>
      <c r="AR758" s="472" t="s">
        <v>515</v>
      </c>
      <c r="AS758" s="473" t="s">
        <v>1385</v>
      </c>
      <c r="AT758" s="472" t="s">
        <v>1390</v>
      </c>
      <c r="AU758" s="472" t="s">
        <v>420</v>
      </c>
      <c r="AV758" s="472">
        <v>2020</v>
      </c>
      <c r="AW758" s="474" t="s">
        <v>15078</v>
      </c>
      <c r="AX758" s="475" t="s">
        <v>15079</v>
      </c>
      <c r="AY758" s="515">
        <v>1</v>
      </c>
      <c r="AZ758" s="474" t="s">
        <v>15079</v>
      </c>
      <c r="BA758" s="472" t="s">
        <v>1390</v>
      </c>
      <c r="BB758" s="472" t="s">
        <v>1385</v>
      </c>
      <c r="BC758" s="472" t="s">
        <v>1385</v>
      </c>
      <c r="BD758" s="472" t="s">
        <v>1385</v>
      </c>
      <c r="BE758" s="472" t="s">
        <v>1385</v>
      </c>
      <c r="BF758" s="472">
        <v>17215.2</v>
      </c>
      <c r="BG758" s="472">
        <v>0</v>
      </c>
      <c r="BH758" s="472" t="s">
        <v>1385</v>
      </c>
      <c r="BI758" s="510">
        <v>0</v>
      </c>
      <c r="BJ758" s="510">
        <v>0</v>
      </c>
      <c r="BK758" s="510">
        <v>0</v>
      </c>
      <c r="BL758" s="510">
        <v>0</v>
      </c>
      <c r="BM758" s="510">
        <v>0</v>
      </c>
      <c r="BN758" s="510">
        <v>3000</v>
      </c>
      <c r="BO758" s="510">
        <v>0</v>
      </c>
      <c r="BP758" s="510">
        <v>0</v>
      </c>
      <c r="BQ758" s="510">
        <v>0</v>
      </c>
      <c r="BR758" s="510">
        <v>0</v>
      </c>
      <c r="BS758" s="510">
        <v>0</v>
      </c>
      <c r="BT758" s="510">
        <v>0</v>
      </c>
      <c r="BU758" s="510">
        <v>0</v>
      </c>
      <c r="BV758" s="510">
        <v>0</v>
      </c>
      <c r="BW758" s="510">
        <v>0</v>
      </c>
      <c r="BX758" s="510">
        <v>30000</v>
      </c>
      <c r="BY758" s="1011">
        <v>0</v>
      </c>
      <c r="BZ758" s="510">
        <v>0</v>
      </c>
      <c r="CA758" s="1011">
        <v>0</v>
      </c>
      <c r="CB758" s="510">
        <v>0</v>
      </c>
      <c r="CC758" s="1011">
        <v>0</v>
      </c>
      <c r="CD758" s="510">
        <v>0</v>
      </c>
      <c r="CE758" s="1011">
        <v>0</v>
      </c>
      <c r="CF758" s="510">
        <v>41114.400000000001</v>
      </c>
      <c r="CG758" s="1011">
        <v>0</v>
      </c>
      <c r="CH758" s="510">
        <v>0</v>
      </c>
      <c r="CI758" s="1011">
        <v>0</v>
      </c>
    </row>
    <row r="759" spans="1:87" x14ac:dyDescent="0.2">
      <c r="A759" s="449">
        <v>106</v>
      </c>
      <c r="B759" s="453">
        <v>92479</v>
      </c>
      <c r="C759" s="454" t="s">
        <v>6999</v>
      </c>
      <c r="D759" s="454" t="s">
        <v>1390</v>
      </c>
      <c r="E759" s="454" t="s">
        <v>7000</v>
      </c>
      <c r="F759" s="454" t="s">
        <v>524</v>
      </c>
      <c r="G759" s="454" t="s">
        <v>13587</v>
      </c>
      <c r="H759" s="455">
        <v>52573631000101</v>
      </c>
      <c r="I759" s="462">
        <v>30445</v>
      </c>
      <c r="J759" s="457">
        <v>37499041</v>
      </c>
      <c r="K759" s="454" t="s">
        <v>7002</v>
      </c>
      <c r="L759" s="458">
        <v>240</v>
      </c>
      <c r="M759" s="454" t="s">
        <v>7003</v>
      </c>
      <c r="N759" s="459">
        <v>3213030</v>
      </c>
      <c r="O759" s="460">
        <v>29173033</v>
      </c>
      <c r="P759" s="462">
        <v>204792</v>
      </c>
      <c r="Q759" s="462">
        <v>114</v>
      </c>
      <c r="R759" s="462">
        <v>43906</v>
      </c>
      <c r="S759" s="463">
        <v>278</v>
      </c>
      <c r="T759" s="464">
        <v>3.6</v>
      </c>
      <c r="U759" s="465">
        <v>1000.8</v>
      </c>
      <c r="V759" s="465">
        <v>12240</v>
      </c>
      <c r="W759" s="466">
        <v>0</v>
      </c>
      <c r="X759" s="467">
        <v>1</v>
      </c>
      <c r="Y759" s="466">
        <v>19861.2</v>
      </c>
      <c r="Z759" s="468" t="s">
        <v>516</v>
      </c>
      <c r="AA759" s="466">
        <v>94446</v>
      </c>
      <c r="AB759" s="466">
        <v>94446</v>
      </c>
      <c r="AC759" s="467">
        <v>0</v>
      </c>
      <c r="AD759" s="466">
        <v>0</v>
      </c>
      <c r="AE759" s="468" t="s">
        <v>516</v>
      </c>
      <c r="AF759" s="466">
        <v>0</v>
      </c>
      <c r="AG759" s="466">
        <v>0</v>
      </c>
      <c r="AH759" s="466">
        <v>11179.02</v>
      </c>
      <c r="AI759" s="466">
        <v>5483.94</v>
      </c>
      <c r="AJ759" s="469" t="s">
        <v>6985</v>
      </c>
      <c r="AK759" s="470" t="s">
        <v>6986</v>
      </c>
      <c r="AL759" s="471" t="s">
        <v>7004</v>
      </c>
      <c r="AM759" s="470" t="s">
        <v>15192</v>
      </c>
      <c r="AN759" s="470" t="s">
        <v>7001</v>
      </c>
      <c r="AO759" s="470" t="s">
        <v>13588</v>
      </c>
      <c r="AP759" s="470" t="s">
        <v>7005</v>
      </c>
      <c r="AQ759" s="470" t="s">
        <v>6999</v>
      </c>
      <c r="AR759" s="472" t="s">
        <v>515</v>
      </c>
      <c r="AS759" s="473" t="s">
        <v>1385</v>
      </c>
      <c r="AT759" s="472" t="s">
        <v>1390</v>
      </c>
      <c r="AU759" s="472" t="s">
        <v>420</v>
      </c>
      <c r="AV759" s="472">
        <v>2020</v>
      </c>
      <c r="AW759" s="474" t="s">
        <v>15078</v>
      </c>
      <c r="AX759" s="475" t="s">
        <v>15079</v>
      </c>
      <c r="AY759" s="515">
        <v>1</v>
      </c>
      <c r="AZ759" s="474" t="s">
        <v>15079</v>
      </c>
      <c r="BA759" s="472" t="s">
        <v>1390</v>
      </c>
      <c r="BB759" s="472" t="s">
        <v>1385</v>
      </c>
      <c r="BC759" s="472" t="s">
        <v>1385</v>
      </c>
      <c r="BD759" s="472" t="s">
        <v>1385</v>
      </c>
      <c r="BE759" s="472" t="s">
        <v>1385</v>
      </c>
      <c r="BF759" s="472">
        <v>19861.2</v>
      </c>
      <c r="BG759" s="472">
        <v>0</v>
      </c>
      <c r="BH759" s="472" t="s">
        <v>1385</v>
      </c>
      <c r="BI759" s="510">
        <v>0</v>
      </c>
      <c r="BJ759" s="510">
        <v>0</v>
      </c>
      <c r="BK759" s="510">
        <v>0</v>
      </c>
      <c r="BL759" s="510">
        <v>0</v>
      </c>
      <c r="BM759" s="510">
        <v>0</v>
      </c>
      <c r="BN759" s="510">
        <v>3500</v>
      </c>
      <c r="BO759" s="510">
        <v>0</v>
      </c>
      <c r="BP759" s="510">
        <v>0</v>
      </c>
      <c r="BQ759" s="510">
        <v>0</v>
      </c>
      <c r="BR759" s="510">
        <v>0</v>
      </c>
      <c r="BS759" s="510">
        <v>0</v>
      </c>
      <c r="BT759" s="510">
        <v>0</v>
      </c>
      <c r="BU759" s="510">
        <v>0</v>
      </c>
      <c r="BV759" s="510">
        <v>0</v>
      </c>
      <c r="BW759" s="510">
        <v>0</v>
      </c>
      <c r="BX759" s="510">
        <v>30000</v>
      </c>
      <c r="BY759" s="1011">
        <v>0</v>
      </c>
      <c r="BZ759" s="510">
        <v>0</v>
      </c>
      <c r="CA759" s="1011">
        <v>0</v>
      </c>
      <c r="CB759" s="510">
        <v>0</v>
      </c>
      <c r="CC759" s="1011">
        <v>0</v>
      </c>
      <c r="CD759" s="510">
        <v>0</v>
      </c>
      <c r="CE759" s="1011">
        <v>0</v>
      </c>
      <c r="CF759" s="510">
        <v>44584.800000000003</v>
      </c>
      <c r="CG759" s="1011">
        <v>0</v>
      </c>
      <c r="CH759" s="510">
        <v>0</v>
      </c>
      <c r="CI759" s="1011">
        <v>0</v>
      </c>
    </row>
    <row r="760" spans="1:87" x14ac:dyDescent="0.2">
      <c r="A760" s="449">
        <v>101</v>
      </c>
      <c r="B760" s="453">
        <v>92487</v>
      </c>
      <c r="C760" s="454" t="s">
        <v>7006</v>
      </c>
      <c r="D760" s="454" t="s">
        <v>1390</v>
      </c>
      <c r="E760" s="454" t="s">
        <v>7007</v>
      </c>
      <c r="F760" s="454" t="s">
        <v>524</v>
      </c>
      <c r="G760" s="454" t="s">
        <v>13589</v>
      </c>
      <c r="H760" s="455">
        <v>52167731000120</v>
      </c>
      <c r="I760" s="462">
        <v>30368</v>
      </c>
      <c r="J760" s="457">
        <v>37498355</v>
      </c>
      <c r="K760" s="454" t="s">
        <v>7008</v>
      </c>
      <c r="L760" s="458">
        <v>284</v>
      </c>
      <c r="M760" s="454" t="s">
        <v>1579</v>
      </c>
      <c r="N760" s="459">
        <v>3239000</v>
      </c>
      <c r="O760" s="460">
        <v>21043239</v>
      </c>
      <c r="P760" s="462">
        <v>206469</v>
      </c>
      <c r="Q760" s="462">
        <v>109</v>
      </c>
      <c r="R760" s="462">
        <v>43906</v>
      </c>
      <c r="S760" s="463">
        <v>236</v>
      </c>
      <c r="T760" s="464">
        <v>3.6</v>
      </c>
      <c r="U760" s="465">
        <v>849.6</v>
      </c>
      <c r="V760" s="465">
        <v>12240</v>
      </c>
      <c r="W760" s="466">
        <v>0</v>
      </c>
      <c r="X760" s="467">
        <v>1</v>
      </c>
      <c r="Y760" s="466">
        <v>19634.400000000001</v>
      </c>
      <c r="Z760" s="468" t="s">
        <v>516</v>
      </c>
      <c r="AA760" s="466">
        <v>90820.800000000003</v>
      </c>
      <c r="AB760" s="466">
        <v>90820.800000000003</v>
      </c>
      <c r="AC760" s="467">
        <v>0</v>
      </c>
      <c r="AD760" s="466">
        <v>0</v>
      </c>
      <c r="AE760" s="468" t="s">
        <v>516</v>
      </c>
      <c r="AF760" s="466">
        <v>0</v>
      </c>
      <c r="AG760" s="466">
        <v>0</v>
      </c>
      <c r="AH760" s="466">
        <v>11004.3</v>
      </c>
      <c r="AI760" s="466">
        <v>2626.52</v>
      </c>
      <c r="AJ760" s="469" t="s">
        <v>6995</v>
      </c>
      <c r="AK760" s="470" t="s">
        <v>7009</v>
      </c>
      <c r="AL760" s="471" t="s">
        <v>7010</v>
      </c>
      <c r="AM760" s="470" t="s">
        <v>15187</v>
      </c>
      <c r="AN760" s="470" t="s">
        <v>7011</v>
      </c>
      <c r="AO760" s="470" t="s">
        <v>13590</v>
      </c>
      <c r="AP760" s="470" t="s">
        <v>7012</v>
      </c>
      <c r="AQ760" s="470" t="s">
        <v>7006</v>
      </c>
      <c r="AR760" s="472" t="s">
        <v>515</v>
      </c>
      <c r="AS760" s="473" t="s">
        <v>1385</v>
      </c>
      <c r="AT760" s="472" t="s">
        <v>1390</v>
      </c>
      <c r="AU760" s="472" t="s">
        <v>420</v>
      </c>
      <c r="AV760" s="472">
        <v>2020</v>
      </c>
      <c r="AW760" s="474" t="s">
        <v>15078</v>
      </c>
      <c r="AX760" s="475" t="s">
        <v>15079</v>
      </c>
      <c r="AY760" s="515">
        <v>1</v>
      </c>
      <c r="AZ760" s="474" t="s">
        <v>15079</v>
      </c>
      <c r="BA760" s="472" t="s">
        <v>1390</v>
      </c>
      <c r="BB760" s="472" t="s">
        <v>1385</v>
      </c>
      <c r="BC760" s="472" t="s">
        <v>1385</v>
      </c>
      <c r="BD760" s="472" t="s">
        <v>1385</v>
      </c>
      <c r="BE760" s="472" t="s">
        <v>1385</v>
      </c>
      <c r="BF760" s="472">
        <v>19634.400000000001</v>
      </c>
      <c r="BG760" s="472">
        <v>0</v>
      </c>
      <c r="BH760" s="472" t="s">
        <v>1385</v>
      </c>
      <c r="BI760" s="510">
        <v>0</v>
      </c>
      <c r="BJ760" s="510">
        <v>0</v>
      </c>
      <c r="BK760" s="510">
        <v>0</v>
      </c>
      <c r="BL760" s="510">
        <v>0</v>
      </c>
      <c r="BM760" s="510">
        <v>0</v>
      </c>
      <c r="BN760" s="510">
        <v>3000</v>
      </c>
      <c r="BO760" s="510">
        <v>0</v>
      </c>
      <c r="BP760" s="510">
        <v>0</v>
      </c>
      <c r="BQ760" s="510">
        <v>0</v>
      </c>
      <c r="BR760" s="510">
        <v>0</v>
      </c>
      <c r="BS760" s="510">
        <v>0</v>
      </c>
      <c r="BT760" s="510">
        <v>0</v>
      </c>
      <c r="BU760" s="510">
        <v>0</v>
      </c>
      <c r="BV760" s="510">
        <v>0</v>
      </c>
      <c r="BW760" s="510">
        <v>0</v>
      </c>
      <c r="BX760" s="510">
        <v>30000</v>
      </c>
      <c r="BY760" s="1011">
        <v>0</v>
      </c>
      <c r="BZ760" s="510">
        <v>0</v>
      </c>
      <c r="CA760" s="1011">
        <v>0</v>
      </c>
      <c r="CB760" s="510">
        <v>0</v>
      </c>
      <c r="CC760" s="1011">
        <v>0</v>
      </c>
      <c r="CD760" s="510">
        <v>0</v>
      </c>
      <c r="CE760" s="1011">
        <v>0</v>
      </c>
      <c r="CF760" s="510">
        <v>41186.400000000001</v>
      </c>
      <c r="CG760" s="1011">
        <v>0</v>
      </c>
      <c r="CH760" s="510">
        <v>0</v>
      </c>
      <c r="CI760" s="1011">
        <v>0</v>
      </c>
    </row>
    <row r="761" spans="1:87" x14ac:dyDescent="0.2">
      <c r="A761" s="449">
        <v>84</v>
      </c>
      <c r="B761" s="453">
        <v>92495</v>
      </c>
      <c r="C761" s="454" t="s">
        <v>7013</v>
      </c>
      <c r="D761" s="454" t="s">
        <v>1390</v>
      </c>
      <c r="E761" s="454" t="s">
        <v>7014</v>
      </c>
      <c r="F761" s="454" t="s">
        <v>524</v>
      </c>
      <c r="G761" s="454" t="s">
        <v>13591</v>
      </c>
      <c r="H761" s="455">
        <v>52807807000134</v>
      </c>
      <c r="I761" s="462">
        <v>30554</v>
      </c>
      <c r="J761" s="457">
        <v>37498428</v>
      </c>
      <c r="K761" s="454" t="s">
        <v>7016</v>
      </c>
      <c r="L761" s="458">
        <v>16</v>
      </c>
      <c r="M761" s="454" t="s">
        <v>7017</v>
      </c>
      <c r="N761" s="459">
        <v>3284080</v>
      </c>
      <c r="O761" s="460">
        <v>22168138</v>
      </c>
      <c r="P761" s="462">
        <v>200096</v>
      </c>
      <c r="Q761" s="462">
        <v>91</v>
      </c>
      <c r="R761" s="462">
        <v>43906</v>
      </c>
      <c r="S761" s="463">
        <v>310</v>
      </c>
      <c r="T761" s="464">
        <v>3.6</v>
      </c>
      <c r="U761" s="465">
        <v>1116</v>
      </c>
      <c r="V761" s="465">
        <v>13680</v>
      </c>
      <c r="W761" s="466">
        <v>0</v>
      </c>
      <c r="X761" s="467">
        <v>1</v>
      </c>
      <c r="Y761" s="466">
        <v>22194</v>
      </c>
      <c r="Z761" s="468" t="s">
        <v>516</v>
      </c>
      <c r="AA761" s="466">
        <v>96865.2</v>
      </c>
      <c r="AB761" s="466">
        <v>96865.2</v>
      </c>
      <c r="AC761" s="467">
        <v>0</v>
      </c>
      <c r="AD761" s="466">
        <v>0</v>
      </c>
      <c r="AE761" s="468" t="s">
        <v>516</v>
      </c>
      <c r="AF761" s="466">
        <v>0</v>
      </c>
      <c r="AG761" s="466">
        <v>0</v>
      </c>
      <c r="AH761" s="466">
        <v>15732.7</v>
      </c>
      <c r="AI761" s="466">
        <v>3432.79</v>
      </c>
      <c r="AJ761" s="469" t="s">
        <v>3969</v>
      </c>
      <c r="AK761" s="470" t="s">
        <v>7018</v>
      </c>
      <c r="AL761" s="471" t="s">
        <v>7019</v>
      </c>
      <c r="AM761" s="470" t="s">
        <v>15170</v>
      </c>
      <c r="AN761" s="470" t="s">
        <v>7015</v>
      </c>
      <c r="AO761" s="470" t="s">
        <v>13592</v>
      </c>
      <c r="AP761" s="470" t="s">
        <v>7020</v>
      </c>
      <c r="AQ761" s="470" t="s">
        <v>7013</v>
      </c>
      <c r="AR761" s="472" t="s">
        <v>515</v>
      </c>
      <c r="AS761" s="473" t="s">
        <v>1385</v>
      </c>
      <c r="AT761" s="472" t="s">
        <v>1390</v>
      </c>
      <c r="AU761" s="472" t="s">
        <v>420</v>
      </c>
      <c r="AV761" s="472">
        <v>2020</v>
      </c>
      <c r="AW761" s="474" t="s">
        <v>15078</v>
      </c>
      <c r="AX761" s="475" t="s">
        <v>15079</v>
      </c>
      <c r="AY761" s="515">
        <v>1</v>
      </c>
      <c r="AZ761" s="474" t="s">
        <v>15079</v>
      </c>
      <c r="BA761" s="472" t="s">
        <v>1390</v>
      </c>
      <c r="BB761" s="472" t="s">
        <v>1385</v>
      </c>
      <c r="BC761" s="472" t="s">
        <v>1385</v>
      </c>
      <c r="BD761" s="472" t="s">
        <v>1385</v>
      </c>
      <c r="BE761" s="472" t="s">
        <v>1385</v>
      </c>
      <c r="BF761" s="509">
        <v>22194</v>
      </c>
      <c r="BG761" s="509">
        <v>0</v>
      </c>
      <c r="BH761" s="472" t="s">
        <v>1385</v>
      </c>
      <c r="BI761" s="510">
        <v>0</v>
      </c>
      <c r="BJ761" s="510">
        <v>0</v>
      </c>
      <c r="BK761" s="510">
        <v>0</v>
      </c>
      <c r="BL761" s="510">
        <v>0</v>
      </c>
      <c r="BM761" s="510">
        <v>0</v>
      </c>
      <c r="BN761" s="510">
        <v>3000</v>
      </c>
      <c r="BO761" s="510">
        <v>0</v>
      </c>
      <c r="BP761" s="510">
        <v>0</v>
      </c>
      <c r="BQ761" s="510">
        <v>0</v>
      </c>
      <c r="BR761" s="510">
        <v>0</v>
      </c>
      <c r="BS761" s="510">
        <v>0</v>
      </c>
      <c r="BT761" s="510">
        <v>0</v>
      </c>
      <c r="BU761" s="510">
        <v>0</v>
      </c>
      <c r="BV761" s="510">
        <v>0</v>
      </c>
      <c r="BW761" s="510">
        <v>0</v>
      </c>
      <c r="BX761" s="510">
        <v>30000</v>
      </c>
      <c r="BY761" s="1011">
        <v>0</v>
      </c>
      <c r="BZ761" s="510">
        <v>0</v>
      </c>
      <c r="CA761" s="1011">
        <v>0</v>
      </c>
      <c r="CB761" s="510">
        <v>0</v>
      </c>
      <c r="CC761" s="1011">
        <v>0</v>
      </c>
      <c r="CD761" s="510">
        <v>0</v>
      </c>
      <c r="CE761" s="1011">
        <v>0</v>
      </c>
      <c r="CF761" s="510">
        <v>44671.199999999997</v>
      </c>
      <c r="CG761" s="1011">
        <v>0</v>
      </c>
      <c r="CH761" s="510">
        <v>0</v>
      </c>
      <c r="CI761" s="1011">
        <v>0</v>
      </c>
    </row>
    <row r="762" spans="1:87" x14ac:dyDescent="0.2">
      <c r="A762" s="449">
        <v>71</v>
      </c>
      <c r="B762" s="453">
        <v>92509</v>
      </c>
      <c r="C762" s="454" t="s">
        <v>7021</v>
      </c>
      <c r="D762" s="454" t="s">
        <v>1390</v>
      </c>
      <c r="E762" s="454" t="s">
        <v>7022</v>
      </c>
      <c r="F762" s="454" t="s">
        <v>524</v>
      </c>
      <c r="G762" s="454" t="s">
        <v>13593</v>
      </c>
      <c r="H762" s="455">
        <v>52170446000168</v>
      </c>
      <c r="I762" s="462">
        <v>30377</v>
      </c>
      <c r="J762" s="457">
        <v>37498452</v>
      </c>
      <c r="K762" s="454" t="s">
        <v>7023</v>
      </c>
      <c r="L762" s="458">
        <v>217</v>
      </c>
      <c r="M762" s="454" t="s">
        <v>2339</v>
      </c>
      <c r="N762" s="459">
        <v>3244090</v>
      </c>
      <c r="O762" s="460">
        <v>62117933</v>
      </c>
      <c r="P762" s="462">
        <v>206809</v>
      </c>
      <c r="Q762" s="462">
        <v>77</v>
      </c>
      <c r="R762" s="462">
        <v>43906</v>
      </c>
      <c r="S762" s="463">
        <v>246</v>
      </c>
      <c r="T762" s="464">
        <v>3.6</v>
      </c>
      <c r="U762" s="465">
        <v>885.6</v>
      </c>
      <c r="V762" s="465">
        <v>12240</v>
      </c>
      <c r="W762" s="466">
        <v>0</v>
      </c>
      <c r="X762" s="467">
        <v>1</v>
      </c>
      <c r="Y762" s="466">
        <v>19688.400000000001</v>
      </c>
      <c r="Z762" s="468" t="s">
        <v>516</v>
      </c>
      <c r="AA762" s="466">
        <v>91040.4</v>
      </c>
      <c r="AB762" s="466">
        <v>91040.4</v>
      </c>
      <c r="AC762" s="467">
        <v>0</v>
      </c>
      <c r="AD762" s="466">
        <v>0</v>
      </c>
      <c r="AE762" s="468" t="s">
        <v>516</v>
      </c>
      <c r="AF762" s="466">
        <v>0</v>
      </c>
      <c r="AG762" s="466">
        <v>0</v>
      </c>
      <c r="AH762" s="466">
        <v>10709.27</v>
      </c>
      <c r="AI762" s="466">
        <v>6092.8</v>
      </c>
      <c r="AJ762" s="469" t="s">
        <v>6995</v>
      </c>
      <c r="AK762" s="470" t="s">
        <v>7009</v>
      </c>
      <c r="AL762" s="471" t="s">
        <v>7024</v>
      </c>
      <c r="AM762" s="470" t="s">
        <v>15157</v>
      </c>
      <c r="AN762" s="470" t="s">
        <v>7025</v>
      </c>
      <c r="AO762" s="470" t="s">
        <v>13594</v>
      </c>
      <c r="AP762" s="470" t="s">
        <v>7026</v>
      </c>
      <c r="AQ762" s="470" t="s">
        <v>7021</v>
      </c>
      <c r="AR762" s="472" t="s">
        <v>515</v>
      </c>
      <c r="AS762" s="473" t="s">
        <v>1385</v>
      </c>
      <c r="AT762" s="472" t="s">
        <v>1390</v>
      </c>
      <c r="AU762" s="472" t="s">
        <v>420</v>
      </c>
      <c r="AV762" s="472">
        <v>2020</v>
      </c>
      <c r="AW762" s="474" t="s">
        <v>15078</v>
      </c>
      <c r="AX762" s="475" t="s">
        <v>15079</v>
      </c>
      <c r="AY762" s="515">
        <v>1</v>
      </c>
      <c r="AZ762" s="474" t="s">
        <v>15079</v>
      </c>
      <c r="BA762" s="472" t="s">
        <v>1390</v>
      </c>
      <c r="BB762" s="472" t="s">
        <v>1385</v>
      </c>
      <c r="BC762" s="472" t="s">
        <v>1385</v>
      </c>
      <c r="BD762" s="472" t="s">
        <v>1385</v>
      </c>
      <c r="BE762" s="472" t="s">
        <v>1385</v>
      </c>
      <c r="BF762" s="509">
        <v>19688.400000000001</v>
      </c>
      <c r="BG762" s="472">
        <v>0</v>
      </c>
      <c r="BH762" s="472" t="s">
        <v>1385</v>
      </c>
      <c r="BI762" s="510">
        <v>0</v>
      </c>
      <c r="BJ762" s="510">
        <v>0</v>
      </c>
      <c r="BK762" s="510">
        <v>0</v>
      </c>
      <c r="BL762" s="510">
        <v>0</v>
      </c>
      <c r="BM762" s="510">
        <v>0</v>
      </c>
      <c r="BN762" s="510">
        <v>3000</v>
      </c>
      <c r="BO762" s="510">
        <v>0</v>
      </c>
      <c r="BP762" s="510">
        <v>0</v>
      </c>
      <c r="BQ762" s="510">
        <v>0</v>
      </c>
      <c r="BR762" s="510">
        <v>0</v>
      </c>
      <c r="BS762" s="510">
        <v>0</v>
      </c>
      <c r="BT762" s="510">
        <v>0</v>
      </c>
      <c r="BU762" s="510">
        <v>0</v>
      </c>
      <c r="BV762" s="510">
        <v>0</v>
      </c>
      <c r="BW762" s="510">
        <v>0</v>
      </c>
      <c r="BX762" s="510">
        <v>30000</v>
      </c>
      <c r="BY762" s="1011">
        <v>0</v>
      </c>
      <c r="BZ762" s="510">
        <v>0</v>
      </c>
      <c r="CA762" s="1011">
        <v>0</v>
      </c>
      <c r="CB762" s="510">
        <v>0</v>
      </c>
      <c r="CC762" s="1011">
        <v>0</v>
      </c>
      <c r="CD762" s="510">
        <v>0</v>
      </c>
      <c r="CE762" s="1011">
        <v>0</v>
      </c>
      <c r="CF762" s="510">
        <v>41352</v>
      </c>
      <c r="CG762" s="1011">
        <v>0</v>
      </c>
      <c r="CH762" s="510">
        <v>0</v>
      </c>
      <c r="CI762" s="1011">
        <v>0</v>
      </c>
    </row>
    <row r="763" spans="1:87" x14ac:dyDescent="0.2">
      <c r="A763" s="449">
        <v>122</v>
      </c>
      <c r="B763" s="453">
        <v>92517</v>
      </c>
      <c r="C763" s="454" t="s">
        <v>7027</v>
      </c>
      <c r="D763" s="454" t="s">
        <v>1390</v>
      </c>
      <c r="E763" s="454" t="s">
        <v>7028</v>
      </c>
      <c r="F763" s="454" t="s">
        <v>513</v>
      </c>
      <c r="G763" s="454" t="s">
        <v>13595</v>
      </c>
      <c r="H763" s="455">
        <v>52399516000154</v>
      </c>
      <c r="I763" s="462">
        <v>30386</v>
      </c>
      <c r="J763" s="457">
        <v>37531565</v>
      </c>
      <c r="K763" s="454" t="s">
        <v>7029</v>
      </c>
      <c r="L763" s="458" t="s">
        <v>1446</v>
      </c>
      <c r="M763" s="454" t="s">
        <v>7030</v>
      </c>
      <c r="N763" s="459">
        <v>3390010</v>
      </c>
      <c r="O763" s="460">
        <v>21547468</v>
      </c>
      <c r="P763" s="462">
        <v>154205</v>
      </c>
      <c r="Q763" s="462">
        <v>122</v>
      </c>
      <c r="R763" s="462">
        <v>43937</v>
      </c>
      <c r="S763" s="463">
        <v>430</v>
      </c>
      <c r="T763" s="464">
        <v>3.6</v>
      </c>
      <c r="U763" s="465">
        <v>1548</v>
      </c>
      <c r="V763" s="465">
        <v>15120</v>
      </c>
      <c r="W763" s="466">
        <v>0</v>
      </c>
      <c r="X763" s="467">
        <v>1</v>
      </c>
      <c r="Y763" s="466">
        <v>25002</v>
      </c>
      <c r="Z763" s="468" t="s">
        <v>516</v>
      </c>
      <c r="AA763" s="466">
        <v>103568.4</v>
      </c>
      <c r="AB763" s="466">
        <v>103568.4</v>
      </c>
      <c r="AC763" s="467">
        <v>0</v>
      </c>
      <c r="AD763" s="466">
        <v>0</v>
      </c>
      <c r="AE763" s="468" t="s">
        <v>516</v>
      </c>
      <c r="AF763" s="466">
        <v>0</v>
      </c>
      <c r="AG763" s="466">
        <v>0</v>
      </c>
      <c r="AH763" s="466">
        <v>16367.26</v>
      </c>
      <c r="AI763" s="466">
        <v>10771.94</v>
      </c>
      <c r="AJ763" s="469" t="s">
        <v>1972</v>
      </c>
      <c r="AK763" s="470" t="s">
        <v>1973</v>
      </c>
      <c r="AL763" s="471" t="s">
        <v>7031</v>
      </c>
      <c r="AM763" s="470" t="s">
        <v>13596</v>
      </c>
      <c r="AN763" s="470" t="s">
        <v>1385</v>
      </c>
      <c r="AO763" s="470" t="s">
        <v>7032</v>
      </c>
      <c r="AP763" s="470" t="s">
        <v>7033</v>
      </c>
      <c r="AQ763" s="470" t="s">
        <v>7027</v>
      </c>
      <c r="AR763" s="472" t="s">
        <v>515</v>
      </c>
      <c r="AS763" s="473" t="s">
        <v>1385</v>
      </c>
      <c r="AT763" s="472" t="s">
        <v>1390</v>
      </c>
      <c r="AU763" s="472" t="s">
        <v>420</v>
      </c>
      <c r="AV763" s="472">
        <v>2020</v>
      </c>
      <c r="AW763" s="474" t="s">
        <v>15078</v>
      </c>
      <c r="AX763" s="475" t="s">
        <v>15079</v>
      </c>
      <c r="AY763" s="515">
        <v>1</v>
      </c>
      <c r="AZ763" s="474" t="s">
        <v>15079</v>
      </c>
      <c r="BA763" s="472" t="s">
        <v>1390</v>
      </c>
      <c r="BB763" s="472" t="s">
        <v>1385</v>
      </c>
      <c r="BC763" s="472" t="s">
        <v>1385</v>
      </c>
      <c r="BD763" s="472" t="s">
        <v>1385</v>
      </c>
      <c r="BE763" s="472" t="s">
        <v>1385</v>
      </c>
      <c r="BF763" s="472">
        <v>25002</v>
      </c>
      <c r="BG763" s="472">
        <v>0</v>
      </c>
      <c r="BH763" s="472" t="s">
        <v>1385</v>
      </c>
      <c r="BI763" s="510">
        <v>0</v>
      </c>
      <c r="BJ763" s="510">
        <v>0</v>
      </c>
      <c r="BK763" s="510">
        <v>0</v>
      </c>
      <c r="BL763" s="510">
        <v>0</v>
      </c>
      <c r="BM763" s="510">
        <v>0</v>
      </c>
      <c r="BN763" s="510">
        <v>4000</v>
      </c>
      <c r="BO763" s="510">
        <v>0</v>
      </c>
      <c r="BP763" s="510">
        <v>0</v>
      </c>
      <c r="BQ763" s="510">
        <v>0</v>
      </c>
      <c r="BR763" s="510">
        <v>0</v>
      </c>
      <c r="BS763" s="510">
        <v>0</v>
      </c>
      <c r="BT763" s="510">
        <v>0</v>
      </c>
      <c r="BU763" s="510">
        <v>0</v>
      </c>
      <c r="BV763" s="510">
        <v>0</v>
      </c>
      <c r="BW763" s="510">
        <v>0</v>
      </c>
      <c r="BX763" s="510">
        <v>30000</v>
      </c>
      <c r="BY763" s="1011">
        <v>0</v>
      </c>
      <c r="BZ763" s="510">
        <v>0</v>
      </c>
      <c r="CA763" s="1011">
        <v>0</v>
      </c>
      <c r="CB763" s="510">
        <v>0</v>
      </c>
      <c r="CC763" s="1011">
        <v>0</v>
      </c>
      <c r="CD763" s="510">
        <v>0</v>
      </c>
      <c r="CE763" s="1011">
        <v>0</v>
      </c>
      <c r="CF763" s="510">
        <v>48566.400000000001</v>
      </c>
      <c r="CG763" s="1011">
        <v>0</v>
      </c>
      <c r="CH763" s="510">
        <v>0</v>
      </c>
      <c r="CI763" s="1011">
        <v>0</v>
      </c>
    </row>
    <row r="764" spans="1:87" x14ac:dyDescent="0.2">
      <c r="A764" s="449">
        <v>93</v>
      </c>
      <c r="B764" s="453">
        <v>92525</v>
      </c>
      <c r="C764" s="454" t="s">
        <v>7034</v>
      </c>
      <c r="D764" s="454" t="s">
        <v>1390</v>
      </c>
      <c r="E764" s="454" t="s">
        <v>7035</v>
      </c>
      <c r="F764" s="454" t="s">
        <v>513</v>
      </c>
      <c r="G764" s="454" t="s">
        <v>13597</v>
      </c>
      <c r="H764" s="455">
        <v>52164647000152</v>
      </c>
      <c r="I764" s="462">
        <v>30351</v>
      </c>
      <c r="J764" s="457">
        <v>37476050</v>
      </c>
      <c r="K764" s="454" t="s">
        <v>7036</v>
      </c>
      <c r="L764" s="458">
        <v>133</v>
      </c>
      <c r="M764" s="454" t="s">
        <v>6172</v>
      </c>
      <c r="N764" s="459">
        <v>3260000</v>
      </c>
      <c r="O764" s="460">
        <v>21433699</v>
      </c>
      <c r="P764" s="462">
        <v>151370</v>
      </c>
      <c r="Q764" s="462">
        <v>93</v>
      </c>
      <c r="R764" s="462">
        <v>43937</v>
      </c>
      <c r="S764" s="463">
        <v>349</v>
      </c>
      <c r="T764" s="464">
        <v>3.6</v>
      </c>
      <c r="U764" s="465">
        <v>1256.4000000000001</v>
      </c>
      <c r="V764" s="465">
        <v>13680</v>
      </c>
      <c r="W764" s="466">
        <v>0</v>
      </c>
      <c r="X764" s="467">
        <v>1</v>
      </c>
      <c r="Y764" s="466">
        <v>22404.6</v>
      </c>
      <c r="Z764" s="468" t="s">
        <v>516</v>
      </c>
      <c r="AA764" s="466">
        <v>97248.6</v>
      </c>
      <c r="AB764" s="466">
        <v>97248.6</v>
      </c>
      <c r="AC764" s="467">
        <v>0</v>
      </c>
      <c r="AD764" s="466">
        <v>0</v>
      </c>
      <c r="AE764" s="468" t="s">
        <v>516</v>
      </c>
      <c r="AF764" s="466">
        <v>0</v>
      </c>
      <c r="AG764" s="466">
        <v>0</v>
      </c>
      <c r="AH764" s="466">
        <v>18637</v>
      </c>
      <c r="AI764" s="466">
        <v>7287.83</v>
      </c>
      <c r="AJ764" s="469" t="s">
        <v>1580</v>
      </c>
      <c r="AK764" s="470" t="s">
        <v>1879</v>
      </c>
      <c r="AL764" s="471" t="s">
        <v>7037</v>
      </c>
      <c r="AM764" s="470" t="s">
        <v>7038</v>
      </c>
      <c r="AN764" s="470" t="s">
        <v>1385</v>
      </c>
      <c r="AO764" s="470" t="s">
        <v>7039</v>
      </c>
      <c r="AP764" s="470" t="s">
        <v>7040</v>
      </c>
      <c r="AQ764" s="470" t="s">
        <v>7034</v>
      </c>
      <c r="AR764" s="472" t="s">
        <v>515</v>
      </c>
      <c r="AS764" s="473" t="s">
        <v>1385</v>
      </c>
      <c r="AT764" s="472" t="s">
        <v>1390</v>
      </c>
      <c r="AU764" s="472" t="s">
        <v>420</v>
      </c>
      <c r="AV764" s="472">
        <v>2020</v>
      </c>
      <c r="AW764" s="474" t="s">
        <v>15078</v>
      </c>
      <c r="AX764" s="475" t="s">
        <v>15079</v>
      </c>
      <c r="AY764" s="515">
        <v>1</v>
      </c>
      <c r="AZ764" s="474" t="s">
        <v>15079</v>
      </c>
      <c r="BA764" s="472" t="s">
        <v>1390</v>
      </c>
      <c r="BB764" s="472" t="s">
        <v>1385</v>
      </c>
      <c r="BC764" s="472" t="s">
        <v>1385</v>
      </c>
      <c r="BD764" s="472" t="s">
        <v>1385</v>
      </c>
      <c r="BE764" s="472" t="s">
        <v>1385</v>
      </c>
      <c r="BF764" s="472">
        <v>22404.6</v>
      </c>
      <c r="BG764" s="472">
        <v>0</v>
      </c>
      <c r="BH764" s="472" t="s">
        <v>1385</v>
      </c>
      <c r="BI764" s="510">
        <v>0</v>
      </c>
      <c r="BJ764" s="510">
        <v>0</v>
      </c>
      <c r="BK764" s="510">
        <v>0</v>
      </c>
      <c r="BL764" s="510">
        <v>0</v>
      </c>
      <c r="BM764" s="510">
        <v>0</v>
      </c>
      <c r="BN764" s="510">
        <v>3500</v>
      </c>
      <c r="BO764" s="510">
        <v>0</v>
      </c>
      <c r="BP764" s="510">
        <v>0</v>
      </c>
      <c r="BQ764" s="510">
        <v>0</v>
      </c>
      <c r="BR764" s="510">
        <v>0</v>
      </c>
      <c r="BS764" s="510">
        <v>0</v>
      </c>
      <c r="BT764" s="510">
        <v>0</v>
      </c>
      <c r="BU764" s="510">
        <v>0</v>
      </c>
      <c r="BV764" s="510">
        <v>0</v>
      </c>
      <c r="BW764" s="510">
        <v>0</v>
      </c>
      <c r="BX764" s="510">
        <v>30000</v>
      </c>
      <c r="BY764" s="1011">
        <v>0</v>
      </c>
      <c r="BZ764" s="510">
        <v>0</v>
      </c>
      <c r="CA764" s="1011">
        <v>0</v>
      </c>
      <c r="CB764" s="510">
        <v>0</v>
      </c>
      <c r="CC764" s="1011">
        <v>0</v>
      </c>
      <c r="CD764" s="510">
        <v>0</v>
      </c>
      <c r="CE764" s="1011">
        <v>0</v>
      </c>
      <c r="CF764" s="510">
        <v>44844</v>
      </c>
      <c r="CG764" s="1011">
        <v>0</v>
      </c>
      <c r="CH764" s="510">
        <v>0</v>
      </c>
      <c r="CI764" s="1011">
        <v>0</v>
      </c>
    </row>
    <row r="765" spans="1:87" x14ac:dyDescent="0.2">
      <c r="A765" s="449">
        <v>113</v>
      </c>
      <c r="B765" s="453">
        <v>92533</v>
      </c>
      <c r="C765" s="454" t="s">
        <v>7041</v>
      </c>
      <c r="D765" s="454" t="s">
        <v>1390</v>
      </c>
      <c r="E765" s="454" t="s">
        <v>7042</v>
      </c>
      <c r="F765" s="454" t="s">
        <v>513</v>
      </c>
      <c r="G765" s="454" t="s">
        <v>13598</v>
      </c>
      <c r="H765" s="455">
        <v>52632932000150</v>
      </c>
      <c r="I765" s="462">
        <v>38345</v>
      </c>
      <c r="J765" s="457">
        <v>37531166</v>
      </c>
      <c r="K765" s="454" t="s">
        <v>7043</v>
      </c>
      <c r="L765" s="458">
        <v>320</v>
      </c>
      <c r="M765" s="454" t="s">
        <v>7044</v>
      </c>
      <c r="N765" s="459">
        <v>3982130</v>
      </c>
      <c r="O765" s="460">
        <v>27022074</v>
      </c>
      <c r="P765" s="462">
        <v>151974</v>
      </c>
      <c r="Q765" s="462">
        <v>113</v>
      </c>
      <c r="R765" s="462">
        <v>43937</v>
      </c>
      <c r="S765" s="463">
        <v>459</v>
      </c>
      <c r="T765" s="464">
        <v>3.6</v>
      </c>
      <c r="U765" s="465">
        <v>1652.4</v>
      </c>
      <c r="V765" s="465">
        <v>15120</v>
      </c>
      <c r="W765" s="466">
        <v>0</v>
      </c>
      <c r="X765" s="467">
        <v>1</v>
      </c>
      <c r="Y765" s="466">
        <v>25158.6</v>
      </c>
      <c r="Z765" s="468" t="s">
        <v>516</v>
      </c>
      <c r="AA765" s="466">
        <v>103840.2</v>
      </c>
      <c r="AB765" s="466">
        <v>103840.2</v>
      </c>
      <c r="AC765" s="467">
        <v>0</v>
      </c>
      <c r="AD765" s="466">
        <v>0</v>
      </c>
      <c r="AE765" s="468" t="s">
        <v>516</v>
      </c>
      <c r="AF765" s="466">
        <v>0</v>
      </c>
      <c r="AG765" s="466">
        <v>0</v>
      </c>
      <c r="AH765" s="466">
        <v>13300.6</v>
      </c>
      <c r="AI765" s="466">
        <v>8386.2000000000007</v>
      </c>
      <c r="AJ765" s="469" t="s">
        <v>1972</v>
      </c>
      <c r="AK765" s="470" t="s">
        <v>1973</v>
      </c>
      <c r="AL765" s="471" t="s">
        <v>7045</v>
      </c>
      <c r="AM765" s="470" t="s">
        <v>7046</v>
      </c>
      <c r="AN765" s="470" t="s">
        <v>1385</v>
      </c>
      <c r="AO765" s="470" t="s">
        <v>7047</v>
      </c>
      <c r="AP765" s="470" t="s">
        <v>7048</v>
      </c>
      <c r="AQ765" s="470" t="s">
        <v>7041</v>
      </c>
      <c r="AR765" s="472" t="s">
        <v>515</v>
      </c>
      <c r="AS765" s="473" t="s">
        <v>1385</v>
      </c>
      <c r="AT765" s="472" t="s">
        <v>1390</v>
      </c>
      <c r="AU765" s="472" t="s">
        <v>420</v>
      </c>
      <c r="AV765" s="472">
        <v>2020</v>
      </c>
      <c r="AW765" s="474" t="s">
        <v>15078</v>
      </c>
      <c r="AX765" s="475" t="s">
        <v>15079</v>
      </c>
      <c r="AY765" s="515">
        <v>1</v>
      </c>
      <c r="AZ765" s="474" t="s">
        <v>15079</v>
      </c>
      <c r="BA765" s="472" t="s">
        <v>1390</v>
      </c>
      <c r="BB765" s="472" t="s">
        <v>1385</v>
      </c>
      <c r="BC765" s="472" t="s">
        <v>1385</v>
      </c>
      <c r="BD765" s="472" t="s">
        <v>1385</v>
      </c>
      <c r="BE765" s="472" t="s">
        <v>1385</v>
      </c>
      <c r="BF765" s="472">
        <v>25158.6</v>
      </c>
      <c r="BG765" s="472">
        <v>0</v>
      </c>
      <c r="BH765" s="472" t="s">
        <v>1385</v>
      </c>
      <c r="BI765" s="510">
        <v>0</v>
      </c>
      <c r="BJ765" s="510">
        <v>0</v>
      </c>
      <c r="BK765" s="510">
        <v>0</v>
      </c>
      <c r="BL765" s="510">
        <v>0</v>
      </c>
      <c r="BM765" s="510">
        <v>0</v>
      </c>
      <c r="BN765" s="510">
        <v>4000</v>
      </c>
      <c r="BO765" s="510">
        <v>0</v>
      </c>
      <c r="BP765" s="510">
        <v>0</v>
      </c>
      <c r="BQ765" s="510">
        <v>0</v>
      </c>
      <c r="BR765" s="510">
        <v>0</v>
      </c>
      <c r="BS765" s="510">
        <v>0</v>
      </c>
      <c r="BT765" s="510">
        <v>0</v>
      </c>
      <c r="BU765" s="510">
        <v>0</v>
      </c>
      <c r="BV765" s="510">
        <v>0</v>
      </c>
      <c r="BW765" s="510">
        <v>0</v>
      </c>
      <c r="BX765" s="510">
        <v>30000</v>
      </c>
      <c r="BY765" s="1011">
        <v>0</v>
      </c>
      <c r="BZ765" s="510">
        <v>0</v>
      </c>
      <c r="CA765" s="1011">
        <v>0</v>
      </c>
      <c r="CB765" s="510">
        <v>0</v>
      </c>
      <c r="CC765" s="1011">
        <v>0</v>
      </c>
      <c r="CD765" s="510">
        <v>0</v>
      </c>
      <c r="CE765" s="1011">
        <v>0</v>
      </c>
      <c r="CF765" s="510">
        <v>48681.599999999999</v>
      </c>
      <c r="CG765" s="1011">
        <v>0</v>
      </c>
      <c r="CH765" s="510">
        <v>0</v>
      </c>
      <c r="CI765" s="1011">
        <v>0</v>
      </c>
    </row>
    <row r="766" spans="1:87" x14ac:dyDescent="0.2">
      <c r="A766" s="449">
        <v>126</v>
      </c>
      <c r="B766" s="453">
        <v>92541</v>
      </c>
      <c r="C766" s="454" t="s">
        <v>7049</v>
      </c>
      <c r="D766" s="454" t="s">
        <v>1390</v>
      </c>
      <c r="E766" s="454" t="s">
        <v>7050</v>
      </c>
      <c r="F766" s="454" t="s">
        <v>513</v>
      </c>
      <c r="G766" s="454" t="s">
        <v>13599</v>
      </c>
      <c r="H766" s="455">
        <v>52028545000100</v>
      </c>
      <c r="I766" s="462">
        <v>30273</v>
      </c>
      <c r="J766" s="457">
        <v>37531387</v>
      </c>
      <c r="K766" s="454" t="s">
        <v>7051</v>
      </c>
      <c r="L766" s="458">
        <v>60</v>
      </c>
      <c r="M766" s="454" t="s">
        <v>7052</v>
      </c>
      <c r="N766" s="459">
        <v>3975090</v>
      </c>
      <c r="O766" s="460">
        <v>29191017</v>
      </c>
      <c r="P766" s="462">
        <v>154639</v>
      </c>
      <c r="Q766" s="462">
        <v>126</v>
      </c>
      <c r="R766" s="462">
        <v>43937</v>
      </c>
      <c r="S766" s="463">
        <v>360</v>
      </c>
      <c r="T766" s="464">
        <v>3.6</v>
      </c>
      <c r="U766" s="465">
        <v>1296</v>
      </c>
      <c r="V766" s="465">
        <v>13680</v>
      </c>
      <c r="W766" s="466">
        <v>0</v>
      </c>
      <c r="X766" s="467">
        <v>1</v>
      </c>
      <c r="Y766" s="466">
        <v>22464</v>
      </c>
      <c r="Z766" s="468" t="s">
        <v>516</v>
      </c>
      <c r="AA766" s="466">
        <v>97207.2</v>
      </c>
      <c r="AB766" s="466">
        <v>97207.2</v>
      </c>
      <c r="AC766" s="467">
        <v>0</v>
      </c>
      <c r="AD766" s="466">
        <v>0</v>
      </c>
      <c r="AE766" s="468" t="s">
        <v>516</v>
      </c>
      <c r="AF766" s="466">
        <v>0</v>
      </c>
      <c r="AG766" s="466">
        <v>0</v>
      </c>
      <c r="AH766" s="466">
        <v>31673.279999999999</v>
      </c>
      <c r="AI766" s="466">
        <v>5512.8</v>
      </c>
      <c r="AJ766" s="469" t="s">
        <v>1972</v>
      </c>
      <c r="AK766" s="470" t="s">
        <v>1973</v>
      </c>
      <c r="AL766" s="471" t="s">
        <v>7053</v>
      </c>
      <c r="AM766" s="470" t="s">
        <v>7054</v>
      </c>
      <c r="AN766" s="470" t="s">
        <v>1385</v>
      </c>
      <c r="AO766" s="470" t="s">
        <v>7055</v>
      </c>
      <c r="AP766" s="470" t="s">
        <v>7056</v>
      </c>
      <c r="AQ766" s="470" t="s">
        <v>7049</v>
      </c>
      <c r="AR766" s="472" t="s">
        <v>515</v>
      </c>
      <c r="AS766" s="473" t="s">
        <v>1385</v>
      </c>
      <c r="AT766" s="472" t="s">
        <v>1390</v>
      </c>
      <c r="AU766" s="472" t="s">
        <v>420</v>
      </c>
      <c r="AV766" s="472">
        <v>2020</v>
      </c>
      <c r="AW766" s="474" t="s">
        <v>15078</v>
      </c>
      <c r="AX766" s="475" t="s">
        <v>15079</v>
      </c>
      <c r="AY766" s="515">
        <v>1</v>
      </c>
      <c r="AZ766" s="474" t="s">
        <v>15079</v>
      </c>
      <c r="BA766" s="472" t="s">
        <v>1390</v>
      </c>
      <c r="BB766" s="472" t="s">
        <v>1385</v>
      </c>
      <c r="BC766" s="472" t="s">
        <v>1385</v>
      </c>
      <c r="BD766" s="472" t="s">
        <v>1385</v>
      </c>
      <c r="BE766" s="472" t="s">
        <v>1385</v>
      </c>
      <c r="BF766" s="472">
        <v>22464</v>
      </c>
      <c r="BG766" s="472">
        <v>0</v>
      </c>
      <c r="BH766" s="472" t="s">
        <v>1385</v>
      </c>
      <c r="BI766" s="510">
        <v>0</v>
      </c>
      <c r="BJ766" s="510">
        <v>0</v>
      </c>
      <c r="BK766" s="510">
        <v>0</v>
      </c>
      <c r="BL766" s="510">
        <v>0</v>
      </c>
      <c r="BM766" s="510">
        <v>0</v>
      </c>
      <c r="BN766" s="510">
        <v>3500</v>
      </c>
      <c r="BO766" s="510">
        <v>0</v>
      </c>
      <c r="BP766" s="510">
        <v>0</v>
      </c>
      <c r="BQ766" s="510">
        <v>0</v>
      </c>
      <c r="BR766" s="510">
        <v>0</v>
      </c>
      <c r="BS766" s="510">
        <v>0</v>
      </c>
      <c r="BT766" s="510">
        <v>0</v>
      </c>
      <c r="BU766" s="510">
        <v>0</v>
      </c>
      <c r="BV766" s="510">
        <v>0</v>
      </c>
      <c r="BW766" s="510">
        <v>0</v>
      </c>
      <c r="BX766" s="510">
        <v>30000</v>
      </c>
      <c r="BY766" s="1011">
        <v>0</v>
      </c>
      <c r="BZ766" s="510">
        <v>0</v>
      </c>
      <c r="CA766" s="1011">
        <v>0</v>
      </c>
      <c r="CB766" s="510">
        <v>0</v>
      </c>
      <c r="CC766" s="1011">
        <v>0</v>
      </c>
      <c r="CD766" s="510">
        <v>0</v>
      </c>
      <c r="CE766" s="1011">
        <v>0</v>
      </c>
      <c r="CF766" s="510">
        <v>44743.199999999997</v>
      </c>
      <c r="CG766" s="1011">
        <v>0</v>
      </c>
      <c r="CH766" s="510">
        <v>0</v>
      </c>
      <c r="CI766" s="1011">
        <v>0</v>
      </c>
    </row>
    <row r="767" spans="1:87" x14ac:dyDescent="0.2">
      <c r="A767" s="449">
        <v>92</v>
      </c>
      <c r="B767" s="453">
        <v>92550</v>
      </c>
      <c r="C767" s="454" t="s">
        <v>7057</v>
      </c>
      <c r="D767" s="454" t="s">
        <v>1390</v>
      </c>
      <c r="E767" s="454" t="s">
        <v>7058</v>
      </c>
      <c r="F767" s="454" t="s">
        <v>513</v>
      </c>
      <c r="G767" s="454" t="s">
        <v>13600</v>
      </c>
      <c r="H767" s="455">
        <v>52040334000192</v>
      </c>
      <c r="I767" s="462">
        <v>30307</v>
      </c>
      <c r="J767" s="457">
        <v>37532235</v>
      </c>
      <c r="K767" s="454" t="s">
        <v>7059</v>
      </c>
      <c r="L767" s="458">
        <v>172</v>
      </c>
      <c r="M767" s="454" t="s">
        <v>2999</v>
      </c>
      <c r="N767" s="459">
        <v>3973050</v>
      </c>
      <c r="O767" s="460">
        <v>29191689</v>
      </c>
      <c r="P767" s="462">
        <v>151141</v>
      </c>
      <c r="Q767" s="462">
        <v>92</v>
      </c>
      <c r="R767" s="462">
        <v>43937</v>
      </c>
      <c r="S767" s="463">
        <v>171</v>
      </c>
      <c r="T767" s="464">
        <v>3.6</v>
      </c>
      <c r="U767" s="465">
        <v>615.6</v>
      </c>
      <c r="V767" s="465">
        <v>10800</v>
      </c>
      <c r="W767" s="466">
        <v>0</v>
      </c>
      <c r="X767" s="467">
        <v>1</v>
      </c>
      <c r="Y767" s="466">
        <v>21983.4</v>
      </c>
      <c r="Z767" s="468" t="s">
        <v>516</v>
      </c>
      <c r="AA767" s="466">
        <v>101251.4</v>
      </c>
      <c r="AB767" s="466">
        <v>101251.4</v>
      </c>
      <c r="AC767" s="467">
        <v>0</v>
      </c>
      <c r="AD767" s="466">
        <v>0</v>
      </c>
      <c r="AE767" s="468" t="s">
        <v>516</v>
      </c>
      <c r="AF767" s="466">
        <v>0</v>
      </c>
      <c r="AG767" s="466">
        <v>0</v>
      </c>
      <c r="AH767" s="466">
        <v>29612.76</v>
      </c>
      <c r="AI767" s="466">
        <v>14369.5</v>
      </c>
      <c r="AJ767" s="469" t="s">
        <v>1560</v>
      </c>
      <c r="AK767" s="470" t="s">
        <v>1561</v>
      </c>
      <c r="AL767" s="471" t="s">
        <v>7060</v>
      </c>
      <c r="AM767" s="470" t="s">
        <v>7061</v>
      </c>
      <c r="AN767" s="470" t="s">
        <v>1385</v>
      </c>
      <c r="AO767" s="470" t="s">
        <v>14945</v>
      </c>
      <c r="AP767" s="470" t="s">
        <v>7062</v>
      </c>
      <c r="AQ767" s="470" t="s">
        <v>7057</v>
      </c>
      <c r="AR767" s="472" t="s">
        <v>515</v>
      </c>
      <c r="AS767" s="473" t="s">
        <v>1385</v>
      </c>
      <c r="AT767" s="472" t="s">
        <v>1390</v>
      </c>
      <c r="AU767" s="472" t="s">
        <v>420</v>
      </c>
      <c r="AV767" s="472">
        <v>2020</v>
      </c>
      <c r="AW767" s="474" t="s">
        <v>15078</v>
      </c>
      <c r="AX767" s="475" t="s">
        <v>15079</v>
      </c>
      <c r="AY767" s="515">
        <v>1</v>
      </c>
      <c r="AZ767" s="474" t="s">
        <v>15079</v>
      </c>
      <c r="BA767" s="472" t="s">
        <v>1390</v>
      </c>
      <c r="BB767" s="472" t="s">
        <v>516</v>
      </c>
      <c r="BC767" s="472">
        <v>6</v>
      </c>
      <c r="BD767" s="472">
        <v>3240</v>
      </c>
      <c r="BE767" s="472">
        <v>0</v>
      </c>
      <c r="BF767" s="472">
        <v>21983.4</v>
      </c>
      <c r="BG767" s="472">
        <v>0</v>
      </c>
      <c r="BH767" s="472" t="s">
        <v>1385</v>
      </c>
      <c r="BI767" s="510">
        <v>0</v>
      </c>
      <c r="BJ767" s="510">
        <v>927.4</v>
      </c>
      <c r="BK767" s="510">
        <v>0</v>
      </c>
      <c r="BL767" s="510">
        <v>0</v>
      </c>
      <c r="BM767" s="510">
        <v>0</v>
      </c>
      <c r="BN767" s="510">
        <v>3000</v>
      </c>
      <c r="BO767" s="510">
        <v>0</v>
      </c>
      <c r="BP767" s="510">
        <v>0</v>
      </c>
      <c r="BQ767" s="510">
        <v>0</v>
      </c>
      <c r="BR767" s="510">
        <v>0</v>
      </c>
      <c r="BS767" s="510">
        <v>0</v>
      </c>
      <c r="BT767" s="510">
        <v>0</v>
      </c>
      <c r="BU767" s="510">
        <v>0</v>
      </c>
      <c r="BV767" s="510">
        <v>0</v>
      </c>
      <c r="BW767" s="510">
        <v>0</v>
      </c>
      <c r="BX767" s="510">
        <v>30000</v>
      </c>
      <c r="BY767" s="1011">
        <v>0</v>
      </c>
      <c r="BZ767" s="510">
        <v>0</v>
      </c>
      <c r="CA767" s="1011">
        <v>0</v>
      </c>
      <c r="CB767" s="510">
        <v>0</v>
      </c>
      <c r="CC767" s="1011">
        <v>0</v>
      </c>
      <c r="CD767" s="510">
        <v>0</v>
      </c>
      <c r="CE767" s="1011">
        <v>0</v>
      </c>
      <c r="CF767" s="510">
        <v>49268</v>
      </c>
      <c r="CG767" s="1011">
        <v>0</v>
      </c>
      <c r="CH767" s="510">
        <v>0</v>
      </c>
      <c r="CI767" s="1011">
        <v>0</v>
      </c>
    </row>
    <row r="768" spans="1:87" x14ac:dyDescent="0.2">
      <c r="A768" s="449">
        <v>120</v>
      </c>
      <c r="B768" s="453">
        <v>92568</v>
      </c>
      <c r="C768" s="454" t="s">
        <v>7063</v>
      </c>
      <c r="D768" s="454" t="s">
        <v>1390</v>
      </c>
      <c r="E768" s="454" t="s">
        <v>7064</v>
      </c>
      <c r="F768" s="454" t="s">
        <v>513</v>
      </c>
      <c r="G768" s="454" t="s">
        <v>13601</v>
      </c>
      <c r="H768" s="455">
        <v>52027679000106</v>
      </c>
      <c r="I768" s="462">
        <v>36070</v>
      </c>
      <c r="J768" s="457">
        <v>37531581</v>
      </c>
      <c r="K768" s="454" t="s">
        <v>7065</v>
      </c>
      <c r="L768" s="458">
        <v>511</v>
      </c>
      <c r="M768" s="454" t="s">
        <v>4951</v>
      </c>
      <c r="N768" s="459">
        <v>8310580</v>
      </c>
      <c r="O768" s="460">
        <v>29193849</v>
      </c>
      <c r="P768" s="462">
        <v>154183</v>
      </c>
      <c r="Q768" s="462">
        <v>120</v>
      </c>
      <c r="R768" s="462">
        <v>43937</v>
      </c>
      <c r="S768" s="463">
        <v>331</v>
      </c>
      <c r="T768" s="464">
        <v>3.6</v>
      </c>
      <c r="U768" s="465">
        <v>1191.5999999999999</v>
      </c>
      <c r="V768" s="465">
        <v>13680</v>
      </c>
      <c r="W768" s="466">
        <v>0</v>
      </c>
      <c r="X768" s="467">
        <v>1</v>
      </c>
      <c r="Y768" s="466">
        <v>22307.4</v>
      </c>
      <c r="Z768" s="468" t="s">
        <v>516</v>
      </c>
      <c r="AA768" s="466">
        <v>96906.6</v>
      </c>
      <c r="AB768" s="466">
        <v>96906.6</v>
      </c>
      <c r="AC768" s="467">
        <v>0</v>
      </c>
      <c r="AD768" s="466">
        <v>0</v>
      </c>
      <c r="AE768" s="468" t="s">
        <v>516</v>
      </c>
      <c r="AF768" s="466">
        <v>0</v>
      </c>
      <c r="AG768" s="466">
        <v>0</v>
      </c>
      <c r="AH768" s="466">
        <v>43283.83</v>
      </c>
      <c r="AI768" s="466">
        <v>0</v>
      </c>
      <c r="AJ768" s="469" t="s">
        <v>2030</v>
      </c>
      <c r="AK768" s="470" t="s">
        <v>513</v>
      </c>
      <c r="AL768" s="471" t="s">
        <v>7066</v>
      </c>
      <c r="AM768" s="470" t="s">
        <v>7067</v>
      </c>
      <c r="AN768" s="470" t="s">
        <v>7068</v>
      </c>
      <c r="AO768" s="470" t="s">
        <v>7069</v>
      </c>
      <c r="AP768" s="470" t="s">
        <v>7070</v>
      </c>
      <c r="AQ768" s="470" t="s">
        <v>7063</v>
      </c>
      <c r="AR768" s="472" t="s">
        <v>515</v>
      </c>
      <c r="AS768" s="473" t="s">
        <v>1385</v>
      </c>
      <c r="AT768" s="472" t="s">
        <v>1390</v>
      </c>
      <c r="AU768" s="472" t="s">
        <v>420</v>
      </c>
      <c r="AV768" s="472">
        <v>2020</v>
      </c>
      <c r="AW768" s="474" t="s">
        <v>15078</v>
      </c>
      <c r="AX768" s="475" t="s">
        <v>15079</v>
      </c>
      <c r="AY768" s="515">
        <v>1</v>
      </c>
      <c r="AZ768" s="474" t="s">
        <v>15079</v>
      </c>
      <c r="BA768" s="472" t="s">
        <v>1390</v>
      </c>
      <c r="BB768" s="472" t="s">
        <v>1385</v>
      </c>
      <c r="BC768" s="472" t="s">
        <v>1385</v>
      </c>
      <c r="BD768" s="472" t="s">
        <v>1385</v>
      </c>
      <c r="BE768" s="472" t="s">
        <v>1385</v>
      </c>
      <c r="BF768" s="472">
        <v>22307.4</v>
      </c>
      <c r="BG768" s="472">
        <v>0</v>
      </c>
      <c r="BH768" s="472" t="s">
        <v>1385</v>
      </c>
      <c r="BI768" s="510">
        <v>0</v>
      </c>
      <c r="BJ768" s="510">
        <v>0</v>
      </c>
      <c r="BK768" s="510">
        <v>0</v>
      </c>
      <c r="BL768" s="510">
        <v>0</v>
      </c>
      <c r="BM768" s="510">
        <v>0</v>
      </c>
      <c r="BN768" s="510">
        <v>3500</v>
      </c>
      <c r="BO768" s="510">
        <v>0</v>
      </c>
      <c r="BP768" s="510">
        <v>0</v>
      </c>
      <c r="BQ768" s="510">
        <v>0</v>
      </c>
      <c r="BR768" s="510">
        <v>0</v>
      </c>
      <c r="BS768" s="510">
        <v>0</v>
      </c>
      <c r="BT768" s="510">
        <v>0</v>
      </c>
      <c r="BU768" s="510">
        <v>0</v>
      </c>
      <c r="BV768" s="510">
        <v>0</v>
      </c>
      <c r="BW768" s="510">
        <v>0</v>
      </c>
      <c r="BX768" s="510">
        <v>30000</v>
      </c>
      <c r="BY768" s="1011">
        <v>0</v>
      </c>
      <c r="BZ768" s="510">
        <v>0</v>
      </c>
      <c r="CA768" s="1011">
        <v>0</v>
      </c>
      <c r="CB768" s="510">
        <v>0</v>
      </c>
      <c r="CC768" s="1011">
        <v>0</v>
      </c>
      <c r="CD768" s="510">
        <v>0</v>
      </c>
      <c r="CE768" s="1011">
        <v>0</v>
      </c>
      <c r="CF768" s="510">
        <v>44599.199999999997</v>
      </c>
      <c r="CG768" s="1011">
        <v>0</v>
      </c>
      <c r="CH768" s="510">
        <v>0</v>
      </c>
      <c r="CI768" s="1011">
        <v>0</v>
      </c>
    </row>
    <row r="769" spans="1:87" x14ac:dyDescent="0.2">
      <c r="A769" s="449">
        <v>127</v>
      </c>
      <c r="B769" s="453">
        <v>92576</v>
      </c>
      <c r="C769" s="454" t="s">
        <v>7071</v>
      </c>
      <c r="D769" s="454" t="s">
        <v>1390</v>
      </c>
      <c r="E769" s="454" t="s">
        <v>7072</v>
      </c>
      <c r="F769" s="454" t="s">
        <v>513</v>
      </c>
      <c r="G769" s="454" t="s">
        <v>13602</v>
      </c>
      <c r="H769" s="455">
        <v>52026010000108</v>
      </c>
      <c r="I769" s="462">
        <v>30246</v>
      </c>
      <c r="J769" s="457">
        <v>37531360</v>
      </c>
      <c r="K769" s="454" t="s">
        <v>7073</v>
      </c>
      <c r="L769" s="458">
        <v>320</v>
      </c>
      <c r="M769" s="454" t="s">
        <v>2088</v>
      </c>
      <c r="N769" s="459">
        <v>8310000</v>
      </c>
      <c r="O769" s="460">
        <v>27512289</v>
      </c>
      <c r="P769" s="462">
        <v>154655</v>
      </c>
      <c r="Q769" s="462">
        <v>127</v>
      </c>
      <c r="R769" s="462">
        <v>43937</v>
      </c>
      <c r="S769" s="463">
        <v>399</v>
      </c>
      <c r="T769" s="464">
        <v>3.6</v>
      </c>
      <c r="U769" s="465">
        <v>1436.4</v>
      </c>
      <c r="V769" s="465">
        <v>13680</v>
      </c>
      <c r="W769" s="466">
        <v>0</v>
      </c>
      <c r="X769" s="467">
        <v>1</v>
      </c>
      <c r="Y769" s="466">
        <v>22674.6</v>
      </c>
      <c r="Z769" s="468" t="s">
        <v>516</v>
      </c>
      <c r="AA769" s="466">
        <v>97504.2</v>
      </c>
      <c r="AB769" s="466">
        <v>97504.2</v>
      </c>
      <c r="AC769" s="467">
        <v>0</v>
      </c>
      <c r="AD769" s="466">
        <v>0</v>
      </c>
      <c r="AE769" s="468" t="s">
        <v>516</v>
      </c>
      <c r="AF769" s="466">
        <v>0</v>
      </c>
      <c r="AG769" s="466">
        <v>0</v>
      </c>
      <c r="AH769" s="466">
        <v>11290.68</v>
      </c>
      <c r="AI769" s="466">
        <v>6981.94</v>
      </c>
      <c r="AJ769" s="469" t="s">
        <v>2520</v>
      </c>
      <c r="AK769" s="470" t="s">
        <v>2521</v>
      </c>
      <c r="AL769" s="471" t="s">
        <v>7074</v>
      </c>
      <c r="AM769" s="470" t="s">
        <v>7075</v>
      </c>
      <c r="AN769" s="470" t="s">
        <v>7076</v>
      </c>
      <c r="AO769" s="470" t="s">
        <v>7077</v>
      </c>
      <c r="AP769" s="470" t="s">
        <v>7078</v>
      </c>
      <c r="AQ769" s="470" t="s">
        <v>7071</v>
      </c>
      <c r="AR769" s="472" t="s">
        <v>515</v>
      </c>
      <c r="AS769" s="473" t="s">
        <v>1385</v>
      </c>
      <c r="AT769" s="472" t="s">
        <v>1390</v>
      </c>
      <c r="AU769" s="472" t="s">
        <v>420</v>
      </c>
      <c r="AV769" s="472">
        <v>2020</v>
      </c>
      <c r="AW769" s="474" t="s">
        <v>15078</v>
      </c>
      <c r="AX769" s="475" t="s">
        <v>15079</v>
      </c>
      <c r="AY769" s="515">
        <v>1</v>
      </c>
      <c r="AZ769" s="474" t="s">
        <v>15079</v>
      </c>
      <c r="BA769" s="472" t="s">
        <v>1390</v>
      </c>
      <c r="BB769" s="472" t="s">
        <v>1385</v>
      </c>
      <c r="BC769" s="472" t="s">
        <v>1385</v>
      </c>
      <c r="BD769" s="472" t="s">
        <v>1385</v>
      </c>
      <c r="BE769" s="472" t="s">
        <v>1385</v>
      </c>
      <c r="BF769" s="472">
        <v>22674.6</v>
      </c>
      <c r="BG769" s="472">
        <v>0</v>
      </c>
      <c r="BH769" s="472" t="s">
        <v>1385</v>
      </c>
      <c r="BI769" s="510">
        <v>0</v>
      </c>
      <c r="BJ769" s="510">
        <v>0</v>
      </c>
      <c r="BK769" s="510">
        <v>0</v>
      </c>
      <c r="BL769" s="510">
        <v>0</v>
      </c>
      <c r="BM769" s="510">
        <v>0</v>
      </c>
      <c r="BN769" s="510">
        <v>0</v>
      </c>
      <c r="BO769" s="510">
        <v>0</v>
      </c>
      <c r="BP769" s="510">
        <v>0</v>
      </c>
      <c r="BQ769" s="510">
        <v>0</v>
      </c>
      <c r="BR769" s="510">
        <v>0</v>
      </c>
      <c r="BS769" s="510">
        <v>0</v>
      </c>
      <c r="BT769" s="510">
        <v>0</v>
      </c>
      <c r="BU769" s="510">
        <v>0</v>
      </c>
      <c r="BV769" s="510">
        <v>0</v>
      </c>
      <c r="BW769" s="510">
        <v>0</v>
      </c>
      <c r="BX769" s="510">
        <v>30000</v>
      </c>
      <c r="BY769" s="1011">
        <v>0</v>
      </c>
      <c r="BZ769" s="510">
        <v>0</v>
      </c>
      <c r="CA769" s="1011">
        <v>0</v>
      </c>
      <c r="CB769" s="510">
        <v>0</v>
      </c>
      <c r="CC769" s="1011">
        <v>0</v>
      </c>
      <c r="CD769" s="510">
        <v>0</v>
      </c>
      <c r="CE769" s="1011">
        <v>0</v>
      </c>
      <c r="CF769" s="510">
        <v>44829.599999999999</v>
      </c>
      <c r="CG769" s="1011">
        <v>0</v>
      </c>
      <c r="CH769" s="510">
        <v>0</v>
      </c>
      <c r="CI769" s="1011">
        <v>0</v>
      </c>
    </row>
    <row r="770" spans="1:87" x14ac:dyDescent="0.2">
      <c r="A770" s="449">
        <v>89</v>
      </c>
      <c r="B770" s="453">
        <v>92584</v>
      </c>
      <c r="C770" s="454" t="s">
        <v>7079</v>
      </c>
      <c r="D770" s="454" t="s">
        <v>1390</v>
      </c>
      <c r="E770" s="454" t="s">
        <v>7080</v>
      </c>
      <c r="F770" s="454" t="s">
        <v>513</v>
      </c>
      <c r="G770" s="454" t="s">
        <v>13603</v>
      </c>
      <c r="H770" s="455">
        <v>54368279000190</v>
      </c>
      <c r="I770" s="462">
        <v>30945</v>
      </c>
      <c r="J770" s="457">
        <v>37532723</v>
      </c>
      <c r="K770" s="454" t="s">
        <v>3276</v>
      </c>
      <c r="L770" s="458">
        <v>1</v>
      </c>
      <c r="M770" s="454" t="s">
        <v>3277</v>
      </c>
      <c r="N770" s="459">
        <v>8395320</v>
      </c>
      <c r="O770" s="460">
        <v>27513177</v>
      </c>
      <c r="P770" s="462">
        <v>151109</v>
      </c>
      <c r="Q770" s="462">
        <v>89</v>
      </c>
      <c r="R770" s="462">
        <v>43937</v>
      </c>
      <c r="S770" s="463">
        <v>281</v>
      </c>
      <c r="T770" s="464">
        <v>3.6</v>
      </c>
      <c r="U770" s="465">
        <v>1011.6</v>
      </c>
      <c r="V770" s="465">
        <v>12240</v>
      </c>
      <c r="W770" s="466">
        <v>0</v>
      </c>
      <c r="X770" s="467">
        <v>1</v>
      </c>
      <c r="Y770" s="466">
        <v>19877.400000000001</v>
      </c>
      <c r="Z770" s="468" t="s">
        <v>516</v>
      </c>
      <c r="AA770" s="466">
        <v>91243.8</v>
      </c>
      <c r="AB770" s="466">
        <v>91243.8</v>
      </c>
      <c r="AC770" s="467">
        <v>0</v>
      </c>
      <c r="AD770" s="466">
        <v>0</v>
      </c>
      <c r="AE770" s="468" t="s">
        <v>516</v>
      </c>
      <c r="AF770" s="466">
        <v>0</v>
      </c>
      <c r="AG770" s="466">
        <v>0</v>
      </c>
      <c r="AH770" s="466">
        <v>13380.56</v>
      </c>
      <c r="AI770" s="466">
        <v>2672.02</v>
      </c>
      <c r="AJ770" s="469" t="s">
        <v>2030</v>
      </c>
      <c r="AK770" s="470" t="s">
        <v>513</v>
      </c>
      <c r="AL770" s="471" t="s">
        <v>7081</v>
      </c>
      <c r="AM770" s="470" t="s">
        <v>7082</v>
      </c>
      <c r="AN770" s="470" t="s">
        <v>1385</v>
      </c>
      <c r="AO770" s="470" t="s">
        <v>7083</v>
      </c>
      <c r="AP770" s="470" t="s">
        <v>7084</v>
      </c>
      <c r="AQ770" s="470" t="s">
        <v>7079</v>
      </c>
      <c r="AR770" s="472" t="s">
        <v>515</v>
      </c>
      <c r="AS770" s="473" t="s">
        <v>1385</v>
      </c>
      <c r="AT770" s="472" t="s">
        <v>1390</v>
      </c>
      <c r="AU770" s="472" t="s">
        <v>420</v>
      </c>
      <c r="AV770" s="472">
        <v>2020</v>
      </c>
      <c r="AW770" s="474" t="s">
        <v>15078</v>
      </c>
      <c r="AX770" s="475" t="s">
        <v>15079</v>
      </c>
      <c r="AY770" s="515">
        <v>1</v>
      </c>
      <c r="AZ770" s="474" t="s">
        <v>15079</v>
      </c>
      <c r="BA770" s="472" t="s">
        <v>1390</v>
      </c>
      <c r="BB770" s="472" t="s">
        <v>1385</v>
      </c>
      <c r="BC770" s="472" t="s">
        <v>1385</v>
      </c>
      <c r="BD770" s="472" t="s">
        <v>1385</v>
      </c>
      <c r="BE770" s="472" t="s">
        <v>1385</v>
      </c>
      <c r="BF770" s="472">
        <v>19877.400000000001</v>
      </c>
      <c r="BG770" s="472">
        <v>0</v>
      </c>
      <c r="BH770" s="472" t="s">
        <v>1385</v>
      </c>
      <c r="BI770" s="510">
        <v>0</v>
      </c>
      <c r="BJ770" s="510">
        <v>0</v>
      </c>
      <c r="BK770" s="510">
        <v>0</v>
      </c>
      <c r="BL770" s="510">
        <v>0</v>
      </c>
      <c r="BM770" s="510">
        <v>0</v>
      </c>
      <c r="BN770" s="510">
        <v>3500</v>
      </c>
      <c r="BO770" s="510">
        <v>0</v>
      </c>
      <c r="BP770" s="510">
        <v>0</v>
      </c>
      <c r="BQ770" s="510">
        <v>0</v>
      </c>
      <c r="BR770" s="510">
        <v>0</v>
      </c>
      <c r="BS770" s="510">
        <v>0</v>
      </c>
      <c r="BT770" s="510">
        <v>0</v>
      </c>
      <c r="BU770" s="510">
        <v>0</v>
      </c>
      <c r="BV770" s="510">
        <v>0</v>
      </c>
      <c r="BW770" s="510">
        <v>0</v>
      </c>
      <c r="BX770" s="510">
        <v>30000</v>
      </c>
      <c r="BY770" s="1011">
        <v>0</v>
      </c>
      <c r="BZ770" s="510">
        <v>0</v>
      </c>
      <c r="CA770" s="1011">
        <v>0</v>
      </c>
      <c r="CB770" s="510">
        <v>0</v>
      </c>
      <c r="CC770" s="1011">
        <v>0</v>
      </c>
      <c r="CD770" s="510">
        <v>0</v>
      </c>
      <c r="CE770" s="1011">
        <v>0</v>
      </c>
      <c r="CF770" s="510">
        <v>41366.400000000001</v>
      </c>
      <c r="CG770" s="1011">
        <v>0</v>
      </c>
      <c r="CH770" s="510">
        <v>0</v>
      </c>
      <c r="CI770" s="1011">
        <v>0</v>
      </c>
    </row>
    <row r="771" spans="1:87" x14ac:dyDescent="0.2">
      <c r="A771" s="449">
        <v>117</v>
      </c>
      <c r="B771" s="453">
        <v>92592</v>
      </c>
      <c r="C771" s="454" t="s">
        <v>7085</v>
      </c>
      <c r="D771" s="454" t="s">
        <v>1390</v>
      </c>
      <c r="E771" s="454" t="s">
        <v>7086</v>
      </c>
      <c r="F771" s="454" t="s">
        <v>513</v>
      </c>
      <c r="G771" s="454" t="s">
        <v>13604</v>
      </c>
      <c r="H771" s="455">
        <v>52031507000106</v>
      </c>
      <c r="I771" s="462">
        <v>36707</v>
      </c>
      <c r="J771" s="457">
        <v>37531891</v>
      </c>
      <c r="K771" s="454" t="s">
        <v>7087</v>
      </c>
      <c r="L771" s="458">
        <v>297</v>
      </c>
      <c r="M771" s="454" t="s">
        <v>1559</v>
      </c>
      <c r="N771" s="459">
        <v>8311270</v>
      </c>
      <c r="O771" s="460">
        <v>29191512</v>
      </c>
      <c r="P771" s="462">
        <v>152121</v>
      </c>
      <c r="Q771" s="462">
        <v>117</v>
      </c>
      <c r="R771" s="462">
        <v>43937</v>
      </c>
      <c r="S771" s="463">
        <v>206</v>
      </c>
      <c r="T771" s="464">
        <v>3.6</v>
      </c>
      <c r="U771" s="465">
        <v>741.6</v>
      </c>
      <c r="V771" s="465">
        <v>12240</v>
      </c>
      <c r="W771" s="466">
        <v>0</v>
      </c>
      <c r="X771" s="467">
        <v>1</v>
      </c>
      <c r="Y771" s="466">
        <v>19472.400000000001</v>
      </c>
      <c r="Z771" s="468" t="s">
        <v>516</v>
      </c>
      <c r="AA771" s="466">
        <v>90514.8</v>
      </c>
      <c r="AB771" s="466">
        <v>90514.8</v>
      </c>
      <c r="AC771" s="467">
        <v>0</v>
      </c>
      <c r="AD771" s="466">
        <v>0</v>
      </c>
      <c r="AE771" s="468" t="s">
        <v>516</v>
      </c>
      <c r="AF771" s="466">
        <v>0</v>
      </c>
      <c r="AG771" s="466">
        <v>0</v>
      </c>
      <c r="AH771" s="466">
        <v>19161.32</v>
      </c>
      <c r="AI771" s="466">
        <v>5292.91</v>
      </c>
      <c r="AJ771" s="469" t="s">
        <v>2491</v>
      </c>
      <c r="AK771" s="470" t="s">
        <v>2492</v>
      </c>
      <c r="AL771" s="471" t="s">
        <v>7088</v>
      </c>
      <c r="AM771" s="470" t="s">
        <v>7089</v>
      </c>
      <c r="AN771" s="470" t="s">
        <v>7090</v>
      </c>
      <c r="AO771" s="470" t="s">
        <v>7091</v>
      </c>
      <c r="AP771" s="470" t="s">
        <v>7092</v>
      </c>
      <c r="AQ771" s="470" t="s">
        <v>7085</v>
      </c>
      <c r="AR771" s="472" t="s">
        <v>515</v>
      </c>
      <c r="AS771" s="473" t="s">
        <v>1385</v>
      </c>
      <c r="AT771" s="472" t="s">
        <v>1390</v>
      </c>
      <c r="AU771" s="472" t="s">
        <v>420</v>
      </c>
      <c r="AV771" s="472">
        <v>2020</v>
      </c>
      <c r="AW771" s="474" t="s">
        <v>15078</v>
      </c>
      <c r="AX771" s="475" t="s">
        <v>15079</v>
      </c>
      <c r="AY771" s="515">
        <v>1</v>
      </c>
      <c r="AZ771" s="474" t="s">
        <v>15079</v>
      </c>
      <c r="BA771" s="472" t="s">
        <v>1390</v>
      </c>
      <c r="BB771" s="472" t="s">
        <v>1385</v>
      </c>
      <c r="BC771" s="472" t="s">
        <v>1385</v>
      </c>
      <c r="BD771" s="472" t="s">
        <v>1385</v>
      </c>
      <c r="BE771" s="472" t="s">
        <v>1385</v>
      </c>
      <c r="BF771" s="472">
        <v>19472.400000000001</v>
      </c>
      <c r="BG771" s="472">
        <v>0</v>
      </c>
      <c r="BH771" s="472" t="s">
        <v>1385</v>
      </c>
      <c r="BI771" s="510">
        <v>0</v>
      </c>
      <c r="BJ771" s="510">
        <v>0</v>
      </c>
      <c r="BK771" s="510">
        <v>0</v>
      </c>
      <c r="BL771" s="510">
        <v>0</v>
      </c>
      <c r="BM771" s="510">
        <v>0</v>
      </c>
      <c r="BN771" s="510">
        <v>3000</v>
      </c>
      <c r="BO771" s="510">
        <v>0</v>
      </c>
      <c r="BP771" s="510">
        <v>0</v>
      </c>
      <c r="BQ771" s="510">
        <v>0</v>
      </c>
      <c r="BR771" s="510">
        <v>0</v>
      </c>
      <c r="BS771" s="510">
        <v>0</v>
      </c>
      <c r="BT771" s="510">
        <v>0</v>
      </c>
      <c r="BU771" s="510">
        <v>0</v>
      </c>
      <c r="BV771" s="510">
        <v>0</v>
      </c>
      <c r="BW771" s="510">
        <v>0</v>
      </c>
      <c r="BX771" s="510">
        <v>30000</v>
      </c>
      <c r="BY771" s="1011">
        <v>0</v>
      </c>
      <c r="BZ771" s="510">
        <v>0</v>
      </c>
      <c r="CA771" s="1011">
        <v>0</v>
      </c>
      <c r="CB771" s="510">
        <v>0</v>
      </c>
      <c r="CC771" s="1011">
        <v>0</v>
      </c>
      <c r="CD771" s="510">
        <v>0</v>
      </c>
      <c r="CE771" s="1011">
        <v>0</v>
      </c>
      <c r="CF771" s="510">
        <v>41042.400000000001</v>
      </c>
      <c r="CG771" s="1011">
        <v>0</v>
      </c>
      <c r="CH771" s="510">
        <v>0</v>
      </c>
      <c r="CI771" s="1011">
        <v>0</v>
      </c>
    </row>
    <row r="772" spans="1:87" x14ac:dyDescent="0.2">
      <c r="A772" s="449">
        <v>87</v>
      </c>
      <c r="B772" s="453">
        <v>92606</v>
      </c>
      <c r="C772" s="454" t="s">
        <v>7093</v>
      </c>
      <c r="D772" s="454" t="s">
        <v>1390</v>
      </c>
      <c r="E772" s="454" t="s">
        <v>7094</v>
      </c>
      <c r="F772" s="454" t="s">
        <v>513</v>
      </c>
      <c r="G772" s="454" t="s">
        <v>13605</v>
      </c>
      <c r="H772" s="455">
        <v>55803811000112</v>
      </c>
      <c r="I772" s="462">
        <v>31567</v>
      </c>
      <c r="J772" s="457">
        <v>37532677</v>
      </c>
      <c r="K772" s="454" t="s">
        <v>7095</v>
      </c>
      <c r="L772" s="458">
        <v>791</v>
      </c>
      <c r="M772" s="454" t="s">
        <v>7052</v>
      </c>
      <c r="N772" s="459">
        <v>3526860</v>
      </c>
      <c r="O772" s="460">
        <v>27020526</v>
      </c>
      <c r="P772" s="462">
        <v>151087</v>
      </c>
      <c r="Q772" s="462">
        <v>87</v>
      </c>
      <c r="R772" s="462">
        <v>43937</v>
      </c>
      <c r="S772" s="463">
        <v>268</v>
      </c>
      <c r="T772" s="464">
        <v>3.6</v>
      </c>
      <c r="U772" s="465">
        <v>964.8</v>
      </c>
      <c r="V772" s="465">
        <v>12240</v>
      </c>
      <c r="W772" s="466">
        <v>0</v>
      </c>
      <c r="X772" s="467">
        <v>1</v>
      </c>
      <c r="Y772" s="466">
        <v>19807.2</v>
      </c>
      <c r="Z772" s="468" t="s">
        <v>516</v>
      </c>
      <c r="AA772" s="466">
        <v>91108.800000000003</v>
      </c>
      <c r="AB772" s="466">
        <v>91108.800000000003</v>
      </c>
      <c r="AC772" s="467">
        <v>0</v>
      </c>
      <c r="AD772" s="466">
        <v>0</v>
      </c>
      <c r="AE772" s="468" t="s">
        <v>516</v>
      </c>
      <c r="AF772" s="466">
        <v>0</v>
      </c>
      <c r="AG772" s="466">
        <v>0</v>
      </c>
      <c r="AH772" s="466">
        <v>36159.03</v>
      </c>
      <c r="AI772" s="466">
        <v>3961.44</v>
      </c>
      <c r="AJ772" s="469" t="s">
        <v>1972</v>
      </c>
      <c r="AK772" s="470" t="s">
        <v>1973</v>
      </c>
      <c r="AL772" s="471" t="s">
        <v>7096</v>
      </c>
      <c r="AM772" s="470" t="s">
        <v>7097</v>
      </c>
      <c r="AN772" s="470" t="s">
        <v>1385</v>
      </c>
      <c r="AO772" s="470" t="s">
        <v>7098</v>
      </c>
      <c r="AP772" s="470" t="s">
        <v>7099</v>
      </c>
      <c r="AQ772" s="470" t="s">
        <v>7093</v>
      </c>
      <c r="AR772" s="472" t="s">
        <v>515</v>
      </c>
      <c r="AS772" s="473" t="s">
        <v>1385</v>
      </c>
      <c r="AT772" s="472" t="s">
        <v>1390</v>
      </c>
      <c r="AU772" s="472" t="s">
        <v>420</v>
      </c>
      <c r="AV772" s="472">
        <v>2020</v>
      </c>
      <c r="AW772" s="474" t="s">
        <v>15078</v>
      </c>
      <c r="AX772" s="475" t="s">
        <v>15079</v>
      </c>
      <c r="AY772" s="515">
        <v>1</v>
      </c>
      <c r="AZ772" s="474" t="s">
        <v>15079</v>
      </c>
      <c r="BA772" s="472" t="s">
        <v>1390</v>
      </c>
      <c r="BB772" s="472" t="s">
        <v>1385</v>
      </c>
      <c r="BC772" s="472" t="s">
        <v>1385</v>
      </c>
      <c r="BD772" s="472" t="s">
        <v>1385</v>
      </c>
      <c r="BE772" s="472" t="s">
        <v>1385</v>
      </c>
      <c r="BF772" s="472">
        <v>19807.2</v>
      </c>
      <c r="BG772" s="472">
        <v>0</v>
      </c>
      <c r="BH772" s="472" t="s">
        <v>1385</v>
      </c>
      <c r="BI772" s="510">
        <v>0</v>
      </c>
      <c r="BJ772" s="510">
        <v>0</v>
      </c>
      <c r="BK772" s="510">
        <v>0</v>
      </c>
      <c r="BL772" s="510">
        <v>0</v>
      </c>
      <c r="BM772" s="510">
        <v>0</v>
      </c>
      <c r="BN772" s="510">
        <v>3500</v>
      </c>
      <c r="BO772" s="510">
        <v>0</v>
      </c>
      <c r="BP772" s="510">
        <v>0</v>
      </c>
      <c r="BQ772" s="510">
        <v>0</v>
      </c>
      <c r="BR772" s="510">
        <v>0</v>
      </c>
      <c r="BS772" s="510">
        <v>0</v>
      </c>
      <c r="BT772" s="510">
        <v>0</v>
      </c>
      <c r="BU772" s="510">
        <v>0</v>
      </c>
      <c r="BV772" s="510">
        <v>0</v>
      </c>
      <c r="BW772" s="510">
        <v>0</v>
      </c>
      <c r="BX772" s="510">
        <v>30000</v>
      </c>
      <c r="BY772" s="1011">
        <v>0</v>
      </c>
      <c r="BZ772" s="510">
        <v>0</v>
      </c>
      <c r="CA772" s="1011">
        <v>0</v>
      </c>
      <c r="CB772" s="510">
        <v>0</v>
      </c>
      <c r="CC772" s="1011">
        <v>0</v>
      </c>
      <c r="CD772" s="510">
        <v>0</v>
      </c>
      <c r="CE772" s="1011">
        <v>0</v>
      </c>
      <c r="CF772" s="510">
        <v>41301.599999999999</v>
      </c>
      <c r="CG772" s="1011">
        <v>0</v>
      </c>
      <c r="CH772" s="510">
        <v>0</v>
      </c>
      <c r="CI772" s="1011">
        <v>0</v>
      </c>
    </row>
    <row r="773" spans="1:87" x14ac:dyDescent="0.2">
      <c r="A773" s="449">
        <v>94</v>
      </c>
      <c r="B773" s="453">
        <v>92614</v>
      </c>
      <c r="C773" s="454" t="s">
        <v>7100</v>
      </c>
      <c r="D773" s="454" t="s">
        <v>1390</v>
      </c>
      <c r="E773" s="454" t="s">
        <v>7101</v>
      </c>
      <c r="F773" s="454" t="s">
        <v>513</v>
      </c>
      <c r="G773" s="454" t="s">
        <v>13606</v>
      </c>
      <c r="H773" s="455">
        <v>56573009000146</v>
      </c>
      <c r="I773" s="462">
        <v>31714</v>
      </c>
      <c r="J773" s="457">
        <v>37532278</v>
      </c>
      <c r="K773" s="454" t="s">
        <v>7102</v>
      </c>
      <c r="L773" s="458">
        <v>191</v>
      </c>
      <c r="M773" s="454" t="s">
        <v>7103</v>
      </c>
      <c r="N773" s="459">
        <v>3977360</v>
      </c>
      <c r="O773" s="460">
        <v>29196446</v>
      </c>
      <c r="P773" s="462">
        <v>151397</v>
      </c>
      <c r="Q773" s="462">
        <v>94</v>
      </c>
      <c r="R773" s="462">
        <v>43937</v>
      </c>
      <c r="S773" s="463">
        <v>265</v>
      </c>
      <c r="T773" s="464">
        <v>3.6</v>
      </c>
      <c r="U773" s="465">
        <v>954</v>
      </c>
      <c r="V773" s="465">
        <v>12240</v>
      </c>
      <c r="W773" s="466">
        <v>0</v>
      </c>
      <c r="X773" s="467">
        <v>1</v>
      </c>
      <c r="Y773" s="466">
        <v>19791</v>
      </c>
      <c r="Z773" s="468" t="s">
        <v>516</v>
      </c>
      <c r="AA773" s="466">
        <v>91344.6</v>
      </c>
      <c r="AB773" s="466">
        <v>91344.6</v>
      </c>
      <c r="AC773" s="467">
        <v>0</v>
      </c>
      <c r="AD773" s="466">
        <v>0</v>
      </c>
      <c r="AE773" s="468" t="s">
        <v>516</v>
      </c>
      <c r="AF773" s="466">
        <v>0</v>
      </c>
      <c r="AG773" s="466">
        <v>0</v>
      </c>
      <c r="AH773" s="466">
        <v>9917.5499999999993</v>
      </c>
      <c r="AI773" s="466">
        <v>5147.43</v>
      </c>
      <c r="AJ773" s="469" t="s">
        <v>2030</v>
      </c>
      <c r="AK773" s="470" t="s">
        <v>513</v>
      </c>
      <c r="AL773" s="471" t="s">
        <v>6363</v>
      </c>
      <c r="AM773" s="470" t="s">
        <v>7104</v>
      </c>
      <c r="AN773" s="470" t="s">
        <v>1385</v>
      </c>
      <c r="AO773" s="470" t="s">
        <v>7105</v>
      </c>
      <c r="AP773" s="470" t="s">
        <v>7106</v>
      </c>
      <c r="AQ773" s="470" t="s">
        <v>7100</v>
      </c>
      <c r="AR773" s="472" t="s">
        <v>515</v>
      </c>
      <c r="AS773" s="473" t="s">
        <v>1385</v>
      </c>
      <c r="AT773" s="472" t="s">
        <v>1390</v>
      </c>
      <c r="AU773" s="472" t="s">
        <v>420</v>
      </c>
      <c r="AV773" s="472">
        <v>2020</v>
      </c>
      <c r="AW773" s="474" t="s">
        <v>15078</v>
      </c>
      <c r="AX773" s="475" t="s">
        <v>15079</v>
      </c>
      <c r="AY773" s="515">
        <v>1</v>
      </c>
      <c r="AZ773" s="474" t="s">
        <v>15079</v>
      </c>
      <c r="BA773" s="472" t="s">
        <v>1390</v>
      </c>
      <c r="BB773" s="472" t="s">
        <v>1385</v>
      </c>
      <c r="BC773" s="472" t="s">
        <v>1385</v>
      </c>
      <c r="BD773" s="472" t="s">
        <v>1385</v>
      </c>
      <c r="BE773" s="472" t="s">
        <v>1385</v>
      </c>
      <c r="BF773" s="472">
        <v>19791</v>
      </c>
      <c r="BG773" s="472">
        <v>0</v>
      </c>
      <c r="BH773" s="472" t="s">
        <v>1385</v>
      </c>
      <c r="BI773" s="510">
        <v>0</v>
      </c>
      <c r="BJ773" s="510">
        <v>0</v>
      </c>
      <c r="BK773" s="510">
        <v>0</v>
      </c>
      <c r="BL773" s="510">
        <v>0</v>
      </c>
      <c r="BM773" s="510">
        <v>0</v>
      </c>
      <c r="BN773" s="510">
        <v>3500</v>
      </c>
      <c r="BO773" s="510">
        <v>0</v>
      </c>
      <c r="BP773" s="510">
        <v>0</v>
      </c>
      <c r="BQ773" s="510">
        <v>0</v>
      </c>
      <c r="BR773" s="510">
        <v>0</v>
      </c>
      <c r="BS773" s="510">
        <v>0</v>
      </c>
      <c r="BT773" s="510">
        <v>0</v>
      </c>
      <c r="BU773" s="510">
        <v>0</v>
      </c>
      <c r="BV773" s="510">
        <v>0</v>
      </c>
      <c r="BW773" s="510">
        <v>0</v>
      </c>
      <c r="BX773" s="510">
        <v>30000</v>
      </c>
      <c r="BY773" s="1011">
        <v>0</v>
      </c>
      <c r="BZ773" s="510">
        <v>0</v>
      </c>
      <c r="CA773" s="1011">
        <v>0</v>
      </c>
      <c r="CB773" s="510">
        <v>0</v>
      </c>
      <c r="CC773" s="1011">
        <v>0</v>
      </c>
      <c r="CD773" s="510">
        <v>0</v>
      </c>
      <c r="CE773" s="1011">
        <v>0</v>
      </c>
      <c r="CF773" s="510">
        <v>41553.599999999999</v>
      </c>
      <c r="CG773" s="1011">
        <v>0</v>
      </c>
      <c r="CH773" s="510">
        <v>0</v>
      </c>
      <c r="CI773" s="1011">
        <v>0</v>
      </c>
    </row>
    <row r="774" spans="1:87" x14ac:dyDescent="0.2">
      <c r="A774" s="449">
        <v>38</v>
      </c>
      <c r="B774" s="453">
        <v>92622</v>
      </c>
      <c r="C774" s="454" t="s">
        <v>7107</v>
      </c>
      <c r="D774" s="454" t="s">
        <v>517</v>
      </c>
      <c r="E774" s="454" t="s">
        <v>7108</v>
      </c>
      <c r="F774" s="454" t="s">
        <v>513</v>
      </c>
      <c r="G774" s="454" t="s">
        <v>13607</v>
      </c>
      <c r="H774" s="455">
        <v>52804770000190</v>
      </c>
      <c r="I774" s="462">
        <v>30543</v>
      </c>
      <c r="J774" s="457">
        <v>37531786</v>
      </c>
      <c r="K774" s="454" t="s">
        <v>7109</v>
      </c>
      <c r="L774" s="458">
        <v>39</v>
      </c>
      <c r="M774" s="454" t="s">
        <v>7110</v>
      </c>
      <c r="N774" s="459">
        <v>3980050</v>
      </c>
      <c r="O774" s="460">
        <v>27020953</v>
      </c>
      <c r="P774" s="462">
        <v>149619</v>
      </c>
      <c r="Q774" s="462">
        <v>38</v>
      </c>
      <c r="R774" s="462">
        <v>43937</v>
      </c>
      <c r="S774" s="463">
        <v>596</v>
      </c>
      <c r="T774" s="464">
        <v>5.4</v>
      </c>
      <c r="U774" s="465">
        <v>3218.4</v>
      </c>
      <c r="V774" s="465">
        <v>17100</v>
      </c>
      <c r="W774" s="466">
        <v>0</v>
      </c>
      <c r="X774" s="467">
        <v>1</v>
      </c>
      <c r="Y774" s="466">
        <v>30477.599999999999</v>
      </c>
      <c r="Z774" s="468" t="s">
        <v>516</v>
      </c>
      <c r="AA774" s="466">
        <v>123038.8</v>
      </c>
      <c r="AB774" s="466">
        <v>123038.8</v>
      </c>
      <c r="AC774" s="467">
        <v>0</v>
      </c>
      <c r="AD774" s="466">
        <v>0</v>
      </c>
      <c r="AE774" s="468" t="s">
        <v>516</v>
      </c>
      <c r="AF774" s="466">
        <v>2000</v>
      </c>
      <c r="AG774" s="466">
        <v>2000</v>
      </c>
      <c r="AH774" s="466">
        <v>15642.41</v>
      </c>
      <c r="AI774" s="466">
        <v>4063.68</v>
      </c>
      <c r="AJ774" s="469" t="s">
        <v>6995</v>
      </c>
      <c r="AK774" s="470" t="s">
        <v>6994</v>
      </c>
      <c r="AL774" s="471" t="s">
        <v>7111</v>
      </c>
      <c r="AM774" s="470" t="s">
        <v>13608</v>
      </c>
      <c r="AN774" s="470" t="s">
        <v>7112</v>
      </c>
      <c r="AO774" s="470" t="s">
        <v>7113</v>
      </c>
      <c r="AP774" s="470" t="s">
        <v>7114</v>
      </c>
      <c r="AQ774" s="470" t="s">
        <v>7107</v>
      </c>
      <c r="AR774" s="472" t="s">
        <v>515</v>
      </c>
      <c r="AS774" s="473" t="s">
        <v>1385</v>
      </c>
      <c r="AT774" s="472" t="s">
        <v>517</v>
      </c>
      <c r="AU774" s="472" t="s">
        <v>420</v>
      </c>
      <c r="AV774" s="472">
        <v>2020</v>
      </c>
      <c r="AW774" s="474" t="s">
        <v>15078</v>
      </c>
      <c r="AX774" s="475" t="s">
        <v>15079</v>
      </c>
      <c r="AY774" s="515">
        <v>1</v>
      </c>
      <c r="AZ774" s="474" t="s">
        <v>15079</v>
      </c>
      <c r="BA774" s="472" t="s">
        <v>517</v>
      </c>
      <c r="BB774" s="472" t="s">
        <v>1385</v>
      </c>
      <c r="BC774" s="472" t="s">
        <v>1385</v>
      </c>
      <c r="BD774" s="472" t="s">
        <v>1385</v>
      </c>
      <c r="BE774" s="472" t="s">
        <v>1385</v>
      </c>
      <c r="BF774" s="472">
        <v>30477.599999999999</v>
      </c>
      <c r="BG774" s="472">
        <v>0</v>
      </c>
      <c r="BH774" s="472" t="s">
        <v>1385</v>
      </c>
      <c r="BI774" s="510">
        <v>0</v>
      </c>
      <c r="BJ774" s="510">
        <v>0</v>
      </c>
      <c r="BK774" s="510">
        <v>0</v>
      </c>
      <c r="BL774" s="510">
        <v>913.28</v>
      </c>
      <c r="BM774" s="510">
        <v>0</v>
      </c>
      <c r="BN774" s="510">
        <v>3500</v>
      </c>
      <c r="BO774" s="510">
        <v>0</v>
      </c>
      <c r="BP774" s="510">
        <v>2000</v>
      </c>
      <c r="BQ774" s="510">
        <v>0</v>
      </c>
      <c r="BR774" s="510">
        <v>0</v>
      </c>
      <c r="BS774" s="510">
        <v>0</v>
      </c>
      <c r="BT774" s="510">
        <v>0</v>
      </c>
      <c r="BU774" s="510">
        <v>2500</v>
      </c>
      <c r="BV774" s="510">
        <v>2500</v>
      </c>
      <c r="BW774" s="510">
        <v>0</v>
      </c>
      <c r="BX774" s="510">
        <v>30000</v>
      </c>
      <c r="BY774" s="1011">
        <v>0</v>
      </c>
      <c r="BZ774" s="510">
        <v>0</v>
      </c>
      <c r="CA774" s="1011">
        <v>0</v>
      </c>
      <c r="CB774" s="510">
        <v>22000</v>
      </c>
      <c r="CC774" s="1011">
        <v>0</v>
      </c>
      <c r="CD774" s="510">
        <v>0</v>
      </c>
      <c r="CE774" s="1011">
        <v>0</v>
      </c>
      <c r="CF774" s="510">
        <v>40561.199999999997</v>
      </c>
      <c r="CG774" s="1011">
        <v>0</v>
      </c>
      <c r="CH774" s="510">
        <v>0</v>
      </c>
      <c r="CI774" s="1011">
        <v>0</v>
      </c>
    </row>
    <row r="775" spans="1:87" x14ac:dyDescent="0.2">
      <c r="A775" s="449">
        <v>100</v>
      </c>
      <c r="B775" s="453">
        <v>92631</v>
      </c>
      <c r="C775" s="454" t="s">
        <v>7115</v>
      </c>
      <c r="D775" s="454" t="s">
        <v>1390</v>
      </c>
      <c r="E775" s="454" t="s">
        <v>7116</v>
      </c>
      <c r="F775" s="454" t="s">
        <v>513</v>
      </c>
      <c r="G775" s="454" t="s">
        <v>13609</v>
      </c>
      <c r="H775" s="455">
        <v>56098163000103</v>
      </c>
      <c r="I775" s="462">
        <v>31629</v>
      </c>
      <c r="J775" s="457">
        <v>37532022</v>
      </c>
      <c r="K775" s="454" t="s">
        <v>7117</v>
      </c>
      <c r="L775" s="458">
        <v>190</v>
      </c>
      <c r="M775" s="454" t="s">
        <v>7052</v>
      </c>
      <c r="N775" s="459">
        <v>3922040</v>
      </c>
      <c r="O775" s="460">
        <v>27516172</v>
      </c>
      <c r="P775" s="462">
        <v>151478</v>
      </c>
      <c r="Q775" s="462">
        <v>100</v>
      </c>
      <c r="R775" s="462">
        <v>43937</v>
      </c>
      <c r="S775" s="463">
        <v>520</v>
      </c>
      <c r="T775" s="464">
        <v>3.6</v>
      </c>
      <c r="U775" s="465">
        <v>1872</v>
      </c>
      <c r="V775" s="465">
        <v>16560</v>
      </c>
      <c r="W775" s="466">
        <v>0</v>
      </c>
      <c r="X775" s="467">
        <v>1</v>
      </c>
      <c r="Y775" s="466">
        <v>27648</v>
      </c>
      <c r="Z775" s="468" t="s">
        <v>516</v>
      </c>
      <c r="AA775" s="466">
        <v>109396.8</v>
      </c>
      <c r="AB775" s="466">
        <v>109396.8</v>
      </c>
      <c r="AC775" s="467">
        <v>0</v>
      </c>
      <c r="AD775" s="466">
        <v>0</v>
      </c>
      <c r="AE775" s="468" t="s">
        <v>516</v>
      </c>
      <c r="AF775" s="466">
        <v>0</v>
      </c>
      <c r="AG775" s="466">
        <v>0</v>
      </c>
      <c r="AH775" s="466">
        <v>27164.98</v>
      </c>
      <c r="AI775" s="466">
        <v>9142.6299999999992</v>
      </c>
      <c r="AJ775" s="469" t="s">
        <v>1972</v>
      </c>
      <c r="AK775" s="470" t="s">
        <v>1973</v>
      </c>
      <c r="AL775" s="471" t="s">
        <v>7118</v>
      </c>
      <c r="AM775" s="470" t="s">
        <v>7119</v>
      </c>
      <c r="AN775" s="470" t="s">
        <v>1385</v>
      </c>
      <c r="AO775" s="470" t="s">
        <v>7120</v>
      </c>
      <c r="AP775" s="470" t="s">
        <v>7121</v>
      </c>
      <c r="AQ775" s="470" t="s">
        <v>7115</v>
      </c>
      <c r="AR775" s="472" t="s">
        <v>515</v>
      </c>
      <c r="AS775" s="473" t="s">
        <v>1385</v>
      </c>
      <c r="AT775" s="472" t="s">
        <v>1390</v>
      </c>
      <c r="AU775" s="472" t="s">
        <v>420</v>
      </c>
      <c r="AV775" s="472">
        <v>2020</v>
      </c>
      <c r="AW775" s="474" t="s">
        <v>15078</v>
      </c>
      <c r="AX775" s="475" t="s">
        <v>15079</v>
      </c>
      <c r="AY775" s="515">
        <v>1</v>
      </c>
      <c r="AZ775" s="474" t="s">
        <v>15079</v>
      </c>
      <c r="BA775" s="472" t="s">
        <v>1390</v>
      </c>
      <c r="BB775" s="472" t="s">
        <v>1385</v>
      </c>
      <c r="BC775" s="472" t="s">
        <v>1385</v>
      </c>
      <c r="BD775" s="472" t="s">
        <v>1385</v>
      </c>
      <c r="BE775" s="472" t="s">
        <v>1385</v>
      </c>
      <c r="BF775" s="472">
        <v>27648</v>
      </c>
      <c r="BG775" s="472">
        <v>0</v>
      </c>
      <c r="BH775" s="472" t="s">
        <v>1385</v>
      </c>
      <c r="BI775" s="510">
        <v>0</v>
      </c>
      <c r="BJ775" s="510">
        <v>0</v>
      </c>
      <c r="BK775" s="510">
        <v>0</v>
      </c>
      <c r="BL775" s="510">
        <v>0</v>
      </c>
      <c r="BM775" s="510">
        <v>0</v>
      </c>
      <c r="BN775" s="510">
        <v>4000</v>
      </c>
      <c r="BO775" s="510">
        <v>0</v>
      </c>
      <c r="BP775" s="510">
        <v>0</v>
      </c>
      <c r="BQ775" s="510">
        <v>0</v>
      </c>
      <c r="BR775" s="510">
        <v>0</v>
      </c>
      <c r="BS775" s="510">
        <v>0</v>
      </c>
      <c r="BT775" s="510">
        <v>0</v>
      </c>
      <c r="BU775" s="510">
        <v>0</v>
      </c>
      <c r="BV775" s="510">
        <v>0</v>
      </c>
      <c r="BW775" s="510">
        <v>0</v>
      </c>
      <c r="BX775" s="510">
        <v>30000</v>
      </c>
      <c r="BY775" s="1011">
        <v>0</v>
      </c>
      <c r="BZ775" s="510">
        <v>0</v>
      </c>
      <c r="CA775" s="1011">
        <v>0</v>
      </c>
      <c r="CB775" s="510">
        <v>0</v>
      </c>
      <c r="CC775" s="1011">
        <v>0</v>
      </c>
      <c r="CD775" s="510">
        <v>0</v>
      </c>
      <c r="CE775" s="1011">
        <v>0</v>
      </c>
      <c r="CF775" s="510">
        <v>51748.800000000003</v>
      </c>
      <c r="CG775" s="1011">
        <v>0</v>
      </c>
      <c r="CH775" s="510">
        <v>0</v>
      </c>
      <c r="CI775" s="1011">
        <v>0</v>
      </c>
    </row>
    <row r="776" spans="1:87" x14ac:dyDescent="0.2">
      <c r="A776" s="449">
        <v>99</v>
      </c>
      <c r="B776" s="453">
        <v>92649</v>
      </c>
      <c r="C776" s="454" t="s">
        <v>7122</v>
      </c>
      <c r="D776" s="454" t="s">
        <v>1390</v>
      </c>
      <c r="E776" s="454" t="s">
        <v>7123</v>
      </c>
      <c r="F776" s="454" t="s">
        <v>513</v>
      </c>
      <c r="G776" s="454" t="s">
        <v>13610</v>
      </c>
      <c r="H776" s="455">
        <v>57124646000106</v>
      </c>
      <c r="I776" s="462">
        <v>31846</v>
      </c>
      <c r="J776" s="457">
        <v>37532081</v>
      </c>
      <c r="K776" s="454" t="s">
        <v>7124</v>
      </c>
      <c r="L776" s="458">
        <v>298</v>
      </c>
      <c r="M776" s="454" t="s">
        <v>7052</v>
      </c>
      <c r="N776" s="459">
        <v>3928220</v>
      </c>
      <c r="O776" s="460">
        <v>27020604</v>
      </c>
      <c r="P776" s="462">
        <v>151451</v>
      </c>
      <c r="Q776" s="462">
        <v>99</v>
      </c>
      <c r="R776" s="462">
        <v>43937</v>
      </c>
      <c r="S776" s="463">
        <v>227</v>
      </c>
      <c r="T776" s="464">
        <v>3.6</v>
      </c>
      <c r="U776" s="465">
        <v>817.2</v>
      </c>
      <c r="V776" s="465">
        <v>12240</v>
      </c>
      <c r="W776" s="466">
        <v>0</v>
      </c>
      <c r="X776" s="467">
        <v>1</v>
      </c>
      <c r="Y776" s="466">
        <v>19585.8</v>
      </c>
      <c r="Z776" s="468" t="s">
        <v>516</v>
      </c>
      <c r="AA776" s="466">
        <v>90837</v>
      </c>
      <c r="AB776" s="466">
        <v>90837</v>
      </c>
      <c r="AC776" s="467">
        <v>0</v>
      </c>
      <c r="AD776" s="466">
        <v>0</v>
      </c>
      <c r="AE776" s="468" t="s">
        <v>516</v>
      </c>
      <c r="AF776" s="466">
        <v>0</v>
      </c>
      <c r="AG776" s="466">
        <v>0</v>
      </c>
      <c r="AH776" s="466">
        <v>13056.43</v>
      </c>
      <c r="AI776" s="466">
        <v>3917.16</v>
      </c>
      <c r="AJ776" s="469" t="s">
        <v>2136</v>
      </c>
      <c r="AK776" s="470" t="s">
        <v>2339</v>
      </c>
      <c r="AL776" s="471" t="s">
        <v>7125</v>
      </c>
      <c r="AM776" s="470" t="s">
        <v>13611</v>
      </c>
      <c r="AN776" s="470" t="s">
        <v>1385</v>
      </c>
      <c r="AO776" s="470" t="s">
        <v>7126</v>
      </c>
      <c r="AP776" s="470" t="s">
        <v>7127</v>
      </c>
      <c r="AQ776" s="470" t="s">
        <v>7122</v>
      </c>
      <c r="AR776" s="472" t="s">
        <v>515</v>
      </c>
      <c r="AS776" s="473" t="s">
        <v>1385</v>
      </c>
      <c r="AT776" s="472" t="s">
        <v>1390</v>
      </c>
      <c r="AU776" s="472" t="s">
        <v>420</v>
      </c>
      <c r="AV776" s="472">
        <v>2020</v>
      </c>
      <c r="AW776" s="474" t="s">
        <v>15078</v>
      </c>
      <c r="AX776" s="475" t="s">
        <v>15079</v>
      </c>
      <c r="AY776" s="515">
        <v>1</v>
      </c>
      <c r="AZ776" s="474" t="s">
        <v>15079</v>
      </c>
      <c r="BA776" s="472" t="s">
        <v>1390</v>
      </c>
      <c r="BB776" s="472" t="s">
        <v>1385</v>
      </c>
      <c r="BC776" s="472" t="s">
        <v>1385</v>
      </c>
      <c r="BD776" s="472" t="s">
        <v>1385</v>
      </c>
      <c r="BE776" s="472" t="s">
        <v>1385</v>
      </c>
      <c r="BF776" s="472">
        <v>19585.8</v>
      </c>
      <c r="BG776" s="472">
        <v>0</v>
      </c>
      <c r="BH776" s="472" t="s">
        <v>1385</v>
      </c>
      <c r="BI776" s="510">
        <v>0</v>
      </c>
      <c r="BJ776" s="510">
        <v>0</v>
      </c>
      <c r="BK776" s="510">
        <v>0</v>
      </c>
      <c r="BL776" s="510">
        <v>0</v>
      </c>
      <c r="BM776" s="510">
        <v>0</v>
      </c>
      <c r="BN776" s="510">
        <v>3000</v>
      </c>
      <c r="BO776" s="510">
        <v>0</v>
      </c>
      <c r="BP776" s="510">
        <v>0</v>
      </c>
      <c r="BQ776" s="510">
        <v>0</v>
      </c>
      <c r="BR776" s="510">
        <v>0</v>
      </c>
      <c r="BS776" s="510">
        <v>0</v>
      </c>
      <c r="BT776" s="510">
        <v>0</v>
      </c>
      <c r="BU776" s="510">
        <v>0</v>
      </c>
      <c r="BV776" s="510">
        <v>0</v>
      </c>
      <c r="BW776" s="510">
        <v>0</v>
      </c>
      <c r="BX776" s="510">
        <v>30000</v>
      </c>
      <c r="BY776" s="1011">
        <v>0</v>
      </c>
      <c r="BZ776" s="510">
        <v>0</v>
      </c>
      <c r="CA776" s="1011">
        <v>0</v>
      </c>
      <c r="CB776" s="510">
        <v>0</v>
      </c>
      <c r="CC776" s="1011">
        <v>0</v>
      </c>
      <c r="CD776" s="510">
        <v>0</v>
      </c>
      <c r="CE776" s="1011">
        <v>0</v>
      </c>
      <c r="CF776" s="510">
        <v>41251.199999999997</v>
      </c>
      <c r="CG776" s="1011">
        <v>0</v>
      </c>
      <c r="CH776" s="510">
        <v>0</v>
      </c>
      <c r="CI776" s="1011">
        <v>0</v>
      </c>
    </row>
    <row r="777" spans="1:87" x14ac:dyDescent="0.2">
      <c r="A777" s="449">
        <v>121</v>
      </c>
      <c r="B777" s="453">
        <v>92657</v>
      </c>
      <c r="C777" s="454" t="s">
        <v>7128</v>
      </c>
      <c r="D777" s="454" t="s">
        <v>1390</v>
      </c>
      <c r="E777" s="454" t="s">
        <v>7129</v>
      </c>
      <c r="F777" s="454" t="s">
        <v>513</v>
      </c>
      <c r="G777" s="454" t="s">
        <v>13612</v>
      </c>
      <c r="H777" s="455">
        <v>57185027000113</v>
      </c>
      <c r="I777" s="462">
        <v>31855</v>
      </c>
      <c r="J777" s="457">
        <v>37531530</v>
      </c>
      <c r="K777" s="454" t="s">
        <v>7130</v>
      </c>
      <c r="L777" s="458">
        <v>180</v>
      </c>
      <c r="M777" s="454" t="s">
        <v>7052</v>
      </c>
      <c r="N777" s="459">
        <v>3928130</v>
      </c>
      <c r="O777" s="460">
        <v>27043178</v>
      </c>
      <c r="P777" s="462">
        <v>154191</v>
      </c>
      <c r="Q777" s="462">
        <v>121</v>
      </c>
      <c r="R777" s="462">
        <v>43937</v>
      </c>
      <c r="S777" s="463">
        <v>326</v>
      </c>
      <c r="T777" s="464">
        <v>3.6</v>
      </c>
      <c r="U777" s="465">
        <v>1173.5999999999999</v>
      </c>
      <c r="V777" s="465">
        <v>13680</v>
      </c>
      <c r="W777" s="466">
        <v>0</v>
      </c>
      <c r="X777" s="467">
        <v>1</v>
      </c>
      <c r="Y777" s="466">
        <v>0</v>
      </c>
      <c r="Z777" s="468" t="s">
        <v>514</v>
      </c>
      <c r="AA777" s="466">
        <v>0</v>
      </c>
      <c r="AB777" s="466">
        <v>0</v>
      </c>
      <c r="AC777" s="467">
        <v>0</v>
      </c>
      <c r="AD777" s="466">
        <v>0</v>
      </c>
      <c r="AE777" s="468" t="s">
        <v>516</v>
      </c>
      <c r="AF777" s="466">
        <v>0</v>
      </c>
      <c r="AG777" s="466">
        <v>0</v>
      </c>
      <c r="AH777" s="466">
        <v>319.41000000000003</v>
      </c>
      <c r="AI777" s="466">
        <v>3967.48</v>
      </c>
      <c r="AJ777" s="469" t="s">
        <v>3969</v>
      </c>
      <c r="AK777" s="470" t="s">
        <v>6698</v>
      </c>
      <c r="AL777" s="471" t="s">
        <v>7131</v>
      </c>
      <c r="AM777" s="470" t="s">
        <v>7132</v>
      </c>
      <c r="AN777" s="470" t="s">
        <v>7133</v>
      </c>
      <c r="AO777" s="470" t="s">
        <v>7134</v>
      </c>
      <c r="AP777" s="470" t="s">
        <v>7135</v>
      </c>
      <c r="AQ777" s="470" t="s">
        <v>7128</v>
      </c>
      <c r="AR777" s="472" t="s">
        <v>515</v>
      </c>
      <c r="AS777" s="473" t="s">
        <v>1385</v>
      </c>
      <c r="AT777" s="472" t="s">
        <v>1390</v>
      </c>
      <c r="AU777" s="472" t="s">
        <v>420</v>
      </c>
      <c r="AV777" s="472">
        <v>2020</v>
      </c>
      <c r="AW777" s="474" t="s">
        <v>15078</v>
      </c>
      <c r="AX777" s="475" t="s">
        <v>15079</v>
      </c>
      <c r="AY777" s="515">
        <v>1</v>
      </c>
      <c r="AZ777" s="474" t="s">
        <v>15079</v>
      </c>
      <c r="BA777" s="472" t="s">
        <v>1385</v>
      </c>
      <c r="BB777" s="472" t="s">
        <v>1385</v>
      </c>
      <c r="BC777" s="472" t="s">
        <v>1385</v>
      </c>
      <c r="BD777" s="472" t="s">
        <v>1385</v>
      </c>
      <c r="BE777" s="472" t="s">
        <v>1385</v>
      </c>
      <c r="BF777" s="472">
        <v>22280.400000000001</v>
      </c>
      <c r="BG777" s="472">
        <v>0</v>
      </c>
      <c r="BH777" s="472" t="s">
        <v>516</v>
      </c>
      <c r="BI777" s="510">
        <v>0</v>
      </c>
      <c r="BJ777" s="510">
        <v>0</v>
      </c>
      <c r="BK777" s="510">
        <v>0</v>
      </c>
      <c r="BL777" s="510">
        <v>0</v>
      </c>
      <c r="BM777" s="510">
        <v>0</v>
      </c>
      <c r="BN777" s="510">
        <v>0</v>
      </c>
      <c r="BO777" s="510">
        <v>0</v>
      </c>
      <c r="BP777" s="510">
        <v>0</v>
      </c>
      <c r="BQ777" s="510">
        <v>0</v>
      </c>
      <c r="BR777" s="510">
        <v>0</v>
      </c>
      <c r="BS777" s="510">
        <v>0</v>
      </c>
      <c r="BT777" s="510">
        <v>0</v>
      </c>
      <c r="BU777" s="510">
        <v>0</v>
      </c>
      <c r="BV777" s="510">
        <v>0</v>
      </c>
      <c r="BW777" s="510">
        <v>0</v>
      </c>
      <c r="BX777" s="510">
        <v>0</v>
      </c>
      <c r="BY777" s="1011">
        <v>0</v>
      </c>
      <c r="BZ777" s="510">
        <v>0</v>
      </c>
      <c r="CA777" s="1011">
        <v>0</v>
      </c>
      <c r="CB777" s="510">
        <v>0</v>
      </c>
      <c r="CC777" s="1011">
        <v>0</v>
      </c>
      <c r="CD777" s="510">
        <v>0</v>
      </c>
      <c r="CE777" s="1011">
        <v>0</v>
      </c>
      <c r="CF777" s="510">
        <v>0</v>
      </c>
      <c r="CG777" s="1011">
        <v>0</v>
      </c>
      <c r="CH777" s="510">
        <v>0</v>
      </c>
      <c r="CI777" s="1011">
        <v>0</v>
      </c>
    </row>
    <row r="778" spans="1:87" x14ac:dyDescent="0.2">
      <c r="A778" s="449">
        <v>95</v>
      </c>
      <c r="B778" s="453">
        <v>92665</v>
      </c>
      <c r="C778" s="454" t="s">
        <v>7136</v>
      </c>
      <c r="D778" s="454" t="s">
        <v>1390</v>
      </c>
      <c r="E778" s="454" t="s">
        <v>7137</v>
      </c>
      <c r="F778" s="454" t="s">
        <v>513</v>
      </c>
      <c r="G778" s="454" t="s">
        <v>13613</v>
      </c>
      <c r="H778" s="455">
        <v>57283483000104</v>
      </c>
      <c r="I778" s="462">
        <v>31866</v>
      </c>
      <c r="J778" s="457">
        <v>37532294</v>
      </c>
      <c r="K778" s="454" t="s">
        <v>2876</v>
      </c>
      <c r="L778" s="458">
        <v>10</v>
      </c>
      <c r="M778" s="454" t="s">
        <v>2877</v>
      </c>
      <c r="N778" s="459">
        <v>8390000</v>
      </c>
      <c r="O778" s="460">
        <v>27517914</v>
      </c>
      <c r="P778" s="462">
        <v>151400</v>
      </c>
      <c r="Q778" s="462">
        <v>95</v>
      </c>
      <c r="R778" s="462">
        <v>43937</v>
      </c>
      <c r="S778" s="463">
        <v>411</v>
      </c>
      <c r="T778" s="464">
        <v>3.6</v>
      </c>
      <c r="U778" s="465">
        <v>1479.6</v>
      </c>
      <c r="V778" s="465">
        <v>15120</v>
      </c>
      <c r="W778" s="466">
        <v>0</v>
      </c>
      <c r="X778" s="467">
        <v>1</v>
      </c>
      <c r="Y778" s="466">
        <v>24899.4</v>
      </c>
      <c r="Z778" s="468" t="s">
        <v>516</v>
      </c>
      <c r="AA778" s="466">
        <v>118117</v>
      </c>
      <c r="AB778" s="466">
        <v>118117</v>
      </c>
      <c r="AC778" s="467">
        <v>0</v>
      </c>
      <c r="AD778" s="466">
        <v>0</v>
      </c>
      <c r="AE778" s="468" t="s">
        <v>516</v>
      </c>
      <c r="AF778" s="466">
        <v>0</v>
      </c>
      <c r="AG778" s="466">
        <v>0</v>
      </c>
      <c r="AH778" s="466">
        <v>13406.8</v>
      </c>
      <c r="AI778" s="466">
        <v>12088.04</v>
      </c>
      <c r="AJ778" s="469" t="s">
        <v>1560</v>
      </c>
      <c r="AK778" s="470" t="s">
        <v>1561</v>
      </c>
      <c r="AL778" s="471" t="s">
        <v>7138</v>
      </c>
      <c r="AM778" s="470" t="s">
        <v>7139</v>
      </c>
      <c r="AN778" s="470" t="s">
        <v>1385</v>
      </c>
      <c r="AO778" s="470" t="s">
        <v>7140</v>
      </c>
      <c r="AP778" s="470" t="s">
        <v>7141</v>
      </c>
      <c r="AQ778" s="470" t="s">
        <v>7136</v>
      </c>
      <c r="AR778" s="472" t="s">
        <v>515</v>
      </c>
      <c r="AS778" s="473" t="s">
        <v>1385</v>
      </c>
      <c r="AT778" s="472" t="s">
        <v>1390</v>
      </c>
      <c r="AU778" s="472" t="s">
        <v>420</v>
      </c>
      <c r="AV778" s="472">
        <v>2020</v>
      </c>
      <c r="AW778" s="474" t="s">
        <v>15078</v>
      </c>
      <c r="AX778" s="475" t="s">
        <v>15079</v>
      </c>
      <c r="AY778" s="515">
        <v>1</v>
      </c>
      <c r="AZ778" s="474" t="s">
        <v>15079</v>
      </c>
      <c r="BA778" s="472" t="s">
        <v>1390</v>
      </c>
      <c r="BB778" s="472" t="s">
        <v>1385</v>
      </c>
      <c r="BC778" s="472" t="s">
        <v>1385</v>
      </c>
      <c r="BD778" s="472" t="s">
        <v>1385</v>
      </c>
      <c r="BE778" s="472" t="s">
        <v>1385</v>
      </c>
      <c r="BF778" s="472">
        <v>24899.4</v>
      </c>
      <c r="BG778" s="472">
        <v>0</v>
      </c>
      <c r="BH778" s="472" t="s">
        <v>1385</v>
      </c>
      <c r="BI778" s="510">
        <v>0</v>
      </c>
      <c r="BJ778" s="510">
        <v>0</v>
      </c>
      <c r="BK778" s="510">
        <v>0</v>
      </c>
      <c r="BL778" s="510">
        <v>0</v>
      </c>
      <c r="BM778" s="510">
        <v>0</v>
      </c>
      <c r="BN778" s="510">
        <v>4000</v>
      </c>
      <c r="BO778" s="510">
        <v>0</v>
      </c>
      <c r="BP778" s="510">
        <v>0</v>
      </c>
      <c r="BQ778" s="510">
        <v>0</v>
      </c>
      <c r="BR778" s="510">
        <v>0</v>
      </c>
      <c r="BS778" s="510">
        <v>0</v>
      </c>
      <c r="BT778" s="510">
        <v>0</v>
      </c>
      <c r="BU778" s="510">
        <v>0</v>
      </c>
      <c r="BV778" s="510">
        <v>0</v>
      </c>
      <c r="BW778" s="510">
        <v>0</v>
      </c>
      <c r="BX778" s="510">
        <v>30000</v>
      </c>
      <c r="BY778" s="1011">
        <v>0</v>
      </c>
      <c r="BZ778" s="510">
        <v>0</v>
      </c>
      <c r="CA778" s="1011">
        <v>0</v>
      </c>
      <c r="CB778" s="510">
        <v>0</v>
      </c>
      <c r="CC778" s="1011">
        <v>0</v>
      </c>
      <c r="CD778" s="510">
        <v>0</v>
      </c>
      <c r="CE778" s="1011">
        <v>0</v>
      </c>
      <c r="CF778" s="510">
        <v>63217.599999999999</v>
      </c>
      <c r="CG778" s="1011">
        <v>0</v>
      </c>
      <c r="CH778" s="510">
        <v>0</v>
      </c>
      <c r="CI778" s="1011">
        <v>0</v>
      </c>
    </row>
    <row r="779" spans="1:87" x14ac:dyDescent="0.2">
      <c r="A779" s="449">
        <v>114</v>
      </c>
      <c r="B779" s="453">
        <v>92673</v>
      </c>
      <c r="C779" s="454" t="s">
        <v>7142</v>
      </c>
      <c r="D779" s="454" t="s">
        <v>1390</v>
      </c>
      <c r="E779" s="454" t="s">
        <v>7143</v>
      </c>
      <c r="F779" s="454" t="s">
        <v>513</v>
      </c>
      <c r="G779" s="454" t="s">
        <v>13614</v>
      </c>
      <c r="H779" s="455">
        <v>56094238000188</v>
      </c>
      <c r="I779" s="462">
        <v>31593</v>
      </c>
      <c r="J779" s="457">
        <v>37531190</v>
      </c>
      <c r="K779" s="454" t="s">
        <v>7144</v>
      </c>
      <c r="L779" s="458">
        <v>341</v>
      </c>
      <c r="M779" s="454" t="s">
        <v>7145</v>
      </c>
      <c r="N779" s="459">
        <v>3964020</v>
      </c>
      <c r="O779" s="460">
        <v>23196768</v>
      </c>
      <c r="P779" s="462">
        <v>151982</v>
      </c>
      <c r="Q779" s="462">
        <v>114</v>
      </c>
      <c r="R779" s="462">
        <v>43937</v>
      </c>
      <c r="S779" s="463">
        <v>395</v>
      </c>
      <c r="T779" s="464">
        <v>3.6</v>
      </c>
      <c r="U779" s="465">
        <v>1422</v>
      </c>
      <c r="V779" s="465">
        <v>13680</v>
      </c>
      <c r="W779" s="466">
        <v>0</v>
      </c>
      <c r="X779" s="467">
        <v>1</v>
      </c>
      <c r="Y779" s="466">
        <v>22653</v>
      </c>
      <c r="Z779" s="468" t="s">
        <v>516</v>
      </c>
      <c r="AA779" s="466">
        <v>100830.6</v>
      </c>
      <c r="AB779" s="466">
        <v>100830.6</v>
      </c>
      <c r="AC779" s="467">
        <v>0</v>
      </c>
      <c r="AD779" s="466">
        <v>0</v>
      </c>
      <c r="AE779" s="468" t="s">
        <v>516</v>
      </c>
      <c r="AF779" s="466">
        <v>0</v>
      </c>
      <c r="AG779" s="466">
        <v>0</v>
      </c>
      <c r="AH779" s="466">
        <v>37944.49</v>
      </c>
      <c r="AI779" s="466">
        <v>7338.71</v>
      </c>
      <c r="AJ779" s="469" t="s">
        <v>2030</v>
      </c>
      <c r="AK779" s="470" t="s">
        <v>513</v>
      </c>
      <c r="AL779" s="471" t="s">
        <v>7146</v>
      </c>
      <c r="AM779" s="470" t="s">
        <v>7147</v>
      </c>
      <c r="AN779" s="470" t="s">
        <v>7148</v>
      </c>
      <c r="AO779" s="470" t="s">
        <v>7149</v>
      </c>
      <c r="AP779" s="470" t="s">
        <v>7150</v>
      </c>
      <c r="AQ779" s="470" t="s">
        <v>7142</v>
      </c>
      <c r="AR779" s="472" t="s">
        <v>515</v>
      </c>
      <c r="AS779" s="473" t="s">
        <v>1385</v>
      </c>
      <c r="AT779" s="472" t="s">
        <v>1390</v>
      </c>
      <c r="AU779" s="472" t="s">
        <v>420</v>
      </c>
      <c r="AV779" s="472">
        <v>2020</v>
      </c>
      <c r="AW779" s="474" t="s">
        <v>15078</v>
      </c>
      <c r="AX779" s="475" t="s">
        <v>15079</v>
      </c>
      <c r="AY779" s="515">
        <v>1</v>
      </c>
      <c r="AZ779" s="474" t="s">
        <v>15079</v>
      </c>
      <c r="BA779" s="472" t="s">
        <v>1390</v>
      </c>
      <c r="BB779" s="472" t="s">
        <v>1385</v>
      </c>
      <c r="BC779" s="472" t="s">
        <v>1385</v>
      </c>
      <c r="BD779" s="472" t="s">
        <v>1385</v>
      </c>
      <c r="BE779" s="472" t="s">
        <v>1385</v>
      </c>
      <c r="BF779" s="472">
        <v>22653</v>
      </c>
      <c r="BG779" s="472">
        <v>0</v>
      </c>
      <c r="BH779" s="472" t="s">
        <v>1385</v>
      </c>
      <c r="BI779" s="510">
        <v>0</v>
      </c>
      <c r="BJ779" s="510">
        <v>5620.8</v>
      </c>
      <c r="BK779" s="510">
        <v>0</v>
      </c>
      <c r="BL779" s="510">
        <v>0</v>
      </c>
      <c r="BM779" s="510">
        <v>0</v>
      </c>
      <c r="BN779" s="510">
        <v>3500</v>
      </c>
      <c r="BO779" s="510">
        <v>0</v>
      </c>
      <c r="BP779" s="510">
        <v>0</v>
      </c>
      <c r="BQ779" s="510">
        <v>0</v>
      </c>
      <c r="BR779" s="510">
        <v>0</v>
      </c>
      <c r="BS779" s="510">
        <v>0</v>
      </c>
      <c r="BT779" s="510">
        <v>0</v>
      </c>
      <c r="BU779" s="510">
        <v>0</v>
      </c>
      <c r="BV779" s="510">
        <v>0</v>
      </c>
      <c r="BW779" s="510">
        <v>0</v>
      </c>
      <c r="BX779" s="510">
        <v>30000</v>
      </c>
      <c r="BY779" s="1011">
        <v>0</v>
      </c>
      <c r="BZ779" s="510">
        <v>0</v>
      </c>
      <c r="CA779" s="1011">
        <v>0</v>
      </c>
      <c r="CB779" s="510">
        <v>0</v>
      </c>
      <c r="CC779" s="1011">
        <v>0</v>
      </c>
      <c r="CD779" s="510">
        <v>0</v>
      </c>
      <c r="CE779" s="1011">
        <v>0</v>
      </c>
      <c r="CF779" s="510">
        <v>48177.599999999999</v>
      </c>
      <c r="CG779" s="1011">
        <v>0</v>
      </c>
      <c r="CH779" s="510">
        <v>0</v>
      </c>
      <c r="CI779" s="1011">
        <v>0</v>
      </c>
    </row>
    <row r="780" spans="1:87" x14ac:dyDescent="0.2">
      <c r="A780" s="449">
        <v>35</v>
      </c>
      <c r="B780" s="453">
        <v>92681</v>
      </c>
      <c r="C780" s="454" t="s">
        <v>7151</v>
      </c>
      <c r="D780" s="454" t="s">
        <v>517</v>
      </c>
      <c r="E780" s="454" t="s">
        <v>7152</v>
      </c>
      <c r="F780" s="454" t="s">
        <v>519</v>
      </c>
      <c r="G780" s="454" t="s">
        <v>13615</v>
      </c>
      <c r="H780" s="455">
        <v>53498655000106</v>
      </c>
      <c r="I780" s="462">
        <v>30818</v>
      </c>
      <c r="J780" s="457">
        <v>37355511</v>
      </c>
      <c r="K780" s="454" t="s">
        <v>7154</v>
      </c>
      <c r="L780" s="458">
        <v>76</v>
      </c>
      <c r="M780" s="454" t="s">
        <v>7155</v>
      </c>
      <c r="N780" s="459">
        <v>5685060</v>
      </c>
      <c r="O780" s="460">
        <v>37591520</v>
      </c>
      <c r="P780" s="462">
        <v>128590</v>
      </c>
      <c r="Q780" s="462">
        <v>19</v>
      </c>
      <c r="R780" s="462">
        <v>43881</v>
      </c>
      <c r="S780" s="463">
        <v>664</v>
      </c>
      <c r="T780" s="464">
        <v>5.4</v>
      </c>
      <c r="U780" s="465">
        <v>3585.6</v>
      </c>
      <c r="V780" s="465">
        <v>17100</v>
      </c>
      <c r="W780" s="466">
        <v>0</v>
      </c>
      <c r="X780" s="467">
        <v>1</v>
      </c>
      <c r="Y780" s="466">
        <v>0</v>
      </c>
      <c r="Z780" s="468" t="s">
        <v>514</v>
      </c>
      <c r="AA780" s="466">
        <v>0</v>
      </c>
      <c r="AB780" s="466">
        <v>0</v>
      </c>
      <c r="AC780" s="467">
        <v>0</v>
      </c>
      <c r="AD780" s="466">
        <v>0</v>
      </c>
      <c r="AE780" s="468" t="s">
        <v>516</v>
      </c>
      <c r="AF780" s="466">
        <v>0</v>
      </c>
      <c r="AG780" s="466">
        <v>0</v>
      </c>
      <c r="AH780" s="466">
        <v>604.09</v>
      </c>
      <c r="AI780" s="466">
        <v>8274.24</v>
      </c>
      <c r="AJ780" s="469" t="s">
        <v>2443</v>
      </c>
      <c r="AK780" s="470" t="s">
        <v>2444</v>
      </c>
      <c r="AL780" s="471" t="s">
        <v>7156</v>
      </c>
      <c r="AM780" s="470" t="s">
        <v>13616</v>
      </c>
      <c r="AN780" s="470" t="s">
        <v>7153</v>
      </c>
      <c r="AO780" s="470" t="s">
        <v>7157</v>
      </c>
      <c r="AP780" s="470" t="s">
        <v>7158</v>
      </c>
      <c r="AQ780" s="470" t="s">
        <v>7151</v>
      </c>
      <c r="AR780" s="472" t="s">
        <v>515</v>
      </c>
      <c r="AS780" s="473" t="s">
        <v>1385</v>
      </c>
      <c r="AT780" s="472" t="s">
        <v>517</v>
      </c>
      <c r="AU780" s="472" t="s">
        <v>420</v>
      </c>
      <c r="AV780" s="472">
        <v>2020</v>
      </c>
      <c r="AW780" s="474" t="s">
        <v>15078</v>
      </c>
      <c r="AX780" s="475" t="s">
        <v>15079</v>
      </c>
      <c r="AY780" s="515">
        <v>1</v>
      </c>
      <c r="AZ780" s="474" t="s">
        <v>15079</v>
      </c>
      <c r="BA780" s="472" t="s">
        <v>1385</v>
      </c>
      <c r="BB780" s="472" t="s">
        <v>1385</v>
      </c>
      <c r="BC780" s="472" t="s">
        <v>1385</v>
      </c>
      <c r="BD780" s="472" t="s">
        <v>1385</v>
      </c>
      <c r="BE780" s="472" t="s">
        <v>1385</v>
      </c>
      <c r="BF780" s="472">
        <v>31028.400000000001</v>
      </c>
      <c r="BG780" s="472">
        <v>0</v>
      </c>
      <c r="BH780" s="472" t="s">
        <v>516</v>
      </c>
      <c r="BI780" s="510">
        <v>0</v>
      </c>
      <c r="BJ780" s="510">
        <v>0</v>
      </c>
      <c r="BK780" s="510">
        <v>0</v>
      </c>
      <c r="BL780" s="510">
        <v>3500</v>
      </c>
      <c r="BM780" s="510">
        <v>0</v>
      </c>
      <c r="BN780" s="510">
        <v>0</v>
      </c>
      <c r="BO780" s="510">
        <v>0</v>
      </c>
      <c r="BP780" s="510">
        <v>0</v>
      </c>
      <c r="BQ780" s="510">
        <v>0</v>
      </c>
      <c r="BR780" s="510">
        <v>0</v>
      </c>
      <c r="BS780" s="510">
        <v>0</v>
      </c>
      <c r="BT780" s="510">
        <v>0</v>
      </c>
      <c r="BU780" s="510">
        <v>0</v>
      </c>
      <c r="BV780" s="510">
        <v>0</v>
      </c>
      <c r="BW780" s="510">
        <v>0</v>
      </c>
      <c r="BX780" s="510">
        <v>0</v>
      </c>
      <c r="BY780" s="1011">
        <v>0</v>
      </c>
      <c r="BZ780" s="510">
        <v>0</v>
      </c>
      <c r="CA780" s="1011">
        <v>0</v>
      </c>
      <c r="CB780" s="510">
        <v>0</v>
      </c>
      <c r="CC780" s="1011">
        <v>0</v>
      </c>
      <c r="CD780" s="510">
        <v>0</v>
      </c>
      <c r="CE780" s="1011">
        <v>0</v>
      </c>
      <c r="CF780" s="510">
        <v>0</v>
      </c>
      <c r="CG780" s="1011">
        <v>0</v>
      </c>
      <c r="CH780" s="510">
        <v>0</v>
      </c>
      <c r="CI780" s="1011">
        <v>0</v>
      </c>
    </row>
    <row r="781" spans="1:87" x14ac:dyDescent="0.2">
      <c r="A781" s="449">
        <v>23</v>
      </c>
      <c r="B781" s="453">
        <v>92690</v>
      </c>
      <c r="C781" s="454" t="s">
        <v>7159</v>
      </c>
      <c r="D781" s="454" t="s">
        <v>517</v>
      </c>
      <c r="E781" s="454" t="s">
        <v>7160</v>
      </c>
      <c r="F781" s="454" t="s">
        <v>519</v>
      </c>
      <c r="G781" s="454" t="s">
        <v>13617</v>
      </c>
      <c r="H781" s="455">
        <v>52023322000150</v>
      </c>
      <c r="I781" s="462">
        <v>30250</v>
      </c>
      <c r="J781" s="457">
        <v>34864172</v>
      </c>
      <c r="K781" s="454" t="s">
        <v>7162</v>
      </c>
      <c r="L781" s="458">
        <v>50</v>
      </c>
      <c r="M781" s="454" t="s">
        <v>7163</v>
      </c>
      <c r="N781" s="459">
        <v>5587160</v>
      </c>
      <c r="O781" s="460">
        <v>37261119</v>
      </c>
      <c r="P781" s="462">
        <v>123822</v>
      </c>
      <c r="Q781" s="462">
        <v>5</v>
      </c>
      <c r="R781" s="462">
        <v>43881</v>
      </c>
      <c r="S781" s="463">
        <v>810</v>
      </c>
      <c r="T781" s="464">
        <v>5.4</v>
      </c>
      <c r="U781" s="465">
        <v>4374</v>
      </c>
      <c r="V781" s="465">
        <v>18720</v>
      </c>
      <c r="W781" s="466">
        <v>0</v>
      </c>
      <c r="X781" s="467">
        <v>1</v>
      </c>
      <c r="Y781" s="466">
        <v>0</v>
      </c>
      <c r="Z781" s="468" t="s">
        <v>514</v>
      </c>
      <c r="AA781" s="466">
        <v>0</v>
      </c>
      <c r="AB781" s="466">
        <v>0</v>
      </c>
      <c r="AC781" s="467">
        <v>0</v>
      </c>
      <c r="AD781" s="466">
        <v>0</v>
      </c>
      <c r="AE781" s="468" t="s">
        <v>516</v>
      </c>
      <c r="AF781" s="466">
        <v>0</v>
      </c>
      <c r="AG781" s="466">
        <v>0</v>
      </c>
      <c r="AH781" s="466">
        <v>0</v>
      </c>
      <c r="AI781" s="466">
        <v>9.52</v>
      </c>
      <c r="AJ781" s="469" t="s">
        <v>1606</v>
      </c>
      <c r="AK781" s="470" t="s">
        <v>519</v>
      </c>
      <c r="AL781" s="471" t="s">
        <v>7164</v>
      </c>
      <c r="AM781" s="470" t="s">
        <v>13618</v>
      </c>
      <c r="AN781" s="470" t="s">
        <v>7161</v>
      </c>
      <c r="AO781" s="470" t="s">
        <v>7165</v>
      </c>
      <c r="AP781" s="470" t="s">
        <v>7166</v>
      </c>
      <c r="AQ781" s="470" t="s">
        <v>7159</v>
      </c>
      <c r="AR781" s="472" t="s">
        <v>515</v>
      </c>
      <c r="AS781" s="473" t="s">
        <v>1385</v>
      </c>
      <c r="AT781" s="472" t="s">
        <v>517</v>
      </c>
      <c r="AU781" s="472" t="s">
        <v>420</v>
      </c>
      <c r="AV781" s="472">
        <v>2020</v>
      </c>
      <c r="AW781" s="474" t="s">
        <v>15078</v>
      </c>
      <c r="AX781" s="475" t="s">
        <v>15079</v>
      </c>
      <c r="AY781" s="515">
        <v>1</v>
      </c>
      <c r="AZ781" s="474" t="s">
        <v>15079</v>
      </c>
      <c r="BA781" s="472" t="s">
        <v>1385</v>
      </c>
      <c r="BB781" s="472" t="s">
        <v>1385</v>
      </c>
      <c r="BC781" s="472" t="s">
        <v>1385</v>
      </c>
      <c r="BD781" s="472" t="s">
        <v>1385</v>
      </c>
      <c r="BE781" s="472" t="s">
        <v>1385</v>
      </c>
      <c r="BF781" s="472">
        <v>34641</v>
      </c>
      <c r="BG781" s="472">
        <v>0</v>
      </c>
      <c r="BH781" s="472" t="s">
        <v>516</v>
      </c>
      <c r="BI781" s="510">
        <v>0</v>
      </c>
      <c r="BJ781" s="510">
        <v>0</v>
      </c>
      <c r="BK781" s="510">
        <v>0</v>
      </c>
      <c r="BL781" s="510">
        <v>0</v>
      </c>
      <c r="BM781" s="510">
        <v>0</v>
      </c>
      <c r="BN781" s="510">
        <v>0</v>
      </c>
      <c r="BO781" s="510">
        <v>0</v>
      </c>
      <c r="BP781" s="510">
        <v>0</v>
      </c>
      <c r="BQ781" s="510">
        <v>0</v>
      </c>
      <c r="BR781" s="510">
        <v>0</v>
      </c>
      <c r="BS781" s="510">
        <v>0</v>
      </c>
      <c r="BT781" s="510">
        <v>0</v>
      </c>
      <c r="BU781" s="510">
        <v>0</v>
      </c>
      <c r="BV781" s="510">
        <v>0</v>
      </c>
      <c r="BW781" s="510">
        <v>0</v>
      </c>
      <c r="BX781" s="510">
        <v>0</v>
      </c>
      <c r="BY781" s="1011">
        <v>0</v>
      </c>
      <c r="BZ781" s="510">
        <v>0</v>
      </c>
      <c r="CA781" s="1011">
        <v>0</v>
      </c>
      <c r="CB781" s="510">
        <v>0</v>
      </c>
      <c r="CC781" s="1011">
        <v>0</v>
      </c>
      <c r="CD781" s="510">
        <v>0</v>
      </c>
      <c r="CE781" s="1011">
        <v>0</v>
      </c>
      <c r="CF781" s="510">
        <v>0</v>
      </c>
      <c r="CG781" s="1011">
        <v>0</v>
      </c>
      <c r="CH781" s="510">
        <v>0</v>
      </c>
      <c r="CI781" s="1011">
        <v>0</v>
      </c>
    </row>
    <row r="782" spans="1:87" x14ac:dyDescent="0.2">
      <c r="A782" s="449">
        <v>47</v>
      </c>
      <c r="B782" s="453">
        <v>92703</v>
      </c>
      <c r="C782" s="454" t="s">
        <v>7167</v>
      </c>
      <c r="D782" s="454" t="s">
        <v>517</v>
      </c>
      <c r="E782" s="454" t="s">
        <v>7168</v>
      </c>
      <c r="F782" s="454" t="s">
        <v>519</v>
      </c>
      <c r="G782" s="454" t="s">
        <v>13619</v>
      </c>
      <c r="H782" s="455">
        <v>43226505000181</v>
      </c>
      <c r="I782" s="462">
        <v>29335</v>
      </c>
      <c r="J782" s="457">
        <v>37355066</v>
      </c>
      <c r="K782" s="454" t="s">
        <v>7170</v>
      </c>
      <c r="L782" s="458" t="s">
        <v>1446</v>
      </c>
      <c r="M782" s="454" t="s">
        <v>5239</v>
      </c>
      <c r="N782" s="459">
        <v>5626070</v>
      </c>
      <c r="O782" s="460">
        <v>37425858</v>
      </c>
      <c r="P782" s="462">
        <v>122125</v>
      </c>
      <c r="Q782" s="462">
        <v>31</v>
      </c>
      <c r="R782" s="462">
        <v>43881</v>
      </c>
      <c r="S782" s="463">
        <v>777</v>
      </c>
      <c r="T782" s="464">
        <v>5.4</v>
      </c>
      <c r="U782" s="465">
        <v>4195.8</v>
      </c>
      <c r="V782" s="465">
        <v>18720</v>
      </c>
      <c r="W782" s="466">
        <v>0</v>
      </c>
      <c r="X782" s="467">
        <v>1</v>
      </c>
      <c r="Y782" s="466">
        <v>0</v>
      </c>
      <c r="Z782" s="468" t="s">
        <v>514</v>
      </c>
      <c r="AA782" s="466">
        <v>0</v>
      </c>
      <c r="AB782" s="466">
        <v>0</v>
      </c>
      <c r="AC782" s="467">
        <v>0</v>
      </c>
      <c r="AD782" s="466">
        <v>0</v>
      </c>
      <c r="AE782" s="468" t="s">
        <v>516</v>
      </c>
      <c r="AF782" s="466">
        <v>0</v>
      </c>
      <c r="AG782" s="466">
        <v>0</v>
      </c>
      <c r="AH782" s="466">
        <v>2793.25</v>
      </c>
      <c r="AI782" s="466">
        <v>181.16</v>
      </c>
      <c r="AJ782" s="469" t="s">
        <v>2443</v>
      </c>
      <c r="AK782" s="470" t="s">
        <v>2444</v>
      </c>
      <c r="AL782" s="471" t="s">
        <v>7171</v>
      </c>
      <c r="AM782" s="470" t="s">
        <v>7172</v>
      </c>
      <c r="AN782" s="470" t="s">
        <v>7169</v>
      </c>
      <c r="AO782" s="470" t="s">
        <v>7173</v>
      </c>
      <c r="AP782" s="470" t="s">
        <v>7174</v>
      </c>
      <c r="AQ782" s="470" t="s">
        <v>7167</v>
      </c>
      <c r="AR782" s="472" t="s">
        <v>515</v>
      </c>
      <c r="AS782" s="473" t="s">
        <v>1385</v>
      </c>
      <c r="AT782" s="472" t="s">
        <v>517</v>
      </c>
      <c r="AU782" s="472" t="s">
        <v>420</v>
      </c>
      <c r="AV782" s="472">
        <v>2020</v>
      </c>
      <c r="AW782" s="474" t="s">
        <v>15078</v>
      </c>
      <c r="AX782" s="475" t="s">
        <v>15079</v>
      </c>
      <c r="AY782" s="515">
        <v>1</v>
      </c>
      <c r="AZ782" s="474" t="s">
        <v>15079</v>
      </c>
      <c r="BA782" s="472" t="s">
        <v>1385</v>
      </c>
      <c r="BB782" s="472" t="s">
        <v>1385</v>
      </c>
      <c r="BC782" s="472" t="s">
        <v>1385</v>
      </c>
      <c r="BD782" s="472" t="s">
        <v>1385</v>
      </c>
      <c r="BE782" s="472" t="s">
        <v>1385</v>
      </c>
      <c r="BF782" s="472">
        <v>34373.699999999997</v>
      </c>
      <c r="BG782" s="472">
        <v>0</v>
      </c>
      <c r="BH782" s="472" t="s">
        <v>516</v>
      </c>
      <c r="BI782" s="510">
        <v>0</v>
      </c>
      <c r="BJ782" s="510">
        <v>0</v>
      </c>
      <c r="BK782" s="510">
        <v>0</v>
      </c>
      <c r="BL782" s="510">
        <v>235.64</v>
      </c>
      <c r="BM782" s="510">
        <v>0</v>
      </c>
      <c r="BN782" s="510">
        <v>0</v>
      </c>
      <c r="BO782" s="510">
        <v>0</v>
      </c>
      <c r="BP782" s="510">
        <v>0</v>
      </c>
      <c r="BQ782" s="510">
        <v>0</v>
      </c>
      <c r="BR782" s="510">
        <v>0</v>
      </c>
      <c r="BS782" s="510">
        <v>0</v>
      </c>
      <c r="BT782" s="510">
        <v>0</v>
      </c>
      <c r="BU782" s="510">
        <v>0</v>
      </c>
      <c r="BV782" s="510">
        <v>0</v>
      </c>
      <c r="BW782" s="510">
        <v>0</v>
      </c>
      <c r="BX782" s="510">
        <v>0</v>
      </c>
      <c r="BY782" s="1011">
        <v>0</v>
      </c>
      <c r="BZ782" s="510">
        <v>0</v>
      </c>
      <c r="CA782" s="1011">
        <v>0</v>
      </c>
      <c r="CB782" s="510">
        <v>0</v>
      </c>
      <c r="CC782" s="1011">
        <v>0</v>
      </c>
      <c r="CD782" s="510">
        <v>0</v>
      </c>
      <c r="CE782" s="1011">
        <v>0</v>
      </c>
      <c r="CF782" s="510">
        <v>0</v>
      </c>
      <c r="CG782" s="1011">
        <v>0</v>
      </c>
      <c r="CH782" s="510">
        <v>0</v>
      </c>
      <c r="CI782" s="1011">
        <v>0</v>
      </c>
    </row>
    <row r="783" spans="1:87" x14ac:dyDescent="0.2">
      <c r="A783" s="449">
        <v>27</v>
      </c>
      <c r="B783" s="453">
        <v>92711</v>
      </c>
      <c r="C783" s="454" t="s">
        <v>7175</v>
      </c>
      <c r="D783" s="454" t="s">
        <v>517</v>
      </c>
      <c r="E783" s="454" t="s">
        <v>7176</v>
      </c>
      <c r="F783" s="454" t="s">
        <v>519</v>
      </c>
      <c r="G783" s="454" t="s">
        <v>13620</v>
      </c>
      <c r="H783" s="455">
        <v>49749161000171</v>
      </c>
      <c r="I783" s="462">
        <v>28570</v>
      </c>
      <c r="J783" s="457">
        <v>86270281</v>
      </c>
      <c r="K783" s="454" t="s">
        <v>7178</v>
      </c>
      <c r="L783" s="458">
        <v>30</v>
      </c>
      <c r="M783" s="454" t="s">
        <v>7179</v>
      </c>
      <c r="N783" s="459">
        <v>5517020</v>
      </c>
      <c r="O783" s="460">
        <v>37224371</v>
      </c>
      <c r="P783" s="462">
        <v>125078</v>
      </c>
      <c r="Q783" s="462">
        <v>11</v>
      </c>
      <c r="R783" s="462">
        <v>43881</v>
      </c>
      <c r="S783" s="463">
        <v>987</v>
      </c>
      <c r="T783" s="464">
        <v>5.4</v>
      </c>
      <c r="U783" s="465">
        <v>5329.8</v>
      </c>
      <c r="V783" s="465">
        <v>20340</v>
      </c>
      <c r="W783" s="466">
        <v>0</v>
      </c>
      <c r="X783" s="467">
        <v>1</v>
      </c>
      <c r="Y783" s="466">
        <v>0</v>
      </c>
      <c r="Z783" s="468" t="s">
        <v>514</v>
      </c>
      <c r="AA783" s="466">
        <v>0</v>
      </c>
      <c r="AB783" s="466">
        <v>0</v>
      </c>
      <c r="AC783" s="467">
        <v>0</v>
      </c>
      <c r="AD783" s="466">
        <v>0</v>
      </c>
      <c r="AE783" s="468" t="s">
        <v>516</v>
      </c>
      <c r="AF783" s="466">
        <v>0</v>
      </c>
      <c r="AG783" s="466">
        <v>0</v>
      </c>
      <c r="AH783" s="466">
        <v>5204.67</v>
      </c>
      <c r="AI783" s="466">
        <v>237.16</v>
      </c>
      <c r="AJ783" s="469" t="s">
        <v>2443</v>
      </c>
      <c r="AK783" s="470" t="s">
        <v>2444</v>
      </c>
      <c r="AL783" s="471" t="s">
        <v>7180</v>
      </c>
      <c r="AM783" s="470" t="s">
        <v>5613</v>
      </c>
      <c r="AN783" s="470" t="s">
        <v>7177</v>
      </c>
      <c r="AO783" s="470" t="s">
        <v>7181</v>
      </c>
      <c r="AP783" s="470" t="s">
        <v>7182</v>
      </c>
      <c r="AQ783" s="470" t="s">
        <v>7175</v>
      </c>
      <c r="AR783" s="472" t="s">
        <v>515</v>
      </c>
      <c r="AS783" s="473" t="s">
        <v>1385</v>
      </c>
      <c r="AT783" s="472" t="s">
        <v>517</v>
      </c>
      <c r="AU783" s="472" t="s">
        <v>420</v>
      </c>
      <c r="AV783" s="472">
        <v>2020</v>
      </c>
      <c r="AW783" s="474" t="s">
        <v>15078</v>
      </c>
      <c r="AX783" s="475" t="s">
        <v>15079</v>
      </c>
      <c r="AY783" s="515">
        <v>1</v>
      </c>
      <c r="AZ783" s="474" t="s">
        <v>15079</v>
      </c>
      <c r="BA783" s="472" t="s">
        <v>1385</v>
      </c>
      <c r="BB783" s="472" t="s">
        <v>1385</v>
      </c>
      <c r="BC783" s="472" t="s">
        <v>1385</v>
      </c>
      <c r="BD783" s="472" t="s">
        <v>1385</v>
      </c>
      <c r="BE783" s="472" t="s">
        <v>1385</v>
      </c>
      <c r="BF783" s="472">
        <v>38504.699999999997</v>
      </c>
      <c r="BG783" s="472">
        <v>0</v>
      </c>
      <c r="BH783" s="472" t="s">
        <v>516</v>
      </c>
      <c r="BI783" s="510">
        <v>0</v>
      </c>
      <c r="BJ783" s="510">
        <v>0</v>
      </c>
      <c r="BK783" s="510">
        <v>0</v>
      </c>
      <c r="BL783" s="510">
        <v>0</v>
      </c>
      <c r="BM783" s="510">
        <v>0</v>
      </c>
      <c r="BN783" s="510">
        <v>0</v>
      </c>
      <c r="BO783" s="510">
        <v>0</v>
      </c>
      <c r="BP783" s="510">
        <v>0</v>
      </c>
      <c r="BQ783" s="510">
        <v>0</v>
      </c>
      <c r="BR783" s="510">
        <v>0</v>
      </c>
      <c r="BS783" s="510">
        <v>0</v>
      </c>
      <c r="BT783" s="510">
        <v>0</v>
      </c>
      <c r="BU783" s="510">
        <v>0</v>
      </c>
      <c r="BV783" s="510">
        <v>0</v>
      </c>
      <c r="BW783" s="510">
        <v>0</v>
      </c>
      <c r="BX783" s="510">
        <v>0</v>
      </c>
      <c r="BY783" s="1011">
        <v>0</v>
      </c>
      <c r="BZ783" s="510">
        <v>0</v>
      </c>
      <c r="CA783" s="1011">
        <v>0</v>
      </c>
      <c r="CB783" s="510">
        <v>0</v>
      </c>
      <c r="CC783" s="1011">
        <v>0</v>
      </c>
      <c r="CD783" s="510">
        <v>0</v>
      </c>
      <c r="CE783" s="1011">
        <v>0</v>
      </c>
      <c r="CF783" s="510">
        <v>0</v>
      </c>
      <c r="CG783" s="1011">
        <v>0</v>
      </c>
      <c r="CH783" s="510">
        <v>0</v>
      </c>
      <c r="CI783" s="1011">
        <v>0</v>
      </c>
    </row>
    <row r="784" spans="1:87" x14ac:dyDescent="0.2">
      <c r="A784" s="449">
        <v>24</v>
      </c>
      <c r="B784" s="453">
        <v>92720</v>
      </c>
      <c r="C784" s="454" t="s">
        <v>7183</v>
      </c>
      <c r="D784" s="454" t="s">
        <v>517</v>
      </c>
      <c r="E784" s="454" t="s">
        <v>7184</v>
      </c>
      <c r="F784" s="454" t="s">
        <v>519</v>
      </c>
      <c r="G784" s="454" t="s">
        <v>13621</v>
      </c>
      <c r="H784" s="455">
        <v>44982411000103</v>
      </c>
      <c r="I784" s="462">
        <v>29542</v>
      </c>
      <c r="J784" s="457">
        <v>37354639</v>
      </c>
      <c r="K784" s="454" t="s">
        <v>7186</v>
      </c>
      <c r="L784" s="458">
        <v>860</v>
      </c>
      <c r="M784" s="454" t="s">
        <v>5239</v>
      </c>
      <c r="N784" s="459">
        <v>5626001</v>
      </c>
      <c r="O784" s="460">
        <v>37425772</v>
      </c>
      <c r="P784" s="462">
        <v>126520</v>
      </c>
      <c r="Q784" s="462">
        <v>6</v>
      </c>
      <c r="R784" s="462">
        <v>43881</v>
      </c>
      <c r="S784" s="463">
        <v>794</v>
      </c>
      <c r="T784" s="464">
        <v>5.4</v>
      </c>
      <c r="U784" s="465">
        <v>4287.6000000000004</v>
      </c>
      <c r="V784" s="465">
        <v>18720</v>
      </c>
      <c r="W784" s="466">
        <v>0</v>
      </c>
      <c r="X784" s="467">
        <v>1</v>
      </c>
      <c r="Y784" s="466">
        <v>0</v>
      </c>
      <c r="Z784" s="468" t="s">
        <v>514</v>
      </c>
      <c r="AA784" s="466">
        <v>0</v>
      </c>
      <c r="AB784" s="466">
        <v>0</v>
      </c>
      <c r="AC784" s="467">
        <v>0</v>
      </c>
      <c r="AD784" s="466">
        <v>0</v>
      </c>
      <c r="AE784" s="468" t="s">
        <v>516</v>
      </c>
      <c r="AF784" s="466">
        <v>0</v>
      </c>
      <c r="AG784" s="466">
        <v>0</v>
      </c>
      <c r="AH784" s="466">
        <v>1163.1500000000001</v>
      </c>
      <c r="AI784" s="466">
        <v>479.25</v>
      </c>
      <c r="AJ784" s="469" t="s">
        <v>2443</v>
      </c>
      <c r="AK784" s="470" t="s">
        <v>2444</v>
      </c>
      <c r="AL784" s="471" t="s">
        <v>7187</v>
      </c>
      <c r="AM784" s="470" t="s">
        <v>7188</v>
      </c>
      <c r="AN784" s="470" t="s">
        <v>7185</v>
      </c>
      <c r="AO784" s="470" t="s">
        <v>7189</v>
      </c>
      <c r="AP784" s="470" t="s">
        <v>7190</v>
      </c>
      <c r="AQ784" s="470" t="s">
        <v>7183</v>
      </c>
      <c r="AR784" s="472" t="s">
        <v>515</v>
      </c>
      <c r="AS784" s="473" t="s">
        <v>1385</v>
      </c>
      <c r="AT784" s="472" t="s">
        <v>517</v>
      </c>
      <c r="AU784" s="472" t="s">
        <v>420</v>
      </c>
      <c r="AV784" s="472">
        <v>2020</v>
      </c>
      <c r="AW784" s="474" t="s">
        <v>15078</v>
      </c>
      <c r="AX784" s="475" t="s">
        <v>15079</v>
      </c>
      <c r="AY784" s="515">
        <v>1</v>
      </c>
      <c r="AZ784" s="474" t="s">
        <v>15079</v>
      </c>
      <c r="BA784" s="472" t="s">
        <v>1385</v>
      </c>
      <c r="BB784" s="472" t="s">
        <v>1385</v>
      </c>
      <c r="BC784" s="472" t="s">
        <v>1385</v>
      </c>
      <c r="BD784" s="472" t="s">
        <v>1385</v>
      </c>
      <c r="BE784" s="472" t="s">
        <v>1385</v>
      </c>
      <c r="BF784" s="472">
        <v>34511.4</v>
      </c>
      <c r="BG784" s="472">
        <v>0</v>
      </c>
      <c r="BH784" s="472" t="s">
        <v>516</v>
      </c>
      <c r="BI784" s="510">
        <v>0</v>
      </c>
      <c r="BJ784" s="510">
        <v>0</v>
      </c>
      <c r="BK784" s="510">
        <v>0</v>
      </c>
      <c r="BL784" s="510">
        <v>3500</v>
      </c>
      <c r="BM784" s="510">
        <v>0</v>
      </c>
      <c r="BN784" s="510">
        <v>0</v>
      </c>
      <c r="BO784" s="510">
        <v>0</v>
      </c>
      <c r="BP784" s="510">
        <v>0</v>
      </c>
      <c r="BQ784" s="510">
        <v>0</v>
      </c>
      <c r="BR784" s="510">
        <v>0</v>
      </c>
      <c r="BS784" s="510">
        <v>0</v>
      </c>
      <c r="BT784" s="510">
        <v>0</v>
      </c>
      <c r="BU784" s="510">
        <v>0</v>
      </c>
      <c r="BV784" s="510">
        <v>0</v>
      </c>
      <c r="BW784" s="510">
        <v>0</v>
      </c>
      <c r="BX784" s="510">
        <v>0</v>
      </c>
      <c r="BY784" s="1011">
        <v>0</v>
      </c>
      <c r="BZ784" s="510">
        <v>0</v>
      </c>
      <c r="CA784" s="1011">
        <v>0</v>
      </c>
      <c r="CB784" s="510">
        <v>0</v>
      </c>
      <c r="CC784" s="1011">
        <v>0</v>
      </c>
      <c r="CD784" s="510">
        <v>0</v>
      </c>
      <c r="CE784" s="1011">
        <v>0</v>
      </c>
      <c r="CF784" s="510">
        <v>0</v>
      </c>
      <c r="CG784" s="1011">
        <v>0</v>
      </c>
      <c r="CH784" s="510">
        <v>0</v>
      </c>
      <c r="CI784" s="1011">
        <v>0</v>
      </c>
    </row>
    <row r="785" spans="1:87" x14ac:dyDescent="0.2">
      <c r="A785" s="449">
        <v>45</v>
      </c>
      <c r="B785" s="453">
        <v>92738</v>
      </c>
      <c r="C785" s="454" t="s">
        <v>7191</v>
      </c>
      <c r="D785" s="454" t="s">
        <v>517</v>
      </c>
      <c r="E785" s="454" t="s">
        <v>7192</v>
      </c>
      <c r="F785" s="454" t="s">
        <v>519</v>
      </c>
      <c r="G785" s="454" t="s">
        <v>13622</v>
      </c>
      <c r="H785" s="455">
        <v>44904654000115</v>
      </c>
      <c r="I785" s="462">
        <v>29521</v>
      </c>
      <c r="J785" s="457">
        <v>37356330</v>
      </c>
      <c r="K785" s="454" t="s">
        <v>7194</v>
      </c>
      <c r="L785" s="458">
        <v>787</v>
      </c>
      <c r="M785" s="454" t="s">
        <v>2709</v>
      </c>
      <c r="N785" s="459">
        <v>5527000</v>
      </c>
      <c r="O785" s="460">
        <v>37510223</v>
      </c>
      <c r="P785" s="462">
        <v>117342</v>
      </c>
      <c r="Q785" s="462">
        <v>29</v>
      </c>
      <c r="R785" s="462">
        <v>43881</v>
      </c>
      <c r="S785" s="463">
        <v>737</v>
      </c>
      <c r="T785" s="464">
        <v>5.4</v>
      </c>
      <c r="U785" s="465">
        <v>3979.8</v>
      </c>
      <c r="V785" s="465">
        <v>18720</v>
      </c>
      <c r="W785" s="466">
        <v>0</v>
      </c>
      <c r="X785" s="467">
        <v>1</v>
      </c>
      <c r="Y785" s="466">
        <v>0</v>
      </c>
      <c r="Z785" s="468" t="s">
        <v>514</v>
      </c>
      <c r="AA785" s="466">
        <v>0</v>
      </c>
      <c r="AB785" s="466">
        <v>0</v>
      </c>
      <c r="AC785" s="467">
        <v>0</v>
      </c>
      <c r="AD785" s="466">
        <v>0</v>
      </c>
      <c r="AE785" s="468" t="s">
        <v>516</v>
      </c>
      <c r="AF785" s="466">
        <v>0</v>
      </c>
      <c r="AG785" s="466">
        <v>0</v>
      </c>
      <c r="AH785" s="466">
        <v>6903.1</v>
      </c>
      <c r="AI785" s="466">
        <v>10917.43</v>
      </c>
      <c r="AJ785" s="469" t="s">
        <v>4895</v>
      </c>
      <c r="AK785" s="470" t="s">
        <v>4896</v>
      </c>
      <c r="AL785" s="471" t="s">
        <v>7195</v>
      </c>
      <c r="AM785" s="470" t="s">
        <v>7196</v>
      </c>
      <c r="AN785" s="470" t="s">
        <v>7193</v>
      </c>
      <c r="AO785" s="470" t="s">
        <v>7197</v>
      </c>
      <c r="AP785" s="470" t="s">
        <v>7198</v>
      </c>
      <c r="AQ785" s="470" t="s">
        <v>7191</v>
      </c>
      <c r="AR785" s="472" t="s">
        <v>515</v>
      </c>
      <c r="AS785" s="473" t="s">
        <v>1385</v>
      </c>
      <c r="AT785" s="472" t="s">
        <v>517</v>
      </c>
      <c r="AU785" s="472" t="s">
        <v>420</v>
      </c>
      <c r="AV785" s="472">
        <v>2020</v>
      </c>
      <c r="AW785" s="474" t="s">
        <v>15078</v>
      </c>
      <c r="AX785" s="475" t="s">
        <v>15079</v>
      </c>
      <c r="AY785" s="515">
        <v>1</v>
      </c>
      <c r="AZ785" s="474" t="s">
        <v>15079</v>
      </c>
      <c r="BA785" s="472" t="s">
        <v>1385</v>
      </c>
      <c r="BB785" s="472" t="s">
        <v>1385</v>
      </c>
      <c r="BC785" s="472" t="s">
        <v>1385</v>
      </c>
      <c r="BD785" s="472" t="s">
        <v>1385</v>
      </c>
      <c r="BE785" s="472" t="s">
        <v>1385</v>
      </c>
      <c r="BF785" s="472">
        <v>34049.699999999997</v>
      </c>
      <c r="BG785" s="472">
        <v>0</v>
      </c>
      <c r="BH785" s="472" t="s">
        <v>516</v>
      </c>
      <c r="BI785" s="510">
        <v>0</v>
      </c>
      <c r="BJ785" s="510">
        <v>0</v>
      </c>
      <c r="BK785" s="510">
        <v>0</v>
      </c>
      <c r="BL785" s="510">
        <v>0</v>
      </c>
      <c r="BM785" s="510">
        <v>0</v>
      </c>
      <c r="BN785" s="510">
        <v>0</v>
      </c>
      <c r="BO785" s="510">
        <v>0</v>
      </c>
      <c r="BP785" s="510">
        <v>0</v>
      </c>
      <c r="BQ785" s="510">
        <v>0</v>
      </c>
      <c r="BR785" s="510">
        <v>0</v>
      </c>
      <c r="BS785" s="510">
        <v>0</v>
      </c>
      <c r="BT785" s="510">
        <v>0</v>
      </c>
      <c r="BU785" s="510">
        <v>0</v>
      </c>
      <c r="BV785" s="510">
        <v>0</v>
      </c>
      <c r="BW785" s="510">
        <v>0</v>
      </c>
      <c r="BX785" s="510">
        <v>0</v>
      </c>
      <c r="BY785" s="1011">
        <v>0</v>
      </c>
      <c r="BZ785" s="510">
        <v>0</v>
      </c>
      <c r="CA785" s="1011">
        <v>0</v>
      </c>
      <c r="CB785" s="510">
        <v>0</v>
      </c>
      <c r="CC785" s="1011">
        <v>0</v>
      </c>
      <c r="CD785" s="510">
        <v>0</v>
      </c>
      <c r="CE785" s="1011">
        <v>0</v>
      </c>
      <c r="CF785" s="510">
        <v>0</v>
      </c>
      <c r="CG785" s="1011">
        <v>0</v>
      </c>
      <c r="CH785" s="510">
        <v>0</v>
      </c>
      <c r="CI785" s="1011">
        <v>0</v>
      </c>
    </row>
    <row r="786" spans="1:87" x14ac:dyDescent="0.2">
      <c r="A786" s="449">
        <v>20</v>
      </c>
      <c r="B786" s="453">
        <v>92746</v>
      </c>
      <c r="C786" s="454" t="s">
        <v>7199</v>
      </c>
      <c r="D786" s="454" t="s">
        <v>517</v>
      </c>
      <c r="E786" s="454" t="s">
        <v>7200</v>
      </c>
      <c r="F786" s="454" t="s">
        <v>519</v>
      </c>
      <c r="G786" s="454" t="s">
        <v>13623</v>
      </c>
      <c r="H786" s="455">
        <v>50550060000156</v>
      </c>
      <c r="I786" s="462">
        <v>30139</v>
      </c>
      <c r="J786" s="457">
        <v>37354914</v>
      </c>
      <c r="K786" s="454" t="s">
        <v>7202</v>
      </c>
      <c r="L786" s="458">
        <v>165</v>
      </c>
      <c r="M786" s="454" t="s">
        <v>7203</v>
      </c>
      <c r="N786" s="459">
        <v>5546110</v>
      </c>
      <c r="O786" s="460">
        <v>37824068</v>
      </c>
      <c r="P786" s="462">
        <v>140190</v>
      </c>
      <c r="Q786" s="462">
        <v>2</v>
      </c>
      <c r="R786" s="462">
        <v>43881</v>
      </c>
      <c r="S786" s="463">
        <v>545</v>
      </c>
      <c r="T786" s="464">
        <v>5.4</v>
      </c>
      <c r="U786" s="465">
        <v>2943</v>
      </c>
      <c r="V786" s="465">
        <v>17100</v>
      </c>
      <c r="W786" s="466">
        <v>0</v>
      </c>
      <c r="X786" s="467">
        <v>1</v>
      </c>
      <c r="Y786" s="466">
        <v>0</v>
      </c>
      <c r="Z786" s="468" t="s">
        <v>514</v>
      </c>
      <c r="AA786" s="466">
        <v>0</v>
      </c>
      <c r="AB786" s="466">
        <v>0</v>
      </c>
      <c r="AC786" s="467">
        <v>0</v>
      </c>
      <c r="AD786" s="466">
        <v>0</v>
      </c>
      <c r="AE786" s="468" t="s">
        <v>516</v>
      </c>
      <c r="AF786" s="466">
        <v>0</v>
      </c>
      <c r="AG786" s="466">
        <v>0</v>
      </c>
      <c r="AH786" s="466">
        <v>0</v>
      </c>
      <c r="AI786" s="466">
        <v>0</v>
      </c>
      <c r="AJ786" s="469" t="s">
        <v>2443</v>
      </c>
      <c r="AK786" s="470" t="s">
        <v>2444</v>
      </c>
      <c r="AL786" s="471" t="s">
        <v>7204</v>
      </c>
      <c r="AM786" s="470" t="s">
        <v>7205</v>
      </c>
      <c r="AN786" s="470" t="s">
        <v>7201</v>
      </c>
      <c r="AO786" s="470" t="s">
        <v>7206</v>
      </c>
      <c r="AP786" s="470" t="s">
        <v>7207</v>
      </c>
      <c r="AQ786" s="470" t="s">
        <v>7199</v>
      </c>
      <c r="AR786" s="472" t="s">
        <v>515</v>
      </c>
      <c r="AS786" s="473" t="s">
        <v>1385</v>
      </c>
      <c r="AT786" s="472" t="s">
        <v>517</v>
      </c>
      <c r="AU786" s="472" t="s">
        <v>420</v>
      </c>
      <c r="AV786" s="472">
        <v>2020</v>
      </c>
      <c r="AW786" s="474" t="s">
        <v>15078</v>
      </c>
      <c r="AX786" s="475" t="s">
        <v>15079</v>
      </c>
      <c r="AY786" s="515">
        <v>1</v>
      </c>
      <c r="AZ786" s="474" t="s">
        <v>15079</v>
      </c>
      <c r="BA786" s="472" t="s">
        <v>1385</v>
      </c>
      <c r="BB786" s="472" t="s">
        <v>1385</v>
      </c>
      <c r="BC786" s="472" t="s">
        <v>1385</v>
      </c>
      <c r="BD786" s="472" t="s">
        <v>1385</v>
      </c>
      <c r="BE786" s="472" t="s">
        <v>1385</v>
      </c>
      <c r="BF786" s="472">
        <v>30064.5</v>
      </c>
      <c r="BG786" s="472">
        <v>0</v>
      </c>
      <c r="BH786" s="472" t="s">
        <v>516</v>
      </c>
      <c r="BI786" s="510">
        <v>0</v>
      </c>
      <c r="BJ786" s="510">
        <v>0</v>
      </c>
      <c r="BK786" s="510">
        <v>0</v>
      </c>
      <c r="BL786" s="510">
        <v>0</v>
      </c>
      <c r="BM786" s="510">
        <v>0</v>
      </c>
      <c r="BN786" s="510">
        <v>0</v>
      </c>
      <c r="BO786" s="510">
        <v>0</v>
      </c>
      <c r="BP786" s="510">
        <v>0</v>
      </c>
      <c r="BQ786" s="510">
        <v>0</v>
      </c>
      <c r="BR786" s="510">
        <v>0</v>
      </c>
      <c r="BS786" s="510">
        <v>0</v>
      </c>
      <c r="BT786" s="510">
        <v>0</v>
      </c>
      <c r="BU786" s="510">
        <v>0</v>
      </c>
      <c r="BV786" s="510">
        <v>0</v>
      </c>
      <c r="BW786" s="510">
        <v>0</v>
      </c>
      <c r="BX786" s="510">
        <v>0</v>
      </c>
      <c r="BY786" s="1011">
        <v>0</v>
      </c>
      <c r="BZ786" s="510">
        <v>0</v>
      </c>
      <c r="CA786" s="1011">
        <v>0</v>
      </c>
      <c r="CB786" s="510">
        <v>0</v>
      </c>
      <c r="CC786" s="1011">
        <v>0</v>
      </c>
      <c r="CD786" s="510">
        <v>0</v>
      </c>
      <c r="CE786" s="1011">
        <v>0</v>
      </c>
      <c r="CF786" s="510">
        <v>0</v>
      </c>
      <c r="CG786" s="1011">
        <v>0</v>
      </c>
      <c r="CH786" s="510">
        <v>0</v>
      </c>
      <c r="CI786" s="1011">
        <v>0</v>
      </c>
    </row>
    <row r="787" spans="1:87" x14ac:dyDescent="0.2">
      <c r="A787" s="449">
        <v>19</v>
      </c>
      <c r="B787" s="453">
        <v>92754</v>
      </c>
      <c r="C787" s="454" t="s">
        <v>7208</v>
      </c>
      <c r="D787" s="454" t="s">
        <v>517</v>
      </c>
      <c r="E787" s="454" t="s">
        <v>7209</v>
      </c>
      <c r="F787" s="454" t="s">
        <v>519</v>
      </c>
      <c r="G787" s="454" t="s">
        <v>13624</v>
      </c>
      <c r="H787" s="455">
        <v>51530764000120</v>
      </c>
      <c r="I787" s="462">
        <v>29018</v>
      </c>
      <c r="J787" s="457">
        <v>37354892</v>
      </c>
      <c r="K787" s="454" t="s">
        <v>7211</v>
      </c>
      <c r="L787" s="458">
        <v>686</v>
      </c>
      <c r="M787" s="454" t="s">
        <v>3072</v>
      </c>
      <c r="N787" s="459">
        <v>5566000</v>
      </c>
      <c r="O787" s="460">
        <v>37821862</v>
      </c>
      <c r="P787" s="462">
        <v>124152</v>
      </c>
      <c r="Q787" s="462">
        <v>1</v>
      </c>
      <c r="R787" s="462">
        <v>43881</v>
      </c>
      <c r="S787" s="463">
        <v>745</v>
      </c>
      <c r="T787" s="464">
        <v>5.4</v>
      </c>
      <c r="U787" s="465">
        <v>4023</v>
      </c>
      <c r="V787" s="465">
        <v>18720</v>
      </c>
      <c r="W787" s="466">
        <v>0</v>
      </c>
      <c r="X787" s="467">
        <v>1</v>
      </c>
      <c r="Y787" s="466">
        <v>0</v>
      </c>
      <c r="Z787" s="468" t="s">
        <v>514</v>
      </c>
      <c r="AA787" s="466">
        <v>0</v>
      </c>
      <c r="AB787" s="466">
        <v>0</v>
      </c>
      <c r="AC787" s="467">
        <v>0</v>
      </c>
      <c r="AD787" s="466">
        <v>0</v>
      </c>
      <c r="AE787" s="468" t="s">
        <v>516</v>
      </c>
      <c r="AF787" s="466">
        <v>0</v>
      </c>
      <c r="AG787" s="466">
        <v>0</v>
      </c>
      <c r="AH787" s="466">
        <v>0</v>
      </c>
      <c r="AI787" s="466">
        <v>7041.58</v>
      </c>
      <c r="AJ787" s="469" t="s">
        <v>1606</v>
      </c>
      <c r="AK787" s="470" t="s">
        <v>519</v>
      </c>
      <c r="AL787" s="471" t="s">
        <v>7212</v>
      </c>
      <c r="AM787" s="470" t="s">
        <v>7213</v>
      </c>
      <c r="AN787" s="470" t="s">
        <v>7210</v>
      </c>
      <c r="AO787" s="470" t="s">
        <v>7214</v>
      </c>
      <c r="AP787" s="470" t="s">
        <v>7215</v>
      </c>
      <c r="AQ787" s="470" t="s">
        <v>7208</v>
      </c>
      <c r="AR787" s="472" t="s">
        <v>515</v>
      </c>
      <c r="AS787" s="473" t="s">
        <v>1385</v>
      </c>
      <c r="AT787" s="472" t="s">
        <v>517</v>
      </c>
      <c r="AU787" s="472" t="s">
        <v>420</v>
      </c>
      <c r="AV787" s="472">
        <v>2020</v>
      </c>
      <c r="AW787" s="474" t="s">
        <v>15078</v>
      </c>
      <c r="AX787" s="475" t="s">
        <v>15079</v>
      </c>
      <c r="AY787" s="515">
        <v>1</v>
      </c>
      <c r="AZ787" s="474" t="s">
        <v>15079</v>
      </c>
      <c r="BA787" s="472" t="s">
        <v>1385</v>
      </c>
      <c r="BB787" s="472" t="s">
        <v>1385</v>
      </c>
      <c r="BC787" s="472" t="s">
        <v>1385</v>
      </c>
      <c r="BD787" s="472" t="s">
        <v>1385</v>
      </c>
      <c r="BE787" s="472" t="s">
        <v>1385</v>
      </c>
      <c r="BF787" s="472">
        <v>34114.5</v>
      </c>
      <c r="BG787" s="472">
        <v>0</v>
      </c>
      <c r="BH787" s="472" t="s">
        <v>516</v>
      </c>
      <c r="BI787" s="510">
        <v>0</v>
      </c>
      <c r="BJ787" s="510">
        <v>0</v>
      </c>
      <c r="BK787" s="510">
        <v>0</v>
      </c>
      <c r="BL787" s="510">
        <v>0</v>
      </c>
      <c r="BM787" s="510">
        <v>0</v>
      </c>
      <c r="BN787" s="510">
        <v>0</v>
      </c>
      <c r="BO787" s="510">
        <v>0</v>
      </c>
      <c r="BP787" s="510">
        <v>0</v>
      </c>
      <c r="BQ787" s="510">
        <v>0</v>
      </c>
      <c r="BR787" s="510">
        <v>0</v>
      </c>
      <c r="BS787" s="510">
        <v>0</v>
      </c>
      <c r="BT787" s="510">
        <v>0</v>
      </c>
      <c r="BU787" s="510">
        <v>0</v>
      </c>
      <c r="BV787" s="510">
        <v>0</v>
      </c>
      <c r="BW787" s="510">
        <v>0</v>
      </c>
      <c r="BX787" s="510">
        <v>0</v>
      </c>
      <c r="BY787" s="1011">
        <v>0</v>
      </c>
      <c r="BZ787" s="510">
        <v>0</v>
      </c>
      <c r="CA787" s="1011">
        <v>0</v>
      </c>
      <c r="CB787" s="510">
        <v>0</v>
      </c>
      <c r="CC787" s="1011">
        <v>0</v>
      </c>
      <c r="CD787" s="510">
        <v>0</v>
      </c>
      <c r="CE787" s="1011">
        <v>0</v>
      </c>
      <c r="CF787" s="510">
        <v>0</v>
      </c>
      <c r="CG787" s="1011">
        <v>0</v>
      </c>
      <c r="CH787" s="510">
        <v>0</v>
      </c>
      <c r="CI787" s="1011">
        <v>0</v>
      </c>
    </row>
    <row r="788" spans="1:87" x14ac:dyDescent="0.2">
      <c r="A788" s="449">
        <v>34</v>
      </c>
      <c r="B788" s="453">
        <v>92762</v>
      </c>
      <c r="C788" s="454" t="s">
        <v>7216</v>
      </c>
      <c r="D788" s="454" t="s">
        <v>517</v>
      </c>
      <c r="E788" s="454" t="s">
        <v>7217</v>
      </c>
      <c r="F788" s="454" t="s">
        <v>519</v>
      </c>
      <c r="G788" s="454" t="s">
        <v>13625</v>
      </c>
      <c r="H788" s="455">
        <v>52036704000118</v>
      </c>
      <c r="I788" s="462">
        <v>30301</v>
      </c>
      <c r="J788" s="457">
        <v>37355465</v>
      </c>
      <c r="K788" s="454" t="s">
        <v>7219</v>
      </c>
      <c r="L788" s="458">
        <v>201</v>
      </c>
      <c r="M788" s="454" t="s">
        <v>4180</v>
      </c>
      <c r="N788" s="459">
        <v>5569110</v>
      </c>
      <c r="O788" s="460">
        <v>37820750</v>
      </c>
      <c r="P788" s="462">
        <v>129880</v>
      </c>
      <c r="Q788" s="462">
        <v>18</v>
      </c>
      <c r="R788" s="462">
        <v>43881</v>
      </c>
      <c r="S788" s="463">
        <v>1087</v>
      </c>
      <c r="T788" s="464">
        <v>5.4</v>
      </c>
      <c r="U788" s="465">
        <v>5869.8</v>
      </c>
      <c r="V788" s="465">
        <v>20340</v>
      </c>
      <c r="W788" s="466">
        <v>0</v>
      </c>
      <c r="X788" s="467">
        <v>1</v>
      </c>
      <c r="Y788" s="466">
        <v>0</v>
      </c>
      <c r="Z788" s="468" t="s">
        <v>514</v>
      </c>
      <c r="AA788" s="466">
        <v>0</v>
      </c>
      <c r="AB788" s="466">
        <v>0</v>
      </c>
      <c r="AC788" s="467">
        <v>0</v>
      </c>
      <c r="AD788" s="466">
        <v>0</v>
      </c>
      <c r="AE788" s="468" t="s">
        <v>516</v>
      </c>
      <c r="AF788" s="466">
        <v>0</v>
      </c>
      <c r="AG788" s="466">
        <v>0</v>
      </c>
      <c r="AH788" s="466">
        <v>23921.16</v>
      </c>
      <c r="AI788" s="466">
        <v>7862.94</v>
      </c>
      <c r="AJ788" s="469" t="s">
        <v>2690</v>
      </c>
      <c r="AK788" s="470" t="s">
        <v>2691</v>
      </c>
      <c r="AL788" s="471" t="s">
        <v>7220</v>
      </c>
      <c r="AM788" s="470" t="s">
        <v>13626</v>
      </c>
      <c r="AN788" s="470" t="s">
        <v>7218</v>
      </c>
      <c r="AO788" s="470" t="s">
        <v>7221</v>
      </c>
      <c r="AP788" s="470" t="s">
        <v>7222</v>
      </c>
      <c r="AQ788" s="470" t="s">
        <v>7216</v>
      </c>
      <c r="AR788" s="472" t="s">
        <v>515</v>
      </c>
      <c r="AS788" s="473" t="s">
        <v>1385</v>
      </c>
      <c r="AT788" s="472" t="s">
        <v>517</v>
      </c>
      <c r="AU788" s="472" t="s">
        <v>420</v>
      </c>
      <c r="AV788" s="472">
        <v>2020</v>
      </c>
      <c r="AW788" s="474" t="s">
        <v>15078</v>
      </c>
      <c r="AX788" s="475" t="s">
        <v>15079</v>
      </c>
      <c r="AY788" s="515">
        <v>1</v>
      </c>
      <c r="AZ788" s="474" t="s">
        <v>15079</v>
      </c>
      <c r="BA788" s="472" t="s">
        <v>1385</v>
      </c>
      <c r="BB788" s="472" t="s">
        <v>1385</v>
      </c>
      <c r="BC788" s="472" t="s">
        <v>1385</v>
      </c>
      <c r="BD788" s="472" t="s">
        <v>1385</v>
      </c>
      <c r="BE788" s="472" t="s">
        <v>1385</v>
      </c>
      <c r="BF788" s="472">
        <v>39314.699999999997</v>
      </c>
      <c r="BG788" s="472">
        <v>0</v>
      </c>
      <c r="BH788" s="472" t="s">
        <v>516</v>
      </c>
      <c r="BI788" s="510">
        <v>0</v>
      </c>
      <c r="BJ788" s="510">
        <v>0</v>
      </c>
      <c r="BK788" s="510">
        <v>0</v>
      </c>
      <c r="BL788" s="510">
        <v>0</v>
      </c>
      <c r="BM788" s="510">
        <v>0</v>
      </c>
      <c r="BN788" s="510">
        <v>0</v>
      </c>
      <c r="BO788" s="510">
        <v>0</v>
      </c>
      <c r="BP788" s="510">
        <v>0</v>
      </c>
      <c r="BQ788" s="510">
        <v>0</v>
      </c>
      <c r="BR788" s="510">
        <v>0</v>
      </c>
      <c r="BS788" s="510">
        <v>0</v>
      </c>
      <c r="BT788" s="510">
        <v>0</v>
      </c>
      <c r="BU788" s="510">
        <v>0</v>
      </c>
      <c r="BV788" s="510">
        <v>0</v>
      </c>
      <c r="BW788" s="510">
        <v>0</v>
      </c>
      <c r="BX788" s="510">
        <v>0</v>
      </c>
      <c r="BY788" s="1011">
        <v>0</v>
      </c>
      <c r="BZ788" s="510">
        <v>0</v>
      </c>
      <c r="CA788" s="1011">
        <v>0</v>
      </c>
      <c r="CB788" s="510">
        <v>0</v>
      </c>
      <c r="CC788" s="1011">
        <v>0</v>
      </c>
      <c r="CD788" s="510">
        <v>0</v>
      </c>
      <c r="CE788" s="1011">
        <v>0</v>
      </c>
      <c r="CF788" s="510">
        <v>0</v>
      </c>
      <c r="CG788" s="1011">
        <v>0</v>
      </c>
      <c r="CH788" s="510">
        <v>0</v>
      </c>
      <c r="CI788" s="1011">
        <v>0</v>
      </c>
    </row>
    <row r="789" spans="1:87" x14ac:dyDescent="0.2">
      <c r="A789" s="449">
        <v>44</v>
      </c>
      <c r="B789" s="453">
        <v>92771</v>
      </c>
      <c r="C789" s="454" t="s">
        <v>7223</v>
      </c>
      <c r="D789" s="454" t="s">
        <v>517</v>
      </c>
      <c r="E789" s="454" t="s">
        <v>7224</v>
      </c>
      <c r="F789" s="454" t="s">
        <v>519</v>
      </c>
      <c r="G789" s="454" t="s">
        <v>13627</v>
      </c>
      <c r="H789" s="455">
        <v>50057439000129</v>
      </c>
      <c r="I789" s="462">
        <v>30088</v>
      </c>
      <c r="J789" s="457">
        <v>37356313</v>
      </c>
      <c r="K789" s="454" t="s">
        <v>7226</v>
      </c>
      <c r="L789" s="458">
        <v>60</v>
      </c>
      <c r="M789" s="454" t="s">
        <v>5292</v>
      </c>
      <c r="N789" s="459">
        <v>5583080</v>
      </c>
      <c r="O789" s="460">
        <v>37824889</v>
      </c>
      <c r="P789" s="462">
        <v>118098</v>
      </c>
      <c r="Q789" s="462">
        <v>28</v>
      </c>
      <c r="R789" s="462">
        <v>43881</v>
      </c>
      <c r="S789" s="463">
        <v>746</v>
      </c>
      <c r="T789" s="464">
        <v>5.4</v>
      </c>
      <c r="U789" s="465">
        <v>4028.4</v>
      </c>
      <c r="V789" s="465">
        <v>18720</v>
      </c>
      <c r="W789" s="466">
        <v>0</v>
      </c>
      <c r="X789" s="467">
        <v>1</v>
      </c>
      <c r="Y789" s="466">
        <v>0</v>
      </c>
      <c r="Z789" s="468" t="s">
        <v>514</v>
      </c>
      <c r="AA789" s="466">
        <v>0</v>
      </c>
      <c r="AB789" s="466">
        <v>0</v>
      </c>
      <c r="AC789" s="467">
        <v>0</v>
      </c>
      <c r="AD789" s="466">
        <v>0</v>
      </c>
      <c r="AE789" s="468" t="s">
        <v>516</v>
      </c>
      <c r="AF789" s="466">
        <v>0</v>
      </c>
      <c r="AG789" s="466">
        <v>0</v>
      </c>
      <c r="AH789" s="466">
        <v>4189.76</v>
      </c>
      <c r="AI789" s="466">
        <v>3084.95</v>
      </c>
      <c r="AJ789" s="469" t="s">
        <v>2690</v>
      </c>
      <c r="AK789" s="470" t="s">
        <v>2691</v>
      </c>
      <c r="AL789" s="471" t="s">
        <v>7227</v>
      </c>
      <c r="AM789" s="470" t="s">
        <v>7228</v>
      </c>
      <c r="AN789" s="470" t="s">
        <v>7225</v>
      </c>
      <c r="AO789" s="470" t="s">
        <v>7229</v>
      </c>
      <c r="AP789" s="470" t="s">
        <v>7230</v>
      </c>
      <c r="AQ789" s="470" t="s">
        <v>7223</v>
      </c>
      <c r="AR789" s="472" t="s">
        <v>515</v>
      </c>
      <c r="AS789" s="473" t="s">
        <v>1385</v>
      </c>
      <c r="AT789" s="472" t="s">
        <v>517</v>
      </c>
      <c r="AU789" s="472" t="s">
        <v>420</v>
      </c>
      <c r="AV789" s="472">
        <v>2020</v>
      </c>
      <c r="AW789" s="474" t="s">
        <v>15078</v>
      </c>
      <c r="AX789" s="475" t="s">
        <v>15079</v>
      </c>
      <c r="AY789" s="515">
        <v>1</v>
      </c>
      <c r="AZ789" s="474" t="s">
        <v>15079</v>
      </c>
      <c r="BA789" s="472" t="s">
        <v>1385</v>
      </c>
      <c r="BB789" s="472" t="s">
        <v>1385</v>
      </c>
      <c r="BC789" s="472" t="s">
        <v>1385</v>
      </c>
      <c r="BD789" s="472" t="s">
        <v>1385</v>
      </c>
      <c r="BE789" s="472" t="s">
        <v>1385</v>
      </c>
      <c r="BF789" s="472">
        <v>34122.6</v>
      </c>
      <c r="BG789" s="472">
        <v>0</v>
      </c>
      <c r="BH789" s="472" t="s">
        <v>516</v>
      </c>
      <c r="BI789" s="510">
        <v>0</v>
      </c>
      <c r="BJ789" s="510">
        <v>0</v>
      </c>
      <c r="BK789" s="510">
        <v>0</v>
      </c>
      <c r="BL789" s="510">
        <v>0</v>
      </c>
      <c r="BM789" s="510">
        <v>0</v>
      </c>
      <c r="BN789" s="510">
        <v>0</v>
      </c>
      <c r="BO789" s="510">
        <v>0</v>
      </c>
      <c r="BP789" s="510">
        <v>0</v>
      </c>
      <c r="BQ789" s="510">
        <v>0</v>
      </c>
      <c r="BR789" s="510">
        <v>0</v>
      </c>
      <c r="BS789" s="510">
        <v>0</v>
      </c>
      <c r="BT789" s="510">
        <v>0</v>
      </c>
      <c r="BU789" s="510">
        <v>0</v>
      </c>
      <c r="BV789" s="510">
        <v>0</v>
      </c>
      <c r="BW789" s="510">
        <v>0</v>
      </c>
      <c r="BX789" s="510">
        <v>0</v>
      </c>
      <c r="BY789" s="1011">
        <v>0</v>
      </c>
      <c r="BZ789" s="510">
        <v>0</v>
      </c>
      <c r="CA789" s="1011">
        <v>0</v>
      </c>
      <c r="CB789" s="510">
        <v>0</v>
      </c>
      <c r="CC789" s="1011">
        <v>0</v>
      </c>
      <c r="CD789" s="510">
        <v>0</v>
      </c>
      <c r="CE789" s="1011">
        <v>0</v>
      </c>
      <c r="CF789" s="510">
        <v>0</v>
      </c>
      <c r="CG789" s="1011">
        <v>0</v>
      </c>
      <c r="CH789" s="510">
        <v>0</v>
      </c>
      <c r="CI789" s="1011">
        <v>0</v>
      </c>
    </row>
    <row r="790" spans="1:87" x14ac:dyDescent="0.2">
      <c r="A790" s="449">
        <v>38</v>
      </c>
      <c r="B790" s="453">
        <v>92789</v>
      </c>
      <c r="C790" s="454" t="s">
        <v>7231</v>
      </c>
      <c r="D790" s="454" t="s">
        <v>517</v>
      </c>
      <c r="E790" s="454" t="s">
        <v>7232</v>
      </c>
      <c r="F790" s="454" t="s">
        <v>519</v>
      </c>
      <c r="G790" s="454" t="s">
        <v>13628</v>
      </c>
      <c r="H790" s="455">
        <v>52033776000101</v>
      </c>
      <c r="I790" s="462">
        <v>30295</v>
      </c>
      <c r="J790" s="457">
        <v>37355651</v>
      </c>
      <c r="K790" s="454" t="s">
        <v>7234</v>
      </c>
      <c r="L790" s="458">
        <v>150</v>
      </c>
      <c r="M790" s="454" t="s">
        <v>7235</v>
      </c>
      <c r="N790" s="459">
        <v>5396070</v>
      </c>
      <c r="O790" s="460">
        <v>37825470</v>
      </c>
      <c r="P790" s="462">
        <v>115919</v>
      </c>
      <c r="Q790" s="462">
        <v>22</v>
      </c>
      <c r="R790" s="462">
        <v>43881</v>
      </c>
      <c r="S790" s="463">
        <v>1131</v>
      </c>
      <c r="T790" s="464">
        <v>5.4</v>
      </c>
      <c r="U790" s="465">
        <v>6107.4</v>
      </c>
      <c r="V790" s="465">
        <v>20340</v>
      </c>
      <c r="W790" s="466">
        <v>0</v>
      </c>
      <c r="X790" s="467">
        <v>1</v>
      </c>
      <c r="Y790" s="466">
        <v>0</v>
      </c>
      <c r="Z790" s="468" t="s">
        <v>514</v>
      </c>
      <c r="AA790" s="466">
        <v>0</v>
      </c>
      <c r="AB790" s="466">
        <v>0</v>
      </c>
      <c r="AC790" s="467">
        <v>0</v>
      </c>
      <c r="AD790" s="466">
        <v>0</v>
      </c>
      <c r="AE790" s="468" t="s">
        <v>516</v>
      </c>
      <c r="AF790" s="466">
        <v>0</v>
      </c>
      <c r="AG790" s="466">
        <v>0</v>
      </c>
      <c r="AH790" s="466">
        <v>72.47</v>
      </c>
      <c r="AI790" s="466">
        <v>0.09</v>
      </c>
      <c r="AJ790" s="469" t="s">
        <v>3585</v>
      </c>
      <c r="AK790" s="470" t="s">
        <v>3988</v>
      </c>
      <c r="AL790" s="471" t="s">
        <v>7236</v>
      </c>
      <c r="AM790" s="470" t="s">
        <v>7237</v>
      </c>
      <c r="AN790" s="470" t="s">
        <v>7233</v>
      </c>
      <c r="AO790" s="470" t="s">
        <v>7238</v>
      </c>
      <c r="AP790" s="470" t="s">
        <v>7239</v>
      </c>
      <c r="AQ790" s="470" t="s">
        <v>7231</v>
      </c>
      <c r="AR790" s="472" t="s">
        <v>515</v>
      </c>
      <c r="AS790" s="473" t="s">
        <v>1385</v>
      </c>
      <c r="AT790" s="472" t="s">
        <v>517</v>
      </c>
      <c r="AU790" s="472" t="s">
        <v>420</v>
      </c>
      <c r="AV790" s="472">
        <v>2020</v>
      </c>
      <c r="AW790" s="474" t="s">
        <v>15078</v>
      </c>
      <c r="AX790" s="475" t="s">
        <v>15079</v>
      </c>
      <c r="AY790" s="515">
        <v>1</v>
      </c>
      <c r="AZ790" s="474" t="s">
        <v>15079</v>
      </c>
      <c r="BA790" s="472" t="s">
        <v>1385</v>
      </c>
      <c r="BB790" s="472" t="s">
        <v>1385</v>
      </c>
      <c r="BC790" s="472" t="s">
        <v>1385</v>
      </c>
      <c r="BD790" s="472" t="s">
        <v>1385</v>
      </c>
      <c r="BE790" s="472" t="s">
        <v>1385</v>
      </c>
      <c r="BF790" s="472">
        <v>39671.1</v>
      </c>
      <c r="BG790" s="472">
        <v>0</v>
      </c>
      <c r="BH790" s="472" t="s">
        <v>516</v>
      </c>
      <c r="BI790" s="510">
        <v>0</v>
      </c>
      <c r="BJ790" s="510">
        <v>0</v>
      </c>
      <c r="BK790" s="510">
        <v>0</v>
      </c>
      <c r="BL790" s="510">
        <v>0</v>
      </c>
      <c r="BM790" s="510">
        <v>0</v>
      </c>
      <c r="BN790" s="510">
        <v>0</v>
      </c>
      <c r="BO790" s="510">
        <v>0</v>
      </c>
      <c r="BP790" s="510">
        <v>0</v>
      </c>
      <c r="BQ790" s="510">
        <v>0</v>
      </c>
      <c r="BR790" s="510">
        <v>0</v>
      </c>
      <c r="BS790" s="510">
        <v>0</v>
      </c>
      <c r="BT790" s="510">
        <v>0</v>
      </c>
      <c r="BU790" s="510">
        <v>0</v>
      </c>
      <c r="BV790" s="510">
        <v>0</v>
      </c>
      <c r="BW790" s="510">
        <v>0</v>
      </c>
      <c r="BX790" s="510">
        <v>0</v>
      </c>
      <c r="BY790" s="1011">
        <v>0</v>
      </c>
      <c r="BZ790" s="510">
        <v>0</v>
      </c>
      <c r="CA790" s="1011">
        <v>0</v>
      </c>
      <c r="CB790" s="510">
        <v>0</v>
      </c>
      <c r="CC790" s="1011">
        <v>0</v>
      </c>
      <c r="CD790" s="510">
        <v>0</v>
      </c>
      <c r="CE790" s="1011">
        <v>0</v>
      </c>
      <c r="CF790" s="510">
        <v>0</v>
      </c>
      <c r="CG790" s="1011">
        <v>0</v>
      </c>
      <c r="CH790" s="510">
        <v>0</v>
      </c>
      <c r="CI790" s="1011">
        <v>0</v>
      </c>
    </row>
    <row r="791" spans="1:87" x14ac:dyDescent="0.2">
      <c r="A791" s="449">
        <v>37</v>
      </c>
      <c r="B791" s="453">
        <v>92797</v>
      </c>
      <c r="C791" s="454" t="s">
        <v>7240</v>
      </c>
      <c r="D791" s="454" t="s">
        <v>517</v>
      </c>
      <c r="E791" s="454" t="s">
        <v>7241</v>
      </c>
      <c r="F791" s="454" t="s">
        <v>519</v>
      </c>
      <c r="G791" s="454" t="s">
        <v>13629</v>
      </c>
      <c r="H791" s="455">
        <v>51235471000110</v>
      </c>
      <c r="I791" s="462">
        <v>29012</v>
      </c>
      <c r="J791" s="457">
        <v>37355627</v>
      </c>
      <c r="K791" s="454" t="s">
        <v>7243</v>
      </c>
      <c r="L791" s="458">
        <v>25</v>
      </c>
      <c r="M791" s="454" t="s">
        <v>1941</v>
      </c>
      <c r="N791" s="459">
        <v>5594040</v>
      </c>
      <c r="O791" s="460">
        <v>37352158</v>
      </c>
      <c r="P791" s="462">
        <v>117539</v>
      </c>
      <c r="Q791" s="462">
        <v>21</v>
      </c>
      <c r="R791" s="462">
        <v>43881</v>
      </c>
      <c r="S791" s="463">
        <v>885</v>
      </c>
      <c r="T791" s="464">
        <v>5.4</v>
      </c>
      <c r="U791" s="465">
        <v>4779</v>
      </c>
      <c r="V791" s="465">
        <v>18720</v>
      </c>
      <c r="W791" s="466">
        <v>0</v>
      </c>
      <c r="X791" s="467">
        <v>1</v>
      </c>
      <c r="Y791" s="466">
        <v>0</v>
      </c>
      <c r="Z791" s="468" t="s">
        <v>514</v>
      </c>
      <c r="AA791" s="466">
        <v>0</v>
      </c>
      <c r="AB791" s="466">
        <v>0</v>
      </c>
      <c r="AC791" s="467">
        <v>0</v>
      </c>
      <c r="AD791" s="466">
        <v>0</v>
      </c>
      <c r="AE791" s="468" t="s">
        <v>516</v>
      </c>
      <c r="AF791" s="466">
        <v>0</v>
      </c>
      <c r="AG791" s="466">
        <v>0</v>
      </c>
      <c r="AH791" s="466">
        <v>9329.7099999999991</v>
      </c>
      <c r="AI791" s="466">
        <v>13516.47</v>
      </c>
      <c r="AJ791" s="469" t="s">
        <v>1940</v>
      </c>
      <c r="AK791" s="470" t="s">
        <v>1941</v>
      </c>
      <c r="AL791" s="471" t="s">
        <v>7244</v>
      </c>
      <c r="AM791" s="470" t="s">
        <v>7245</v>
      </c>
      <c r="AN791" s="470" t="s">
        <v>7242</v>
      </c>
      <c r="AO791" s="470" t="s">
        <v>7246</v>
      </c>
      <c r="AP791" s="470" t="s">
        <v>7247</v>
      </c>
      <c r="AQ791" s="470" t="s">
        <v>7240</v>
      </c>
      <c r="AR791" s="472" t="s">
        <v>515</v>
      </c>
      <c r="AS791" s="473" t="s">
        <v>1385</v>
      </c>
      <c r="AT791" s="472" t="s">
        <v>517</v>
      </c>
      <c r="AU791" s="472" t="s">
        <v>420</v>
      </c>
      <c r="AV791" s="472">
        <v>2020</v>
      </c>
      <c r="AW791" s="474" t="s">
        <v>15078</v>
      </c>
      <c r="AX791" s="475" t="s">
        <v>15079</v>
      </c>
      <c r="AY791" s="515">
        <v>1</v>
      </c>
      <c r="AZ791" s="474" t="s">
        <v>15079</v>
      </c>
      <c r="BA791" s="472" t="s">
        <v>1385</v>
      </c>
      <c r="BB791" s="472" t="s">
        <v>1385</v>
      </c>
      <c r="BC791" s="472" t="s">
        <v>1385</v>
      </c>
      <c r="BD791" s="472" t="s">
        <v>1385</v>
      </c>
      <c r="BE791" s="472" t="s">
        <v>1385</v>
      </c>
      <c r="BF791" s="472">
        <v>35248.5</v>
      </c>
      <c r="BG791" s="472">
        <v>0</v>
      </c>
      <c r="BH791" s="472" t="s">
        <v>516</v>
      </c>
      <c r="BI791" s="510">
        <v>0</v>
      </c>
      <c r="BJ791" s="510">
        <v>0</v>
      </c>
      <c r="BK791" s="510">
        <v>0</v>
      </c>
      <c r="BL791" s="510">
        <v>0</v>
      </c>
      <c r="BM791" s="510">
        <v>0</v>
      </c>
      <c r="BN791" s="510">
        <v>0</v>
      </c>
      <c r="BO791" s="510">
        <v>0</v>
      </c>
      <c r="BP791" s="510">
        <v>0</v>
      </c>
      <c r="BQ791" s="510">
        <v>0</v>
      </c>
      <c r="BR791" s="510">
        <v>0</v>
      </c>
      <c r="BS791" s="510">
        <v>0</v>
      </c>
      <c r="BT791" s="510">
        <v>0</v>
      </c>
      <c r="BU791" s="510">
        <v>0</v>
      </c>
      <c r="BV791" s="510">
        <v>0</v>
      </c>
      <c r="BW791" s="510">
        <v>0</v>
      </c>
      <c r="BX791" s="510">
        <v>0</v>
      </c>
      <c r="BY791" s="1011">
        <v>0</v>
      </c>
      <c r="BZ791" s="510">
        <v>0</v>
      </c>
      <c r="CA791" s="1011">
        <v>0</v>
      </c>
      <c r="CB791" s="510">
        <v>0</v>
      </c>
      <c r="CC791" s="1011">
        <v>0</v>
      </c>
      <c r="CD791" s="510">
        <v>0</v>
      </c>
      <c r="CE791" s="1011">
        <v>0</v>
      </c>
      <c r="CF791" s="510">
        <v>0</v>
      </c>
      <c r="CG791" s="1011">
        <v>0</v>
      </c>
      <c r="CH791" s="510">
        <v>0</v>
      </c>
      <c r="CI791" s="1011">
        <v>0</v>
      </c>
    </row>
    <row r="792" spans="1:87" x14ac:dyDescent="0.2">
      <c r="A792" s="449">
        <v>31</v>
      </c>
      <c r="B792" s="453">
        <v>92801</v>
      </c>
      <c r="C792" s="454" t="s">
        <v>7248</v>
      </c>
      <c r="D792" s="454" t="s">
        <v>517</v>
      </c>
      <c r="E792" s="454" t="s">
        <v>7249</v>
      </c>
      <c r="F792" s="454" t="s">
        <v>519</v>
      </c>
      <c r="G792" s="454" t="s">
        <v>13630</v>
      </c>
      <c r="H792" s="455">
        <v>45005642000111</v>
      </c>
      <c r="I792" s="462">
        <v>29550</v>
      </c>
      <c r="J792" s="457">
        <v>37163558</v>
      </c>
      <c r="K792" s="454" t="s">
        <v>7251</v>
      </c>
      <c r="L792" s="458">
        <v>263</v>
      </c>
      <c r="M792" s="454" t="s">
        <v>7252</v>
      </c>
      <c r="N792" s="459">
        <v>5368020</v>
      </c>
      <c r="O792" s="460">
        <v>37354381</v>
      </c>
      <c r="P792" s="462">
        <v>127534</v>
      </c>
      <c r="Q792" s="462">
        <v>15</v>
      </c>
      <c r="R792" s="462">
        <v>43881</v>
      </c>
      <c r="S792" s="463">
        <v>672</v>
      </c>
      <c r="T792" s="464">
        <v>5.4</v>
      </c>
      <c r="U792" s="465">
        <v>3628.8</v>
      </c>
      <c r="V792" s="465">
        <v>17100</v>
      </c>
      <c r="W792" s="466">
        <v>0</v>
      </c>
      <c r="X792" s="467">
        <v>1</v>
      </c>
      <c r="Y792" s="466">
        <v>0</v>
      </c>
      <c r="Z792" s="468" t="s">
        <v>514</v>
      </c>
      <c r="AA792" s="466">
        <v>0</v>
      </c>
      <c r="AB792" s="466">
        <v>0</v>
      </c>
      <c r="AC792" s="467">
        <v>0</v>
      </c>
      <c r="AD792" s="466">
        <v>0</v>
      </c>
      <c r="AE792" s="468" t="s">
        <v>516</v>
      </c>
      <c r="AF792" s="466">
        <v>0</v>
      </c>
      <c r="AG792" s="466">
        <v>0</v>
      </c>
      <c r="AH792" s="466">
        <v>12.26</v>
      </c>
      <c r="AI792" s="466">
        <v>6896.87</v>
      </c>
      <c r="AJ792" s="469" t="s">
        <v>1940</v>
      </c>
      <c r="AK792" s="470" t="s">
        <v>1941</v>
      </c>
      <c r="AL792" s="471" t="s">
        <v>7253</v>
      </c>
      <c r="AM792" s="470" t="s">
        <v>7254</v>
      </c>
      <c r="AN792" s="470" t="s">
        <v>7250</v>
      </c>
      <c r="AO792" s="470" t="s">
        <v>7255</v>
      </c>
      <c r="AP792" s="470" t="s">
        <v>7256</v>
      </c>
      <c r="AQ792" s="470" t="s">
        <v>7248</v>
      </c>
      <c r="AR792" s="472" t="s">
        <v>515</v>
      </c>
      <c r="AS792" s="473" t="s">
        <v>1385</v>
      </c>
      <c r="AT792" s="472" t="s">
        <v>517</v>
      </c>
      <c r="AU792" s="472" t="s">
        <v>420</v>
      </c>
      <c r="AV792" s="472">
        <v>2020</v>
      </c>
      <c r="AW792" s="474" t="s">
        <v>15078</v>
      </c>
      <c r="AX792" s="475" t="s">
        <v>15079</v>
      </c>
      <c r="AY792" s="515">
        <v>1</v>
      </c>
      <c r="AZ792" s="474" t="s">
        <v>15079</v>
      </c>
      <c r="BA792" s="472" t="s">
        <v>1385</v>
      </c>
      <c r="BB792" s="472" t="s">
        <v>1385</v>
      </c>
      <c r="BC792" s="472" t="s">
        <v>1385</v>
      </c>
      <c r="BD792" s="472" t="s">
        <v>1385</v>
      </c>
      <c r="BE792" s="472" t="s">
        <v>1385</v>
      </c>
      <c r="BF792" s="472">
        <v>31093.200000000001</v>
      </c>
      <c r="BG792" s="472">
        <v>0</v>
      </c>
      <c r="BH792" s="472" t="s">
        <v>516</v>
      </c>
      <c r="BI792" s="510">
        <v>0</v>
      </c>
      <c r="BJ792" s="510">
        <v>0</v>
      </c>
      <c r="BK792" s="510">
        <v>0</v>
      </c>
      <c r="BL792" s="510">
        <v>1.1599999999999999</v>
      </c>
      <c r="BM792" s="510">
        <v>0</v>
      </c>
      <c r="BN792" s="510">
        <v>0</v>
      </c>
      <c r="BO792" s="510">
        <v>0</v>
      </c>
      <c r="BP792" s="510">
        <v>0</v>
      </c>
      <c r="BQ792" s="510">
        <v>0</v>
      </c>
      <c r="BR792" s="510">
        <v>0</v>
      </c>
      <c r="BS792" s="510">
        <v>0</v>
      </c>
      <c r="BT792" s="510">
        <v>0</v>
      </c>
      <c r="BU792" s="510">
        <v>0</v>
      </c>
      <c r="BV792" s="510">
        <v>0</v>
      </c>
      <c r="BW792" s="510">
        <v>0</v>
      </c>
      <c r="BX792" s="510">
        <v>0</v>
      </c>
      <c r="BY792" s="1011">
        <v>0</v>
      </c>
      <c r="BZ792" s="510">
        <v>0</v>
      </c>
      <c r="CA792" s="1011">
        <v>0</v>
      </c>
      <c r="CB792" s="510">
        <v>0</v>
      </c>
      <c r="CC792" s="1011">
        <v>0</v>
      </c>
      <c r="CD792" s="510">
        <v>0</v>
      </c>
      <c r="CE792" s="1011">
        <v>0</v>
      </c>
      <c r="CF792" s="510">
        <v>0</v>
      </c>
      <c r="CG792" s="1011">
        <v>0</v>
      </c>
      <c r="CH792" s="510">
        <v>0</v>
      </c>
      <c r="CI792" s="1011">
        <v>0</v>
      </c>
    </row>
    <row r="793" spans="1:87" x14ac:dyDescent="0.2">
      <c r="A793" s="449">
        <v>25</v>
      </c>
      <c r="B793" s="453">
        <v>92819</v>
      </c>
      <c r="C793" s="454" t="s">
        <v>7257</v>
      </c>
      <c r="D793" s="454" t="s">
        <v>517</v>
      </c>
      <c r="E793" s="454" t="s">
        <v>7258</v>
      </c>
      <c r="F793" s="454" t="s">
        <v>519</v>
      </c>
      <c r="G793" s="454" t="s">
        <v>13631</v>
      </c>
      <c r="H793" s="455">
        <v>48322630000109</v>
      </c>
      <c r="I793" s="462">
        <v>29950</v>
      </c>
      <c r="J793" s="457">
        <v>37354710</v>
      </c>
      <c r="K793" s="454" t="s">
        <v>7260</v>
      </c>
      <c r="L793" s="458">
        <v>94</v>
      </c>
      <c r="M793" s="454" t="s">
        <v>2691</v>
      </c>
      <c r="N793" s="459">
        <v>5382040</v>
      </c>
      <c r="O793" s="460">
        <v>37636985</v>
      </c>
      <c r="P793" s="462">
        <v>123903</v>
      </c>
      <c r="Q793" s="462">
        <v>7</v>
      </c>
      <c r="R793" s="462">
        <v>43881</v>
      </c>
      <c r="S793" s="463">
        <v>938</v>
      </c>
      <c r="T793" s="464">
        <v>5.4</v>
      </c>
      <c r="U793" s="465">
        <v>5065.2</v>
      </c>
      <c r="V793" s="465">
        <v>20340</v>
      </c>
      <c r="W793" s="466">
        <v>0</v>
      </c>
      <c r="X793" s="467">
        <v>1</v>
      </c>
      <c r="Y793" s="466">
        <v>0</v>
      </c>
      <c r="Z793" s="468" t="s">
        <v>514</v>
      </c>
      <c r="AA793" s="466">
        <v>0</v>
      </c>
      <c r="AB793" s="466">
        <v>0</v>
      </c>
      <c r="AC793" s="467">
        <v>0</v>
      </c>
      <c r="AD793" s="466">
        <v>0</v>
      </c>
      <c r="AE793" s="468" t="s">
        <v>516</v>
      </c>
      <c r="AF793" s="466">
        <v>0</v>
      </c>
      <c r="AG793" s="466">
        <v>0</v>
      </c>
      <c r="AH793" s="466">
        <v>24663.15</v>
      </c>
      <c r="AI793" s="466">
        <v>15645.55</v>
      </c>
      <c r="AJ793" s="469" t="s">
        <v>2690</v>
      </c>
      <c r="AK793" s="470" t="s">
        <v>2691</v>
      </c>
      <c r="AL793" s="471" t="s">
        <v>7261</v>
      </c>
      <c r="AM793" s="470" t="s">
        <v>7262</v>
      </c>
      <c r="AN793" s="470" t="s">
        <v>7259</v>
      </c>
      <c r="AO793" s="470" t="s">
        <v>7263</v>
      </c>
      <c r="AP793" s="470" t="s">
        <v>7264</v>
      </c>
      <c r="AQ793" s="470" t="s">
        <v>7257</v>
      </c>
      <c r="AR793" s="472" t="s">
        <v>515</v>
      </c>
      <c r="AS793" s="473" t="s">
        <v>1385</v>
      </c>
      <c r="AT793" s="472" t="s">
        <v>517</v>
      </c>
      <c r="AU793" s="472" t="s">
        <v>420</v>
      </c>
      <c r="AV793" s="472">
        <v>2020</v>
      </c>
      <c r="AW793" s="474" t="s">
        <v>15078</v>
      </c>
      <c r="AX793" s="475" t="s">
        <v>15079</v>
      </c>
      <c r="AY793" s="515">
        <v>1</v>
      </c>
      <c r="AZ793" s="474" t="s">
        <v>15079</v>
      </c>
      <c r="BA793" s="472" t="s">
        <v>1385</v>
      </c>
      <c r="BB793" s="472" t="s">
        <v>516</v>
      </c>
      <c r="BC793" s="472">
        <v>4</v>
      </c>
      <c r="BD793" s="472">
        <v>5085</v>
      </c>
      <c r="BE793" s="472">
        <v>0</v>
      </c>
      <c r="BF793" s="472">
        <v>45735.3</v>
      </c>
      <c r="BG793" s="472">
        <v>0</v>
      </c>
      <c r="BH793" s="472" t="s">
        <v>516</v>
      </c>
      <c r="BI793" s="510">
        <v>0</v>
      </c>
      <c r="BJ793" s="510">
        <v>0</v>
      </c>
      <c r="BK793" s="510">
        <v>0</v>
      </c>
      <c r="BL793" s="510">
        <v>0</v>
      </c>
      <c r="BM793" s="510">
        <v>0</v>
      </c>
      <c r="BN793" s="510">
        <v>0</v>
      </c>
      <c r="BO793" s="510">
        <v>0</v>
      </c>
      <c r="BP793" s="510">
        <v>0</v>
      </c>
      <c r="BQ793" s="510">
        <v>0</v>
      </c>
      <c r="BR793" s="510">
        <v>0</v>
      </c>
      <c r="BS793" s="510">
        <v>0</v>
      </c>
      <c r="BT793" s="510">
        <v>0</v>
      </c>
      <c r="BU793" s="510">
        <v>0</v>
      </c>
      <c r="BV793" s="510">
        <v>0</v>
      </c>
      <c r="BW793" s="510">
        <v>0</v>
      </c>
      <c r="BX793" s="510">
        <v>0</v>
      </c>
      <c r="BY793" s="1011">
        <v>0</v>
      </c>
      <c r="BZ793" s="510">
        <v>0</v>
      </c>
      <c r="CA793" s="1011">
        <v>0</v>
      </c>
      <c r="CB793" s="510">
        <v>0</v>
      </c>
      <c r="CC793" s="1011">
        <v>0</v>
      </c>
      <c r="CD793" s="510">
        <v>0</v>
      </c>
      <c r="CE793" s="1011">
        <v>0</v>
      </c>
      <c r="CF793" s="510">
        <v>0</v>
      </c>
      <c r="CG793" s="1011">
        <v>0</v>
      </c>
      <c r="CH793" s="510">
        <v>0</v>
      </c>
      <c r="CI793" s="1011">
        <v>0</v>
      </c>
    </row>
    <row r="794" spans="1:87" x14ac:dyDescent="0.2">
      <c r="A794" s="449">
        <v>22</v>
      </c>
      <c r="B794" s="453">
        <v>92827</v>
      </c>
      <c r="C794" s="454" t="s">
        <v>7265</v>
      </c>
      <c r="D794" s="454" t="s">
        <v>517</v>
      </c>
      <c r="E794" s="454" t="s">
        <v>7266</v>
      </c>
      <c r="F794" s="454" t="s">
        <v>519</v>
      </c>
      <c r="G794" s="454" t="s">
        <v>13632</v>
      </c>
      <c r="H794" s="455">
        <v>52032125000105</v>
      </c>
      <c r="I794" s="462">
        <v>30283</v>
      </c>
      <c r="J794" s="457">
        <v>37354590</v>
      </c>
      <c r="K794" s="454" t="s">
        <v>7268</v>
      </c>
      <c r="L794" s="458">
        <v>611</v>
      </c>
      <c r="M794" s="454" t="s">
        <v>5301</v>
      </c>
      <c r="N794" s="459">
        <v>5386070</v>
      </c>
      <c r="O794" s="460">
        <v>37120676</v>
      </c>
      <c r="P794" s="462">
        <v>122150</v>
      </c>
      <c r="Q794" s="462">
        <v>4</v>
      </c>
      <c r="R794" s="462">
        <v>43881</v>
      </c>
      <c r="S794" s="463">
        <v>582</v>
      </c>
      <c r="T794" s="464">
        <v>5.4</v>
      </c>
      <c r="U794" s="465">
        <v>3142.8</v>
      </c>
      <c r="V794" s="465">
        <v>17100</v>
      </c>
      <c r="W794" s="466">
        <v>0</v>
      </c>
      <c r="X794" s="467">
        <v>1</v>
      </c>
      <c r="Y794" s="466">
        <v>0</v>
      </c>
      <c r="Z794" s="468" t="s">
        <v>514</v>
      </c>
      <c r="AA794" s="466">
        <v>0</v>
      </c>
      <c r="AB794" s="466">
        <v>0</v>
      </c>
      <c r="AC794" s="467">
        <v>0</v>
      </c>
      <c r="AD794" s="466">
        <v>0</v>
      </c>
      <c r="AE794" s="468" t="s">
        <v>516</v>
      </c>
      <c r="AF794" s="466">
        <v>0</v>
      </c>
      <c r="AG794" s="466">
        <v>0</v>
      </c>
      <c r="AH794" s="466">
        <v>447.46</v>
      </c>
      <c r="AI794" s="466">
        <v>1018.56</v>
      </c>
      <c r="AJ794" s="469" t="s">
        <v>2690</v>
      </c>
      <c r="AK794" s="470" t="s">
        <v>2691</v>
      </c>
      <c r="AL794" s="471" t="s">
        <v>7269</v>
      </c>
      <c r="AM794" s="470" t="s">
        <v>7270</v>
      </c>
      <c r="AN794" s="470" t="s">
        <v>7267</v>
      </c>
      <c r="AO794" s="470" t="s">
        <v>7271</v>
      </c>
      <c r="AP794" s="470" t="s">
        <v>7272</v>
      </c>
      <c r="AQ794" s="470" t="s">
        <v>7265</v>
      </c>
      <c r="AR794" s="472" t="s">
        <v>515</v>
      </c>
      <c r="AS794" s="473" t="s">
        <v>1385</v>
      </c>
      <c r="AT794" s="472" t="s">
        <v>517</v>
      </c>
      <c r="AU794" s="472" t="s">
        <v>420</v>
      </c>
      <c r="AV794" s="472">
        <v>2020</v>
      </c>
      <c r="AW794" s="474" t="s">
        <v>15078</v>
      </c>
      <c r="AX794" s="475" t="s">
        <v>15079</v>
      </c>
      <c r="AY794" s="515">
        <v>1</v>
      </c>
      <c r="AZ794" s="474" t="s">
        <v>15079</v>
      </c>
      <c r="BA794" s="472" t="s">
        <v>1385</v>
      </c>
      <c r="BB794" s="472" t="s">
        <v>1385</v>
      </c>
      <c r="BC794" s="472" t="s">
        <v>1385</v>
      </c>
      <c r="BD794" s="472" t="s">
        <v>1385</v>
      </c>
      <c r="BE794" s="472" t="s">
        <v>1385</v>
      </c>
      <c r="BF794" s="472">
        <v>30364.2</v>
      </c>
      <c r="BG794" s="472">
        <v>0</v>
      </c>
      <c r="BH794" s="472" t="s">
        <v>516</v>
      </c>
      <c r="BI794" s="510">
        <v>0</v>
      </c>
      <c r="BJ794" s="510">
        <v>0</v>
      </c>
      <c r="BK794" s="510">
        <v>0</v>
      </c>
      <c r="BL794" s="510">
        <v>0</v>
      </c>
      <c r="BM794" s="510">
        <v>0</v>
      </c>
      <c r="BN794" s="510">
        <v>0</v>
      </c>
      <c r="BO794" s="510">
        <v>0</v>
      </c>
      <c r="BP794" s="510">
        <v>0</v>
      </c>
      <c r="BQ794" s="510">
        <v>0</v>
      </c>
      <c r="BR794" s="510">
        <v>0</v>
      </c>
      <c r="BS794" s="510">
        <v>0</v>
      </c>
      <c r="BT794" s="510">
        <v>0</v>
      </c>
      <c r="BU794" s="510">
        <v>0</v>
      </c>
      <c r="BV794" s="510">
        <v>0</v>
      </c>
      <c r="BW794" s="510">
        <v>0</v>
      </c>
      <c r="BX794" s="510">
        <v>0</v>
      </c>
      <c r="BY794" s="1011">
        <v>0</v>
      </c>
      <c r="BZ794" s="510">
        <v>0</v>
      </c>
      <c r="CA794" s="1011">
        <v>0</v>
      </c>
      <c r="CB794" s="510">
        <v>0</v>
      </c>
      <c r="CC794" s="1011">
        <v>0</v>
      </c>
      <c r="CD794" s="510">
        <v>0</v>
      </c>
      <c r="CE794" s="1011">
        <v>0</v>
      </c>
      <c r="CF794" s="510">
        <v>0</v>
      </c>
      <c r="CG794" s="1011">
        <v>0</v>
      </c>
      <c r="CH794" s="510">
        <v>0</v>
      </c>
      <c r="CI794" s="1011">
        <v>0</v>
      </c>
    </row>
    <row r="795" spans="1:87" x14ac:dyDescent="0.2">
      <c r="A795" s="449">
        <v>43</v>
      </c>
      <c r="B795" s="453">
        <v>92835</v>
      </c>
      <c r="C795" s="454" t="s">
        <v>7273</v>
      </c>
      <c r="D795" s="454" t="s">
        <v>517</v>
      </c>
      <c r="E795" s="454" t="s">
        <v>7274</v>
      </c>
      <c r="F795" s="454" t="s">
        <v>528</v>
      </c>
      <c r="G795" s="454" t="s">
        <v>13633</v>
      </c>
      <c r="H795" s="455">
        <v>50258243000100</v>
      </c>
      <c r="I795" s="462">
        <v>28720</v>
      </c>
      <c r="J795" s="457">
        <v>37373340</v>
      </c>
      <c r="K795" s="454" t="s">
        <v>7275</v>
      </c>
      <c r="L795" s="458">
        <v>115</v>
      </c>
      <c r="M795" s="454" t="s">
        <v>3584</v>
      </c>
      <c r="N795" s="459">
        <v>5338080</v>
      </c>
      <c r="O795" s="460">
        <v>37682898</v>
      </c>
      <c r="P795" s="462">
        <v>316302</v>
      </c>
      <c r="Q795" s="462">
        <v>43</v>
      </c>
      <c r="R795" s="462">
        <v>43938</v>
      </c>
      <c r="S795" s="463">
        <v>1047</v>
      </c>
      <c r="T795" s="464">
        <v>5.4</v>
      </c>
      <c r="U795" s="465">
        <v>5653.8</v>
      </c>
      <c r="V795" s="465">
        <v>20340</v>
      </c>
      <c r="W795" s="466">
        <v>0</v>
      </c>
      <c r="X795" s="467">
        <v>1</v>
      </c>
      <c r="Y795" s="466">
        <v>38990.699999999997</v>
      </c>
      <c r="Z795" s="468" t="s">
        <v>516</v>
      </c>
      <c r="AA795" s="466">
        <v>142956.70000000001</v>
      </c>
      <c r="AB795" s="466">
        <v>142956.70000000001</v>
      </c>
      <c r="AC795" s="467">
        <v>0</v>
      </c>
      <c r="AD795" s="466">
        <v>0</v>
      </c>
      <c r="AE795" s="468" t="s">
        <v>516</v>
      </c>
      <c r="AF795" s="466">
        <v>2000</v>
      </c>
      <c r="AG795" s="466">
        <v>2000</v>
      </c>
      <c r="AH795" s="466">
        <v>30391.19</v>
      </c>
      <c r="AI795" s="466">
        <v>5413.72</v>
      </c>
      <c r="AJ795" s="469" t="s">
        <v>3585</v>
      </c>
      <c r="AK795" s="470" t="s">
        <v>3584</v>
      </c>
      <c r="AL795" s="471" t="s">
        <v>7276</v>
      </c>
      <c r="AM795" s="470" t="s">
        <v>7277</v>
      </c>
      <c r="AN795" s="470" t="s">
        <v>7278</v>
      </c>
      <c r="AO795" s="470" t="s">
        <v>13634</v>
      </c>
      <c r="AP795" s="470" t="s">
        <v>7279</v>
      </c>
      <c r="AQ795" s="470" t="s">
        <v>7273</v>
      </c>
      <c r="AR795" s="472" t="s">
        <v>515</v>
      </c>
      <c r="AS795" s="473" t="s">
        <v>1385</v>
      </c>
      <c r="AT795" s="472" t="s">
        <v>517</v>
      </c>
      <c r="AU795" s="472" t="s">
        <v>420</v>
      </c>
      <c r="AV795" s="472">
        <v>2020</v>
      </c>
      <c r="AW795" s="474" t="s">
        <v>15078</v>
      </c>
      <c r="AX795" s="475" t="s">
        <v>15079</v>
      </c>
      <c r="AY795" s="515">
        <v>1</v>
      </c>
      <c r="AZ795" s="474" t="s">
        <v>15079</v>
      </c>
      <c r="BA795" s="472" t="s">
        <v>517</v>
      </c>
      <c r="BB795" s="472" t="s">
        <v>1385</v>
      </c>
      <c r="BC795" s="472" t="s">
        <v>1385</v>
      </c>
      <c r="BD795" s="472" t="s">
        <v>1385</v>
      </c>
      <c r="BE795" s="472" t="s">
        <v>1385</v>
      </c>
      <c r="BF795" s="472">
        <v>38990.699999999997</v>
      </c>
      <c r="BG795" s="472">
        <v>0</v>
      </c>
      <c r="BH795" s="472" t="s">
        <v>1385</v>
      </c>
      <c r="BI795" s="510">
        <v>0</v>
      </c>
      <c r="BJ795" s="510">
        <v>0</v>
      </c>
      <c r="BK795" s="510">
        <v>0</v>
      </c>
      <c r="BL795" s="510">
        <v>3281.5</v>
      </c>
      <c r="BM795" s="510">
        <v>0</v>
      </c>
      <c r="BN795" s="510">
        <v>5000</v>
      </c>
      <c r="BO795" s="510">
        <v>0</v>
      </c>
      <c r="BP795" s="510">
        <v>2000</v>
      </c>
      <c r="BQ795" s="510">
        <v>0</v>
      </c>
      <c r="BR795" s="510">
        <v>0</v>
      </c>
      <c r="BS795" s="510">
        <v>0</v>
      </c>
      <c r="BT795" s="510">
        <v>0</v>
      </c>
      <c r="BU795" s="510">
        <v>0</v>
      </c>
      <c r="BV795" s="510">
        <v>0</v>
      </c>
      <c r="BW795" s="510">
        <v>0</v>
      </c>
      <c r="BX795" s="510">
        <v>30000</v>
      </c>
      <c r="BY795" s="1011">
        <v>0</v>
      </c>
      <c r="BZ795" s="510">
        <v>0</v>
      </c>
      <c r="CA795" s="1011">
        <v>0</v>
      </c>
      <c r="CB795" s="510">
        <v>22000</v>
      </c>
      <c r="CC795" s="1011">
        <v>0</v>
      </c>
      <c r="CD795" s="510">
        <v>0</v>
      </c>
      <c r="CE795" s="1011">
        <v>0</v>
      </c>
      <c r="CF795" s="510">
        <v>51966</v>
      </c>
      <c r="CG795" s="1011">
        <v>0</v>
      </c>
      <c r="CH795" s="510">
        <v>0</v>
      </c>
      <c r="CI795" s="1011">
        <v>0</v>
      </c>
    </row>
    <row r="796" spans="1:87" x14ac:dyDescent="0.2">
      <c r="A796" s="449">
        <v>43</v>
      </c>
      <c r="B796" s="453">
        <v>92843</v>
      </c>
      <c r="C796" s="454" t="s">
        <v>7280</v>
      </c>
      <c r="D796" s="454" t="s">
        <v>517</v>
      </c>
      <c r="E796" s="454" t="s">
        <v>7281</v>
      </c>
      <c r="F796" s="454" t="s">
        <v>519</v>
      </c>
      <c r="G796" s="454" t="s">
        <v>13635</v>
      </c>
      <c r="H796" s="455">
        <v>51944585000139</v>
      </c>
      <c r="I796" s="462">
        <v>29189</v>
      </c>
      <c r="J796" s="457">
        <v>37356305</v>
      </c>
      <c r="K796" s="454" t="s">
        <v>7283</v>
      </c>
      <c r="L796" s="458">
        <v>46</v>
      </c>
      <c r="M796" s="454" t="s">
        <v>7284</v>
      </c>
      <c r="N796" s="459">
        <v>5373090</v>
      </c>
      <c r="O796" s="460">
        <v>37826700</v>
      </c>
      <c r="P796" s="462">
        <v>116044</v>
      </c>
      <c r="Q796" s="462">
        <v>27</v>
      </c>
      <c r="R796" s="462">
        <v>43881</v>
      </c>
      <c r="S796" s="463">
        <v>701</v>
      </c>
      <c r="T796" s="464">
        <v>5.4</v>
      </c>
      <c r="U796" s="465">
        <v>3785.4</v>
      </c>
      <c r="V796" s="465">
        <v>18720</v>
      </c>
      <c r="W796" s="466">
        <v>0</v>
      </c>
      <c r="X796" s="467">
        <v>1</v>
      </c>
      <c r="Y796" s="466">
        <v>0</v>
      </c>
      <c r="Z796" s="468" t="s">
        <v>514</v>
      </c>
      <c r="AA796" s="466">
        <v>0</v>
      </c>
      <c r="AB796" s="466">
        <v>0</v>
      </c>
      <c r="AC796" s="467">
        <v>0</v>
      </c>
      <c r="AD796" s="466">
        <v>0</v>
      </c>
      <c r="AE796" s="468" t="s">
        <v>516</v>
      </c>
      <c r="AF796" s="466">
        <v>0</v>
      </c>
      <c r="AG796" s="466">
        <v>0</v>
      </c>
      <c r="AH796" s="466">
        <v>2998.89</v>
      </c>
      <c r="AI796" s="466">
        <v>2582.54</v>
      </c>
      <c r="AJ796" s="469" t="s">
        <v>2690</v>
      </c>
      <c r="AK796" s="470" t="s">
        <v>2691</v>
      </c>
      <c r="AL796" s="471" t="s">
        <v>7285</v>
      </c>
      <c r="AM796" s="470" t="s">
        <v>7286</v>
      </c>
      <c r="AN796" s="470" t="s">
        <v>7282</v>
      </c>
      <c r="AO796" s="470" t="s">
        <v>7287</v>
      </c>
      <c r="AP796" s="470" t="s">
        <v>7288</v>
      </c>
      <c r="AQ796" s="470" t="s">
        <v>7280</v>
      </c>
      <c r="AR796" s="472" t="s">
        <v>515</v>
      </c>
      <c r="AS796" s="473" t="s">
        <v>1385</v>
      </c>
      <c r="AT796" s="472" t="s">
        <v>517</v>
      </c>
      <c r="AU796" s="472" t="s">
        <v>420</v>
      </c>
      <c r="AV796" s="472">
        <v>2020</v>
      </c>
      <c r="AW796" s="474" t="s">
        <v>15078</v>
      </c>
      <c r="AX796" s="475" t="s">
        <v>15079</v>
      </c>
      <c r="AY796" s="515">
        <v>1</v>
      </c>
      <c r="AZ796" s="474" t="s">
        <v>15079</v>
      </c>
      <c r="BA796" s="472" t="s">
        <v>1385</v>
      </c>
      <c r="BB796" s="472" t="s">
        <v>1385</v>
      </c>
      <c r="BC796" s="472" t="s">
        <v>1385</v>
      </c>
      <c r="BD796" s="472" t="s">
        <v>1385</v>
      </c>
      <c r="BE796" s="472" t="s">
        <v>1385</v>
      </c>
      <c r="BF796" s="472">
        <v>33758.1</v>
      </c>
      <c r="BG796" s="472">
        <v>0</v>
      </c>
      <c r="BH796" s="472" t="s">
        <v>516</v>
      </c>
      <c r="BI796" s="510">
        <v>0</v>
      </c>
      <c r="BJ796" s="510">
        <v>0</v>
      </c>
      <c r="BK796" s="510">
        <v>0</v>
      </c>
      <c r="BL796" s="510">
        <v>0</v>
      </c>
      <c r="BM796" s="510">
        <v>0</v>
      </c>
      <c r="BN796" s="510">
        <v>0</v>
      </c>
      <c r="BO796" s="510">
        <v>0</v>
      </c>
      <c r="BP796" s="510">
        <v>0</v>
      </c>
      <c r="BQ796" s="510">
        <v>0</v>
      </c>
      <c r="BR796" s="510">
        <v>0</v>
      </c>
      <c r="BS796" s="510">
        <v>0</v>
      </c>
      <c r="BT796" s="510">
        <v>0</v>
      </c>
      <c r="BU796" s="510">
        <v>0</v>
      </c>
      <c r="BV796" s="510">
        <v>0</v>
      </c>
      <c r="BW796" s="510">
        <v>0</v>
      </c>
      <c r="BX796" s="510">
        <v>0</v>
      </c>
      <c r="BY796" s="1011">
        <v>0</v>
      </c>
      <c r="BZ796" s="510">
        <v>0</v>
      </c>
      <c r="CA796" s="1011">
        <v>0</v>
      </c>
      <c r="CB796" s="510">
        <v>0</v>
      </c>
      <c r="CC796" s="1011">
        <v>0</v>
      </c>
      <c r="CD796" s="510">
        <v>0</v>
      </c>
      <c r="CE796" s="1011">
        <v>0</v>
      </c>
      <c r="CF796" s="510">
        <v>0</v>
      </c>
      <c r="CG796" s="1011">
        <v>0</v>
      </c>
      <c r="CH796" s="510">
        <v>0</v>
      </c>
      <c r="CI796" s="1011">
        <v>0</v>
      </c>
    </row>
    <row r="797" spans="1:87" x14ac:dyDescent="0.2">
      <c r="A797" s="449">
        <v>30</v>
      </c>
      <c r="B797" s="453">
        <v>92851</v>
      </c>
      <c r="C797" s="454" t="s">
        <v>7289</v>
      </c>
      <c r="D797" s="454" t="s">
        <v>517</v>
      </c>
      <c r="E797" s="454" t="s">
        <v>7290</v>
      </c>
      <c r="F797" s="454" t="s">
        <v>519</v>
      </c>
      <c r="G797" s="454" t="s">
        <v>13636</v>
      </c>
      <c r="H797" s="455">
        <v>45879277000174</v>
      </c>
      <c r="I797" s="462">
        <v>29760</v>
      </c>
      <c r="J797" s="457">
        <v>37354990</v>
      </c>
      <c r="K797" s="454" t="s">
        <v>7292</v>
      </c>
      <c r="L797" s="458">
        <v>187</v>
      </c>
      <c r="M797" s="454" t="s">
        <v>5281</v>
      </c>
      <c r="N797" s="459">
        <v>5352080</v>
      </c>
      <c r="O797" s="460">
        <v>37684542</v>
      </c>
      <c r="P797" s="462">
        <v>119655</v>
      </c>
      <c r="Q797" s="462">
        <v>14</v>
      </c>
      <c r="R797" s="462">
        <v>43881</v>
      </c>
      <c r="S797" s="463">
        <v>819</v>
      </c>
      <c r="T797" s="464">
        <v>5.4</v>
      </c>
      <c r="U797" s="465">
        <v>4422.6000000000004</v>
      </c>
      <c r="V797" s="465">
        <v>18720</v>
      </c>
      <c r="W797" s="466">
        <v>0</v>
      </c>
      <c r="X797" s="467">
        <v>1</v>
      </c>
      <c r="Y797" s="466">
        <v>0</v>
      </c>
      <c r="Z797" s="468" t="s">
        <v>514</v>
      </c>
      <c r="AA797" s="466">
        <v>0</v>
      </c>
      <c r="AB797" s="466">
        <v>0</v>
      </c>
      <c r="AC797" s="467">
        <v>0</v>
      </c>
      <c r="AD797" s="466">
        <v>0</v>
      </c>
      <c r="AE797" s="468" t="s">
        <v>516</v>
      </c>
      <c r="AF797" s="466">
        <v>0</v>
      </c>
      <c r="AG797" s="466">
        <v>0</v>
      </c>
      <c r="AH797" s="466">
        <v>308.99</v>
      </c>
      <c r="AI797" s="466">
        <v>6668.75</v>
      </c>
      <c r="AJ797" s="469" t="s">
        <v>5263</v>
      </c>
      <c r="AK797" s="470" t="s">
        <v>5264</v>
      </c>
      <c r="AL797" s="471" t="s">
        <v>7293</v>
      </c>
      <c r="AM797" s="470" t="s">
        <v>13637</v>
      </c>
      <c r="AN797" s="470" t="s">
        <v>7291</v>
      </c>
      <c r="AO797" s="470" t="s">
        <v>7294</v>
      </c>
      <c r="AP797" s="470" t="s">
        <v>7295</v>
      </c>
      <c r="AQ797" s="470" t="s">
        <v>7289</v>
      </c>
      <c r="AR797" s="472" t="s">
        <v>515</v>
      </c>
      <c r="AS797" s="473" t="s">
        <v>1385</v>
      </c>
      <c r="AT797" s="472" t="s">
        <v>517</v>
      </c>
      <c r="AU797" s="472" t="s">
        <v>420</v>
      </c>
      <c r="AV797" s="472">
        <v>2020</v>
      </c>
      <c r="AW797" s="474" t="s">
        <v>15078</v>
      </c>
      <c r="AX797" s="475" t="s">
        <v>15079</v>
      </c>
      <c r="AY797" s="515">
        <v>1</v>
      </c>
      <c r="AZ797" s="474" t="s">
        <v>15079</v>
      </c>
      <c r="BA797" s="472" t="s">
        <v>1385</v>
      </c>
      <c r="BB797" s="472" t="s">
        <v>1385</v>
      </c>
      <c r="BC797" s="472" t="s">
        <v>1385</v>
      </c>
      <c r="BD797" s="472" t="s">
        <v>1385</v>
      </c>
      <c r="BE797" s="472" t="s">
        <v>1385</v>
      </c>
      <c r="BF797" s="472">
        <v>34713.9</v>
      </c>
      <c r="BG797" s="472">
        <v>0</v>
      </c>
      <c r="BH797" s="472" t="s">
        <v>516</v>
      </c>
      <c r="BI797" s="510">
        <v>0</v>
      </c>
      <c r="BJ797" s="510">
        <v>0</v>
      </c>
      <c r="BK797" s="510">
        <v>0</v>
      </c>
      <c r="BL797" s="510">
        <v>0</v>
      </c>
      <c r="BM797" s="510">
        <v>0</v>
      </c>
      <c r="BN797" s="510">
        <v>0</v>
      </c>
      <c r="BO797" s="510">
        <v>0</v>
      </c>
      <c r="BP797" s="510">
        <v>0</v>
      </c>
      <c r="BQ797" s="510">
        <v>0</v>
      </c>
      <c r="BR797" s="510">
        <v>0</v>
      </c>
      <c r="BS797" s="510">
        <v>0</v>
      </c>
      <c r="BT797" s="510">
        <v>0</v>
      </c>
      <c r="BU797" s="510">
        <v>0</v>
      </c>
      <c r="BV797" s="510">
        <v>0</v>
      </c>
      <c r="BW797" s="510">
        <v>0</v>
      </c>
      <c r="BX797" s="510">
        <v>0</v>
      </c>
      <c r="BY797" s="1011">
        <v>0</v>
      </c>
      <c r="BZ797" s="510">
        <v>0</v>
      </c>
      <c r="CA797" s="1011">
        <v>0</v>
      </c>
      <c r="CB797" s="510">
        <v>0</v>
      </c>
      <c r="CC797" s="1011">
        <v>0</v>
      </c>
      <c r="CD797" s="510">
        <v>0</v>
      </c>
      <c r="CE797" s="1011">
        <v>0</v>
      </c>
      <c r="CF797" s="510">
        <v>0</v>
      </c>
      <c r="CG797" s="1011">
        <v>0</v>
      </c>
      <c r="CH797" s="510">
        <v>0</v>
      </c>
      <c r="CI797" s="1011">
        <v>0</v>
      </c>
    </row>
    <row r="798" spans="1:87" x14ac:dyDescent="0.2">
      <c r="A798" s="449">
        <v>88</v>
      </c>
      <c r="B798" s="453">
        <v>92860</v>
      </c>
      <c r="C798" s="454" t="s">
        <v>7296</v>
      </c>
      <c r="D798" s="454" t="s">
        <v>517</v>
      </c>
      <c r="E798" s="454" t="s">
        <v>7296</v>
      </c>
      <c r="F798" s="454" t="s">
        <v>520</v>
      </c>
      <c r="G798" s="454" t="s">
        <v>13638</v>
      </c>
      <c r="H798" s="455">
        <v>51754208000137</v>
      </c>
      <c r="I798" s="462">
        <v>29172</v>
      </c>
      <c r="J798" s="457">
        <v>37627759</v>
      </c>
      <c r="K798" s="454" t="s">
        <v>7298</v>
      </c>
      <c r="L798" s="458">
        <v>521</v>
      </c>
      <c r="M798" s="454" t="s">
        <v>7299</v>
      </c>
      <c r="N798" s="459">
        <v>5831000</v>
      </c>
      <c r="O798" s="460">
        <v>58910875</v>
      </c>
      <c r="P798" s="462">
        <v>301780</v>
      </c>
      <c r="Q798" s="462">
        <v>153</v>
      </c>
      <c r="R798" s="462">
        <v>43979</v>
      </c>
      <c r="S798" s="463">
        <v>741</v>
      </c>
      <c r="T798" s="464">
        <v>5.4</v>
      </c>
      <c r="U798" s="465">
        <v>4001.4</v>
      </c>
      <c r="V798" s="465">
        <v>18720</v>
      </c>
      <c r="W798" s="466">
        <v>0</v>
      </c>
      <c r="X798" s="467">
        <v>1</v>
      </c>
      <c r="Y798" s="466">
        <v>34082.1</v>
      </c>
      <c r="Z798" s="468" t="s">
        <v>516</v>
      </c>
      <c r="AA798" s="466">
        <v>132345.70000000001</v>
      </c>
      <c r="AB798" s="466">
        <v>132345.70000000001</v>
      </c>
      <c r="AC798" s="467">
        <v>0</v>
      </c>
      <c r="AD798" s="466">
        <v>0</v>
      </c>
      <c r="AE798" s="468" t="s">
        <v>516</v>
      </c>
      <c r="AF798" s="466">
        <v>0</v>
      </c>
      <c r="AG798" s="466">
        <v>0</v>
      </c>
      <c r="AH798" s="466">
        <v>12744.4</v>
      </c>
      <c r="AI798" s="466">
        <v>11360.7</v>
      </c>
      <c r="AJ798" s="469" t="s">
        <v>1544</v>
      </c>
      <c r="AK798" s="470" t="s">
        <v>7300</v>
      </c>
      <c r="AL798" s="471" t="s">
        <v>7301</v>
      </c>
      <c r="AM798" s="470" t="s">
        <v>13639</v>
      </c>
      <c r="AN798" s="470" t="s">
        <v>7297</v>
      </c>
      <c r="AO798" s="470" t="s">
        <v>7302</v>
      </c>
      <c r="AP798" s="470" t="s">
        <v>7303</v>
      </c>
      <c r="AQ798" s="470" t="s">
        <v>7296</v>
      </c>
      <c r="AR798" s="472" t="s">
        <v>515</v>
      </c>
      <c r="AS798" s="473" t="s">
        <v>1385</v>
      </c>
      <c r="AT798" s="472" t="s">
        <v>517</v>
      </c>
      <c r="AU798" s="472" t="s">
        <v>420</v>
      </c>
      <c r="AV798" s="472">
        <v>2020</v>
      </c>
      <c r="AW798" s="474" t="s">
        <v>15078</v>
      </c>
      <c r="AX798" s="475" t="s">
        <v>15079</v>
      </c>
      <c r="AY798" s="515">
        <v>1</v>
      </c>
      <c r="AZ798" s="474" t="s">
        <v>15079</v>
      </c>
      <c r="BA798" s="472" t="s">
        <v>517</v>
      </c>
      <c r="BB798" s="472" t="s">
        <v>1385</v>
      </c>
      <c r="BC798" s="472" t="s">
        <v>1385</v>
      </c>
      <c r="BD798" s="472" t="s">
        <v>1385</v>
      </c>
      <c r="BE798" s="472" t="s">
        <v>1385</v>
      </c>
      <c r="BF798" s="472">
        <v>34082.1</v>
      </c>
      <c r="BG798" s="472">
        <v>0</v>
      </c>
      <c r="BH798" s="472" t="s">
        <v>1385</v>
      </c>
      <c r="BI798" s="510">
        <v>0</v>
      </c>
      <c r="BJ798" s="510">
        <v>569.70000000000005</v>
      </c>
      <c r="BK798" s="510">
        <v>0</v>
      </c>
      <c r="BL798" s="510">
        <v>478</v>
      </c>
      <c r="BM798" s="510">
        <v>0</v>
      </c>
      <c r="BN798" s="510">
        <v>5000</v>
      </c>
      <c r="BO798" s="510">
        <v>0</v>
      </c>
      <c r="BP798" s="510">
        <v>0</v>
      </c>
      <c r="BQ798" s="510">
        <v>0</v>
      </c>
      <c r="BR798" s="510">
        <v>0</v>
      </c>
      <c r="BS798" s="510">
        <v>0</v>
      </c>
      <c r="BT798" s="510">
        <v>0</v>
      </c>
      <c r="BU798" s="510">
        <v>2500</v>
      </c>
      <c r="BV798" s="510">
        <v>2500</v>
      </c>
      <c r="BW798" s="510">
        <v>0</v>
      </c>
      <c r="BX798" s="510">
        <v>30000</v>
      </c>
      <c r="BY798" s="1011">
        <v>0</v>
      </c>
      <c r="BZ798" s="510">
        <v>0</v>
      </c>
      <c r="CA798" s="1011">
        <v>0</v>
      </c>
      <c r="CB798" s="510">
        <v>22000</v>
      </c>
      <c r="CC798" s="1011">
        <v>0</v>
      </c>
      <c r="CD798" s="510">
        <v>0</v>
      </c>
      <c r="CE798" s="1011">
        <v>0</v>
      </c>
      <c r="CF798" s="510">
        <v>46263.6</v>
      </c>
      <c r="CG798" s="1011">
        <v>0</v>
      </c>
      <c r="CH798" s="510">
        <v>0</v>
      </c>
      <c r="CI798" s="1011">
        <v>0</v>
      </c>
    </row>
    <row r="799" spans="1:87" x14ac:dyDescent="0.2">
      <c r="A799" s="449">
        <v>61</v>
      </c>
      <c r="B799" s="453">
        <v>92878</v>
      </c>
      <c r="C799" s="454" t="s">
        <v>7304</v>
      </c>
      <c r="D799" s="454" t="s">
        <v>517</v>
      </c>
      <c r="E799" s="454" t="s">
        <v>7305</v>
      </c>
      <c r="F799" s="454" t="s">
        <v>520</v>
      </c>
      <c r="G799" s="454" t="s">
        <v>13640</v>
      </c>
      <c r="H799" s="455">
        <v>51686442000174</v>
      </c>
      <c r="I799" s="462">
        <v>29097</v>
      </c>
      <c r="J799" s="457">
        <v>37620053</v>
      </c>
      <c r="K799" s="454" t="s">
        <v>7307</v>
      </c>
      <c r="L799" s="458">
        <v>99</v>
      </c>
      <c r="M799" s="454" t="s">
        <v>7308</v>
      </c>
      <c r="N799" s="459">
        <v>4931070</v>
      </c>
      <c r="O799" s="460">
        <v>55140049</v>
      </c>
      <c r="P799" s="462">
        <v>300368</v>
      </c>
      <c r="Q799" s="462">
        <v>126</v>
      </c>
      <c r="R799" s="462">
        <v>43979</v>
      </c>
      <c r="S799" s="463">
        <v>969</v>
      </c>
      <c r="T799" s="464">
        <v>5.4</v>
      </c>
      <c r="U799" s="465">
        <v>5232.6000000000004</v>
      </c>
      <c r="V799" s="465">
        <v>20340</v>
      </c>
      <c r="W799" s="466">
        <v>0</v>
      </c>
      <c r="X799" s="467">
        <v>1</v>
      </c>
      <c r="Y799" s="466">
        <v>38358.9</v>
      </c>
      <c r="Z799" s="468" t="s">
        <v>516</v>
      </c>
      <c r="AA799" s="466">
        <v>141698.5</v>
      </c>
      <c r="AB799" s="466">
        <v>141698.5</v>
      </c>
      <c r="AC799" s="467">
        <v>0</v>
      </c>
      <c r="AD799" s="466">
        <v>0</v>
      </c>
      <c r="AE799" s="468" t="s">
        <v>516</v>
      </c>
      <c r="AF799" s="466">
        <v>0</v>
      </c>
      <c r="AG799" s="466">
        <v>0</v>
      </c>
      <c r="AH799" s="466">
        <v>15402.47</v>
      </c>
      <c r="AI799" s="466">
        <v>8248.5300000000007</v>
      </c>
      <c r="AJ799" s="469" t="s">
        <v>1470</v>
      </c>
      <c r="AK799" s="470" t="s">
        <v>1471</v>
      </c>
      <c r="AL799" s="471" t="s">
        <v>7309</v>
      </c>
      <c r="AM799" s="470" t="s">
        <v>7310</v>
      </c>
      <c r="AN799" s="470" t="s">
        <v>7306</v>
      </c>
      <c r="AO799" s="470" t="s">
        <v>7311</v>
      </c>
      <c r="AP799" s="470" t="s">
        <v>7312</v>
      </c>
      <c r="AQ799" s="470" t="s">
        <v>7304</v>
      </c>
      <c r="AR799" s="472" t="s">
        <v>515</v>
      </c>
      <c r="AS799" s="473" t="s">
        <v>1385</v>
      </c>
      <c r="AT799" s="472" t="s">
        <v>517</v>
      </c>
      <c r="AU799" s="472" t="s">
        <v>420</v>
      </c>
      <c r="AV799" s="472">
        <v>2020</v>
      </c>
      <c r="AW799" s="474" t="s">
        <v>15078</v>
      </c>
      <c r="AX799" s="475" t="s">
        <v>15079</v>
      </c>
      <c r="AY799" s="515">
        <v>1</v>
      </c>
      <c r="AZ799" s="474" t="s">
        <v>15079</v>
      </c>
      <c r="BA799" s="472" t="s">
        <v>517</v>
      </c>
      <c r="BB799" s="472" t="s">
        <v>1385</v>
      </c>
      <c r="BC799" s="472" t="s">
        <v>1385</v>
      </c>
      <c r="BD799" s="472" t="s">
        <v>1385</v>
      </c>
      <c r="BE799" s="472" t="s">
        <v>1385</v>
      </c>
      <c r="BF799" s="472">
        <v>38358.9</v>
      </c>
      <c r="BG799" s="472">
        <v>0</v>
      </c>
      <c r="BH799" s="472" t="s">
        <v>1385</v>
      </c>
      <c r="BI799" s="510">
        <v>0</v>
      </c>
      <c r="BJ799" s="510">
        <v>0</v>
      </c>
      <c r="BK799" s="510">
        <v>0</v>
      </c>
      <c r="BL799" s="510">
        <v>3155</v>
      </c>
      <c r="BM799" s="510">
        <v>0</v>
      </c>
      <c r="BN799" s="510">
        <v>5000</v>
      </c>
      <c r="BO799" s="510">
        <v>0</v>
      </c>
      <c r="BP799" s="510">
        <v>0</v>
      </c>
      <c r="BQ799" s="510">
        <v>0</v>
      </c>
      <c r="BR799" s="510">
        <v>0</v>
      </c>
      <c r="BS799" s="510">
        <v>0</v>
      </c>
      <c r="BT799" s="510">
        <v>0</v>
      </c>
      <c r="BU799" s="510">
        <v>0</v>
      </c>
      <c r="BV799" s="510">
        <v>0</v>
      </c>
      <c r="BW799" s="510">
        <v>0</v>
      </c>
      <c r="BX799" s="510">
        <v>30000</v>
      </c>
      <c r="BY799" s="1011">
        <v>0</v>
      </c>
      <c r="BZ799" s="510">
        <v>0</v>
      </c>
      <c r="CA799" s="1011">
        <v>0</v>
      </c>
      <c r="CB799" s="510">
        <v>22000</v>
      </c>
      <c r="CC799" s="1011">
        <v>0</v>
      </c>
      <c r="CD799" s="510">
        <v>0</v>
      </c>
      <c r="CE799" s="1011">
        <v>0</v>
      </c>
      <c r="CF799" s="510">
        <v>51339.6</v>
      </c>
      <c r="CG799" s="1011">
        <v>0</v>
      </c>
      <c r="CH799" s="510">
        <v>0</v>
      </c>
      <c r="CI799" s="1011">
        <v>0</v>
      </c>
    </row>
    <row r="800" spans="1:87" x14ac:dyDescent="0.2">
      <c r="A800" s="449">
        <v>96</v>
      </c>
      <c r="B800" s="453">
        <v>92886</v>
      </c>
      <c r="C800" s="454" t="s">
        <v>7313</v>
      </c>
      <c r="D800" s="454" t="s">
        <v>517</v>
      </c>
      <c r="E800" s="454" t="s">
        <v>7313</v>
      </c>
      <c r="F800" s="454" t="s">
        <v>520</v>
      </c>
      <c r="G800" s="454" t="s">
        <v>13641</v>
      </c>
      <c r="H800" s="455">
        <v>43560770000100</v>
      </c>
      <c r="I800" s="462">
        <v>29371</v>
      </c>
      <c r="J800" s="457">
        <v>37616021</v>
      </c>
      <c r="K800" s="454" t="s">
        <v>7314</v>
      </c>
      <c r="L800" s="458">
        <v>694</v>
      </c>
      <c r="M800" s="454" t="s">
        <v>7315</v>
      </c>
      <c r="N800" s="459">
        <v>4937010</v>
      </c>
      <c r="O800" s="460">
        <v>58310046</v>
      </c>
      <c r="P800" s="462">
        <v>465731</v>
      </c>
      <c r="Q800" s="462">
        <v>161</v>
      </c>
      <c r="R800" s="462">
        <v>43979</v>
      </c>
      <c r="S800" s="463">
        <v>1028</v>
      </c>
      <c r="T800" s="464">
        <v>5.4</v>
      </c>
      <c r="U800" s="465">
        <v>5551.2</v>
      </c>
      <c r="V800" s="465">
        <v>20340</v>
      </c>
      <c r="W800" s="466">
        <v>0</v>
      </c>
      <c r="X800" s="467">
        <v>1</v>
      </c>
      <c r="Y800" s="466">
        <v>38836.800000000003</v>
      </c>
      <c r="Z800" s="468" t="s">
        <v>516</v>
      </c>
      <c r="AA800" s="466">
        <v>142921.60000000001</v>
      </c>
      <c r="AB800" s="466">
        <v>142921.60000000001</v>
      </c>
      <c r="AC800" s="467">
        <v>0</v>
      </c>
      <c r="AD800" s="466">
        <v>0</v>
      </c>
      <c r="AE800" s="468" t="s">
        <v>516</v>
      </c>
      <c r="AF800" s="466">
        <v>2000</v>
      </c>
      <c r="AG800" s="466">
        <v>2000</v>
      </c>
      <c r="AH800" s="466">
        <v>12805.03</v>
      </c>
      <c r="AI800" s="466">
        <v>0</v>
      </c>
      <c r="AJ800" s="469" t="s">
        <v>1515</v>
      </c>
      <c r="AK800" s="470" t="s">
        <v>1516</v>
      </c>
      <c r="AL800" s="471" t="s">
        <v>7316</v>
      </c>
      <c r="AM800" s="470" t="s">
        <v>13642</v>
      </c>
      <c r="AN800" s="470" t="s">
        <v>7317</v>
      </c>
      <c r="AO800" s="470" t="s">
        <v>7318</v>
      </c>
      <c r="AP800" s="470" t="s">
        <v>7319</v>
      </c>
      <c r="AQ800" s="470" t="s">
        <v>7313</v>
      </c>
      <c r="AR800" s="472" t="s">
        <v>515</v>
      </c>
      <c r="AS800" s="473" t="s">
        <v>1385</v>
      </c>
      <c r="AT800" s="472" t="s">
        <v>517</v>
      </c>
      <c r="AU800" s="472" t="s">
        <v>420</v>
      </c>
      <c r="AV800" s="472">
        <v>2020</v>
      </c>
      <c r="AW800" s="474" t="s">
        <v>15078</v>
      </c>
      <c r="AX800" s="475" t="s">
        <v>15079</v>
      </c>
      <c r="AY800" s="515">
        <v>1</v>
      </c>
      <c r="AZ800" s="474" t="s">
        <v>15079</v>
      </c>
      <c r="BA800" s="472" t="s">
        <v>517</v>
      </c>
      <c r="BB800" s="472" t="s">
        <v>1385</v>
      </c>
      <c r="BC800" s="472" t="s">
        <v>1385</v>
      </c>
      <c r="BD800" s="472" t="s">
        <v>1385</v>
      </c>
      <c r="BE800" s="472" t="s">
        <v>1385</v>
      </c>
      <c r="BF800" s="472">
        <v>38836.800000000003</v>
      </c>
      <c r="BG800" s="472">
        <v>0</v>
      </c>
      <c r="BH800" s="472" t="s">
        <v>1385</v>
      </c>
      <c r="BI800" s="510">
        <v>0</v>
      </c>
      <c r="BJ800" s="510">
        <v>0</v>
      </c>
      <c r="BK800" s="510">
        <v>0</v>
      </c>
      <c r="BL800" s="510">
        <v>1000</v>
      </c>
      <c r="BM800" s="510">
        <v>0</v>
      </c>
      <c r="BN800" s="510">
        <v>4080</v>
      </c>
      <c r="BO800" s="510">
        <v>0</v>
      </c>
      <c r="BP800" s="510">
        <v>2000</v>
      </c>
      <c r="BQ800" s="510">
        <v>0</v>
      </c>
      <c r="BR800" s="510">
        <v>0</v>
      </c>
      <c r="BS800" s="510">
        <v>0</v>
      </c>
      <c r="BT800" s="510">
        <v>0</v>
      </c>
      <c r="BU800" s="510">
        <v>2500</v>
      </c>
      <c r="BV800" s="510">
        <v>2500</v>
      </c>
      <c r="BW800" s="510">
        <v>0</v>
      </c>
      <c r="BX800" s="510">
        <v>30000</v>
      </c>
      <c r="BY800" s="1011">
        <v>0</v>
      </c>
      <c r="BZ800" s="510">
        <v>0</v>
      </c>
      <c r="CA800" s="1011">
        <v>0</v>
      </c>
      <c r="CB800" s="510">
        <v>22000</v>
      </c>
      <c r="CC800" s="1011">
        <v>0</v>
      </c>
      <c r="CD800" s="510">
        <v>0</v>
      </c>
      <c r="CE800" s="1011">
        <v>0</v>
      </c>
      <c r="CF800" s="510">
        <v>52084.800000000003</v>
      </c>
      <c r="CG800" s="1011">
        <v>0</v>
      </c>
      <c r="CH800" s="510">
        <v>0</v>
      </c>
      <c r="CI800" s="1011">
        <v>0</v>
      </c>
    </row>
    <row r="801" spans="1:87" x14ac:dyDescent="0.2">
      <c r="A801" s="449">
        <v>87</v>
      </c>
      <c r="B801" s="453">
        <v>92894</v>
      </c>
      <c r="C801" s="454" t="s">
        <v>7320</v>
      </c>
      <c r="D801" s="454" t="s">
        <v>517</v>
      </c>
      <c r="E801" s="454" t="s">
        <v>7320</v>
      </c>
      <c r="F801" s="454" t="s">
        <v>520</v>
      </c>
      <c r="G801" s="454" t="s">
        <v>13643</v>
      </c>
      <c r="H801" s="455">
        <v>51704757000105</v>
      </c>
      <c r="I801" s="462">
        <v>29118</v>
      </c>
      <c r="J801" s="457">
        <v>36627704</v>
      </c>
      <c r="K801" s="454" t="s">
        <v>5395</v>
      </c>
      <c r="L801" s="458">
        <v>297</v>
      </c>
      <c r="M801" s="454" t="s">
        <v>4834</v>
      </c>
      <c r="N801" s="459">
        <v>4939010</v>
      </c>
      <c r="O801" s="460">
        <v>58337878</v>
      </c>
      <c r="P801" s="462">
        <v>301755</v>
      </c>
      <c r="Q801" s="462">
        <v>152</v>
      </c>
      <c r="R801" s="462">
        <v>43969</v>
      </c>
      <c r="S801" s="463">
        <v>1149</v>
      </c>
      <c r="T801" s="464">
        <v>5.4</v>
      </c>
      <c r="U801" s="465">
        <v>6204.6</v>
      </c>
      <c r="V801" s="465">
        <v>20340</v>
      </c>
      <c r="W801" s="466">
        <v>0</v>
      </c>
      <c r="X801" s="467">
        <v>1</v>
      </c>
      <c r="Y801" s="466">
        <v>39816.9</v>
      </c>
      <c r="Z801" s="468" t="s">
        <v>516</v>
      </c>
      <c r="AA801" s="466">
        <v>144711.70000000001</v>
      </c>
      <c r="AB801" s="466">
        <v>144711.70000000001</v>
      </c>
      <c r="AC801" s="467">
        <v>0</v>
      </c>
      <c r="AD801" s="466">
        <v>0</v>
      </c>
      <c r="AE801" s="468" t="s">
        <v>516</v>
      </c>
      <c r="AF801" s="466">
        <v>0</v>
      </c>
      <c r="AG801" s="466">
        <v>0</v>
      </c>
      <c r="AH801" s="466">
        <v>17626.080000000002</v>
      </c>
      <c r="AI801" s="466">
        <v>15999.76</v>
      </c>
      <c r="AJ801" s="469" t="s">
        <v>1657</v>
      </c>
      <c r="AK801" s="470" t="s">
        <v>521</v>
      </c>
      <c r="AL801" s="471" t="s">
        <v>7322</v>
      </c>
      <c r="AM801" s="470" t="s">
        <v>13644</v>
      </c>
      <c r="AN801" s="470" t="s">
        <v>7321</v>
      </c>
      <c r="AO801" s="470" t="s">
        <v>7323</v>
      </c>
      <c r="AP801" s="470" t="s">
        <v>7324</v>
      </c>
      <c r="AQ801" s="470" t="s">
        <v>7320</v>
      </c>
      <c r="AR801" s="472" t="s">
        <v>515</v>
      </c>
      <c r="AS801" s="473" t="s">
        <v>1385</v>
      </c>
      <c r="AT801" s="472" t="s">
        <v>517</v>
      </c>
      <c r="AU801" s="472" t="s">
        <v>420</v>
      </c>
      <c r="AV801" s="472">
        <v>2020</v>
      </c>
      <c r="AW801" s="474" t="s">
        <v>15078</v>
      </c>
      <c r="AX801" s="475" t="s">
        <v>15079</v>
      </c>
      <c r="AY801" s="515">
        <v>1</v>
      </c>
      <c r="AZ801" s="474" t="s">
        <v>15079</v>
      </c>
      <c r="BA801" s="472" t="s">
        <v>517</v>
      </c>
      <c r="BB801" s="472" t="s">
        <v>1385</v>
      </c>
      <c r="BC801" s="472" t="s">
        <v>1385</v>
      </c>
      <c r="BD801" s="472" t="s">
        <v>1385</v>
      </c>
      <c r="BE801" s="472" t="s">
        <v>1385</v>
      </c>
      <c r="BF801" s="472">
        <v>39816.9</v>
      </c>
      <c r="BG801" s="472">
        <v>0</v>
      </c>
      <c r="BH801" s="472" t="s">
        <v>1385</v>
      </c>
      <c r="BI801" s="510">
        <v>0</v>
      </c>
      <c r="BJ801" s="510">
        <v>0</v>
      </c>
      <c r="BK801" s="510">
        <v>0</v>
      </c>
      <c r="BL801" s="510">
        <v>3500</v>
      </c>
      <c r="BM801" s="510">
        <v>0</v>
      </c>
      <c r="BN801" s="510">
        <v>4560</v>
      </c>
      <c r="BO801" s="510">
        <v>0</v>
      </c>
      <c r="BP801" s="510">
        <v>0</v>
      </c>
      <c r="BQ801" s="510">
        <v>0</v>
      </c>
      <c r="BR801" s="510">
        <v>0</v>
      </c>
      <c r="BS801" s="510">
        <v>0</v>
      </c>
      <c r="BT801" s="510">
        <v>0</v>
      </c>
      <c r="BU801" s="510">
        <v>2500</v>
      </c>
      <c r="BV801" s="510">
        <v>2500</v>
      </c>
      <c r="BW801" s="510">
        <v>0</v>
      </c>
      <c r="BX801" s="510">
        <v>30000</v>
      </c>
      <c r="BY801" s="1011">
        <v>0</v>
      </c>
      <c r="BZ801" s="510">
        <v>0</v>
      </c>
      <c r="CA801" s="1011">
        <v>0</v>
      </c>
      <c r="CB801" s="510">
        <v>22000</v>
      </c>
      <c r="CC801" s="1011">
        <v>0</v>
      </c>
      <c r="CD801" s="510">
        <v>0</v>
      </c>
      <c r="CE801" s="1011">
        <v>0</v>
      </c>
      <c r="CF801" s="510">
        <v>52894.8</v>
      </c>
      <c r="CG801" s="1011">
        <v>0</v>
      </c>
      <c r="CH801" s="510">
        <v>0</v>
      </c>
      <c r="CI801" s="1011">
        <v>0</v>
      </c>
    </row>
    <row r="802" spans="1:87" x14ac:dyDescent="0.2">
      <c r="A802" s="449">
        <v>64</v>
      </c>
      <c r="B802" s="453">
        <v>92908</v>
      </c>
      <c r="C802" s="454" t="s">
        <v>7325</v>
      </c>
      <c r="D802" s="454" t="s">
        <v>517</v>
      </c>
      <c r="E802" s="454" t="s">
        <v>7325</v>
      </c>
      <c r="F802" s="454" t="s">
        <v>520</v>
      </c>
      <c r="G802" s="454" t="s">
        <v>13645</v>
      </c>
      <c r="H802" s="455">
        <v>43613389000153</v>
      </c>
      <c r="I802" s="462">
        <v>29384</v>
      </c>
      <c r="J802" s="457">
        <v>37619969</v>
      </c>
      <c r="K802" s="454" t="s">
        <v>5323</v>
      </c>
      <c r="L802" s="458">
        <v>17</v>
      </c>
      <c r="M802" s="454" t="s">
        <v>5324</v>
      </c>
      <c r="N802" s="459">
        <v>4942080</v>
      </c>
      <c r="O802" s="460">
        <v>58310521</v>
      </c>
      <c r="P802" s="462">
        <v>300422</v>
      </c>
      <c r="Q802" s="462">
        <v>129</v>
      </c>
      <c r="R802" s="462">
        <v>43979</v>
      </c>
      <c r="S802" s="463">
        <v>1286</v>
      </c>
      <c r="T802" s="464">
        <v>5.4</v>
      </c>
      <c r="U802" s="465">
        <v>6944.4</v>
      </c>
      <c r="V802" s="465">
        <v>21960</v>
      </c>
      <c r="W802" s="466">
        <v>0</v>
      </c>
      <c r="X802" s="467">
        <v>1</v>
      </c>
      <c r="Y802" s="466">
        <v>0</v>
      </c>
      <c r="Z802" s="468" t="s">
        <v>514</v>
      </c>
      <c r="AA802" s="466">
        <v>0</v>
      </c>
      <c r="AB802" s="466">
        <v>0</v>
      </c>
      <c r="AC802" s="467">
        <v>0</v>
      </c>
      <c r="AD802" s="466">
        <v>0</v>
      </c>
      <c r="AE802" s="468" t="s">
        <v>514</v>
      </c>
      <c r="AF802" s="466">
        <v>0</v>
      </c>
      <c r="AG802" s="466">
        <v>0</v>
      </c>
      <c r="AH802" s="466">
        <v>0</v>
      </c>
      <c r="AI802" s="466">
        <v>0</v>
      </c>
      <c r="AJ802" s="469" t="s">
        <v>1515</v>
      </c>
      <c r="AK802" s="470" t="s">
        <v>1516</v>
      </c>
      <c r="AL802" s="471" t="s">
        <v>7326</v>
      </c>
      <c r="AM802" s="470" t="s">
        <v>7327</v>
      </c>
      <c r="AN802" s="470" t="s">
        <v>7328</v>
      </c>
      <c r="AO802" s="470" t="s">
        <v>7329</v>
      </c>
      <c r="AP802" s="470" t="s">
        <v>7330</v>
      </c>
      <c r="AQ802" s="470" t="s">
        <v>7325</v>
      </c>
      <c r="AR802" s="472" t="s">
        <v>515</v>
      </c>
      <c r="AS802" s="473" t="s">
        <v>1385</v>
      </c>
      <c r="AT802" s="472" t="s">
        <v>517</v>
      </c>
      <c r="AU802" s="472" t="s">
        <v>420</v>
      </c>
      <c r="AV802" s="472">
        <v>2020</v>
      </c>
      <c r="AW802" s="474" t="s">
        <v>15078</v>
      </c>
      <c r="AX802" s="475" t="s">
        <v>15079</v>
      </c>
      <c r="AY802" s="515">
        <v>1</v>
      </c>
      <c r="AZ802" s="474" t="s">
        <v>15079</v>
      </c>
      <c r="BA802" s="472" t="s">
        <v>1385</v>
      </c>
      <c r="BB802" s="472" t="s">
        <v>1385</v>
      </c>
      <c r="BC802" s="472" t="s">
        <v>1385</v>
      </c>
      <c r="BD802" s="472" t="s">
        <v>1385</v>
      </c>
      <c r="BE802" s="472" t="s">
        <v>1385</v>
      </c>
      <c r="BF802" s="472">
        <v>43356.6</v>
      </c>
      <c r="BG802" s="472">
        <v>0</v>
      </c>
      <c r="BH802" s="472" t="s">
        <v>516</v>
      </c>
      <c r="BI802" s="510">
        <v>0</v>
      </c>
      <c r="BJ802" s="510">
        <v>0</v>
      </c>
      <c r="BK802" s="510">
        <v>0</v>
      </c>
      <c r="BL802" s="510">
        <v>0</v>
      </c>
      <c r="BM802" s="510">
        <v>0</v>
      </c>
      <c r="BN802" s="510">
        <v>0</v>
      </c>
      <c r="BO802" s="510">
        <v>0</v>
      </c>
      <c r="BP802" s="510">
        <v>2000</v>
      </c>
      <c r="BQ802" s="510">
        <v>0</v>
      </c>
      <c r="BR802" s="510">
        <v>0</v>
      </c>
      <c r="BS802" s="510">
        <v>0</v>
      </c>
      <c r="BT802" s="510">
        <v>0</v>
      </c>
      <c r="BU802" s="510">
        <v>0</v>
      </c>
      <c r="BV802" s="510">
        <v>0</v>
      </c>
      <c r="BW802" s="510">
        <v>0</v>
      </c>
      <c r="BX802" s="510">
        <v>0</v>
      </c>
      <c r="BY802" s="1011">
        <v>0</v>
      </c>
      <c r="BZ802" s="510">
        <v>0</v>
      </c>
      <c r="CA802" s="1011">
        <v>0</v>
      </c>
      <c r="CB802" s="510">
        <v>0</v>
      </c>
      <c r="CC802" s="1011">
        <v>0</v>
      </c>
      <c r="CD802" s="510">
        <v>0</v>
      </c>
      <c r="CE802" s="1011">
        <v>0</v>
      </c>
      <c r="CF802" s="510">
        <v>0</v>
      </c>
      <c r="CG802" s="1011">
        <v>0</v>
      </c>
      <c r="CH802" s="510">
        <v>0</v>
      </c>
      <c r="CI802" s="1011">
        <v>0</v>
      </c>
    </row>
    <row r="803" spans="1:87" x14ac:dyDescent="0.2">
      <c r="A803" s="449">
        <v>57</v>
      </c>
      <c r="B803" s="453">
        <v>92916</v>
      </c>
      <c r="C803" s="454" t="s">
        <v>7331</v>
      </c>
      <c r="D803" s="454" t="s">
        <v>517</v>
      </c>
      <c r="E803" s="454" t="s">
        <v>7331</v>
      </c>
      <c r="F803" s="454" t="s">
        <v>520</v>
      </c>
      <c r="G803" s="454" t="s">
        <v>13646</v>
      </c>
      <c r="H803" s="455">
        <v>53022034000143</v>
      </c>
      <c r="I803" s="462">
        <v>30614</v>
      </c>
      <c r="J803" s="457">
        <v>37620070</v>
      </c>
      <c r="K803" s="454" t="s">
        <v>7332</v>
      </c>
      <c r="L803" s="458">
        <v>7</v>
      </c>
      <c r="M803" s="454" t="s">
        <v>7333</v>
      </c>
      <c r="N803" s="459">
        <v>5874060</v>
      </c>
      <c r="O803" s="460">
        <v>58310364</v>
      </c>
      <c r="P803" s="462">
        <v>30031</v>
      </c>
      <c r="Q803" s="462">
        <v>122</v>
      </c>
      <c r="R803" s="462">
        <v>43979</v>
      </c>
      <c r="S803" s="463">
        <v>879</v>
      </c>
      <c r="T803" s="464">
        <v>5.4</v>
      </c>
      <c r="U803" s="465">
        <v>4746.6000000000004</v>
      </c>
      <c r="V803" s="465">
        <v>18720</v>
      </c>
      <c r="W803" s="466">
        <v>0</v>
      </c>
      <c r="X803" s="467">
        <v>1</v>
      </c>
      <c r="Y803" s="466">
        <v>40815.9</v>
      </c>
      <c r="Z803" s="468" t="s">
        <v>516</v>
      </c>
      <c r="AA803" s="466">
        <v>152053.5</v>
      </c>
      <c r="AB803" s="466">
        <v>152053.5</v>
      </c>
      <c r="AC803" s="467">
        <v>0</v>
      </c>
      <c r="AD803" s="466">
        <v>0</v>
      </c>
      <c r="AE803" s="468" t="s">
        <v>516</v>
      </c>
      <c r="AF803" s="466">
        <v>2000</v>
      </c>
      <c r="AG803" s="466">
        <v>2000</v>
      </c>
      <c r="AH803" s="466">
        <v>35753.69</v>
      </c>
      <c r="AI803" s="466">
        <v>14635.27</v>
      </c>
      <c r="AJ803" s="469" t="s">
        <v>2755</v>
      </c>
      <c r="AK803" s="470" t="s">
        <v>2756</v>
      </c>
      <c r="AL803" s="471" t="s">
        <v>7334</v>
      </c>
      <c r="AM803" s="470" t="s">
        <v>7335</v>
      </c>
      <c r="AN803" s="470" t="s">
        <v>7336</v>
      </c>
      <c r="AO803" s="470" t="s">
        <v>7337</v>
      </c>
      <c r="AP803" s="470" t="s">
        <v>7338</v>
      </c>
      <c r="AQ803" s="470" t="s">
        <v>7331</v>
      </c>
      <c r="AR803" s="472" t="s">
        <v>515</v>
      </c>
      <c r="AS803" s="473" t="s">
        <v>1385</v>
      </c>
      <c r="AT803" s="472" t="s">
        <v>517</v>
      </c>
      <c r="AU803" s="472" t="s">
        <v>420</v>
      </c>
      <c r="AV803" s="472">
        <v>2020</v>
      </c>
      <c r="AW803" s="474" t="s">
        <v>15078</v>
      </c>
      <c r="AX803" s="475" t="s">
        <v>15079</v>
      </c>
      <c r="AY803" s="515">
        <v>1</v>
      </c>
      <c r="AZ803" s="474" t="s">
        <v>15079</v>
      </c>
      <c r="BA803" s="472" t="s">
        <v>517</v>
      </c>
      <c r="BB803" s="472" t="s">
        <v>516</v>
      </c>
      <c r="BC803" s="472">
        <v>2</v>
      </c>
      <c r="BD803" s="472">
        <v>3744</v>
      </c>
      <c r="BE803" s="472">
        <v>0</v>
      </c>
      <c r="BF803" s="472">
        <v>40815.9</v>
      </c>
      <c r="BG803" s="472">
        <v>0</v>
      </c>
      <c r="BH803" s="472" t="s">
        <v>1385</v>
      </c>
      <c r="BI803" s="510">
        <v>0</v>
      </c>
      <c r="BJ803" s="510">
        <v>794.41</v>
      </c>
      <c r="BK803" s="510">
        <v>0</v>
      </c>
      <c r="BL803" s="510">
        <v>3500</v>
      </c>
      <c r="BM803" s="510">
        <v>0</v>
      </c>
      <c r="BN803" s="510">
        <v>5000</v>
      </c>
      <c r="BO803" s="510">
        <v>0</v>
      </c>
      <c r="BP803" s="510">
        <v>2000</v>
      </c>
      <c r="BQ803" s="510">
        <v>0</v>
      </c>
      <c r="BR803" s="510">
        <v>0</v>
      </c>
      <c r="BS803" s="510">
        <v>0</v>
      </c>
      <c r="BT803" s="510">
        <v>0</v>
      </c>
      <c r="BU803" s="510">
        <v>0</v>
      </c>
      <c r="BV803" s="510">
        <v>0</v>
      </c>
      <c r="BW803" s="510">
        <v>0</v>
      </c>
      <c r="BX803" s="510">
        <v>30000</v>
      </c>
      <c r="BY803" s="1011">
        <v>0</v>
      </c>
      <c r="BZ803" s="510">
        <v>0</v>
      </c>
      <c r="CA803" s="1011">
        <v>0</v>
      </c>
      <c r="CB803" s="510">
        <v>22000</v>
      </c>
      <c r="CC803" s="1011">
        <v>0</v>
      </c>
      <c r="CD803" s="510">
        <v>0</v>
      </c>
      <c r="CE803" s="1011">
        <v>0</v>
      </c>
      <c r="CF803" s="510">
        <v>59237.599999999999</v>
      </c>
      <c r="CG803" s="1011">
        <v>0</v>
      </c>
      <c r="CH803" s="510">
        <v>0</v>
      </c>
      <c r="CI803" s="1011">
        <v>0</v>
      </c>
    </row>
    <row r="804" spans="1:87" x14ac:dyDescent="0.2">
      <c r="A804" s="449">
        <v>89</v>
      </c>
      <c r="B804" s="453">
        <v>92924</v>
      </c>
      <c r="C804" s="454" t="s">
        <v>7339</v>
      </c>
      <c r="D804" s="454" t="s">
        <v>517</v>
      </c>
      <c r="E804" s="454" t="s">
        <v>7339</v>
      </c>
      <c r="F804" s="454" t="s">
        <v>520</v>
      </c>
      <c r="G804" s="454" t="s">
        <v>13647</v>
      </c>
      <c r="H804" s="455">
        <v>51237337000158</v>
      </c>
      <c r="I804" s="462">
        <v>29007</v>
      </c>
      <c r="J804" s="457">
        <v>37619942</v>
      </c>
      <c r="K804" s="454" t="s">
        <v>4682</v>
      </c>
      <c r="L804" s="458">
        <v>821</v>
      </c>
      <c r="M804" s="454" t="s">
        <v>4683</v>
      </c>
      <c r="N804" s="459">
        <v>5866000</v>
      </c>
      <c r="O804" s="460">
        <v>58726464</v>
      </c>
      <c r="P804" s="462">
        <v>511270</v>
      </c>
      <c r="Q804" s="462">
        <v>154</v>
      </c>
      <c r="R804" s="462">
        <v>43979</v>
      </c>
      <c r="S804" s="463">
        <v>1217</v>
      </c>
      <c r="T804" s="464">
        <v>5.4</v>
      </c>
      <c r="U804" s="465">
        <v>6571.8</v>
      </c>
      <c r="V804" s="465">
        <v>21960</v>
      </c>
      <c r="W804" s="466">
        <v>0</v>
      </c>
      <c r="X804" s="467">
        <v>1</v>
      </c>
      <c r="Y804" s="466">
        <v>42797.7</v>
      </c>
      <c r="Z804" s="468" t="s">
        <v>516</v>
      </c>
      <c r="AA804" s="466">
        <v>152196.1</v>
      </c>
      <c r="AB804" s="466">
        <v>152196.1</v>
      </c>
      <c r="AC804" s="467">
        <v>0</v>
      </c>
      <c r="AD804" s="466">
        <v>0</v>
      </c>
      <c r="AE804" s="468" t="s">
        <v>516</v>
      </c>
      <c r="AF804" s="466">
        <v>0</v>
      </c>
      <c r="AG804" s="466">
        <v>0</v>
      </c>
      <c r="AH804" s="466">
        <v>22825.439999999999</v>
      </c>
      <c r="AI804" s="466">
        <v>10933.9</v>
      </c>
      <c r="AJ804" s="469" t="s">
        <v>1515</v>
      </c>
      <c r="AK804" s="470" t="s">
        <v>1516</v>
      </c>
      <c r="AL804" s="471" t="s">
        <v>7340</v>
      </c>
      <c r="AM804" s="470" t="s">
        <v>7341</v>
      </c>
      <c r="AN804" s="470" t="s">
        <v>7342</v>
      </c>
      <c r="AO804" s="470" t="s">
        <v>7343</v>
      </c>
      <c r="AP804" s="470" t="s">
        <v>7344</v>
      </c>
      <c r="AQ804" s="470" t="s">
        <v>7339</v>
      </c>
      <c r="AR804" s="472" t="s">
        <v>515</v>
      </c>
      <c r="AS804" s="473" t="s">
        <v>1385</v>
      </c>
      <c r="AT804" s="472" t="s">
        <v>517</v>
      </c>
      <c r="AU804" s="472" t="s">
        <v>420</v>
      </c>
      <c r="AV804" s="472">
        <v>2020</v>
      </c>
      <c r="AW804" s="474" t="s">
        <v>15078</v>
      </c>
      <c r="AX804" s="475" t="s">
        <v>15079</v>
      </c>
      <c r="AY804" s="515">
        <v>1</v>
      </c>
      <c r="AZ804" s="474" t="s">
        <v>15079</v>
      </c>
      <c r="BA804" s="472" t="s">
        <v>517</v>
      </c>
      <c r="BB804" s="472" t="s">
        <v>1385</v>
      </c>
      <c r="BC804" s="472" t="s">
        <v>1385</v>
      </c>
      <c r="BD804" s="472" t="s">
        <v>1385</v>
      </c>
      <c r="BE804" s="472" t="s">
        <v>1385</v>
      </c>
      <c r="BF804" s="472">
        <v>42797.7</v>
      </c>
      <c r="BG804" s="472">
        <v>0</v>
      </c>
      <c r="BH804" s="472" t="s">
        <v>1385</v>
      </c>
      <c r="BI804" s="510">
        <v>0</v>
      </c>
      <c r="BJ804" s="510">
        <v>0</v>
      </c>
      <c r="BK804" s="510">
        <v>0</v>
      </c>
      <c r="BL804" s="510">
        <v>3500</v>
      </c>
      <c r="BM804" s="510">
        <v>0</v>
      </c>
      <c r="BN804" s="510">
        <v>6000</v>
      </c>
      <c r="BO804" s="510">
        <v>0</v>
      </c>
      <c r="BP804" s="510">
        <v>0</v>
      </c>
      <c r="BQ804" s="510">
        <v>0</v>
      </c>
      <c r="BR804" s="510">
        <v>0</v>
      </c>
      <c r="BS804" s="510">
        <v>0</v>
      </c>
      <c r="BT804" s="510">
        <v>0</v>
      </c>
      <c r="BU804" s="510">
        <v>2500</v>
      </c>
      <c r="BV804" s="510">
        <v>2500</v>
      </c>
      <c r="BW804" s="510">
        <v>0</v>
      </c>
      <c r="BX804" s="510">
        <v>30000</v>
      </c>
      <c r="BY804" s="1011">
        <v>0</v>
      </c>
      <c r="BZ804" s="510">
        <v>0</v>
      </c>
      <c r="CA804" s="1011">
        <v>0</v>
      </c>
      <c r="CB804" s="510">
        <v>22000</v>
      </c>
      <c r="CC804" s="1011">
        <v>0</v>
      </c>
      <c r="CD804" s="510">
        <v>0</v>
      </c>
      <c r="CE804" s="1011">
        <v>0</v>
      </c>
      <c r="CF804" s="510">
        <v>57398.400000000001</v>
      </c>
      <c r="CG804" s="1011">
        <v>0</v>
      </c>
      <c r="CH804" s="510">
        <v>0</v>
      </c>
      <c r="CI804" s="1011">
        <v>0</v>
      </c>
    </row>
    <row r="805" spans="1:87" x14ac:dyDescent="0.2">
      <c r="A805" s="449">
        <v>77</v>
      </c>
      <c r="B805" s="453">
        <v>92932</v>
      </c>
      <c r="C805" s="454" t="s">
        <v>7345</v>
      </c>
      <c r="D805" s="454" t="s">
        <v>517</v>
      </c>
      <c r="E805" s="454" t="s">
        <v>7345</v>
      </c>
      <c r="F805" s="454" t="s">
        <v>520</v>
      </c>
      <c r="G805" s="454" t="s">
        <v>13648</v>
      </c>
      <c r="H805" s="455">
        <v>51554939000139</v>
      </c>
      <c r="I805" s="462">
        <v>29035</v>
      </c>
      <c r="J805" s="457">
        <v>37621130</v>
      </c>
      <c r="K805" s="454" t="s">
        <v>4870</v>
      </c>
      <c r="L805" s="458">
        <v>915</v>
      </c>
      <c r="M805" s="454" t="s">
        <v>4741</v>
      </c>
      <c r="N805" s="459">
        <v>5879000</v>
      </c>
      <c r="O805" s="460">
        <v>58732970</v>
      </c>
      <c r="P805" s="462">
        <v>301143</v>
      </c>
      <c r="Q805" s="462">
        <v>142</v>
      </c>
      <c r="R805" s="462">
        <v>43969</v>
      </c>
      <c r="S805" s="463">
        <v>1151</v>
      </c>
      <c r="T805" s="464">
        <v>5.4</v>
      </c>
      <c r="U805" s="465">
        <v>6215.4</v>
      </c>
      <c r="V805" s="465">
        <v>20340</v>
      </c>
      <c r="W805" s="466">
        <v>0</v>
      </c>
      <c r="X805" s="467">
        <v>1</v>
      </c>
      <c r="Y805" s="466">
        <v>39833.1</v>
      </c>
      <c r="Z805" s="468" t="s">
        <v>516</v>
      </c>
      <c r="AA805" s="466">
        <v>145863.5</v>
      </c>
      <c r="AB805" s="466">
        <v>145863.5</v>
      </c>
      <c r="AC805" s="467">
        <v>0</v>
      </c>
      <c r="AD805" s="466">
        <v>0</v>
      </c>
      <c r="AE805" s="468" t="s">
        <v>516</v>
      </c>
      <c r="AF805" s="466">
        <v>400</v>
      </c>
      <c r="AG805" s="466">
        <v>400</v>
      </c>
      <c r="AH805" s="466">
        <v>26886.83</v>
      </c>
      <c r="AI805" s="466">
        <v>0.11</v>
      </c>
      <c r="AJ805" s="469" t="s">
        <v>1813</v>
      </c>
      <c r="AK805" s="470" t="s">
        <v>1814</v>
      </c>
      <c r="AL805" s="471" t="s">
        <v>7347</v>
      </c>
      <c r="AM805" s="470" t="s">
        <v>7348</v>
      </c>
      <c r="AN805" s="470" t="s">
        <v>7346</v>
      </c>
      <c r="AO805" s="470" t="s">
        <v>7349</v>
      </c>
      <c r="AP805" s="470" t="s">
        <v>7350</v>
      </c>
      <c r="AQ805" s="470" t="s">
        <v>7345</v>
      </c>
      <c r="AR805" s="472" t="s">
        <v>515</v>
      </c>
      <c r="AS805" s="473" t="s">
        <v>1385</v>
      </c>
      <c r="AT805" s="472" t="s">
        <v>517</v>
      </c>
      <c r="AU805" s="472" t="s">
        <v>420</v>
      </c>
      <c r="AV805" s="472">
        <v>2020</v>
      </c>
      <c r="AW805" s="474" t="s">
        <v>15078</v>
      </c>
      <c r="AX805" s="475" t="s">
        <v>15079</v>
      </c>
      <c r="AY805" s="515">
        <v>1</v>
      </c>
      <c r="AZ805" s="474" t="s">
        <v>15079</v>
      </c>
      <c r="BA805" s="472" t="s">
        <v>517</v>
      </c>
      <c r="BB805" s="472" t="s">
        <v>1385</v>
      </c>
      <c r="BC805" s="472" t="s">
        <v>1385</v>
      </c>
      <c r="BD805" s="472" t="s">
        <v>1385</v>
      </c>
      <c r="BE805" s="472" t="s">
        <v>1385</v>
      </c>
      <c r="BF805" s="472">
        <v>39833.1</v>
      </c>
      <c r="BG805" s="472">
        <v>0</v>
      </c>
      <c r="BH805" s="472" t="s">
        <v>1385</v>
      </c>
      <c r="BI805" s="510">
        <v>0</v>
      </c>
      <c r="BJ805" s="510">
        <v>0</v>
      </c>
      <c r="BK805" s="510">
        <v>0</v>
      </c>
      <c r="BL805" s="510">
        <v>0</v>
      </c>
      <c r="BM805" s="510">
        <v>0</v>
      </c>
      <c r="BN805" s="510">
        <v>5000</v>
      </c>
      <c r="BO805" s="510">
        <v>1600</v>
      </c>
      <c r="BP805" s="510">
        <v>400</v>
      </c>
      <c r="BQ805" s="510">
        <v>0</v>
      </c>
      <c r="BR805" s="510">
        <v>0</v>
      </c>
      <c r="BS805" s="510">
        <v>0</v>
      </c>
      <c r="BT805" s="510">
        <v>0</v>
      </c>
      <c r="BU805" s="510">
        <v>0</v>
      </c>
      <c r="BV805" s="510">
        <v>0</v>
      </c>
      <c r="BW805" s="510">
        <v>0</v>
      </c>
      <c r="BX805" s="510">
        <v>30000</v>
      </c>
      <c r="BY805" s="1011">
        <v>0</v>
      </c>
      <c r="BZ805" s="510">
        <v>0</v>
      </c>
      <c r="CA805" s="1011">
        <v>0</v>
      </c>
      <c r="CB805" s="510">
        <v>22000</v>
      </c>
      <c r="CC805" s="1011">
        <v>0</v>
      </c>
      <c r="CD805" s="510">
        <v>0</v>
      </c>
      <c r="CE805" s="1011">
        <v>0</v>
      </c>
      <c r="CF805" s="510">
        <v>52430.400000000001</v>
      </c>
      <c r="CG805" s="1011">
        <v>0</v>
      </c>
      <c r="CH805" s="510">
        <v>0</v>
      </c>
      <c r="CI805" s="1011">
        <v>0</v>
      </c>
    </row>
    <row r="806" spans="1:87" x14ac:dyDescent="0.2">
      <c r="A806" s="449">
        <v>69</v>
      </c>
      <c r="B806" s="453">
        <v>92941</v>
      </c>
      <c r="C806" s="454" t="s">
        <v>7351</v>
      </c>
      <c r="D806" s="454" t="s">
        <v>517</v>
      </c>
      <c r="E806" s="454" t="s">
        <v>7351</v>
      </c>
      <c r="F806" s="454" t="s">
        <v>520</v>
      </c>
      <c r="G806" s="454" t="s">
        <v>13649</v>
      </c>
      <c r="H806" s="455">
        <v>51691335000134</v>
      </c>
      <c r="I806" s="462">
        <v>29104</v>
      </c>
      <c r="J806" s="457">
        <v>37627899</v>
      </c>
      <c r="K806" s="454" t="s">
        <v>7353</v>
      </c>
      <c r="L806" s="458">
        <v>108</v>
      </c>
      <c r="M806" s="454" t="s">
        <v>7354</v>
      </c>
      <c r="N806" s="459">
        <v>5885190</v>
      </c>
      <c r="O806" s="460">
        <v>58732676</v>
      </c>
      <c r="P806" s="462">
        <v>300856</v>
      </c>
      <c r="Q806" s="462">
        <v>134</v>
      </c>
      <c r="R806" s="462">
        <v>43983</v>
      </c>
      <c r="S806" s="463">
        <v>825</v>
      </c>
      <c r="T806" s="464">
        <v>5.4</v>
      </c>
      <c r="U806" s="465">
        <v>4455</v>
      </c>
      <c r="V806" s="465">
        <v>18720</v>
      </c>
      <c r="W806" s="466">
        <v>0</v>
      </c>
      <c r="X806" s="467">
        <v>1</v>
      </c>
      <c r="Y806" s="466">
        <v>34762.5</v>
      </c>
      <c r="Z806" s="468" t="s">
        <v>516</v>
      </c>
      <c r="AA806" s="466">
        <v>132432.1</v>
      </c>
      <c r="AB806" s="466">
        <v>132432.1</v>
      </c>
      <c r="AC806" s="467">
        <v>0</v>
      </c>
      <c r="AD806" s="466">
        <v>0</v>
      </c>
      <c r="AE806" s="468" t="s">
        <v>516</v>
      </c>
      <c r="AF806" s="466">
        <v>0</v>
      </c>
      <c r="AG806" s="466">
        <v>0</v>
      </c>
      <c r="AH806" s="466">
        <v>51544.21</v>
      </c>
      <c r="AI806" s="466">
        <v>9270</v>
      </c>
      <c r="AJ806" s="469" t="s">
        <v>1515</v>
      </c>
      <c r="AK806" s="470" t="s">
        <v>1516</v>
      </c>
      <c r="AL806" s="471" t="s">
        <v>7355</v>
      </c>
      <c r="AM806" s="470" t="s">
        <v>7356</v>
      </c>
      <c r="AN806" s="470" t="s">
        <v>7352</v>
      </c>
      <c r="AO806" s="470" t="s">
        <v>7357</v>
      </c>
      <c r="AP806" s="470" t="s">
        <v>7358</v>
      </c>
      <c r="AQ806" s="470" t="s">
        <v>7351</v>
      </c>
      <c r="AR806" s="472" t="s">
        <v>515</v>
      </c>
      <c r="AS806" s="473" t="s">
        <v>1385</v>
      </c>
      <c r="AT806" s="472" t="s">
        <v>517</v>
      </c>
      <c r="AU806" s="472" t="s">
        <v>420</v>
      </c>
      <c r="AV806" s="472">
        <v>2020</v>
      </c>
      <c r="AW806" s="474" t="s">
        <v>15078</v>
      </c>
      <c r="AX806" s="475" t="s">
        <v>15079</v>
      </c>
      <c r="AY806" s="515">
        <v>1</v>
      </c>
      <c r="AZ806" s="474" t="s">
        <v>15079</v>
      </c>
      <c r="BA806" s="472" t="s">
        <v>517</v>
      </c>
      <c r="BB806" s="472" t="s">
        <v>1385</v>
      </c>
      <c r="BC806" s="472" t="s">
        <v>1385</v>
      </c>
      <c r="BD806" s="472" t="s">
        <v>1385</v>
      </c>
      <c r="BE806" s="472" t="s">
        <v>1385</v>
      </c>
      <c r="BF806" s="472">
        <v>34762.5</v>
      </c>
      <c r="BG806" s="472">
        <v>0</v>
      </c>
      <c r="BH806" s="472" t="s">
        <v>1385</v>
      </c>
      <c r="BI806" s="510">
        <v>0</v>
      </c>
      <c r="BJ806" s="510">
        <v>10718.56</v>
      </c>
      <c r="BK806" s="510">
        <v>0</v>
      </c>
      <c r="BL806" s="510">
        <v>0</v>
      </c>
      <c r="BM806" s="510">
        <v>0</v>
      </c>
      <c r="BN806" s="510">
        <v>5000</v>
      </c>
      <c r="BO806" s="510">
        <v>0</v>
      </c>
      <c r="BP806" s="510">
        <v>0</v>
      </c>
      <c r="BQ806" s="510">
        <v>0</v>
      </c>
      <c r="BR806" s="510">
        <v>0</v>
      </c>
      <c r="BS806" s="510">
        <v>0</v>
      </c>
      <c r="BT806" s="510">
        <v>0</v>
      </c>
      <c r="BU806" s="510">
        <v>2500</v>
      </c>
      <c r="BV806" s="510">
        <v>2500</v>
      </c>
      <c r="BW806" s="510">
        <v>0</v>
      </c>
      <c r="BX806" s="510">
        <v>30000</v>
      </c>
      <c r="BY806" s="1011">
        <v>0</v>
      </c>
      <c r="BZ806" s="510">
        <v>0</v>
      </c>
      <c r="CA806" s="1011">
        <v>0</v>
      </c>
      <c r="CB806" s="510">
        <v>22000</v>
      </c>
      <c r="CC806" s="1011">
        <v>0</v>
      </c>
      <c r="CD806" s="510">
        <v>0</v>
      </c>
      <c r="CE806" s="1011">
        <v>0</v>
      </c>
      <c r="CF806" s="510">
        <v>45669.599999999999</v>
      </c>
      <c r="CG806" s="1011">
        <v>0</v>
      </c>
      <c r="CH806" s="510">
        <v>0</v>
      </c>
      <c r="CI806" s="1011">
        <v>0</v>
      </c>
    </row>
    <row r="807" spans="1:87" x14ac:dyDescent="0.2">
      <c r="A807" s="449">
        <v>74</v>
      </c>
      <c r="B807" s="453">
        <v>92959</v>
      </c>
      <c r="C807" s="454" t="s">
        <v>7359</v>
      </c>
      <c r="D807" s="454" t="s">
        <v>517</v>
      </c>
      <c r="E807" s="454" t="s">
        <v>7360</v>
      </c>
      <c r="F807" s="454" t="s">
        <v>520</v>
      </c>
      <c r="G807" s="454" t="s">
        <v>13650</v>
      </c>
      <c r="H807" s="455">
        <v>43613272000170</v>
      </c>
      <c r="I807" s="462">
        <v>29384</v>
      </c>
      <c r="J807" s="457">
        <v>37628909</v>
      </c>
      <c r="K807" s="454" t="s">
        <v>5437</v>
      </c>
      <c r="L807" s="458">
        <v>672</v>
      </c>
      <c r="M807" s="454" t="s">
        <v>7362</v>
      </c>
      <c r="N807" s="459">
        <v>5892360</v>
      </c>
      <c r="O807" s="460">
        <v>58212315</v>
      </c>
      <c r="P807" s="462">
        <v>301054</v>
      </c>
      <c r="Q807" s="462">
        <v>139</v>
      </c>
      <c r="R807" s="462">
        <v>43969</v>
      </c>
      <c r="S807" s="463">
        <v>1413</v>
      </c>
      <c r="T807" s="464">
        <v>5.4</v>
      </c>
      <c r="U807" s="465">
        <v>7630.2</v>
      </c>
      <c r="V807" s="465">
        <v>21960</v>
      </c>
      <c r="W807" s="466">
        <v>0</v>
      </c>
      <c r="X807" s="467">
        <v>1</v>
      </c>
      <c r="Y807" s="466">
        <v>44385.3</v>
      </c>
      <c r="Z807" s="468" t="s">
        <v>516</v>
      </c>
      <c r="AA807" s="466">
        <v>154896.1</v>
      </c>
      <c r="AB807" s="466">
        <v>154896.1</v>
      </c>
      <c r="AC807" s="467">
        <v>0</v>
      </c>
      <c r="AD807" s="466">
        <v>0</v>
      </c>
      <c r="AE807" s="468" t="s">
        <v>516</v>
      </c>
      <c r="AF807" s="466">
        <v>2000</v>
      </c>
      <c r="AG807" s="466">
        <v>2000</v>
      </c>
      <c r="AH807" s="466">
        <v>38281.040000000001</v>
      </c>
      <c r="AI807" s="466">
        <v>10928.79</v>
      </c>
      <c r="AJ807" s="469" t="s">
        <v>1470</v>
      </c>
      <c r="AK807" s="470" t="s">
        <v>1471</v>
      </c>
      <c r="AL807" s="471" t="s">
        <v>7363</v>
      </c>
      <c r="AM807" s="470" t="s">
        <v>7364</v>
      </c>
      <c r="AN807" s="470" t="s">
        <v>7361</v>
      </c>
      <c r="AO807" s="470" t="s">
        <v>7365</v>
      </c>
      <c r="AP807" s="470" t="s">
        <v>7366</v>
      </c>
      <c r="AQ807" s="470" t="s">
        <v>7359</v>
      </c>
      <c r="AR807" s="472" t="s">
        <v>515</v>
      </c>
      <c r="AS807" s="473" t="s">
        <v>1385</v>
      </c>
      <c r="AT807" s="472" t="s">
        <v>517</v>
      </c>
      <c r="AU807" s="472" t="s">
        <v>420</v>
      </c>
      <c r="AV807" s="472">
        <v>2020</v>
      </c>
      <c r="AW807" s="474" t="s">
        <v>15078</v>
      </c>
      <c r="AX807" s="475" t="s">
        <v>15079</v>
      </c>
      <c r="AY807" s="515">
        <v>1</v>
      </c>
      <c r="AZ807" s="474" t="s">
        <v>15079</v>
      </c>
      <c r="BA807" s="472" t="s">
        <v>517</v>
      </c>
      <c r="BB807" s="472" t="s">
        <v>1385</v>
      </c>
      <c r="BC807" s="472" t="s">
        <v>1385</v>
      </c>
      <c r="BD807" s="472" t="s">
        <v>1385</v>
      </c>
      <c r="BE807" s="472" t="s">
        <v>1385</v>
      </c>
      <c r="BF807" s="472">
        <v>44385.3</v>
      </c>
      <c r="BG807" s="472">
        <v>0</v>
      </c>
      <c r="BH807" s="472" t="s">
        <v>1385</v>
      </c>
      <c r="BI807" s="510">
        <v>0</v>
      </c>
      <c r="BJ807" s="510">
        <v>0.6</v>
      </c>
      <c r="BK807" s="510">
        <v>0</v>
      </c>
      <c r="BL807" s="510">
        <v>3500</v>
      </c>
      <c r="BM807" s="510">
        <v>0</v>
      </c>
      <c r="BN807" s="510">
        <v>6000</v>
      </c>
      <c r="BO807" s="510">
        <v>0</v>
      </c>
      <c r="BP807" s="510">
        <v>2000</v>
      </c>
      <c r="BQ807" s="510">
        <v>0</v>
      </c>
      <c r="BR807" s="510">
        <v>0</v>
      </c>
      <c r="BS807" s="510">
        <v>0</v>
      </c>
      <c r="BT807" s="510">
        <v>0</v>
      </c>
      <c r="BU807" s="510">
        <v>0</v>
      </c>
      <c r="BV807" s="510">
        <v>0</v>
      </c>
      <c r="BW807" s="510">
        <v>0</v>
      </c>
      <c r="BX807" s="510">
        <v>30000</v>
      </c>
      <c r="BY807" s="1011">
        <v>0</v>
      </c>
      <c r="BZ807" s="510">
        <v>0</v>
      </c>
      <c r="CA807" s="1011">
        <v>0</v>
      </c>
      <c r="CB807" s="510">
        <v>22000</v>
      </c>
      <c r="CC807" s="1011">
        <v>0</v>
      </c>
      <c r="CD807" s="510">
        <v>0</v>
      </c>
      <c r="CE807" s="1011">
        <v>0</v>
      </c>
      <c r="CF807" s="510">
        <v>58510.8</v>
      </c>
      <c r="CG807" s="1011">
        <v>0</v>
      </c>
      <c r="CH807" s="510">
        <v>0</v>
      </c>
      <c r="CI807" s="1011">
        <v>0</v>
      </c>
    </row>
    <row r="808" spans="1:87" x14ac:dyDescent="0.2">
      <c r="A808" s="449">
        <v>81</v>
      </c>
      <c r="B808" s="453">
        <v>92967</v>
      </c>
      <c r="C808" s="454" t="s">
        <v>7367</v>
      </c>
      <c r="D808" s="454" t="s">
        <v>517</v>
      </c>
      <c r="E808" s="454" t="s">
        <v>7367</v>
      </c>
      <c r="F808" s="454" t="s">
        <v>520</v>
      </c>
      <c r="G808" s="454" t="s">
        <v>13651</v>
      </c>
      <c r="H808" s="455">
        <v>47267513000127</v>
      </c>
      <c r="I808" s="462">
        <v>29829</v>
      </c>
      <c r="J808" s="457">
        <v>37622528</v>
      </c>
      <c r="K808" s="454" t="s">
        <v>7368</v>
      </c>
      <c r="L808" s="458">
        <v>10</v>
      </c>
      <c r="M808" s="454" t="s">
        <v>5338</v>
      </c>
      <c r="N808" s="459">
        <v>5796020</v>
      </c>
      <c r="O808" s="460">
        <v>58251409</v>
      </c>
      <c r="P808" s="462">
        <v>301410</v>
      </c>
      <c r="Q808" s="462">
        <v>146</v>
      </c>
      <c r="R808" s="462">
        <v>43969</v>
      </c>
      <c r="S808" s="463">
        <v>712</v>
      </c>
      <c r="T808" s="464">
        <v>5.4</v>
      </c>
      <c r="U808" s="465">
        <v>3844.8</v>
      </c>
      <c r="V808" s="465">
        <v>18720</v>
      </c>
      <c r="W808" s="466">
        <v>0</v>
      </c>
      <c r="X808" s="467">
        <v>1</v>
      </c>
      <c r="Y808" s="466">
        <v>33847.199999999997</v>
      </c>
      <c r="Z808" s="468" t="s">
        <v>516</v>
      </c>
      <c r="AA808" s="466">
        <v>131063.2</v>
      </c>
      <c r="AB808" s="466">
        <v>131063.2</v>
      </c>
      <c r="AC808" s="467">
        <v>0</v>
      </c>
      <c r="AD808" s="466">
        <v>0</v>
      </c>
      <c r="AE808" s="468" t="s">
        <v>516</v>
      </c>
      <c r="AF808" s="466">
        <v>0</v>
      </c>
      <c r="AG808" s="466">
        <v>0</v>
      </c>
      <c r="AH808" s="466">
        <v>10857.8</v>
      </c>
      <c r="AI808" s="466">
        <v>9330.86</v>
      </c>
      <c r="AJ808" s="469" t="s">
        <v>1470</v>
      </c>
      <c r="AK808" s="470" t="s">
        <v>1471</v>
      </c>
      <c r="AL808" s="471" t="s">
        <v>7369</v>
      </c>
      <c r="AM808" s="470" t="s">
        <v>7370</v>
      </c>
      <c r="AN808" s="470" t="s">
        <v>7371</v>
      </c>
      <c r="AO808" s="470" t="s">
        <v>7372</v>
      </c>
      <c r="AP808" s="470" t="s">
        <v>7373</v>
      </c>
      <c r="AQ808" s="470" t="s">
        <v>7367</v>
      </c>
      <c r="AR808" s="472" t="s">
        <v>515</v>
      </c>
      <c r="AS808" s="473" t="s">
        <v>1385</v>
      </c>
      <c r="AT808" s="472" t="s">
        <v>517</v>
      </c>
      <c r="AU808" s="472" t="s">
        <v>420</v>
      </c>
      <c r="AV808" s="472">
        <v>2020</v>
      </c>
      <c r="AW808" s="474" t="s">
        <v>15078</v>
      </c>
      <c r="AX808" s="475" t="s">
        <v>15079</v>
      </c>
      <c r="AY808" s="515">
        <v>1</v>
      </c>
      <c r="AZ808" s="474" t="s">
        <v>15079</v>
      </c>
      <c r="BA808" s="472" t="s">
        <v>517</v>
      </c>
      <c r="BB808" s="472" t="s">
        <v>1385</v>
      </c>
      <c r="BC808" s="472" t="s">
        <v>1385</v>
      </c>
      <c r="BD808" s="472" t="s">
        <v>1385</v>
      </c>
      <c r="BE808" s="472" t="s">
        <v>1385</v>
      </c>
      <c r="BF808" s="472">
        <v>33847.199999999997</v>
      </c>
      <c r="BG808" s="472">
        <v>0</v>
      </c>
      <c r="BH808" s="472" t="s">
        <v>1385</v>
      </c>
      <c r="BI808" s="510">
        <v>0</v>
      </c>
      <c r="BJ808" s="510">
        <v>0</v>
      </c>
      <c r="BK808" s="510">
        <v>0</v>
      </c>
      <c r="BL808" s="510">
        <v>2441.6999999999998</v>
      </c>
      <c r="BM808" s="510">
        <v>0</v>
      </c>
      <c r="BN808" s="510">
        <v>5000</v>
      </c>
      <c r="BO808" s="510">
        <v>0</v>
      </c>
      <c r="BP808" s="510">
        <v>0</v>
      </c>
      <c r="BQ808" s="510">
        <v>0</v>
      </c>
      <c r="BR808" s="510">
        <v>0</v>
      </c>
      <c r="BS808" s="510">
        <v>0</v>
      </c>
      <c r="BT808" s="510">
        <v>0</v>
      </c>
      <c r="BU808" s="510">
        <v>2500</v>
      </c>
      <c r="BV808" s="510">
        <v>2500</v>
      </c>
      <c r="BW808" s="510">
        <v>0</v>
      </c>
      <c r="BX808" s="510">
        <v>30000</v>
      </c>
      <c r="BY808" s="1011">
        <v>0</v>
      </c>
      <c r="BZ808" s="510">
        <v>0</v>
      </c>
      <c r="CA808" s="1011">
        <v>0</v>
      </c>
      <c r="CB808" s="510">
        <v>22000</v>
      </c>
      <c r="CC808" s="1011">
        <v>0</v>
      </c>
      <c r="CD808" s="510">
        <v>0</v>
      </c>
      <c r="CE808" s="1011">
        <v>0</v>
      </c>
      <c r="CF808" s="510">
        <v>45216</v>
      </c>
      <c r="CG808" s="1011">
        <v>0</v>
      </c>
      <c r="CH808" s="510">
        <v>0</v>
      </c>
      <c r="CI808" s="1011">
        <v>0</v>
      </c>
    </row>
    <row r="809" spans="1:87" x14ac:dyDescent="0.2">
      <c r="A809" s="449">
        <v>97</v>
      </c>
      <c r="B809" s="453">
        <v>92975</v>
      </c>
      <c r="C809" s="454" t="s">
        <v>7374</v>
      </c>
      <c r="D809" s="454" t="s">
        <v>517</v>
      </c>
      <c r="E809" s="454" t="s">
        <v>7374</v>
      </c>
      <c r="F809" s="454" t="s">
        <v>520</v>
      </c>
      <c r="G809" s="454" t="s">
        <v>13652</v>
      </c>
      <c r="H809" s="455">
        <v>51529865000180</v>
      </c>
      <c r="I809" s="462">
        <v>29017</v>
      </c>
      <c r="J809" s="457">
        <v>37628828</v>
      </c>
      <c r="K809" s="454" t="s">
        <v>7376</v>
      </c>
      <c r="L809" s="458">
        <v>184</v>
      </c>
      <c r="M809" s="454" t="s">
        <v>1812</v>
      </c>
      <c r="N809" s="459">
        <v>5850270</v>
      </c>
      <c r="O809" s="460">
        <v>58162564</v>
      </c>
      <c r="P809" s="462">
        <v>303650</v>
      </c>
      <c r="Q809" s="462">
        <v>162</v>
      </c>
      <c r="R809" s="462">
        <v>43969</v>
      </c>
      <c r="S809" s="463">
        <v>808</v>
      </c>
      <c r="T809" s="464">
        <v>5.4</v>
      </c>
      <c r="U809" s="465">
        <v>4363.2</v>
      </c>
      <c r="V809" s="465">
        <v>18720</v>
      </c>
      <c r="W809" s="466">
        <v>0</v>
      </c>
      <c r="X809" s="467">
        <v>1</v>
      </c>
      <c r="Y809" s="466">
        <v>34624.800000000003</v>
      </c>
      <c r="Z809" s="468" t="s">
        <v>516</v>
      </c>
      <c r="AA809" s="466">
        <v>132694</v>
      </c>
      <c r="AB809" s="466">
        <v>132694</v>
      </c>
      <c r="AC809" s="467">
        <v>0</v>
      </c>
      <c r="AD809" s="466">
        <v>0</v>
      </c>
      <c r="AE809" s="468" t="s">
        <v>516</v>
      </c>
      <c r="AF809" s="466">
        <v>2000</v>
      </c>
      <c r="AG809" s="466">
        <v>2000</v>
      </c>
      <c r="AH809" s="466">
        <v>42274.26</v>
      </c>
      <c r="AI809" s="466">
        <v>11545.95</v>
      </c>
      <c r="AJ809" s="469" t="s">
        <v>1813</v>
      </c>
      <c r="AK809" s="470" t="s">
        <v>1814</v>
      </c>
      <c r="AL809" s="471" t="s">
        <v>7377</v>
      </c>
      <c r="AM809" s="470" t="s">
        <v>7378</v>
      </c>
      <c r="AN809" s="470" t="s">
        <v>7375</v>
      </c>
      <c r="AO809" s="470" t="s">
        <v>7379</v>
      </c>
      <c r="AP809" s="470" t="s">
        <v>7380</v>
      </c>
      <c r="AQ809" s="470" t="s">
        <v>7374</v>
      </c>
      <c r="AR809" s="472" t="s">
        <v>515</v>
      </c>
      <c r="AS809" s="473" t="s">
        <v>1385</v>
      </c>
      <c r="AT809" s="472" t="s">
        <v>517</v>
      </c>
      <c r="AU809" s="472" t="s">
        <v>420</v>
      </c>
      <c r="AV809" s="472">
        <v>2020</v>
      </c>
      <c r="AW809" s="474" t="s">
        <v>15078</v>
      </c>
      <c r="AX809" s="475" t="s">
        <v>15079</v>
      </c>
      <c r="AY809" s="515">
        <v>1</v>
      </c>
      <c r="AZ809" s="474" t="s">
        <v>15079</v>
      </c>
      <c r="BA809" s="472" t="s">
        <v>517</v>
      </c>
      <c r="BB809" s="472" t="s">
        <v>1385</v>
      </c>
      <c r="BC809" s="472" t="s">
        <v>1385</v>
      </c>
      <c r="BD809" s="472" t="s">
        <v>1385</v>
      </c>
      <c r="BE809" s="472" t="s">
        <v>1385</v>
      </c>
      <c r="BF809" s="472">
        <v>34624.800000000003</v>
      </c>
      <c r="BG809" s="472">
        <v>0</v>
      </c>
      <c r="BH809" s="472" t="s">
        <v>1385</v>
      </c>
      <c r="BI809" s="510">
        <v>0</v>
      </c>
      <c r="BJ809" s="510">
        <v>0</v>
      </c>
      <c r="BK809" s="510">
        <v>0</v>
      </c>
      <c r="BL809" s="510">
        <v>3500</v>
      </c>
      <c r="BM809" s="510">
        <v>0</v>
      </c>
      <c r="BN809" s="510">
        <v>5000</v>
      </c>
      <c r="BO809" s="510">
        <v>0</v>
      </c>
      <c r="BP809" s="510">
        <v>2000</v>
      </c>
      <c r="BQ809" s="510">
        <v>0</v>
      </c>
      <c r="BR809" s="510">
        <v>0</v>
      </c>
      <c r="BS809" s="510">
        <v>0</v>
      </c>
      <c r="BT809" s="510">
        <v>0</v>
      </c>
      <c r="BU809" s="510">
        <v>2500</v>
      </c>
      <c r="BV809" s="510">
        <v>2500</v>
      </c>
      <c r="BW809" s="510">
        <v>0</v>
      </c>
      <c r="BX809" s="510">
        <v>30000</v>
      </c>
      <c r="BY809" s="1011">
        <v>0</v>
      </c>
      <c r="BZ809" s="510">
        <v>0</v>
      </c>
      <c r="CA809" s="1011">
        <v>0</v>
      </c>
      <c r="CB809" s="510">
        <v>22000</v>
      </c>
      <c r="CC809" s="1011">
        <v>0</v>
      </c>
      <c r="CD809" s="510">
        <v>0</v>
      </c>
      <c r="CE809" s="1011">
        <v>0</v>
      </c>
      <c r="CF809" s="510">
        <v>46069.2</v>
      </c>
      <c r="CG809" s="1011">
        <v>0</v>
      </c>
      <c r="CH809" s="510">
        <v>0</v>
      </c>
      <c r="CI809" s="1011">
        <v>0</v>
      </c>
    </row>
    <row r="810" spans="1:87" x14ac:dyDescent="0.2">
      <c r="A810" s="449">
        <v>104</v>
      </c>
      <c r="B810" s="453">
        <v>92983</v>
      </c>
      <c r="C810" s="454" t="s">
        <v>7381</v>
      </c>
      <c r="D810" s="454" t="s">
        <v>517</v>
      </c>
      <c r="E810" s="454" t="s">
        <v>7381</v>
      </c>
      <c r="F810" s="454" t="s">
        <v>520</v>
      </c>
      <c r="G810" s="454" t="s">
        <v>13653</v>
      </c>
      <c r="H810" s="455">
        <v>51685238000139</v>
      </c>
      <c r="I810" s="462">
        <v>29096</v>
      </c>
      <c r="J810" s="457">
        <v>37627783</v>
      </c>
      <c r="K810" s="454" t="s">
        <v>7383</v>
      </c>
      <c r="L810" s="458">
        <v>527</v>
      </c>
      <c r="M810" s="454" t="s">
        <v>4971</v>
      </c>
      <c r="N810" s="459">
        <v>5846270</v>
      </c>
      <c r="O810" s="460">
        <v>55122237</v>
      </c>
      <c r="P810" s="462">
        <v>303936</v>
      </c>
      <c r="Q810" s="462">
        <v>169</v>
      </c>
      <c r="R810" s="462">
        <v>43983</v>
      </c>
      <c r="S810" s="463">
        <v>1158</v>
      </c>
      <c r="T810" s="464">
        <v>5.4</v>
      </c>
      <c r="U810" s="465">
        <v>6253.2</v>
      </c>
      <c r="V810" s="465">
        <v>20340</v>
      </c>
      <c r="W810" s="466">
        <v>0</v>
      </c>
      <c r="X810" s="467">
        <v>1</v>
      </c>
      <c r="Y810" s="466">
        <v>39889.800000000003</v>
      </c>
      <c r="Z810" s="468" t="s">
        <v>516</v>
      </c>
      <c r="AA810" s="466">
        <v>144212.20000000001</v>
      </c>
      <c r="AB810" s="466">
        <v>144212.20000000001</v>
      </c>
      <c r="AC810" s="467">
        <v>0</v>
      </c>
      <c r="AD810" s="466">
        <v>0</v>
      </c>
      <c r="AE810" s="468" t="s">
        <v>516</v>
      </c>
      <c r="AF810" s="466">
        <v>0</v>
      </c>
      <c r="AG810" s="466">
        <v>0</v>
      </c>
      <c r="AH810" s="466">
        <v>22992.52</v>
      </c>
      <c r="AI810" s="466">
        <v>10808.87</v>
      </c>
      <c r="AJ810" s="469" t="s">
        <v>1470</v>
      </c>
      <c r="AK810" s="470" t="s">
        <v>1471</v>
      </c>
      <c r="AL810" s="471" t="s">
        <v>7384</v>
      </c>
      <c r="AM810" s="470" t="s">
        <v>7385</v>
      </c>
      <c r="AN810" s="470" t="s">
        <v>7382</v>
      </c>
      <c r="AO810" s="470" t="s">
        <v>7386</v>
      </c>
      <c r="AP810" s="470" t="s">
        <v>7387</v>
      </c>
      <c r="AQ810" s="470" t="s">
        <v>7381</v>
      </c>
      <c r="AR810" s="472" t="s">
        <v>515</v>
      </c>
      <c r="AS810" s="473" t="s">
        <v>1385</v>
      </c>
      <c r="AT810" s="472" t="s">
        <v>517</v>
      </c>
      <c r="AU810" s="472" t="s">
        <v>420</v>
      </c>
      <c r="AV810" s="472">
        <v>2020</v>
      </c>
      <c r="AW810" s="474" t="s">
        <v>15078</v>
      </c>
      <c r="AX810" s="475" t="s">
        <v>15079</v>
      </c>
      <c r="AY810" s="515">
        <v>1</v>
      </c>
      <c r="AZ810" s="474" t="s">
        <v>15079</v>
      </c>
      <c r="BA810" s="472" t="s">
        <v>517</v>
      </c>
      <c r="BB810" s="472" t="s">
        <v>1385</v>
      </c>
      <c r="BC810" s="472" t="s">
        <v>1385</v>
      </c>
      <c r="BD810" s="472" t="s">
        <v>1385</v>
      </c>
      <c r="BE810" s="472" t="s">
        <v>1385</v>
      </c>
      <c r="BF810" s="472">
        <v>39889.800000000003</v>
      </c>
      <c r="BG810" s="472">
        <v>0</v>
      </c>
      <c r="BH810" s="472" t="s">
        <v>1385</v>
      </c>
      <c r="BI810" s="510">
        <v>0</v>
      </c>
      <c r="BJ810" s="510">
        <v>83.24</v>
      </c>
      <c r="BK810" s="510">
        <v>0</v>
      </c>
      <c r="BL810" s="510">
        <v>3500</v>
      </c>
      <c r="BM810" s="510">
        <v>0</v>
      </c>
      <c r="BN810" s="510">
        <v>5000</v>
      </c>
      <c r="BO810" s="510">
        <v>0</v>
      </c>
      <c r="BP810" s="510">
        <v>0</v>
      </c>
      <c r="BQ810" s="510">
        <v>0</v>
      </c>
      <c r="BR810" s="510">
        <v>0</v>
      </c>
      <c r="BS810" s="510">
        <v>0</v>
      </c>
      <c r="BT810" s="510">
        <v>0</v>
      </c>
      <c r="BU810" s="510">
        <v>0</v>
      </c>
      <c r="BV810" s="510">
        <v>0</v>
      </c>
      <c r="BW810" s="510">
        <v>0</v>
      </c>
      <c r="BX810" s="510">
        <v>30000</v>
      </c>
      <c r="BY810" s="1011">
        <v>0</v>
      </c>
      <c r="BZ810" s="510">
        <v>0</v>
      </c>
      <c r="CA810" s="1011">
        <v>0</v>
      </c>
      <c r="CB810" s="510">
        <v>22000</v>
      </c>
      <c r="CC810" s="1011">
        <v>0</v>
      </c>
      <c r="CD810" s="510">
        <v>0</v>
      </c>
      <c r="CE810" s="1011">
        <v>0</v>
      </c>
      <c r="CF810" s="510">
        <v>52322.400000000001</v>
      </c>
      <c r="CG810" s="1011">
        <v>0</v>
      </c>
      <c r="CH810" s="510">
        <v>0</v>
      </c>
      <c r="CI810" s="1011">
        <v>0</v>
      </c>
    </row>
    <row r="811" spans="1:87" x14ac:dyDescent="0.2">
      <c r="A811" s="449">
        <v>54</v>
      </c>
      <c r="B811" s="453">
        <v>92991</v>
      </c>
      <c r="C811" s="454" t="s">
        <v>7388</v>
      </c>
      <c r="D811" s="454" t="s">
        <v>517</v>
      </c>
      <c r="E811" s="454" t="s">
        <v>7388</v>
      </c>
      <c r="F811" s="454" t="s">
        <v>520</v>
      </c>
      <c r="G811" s="454" t="s">
        <v>13654</v>
      </c>
      <c r="H811" s="455">
        <v>52838620000106</v>
      </c>
      <c r="I811" s="462">
        <v>30567</v>
      </c>
      <c r="J811" s="457">
        <v>37619705</v>
      </c>
      <c r="K811" s="454" t="s">
        <v>7389</v>
      </c>
      <c r="L811" s="458">
        <v>5</v>
      </c>
      <c r="M811" s="454" t="s">
        <v>7390</v>
      </c>
      <c r="N811" s="459">
        <v>5846290</v>
      </c>
      <c r="O811" s="460">
        <v>55130008</v>
      </c>
      <c r="P811" s="462">
        <v>299858</v>
      </c>
      <c r="Q811" s="462">
        <v>119</v>
      </c>
      <c r="R811" s="462">
        <v>43979</v>
      </c>
      <c r="S811" s="463">
        <v>984</v>
      </c>
      <c r="T811" s="464">
        <v>5.4</v>
      </c>
      <c r="U811" s="465">
        <v>5313.6</v>
      </c>
      <c r="V811" s="465">
        <v>20340</v>
      </c>
      <c r="W811" s="466">
        <v>0</v>
      </c>
      <c r="X811" s="467">
        <v>1</v>
      </c>
      <c r="Y811" s="466">
        <v>38480.400000000001</v>
      </c>
      <c r="Z811" s="468" t="s">
        <v>516</v>
      </c>
      <c r="AA811" s="466">
        <v>141366.39999999999</v>
      </c>
      <c r="AB811" s="466">
        <v>141366.39999999999</v>
      </c>
      <c r="AC811" s="467">
        <v>0</v>
      </c>
      <c r="AD811" s="466">
        <v>0</v>
      </c>
      <c r="AE811" s="468" t="s">
        <v>516</v>
      </c>
      <c r="AF811" s="466">
        <v>0</v>
      </c>
      <c r="AG811" s="466">
        <v>0</v>
      </c>
      <c r="AH811" s="466">
        <v>29379.02</v>
      </c>
      <c r="AI811" s="466">
        <v>2153.65</v>
      </c>
      <c r="AJ811" s="469" t="s">
        <v>1470</v>
      </c>
      <c r="AK811" s="470" t="s">
        <v>1471</v>
      </c>
      <c r="AL811" s="471" t="s">
        <v>7391</v>
      </c>
      <c r="AM811" s="470" t="s">
        <v>13655</v>
      </c>
      <c r="AN811" s="470" t="s">
        <v>7392</v>
      </c>
      <c r="AO811" s="470" t="s">
        <v>7393</v>
      </c>
      <c r="AP811" s="470" t="s">
        <v>7394</v>
      </c>
      <c r="AQ811" s="470" t="s">
        <v>7388</v>
      </c>
      <c r="AR811" s="472" t="s">
        <v>515</v>
      </c>
      <c r="AS811" s="473" t="s">
        <v>1385</v>
      </c>
      <c r="AT811" s="472" t="s">
        <v>517</v>
      </c>
      <c r="AU811" s="472" t="s">
        <v>420</v>
      </c>
      <c r="AV811" s="472">
        <v>2020</v>
      </c>
      <c r="AW811" s="474" t="s">
        <v>15078</v>
      </c>
      <c r="AX811" s="475" t="s">
        <v>15079</v>
      </c>
      <c r="AY811" s="515">
        <v>1</v>
      </c>
      <c r="AZ811" s="474" t="s">
        <v>15079</v>
      </c>
      <c r="BA811" s="472" t="s">
        <v>517</v>
      </c>
      <c r="BB811" s="472" t="s">
        <v>1385</v>
      </c>
      <c r="BC811" s="472" t="s">
        <v>1385</v>
      </c>
      <c r="BD811" s="472" t="s">
        <v>1385</v>
      </c>
      <c r="BE811" s="472" t="s">
        <v>1385</v>
      </c>
      <c r="BF811" s="472">
        <v>38480.400000000001</v>
      </c>
      <c r="BG811" s="472">
        <v>0</v>
      </c>
      <c r="BH811" s="472" t="s">
        <v>1385</v>
      </c>
      <c r="BI811" s="510">
        <v>0</v>
      </c>
      <c r="BJ811" s="510">
        <v>0</v>
      </c>
      <c r="BK811" s="510">
        <v>0</v>
      </c>
      <c r="BL811" s="510">
        <v>0</v>
      </c>
      <c r="BM811" s="510">
        <v>0</v>
      </c>
      <c r="BN811" s="510">
        <v>5000</v>
      </c>
      <c r="BO811" s="510">
        <v>0</v>
      </c>
      <c r="BP811" s="510">
        <v>0</v>
      </c>
      <c r="BQ811" s="510">
        <v>0</v>
      </c>
      <c r="BR811" s="510">
        <v>0</v>
      </c>
      <c r="BS811" s="510">
        <v>0</v>
      </c>
      <c r="BT811" s="510">
        <v>0</v>
      </c>
      <c r="BU811" s="510">
        <v>2500</v>
      </c>
      <c r="BV811" s="510">
        <v>2500</v>
      </c>
      <c r="BW811" s="510">
        <v>0</v>
      </c>
      <c r="BX811" s="510">
        <v>30000</v>
      </c>
      <c r="BY811" s="1011">
        <v>0</v>
      </c>
      <c r="BZ811" s="510">
        <v>0</v>
      </c>
      <c r="CA811" s="1011">
        <v>0</v>
      </c>
      <c r="CB811" s="510">
        <v>22000</v>
      </c>
      <c r="CC811" s="1011">
        <v>0</v>
      </c>
      <c r="CD811" s="510">
        <v>0</v>
      </c>
      <c r="CE811" s="1011">
        <v>0</v>
      </c>
      <c r="CF811" s="510">
        <v>50886</v>
      </c>
      <c r="CG811" s="1011">
        <v>0</v>
      </c>
      <c r="CH811" s="510">
        <v>0</v>
      </c>
      <c r="CI811" s="1011">
        <v>0</v>
      </c>
    </row>
    <row r="812" spans="1:87" x14ac:dyDescent="0.2">
      <c r="A812" s="449">
        <v>83</v>
      </c>
      <c r="B812" s="453">
        <v>93009</v>
      </c>
      <c r="C812" s="454" t="s">
        <v>7395</v>
      </c>
      <c r="D812" s="454" t="s">
        <v>517</v>
      </c>
      <c r="E812" s="454" t="s">
        <v>7395</v>
      </c>
      <c r="F812" s="454" t="s">
        <v>520</v>
      </c>
      <c r="G812" s="454" t="s">
        <v>13656</v>
      </c>
      <c r="H812" s="455">
        <v>51157287000107</v>
      </c>
      <c r="I812" s="462">
        <v>28894</v>
      </c>
      <c r="J812" s="457">
        <v>45307644</v>
      </c>
      <c r="K812" s="454" t="s">
        <v>7397</v>
      </c>
      <c r="L812" s="458">
        <v>278</v>
      </c>
      <c r="M812" s="454" t="s">
        <v>7398</v>
      </c>
      <c r="N812" s="459">
        <v>5780260</v>
      </c>
      <c r="O812" s="460">
        <v>55130018</v>
      </c>
      <c r="P812" s="462">
        <v>301585</v>
      </c>
      <c r="Q812" s="462">
        <v>148</v>
      </c>
      <c r="R812" s="462">
        <v>43969</v>
      </c>
      <c r="S812" s="463">
        <v>794</v>
      </c>
      <c r="T812" s="464">
        <v>5.4</v>
      </c>
      <c r="U812" s="465">
        <v>4287.6000000000004</v>
      </c>
      <c r="V812" s="465">
        <v>18720</v>
      </c>
      <c r="W812" s="466">
        <v>0</v>
      </c>
      <c r="X812" s="467">
        <v>1</v>
      </c>
      <c r="Y812" s="466">
        <v>42935.4</v>
      </c>
      <c r="Z812" s="468" t="s">
        <v>516</v>
      </c>
      <c r="AA812" s="466">
        <v>156707.4</v>
      </c>
      <c r="AB812" s="466">
        <v>156707.4</v>
      </c>
      <c r="AC812" s="467">
        <v>0</v>
      </c>
      <c r="AD812" s="466">
        <v>0</v>
      </c>
      <c r="AE812" s="468" t="s">
        <v>516</v>
      </c>
      <c r="AF812" s="466">
        <v>2000</v>
      </c>
      <c r="AG812" s="466">
        <v>2000</v>
      </c>
      <c r="AH812" s="466">
        <v>6234.57</v>
      </c>
      <c r="AI812" s="466">
        <v>14904.55</v>
      </c>
      <c r="AJ812" s="469" t="s">
        <v>1470</v>
      </c>
      <c r="AK812" s="470" t="s">
        <v>3856</v>
      </c>
      <c r="AL812" s="471" t="s">
        <v>7399</v>
      </c>
      <c r="AM812" s="470" t="s">
        <v>7400</v>
      </c>
      <c r="AN812" s="470" t="s">
        <v>7396</v>
      </c>
      <c r="AO812" s="470" t="s">
        <v>7401</v>
      </c>
      <c r="AP812" s="470" t="s">
        <v>7402</v>
      </c>
      <c r="AQ812" s="470" t="s">
        <v>7395</v>
      </c>
      <c r="AR812" s="472" t="s">
        <v>515</v>
      </c>
      <c r="AS812" s="473" t="s">
        <v>1385</v>
      </c>
      <c r="AT812" s="472" t="s">
        <v>517</v>
      </c>
      <c r="AU812" s="472" t="s">
        <v>420</v>
      </c>
      <c r="AV812" s="472">
        <v>2020</v>
      </c>
      <c r="AW812" s="474" t="s">
        <v>15078</v>
      </c>
      <c r="AX812" s="475" t="s">
        <v>15079</v>
      </c>
      <c r="AY812" s="515">
        <v>1</v>
      </c>
      <c r="AZ812" s="474" t="s">
        <v>15079</v>
      </c>
      <c r="BA812" s="472" t="s">
        <v>517</v>
      </c>
      <c r="BB812" s="472" t="s">
        <v>516</v>
      </c>
      <c r="BC812" s="472">
        <v>5</v>
      </c>
      <c r="BD812" s="472">
        <v>5616</v>
      </c>
      <c r="BE812" s="472">
        <v>0</v>
      </c>
      <c r="BF812" s="472">
        <v>42935.4</v>
      </c>
      <c r="BG812" s="472">
        <v>0</v>
      </c>
      <c r="BH812" s="472" t="s">
        <v>1385</v>
      </c>
      <c r="BI812" s="510">
        <v>0</v>
      </c>
      <c r="BJ812" s="510">
        <v>1610.6</v>
      </c>
      <c r="BK812" s="510">
        <v>0</v>
      </c>
      <c r="BL812" s="510">
        <v>0</v>
      </c>
      <c r="BM812" s="510">
        <v>0</v>
      </c>
      <c r="BN812" s="510">
        <v>5000</v>
      </c>
      <c r="BO812" s="510">
        <v>0</v>
      </c>
      <c r="BP812" s="510">
        <v>2000</v>
      </c>
      <c r="BQ812" s="510">
        <v>0</v>
      </c>
      <c r="BR812" s="510">
        <v>0</v>
      </c>
      <c r="BS812" s="510">
        <v>0</v>
      </c>
      <c r="BT812" s="510">
        <v>0</v>
      </c>
      <c r="BU812" s="510">
        <v>0</v>
      </c>
      <c r="BV812" s="510">
        <v>0</v>
      </c>
      <c r="BW812" s="510">
        <v>0</v>
      </c>
      <c r="BX812" s="510">
        <v>30000</v>
      </c>
      <c r="BY812" s="1011">
        <v>0</v>
      </c>
      <c r="BZ812" s="510">
        <v>0</v>
      </c>
      <c r="CA812" s="1011">
        <v>0</v>
      </c>
      <c r="CB812" s="510">
        <v>22000</v>
      </c>
      <c r="CC812" s="1011">
        <v>0</v>
      </c>
      <c r="CD812" s="510">
        <v>0</v>
      </c>
      <c r="CE812" s="1011">
        <v>0</v>
      </c>
      <c r="CF812" s="510">
        <v>61772</v>
      </c>
      <c r="CG812" s="1011">
        <v>0</v>
      </c>
      <c r="CH812" s="510">
        <v>0</v>
      </c>
      <c r="CI812" s="1011">
        <v>0</v>
      </c>
    </row>
    <row r="813" spans="1:87" x14ac:dyDescent="0.2">
      <c r="A813" s="449">
        <v>53</v>
      </c>
      <c r="B813" s="453">
        <v>93017</v>
      </c>
      <c r="C813" s="454" t="s">
        <v>7403</v>
      </c>
      <c r="D813" s="454" t="s">
        <v>517</v>
      </c>
      <c r="E813" s="454" t="s">
        <v>7403</v>
      </c>
      <c r="F813" s="454" t="s">
        <v>520</v>
      </c>
      <c r="G813" s="454" t="s">
        <v>13657</v>
      </c>
      <c r="H813" s="455">
        <v>52032570000167</v>
      </c>
      <c r="I813" s="462">
        <v>30283</v>
      </c>
      <c r="J813" s="457">
        <v>37619691</v>
      </c>
      <c r="K813" s="454" t="s">
        <v>7405</v>
      </c>
      <c r="L813" s="458">
        <v>187</v>
      </c>
      <c r="M813" s="454" t="s">
        <v>4257</v>
      </c>
      <c r="N813" s="459">
        <v>5767400</v>
      </c>
      <c r="O813" s="460">
        <v>58415223</v>
      </c>
      <c r="P813" s="462">
        <v>299777</v>
      </c>
      <c r="Q813" s="462">
        <v>118</v>
      </c>
      <c r="R813" s="462">
        <v>43979</v>
      </c>
      <c r="S813" s="463">
        <v>959</v>
      </c>
      <c r="T813" s="464">
        <v>5.4</v>
      </c>
      <c r="U813" s="465">
        <v>5178.6000000000004</v>
      </c>
      <c r="V813" s="465">
        <v>20340</v>
      </c>
      <c r="W813" s="466">
        <v>0</v>
      </c>
      <c r="X813" s="467">
        <v>1</v>
      </c>
      <c r="Y813" s="466">
        <v>47430.9</v>
      </c>
      <c r="Z813" s="468" t="s">
        <v>516</v>
      </c>
      <c r="AA813" s="466">
        <v>162693.29999999999</v>
      </c>
      <c r="AB813" s="466">
        <v>162693.29999999999</v>
      </c>
      <c r="AC813" s="467">
        <v>0</v>
      </c>
      <c r="AD813" s="466">
        <v>0</v>
      </c>
      <c r="AE813" s="468" t="s">
        <v>516</v>
      </c>
      <c r="AF813" s="466">
        <v>2000</v>
      </c>
      <c r="AG813" s="466">
        <v>2000</v>
      </c>
      <c r="AH813" s="466">
        <v>9606.99</v>
      </c>
      <c r="AI813" s="466">
        <v>6325.19</v>
      </c>
      <c r="AJ813" s="469" t="s">
        <v>1813</v>
      </c>
      <c r="AK813" s="470" t="s">
        <v>1814</v>
      </c>
      <c r="AL813" s="471" t="s">
        <v>7406</v>
      </c>
      <c r="AM813" s="470" t="s">
        <v>7407</v>
      </c>
      <c r="AN813" s="470" t="s">
        <v>7404</v>
      </c>
      <c r="AO813" s="470" t="s">
        <v>7408</v>
      </c>
      <c r="AP813" s="470" t="s">
        <v>7409</v>
      </c>
      <c r="AQ813" s="470" t="s">
        <v>7403</v>
      </c>
      <c r="AR813" s="472" t="s">
        <v>515</v>
      </c>
      <c r="AS813" s="473" t="s">
        <v>1385</v>
      </c>
      <c r="AT813" s="472" t="s">
        <v>517</v>
      </c>
      <c r="AU813" s="472" t="s">
        <v>420</v>
      </c>
      <c r="AV813" s="472">
        <v>2020</v>
      </c>
      <c r="AW813" s="474" t="s">
        <v>15078</v>
      </c>
      <c r="AX813" s="475" t="s">
        <v>15079</v>
      </c>
      <c r="AY813" s="515">
        <v>1</v>
      </c>
      <c r="AZ813" s="474" t="s">
        <v>15079</v>
      </c>
      <c r="BA813" s="472" t="s">
        <v>517</v>
      </c>
      <c r="BB813" s="472" t="s">
        <v>516</v>
      </c>
      <c r="BC813" s="472">
        <v>6</v>
      </c>
      <c r="BD813" s="472">
        <v>6102</v>
      </c>
      <c r="BE813" s="472">
        <v>0</v>
      </c>
      <c r="BF813" s="472">
        <v>47430.9</v>
      </c>
      <c r="BG813" s="472">
        <v>0</v>
      </c>
      <c r="BH813" s="472" t="s">
        <v>1385</v>
      </c>
      <c r="BI813" s="510">
        <v>0</v>
      </c>
      <c r="BJ813" s="510">
        <v>0</v>
      </c>
      <c r="BK813" s="510">
        <v>0</v>
      </c>
      <c r="BL813" s="510">
        <v>0</v>
      </c>
      <c r="BM813" s="510">
        <v>0</v>
      </c>
      <c r="BN813" s="510">
        <v>5000</v>
      </c>
      <c r="BO813" s="510">
        <v>0</v>
      </c>
      <c r="BP813" s="510">
        <v>2000</v>
      </c>
      <c r="BQ813" s="510">
        <v>0</v>
      </c>
      <c r="BR813" s="510">
        <v>0</v>
      </c>
      <c r="BS813" s="510">
        <v>0</v>
      </c>
      <c r="BT813" s="510">
        <v>0</v>
      </c>
      <c r="BU813" s="510">
        <v>0</v>
      </c>
      <c r="BV813" s="510">
        <v>0</v>
      </c>
      <c r="BW813" s="510">
        <v>0</v>
      </c>
      <c r="BX813" s="510">
        <v>30000</v>
      </c>
      <c r="BY813" s="1011">
        <v>0</v>
      </c>
      <c r="BZ813" s="510">
        <v>0</v>
      </c>
      <c r="CA813" s="1011">
        <v>0</v>
      </c>
      <c r="CB813" s="510">
        <v>22000</v>
      </c>
      <c r="CC813" s="1011">
        <v>0</v>
      </c>
      <c r="CD813" s="510">
        <v>0</v>
      </c>
      <c r="CE813" s="1011">
        <v>0</v>
      </c>
      <c r="CF813" s="510">
        <v>63262.400000000001</v>
      </c>
      <c r="CG813" s="1011">
        <v>0</v>
      </c>
      <c r="CH813" s="510">
        <v>0</v>
      </c>
      <c r="CI813" s="1011">
        <v>0</v>
      </c>
    </row>
    <row r="814" spans="1:87" x14ac:dyDescent="0.2">
      <c r="A814" s="449">
        <v>98</v>
      </c>
      <c r="B814" s="453">
        <v>93025</v>
      </c>
      <c r="C814" s="454" t="s">
        <v>7410</v>
      </c>
      <c r="D814" s="454" t="s">
        <v>517</v>
      </c>
      <c r="E814" s="454" t="s">
        <v>7410</v>
      </c>
      <c r="F814" s="454" t="s">
        <v>520</v>
      </c>
      <c r="G814" s="454" t="s">
        <v>13658</v>
      </c>
      <c r="H814" s="455">
        <v>54581368000110</v>
      </c>
      <c r="I814" s="462">
        <v>31238</v>
      </c>
      <c r="J814" s="457">
        <v>37628232</v>
      </c>
      <c r="K814" s="454" t="s">
        <v>7411</v>
      </c>
      <c r="L814" s="458" t="s">
        <v>1446</v>
      </c>
      <c r="M814" s="454" t="s">
        <v>4257</v>
      </c>
      <c r="N814" s="459">
        <v>5767480</v>
      </c>
      <c r="O814" s="460">
        <v>58413943</v>
      </c>
      <c r="P814" s="462">
        <v>303677</v>
      </c>
      <c r="Q814" s="462">
        <v>163</v>
      </c>
      <c r="R814" s="462">
        <v>43979</v>
      </c>
      <c r="S814" s="463">
        <v>693</v>
      </c>
      <c r="T814" s="464">
        <v>5.4</v>
      </c>
      <c r="U814" s="465">
        <v>3742.2</v>
      </c>
      <c r="V814" s="465">
        <v>17100</v>
      </c>
      <c r="W814" s="466">
        <v>0</v>
      </c>
      <c r="X814" s="467">
        <v>1</v>
      </c>
      <c r="Y814" s="466">
        <v>31263.3</v>
      </c>
      <c r="Z814" s="468" t="s">
        <v>516</v>
      </c>
      <c r="AA814" s="466">
        <v>124558.9</v>
      </c>
      <c r="AB814" s="466">
        <v>124558.9</v>
      </c>
      <c r="AC814" s="467">
        <v>0</v>
      </c>
      <c r="AD814" s="466">
        <v>0</v>
      </c>
      <c r="AE814" s="468" t="s">
        <v>516</v>
      </c>
      <c r="AF814" s="466">
        <v>0</v>
      </c>
      <c r="AG814" s="466">
        <v>0</v>
      </c>
      <c r="AH814" s="466">
        <v>30213.23</v>
      </c>
      <c r="AI814" s="466">
        <v>8754.7199999999993</v>
      </c>
      <c r="AJ814" s="469" t="s">
        <v>1489</v>
      </c>
      <c r="AK814" s="470" t="s">
        <v>520</v>
      </c>
      <c r="AL814" s="471" t="s">
        <v>7412</v>
      </c>
      <c r="AM814" s="470" t="s">
        <v>10654</v>
      </c>
      <c r="AN814" s="470" t="s">
        <v>7413</v>
      </c>
      <c r="AO814" s="470" t="s">
        <v>7414</v>
      </c>
      <c r="AP814" s="470" t="s">
        <v>7415</v>
      </c>
      <c r="AQ814" s="470" t="s">
        <v>7410</v>
      </c>
      <c r="AR814" s="472" t="s">
        <v>515</v>
      </c>
      <c r="AS814" s="473" t="s">
        <v>1385</v>
      </c>
      <c r="AT814" s="472" t="s">
        <v>517</v>
      </c>
      <c r="AU814" s="472" t="s">
        <v>420</v>
      </c>
      <c r="AV814" s="472">
        <v>2020</v>
      </c>
      <c r="AW814" s="474" t="s">
        <v>15078</v>
      </c>
      <c r="AX814" s="475" t="s">
        <v>15079</v>
      </c>
      <c r="AY814" s="515">
        <v>1</v>
      </c>
      <c r="AZ814" s="474" t="s">
        <v>15079</v>
      </c>
      <c r="BA814" s="472" t="s">
        <v>517</v>
      </c>
      <c r="BB814" s="472" t="s">
        <v>1385</v>
      </c>
      <c r="BC814" s="472" t="s">
        <v>1385</v>
      </c>
      <c r="BD814" s="472" t="s">
        <v>1385</v>
      </c>
      <c r="BE814" s="472" t="s">
        <v>1385</v>
      </c>
      <c r="BF814" s="472">
        <v>31263.3</v>
      </c>
      <c r="BG814" s="472">
        <v>0</v>
      </c>
      <c r="BH814" s="472" t="s">
        <v>1385</v>
      </c>
      <c r="BI814" s="510">
        <v>0</v>
      </c>
      <c r="BJ814" s="510">
        <v>0</v>
      </c>
      <c r="BK814" s="510">
        <v>0</v>
      </c>
      <c r="BL814" s="510">
        <v>3500</v>
      </c>
      <c r="BM814" s="510">
        <v>0</v>
      </c>
      <c r="BN814" s="510">
        <v>3500</v>
      </c>
      <c r="BO814" s="510">
        <v>0</v>
      </c>
      <c r="BP814" s="510">
        <v>0</v>
      </c>
      <c r="BQ814" s="510">
        <v>0</v>
      </c>
      <c r="BR814" s="510">
        <v>0</v>
      </c>
      <c r="BS814" s="510">
        <v>0</v>
      </c>
      <c r="BT814" s="510">
        <v>0</v>
      </c>
      <c r="BU814" s="510">
        <v>2500</v>
      </c>
      <c r="BV814" s="510">
        <v>2500</v>
      </c>
      <c r="BW814" s="510">
        <v>0</v>
      </c>
      <c r="BX814" s="510">
        <v>30000</v>
      </c>
      <c r="BY814" s="1011">
        <v>0</v>
      </c>
      <c r="BZ814" s="510">
        <v>0</v>
      </c>
      <c r="CA814" s="1011">
        <v>0</v>
      </c>
      <c r="CB814" s="510">
        <v>22000</v>
      </c>
      <c r="CC814" s="1011">
        <v>0</v>
      </c>
      <c r="CD814" s="510">
        <v>0</v>
      </c>
      <c r="CE814" s="1011">
        <v>0</v>
      </c>
      <c r="CF814" s="510">
        <v>41295.599999999999</v>
      </c>
      <c r="CG814" s="1011">
        <v>0</v>
      </c>
      <c r="CH814" s="510">
        <v>0</v>
      </c>
      <c r="CI814" s="1011">
        <v>0</v>
      </c>
    </row>
    <row r="815" spans="1:87" x14ac:dyDescent="0.2">
      <c r="A815" s="449">
        <v>90</v>
      </c>
      <c r="B815" s="453">
        <v>93033</v>
      </c>
      <c r="C815" s="454" t="s">
        <v>7416</v>
      </c>
      <c r="D815" s="454" t="s">
        <v>517</v>
      </c>
      <c r="E815" s="454" t="s">
        <v>7416</v>
      </c>
      <c r="F815" s="454" t="s">
        <v>520</v>
      </c>
      <c r="G815" s="454" t="s">
        <v>13659</v>
      </c>
      <c r="H815" s="455">
        <v>56826464000106</v>
      </c>
      <c r="I815" s="462">
        <v>31756</v>
      </c>
      <c r="J815" s="457">
        <v>37619748</v>
      </c>
      <c r="K815" s="454" t="s">
        <v>7417</v>
      </c>
      <c r="L815" s="458">
        <v>54</v>
      </c>
      <c r="M815" s="454" t="s">
        <v>7418</v>
      </c>
      <c r="N815" s="459">
        <v>5759260</v>
      </c>
      <c r="O815" s="460">
        <v>58410624</v>
      </c>
      <c r="P815" s="462">
        <v>301810</v>
      </c>
      <c r="Q815" s="462">
        <v>155</v>
      </c>
      <c r="R815" s="462">
        <v>43969</v>
      </c>
      <c r="S815" s="463">
        <v>1056</v>
      </c>
      <c r="T815" s="464">
        <v>5.4</v>
      </c>
      <c r="U815" s="465">
        <v>5702.4</v>
      </c>
      <c r="V815" s="465">
        <v>20340</v>
      </c>
      <c r="W815" s="466">
        <v>0</v>
      </c>
      <c r="X815" s="467">
        <v>1</v>
      </c>
      <c r="Y815" s="466">
        <v>39063.599999999999</v>
      </c>
      <c r="Z815" s="468" t="s">
        <v>516</v>
      </c>
      <c r="AA815" s="466">
        <v>142997.20000000001</v>
      </c>
      <c r="AB815" s="466">
        <v>142997.20000000001</v>
      </c>
      <c r="AC815" s="467">
        <v>0</v>
      </c>
      <c r="AD815" s="466">
        <v>0</v>
      </c>
      <c r="AE815" s="468" t="s">
        <v>516</v>
      </c>
      <c r="AF815" s="466">
        <v>0</v>
      </c>
      <c r="AG815" s="466">
        <v>0</v>
      </c>
      <c r="AH815" s="466">
        <v>34601.26</v>
      </c>
      <c r="AI815" s="466">
        <v>10546.37</v>
      </c>
      <c r="AJ815" s="469" t="s">
        <v>1489</v>
      </c>
      <c r="AK815" s="470" t="s">
        <v>520</v>
      </c>
      <c r="AL815" s="471" t="s">
        <v>7419</v>
      </c>
      <c r="AM815" s="470" t="s">
        <v>7420</v>
      </c>
      <c r="AN815" s="470" t="s">
        <v>7421</v>
      </c>
      <c r="AO815" s="470" t="s">
        <v>7422</v>
      </c>
      <c r="AP815" s="470" t="s">
        <v>7423</v>
      </c>
      <c r="AQ815" s="470" t="s">
        <v>7416</v>
      </c>
      <c r="AR815" s="472" t="s">
        <v>515</v>
      </c>
      <c r="AS815" s="473" t="s">
        <v>1385</v>
      </c>
      <c r="AT815" s="472" t="s">
        <v>517</v>
      </c>
      <c r="AU815" s="472" t="s">
        <v>420</v>
      </c>
      <c r="AV815" s="472">
        <v>2020</v>
      </c>
      <c r="AW815" s="474" t="s">
        <v>15078</v>
      </c>
      <c r="AX815" s="475" t="s">
        <v>15079</v>
      </c>
      <c r="AY815" s="515">
        <v>1</v>
      </c>
      <c r="AZ815" s="474" t="s">
        <v>15079</v>
      </c>
      <c r="BA815" s="472" t="s">
        <v>517</v>
      </c>
      <c r="BB815" s="472" t="s">
        <v>1385</v>
      </c>
      <c r="BC815" s="472" t="s">
        <v>1385</v>
      </c>
      <c r="BD815" s="472" t="s">
        <v>1385</v>
      </c>
      <c r="BE815" s="472" t="s">
        <v>1385</v>
      </c>
      <c r="BF815" s="472">
        <v>39063.599999999999</v>
      </c>
      <c r="BG815" s="472">
        <v>0</v>
      </c>
      <c r="BH815" s="472" t="s">
        <v>1385</v>
      </c>
      <c r="BI815" s="510">
        <v>0</v>
      </c>
      <c r="BJ815" s="510">
        <v>0</v>
      </c>
      <c r="BK815" s="510">
        <v>0</v>
      </c>
      <c r="BL815" s="510">
        <v>3500</v>
      </c>
      <c r="BM815" s="510">
        <v>0</v>
      </c>
      <c r="BN815" s="510">
        <v>5000</v>
      </c>
      <c r="BO815" s="510">
        <v>0</v>
      </c>
      <c r="BP815" s="510">
        <v>0</v>
      </c>
      <c r="BQ815" s="510">
        <v>0</v>
      </c>
      <c r="BR815" s="510">
        <v>0</v>
      </c>
      <c r="BS815" s="510">
        <v>0</v>
      </c>
      <c r="BT815" s="510">
        <v>0</v>
      </c>
      <c r="BU815" s="510">
        <v>2500</v>
      </c>
      <c r="BV815" s="510">
        <v>2500</v>
      </c>
      <c r="BW815" s="510">
        <v>0</v>
      </c>
      <c r="BX815" s="510">
        <v>30000</v>
      </c>
      <c r="BY815" s="1011">
        <v>0</v>
      </c>
      <c r="BZ815" s="510">
        <v>0</v>
      </c>
      <c r="CA815" s="1011">
        <v>0</v>
      </c>
      <c r="CB815" s="510">
        <v>22000</v>
      </c>
      <c r="CC815" s="1011">
        <v>0</v>
      </c>
      <c r="CD815" s="510">
        <v>0</v>
      </c>
      <c r="CE815" s="1011">
        <v>0</v>
      </c>
      <c r="CF815" s="510">
        <v>51933.599999999999</v>
      </c>
      <c r="CG815" s="1011">
        <v>0</v>
      </c>
      <c r="CH815" s="510">
        <v>0</v>
      </c>
      <c r="CI815" s="1011">
        <v>0</v>
      </c>
    </row>
    <row r="816" spans="1:87" x14ac:dyDescent="0.2">
      <c r="A816" s="449">
        <v>80</v>
      </c>
      <c r="B816" s="453">
        <v>93041</v>
      </c>
      <c r="C816" s="454" t="s">
        <v>7424</v>
      </c>
      <c r="D816" s="454" t="s">
        <v>517</v>
      </c>
      <c r="E816" s="454" t="s">
        <v>7424</v>
      </c>
      <c r="F816" s="454" t="s">
        <v>520</v>
      </c>
      <c r="G816" s="454" t="s">
        <v>13660</v>
      </c>
      <c r="H816" s="455">
        <v>52633575000145</v>
      </c>
      <c r="I816" s="462">
        <v>30489</v>
      </c>
      <c r="J816" s="457">
        <v>37627791</v>
      </c>
      <c r="K816" s="454" t="s">
        <v>5416</v>
      </c>
      <c r="L816" s="458">
        <v>63</v>
      </c>
      <c r="M816" s="454" t="s">
        <v>5417</v>
      </c>
      <c r="N816" s="459">
        <v>5788310</v>
      </c>
      <c r="O816" s="460">
        <v>58422189</v>
      </c>
      <c r="P816" s="462">
        <v>301348</v>
      </c>
      <c r="Q816" s="462">
        <v>145</v>
      </c>
      <c r="R816" s="462">
        <v>43969</v>
      </c>
      <c r="S816" s="463">
        <v>1139</v>
      </c>
      <c r="T816" s="464">
        <v>5.4</v>
      </c>
      <c r="U816" s="465">
        <v>6150.6</v>
      </c>
      <c r="V816" s="465">
        <v>20340</v>
      </c>
      <c r="W816" s="466">
        <v>0</v>
      </c>
      <c r="X816" s="467">
        <v>1</v>
      </c>
      <c r="Y816" s="466">
        <v>39735.9</v>
      </c>
      <c r="Z816" s="468" t="s">
        <v>516</v>
      </c>
      <c r="AA816" s="466">
        <v>144371.5</v>
      </c>
      <c r="AB816" s="466">
        <v>144371.5</v>
      </c>
      <c r="AC816" s="467">
        <v>0</v>
      </c>
      <c r="AD816" s="466">
        <v>0</v>
      </c>
      <c r="AE816" s="468" t="s">
        <v>516</v>
      </c>
      <c r="AF816" s="466">
        <v>0</v>
      </c>
      <c r="AG816" s="466">
        <v>0</v>
      </c>
      <c r="AH816" s="466">
        <v>34206.32</v>
      </c>
      <c r="AI816" s="466">
        <v>10039.75</v>
      </c>
      <c r="AJ816" s="469" t="s">
        <v>5143</v>
      </c>
      <c r="AK816" s="470" t="s">
        <v>5144</v>
      </c>
      <c r="AL816" s="471" t="s">
        <v>7426</v>
      </c>
      <c r="AM816" s="470" t="s">
        <v>7427</v>
      </c>
      <c r="AN816" s="470" t="s">
        <v>7425</v>
      </c>
      <c r="AO816" s="470" t="s">
        <v>7428</v>
      </c>
      <c r="AP816" s="470" t="s">
        <v>7429</v>
      </c>
      <c r="AQ816" s="470" t="s">
        <v>7424</v>
      </c>
      <c r="AR816" s="472" t="s">
        <v>515</v>
      </c>
      <c r="AS816" s="473" t="s">
        <v>1385</v>
      </c>
      <c r="AT816" s="472" t="s">
        <v>517</v>
      </c>
      <c r="AU816" s="472" t="s">
        <v>420</v>
      </c>
      <c r="AV816" s="472">
        <v>2020</v>
      </c>
      <c r="AW816" s="474" t="s">
        <v>15078</v>
      </c>
      <c r="AX816" s="475" t="s">
        <v>15079</v>
      </c>
      <c r="AY816" s="515">
        <v>1</v>
      </c>
      <c r="AZ816" s="474" t="s">
        <v>15079</v>
      </c>
      <c r="BA816" s="472" t="s">
        <v>517</v>
      </c>
      <c r="BB816" s="472" t="s">
        <v>1385</v>
      </c>
      <c r="BC816" s="472" t="s">
        <v>1385</v>
      </c>
      <c r="BD816" s="472" t="s">
        <v>1385</v>
      </c>
      <c r="BE816" s="472" t="s">
        <v>1385</v>
      </c>
      <c r="BF816" s="472">
        <v>39735.9</v>
      </c>
      <c r="BG816" s="472">
        <v>0</v>
      </c>
      <c r="BH816" s="472" t="s">
        <v>1385</v>
      </c>
      <c r="BI816" s="510">
        <v>0</v>
      </c>
      <c r="BJ816" s="510">
        <v>0</v>
      </c>
      <c r="BK816" s="510">
        <v>0</v>
      </c>
      <c r="BL816" s="510">
        <v>0</v>
      </c>
      <c r="BM816" s="510">
        <v>0</v>
      </c>
      <c r="BN816" s="510">
        <v>5000</v>
      </c>
      <c r="BO816" s="510">
        <v>0</v>
      </c>
      <c r="BP816" s="510">
        <v>0</v>
      </c>
      <c r="BQ816" s="510">
        <v>0</v>
      </c>
      <c r="BR816" s="510">
        <v>0</v>
      </c>
      <c r="BS816" s="510">
        <v>0</v>
      </c>
      <c r="BT816" s="510">
        <v>0</v>
      </c>
      <c r="BU816" s="510">
        <v>0</v>
      </c>
      <c r="BV816" s="510">
        <v>0</v>
      </c>
      <c r="BW816" s="510">
        <v>0</v>
      </c>
      <c r="BX816" s="510">
        <v>30000</v>
      </c>
      <c r="BY816" s="1011">
        <v>0</v>
      </c>
      <c r="BZ816" s="510">
        <v>0</v>
      </c>
      <c r="CA816" s="1011">
        <v>0</v>
      </c>
      <c r="CB816" s="510">
        <v>22000</v>
      </c>
      <c r="CC816" s="1011">
        <v>0</v>
      </c>
      <c r="CD816" s="510">
        <v>0</v>
      </c>
      <c r="CE816" s="1011">
        <v>0</v>
      </c>
      <c r="CF816" s="510">
        <v>52635.6</v>
      </c>
      <c r="CG816" s="1011">
        <v>0</v>
      </c>
      <c r="CH816" s="510">
        <v>0</v>
      </c>
      <c r="CI816" s="1011">
        <v>0</v>
      </c>
    </row>
    <row r="817" spans="1:87" x14ac:dyDescent="0.2">
      <c r="A817" s="449">
        <v>106</v>
      </c>
      <c r="B817" s="453">
        <v>93050</v>
      </c>
      <c r="C817" s="454" t="s">
        <v>7430</v>
      </c>
      <c r="D817" s="454" t="s">
        <v>517</v>
      </c>
      <c r="E817" s="454" t="s">
        <v>7430</v>
      </c>
      <c r="F817" s="454" t="s">
        <v>520</v>
      </c>
      <c r="G817" s="454" t="s">
        <v>13661</v>
      </c>
      <c r="H817" s="455">
        <v>50535061000121</v>
      </c>
      <c r="I817" s="462">
        <v>30118</v>
      </c>
      <c r="J817" s="457">
        <v>37619802</v>
      </c>
      <c r="K817" s="454" t="s">
        <v>7431</v>
      </c>
      <c r="L817" s="458">
        <v>448</v>
      </c>
      <c r="M817" s="454" t="s">
        <v>5378</v>
      </c>
      <c r="N817" s="459">
        <v>5754070</v>
      </c>
      <c r="O817" s="460">
        <v>58451107</v>
      </c>
      <c r="P817" s="462">
        <v>303987</v>
      </c>
      <c r="Q817" s="462">
        <v>171</v>
      </c>
      <c r="R817" s="462">
        <v>43969</v>
      </c>
      <c r="S817" s="463">
        <v>960</v>
      </c>
      <c r="T817" s="464">
        <v>5.4</v>
      </c>
      <c r="U817" s="465">
        <v>5184</v>
      </c>
      <c r="V817" s="465">
        <v>20340</v>
      </c>
      <c r="W817" s="466">
        <v>0</v>
      </c>
      <c r="X817" s="467">
        <v>1</v>
      </c>
      <c r="Y817" s="466">
        <v>38286</v>
      </c>
      <c r="Z817" s="468" t="s">
        <v>516</v>
      </c>
      <c r="AA817" s="466">
        <v>137003.20000000001</v>
      </c>
      <c r="AB817" s="466">
        <v>137003.20000000001</v>
      </c>
      <c r="AC817" s="467">
        <v>0</v>
      </c>
      <c r="AD817" s="466">
        <v>0</v>
      </c>
      <c r="AE817" s="468" t="s">
        <v>516</v>
      </c>
      <c r="AF817" s="466">
        <v>2000</v>
      </c>
      <c r="AG817" s="466">
        <v>2000</v>
      </c>
      <c r="AH817" s="466">
        <v>17377.95</v>
      </c>
      <c r="AI817" s="466">
        <v>19631.27</v>
      </c>
      <c r="AJ817" s="469" t="s">
        <v>1470</v>
      </c>
      <c r="AK817" s="470" t="s">
        <v>1471</v>
      </c>
      <c r="AL817" s="471" t="s">
        <v>7432</v>
      </c>
      <c r="AM817" s="470" t="s">
        <v>13662</v>
      </c>
      <c r="AN817" s="470" t="s">
        <v>7433</v>
      </c>
      <c r="AO817" s="470" t="s">
        <v>7434</v>
      </c>
      <c r="AP817" s="470" t="s">
        <v>7435</v>
      </c>
      <c r="AQ817" s="470" t="s">
        <v>7430</v>
      </c>
      <c r="AR817" s="472" t="s">
        <v>515</v>
      </c>
      <c r="AS817" s="473" t="s">
        <v>1385</v>
      </c>
      <c r="AT817" s="472" t="s">
        <v>517</v>
      </c>
      <c r="AU817" s="472" t="s">
        <v>420</v>
      </c>
      <c r="AV817" s="472">
        <v>2020</v>
      </c>
      <c r="AW817" s="474" t="s">
        <v>15078</v>
      </c>
      <c r="AX817" s="475" t="s">
        <v>15079</v>
      </c>
      <c r="AY817" s="515">
        <v>1</v>
      </c>
      <c r="AZ817" s="474" t="s">
        <v>15079</v>
      </c>
      <c r="BA817" s="472" t="s">
        <v>517</v>
      </c>
      <c r="BB817" s="472" t="s">
        <v>1385</v>
      </c>
      <c r="BC817" s="472" t="s">
        <v>1385</v>
      </c>
      <c r="BD817" s="472" t="s">
        <v>1385</v>
      </c>
      <c r="BE817" s="472" t="s">
        <v>1385</v>
      </c>
      <c r="BF817" s="472">
        <v>38286</v>
      </c>
      <c r="BG817" s="472">
        <v>0</v>
      </c>
      <c r="BH817" s="472" t="s">
        <v>1385</v>
      </c>
      <c r="BI817" s="510">
        <v>0</v>
      </c>
      <c r="BJ817" s="510">
        <v>0</v>
      </c>
      <c r="BK817" s="510">
        <v>0</v>
      </c>
      <c r="BL817" s="510">
        <v>1090.0999999999999</v>
      </c>
      <c r="BM817" s="510">
        <v>0</v>
      </c>
      <c r="BN817" s="510">
        <v>5000</v>
      </c>
      <c r="BO817" s="510">
        <v>0</v>
      </c>
      <c r="BP817" s="510">
        <v>2000</v>
      </c>
      <c r="BQ817" s="510">
        <v>0</v>
      </c>
      <c r="BR817" s="510">
        <v>0</v>
      </c>
      <c r="BS817" s="510">
        <v>0</v>
      </c>
      <c r="BT817" s="510">
        <v>0</v>
      </c>
      <c r="BU817" s="510">
        <v>0</v>
      </c>
      <c r="BV817" s="510">
        <v>0</v>
      </c>
      <c r="BW817" s="510">
        <v>0</v>
      </c>
      <c r="BX817" s="510">
        <v>30000</v>
      </c>
      <c r="BY817" s="1011">
        <v>0</v>
      </c>
      <c r="BZ817" s="510">
        <v>0</v>
      </c>
      <c r="CA817" s="1011">
        <v>0</v>
      </c>
      <c r="CB817" s="510">
        <v>22000</v>
      </c>
      <c r="CC817" s="1011">
        <v>0</v>
      </c>
      <c r="CD817" s="510">
        <v>0</v>
      </c>
      <c r="CE817" s="1011">
        <v>0</v>
      </c>
      <c r="CF817" s="510">
        <v>46717.2</v>
      </c>
      <c r="CG817" s="1011">
        <v>0</v>
      </c>
      <c r="CH817" s="510">
        <v>0</v>
      </c>
      <c r="CI817" s="1011">
        <v>0</v>
      </c>
    </row>
    <row r="818" spans="1:87" x14ac:dyDescent="0.2">
      <c r="A818" s="449">
        <v>113</v>
      </c>
      <c r="B818" s="453">
        <v>93068</v>
      </c>
      <c r="C818" s="454" t="s">
        <v>7436</v>
      </c>
      <c r="D818" s="454" t="s">
        <v>517</v>
      </c>
      <c r="E818" s="454" t="s">
        <v>7436</v>
      </c>
      <c r="F818" s="454" t="s">
        <v>520</v>
      </c>
      <c r="G818" s="454" t="s">
        <v>13663</v>
      </c>
      <c r="H818" s="455">
        <v>52634912000119</v>
      </c>
      <c r="I818" s="462">
        <v>30494</v>
      </c>
      <c r="J818" s="457">
        <v>37619829</v>
      </c>
      <c r="K818" s="454" t="s">
        <v>7438</v>
      </c>
      <c r="L818" s="458">
        <v>69</v>
      </c>
      <c r="M818" s="454" t="s">
        <v>4280</v>
      </c>
      <c r="N818" s="459">
        <v>5775230</v>
      </c>
      <c r="O818" s="460">
        <v>55130023</v>
      </c>
      <c r="P818" s="462">
        <v>304126</v>
      </c>
      <c r="Q818" s="462">
        <v>178</v>
      </c>
      <c r="R818" s="462">
        <v>43979</v>
      </c>
      <c r="S818" s="463">
        <v>933</v>
      </c>
      <c r="T818" s="464">
        <v>5.4</v>
      </c>
      <c r="U818" s="465">
        <v>5038.2</v>
      </c>
      <c r="V818" s="465">
        <v>20340</v>
      </c>
      <c r="W818" s="466">
        <v>0</v>
      </c>
      <c r="X818" s="467">
        <v>1</v>
      </c>
      <c r="Y818" s="466">
        <v>38067.300000000003</v>
      </c>
      <c r="Z818" s="468" t="s">
        <v>516</v>
      </c>
      <c r="AA818" s="466">
        <v>141510.1</v>
      </c>
      <c r="AB818" s="466">
        <v>141510.1</v>
      </c>
      <c r="AC818" s="467">
        <v>0</v>
      </c>
      <c r="AD818" s="466">
        <v>0</v>
      </c>
      <c r="AE818" s="468" t="s">
        <v>516</v>
      </c>
      <c r="AF818" s="466">
        <v>1400</v>
      </c>
      <c r="AG818" s="466">
        <v>1400</v>
      </c>
      <c r="AH818" s="466">
        <v>56879.63</v>
      </c>
      <c r="AI818" s="466">
        <v>23472.22</v>
      </c>
      <c r="AJ818" s="469" t="s">
        <v>1470</v>
      </c>
      <c r="AK818" s="470" t="s">
        <v>1471</v>
      </c>
      <c r="AL818" s="471" t="s">
        <v>7439</v>
      </c>
      <c r="AM818" s="470" t="s">
        <v>7440</v>
      </c>
      <c r="AN818" s="470" t="s">
        <v>7437</v>
      </c>
      <c r="AO818" s="470" t="s">
        <v>7441</v>
      </c>
      <c r="AP818" s="470" t="s">
        <v>7442</v>
      </c>
      <c r="AQ818" s="470" t="s">
        <v>7436</v>
      </c>
      <c r="AR818" s="472" t="s">
        <v>515</v>
      </c>
      <c r="AS818" s="473" t="s">
        <v>1385</v>
      </c>
      <c r="AT818" s="472" t="s">
        <v>517</v>
      </c>
      <c r="AU818" s="472" t="s">
        <v>420</v>
      </c>
      <c r="AV818" s="472">
        <v>2020</v>
      </c>
      <c r="AW818" s="474" t="s">
        <v>15078</v>
      </c>
      <c r="AX818" s="475" t="s">
        <v>15079</v>
      </c>
      <c r="AY818" s="515">
        <v>1</v>
      </c>
      <c r="AZ818" s="474" t="s">
        <v>15079</v>
      </c>
      <c r="BA818" s="472" t="s">
        <v>517</v>
      </c>
      <c r="BB818" s="472" t="s">
        <v>1385</v>
      </c>
      <c r="BC818" s="472" t="s">
        <v>1385</v>
      </c>
      <c r="BD818" s="472" t="s">
        <v>1385</v>
      </c>
      <c r="BE818" s="472" t="s">
        <v>1385</v>
      </c>
      <c r="BF818" s="509">
        <v>38067.300000000003</v>
      </c>
      <c r="BG818" s="509">
        <v>0</v>
      </c>
      <c r="BH818" s="472" t="s">
        <v>1385</v>
      </c>
      <c r="BI818" s="510">
        <v>0</v>
      </c>
      <c r="BJ818" s="510">
        <v>0</v>
      </c>
      <c r="BK818" s="510">
        <v>0</v>
      </c>
      <c r="BL818" s="510">
        <v>344.5</v>
      </c>
      <c r="BM818" s="510">
        <v>0</v>
      </c>
      <c r="BN818" s="510">
        <v>5000</v>
      </c>
      <c r="BO818" s="510">
        <v>600</v>
      </c>
      <c r="BP818" s="510">
        <v>1400</v>
      </c>
      <c r="BQ818" s="510">
        <v>0</v>
      </c>
      <c r="BR818" s="510">
        <v>0</v>
      </c>
      <c r="BS818" s="510">
        <v>0</v>
      </c>
      <c r="BT818" s="510">
        <v>0</v>
      </c>
      <c r="BU818" s="510">
        <v>2500</v>
      </c>
      <c r="BV818" s="510">
        <v>2500</v>
      </c>
      <c r="BW818" s="510">
        <v>0</v>
      </c>
      <c r="BX818" s="510">
        <v>30000</v>
      </c>
      <c r="BY818" s="1011">
        <v>0</v>
      </c>
      <c r="BZ818" s="510">
        <v>0</v>
      </c>
      <c r="CA818" s="1011">
        <v>0</v>
      </c>
      <c r="CB818" s="510">
        <v>22000</v>
      </c>
      <c r="CC818" s="1011">
        <v>0</v>
      </c>
      <c r="CD818" s="510">
        <v>0</v>
      </c>
      <c r="CE818" s="1011">
        <v>0</v>
      </c>
      <c r="CF818" s="510">
        <v>50842.8</v>
      </c>
      <c r="CG818" s="1011">
        <v>0</v>
      </c>
      <c r="CH818" s="510">
        <v>0</v>
      </c>
      <c r="CI818" s="1011">
        <v>0</v>
      </c>
    </row>
    <row r="819" spans="1:87" x14ac:dyDescent="0.2">
      <c r="A819" s="449">
        <v>100</v>
      </c>
      <c r="B819" s="453">
        <v>93076</v>
      </c>
      <c r="C819" s="454" t="s">
        <v>7443</v>
      </c>
      <c r="D819" s="454" t="s">
        <v>517</v>
      </c>
      <c r="E819" s="454" t="s">
        <v>7443</v>
      </c>
      <c r="F819" s="454" t="s">
        <v>520</v>
      </c>
      <c r="G819" s="454" t="s">
        <v>13664</v>
      </c>
      <c r="H819" s="455">
        <v>51762995000169</v>
      </c>
      <c r="I819" s="462">
        <v>29182</v>
      </c>
      <c r="J819" s="457">
        <v>37630377</v>
      </c>
      <c r="K819" s="454" t="s">
        <v>7444</v>
      </c>
      <c r="L819" s="458">
        <v>348</v>
      </c>
      <c r="M819" s="454" t="s">
        <v>7445</v>
      </c>
      <c r="N819" s="459">
        <v>5778150</v>
      </c>
      <c r="O819" s="460">
        <v>55111640</v>
      </c>
      <c r="P819" s="462">
        <v>303758</v>
      </c>
      <c r="Q819" s="462">
        <v>165</v>
      </c>
      <c r="R819" s="462">
        <v>43969</v>
      </c>
      <c r="S819" s="463">
        <v>1066</v>
      </c>
      <c r="T819" s="464">
        <v>5.4</v>
      </c>
      <c r="U819" s="465">
        <v>5756.4</v>
      </c>
      <c r="V819" s="465">
        <v>20340</v>
      </c>
      <c r="W819" s="466">
        <v>0</v>
      </c>
      <c r="X819" s="467">
        <v>1</v>
      </c>
      <c r="Y819" s="466">
        <v>39144.6</v>
      </c>
      <c r="Z819" s="468" t="s">
        <v>516</v>
      </c>
      <c r="AA819" s="466">
        <v>144105.4</v>
      </c>
      <c r="AB819" s="466">
        <v>144105.4</v>
      </c>
      <c r="AC819" s="467">
        <v>0</v>
      </c>
      <c r="AD819" s="466">
        <v>0</v>
      </c>
      <c r="AE819" s="468" t="s">
        <v>516</v>
      </c>
      <c r="AF819" s="466">
        <v>800</v>
      </c>
      <c r="AG819" s="466">
        <v>800</v>
      </c>
      <c r="AH819" s="466">
        <v>2510.4699999999998</v>
      </c>
      <c r="AI819" s="466">
        <v>0</v>
      </c>
      <c r="AJ819" s="469" t="s">
        <v>1813</v>
      </c>
      <c r="AK819" s="470" t="s">
        <v>1814</v>
      </c>
      <c r="AL819" s="471" t="s">
        <v>7446</v>
      </c>
      <c r="AM819" s="470" t="s">
        <v>13665</v>
      </c>
      <c r="AN819" s="470" t="s">
        <v>7447</v>
      </c>
      <c r="AO819" s="470" t="s">
        <v>7448</v>
      </c>
      <c r="AP819" s="470" t="s">
        <v>7449</v>
      </c>
      <c r="AQ819" s="470" t="s">
        <v>7443</v>
      </c>
      <c r="AR819" s="472" t="s">
        <v>515</v>
      </c>
      <c r="AS819" s="473" t="s">
        <v>1385</v>
      </c>
      <c r="AT819" s="472" t="s">
        <v>517</v>
      </c>
      <c r="AU819" s="472" t="s">
        <v>420</v>
      </c>
      <c r="AV819" s="472">
        <v>2020</v>
      </c>
      <c r="AW819" s="474" t="s">
        <v>15078</v>
      </c>
      <c r="AX819" s="475" t="s">
        <v>15079</v>
      </c>
      <c r="AY819" s="515">
        <v>1</v>
      </c>
      <c r="AZ819" s="474" t="s">
        <v>15079</v>
      </c>
      <c r="BA819" s="472" t="s">
        <v>517</v>
      </c>
      <c r="BB819" s="472" t="s">
        <v>1385</v>
      </c>
      <c r="BC819" s="472" t="s">
        <v>1385</v>
      </c>
      <c r="BD819" s="472" t="s">
        <v>1385</v>
      </c>
      <c r="BE819" s="472" t="s">
        <v>1385</v>
      </c>
      <c r="BF819" s="472">
        <v>39144.6</v>
      </c>
      <c r="BG819" s="472">
        <v>0</v>
      </c>
      <c r="BH819" s="472" t="s">
        <v>1385</v>
      </c>
      <c r="BI819" s="510">
        <v>0</v>
      </c>
      <c r="BJ819" s="510">
        <v>0</v>
      </c>
      <c r="BK819" s="510">
        <v>0</v>
      </c>
      <c r="BL819" s="510">
        <v>0</v>
      </c>
      <c r="BM819" s="510">
        <v>0</v>
      </c>
      <c r="BN819" s="510">
        <v>0</v>
      </c>
      <c r="BO819" s="510">
        <v>1200</v>
      </c>
      <c r="BP819" s="510">
        <v>800</v>
      </c>
      <c r="BQ819" s="510">
        <v>0</v>
      </c>
      <c r="BR819" s="510">
        <v>0</v>
      </c>
      <c r="BS819" s="510">
        <v>0</v>
      </c>
      <c r="BT819" s="510">
        <v>0</v>
      </c>
      <c r="BU819" s="510">
        <v>2500</v>
      </c>
      <c r="BV819" s="510">
        <v>2500</v>
      </c>
      <c r="BW819" s="510">
        <v>0</v>
      </c>
      <c r="BX819" s="510">
        <v>30000</v>
      </c>
      <c r="BY819" s="1011">
        <v>0</v>
      </c>
      <c r="BZ819" s="510">
        <v>0</v>
      </c>
      <c r="CA819" s="1011">
        <v>0</v>
      </c>
      <c r="CB819" s="510">
        <v>22000</v>
      </c>
      <c r="CC819" s="1011">
        <v>0</v>
      </c>
      <c r="CD819" s="510">
        <v>0</v>
      </c>
      <c r="CE819" s="1011">
        <v>0</v>
      </c>
      <c r="CF819" s="510">
        <v>51760.800000000003</v>
      </c>
      <c r="CG819" s="1011">
        <v>0</v>
      </c>
      <c r="CH819" s="510">
        <v>0</v>
      </c>
      <c r="CI819" s="1011">
        <v>0</v>
      </c>
    </row>
    <row r="820" spans="1:87" x14ac:dyDescent="0.2">
      <c r="A820" s="449">
        <v>66</v>
      </c>
      <c r="B820" s="453">
        <v>93084</v>
      </c>
      <c r="C820" s="454" t="s">
        <v>7450</v>
      </c>
      <c r="D820" s="454" t="s">
        <v>517</v>
      </c>
      <c r="E820" s="454" t="s">
        <v>7450</v>
      </c>
      <c r="F820" s="454" t="s">
        <v>520</v>
      </c>
      <c r="G820" s="454" t="s">
        <v>13666</v>
      </c>
      <c r="H820" s="455">
        <v>50628114000159</v>
      </c>
      <c r="I820" s="462">
        <v>28836</v>
      </c>
      <c r="J820" s="457">
        <v>37619993</v>
      </c>
      <c r="K820" s="454" t="s">
        <v>7451</v>
      </c>
      <c r="L820" s="458">
        <v>16</v>
      </c>
      <c r="M820" s="454" t="s">
        <v>5411</v>
      </c>
      <c r="N820" s="459">
        <v>5814190</v>
      </c>
      <c r="O820" s="460">
        <v>58519658</v>
      </c>
      <c r="P820" s="462">
        <v>300678</v>
      </c>
      <c r="Q820" s="462">
        <v>131</v>
      </c>
      <c r="R820" s="462">
        <v>43969</v>
      </c>
      <c r="S820" s="463">
        <v>1028</v>
      </c>
      <c r="T820" s="464">
        <v>5.4</v>
      </c>
      <c r="U820" s="465">
        <v>5551.2</v>
      </c>
      <c r="V820" s="465">
        <v>20340</v>
      </c>
      <c r="W820" s="466">
        <v>0</v>
      </c>
      <c r="X820" s="467">
        <v>1</v>
      </c>
      <c r="Y820" s="466">
        <v>38836.800000000003</v>
      </c>
      <c r="Z820" s="468" t="s">
        <v>516</v>
      </c>
      <c r="AA820" s="466">
        <v>142133.20000000001</v>
      </c>
      <c r="AB820" s="466">
        <v>142133.20000000001</v>
      </c>
      <c r="AC820" s="467">
        <v>0</v>
      </c>
      <c r="AD820" s="466">
        <v>0</v>
      </c>
      <c r="AE820" s="468" t="s">
        <v>516</v>
      </c>
      <c r="AF820" s="466">
        <v>0</v>
      </c>
      <c r="AG820" s="466">
        <v>0</v>
      </c>
      <c r="AH820" s="466">
        <v>36164.6</v>
      </c>
      <c r="AI820" s="466">
        <v>22034.37</v>
      </c>
      <c r="AJ820" s="469" t="s">
        <v>1470</v>
      </c>
      <c r="AK820" s="470" t="s">
        <v>1471</v>
      </c>
      <c r="AL820" s="471" t="s">
        <v>7452</v>
      </c>
      <c r="AM820" s="470" t="s">
        <v>7453</v>
      </c>
      <c r="AN820" s="470" t="s">
        <v>7454</v>
      </c>
      <c r="AO820" s="470" t="s">
        <v>7455</v>
      </c>
      <c r="AP820" s="470" t="s">
        <v>7456</v>
      </c>
      <c r="AQ820" s="470" t="s">
        <v>7450</v>
      </c>
      <c r="AR820" s="472" t="s">
        <v>515</v>
      </c>
      <c r="AS820" s="473" t="s">
        <v>1385</v>
      </c>
      <c r="AT820" s="472" t="s">
        <v>517</v>
      </c>
      <c r="AU820" s="472" t="s">
        <v>420</v>
      </c>
      <c r="AV820" s="472">
        <v>2020</v>
      </c>
      <c r="AW820" s="474" t="s">
        <v>15078</v>
      </c>
      <c r="AX820" s="475" t="s">
        <v>15079</v>
      </c>
      <c r="AY820" s="515">
        <v>1</v>
      </c>
      <c r="AZ820" s="474" t="s">
        <v>15079</v>
      </c>
      <c r="BA820" s="472" t="s">
        <v>517</v>
      </c>
      <c r="BB820" s="472" t="s">
        <v>1385</v>
      </c>
      <c r="BC820" s="472" t="s">
        <v>1385</v>
      </c>
      <c r="BD820" s="472" t="s">
        <v>1385</v>
      </c>
      <c r="BE820" s="472" t="s">
        <v>1385</v>
      </c>
      <c r="BF820" s="509">
        <v>38836.800000000003</v>
      </c>
      <c r="BG820" s="509">
        <v>0</v>
      </c>
      <c r="BH820" s="472" t="s">
        <v>1385</v>
      </c>
      <c r="BI820" s="510">
        <v>0</v>
      </c>
      <c r="BJ820" s="510">
        <v>0</v>
      </c>
      <c r="BK820" s="510">
        <v>0</v>
      </c>
      <c r="BL820" s="510">
        <v>3500</v>
      </c>
      <c r="BM820" s="510">
        <v>0</v>
      </c>
      <c r="BN820" s="510">
        <v>5000</v>
      </c>
      <c r="BO820" s="510">
        <v>0</v>
      </c>
      <c r="BP820" s="510">
        <v>0</v>
      </c>
      <c r="BQ820" s="510">
        <v>0</v>
      </c>
      <c r="BR820" s="510">
        <v>0</v>
      </c>
      <c r="BS820" s="510">
        <v>0</v>
      </c>
      <c r="BT820" s="510">
        <v>0</v>
      </c>
      <c r="BU820" s="510">
        <v>2500</v>
      </c>
      <c r="BV820" s="510">
        <v>2500</v>
      </c>
      <c r="BW820" s="510">
        <v>0</v>
      </c>
      <c r="BX820" s="510">
        <v>30000</v>
      </c>
      <c r="BY820" s="1011">
        <v>0</v>
      </c>
      <c r="BZ820" s="510">
        <v>0</v>
      </c>
      <c r="CA820" s="1011">
        <v>0</v>
      </c>
      <c r="CB820" s="510">
        <v>22000</v>
      </c>
      <c r="CC820" s="1011">
        <v>0</v>
      </c>
      <c r="CD820" s="510">
        <v>0</v>
      </c>
      <c r="CE820" s="1011">
        <v>0</v>
      </c>
      <c r="CF820" s="510">
        <v>51296.4</v>
      </c>
      <c r="CG820" s="1011">
        <v>0</v>
      </c>
      <c r="CH820" s="510">
        <v>0</v>
      </c>
      <c r="CI820" s="1011">
        <v>0</v>
      </c>
    </row>
    <row r="821" spans="1:87" x14ac:dyDescent="0.2">
      <c r="A821" s="449">
        <v>70</v>
      </c>
      <c r="B821" s="453">
        <v>93092</v>
      </c>
      <c r="C821" s="454" t="s">
        <v>7457</v>
      </c>
      <c r="D821" s="454" t="s">
        <v>517</v>
      </c>
      <c r="E821" s="454" t="s">
        <v>7457</v>
      </c>
      <c r="F821" s="454" t="s">
        <v>520</v>
      </c>
      <c r="G821" s="454" t="s">
        <v>13667</v>
      </c>
      <c r="H821" s="455">
        <v>51542009000165</v>
      </c>
      <c r="I821" s="462">
        <v>29018</v>
      </c>
      <c r="J821" s="457">
        <v>37629182</v>
      </c>
      <c r="K821" s="454" t="s">
        <v>7458</v>
      </c>
      <c r="L821" s="458">
        <v>716</v>
      </c>
      <c r="M821" s="454" t="s">
        <v>7459</v>
      </c>
      <c r="N821" s="459">
        <v>5790140</v>
      </c>
      <c r="O821" s="460">
        <v>58410845</v>
      </c>
      <c r="P821" s="462">
        <v>300902</v>
      </c>
      <c r="Q821" s="462">
        <v>135</v>
      </c>
      <c r="R821" s="462">
        <v>43969</v>
      </c>
      <c r="S821" s="463">
        <v>1008</v>
      </c>
      <c r="T821" s="464">
        <v>5.4</v>
      </c>
      <c r="U821" s="465">
        <v>5443.2</v>
      </c>
      <c r="V821" s="465">
        <v>20340</v>
      </c>
      <c r="W821" s="466">
        <v>0</v>
      </c>
      <c r="X821" s="467">
        <v>1</v>
      </c>
      <c r="Y821" s="466">
        <v>38674.800000000003</v>
      </c>
      <c r="Z821" s="468" t="s">
        <v>516</v>
      </c>
      <c r="AA821" s="466">
        <v>141485.20000000001</v>
      </c>
      <c r="AB821" s="466">
        <v>141485.20000000001</v>
      </c>
      <c r="AC821" s="467">
        <v>0</v>
      </c>
      <c r="AD821" s="466">
        <v>0</v>
      </c>
      <c r="AE821" s="468" t="s">
        <v>516</v>
      </c>
      <c r="AF821" s="466">
        <v>2000</v>
      </c>
      <c r="AG821" s="466">
        <v>2000</v>
      </c>
      <c r="AH821" s="466">
        <v>2637.68</v>
      </c>
      <c r="AI821" s="466">
        <v>2156.64</v>
      </c>
      <c r="AJ821" s="469" t="s">
        <v>1470</v>
      </c>
      <c r="AK821" s="470" t="s">
        <v>1471</v>
      </c>
      <c r="AL821" s="471" t="s">
        <v>7460</v>
      </c>
      <c r="AM821" s="470" t="s">
        <v>7461</v>
      </c>
      <c r="AN821" s="470" t="s">
        <v>7462</v>
      </c>
      <c r="AO821" s="470" t="s">
        <v>7463</v>
      </c>
      <c r="AP821" s="470" t="s">
        <v>7464</v>
      </c>
      <c r="AQ821" s="470" t="s">
        <v>7457</v>
      </c>
      <c r="AR821" s="472" t="s">
        <v>515</v>
      </c>
      <c r="AS821" s="473" t="s">
        <v>1385</v>
      </c>
      <c r="AT821" s="472" t="s">
        <v>517</v>
      </c>
      <c r="AU821" s="472" t="s">
        <v>420</v>
      </c>
      <c r="AV821" s="472">
        <v>2020</v>
      </c>
      <c r="AW821" s="474" t="s">
        <v>15078</v>
      </c>
      <c r="AX821" s="475" t="s">
        <v>15079</v>
      </c>
      <c r="AY821" s="515">
        <v>1</v>
      </c>
      <c r="AZ821" s="474" t="s">
        <v>15079</v>
      </c>
      <c r="BA821" s="472" t="s">
        <v>517</v>
      </c>
      <c r="BB821" s="472" t="s">
        <v>1385</v>
      </c>
      <c r="BC821" s="472" t="s">
        <v>1385</v>
      </c>
      <c r="BD821" s="472" t="s">
        <v>1385</v>
      </c>
      <c r="BE821" s="472" t="s">
        <v>1385</v>
      </c>
      <c r="BF821" s="472">
        <v>38674.800000000003</v>
      </c>
      <c r="BG821" s="472">
        <v>0</v>
      </c>
      <c r="BH821" s="472" t="s">
        <v>1385</v>
      </c>
      <c r="BI821" s="510">
        <v>0</v>
      </c>
      <c r="BJ821" s="510">
        <v>0</v>
      </c>
      <c r="BK821" s="510">
        <v>0</v>
      </c>
      <c r="BL821" s="510">
        <v>0</v>
      </c>
      <c r="BM821" s="510">
        <v>0</v>
      </c>
      <c r="BN821" s="510">
        <v>5000</v>
      </c>
      <c r="BO821" s="510">
        <v>0</v>
      </c>
      <c r="BP821" s="510">
        <v>2000</v>
      </c>
      <c r="BQ821" s="510">
        <v>0</v>
      </c>
      <c r="BR821" s="510">
        <v>0</v>
      </c>
      <c r="BS821" s="510">
        <v>0</v>
      </c>
      <c r="BT821" s="510">
        <v>0</v>
      </c>
      <c r="BU821" s="510">
        <v>2500</v>
      </c>
      <c r="BV821" s="510">
        <v>2500</v>
      </c>
      <c r="BW821" s="510">
        <v>0</v>
      </c>
      <c r="BX821" s="510">
        <v>30000</v>
      </c>
      <c r="BY821" s="1011">
        <v>0</v>
      </c>
      <c r="BZ821" s="510">
        <v>0</v>
      </c>
      <c r="CA821" s="1011">
        <v>0</v>
      </c>
      <c r="CB821" s="510">
        <v>22000</v>
      </c>
      <c r="CC821" s="1011">
        <v>0</v>
      </c>
      <c r="CD821" s="510">
        <v>0</v>
      </c>
      <c r="CE821" s="1011">
        <v>0</v>
      </c>
      <c r="CF821" s="510">
        <v>50810.400000000001</v>
      </c>
      <c r="CG821" s="1011">
        <v>0</v>
      </c>
      <c r="CH821" s="510">
        <v>0</v>
      </c>
      <c r="CI821" s="1011">
        <v>0</v>
      </c>
    </row>
    <row r="822" spans="1:87" x14ac:dyDescent="0.2">
      <c r="A822" s="449">
        <v>38</v>
      </c>
      <c r="B822" s="453">
        <v>93106</v>
      </c>
      <c r="C822" s="454" t="s">
        <v>7465</v>
      </c>
      <c r="D822" s="454" t="s">
        <v>517</v>
      </c>
      <c r="E822" s="454" t="s">
        <v>7466</v>
      </c>
      <c r="F822" s="454" t="s">
        <v>528</v>
      </c>
      <c r="G822" s="454" t="s">
        <v>13668</v>
      </c>
      <c r="H822" s="455">
        <v>43221167000195</v>
      </c>
      <c r="I822" s="462">
        <v>29347</v>
      </c>
      <c r="J822" s="457">
        <v>37374737</v>
      </c>
      <c r="K822" s="454" t="s">
        <v>7467</v>
      </c>
      <c r="L822" s="458">
        <v>815</v>
      </c>
      <c r="M822" s="454" t="s">
        <v>7468</v>
      </c>
      <c r="N822" s="459">
        <v>5305031</v>
      </c>
      <c r="O822" s="460">
        <v>36415258</v>
      </c>
      <c r="P822" s="462">
        <v>309560</v>
      </c>
      <c r="Q822" s="462">
        <v>38</v>
      </c>
      <c r="R822" s="462">
        <v>43938</v>
      </c>
      <c r="S822" s="463">
        <v>491</v>
      </c>
      <c r="T822" s="464">
        <v>5.4</v>
      </c>
      <c r="U822" s="465">
        <v>2651.4</v>
      </c>
      <c r="V822" s="465">
        <v>15480</v>
      </c>
      <c r="W822" s="466">
        <v>0</v>
      </c>
      <c r="X822" s="467">
        <v>1</v>
      </c>
      <c r="Y822" s="466">
        <v>34163.1</v>
      </c>
      <c r="Z822" s="468" t="s">
        <v>516</v>
      </c>
      <c r="AA822" s="466">
        <v>142439.1</v>
      </c>
      <c r="AB822" s="466">
        <v>142439.1</v>
      </c>
      <c r="AC822" s="467">
        <v>0</v>
      </c>
      <c r="AD822" s="466">
        <v>0</v>
      </c>
      <c r="AE822" s="468" t="s">
        <v>516</v>
      </c>
      <c r="AF822" s="466">
        <v>800</v>
      </c>
      <c r="AG822" s="466">
        <v>800</v>
      </c>
      <c r="AH822" s="466">
        <v>29578.76</v>
      </c>
      <c r="AI822" s="466">
        <v>21893.11</v>
      </c>
      <c r="AJ822" s="469" t="s">
        <v>2792</v>
      </c>
      <c r="AK822" s="470" t="s">
        <v>2793</v>
      </c>
      <c r="AL822" s="471" t="s">
        <v>7469</v>
      </c>
      <c r="AM822" s="470" t="s">
        <v>7470</v>
      </c>
      <c r="AN822" s="470" t="s">
        <v>7471</v>
      </c>
      <c r="AO822" s="470" t="s">
        <v>13669</v>
      </c>
      <c r="AP822" s="470" t="s">
        <v>7472</v>
      </c>
      <c r="AQ822" s="470" t="s">
        <v>7465</v>
      </c>
      <c r="AR822" s="472" t="s">
        <v>515</v>
      </c>
      <c r="AS822" s="473" t="s">
        <v>1385</v>
      </c>
      <c r="AT822" s="472" t="s">
        <v>517</v>
      </c>
      <c r="AU822" s="472" t="s">
        <v>420</v>
      </c>
      <c r="AV822" s="472">
        <v>2020</v>
      </c>
      <c r="AW822" s="474" t="s">
        <v>15078</v>
      </c>
      <c r="AX822" s="475" t="s">
        <v>15079</v>
      </c>
      <c r="AY822" s="515">
        <v>1</v>
      </c>
      <c r="AZ822" s="474" t="s">
        <v>15079</v>
      </c>
      <c r="BA822" s="472" t="s">
        <v>517</v>
      </c>
      <c r="BB822" s="472" t="s">
        <v>516</v>
      </c>
      <c r="BC822" s="472">
        <v>6</v>
      </c>
      <c r="BD822" s="472">
        <v>4644</v>
      </c>
      <c r="BE822" s="472">
        <v>0</v>
      </c>
      <c r="BF822" s="472">
        <v>34163.1</v>
      </c>
      <c r="BG822" s="472">
        <v>0</v>
      </c>
      <c r="BH822" s="472" t="s">
        <v>1385</v>
      </c>
      <c r="BI822" s="510">
        <v>0</v>
      </c>
      <c r="BJ822" s="510">
        <v>44.1</v>
      </c>
      <c r="BK822" s="510">
        <v>0</v>
      </c>
      <c r="BL822" s="510">
        <v>3500</v>
      </c>
      <c r="BM822" s="510">
        <v>0</v>
      </c>
      <c r="BN822" s="510">
        <v>3500</v>
      </c>
      <c r="BO822" s="510">
        <v>1200</v>
      </c>
      <c r="BP822" s="510">
        <v>800</v>
      </c>
      <c r="BQ822" s="510">
        <v>0</v>
      </c>
      <c r="BR822" s="510">
        <v>0</v>
      </c>
      <c r="BS822" s="510">
        <v>0</v>
      </c>
      <c r="BT822" s="510">
        <v>0</v>
      </c>
      <c r="BU822" s="510">
        <v>0</v>
      </c>
      <c r="BV822" s="510">
        <v>0</v>
      </c>
      <c r="BW822" s="510">
        <v>0</v>
      </c>
      <c r="BX822" s="510">
        <v>30000</v>
      </c>
      <c r="BY822" s="1011">
        <v>0</v>
      </c>
      <c r="BZ822" s="510">
        <v>0</v>
      </c>
      <c r="CA822" s="1011">
        <v>0</v>
      </c>
      <c r="CB822" s="510">
        <v>22000</v>
      </c>
      <c r="CC822" s="1011">
        <v>0</v>
      </c>
      <c r="CD822" s="510">
        <v>0</v>
      </c>
      <c r="CE822" s="1011">
        <v>0</v>
      </c>
      <c r="CF822" s="510">
        <v>55076</v>
      </c>
      <c r="CG822" s="1011">
        <v>0</v>
      </c>
      <c r="CH822" s="510">
        <v>0</v>
      </c>
      <c r="CI822" s="1011">
        <v>0</v>
      </c>
    </row>
    <row r="823" spans="1:87" x14ac:dyDescent="0.2">
      <c r="A823" s="449">
        <v>33</v>
      </c>
      <c r="B823" s="453">
        <v>93114</v>
      </c>
      <c r="C823" s="454" t="s">
        <v>7473</v>
      </c>
      <c r="D823" s="454" t="s">
        <v>517</v>
      </c>
      <c r="E823" s="454" t="s">
        <v>7474</v>
      </c>
      <c r="F823" s="454" t="s">
        <v>528</v>
      </c>
      <c r="G823" s="454" t="s">
        <v>13670</v>
      </c>
      <c r="H823" s="455">
        <v>51931848000175</v>
      </c>
      <c r="I823" s="462">
        <v>38659</v>
      </c>
      <c r="J823" s="457">
        <v>37373307</v>
      </c>
      <c r="K823" s="454" t="s">
        <v>7476</v>
      </c>
      <c r="L823" s="458">
        <v>100</v>
      </c>
      <c r="M823" s="454" t="s">
        <v>7477</v>
      </c>
      <c r="N823" s="459">
        <v>5307040</v>
      </c>
      <c r="O823" s="460">
        <v>38322307</v>
      </c>
      <c r="P823" s="462">
        <v>277358</v>
      </c>
      <c r="Q823" s="462">
        <v>33</v>
      </c>
      <c r="R823" s="462">
        <v>43938</v>
      </c>
      <c r="S823" s="463">
        <v>560</v>
      </c>
      <c r="T823" s="464">
        <v>5.4</v>
      </c>
      <c r="U823" s="465">
        <v>3024</v>
      </c>
      <c r="V823" s="465">
        <v>17100</v>
      </c>
      <c r="W823" s="466">
        <v>0</v>
      </c>
      <c r="X823" s="467">
        <v>1</v>
      </c>
      <c r="Y823" s="466">
        <v>30186</v>
      </c>
      <c r="Z823" s="468" t="s">
        <v>516</v>
      </c>
      <c r="AA823" s="466">
        <v>122045.2</v>
      </c>
      <c r="AB823" s="466">
        <v>122045.2</v>
      </c>
      <c r="AC823" s="467">
        <v>0</v>
      </c>
      <c r="AD823" s="466">
        <v>0</v>
      </c>
      <c r="AE823" s="468" t="s">
        <v>516</v>
      </c>
      <c r="AF823" s="466">
        <v>2000</v>
      </c>
      <c r="AG823" s="466">
        <v>2000</v>
      </c>
      <c r="AH823" s="466">
        <v>16701.47</v>
      </c>
      <c r="AI823" s="466">
        <v>13083</v>
      </c>
      <c r="AJ823" s="469" t="s">
        <v>7478</v>
      </c>
      <c r="AK823" s="470" t="s">
        <v>2793</v>
      </c>
      <c r="AL823" s="471" t="s">
        <v>7479</v>
      </c>
      <c r="AM823" s="470" t="s">
        <v>7480</v>
      </c>
      <c r="AN823" s="470" t="s">
        <v>7475</v>
      </c>
      <c r="AO823" s="470" t="s">
        <v>7481</v>
      </c>
      <c r="AP823" s="470" t="s">
        <v>7482</v>
      </c>
      <c r="AQ823" s="470" t="s">
        <v>7473</v>
      </c>
      <c r="AR823" s="472" t="s">
        <v>515</v>
      </c>
      <c r="AS823" s="473" t="s">
        <v>1385</v>
      </c>
      <c r="AT823" s="472" t="s">
        <v>517</v>
      </c>
      <c r="AU823" s="472" t="s">
        <v>420</v>
      </c>
      <c r="AV823" s="472">
        <v>2020</v>
      </c>
      <c r="AW823" s="474" t="s">
        <v>15078</v>
      </c>
      <c r="AX823" s="475" t="s">
        <v>15079</v>
      </c>
      <c r="AY823" s="515">
        <v>1</v>
      </c>
      <c r="AZ823" s="474" t="s">
        <v>15079</v>
      </c>
      <c r="BA823" s="472" t="s">
        <v>517</v>
      </c>
      <c r="BB823" s="472" t="s">
        <v>1385</v>
      </c>
      <c r="BC823" s="472" t="s">
        <v>1385</v>
      </c>
      <c r="BD823" s="472" t="s">
        <v>1385</v>
      </c>
      <c r="BE823" s="472" t="s">
        <v>1385</v>
      </c>
      <c r="BF823" s="472">
        <v>30186</v>
      </c>
      <c r="BG823" s="472">
        <v>0</v>
      </c>
      <c r="BH823" s="472" t="s">
        <v>1385</v>
      </c>
      <c r="BI823" s="510">
        <v>0</v>
      </c>
      <c r="BJ823" s="510">
        <v>0</v>
      </c>
      <c r="BK823" s="510">
        <v>0</v>
      </c>
      <c r="BL823" s="510">
        <v>0</v>
      </c>
      <c r="BM823" s="510">
        <v>0</v>
      </c>
      <c r="BN823" s="510">
        <v>3500</v>
      </c>
      <c r="BO823" s="510">
        <v>0</v>
      </c>
      <c r="BP823" s="510">
        <v>2000</v>
      </c>
      <c r="BQ823" s="510">
        <v>0</v>
      </c>
      <c r="BR823" s="510">
        <v>0</v>
      </c>
      <c r="BS823" s="510">
        <v>0</v>
      </c>
      <c r="BT823" s="510">
        <v>0</v>
      </c>
      <c r="BU823" s="510">
        <v>2500</v>
      </c>
      <c r="BV823" s="510">
        <v>2500</v>
      </c>
      <c r="BW823" s="510">
        <v>0</v>
      </c>
      <c r="BX823" s="510">
        <v>30000</v>
      </c>
      <c r="BY823" s="1011">
        <v>0</v>
      </c>
      <c r="BZ823" s="510">
        <v>0</v>
      </c>
      <c r="CA823" s="1011">
        <v>0</v>
      </c>
      <c r="CB823" s="510">
        <v>22000</v>
      </c>
      <c r="CC823" s="1011">
        <v>0</v>
      </c>
      <c r="CD823" s="510">
        <v>0</v>
      </c>
      <c r="CE823" s="1011">
        <v>0</v>
      </c>
      <c r="CF823" s="510">
        <v>39859.199999999997</v>
      </c>
      <c r="CG823" s="1011">
        <v>0</v>
      </c>
      <c r="CH823" s="510">
        <v>0</v>
      </c>
      <c r="CI823" s="1011">
        <v>0</v>
      </c>
    </row>
    <row r="824" spans="1:87" x14ac:dyDescent="0.2">
      <c r="A824" s="449">
        <v>58</v>
      </c>
      <c r="B824" s="453">
        <v>93122</v>
      </c>
      <c r="C824" s="454" t="s">
        <v>7483</v>
      </c>
      <c r="D824" s="454" t="s">
        <v>517</v>
      </c>
      <c r="E824" s="454" t="s">
        <v>7484</v>
      </c>
      <c r="F824" s="454" t="s">
        <v>528</v>
      </c>
      <c r="G824" s="454" t="s">
        <v>13671</v>
      </c>
      <c r="H824" s="455">
        <v>52171410000107</v>
      </c>
      <c r="I824" s="462">
        <v>30132</v>
      </c>
      <c r="J824" s="457">
        <v>37374435</v>
      </c>
      <c r="K824" s="454" t="s">
        <v>7485</v>
      </c>
      <c r="L824" s="458">
        <v>100</v>
      </c>
      <c r="M824" s="454" t="s">
        <v>7486</v>
      </c>
      <c r="N824" s="459">
        <v>1251060</v>
      </c>
      <c r="O824" s="460">
        <v>38736283</v>
      </c>
      <c r="P824" s="462">
        <v>217959</v>
      </c>
      <c r="Q824" s="462">
        <v>58</v>
      </c>
      <c r="R824" s="462">
        <v>43938</v>
      </c>
      <c r="S824" s="463">
        <v>571</v>
      </c>
      <c r="T824" s="464">
        <v>5.4</v>
      </c>
      <c r="U824" s="465">
        <v>3083.4</v>
      </c>
      <c r="V824" s="465">
        <v>17100</v>
      </c>
      <c r="W824" s="466">
        <v>0</v>
      </c>
      <c r="X824" s="467">
        <v>1</v>
      </c>
      <c r="Y824" s="466">
        <v>30275.1</v>
      </c>
      <c r="Z824" s="468" t="s">
        <v>516</v>
      </c>
      <c r="AA824" s="466">
        <v>122674.3</v>
      </c>
      <c r="AB824" s="466">
        <v>122674.3</v>
      </c>
      <c r="AC824" s="467">
        <v>0</v>
      </c>
      <c r="AD824" s="466">
        <v>0</v>
      </c>
      <c r="AE824" s="468" t="s">
        <v>516</v>
      </c>
      <c r="AF824" s="466">
        <v>0</v>
      </c>
      <c r="AG824" s="466">
        <v>0</v>
      </c>
      <c r="AH824" s="466">
        <v>10629.79</v>
      </c>
      <c r="AI824" s="466">
        <v>18791.759999999998</v>
      </c>
      <c r="AJ824" s="469" t="s">
        <v>7487</v>
      </c>
      <c r="AK824" s="470" t="s">
        <v>7488</v>
      </c>
      <c r="AL824" s="471" t="s">
        <v>7489</v>
      </c>
      <c r="AM824" s="470" t="s">
        <v>13672</v>
      </c>
      <c r="AN824" s="470" t="s">
        <v>7490</v>
      </c>
      <c r="AO824" s="470" t="s">
        <v>13673</v>
      </c>
      <c r="AP824" s="470" t="s">
        <v>7491</v>
      </c>
      <c r="AQ824" s="470" t="s">
        <v>7483</v>
      </c>
      <c r="AR824" s="472" t="s">
        <v>515</v>
      </c>
      <c r="AS824" s="473" t="s">
        <v>1385</v>
      </c>
      <c r="AT824" s="472" t="s">
        <v>517</v>
      </c>
      <c r="AU824" s="472" t="s">
        <v>420</v>
      </c>
      <c r="AV824" s="472">
        <v>2020</v>
      </c>
      <c r="AW824" s="474" t="s">
        <v>15078</v>
      </c>
      <c r="AX824" s="475" t="s">
        <v>15079</v>
      </c>
      <c r="AY824" s="515">
        <v>1</v>
      </c>
      <c r="AZ824" s="474" t="s">
        <v>15079</v>
      </c>
      <c r="BA824" s="472" t="s">
        <v>517</v>
      </c>
      <c r="BB824" s="472" t="s">
        <v>1385</v>
      </c>
      <c r="BC824" s="472" t="s">
        <v>1385</v>
      </c>
      <c r="BD824" s="472" t="s">
        <v>1385</v>
      </c>
      <c r="BE824" s="472" t="s">
        <v>1385</v>
      </c>
      <c r="BF824" s="472">
        <v>30275.1</v>
      </c>
      <c r="BG824" s="472">
        <v>0</v>
      </c>
      <c r="BH824" s="472" t="s">
        <v>1385</v>
      </c>
      <c r="BI824" s="510">
        <v>0</v>
      </c>
      <c r="BJ824" s="510">
        <v>841.18</v>
      </c>
      <c r="BK824" s="510">
        <v>0</v>
      </c>
      <c r="BL824" s="510">
        <v>3500</v>
      </c>
      <c r="BM824" s="510">
        <v>0</v>
      </c>
      <c r="BN824" s="510">
        <v>3500</v>
      </c>
      <c r="BO824" s="510">
        <v>0</v>
      </c>
      <c r="BP824" s="510">
        <v>0</v>
      </c>
      <c r="BQ824" s="510">
        <v>0</v>
      </c>
      <c r="BR824" s="510">
        <v>0</v>
      </c>
      <c r="BS824" s="510">
        <v>0</v>
      </c>
      <c r="BT824" s="510">
        <v>0</v>
      </c>
      <c r="BU824" s="510">
        <v>0</v>
      </c>
      <c r="BV824" s="510">
        <v>0</v>
      </c>
      <c r="BW824" s="510">
        <v>0</v>
      </c>
      <c r="BX824" s="510">
        <v>30000</v>
      </c>
      <c r="BY824" s="1011">
        <v>0</v>
      </c>
      <c r="BZ824" s="510">
        <v>0</v>
      </c>
      <c r="CA824" s="1011">
        <v>0</v>
      </c>
      <c r="CB824" s="510">
        <v>22000</v>
      </c>
      <c r="CC824" s="1011">
        <v>0</v>
      </c>
      <c r="CD824" s="510">
        <v>0</v>
      </c>
      <c r="CE824" s="1011">
        <v>0</v>
      </c>
      <c r="CF824" s="510">
        <v>40399.199999999997</v>
      </c>
      <c r="CG824" s="1011">
        <v>0</v>
      </c>
      <c r="CH824" s="510">
        <v>0</v>
      </c>
      <c r="CI824" s="1011">
        <v>0</v>
      </c>
    </row>
    <row r="825" spans="1:87" x14ac:dyDescent="0.2">
      <c r="A825" s="449">
        <v>40</v>
      </c>
      <c r="B825" s="453">
        <v>93131</v>
      </c>
      <c r="C825" s="454" t="s">
        <v>7492</v>
      </c>
      <c r="D825" s="454" t="s">
        <v>517</v>
      </c>
      <c r="E825" s="454" t="s">
        <v>7493</v>
      </c>
      <c r="F825" s="454" t="s">
        <v>519</v>
      </c>
      <c r="G825" s="454" t="s">
        <v>13674</v>
      </c>
      <c r="H825" s="455">
        <v>52568797000121</v>
      </c>
      <c r="I825" s="462">
        <v>30434</v>
      </c>
      <c r="J825" s="457">
        <v>37356437</v>
      </c>
      <c r="K825" s="454" t="s">
        <v>7495</v>
      </c>
      <c r="L825" s="458">
        <v>207</v>
      </c>
      <c r="M825" s="454" t="s">
        <v>5551</v>
      </c>
      <c r="N825" s="459">
        <v>4546001</v>
      </c>
      <c r="O825" s="460">
        <v>38464931</v>
      </c>
      <c r="P825" s="462">
        <v>121625</v>
      </c>
      <c r="Q825" s="462">
        <v>24</v>
      </c>
      <c r="R825" s="462">
        <v>43881</v>
      </c>
      <c r="S825" s="463">
        <v>538</v>
      </c>
      <c r="T825" s="464">
        <v>5.4</v>
      </c>
      <c r="U825" s="465">
        <v>2905.2</v>
      </c>
      <c r="V825" s="465">
        <v>17100</v>
      </c>
      <c r="W825" s="466">
        <v>0</v>
      </c>
      <c r="X825" s="467">
        <v>1</v>
      </c>
      <c r="Y825" s="466">
        <v>0</v>
      </c>
      <c r="Z825" s="468" t="s">
        <v>514</v>
      </c>
      <c r="AA825" s="466">
        <v>0</v>
      </c>
      <c r="AB825" s="466">
        <v>0</v>
      </c>
      <c r="AC825" s="467">
        <v>0</v>
      </c>
      <c r="AD825" s="466">
        <v>0</v>
      </c>
      <c r="AE825" s="468" t="s">
        <v>516</v>
      </c>
      <c r="AF825" s="466">
        <v>0</v>
      </c>
      <c r="AG825" s="466">
        <v>0</v>
      </c>
      <c r="AH825" s="466">
        <v>13754.3</v>
      </c>
      <c r="AI825" s="466">
        <v>8600.66</v>
      </c>
      <c r="AJ825" s="469" t="s">
        <v>5550</v>
      </c>
      <c r="AK825" s="470" t="s">
        <v>5551</v>
      </c>
      <c r="AL825" s="471" t="s">
        <v>7496</v>
      </c>
      <c r="AM825" s="470" t="s">
        <v>7497</v>
      </c>
      <c r="AN825" s="470" t="s">
        <v>7494</v>
      </c>
      <c r="AO825" s="470" t="s">
        <v>7498</v>
      </c>
      <c r="AP825" s="470" t="s">
        <v>7499</v>
      </c>
      <c r="AQ825" s="470" t="s">
        <v>7492</v>
      </c>
      <c r="AR825" s="472" t="s">
        <v>515</v>
      </c>
      <c r="AS825" s="473" t="s">
        <v>1385</v>
      </c>
      <c r="AT825" s="472" t="s">
        <v>517</v>
      </c>
      <c r="AU825" s="472" t="s">
        <v>420</v>
      </c>
      <c r="AV825" s="472">
        <v>2020</v>
      </c>
      <c r="AW825" s="474" t="s">
        <v>15078</v>
      </c>
      <c r="AX825" s="475" t="s">
        <v>15079</v>
      </c>
      <c r="AY825" s="515">
        <v>1</v>
      </c>
      <c r="AZ825" s="474" t="s">
        <v>15079</v>
      </c>
      <c r="BA825" s="472" t="s">
        <v>1385</v>
      </c>
      <c r="BB825" s="472" t="s">
        <v>1385</v>
      </c>
      <c r="BC825" s="472" t="s">
        <v>1385</v>
      </c>
      <c r="BD825" s="472" t="s">
        <v>1385</v>
      </c>
      <c r="BE825" s="472" t="s">
        <v>1385</v>
      </c>
      <c r="BF825" s="472">
        <v>30007.8</v>
      </c>
      <c r="BG825" s="472">
        <v>0</v>
      </c>
      <c r="BH825" s="472" t="s">
        <v>516</v>
      </c>
      <c r="BI825" s="510">
        <v>0</v>
      </c>
      <c r="BJ825" s="510">
        <v>0</v>
      </c>
      <c r="BK825" s="510">
        <v>0</v>
      </c>
      <c r="BL825" s="510">
        <v>0</v>
      </c>
      <c r="BM825" s="510">
        <v>0</v>
      </c>
      <c r="BN825" s="510">
        <v>0</v>
      </c>
      <c r="BO825" s="510">
        <v>0</v>
      </c>
      <c r="BP825" s="510">
        <v>0</v>
      </c>
      <c r="BQ825" s="510">
        <v>0</v>
      </c>
      <c r="BR825" s="510">
        <v>0</v>
      </c>
      <c r="BS825" s="510">
        <v>0</v>
      </c>
      <c r="BT825" s="510">
        <v>0</v>
      </c>
      <c r="BU825" s="510">
        <v>0</v>
      </c>
      <c r="BV825" s="510">
        <v>0</v>
      </c>
      <c r="BW825" s="510">
        <v>0</v>
      </c>
      <c r="BX825" s="510">
        <v>0</v>
      </c>
      <c r="BY825" s="1011">
        <v>0</v>
      </c>
      <c r="BZ825" s="510">
        <v>0</v>
      </c>
      <c r="CA825" s="1011">
        <v>0</v>
      </c>
      <c r="CB825" s="510">
        <v>0</v>
      </c>
      <c r="CC825" s="1011">
        <v>0</v>
      </c>
      <c r="CD825" s="510">
        <v>0</v>
      </c>
      <c r="CE825" s="1011">
        <v>0</v>
      </c>
      <c r="CF825" s="510">
        <v>0</v>
      </c>
      <c r="CG825" s="1011">
        <v>0</v>
      </c>
      <c r="CH825" s="510">
        <v>0</v>
      </c>
      <c r="CI825" s="1011">
        <v>0</v>
      </c>
    </row>
    <row r="826" spans="1:87" x14ac:dyDescent="0.2">
      <c r="A826" s="449">
        <v>41</v>
      </c>
      <c r="B826" s="453">
        <v>93149</v>
      </c>
      <c r="C826" s="454" t="s">
        <v>7500</v>
      </c>
      <c r="D826" s="454" t="s">
        <v>517</v>
      </c>
      <c r="E826" s="454" t="s">
        <v>7501</v>
      </c>
      <c r="F826" s="454" t="s">
        <v>519</v>
      </c>
      <c r="G826" s="454" t="s">
        <v>13675</v>
      </c>
      <c r="H826" s="455">
        <v>52040508000117</v>
      </c>
      <c r="I826" s="462">
        <v>30307</v>
      </c>
      <c r="J826" s="457">
        <v>37356240</v>
      </c>
      <c r="K826" s="454" t="s">
        <v>7503</v>
      </c>
      <c r="L826" s="458">
        <v>2200</v>
      </c>
      <c r="M826" s="454" t="s">
        <v>5580</v>
      </c>
      <c r="N826" s="459">
        <v>5416002</v>
      </c>
      <c r="O826" s="460">
        <v>30329908</v>
      </c>
      <c r="P826" s="462">
        <v>116435</v>
      </c>
      <c r="Q826" s="462">
        <v>25</v>
      </c>
      <c r="R826" s="462">
        <v>43881</v>
      </c>
      <c r="S826" s="463">
        <v>501</v>
      </c>
      <c r="T826" s="464">
        <v>5.4</v>
      </c>
      <c r="U826" s="465">
        <v>2705.4</v>
      </c>
      <c r="V826" s="465">
        <v>17100</v>
      </c>
      <c r="W826" s="466">
        <v>0</v>
      </c>
      <c r="X826" s="467">
        <v>1</v>
      </c>
      <c r="Y826" s="466">
        <v>0</v>
      </c>
      <c r="Z826" s="468" t="s">
        <v>514</v>
      </c>
      <c r="AA826" s="466">
        <v>0</v>
      </c>
      <c r="AB826" s="466">
        <v>0</v>
      </c>
      <c r="AC826" s="467">
        <v>0</v>
      </c>
      <c r="AD826" s="466">
        <v>0</v>
      </c>
      <c r="AE826" s="468" t="s">
        <v>516</v>
      </c>
      <c r="AF826" s="466">
        <v>0</v>
      </c>
      <c r="AG826" s="466">
        <v>0</v>
      </c>
      <c r="AH826" s="466">
        <v>30088.11</v>
      </c>
      <c r="AI826" s="466">
        <v>25918.26</v>
      </c>
      <c r="AJ826" s="469" t="s">
        <v>5581</v>
      </c>
      <c r="AK826" s="470" t="s">
        <v>5582</v>
      </c>
      <c r="AL826" s="471" t="s">
        <v>7504</v>
      </c>
      <c r="AM826" s="470" t="s">
        <v>7505</v>
      </c>
      <c r="AN826" s="470" t="s">
        <v>7502</v>
      </c>
      <c r="AO826" s="470" t="s">
        <v>7506</v>
      </c>
      <c r="AP826" s="470" t="s">
        <v>7507</v>
      </c>
      <c r="AQ826" s="470" t="s">
        <v>7500</v>
      </c>
      <c r="AR826" s="472" t="s">
        <v>515</v>
      </c>
      <c r="AS826" s="473" t="s">
        <v>1385</v>
      </c>
      <c r="AT826" s="472" t="s">
        <v>517</v>
      </c>
      <c r="AU826" s="472" t="s">
        <v>420</v>
      </c>
      <c r="AV826" s="472">
        <v>2020</v>
      </c>
      <c r="AW826" s="474" t="s">
        <v>15078</v>
      </c>
      <c r="AX826" s="475" t="s">
        <v>15079</v>
      </c>
      <c r="AY826" s="515">
        <v>1</v>
      </c>
      <c r="AZ826" s="474" t="s">
        <v>15079</v>
      </c>
      <c r="BA826" s="472" t="s">
        <v>1385</v>
      </c>
      <c r="BB826" s="472" t="s">
        <v>516</v>
      </c>
      <c r="BC826" s="472">
        <v>12</v>
      </c>
      <c r="BD826" s="472">
        <v>5130</v>
      </c>
      <c r="BE826" s="472">
        <v>0</v>
      </c>
      <c r="BF826" s="472">
        <v>37403.1</v>
      </c>
      <c r="BG826" s="472">
        <v>0</v>
      </c>
      <c r="BH826" s="472" t="s">
        <v>516</v>
      </c>
      <c r="BI826" s="510">
        <v>0</v>
      </c>
      <c r="BJ826" s="510">
        <v>0</v>
      </c>
      <c r="BK826" s="510">
        <v>0</v>
      </c>
      <c r="BL826" s="510">
        <v>1246.8</v>
      </c>
      <c r="BM826" s="510">
        <v>0</v>
      </c>
      <c r="BN826" s="510">
        <v>0</v>
      </c>
      <c r="BO826" s="510">
        <v>0</v>
      </c>
      <c r="BP826" s="510">
        <v>0</v>
      </c>
      <c r="BQ826" s="510">
        <v>0</v>
      </c>
      <c r="BR826" s="510">
        <v>0</v>
      </c>
      <c r="BS826" s="510">
        <v>0</v>
      </c>
      <c r="BT826" s="510">
        <v>0</v>
      </c>
      <c r="BU826" s="510">
        <v>0</v>
      </c>
      <c r="BV826" s="510">
        <v>0</v>
      </c>
      <c r="BW826" s="510">
        <v>0</v>
      </c>
      <c r="BX826" s="510">
        <v>0</v>
      </c>
      <c r="BY826" s="1011">
        <v>0</v>
      </c>
      <c r="BZ826" s="510">
        <v>0</v>
      </c>
      <c r="CA826" s="1011">
        <v>0</v>
      </c>
      <c r="CB826" s="510">
        <v>0</v>
      </c>
      <c r="CC826" s="1011">
        <v>0</v>
      </c>
      <c r="CD826" s="510">
        <v>0</v>
      </c>
      <c r="CE826" s="1011">
        <v>0</v>
      </c>
      <c r="CF826" s="510">
        <v>0</v>
      </c>
      <c r="CG826" s="1011">
        <v>0</v>
      </c>
      <c r="CH826" s="510">
        <v>0</v>
      </c>
      <c r="CI826" s="1011">
        <v>0</v>
      </c>
    </row>
    <row r="827" spans="1:87" x14ac:dyDescent="0.2">
      <c r="A827" s="449">
        <v>34</v>
      </c>
      <c r="B827" s="453">
        <v>93157</v>
      </c>
      <c r="C827" s="454" t="s">
        <v>7508</v>
      </c>
      <c r="D827" s="454" t="s">
        <v>517</v>
      </c>
      <c r="E827" s="454" t="s">
        <v>7509</v>
      </c>
      <c r="F827" s="454" t="s">
        <v>529</v>
      </c>
      <c r="G827" s="454" t="s">
        <v>13676</v>
      </c>
      <c r="H827" s="455">
        <v>46132627000105</v>
      </c>
      <c r="I827" s="462">
        <v>27158</v>
      </c>
      <c r="J827" s="457">
        <v>37523139</v>
      </c>
      <c r="K827" s="454" t="s">
        <v>7510</v>
      </c>
      <c r="L827" s="458">
        <v>1028</v>
      </c>
      <c r="M827" s="454" t="s">
        <v>5590</v>
      </c>
      <c r="N827" s="459">
        <v>4616003</v>
      </c>
      <c r="O827" s="460">
        <v>55317257</v>
      </c>
      <c r="P827" s="462">
        <v>563741</v>
      </c>
      <c r="Q827" s="462">
        <v>58</v>
      </c>
      <c r="R827" s="462">
        <v>43921</v>
      </c>
      <c r="S827" s="463">
        <v>407</v>
      </c>
      <c r="T827" s="464">
        <v>5.4</v>
      </c>
      <c r="U827" s="465">
        <v>2197.8000000000002</v>
      </c>
      <c r="V827" s="465">
        <v>15480</v>
      </c>
      <c r="W827" s="466">
        <v>0</v>
      </c>
      <c r="X827" s="467">
        <v>1</v>
      </c>
      <c r="Y827" s="466">
        <v>33482.699999999997</v>
      </c>
      <c r="Z827" s="468" t="s">
        <v>516</v>
      </c>
      <c r="AA827" s="466">
        <v>135126.29999999999</v>
      </c>
      <c r="AB827" s="466">
        <v>135126.29999999999</v>
      </c>
      <c r="AC827" s="467">
        <v>0</v>
      </c>
      <c r="AD827" s="466">
        <v>0</v>
      </c>
      <c r="AE827" s="468" t="s">
        <v>516</v>
      </c>
      <c r="AF827" s="466">
        <v>0</v>
      </c>
      <c r="AG827" s="466">
        <v>0</v>
      </c>
      <c r="AH827" s="466">
        <v>24948.04</v>
      </c>
      <c r="AI827" s="466">
        <v>9022.76</v>
      </c>
      <c r="AJ827" s="469" t="s">
        <v>7511</v>
      </c>
      <c r="AK827" s="470" t="s">
        <v>5590</v>
      </c>
      <c r="AL827" s="471" t="s">
        <v>7512</v>
      </c>
      <c r="AM827" s="470" t="s">
        <v>7513</v>
      </c>
      <c r="AN827" s="470" t="s">
        <v>13676</v>
      </c>
      <c r="AO827" s="470" t="s">
        <v>7514</v>
      </c>
      <c r="AP827" s="470" t="s">
        <v>7515</v>
      </c>
      <c r="AQ827" s="470" t="s">
        <v>7508</v>
      </c>
      <c r="AR827" s="472" t="s">
        <v>515</v>
      </c>
      <c r="AS827" s="473" t="s">
        <v>1385</v>
      </c>
      <c r="AT827" s="472" t="s">
        <v>517</v>
      </c>
      <c r="AU827" s="472" t="s">
        <v>420</v>
      </c>
      <c r="AV827" s="472">
        <v>2020</v>
      </c>
      <c r="AW827" s="474" t="s">
        <v>15078</v>
      </c>
      <c r="AX827" s="475" t="s">
        <v>15079</v>
      </c>
      <c r="AY827" s="515">
        <v>1</v>
      </c>
      <c r="AZ827" s="474" t="s">
        <v>15079</v>
      </c>
      <c r="BA827" s="472" t="s">
        <v>517</v>
      </c>
      <c r="BB827" s="472" t="s">
        <v>516</v>
      </c>
      <c r="BC827" s="472">
        <v>7</v>
      </c>
      <c r="BD827" s="472">
        <v>4644</v>
      </c>
      <c r="BE827" s="472">
        <v>0</v>
      </c>
      <c r="BF827" s="472">
        <v>33482.699999999997</v>
      </c>
      <c r="BG827" s="472">
        <v>0</v>
      </c>
      <c r="BH827" s="472" t="s">
        <v>1385</v>
      </c>
      <c r="BI827" s="510">
        <v>0</v>
      </c>
      <c r="BJ827" s="510">
        <v>0</v>
      </c>
      <c r="BK827" s="510">
        <v>0</v>
      </c>
      <c r="BL827" s="510">
        <v>2333.4</v>
      </c>
      <c r="BM827" s="510">
        <v>0</v>
      </c>
      <c r="BN827" s="510">
        <v>3500</v>
      </c>
      <c r="BO827" s="510">
        <v>0</v>
      </c>
      <c r="BP827" s="510">
        <v>0</v>
      </c>
      <c r="BQ827" s="510">
        <v>0</v>
      </c>
      <c r="BR827" s="510">
        <v>0</v>
      </c>
      <c r="BS827" s="510">
        <v>0</v>
      </c>
      <c r="BT827" s="510">
        <v>0</v>
      </c>
      <c r="BU827" s="510">
        <v>0</v>
      </c>
      <c r="BV827" s="510">
        <v>0</v>
      </c>
      <c r="BW827" s="510">
        <v>0</v>
      </c>
      <c r="BX827" s="510">
        <v>30000</v>
      </c>
      <c r="BY827" s="1011">
        <v>0</v>
      </c>
      <c r="BZ827" s="510">
        <v>0</v>
      </c>
      <c r="CA827" s="1011">
        <v>0</v>
      </c>
      <c r="CB827" s="510">
        <v>22000</v>
      </c>
      <c r="CC827" s="1011">
        <v>0</v>
      </c>
      <c r="CD827" s="510">
        <v>0</v>
      </c>
      <c r="CE827" s="1011">
        <v>0</v>
      </c>
      <c r="CF827" s="510">
        <v>49643.6</v>
      </c>
      <c r="CG827" s="1011">
        <v>0</v>
      </c>
      <c r="CH827" s="510">
        <v>0</v>
      </c>
      <c r="CI827" s="1011">
        <v>0</v>
      </c>
    </row>
    <row r="828" spans="1:87" x14ac:dyDescent="0.2">
      <c r="A828" s="449">
        <v>36</v>
      </c>
      <c r="B828" s="453">
        <v>93165</v>
      </c>
      <c r="C828" s="454" t="s">
        <v>7516</v>
      </c>
      <c r="D828" s="454" t="s">
        <v>517</v>
      </c>
      <c r="E828" s="454" t="s">
        <v>7517</v>
      </c>
      <c r="F828" s="454" t="s">
        <v>519</v>
      </c>
      <c r="G828" s="454" t="s">
        <v>13677</v>
      </c>
      <c r="H828" s="455">
        <v>52034048000114</v>
      </c>
      <c r="I828" s="462">
        <v>30295</v>
      </c>
      <c r="J828" s="457">
        <v>37355562</v>
      </c>
      <c r="K828" s="454" t="s">
        <v>7519</v>
      </c>
      <c r="L828" s="458">
        <v>1054</v>
      </c>
      <c r="M828" s="454" t="s">
        <v>7520</v>
      </c>
      <c r="N828" s="459">
        <v>4581051</v>
      </c>
      <c r="O828" s="460">
        <v>50417703</v>
      </c>
      <c r="P828" s="462">
        <v>117750</v>
      </c>
      <c r="Q828" s="462">
        <v>20</v>
      </c>
      <c r="R828" s="462">
        <v>43881</v>
      </c>
      <c r="S828" s="463">
        <v>691</v>
      </c>
      <c r="T828" s="464">
        <v>5.4</v>
      </c>
      <c r="U828" s="465">
        <v>3731.4</v>
      </c>
      <c r="V828" s="465">
        <v>17100</v>
      </c>
      <c r="W828" s="466">
        <v>0</v>
      </c>
      <c r="X828" s="467">
        <v>1</v>
      </c>
      <c r="Y828" s="466">
        <v>0</v>
      </c>
      <c r="Z828" s="468" t="s">
        <v>514</v>
      </c>
      <c r="AA828" s="466">
        <v>0</v>
      </c>
      <c r="AB828" s="466">
        <v>0</v>
      </c>
      <c r="AC828" s="467">
        <v>0</v>
      </c>
      <c r="AD828" s="466">
        <v>0</v>
      </c>
      <c r="AE828" s="468" t="s">
        <v>516</v>
      </c>
      <c r="AF828" s="466">
        <v>0</v>
      </c>
      <c r="AG828" s="466">
        <v>0</v>
      </c>
      <c r="AH828" s="466">
        <v>335.67</v>
      </c>
      <c r="AI828" s="466">
        <v>5192.28</v>
      </c>
      <c r="AJ828" s="469" t="s">
        <v>7521</v>
      </c>
      <c r="AK828" s="470" t="s">
        <v>7522</v>
      </c>
      <c r="AL828" s="471" t="s">
        <v>7523</v>
      </c>
      <c r="AM828" s="470" t="s">
        <v>7524</v>
      </c>
      <c r="AN828" s="470" t="s">
        <v>7518</v>
      </c>
      <c r="AO828" s="470" t="s">
        <v>7525</v>
      </c>
      <c r="AP828" s="470" t="s">
        <v>7526</v>
      </c>
      <c r="AQ828" s="470" t="s">
        <v>7516</v>
      </c>
      <c r="AR828" s="472" t="s">
        <v>515</v>
      </c>
      <c r="AS828" s="473" t="s">
        <v>1385</v>
      </c>
      <c r="AT828" s="472" t="s">
        <v>517</v>
      </c>
      <c r="AU828" s="472" t="s">
        <v>420</v>
      </c>
      <c r="AV828" s="472">
        <v>2020</v>
      </c>
      <c r="AW828" s="474" t="s">
        <v>15078</v>
      </c>
      <c r="AX828" s="475" t="s">
        <v>15079</v>
      </c>
      <c r="AY828" s="515">
        <v>1</v>
      </c>
      <c r="AZ828" s="474" t="s">
        <v>15079</v>
      </c>
      <c r="BA828" s="472" t="s">
        <v>1385</v>
      </c>
      <c r="BB828" s="472" t="s">
        <v>516</v>
      </c>
      <c r="BC828" s="472">
        <v>6</v>
      </c>
      <c r="BD828" s="472">
        <v>5130</v>
      </c>
      <c r="BE828" s="472">
        <v>0</v>
      </c>
      <c r="BF828" s="472">
        <v>38942.1</v>
      </c>
      <c r="BG828" s="472">
        <v>0</v>
      </c>
      <c r="BH828" s="472" t="s">
        <v>516</v>
      </c>
      <c r="BI828" s="510">
        <v>0</v>
      </c>
      <c r="BJ828" s="510">
        <v>0</v>
      </c>
      <c r="BK828" s="510">
        <v>0</v>
      </c>
      <c r="BL828" s="510">
        <v>0</v>
      </c>
      <c r="BM828" s="510">
        <v>0</v>
      </c>
      <c r="BN828" s="510">
        <v>0</v>
      </c>
      <c r="BO828" s="510">
        <v>0</v>
      </c>
      <c r="BP828" s="510">
        <v>0</v>
      </c>
      <c r="BQ828" s="510">
        <v>0</v>
      </c>
      <c r="BR828" s="510">
        <v>0</v>
      </c>
      <c r="BS828" s="510">
        <v>0</v>
      </c>
      <c r="BT828" s="510">
        <v>0</v>
      </c>
      <c r="BU828" s="510">
        <v>0</v>
      </c>
      <c r="BV828" s="510">
        <v>0</v>
      </c>
      <c r="BW828" s="510">
        <v>0</v>
      </c>
      <c r="BX828" s="510">
        <v>0</v>
      </c>
      <c r="BY828" s="1011">
        <v>0</v>
      </c>
      <c r="BZ828" s="510">
        <v>0</v>
      </c>
      <c r="CA828" s="1011">
        <v>0</v>
      </c>
      <c r="CB828" s="510">
        <v>0</v>
      </c>
      <c r="CC828" s="1011">
        <v>0</v>
      </c>
      <c r="CD828" s="510">
        <v>0</v>
      </c>
      <c r="CE828" s="1011">
        <v>0</v>
      </c>
      <c r="CF828" s="510">
        <v>0</v>
      </c>
      <c r="CG828" s="1011">
        <v>0</v>
      </c>
      <c r="CH828" s="510">
        <v>0</v>
      </c>
      <c r="CI828" s="1011">
        <v>0</v>
      </c>
    </row>
    <row r="829" spans="1:87" x14ac:dyDescent="0.2">
      <c r="A829" s="449">
        <v>41</v>
      </c>
      <c r="B829" s="453">
        <v>93173</v>
      </c>
      <c r="C829" s="454" t="s">
        <v>7527</v>
      </c>
      <c r="D829" s="454" t="s">
        <v>517</v>
      </c>
      <c r="E829" s="454" t="s">
        <v>7528</v>
      </c>
      <c r="F829" s="454" t="s">
        <v>529</v>
      </c>
      <c r="G829" s="454" t="s">
        <v>13678</v>
      </c>
      <c r="H829" s="455">
        <v>59495200000105</v>
      </c>
      <c r="I829" s="462">
        <v>32374</v>
      </c>
      <c r="J829" s="457">
        <v>37523449</v>
      </c>
      <c r="K829" s="454" t="s">
        <v>7529</v>
      </c>
      <c r="L829" s="458">
        <v>1359</v>
      </c>
      <c r="M829" s="454" t="s">
        <v>529</v>
      </c>
      <c r="N829" s="459">
        <v>4713001</v>
      </c>
      <c r="O829" s="460">
        <v>51833128</v>
      </c>
      <c r="P829" s="462">
        <v>567810</v>
      </c>
      <c r="Q829" s="462">
        <v>65</v>
      </c>
      <c r="R829" s="462">
        <v>43921</v>
      </c>
      <c r="S829" s="463">
        <v>397</v>
      </c>
      <c r="T829" s="464">
        <v>5.4</v>
      </c>
      <c r="U829" s="465">
        <v>2143.8000000000002</v>
      </c>
      <c r="V829" s="465">
        <v>15480</v>
      </c>
      <c r="W829" s="466">
        <v>0</v>
      </c>
      <c r="X829" s="467">
        <v>1</v>
      </c>
      <c r="Y829" s="466">
        <v>31079.7</v>
      </c>
      <c r="Z829" s="468" t="s">
        <v>516</v>
      </c>
      <c r="AA829" s="466">
        <v>129692.1</v>
      </c>
      <c r="AB829" s="466">
        <v>129692.1</v>
      </c>
      <c r="AC829" s="467">
        <v>0</v>
      </c>
      <c r="AD829" s="466">
        <v>0</v>
      </c>
      <c r="AE829" s="468" t="s">
        <v>516</v>
      </c>
      <c r="AF829" s="466">
        <v>0</v>
      </c>
      <c r="AG829" s="466">
        <v>0</v>
      </c>
      <c r="AH829" s="466">
        <v>39819.760000000002</v>
      </c>
      <c r="AI829" s="466">
        <v>25862.5</v>
      </c>
      <c r="AJ829" s="469" t="s">
        <v>7530</v>
      </c>
      <c r="AK829" s="470" t="s">
        <v>7531</v>
      </c>
      <c r="AL829" s="471" t="s">
        <v>7532</v>
      </c>
      <c r="AM829" s="470" t="s">
        <v>7533</v>
      </c>
      <c r="AN829" s="470" t="s">
        <v>13678</v>
      </c>
      <c r="AO829" s="470" t="s">
        <v>7534</v>
      </c>
      <c r="AP829" s="470" t="s">
        <v>7535</v>
      </c>
      <c r="AQ829" s="470" t="s">
        <v>7527</v>
      </c>
      <c r="AR829" s="472" t="s">
        <v>515</v>
      </c>
      <c r="AS829" s="473" t="s">
        <v>1385</v>
      </c>
      <c r="AT829" s="472" t="s">
        <v>517</v>
      </c>
      <c r="AU829" s="472" t="s">
        <v>420</v>
      </c>
      <c r="AV829" s="472">
        <v>2020</v>
      </c>
      <c r="AW829" s="474" t="s">
        <v>15078</v>
      </c>
      <c r="AX829" s="475" t="s">
        <v>15079</v>
      </c>
      <c r="AY829" s="515">
        <v>1</v>
      </c>
      <c r="AZ829" s="474" t="s">
        <v>15079</v>
      </c>
      <c r="BA829" s="472" t="s">
        <v>517</v>
      </c>
      <c r="BB829" s="472" t="s">
        <v>516</v>
      </c>
      <c r="BC829" s="472">
        <v>1</v>
      </c>
      <c r="BD829" s="472">
        <v>3096</v>
      </c>
      <c r="BE829" s="472">
        <v>0</v>
      </c>
      <c r="BF829" s="472">
        <v>31079.7</v>
      </c>
      <c r="BG829" s="472">
        <v>0</v>
      </c>
      <c r="BH829" s="472" t="s">
        <v>1385</v>
      </c>
      <c r="BI829" s="510">
        <v>0</v>
      </c>
      <c r="BJ829" s="510">
        <v>0</v>
      </c>
      <c r="BK829" s="510">
        <v>0</v>
      </c>
      <c r="BL829" s="510">
        <v>390.3</v>
      </c>
      <c r="BM829" s="510">
        <v>0</v>
      </c>
      <c r="BN829" s="510">
        <v>3500</v>
      </c>
      <c r="BO829" s="510">
        <v>0</v>
      </c>
      <c r="BP829" s="510">
        <v>0</v>
      </c>
      <c r="BQ829" s="510">
        <v>0</v>
      </c>
      <c r="BR829" s="510">
        <v>0</v>
      </c>
      <c r="BS829" s="510">
        <v>0</v>
      </c>
      <c r="BT829" s="510">
        <v>0</v>
      </c>
      <c r="BU829" s="510">
        <v>2500</v>
      </c>
      <c r="BV829" s="510">
        <v>2500</v>
      </c>
      <c r="BW829" s="510">
        <v>0</v>
      </c>
      <c r="BX829" s="510">
        <v>30000</v>
      </c>
      <c r="BY829" s="1011">
        <v>0</v>
      </c>
      <c r="BZ829" s="510">
        <v>0</v>
      </c>
      <c r="CA829" s="1011">
        <v>0</v>
      </c>
      <c r="CB829" s="510">
        <v>22000</v>
      </c>
      <c r="CC829" s="1011">
        <v>0</v>
      </c>
      <c r="CD829" s="510">
        <v>0</v>
      </c>
      <c r="CE829" s="1011">
        <v>0</v>
      </c>
      <c r="CF829" s="510">
        <v>46612.4</v>
      </c>
      <c r="CG829" s="1011">
        <v>0</v>
      </c>
      <c r="CH829" s="510">
        <v>0</v>
      </c>
      <c r="CI829" s="1011">
        <v>0</v>
      </c>
    </row>
    <row r="830" spans="1:87" x14ac:dyDescent="0.2">
      <c r="A830" s="449">
        <v>55</v>
      </c>
      <c r="B830" s="453">
        <v>93181</v>
      </c>
      <c r="C830" s="454" t="s">
        <v>7536</v>
      </c>
      <c r="D830" s="454" t="s">
        <v>2253</v>
      </c>
      <c r="E830" s="454" t="s">
        <v>7537</v>
      </c>
      <c r="F830" s="454" t="s">
        <v>529</v>
      </c>
      <c r="G830" s="454" t="s">
        <v>13679</v>
      </c>
      <c r="H830" s="455">
        <v>51233781000103</v>
      </c>
      <c r="I830" s="462">
        <v>29004</v>
      </c>
      <c r="J830" s="457">
        <v>37523198</v>
      </c>
      <c r="K830" s="454" t="s">
        <v>7538</v>
      </c>
      <c r="L830" s="458">
        <v>511</v>
      </c>
      <c r="M830" s="454" t="s">
        <v>529</v>
      </c>
      <c r="N830" s="459">
        <v>4733100</v>
      </c>
      <c r="O830" s="460">
        <v>55484007</v>
      </c>
      <c r="P830" s="462">
        <v>567860</v>
      </c>
      <c r="Q830" s="462">
        <v>68</v>
      </c>
      <c r="R830" s="462">
        <v>43921</v>
      </c>
      <c r="S830" s="463">
        <v>1296</v>
      </c>
      <c r="T830" s="464">
        <v>5.4</v>
      </c>
      <c r="U830" s="465">
        <v>6998.4</v>
      </c>
      <c r="V830" s="465">
        <v>21960</v>
      </c>
      <c r="W830" s="466">
        <v>0</v>
      </c>
      <c r="X830" s="467">
        <v>1</v>
      </c>
      <c r="Y830" s="466">
        <v>43437.599999999999</v>
      </c>
      <c r="Z830" s="468" t="s">
        <v>516</v>
      </c>
      <c r="AA830" s="466">
        <v>147150.39999999999</v>
      </c>
      <c r="AB830" s="466">
        <v>147150.39999999999</v>
      </c>
      <c r="AC830" s="467">
        <v>0</v>
      </c>
      <c r="AD830" s="466">
        <v>0</v>
      </c>
      <c r="AE830" s="468" t="s">
        <v>516</v>
      </c>
      <c r="AF830" s="466">
        <v>1400</v>
      </c>
      <c r="AG830" s="466">
        <v>1400</v>
      </c>
      <c r="AH830" s="466">
        <v>39719.67</v>
      </c>
      <c r="AI830" s="466">
        <v>19234.21</v>
      </c>
      <c r="AJ830" s="469" t="s">
        <v>2585</v>
      </c>
      <c r="AK830" s="470" t="s">
        <v>529</v>
      </c>
      <c r="AL830" s="471" t="s">
        <v>7539</v>
      </c>
      <c r="AM830" s="470" t="s">
        <v>14914</v>
      </c>
      <c r="AN830" s="470" t="s">
        <v>13679</v>
      </c>
      <c r="AO830" s="470" t="s">
        <v>1385</v>
      </c>
      <c r="AP830" s="470" t="s">
        <v>7540</v>
      </c>
      <c r="AQ830" s="470" t="s">
        <v>7536</v>
      </c>
      <c r="AR830" s="472" t="s">
        <v>515</v>
      </c>
      <c r="AS830" s="473" t="s">
        <v>1385</v>
      </c>
      <c r="AT830" s="472" t="s">
        <v>2253</v>
      </c>
      <c r="AU830" s="472" t="s">
        <v>420</v>
      </c>
      <c r="AV830" s="472">
        <v>2020</v>
      </c>
      <c r="AW830" s="474" t="s">
        <v>15078</v>
      </c>
      <c r="AX830" s="475" t="s">
        <v>15079</v>
      </c>
      <c r="AY830" s="515">
        <v>1</v>
      </c>
      <c r="AZ830" s="474" t="s">
        <v>15079</v>
      </c>
      <c r="BA830" s="472" t="s">
        <v>2253</v>
      </c>
      <c r="BB830" s="472" t="s">
        <v>1385</v>
      </c>
      <c r="BC830" s="472" t="s">
        <v>1385</v>
      </c>
      <c r="BD830" s="472" t="s">
        <v>1385</v>
      </c>
      <c r="BE830" s="472" t="s">
        <v>1385</v>
      </c>
      <c r="BF830" s="472">
        <v>43437.599999999999</v>
      </c>
      <c r="BG830" s="472">
        <v>0</v>
      </c>
      <c r="BH830" s="472" t="s">
        <v>1385</v>
      </c>
      <c r="BI830" s="510">
        <v>0</v>
      </c>
      <c r="BJ830" s="510">
        <v>0</v>
      </c>
      <c r="BK830" s="510">
        <v>0</v>
      </c>
      <c r="BL830" s="510">
        <v>3500</v>
      </c>
      <c r="BM830" s="510">
        <v>0</v>
      </c>
      <c r="BN830" s="510">
        <v>6000</v>
      </c>
      <c r="BO830" s="510">
        <v>600</v>
      </c>
      <c r="BP830" s="510">
        <v>1400</v>
      </c>
      <c r="BQ830" s="510">
        <v>0</v>
      </c>
      <c r="BR830" s="510">
        <v>0</v>
      </c>
      <c r="BS830" s="510">
        <v>0</v>
      </c>
      <c r="BT830" s="510">
        <v>0</v>
      </c>
      <c r="BU830" s="510">
        <v>0</v>
      </c>
      <c r="BV830" s="510">
        <v>0</v>
      </c>
      <c r="BW830" s="510">
        <v>0</v>
      </c>
      <c r="BX830" s="510">
        <v>30000</v>
      </c>
      <c r="BY830" s="1011">
        <v>0</v>
      </c>
      <c r="BZ830" s="510">
        <v>0</v>
      </c>
      <c r="CA830" s="1011">
        <v>0</v>
      </c>
      <c r="CB830" s="510">
        <v>22000</v>
      </c>
      <c r="CC830" s="1011">
        <v>0</v>
      </c>
      <c r="CD830" s="510">
        <v>0</v>
      </c>
      <c r="CE830" s="1011">
        <v>0</v>
      </c>
      <c r="CF830" s="510">
        <v>51112.800000000003</v>
      </c>
      <c r="CG830" s="1011">
        <v>0</v>
      </c>
      <c r="CH830" s="510">
        <v>0</v>
      </c>
      <c r="CI830" s="1011">
        <v>0</v>
      </c>
    </row>
    <row r="831" spans="1:87" x14ac:dyDescent="0.2">
      <c r="A831" s="449">
        <v>33</v>
      </c>
      <c r="B831" s="453">
        <v>93190</v>
      </c>
      <c r="C831" s="454" t="s">
        <v>7541</v>
      </c>
      <c r="D831" s="454" t="s">
        <v>517</v>
      </c>
      <c r="E831" s="454" t="s">
        <v>7542</v>
      </c>
      <c r="F831" s="454" t="s">
        <v>529</v>
      </c>
      <c r="G831" s="454" t="s">
        <v>13680</v>
      </c>
      <c r="H831" s="455">
        <v>51228229000119</v>
      </c>
      <c r="I831" s="462">
        <v>29003</v>
      </c>
      <c r="J831" s="457">
        <v>37523104</v>
      </c>
      <c r="K831" s="454" t="s">
        <v>7543</v>
      </c>
      <c r="L831" s="458">
        <v>99</v>
      </c>
      <c r="M831" s="454" t="s">
        <v>529</v>
      </c>
      <c r="N831" s="459">
        <v>4747050</v>
      </c>
      <c r="O831" s="460">
        <v>56870178</v>
      </c>
      <c r="P831" s="462">
        <v>563725</v>
      </c>
      <c r="Q831" s="462">
        <v>55</v>
      </c>
      <c r="R831" s="462">
        <v>43921</v>
      </c>
      <c r="S831" s="463">
        <v>721</v>
      </c>
      <c r="T831" s="464">
        <v>5.4</v>
      </c>
      <c r="U831" s="465">
        <v>3893.4</v>
      </c>
      <c r="V831" s="465">
        <v>18720</v>
      </c>
      <c r="W831" s="466">
        <v>0</v>
      </c>
      <c r="X831" s="467">
        <v>1</v>
      </c>
      <c r="Y831" s="466">
        <v>42344.1</v>
      </c>
      <c r="Z831" s="468" t="s">
        <v>516</v>
      </c>
      <c r="AA831" s="466">
        <v>155597.70000000001</v>
      </c>
      <c r="AB831" s="466">
        <v>155597.70000000001</v>
      </c>
      <c r="AC831" s="467">
        <v>0</v>
      </c>
      <c r="AD831" s="466">
        <v>0</v>
      </c>
      <c r="AE831" s="468" t="s">
        <v>516</v>
      </c>
      <c r="AF831" s="466">
        <v>0</v>
      </c>
      <c r="AG831" s="466">
        <v>0</v>
      </c>
      <c r="AH831" s="466">
        <v>15747.31</v>
      </c>
      <c r="AI831" s="466">
        <v>5645.88</v>
      </c>
      <c r="AJ831" s="469" t="s">
        <v>1481</v>
      </c>
      <c r="AK831" s="470" t="s">
        <v>1482</v>
      </c>
      <c r="AL831" s="471" t="s">
        <v>7544</v>
      </c>
      <c r="AM831" s="470" t="s">
        <v>9565</v>
      </c>
      <c r="AN831" s="470" t="s">
        <v>13680</v>
      </c>
      <c r="AO831" s="470" t="s">
        <v>7545</v>
      </c>
      <c r="AP831" s="470" t="s">
        <v>7546</v>
      </c>
      <c r="AQ831" s="470" t="s">
        <v>7541</v>
      </c>
      <c r="AR831" s="472" t="s">
        <v>515</v>
      </c>
      <c r="AS831" s="473" t="s">
        <v>1385</v>
      </c>
      <c r="AT831" s="472" t="s">
        <v>517</v>
      </c>
      <c r="AU831" s="472" t="s">
        <v>420</v>
      </c>
      <c r="AV831" s="472">
        <v>2020</v>
      </c>
      <c r="AW831" s="474" t="s">
        <v>15078</v>
      </c>
      <c r="AX831" s="475" t="s">
        <v>15079</v>
      </c>
      <c r="AY831" s="515">
        <v>1</v>
      </c>
      <c r="AZ831" s="474" t="s">
        <v>15079</v>
      </c>
      <c r="BA831" s="472" t="s">
        <v>517</v>
      </c>
      <c r="BB831" s="472" t="s">
        <v>516</v>
      </c>
      <c r="BC831" s="472">
        <v>7</v>
      </c>
      <c r="BD831" s="472">
        <v>5616</v>
      </c>
      <c r="BE831" s="472">
        <v>0</v>
      </c>
      <c r="BF831" s="472">
        <v>42344.1</v>
      </c>
      <c r="BG831" s="472">
        <v>0</v>
      </c>
      <c r="BH831" s="472" t="s">
        <v>1385</v>
      </c>
      <c r="BI831" s="510">
        <v>0</v>
      </c>
      <c r="BJ831" s="510">
        <v>0</v>
      </c>
      <c r="BK831" s="510">
        <v>0</v>
      </c>
      <c r="BL831" s="510">
        <v>0</v>
      </c>
      <c r="BM831" s="510">
        <v>0</v>
      </c>
      <c r="BN831" s="510">
        <v>5000</v>
      </c>
      <c r="BO831" s="510">
        <v>0</v>
      </c>
      <c r="BP831" s="510">
        <v>0</v>
      </c>
      <c r="BQ831" s="510">
        <v>0</v>
      </c>
      <c r="BR831" s="510">
        <v>0</v>
      </c>
      <c r="BS831" s="510">
        <v>0</v>
      </c>
      <c r="BT831" s="510">
        <v>0</v>
      </c>
      <c r="BU831" s="510">
        <v>2500</v>
      </c>
      <c r="BV831" s="510">
        <v>2500</v>
      </c>
      <c r="BW831" s="510">
        <v>0</v>
      </c>
      <c r="BX831" s="510">
        <v>30000</v>
      </c>
      <c r="BY831" s="1011">
        <v>0</v>
      </c>
      <c r="BZ831" s="510">
        <v>0</v>
      </c>
      <c r="CA831" s="1011">
        <v>0</v>
      </c>
      <c r="CB831" s="510">
        <v>22000</v>
      </c>
      <c r="CC831" s="1011">
        <v>0</v>
      </c>
      <c r="CD831" s="510">
        <v>0</v>
      </c>
      <c r="CE831" s="1011">
        <v>0</v>
      </c>
      <c r="CF831" s="510">
        <v>61253.599999999999</v>
      </c>
      <c r="CG831" s="1011">
        <v>0</v>
      </c>
      <c r="CH831" s="510">
        <v>0</v>
      </c>
      <c r="CI831" s="1011">
        <v>0</v>
      </c>
    </row>
    <row r="832" spans="1:87" x14ac:dyDescent="0.2">
      <c r="A832" s="449">
        <v>42</v>
      </c>
      <c r="B832" s="453">
        <v>93203</v>
      </c>
      <c r="C832" s="454" t="s">
        <v>7547</v>
      </c>
      <c r="D832" s="454" t="s">
        <v>517</v>
      </c>
      <c r="E832" s="454" t="s">
        <v>7548</v>
      </c>
      <c r="F832" s="454" t="s">
        <v>529</v>
      </c>
      <c r="G832" s="454" t="s">
        <v>13681</v>
      </c>
      <c r="H832" s="455">
        <v>51195121000177</v>
      </c>
      <c r="I832" s="462">
        <v>28936</v>
      </c>
      <c r="J832" s="457">
        <v>37523260</v>
      </c>
      <c r="K832" s="454" t="s">
        <v>7549</v>
      </c>
      <c r="L832" s="458">
        <v>296</v>
      </c>
      <c r="M832" s="454" t="s">
        <v>1545</v>
      </c>
      <c r="N832" s="459">
        <v>4689000</v>
      </c>
      <c r="O832" s="460">
        <v>56310699</v>
      </c>
      <c r="P832" s="462">
        <v>563830</v>
      </c>
      <c r="Q832" s="462">
        <v>66</v>
      </c>
      <c r="R832" s="462">
        <v>43921</v>
      </c>
      <c r="S832" s="463">
        <v>693</v>
      </c>
      <c r="T832" s="464">
        <v>5.4</v>
      </c>
      <c r="U832" s="465">
        <v>3742.2</v>
      </c>
      <c r="V832" s="465">
        <v>17100</v>
      </c>
      <c r="W832" s="466">
        <v>0</v>
      </c>
      <c r="X832" s="467">
        <v>1</v>
      </c>
      <c r="Y832" s="466">
        <v>31263.3</v>
      </c>
      <c r="Z832" s="468" t="s">
        <v>516</v>
      </c>
      <c r="AA832" s="466">
        <v>124936.9</v>
      </c>
      <c r="AB832" s="466">
        <v>124936.9</v>
      </c>
      <c r="AC832" s="467">
        <v>0</v>
      </c>
      <c r="AD832" s="466">
        <v>0</v>
      </c>
      <c r="AE832" s="468" t="s">
        <v>516</v>
      </c>
      <c r="AF832" s="466">
        <v>2000</v>
      </c>
      <c r="AG832" s="466">
        <v>2000</v>
      </c>
      <c r="AH832" s="466">
        <v>19404.64</v>
      </c>
      <c r="AI832" s="466">
        <v>4385.2299999999996</v>
      </c>
      <c r="AJ832" s="469" t="s">
        <v>1544</v>
      </c>
      <c r="AK832" s="470" t="s">
        <v>1545</v>
      </c>
      <c r="AL832" s="471" t="s">
        <v>7550</v>
      </c>
      <c r="AM832" s="470" t="s">
        <v>13682</v>
      </c>
      <c r="AN832" s="470" t="s">
        <v>13681</v>
      </c>
      <c r="AO832" s="470" t="s">
        <v>7551</v>
      </c>
      <c r="AP832" s="470" t="s">
        <v>7552</v>
      </c>
      <c r="AQ832" s="470" t="s">
        <v>7547</v>
      </c>
      <c r="AR832" s="472" t="s">
        <v>515</v>
      </c>
      <c r="AS832" s="473" t="s">
        <v>1385</v>
      </c>
      <c r="AT832" s="472" t="s">
        <v>517</v>
      </c>
      <c r="AU832" s="472" t="s">
        <v>420</v>
      </c>
      <c r="AV832" s="472">
        <v>2020</v>
      </c>
      <c r="AW832" s="474" t="s">
        <v>15078</v>
      </c>
      <c r="AX832" s="475" t="s">
        <v>15079</v>
      </c>
      <c r="AY832" s="515">
        <v>1</v>
      </c>
      <c r="AZ832" s="474" t="s">
        <v>15079</v>
      </c>
      <c r="BA832" s="472" t="s">
        <v>517</v>
      </c>
      <c r="BB832" s="472" t="s">
        <v>1385</v>
      </c>
      <c r="BC832" s="472" t="s">
        <v>1385</v>
      </c>
      <c r="BD832" s="472" t="s">
        <v>1385</v>
      </c>
      <c r="BE832" s="472" t="s">
        <v>1385</v>
      </c>
      <c r="BF832" s="472">
        <v>31263.3</v>
      </c>
      <c r="BG832" s="472">
        <v>0</v>
      </c>
      <c r="BH832" s="472" t="s">
        <v>1385</v>
      </c>
      <c r="BI832" s="510">
        <v>0</v>
      </c>
      <c r="BJ832" s="510">
        <v>0</v>
      </c>
      <c r="BK832" s="510">
        <v>0</v>
      </c>
      <c r="BL832" s="510">
        <v>3500</v>
      </c>
      <c r="BM832" s="510">
        <v>0</v>
      </c>
      <c r="BN832" s="510">
        <v>3500</v>
      </c>
      <c r="BO832" s="510">
        <v>0</v>
      </c>
      <c r="BP832" s="510">
        <v>2000</v>
      </c>
      <c r="BQ832" s="510">
        <v>0</v>
      </c>
      <c r="BR832" s="510">
        <v>0</v>
      </c>
      <c r="BS832" s="510">
        <v>0</v>
      </c>
      <c r="BT832" s="510">
        <v>0</v>
      </c>
      <c r="BU832" s="510">
        <v>2500</v>
      </c>
      <c r="BV832" s="510">
        <v>2500</v>
      </c>
      <c r="BW832" s="510">
        <v>0</v>
      </c>
      <c r="BX832" s="510">
        <v>30000</v>
      </c>
      <c r="BY832" s="1011">
        <v>0</v>
      </c>
      <c r="BZ832" s="510">
        <v>0</v>
      </c>
      <c r="CA832" s="1011">
        <v>0</v>
      </c>
      <c r="CB832" s="510">
        <v>22000</v>
      </c>
      <c r="CC832" s="1011">
        <v>0</v>
      </c>
      <c r="CD832" s="510">
        <v>0</v>
      </c>
      <c r="CE832" s="1011">
        <v>0</v>
      </c>
      <c r="CF832" s="510">
        <v>41673.599999999999</v>
      </c>
      <c r="CG832" s="1011">
        <v>0</v>
      </c>
      <c r="CH832" s="510">
        <v>0</v>
      </c>
      <c r="CI832" s="1011">
        <v>0</v>
      </c>
    </row>
    <row r="833" spans="1:87" x14ac:dyDescent="0.2">
      <c r="A833" s="449">
        <v>39</v>
      </c>
      <c r="B833" s="453">
        <v>93211</v>
      </c>
      <c r="C833" s="454" t="s">
        <v>7553</v>
      </c>
      <c r="D833" s="454" t="s">
        <v>517</v>
      </c>
      <c r="E833" s="454" t="s">
        <v>7554</v>
      </c>
      <c r="F833" s="454" t="s">
        <v>529</v>
      </c>
      <c r="G833" s="454" t="s">
        <v>13683</v>
      </c>
      <c r="H833" s="455">
        <v>51184877000110</v>
      </c>
      <c r="I833" s="462">
        <v>28937</v>
      </c>
      <c r="J833" s="457">
        <v>37525859</v>
      </c>
      <c r="K833" s="454" t="s">
        <v>7555</v>
      </c>
      <c r="L833" s="458">
        <v>150</v>
      </c>
      <c r="M833" s="454" t="s">
        <v>1545</v>
      </c>
      <c r="N833" s="459">
        <v>4678100</v>
      </c>
      <c r="O833" s="460">
        <v>56311671</v>
      </c>
      <c r="P833" s="462">
        <v>563806</v>
      </c>
      <c r="Q833" s="462">
        <v>63</v>
      </c>
      <c r="R833" s="462">
        <v>43921</v>
      </c>
      <c r="S833" s="463">
        <v>725</v>
      </c>
      <c r="T833" s="464">
        <v>5.4</v>
      </c>
      <c r="U833" s="465">
        <v>3915</v>
      </c>
      <c r="V833" s="465">
        <v>18720</v>
      </c>
      <c r="W833" s="466">
        <v>0</v>
      </c>
      <c r="X833" s="467">
        <v>1</v>
      </c>
      <c r="Y833" s="466">
        <v>33952.5</v>
      </c>
      <c r="Z833" s="468" t="s">
        <v>516</v>
      </c>
      <c r="AA833" s="466">
        <v>131319.70000000001</v>
      </c>
      <c r="AB833" s="466">
        <v>131319.70000000001</v>
      </c>
      <c r="AC833" s="467">
        <v>0</v>
      </c>
      <c r="AD833" s="466">
        <v>0</v>
      </c>
      <c r="AE833" s="468" t="s">
        <v>516</v>
      </c>
      <c r="AF833" s="466">
        <v>2000</v>
      </c>
      <c r="AG833" s="466">
        <v>2000</v>
      </c>
      <c r="AH833" s="466">
        <v>42615.7</v>
      </c>
      <c r="AI833" s="466">
        <v>51712.52</v>
      </c>
      <c r="AJ833" s="469" t="s">
        <v>1481</v>
      </c>
      <c r="AK833" s="470" t="s">
        <v>1482</v>
      </c>
      <c r="AL833" s="471" t="s">
        <v>7556</v>
      </c>
      <c r="AM833" s="470" t="s">
        <v>13684</v>
      </c>
      <c r="AN833" s="470" t="s">
        <v>13683</v>
      </c>
      <c r="AO833" s="470" t="s">
        <v>13685</v>
      </c>
      <c r="AP833" s="470" t="s">
        <v>7557</v>
      </c>
      <c r="AQ833" s="470" t="s">
        <v>7553</v>
      </c>
      <c r="AR833" s="472" t="s">
        <v>515</v>
      </c>
      <c r="AS833" s="473" t="s">
        <v>1385</v>
      </c>
      <c r="AT833" s="472" t="s">
        <v>517</v>
      </c>
      <c r="AU833" s="472" t="s">
        <v>420</v>
      </c>
      <c r="AV833" s="472">
        <v>2020</v>
      </c>
      <c r="AW833" s="474" t="s">
        <v>15078</v>
      </c>
      <c r="AX833" s="475" t="s">
        <v>15079</v>
      </c>
      <c r="AY833" s="515">
        <v>1</v>
      </c>
      <c r="AZ833" s="474" t="s">
        <v>15079</v>
      </c>
      <c r="BA833" s="472" t="s">
        <v>517</v>
      </c>
      <c r="BB833" s="472" t="s">
        <v>1385</v>
      </c>
      <c r="BC833" s="472" t="s">
        <v>1385</v>
      </c>
      <c r="BD833" s="472" t="s">
        <v>1385</v>
      </c>
      <c r="BE833" s="472" t="s">
        <v>1385</v>
      </c>
      <c r="BF833" s="472">
        <v>33952.5</v>
      </c>
      <c r="BG833" s="472">
        <v>0</v>
      </c>
      <c r="BH833" s="472" t="s">
        <v>1385</v>
      </c>
      <c r="BI833" s="510">
        <v>0</v>
      </c>
      <c r="BJ833" s="510">
        <v>0</v>
      </c>
      <c r="BK833" s="510">
        <v>0</v>
      </c>
      <c r="BL833" s="510">
        <v>3500</v>
      </c>
      <c r="BM833" s="510">
        <v>0</v>
      </c>
      <c r="BN833" s="510">
        <v>5000</v>
      </c>
      <c r="BO833" s="510">
        <v>0</v>
      </c>
      <c r="BP833" s="510">
        <v>2000</v>
      </c>
      <c r="BQ833" s="510">
        <v>0</v>
      </c>
      <c r="BR833" s="510">
        <v>0</v>
      </c>
      <c r="BS833" s="510">
        <v>0</v>
      </c>
      <c r="BT833" s="510">
        <v>0</v>
      </c>
      <c r="BU833" s="510">
        <v>2500</v>
      </c>
      <c r="BV833" s="510">
        <v>2500</v>
      </c>
      <c r="BW833" s="510">
        <v>0</v>
      </c>
      <c r="BX833" s="510">
        <v>30000</v>
      </c>
      <c r="BY833" s="1011">
        <v>0</v>
      </c>
      <c r="BZ833" s="510">
        <v>0</v>
      </c>
      <c r="CA833" s="1011">
        <v>0</v>
      </c>
      <c r="CB833" s="510">
        <v>22000</v>
      </c>
      <c r="CC833" s="1011">
        <v>0</v>
      </c>
      <c r="CD833" s="510">
        <v>0</v>
      </c>
      <c r="CE833" s="1011">
        <v>0</v>
      </c>
      <c r="CF833" s="510">
        <v>45367.199999999997</v>
      </c>
      <c r="CG833" s="1011">
        <v>0</v>
      </c>
      <c r="CH833" s="510">
        <v>0</v>
      </c>
      <c r="CI833" s="1011">
        <v>0</v>
      </c>
    </row>
    <row r="834" spans="1:87" x14ac:dyDescent="0.2">
      <c r="A834" s="449">
        <v>25</v>
      </c>
      <c r="B834" s="453">
        <v>93220</v>
      </c>
      <c r="C834" s="454" t="s">
        <v>7558</v>
      </c>
      <c r="D834" s="454" t="s">
        <v>517</v>
      </c>
      <c r="E834" s="454" t="s">
        <v>7559</v>
      </c>
      <c r="F834" s="454" t="s">
        <v>529</v>
      </c>
      <c r="G834" s="454" t="s">
        <v>13686</v>
      </c>
      <c r="H834" s="455">
        <v>52946530000120</v>
      </c>
      <c r="I834" s="462">
        <v>30608</v>
      </c>
      <c r="J834" s="457">
        <v>37523295</v>
      </c>
      <c r="K834" s="454" t="s">
        <v>7560</v>
      </c>
      <c r="L834" s="458">
        <v>835</v>
      </c>
      <c r="M834" s="454" t="s">
        <v>1545</v>
      </c>
      <c r="N834" s="459">
        <v>4446160</v>
      </c>
      <c r="O834" s="460">
        <v>56115239</v>
      </c>
      <c r="P834" s="462">
        <v>563610</v>
      </c>
      <c r="Q834" s="462">
        <v>47</v>
      </c>
      <c r="R834" s="462">
        <v>43921</v>
      </c>
      <c r="S834" s="463">
        <v>641</v>
      </c>
      <c r="T834" s="464">
        <v>5.4</v>
      </c>
      <c r="U834" s="465">
        <v>3461.4</v>
      </c>
      <c r="V834" s="465">
        <v>17100</v>
      </c>
      <c r="W834" s="466">
        <v>0</v>
      </c>
      <c r="X834" s="467">
        <v>1</v>
      </c>
      <c r="Y834" s="466">
        <v>0</v>
      </c>
      <c r="Z834" s="468" t="s">
        <v>514</v>
      </c>
      <c r="AA834" s="466">
        <v>0</v>
      </c>
      <c r="AB834" s="466">
        <v>0</v>
      </c>
      <c r="AC834" s="467">
        <v>0</v>
      </c>
      <c r="AD834" s="466">
        <v>0</v>
      </c>
      <c r="AE834" s="468" t="s">
        <v>516</v>
      </c>
      <c r="AF834" s="466">
        <v>0</v>
      </c>
      <c r="AG834" s="466">
        <v>0</v>
      </c>
      <c r="AH834" s="466">
        <v>0</v>
      </c>
      <c r="AI834" s="466">
        <v>0</v>
      </c>
      <c r="AJ834" s="469" t="s">
        <v>1481</v>
      </c>
      <c r="AK834" s="470" t="s">
        <v>1482</v>
      </c>
      <c r="AL834" s="471" t="s">
        <v>7561</v>
      </c>
      <c r="AM834" s="470" t="s">
        <v>7562</v>
      </c>
      <c r="AN834" s="470" t="s">
        <v>13686</v>
      </c>
      <c r="AO834" s="470" t="s">
        <v>7563</v>
      </c>
      <c r="AP834" s="470" t="s">
        <v>7564</v>
      </c>
      <c r="AQ834" s="470" t="s">
        <v>7558</v>
      </c>
      <c r="AR834" s="472" t="s">
        <v>515</v>
      </c>
      <c r="AS834" s="473" t="s">
        <v>1385</v>
      </c>
      <c r="AT834" s="472" t="s">
        <v>517</v>
      </c>
      <c r="AU834" s="472" t="s">
        <v>420</v>
      </c>
      <c r="AV834" s="472">
        <v>2020</v>
      </c>
      <c r="AW834" s="474" t="s">
        <v>15078</v>
      </c>
      <c r="AX834" s="475" t="s">
        <v>15079</v>
      </c>
      <c r="AY834" s="515">
        <v>1</v>
      </c>
      <c r="AZ834" s="474" t="s">
        <v>15079</v>
      </c>
      <c r="BA834" s="472" t="s">
        <v>1385</v>
      </c>
      <c r="BB834" s="472" t="s">
        <v>1385</v>
      </c>
      <c r="BC834" s="472" t="s">
        <v>1385</v>
      </c>
      <c r="BD834" s="472" t="s">
        <v>1385</v>
      </c>
      <c r="BE834" s="472" t="s">
        <v>1385</v>
      </c>
      <c r="BF834" s="472">
        <v>30842.1</v>
      </c>
      <c r="BG834" s="472">
        <v>0</v>
      </c>
      <c r="BH834" s="472" t="s">
        <v>516</v>
      </c>
      <c r="BI834" s="510">
        <v>0</v>
      </c>
      <c r="BJ834" s="510">
        <v>105.51</v>
      </c>
      <c r="BK834" s="510">
        <v>0</v>
      </c>
      <c r="BL834" s="510">
        <v>0</v>
      </c>
      <c r="BM834" s="510">
        <v>0</v>
      </c>
      <c r="BN834" s="510">
        <v>0</v>
      </c>
      <c r="BO834" s="510">
        <v>0</v>
      </c>
      <c r="BP834" s="510">
        <v>0</v>
      </c>
      <c r="BQ834" s="510">
        <v>0</v>
      </c>
      <c r="BR834" s="510">
        <v>0</v>
      </c>
      <c r="BS834" s="510">
        <v>0</v>
      </c>
      <c r="BT834" s="510">
        <v>0</v>
      </c>
      <c r="BU834" s="510">
        <v>0</v>
      </c>
      <c r="BV834" s="510">
        <v>0</v>
      </c>
      <c r="BW834" s="510">
        <v>0</v>
      </c>
      <c r="BX834" s="510">
        <v>0</v>
      </c>
      <c r="BY834" s="1011">
        <v>0</v>
      </c>
      <c r="BZ834" s="510">
        <v>0</v>
      </c>
      <c r="CA834" s="1011">
        <v>0</v>
      </c>
      <c r="CB834" s="510">
        <v>0</v>
      </c>
      <c r="CC834" s="1011">
        <v>0</v>
      </c>
      <c r="CD834" s="510">
        <v>0</v>
      </c>
      <c r="CE834" s="1011">
        <v>0</v>
      </c>
      <c r="CF834" s="510">
        <v>0</v>
      </c>
      <c r="CG834" s="1011">
        <v>0</v>
      </c>
      <c r="CH834" s="510">
        <v>0</v>
      </c>
      <c r="CI834" s="1011">
        <v>0</v>
      </c>
    </row>
    <row r="835" spans="1:87" x14ac:dyDescent="0.2">
      <c r="A835" s="449">
        <v>24</v>
      </c>
      <c r="B835" s="453">
        <v>93238</v>
      </c>
      <c r="C835" s="454" t="s">
        <v>7565</v>
      </c>
      <c r="D835" s="454" t="s">
        <v>517</v>
      </c>
      <c r="E835" s="454" t="s">
        <v>7566</v>
      </c>
      <c r="F835" s="454" t="s">
        <v>529</v>
      </c>
      <c r="G835" s="454" t="s">
        <v>13687</v>
      </c>
      <c r="H835" s="455">
        <v>55951065000104</v>
      </c>
      <c r="I835" s="462">
        <v>31600</v>
      </c>
      <c r="J835" s="457">
        <v>37523287</v>
      </c>
      <c r="K835" s="454" t="s">
        <v>7567</v>
      </c>
      <c r="L835" s="458">
        <v>112</v>
      </c>
      <c r="M835" s="454" t="s">
        <v>1545</v>
      </c>
      <c r="N835" s="459">
        <v>4458050</v>
      </c>
      <c r="O835" s="460">
        <v>56112810</v>
      </c>
      <c r="P835" s="462">
        <v>563601</v>
      </c>
      <c r="Q835" s="462">
        <v>46</v>
      </c>
      <c r="R835" s="462">
        <v>43921</v>
      </c>
      <c r="S835" s="463">
        <v>803</v>
      </c>
      <c r="T835" s="464">
        <v>5.4</v>
      </c>
      <c r="U835" s="465">
        <v>4336.2</v>
      </c>
      <c r="V835" s="465">
        <v>18720</v>
      </c>
      <c r="W835" s="466">
        <v>0</v>
      </c>
      <c r="X835" s="467">
        <v>1</v>
      </c>
      <c r="Y835" s="466">
        <v>34584.300000000003</v>
      </c>
      <c r="Z835" s="468" t="s">
        <v>516</v>
      </c>
      <c r="AA835" s="466">
        <v>132469.9</v>
      </c>
      <c r="AB835" s="466">
        <v>132469.9</v>
      </c>
      <c r="AC835" s="467">
        <v>0</v>
      </c>
      <c r="AD835" s="466">
        <v>0</v>
      </c>
      <c r="AE835" s="468" t="s">
        <v>516</v>
      </c>
      <c r="AF835" s="466">
        <v>0</v>
      </c>
      <c r="AG835" s="466">
        <v>0</v>
      </c>
      <c r="AH835" s="466">
        <v>31275.07</v>
      </c>
      <c r="AI835" s="466">
        <v>9272.9599999999991</v>
      </c>
      <c r="AJ835" s="469" t="s">
        <v>1481</v>
      </c>
      <c r="AK835" s="470" t="s">
        <v>1482</v>
      </c>
      <c r="AL835" s="471" t="s">
        <v>7568</v>
      </c>
      <c r="AM835" s="470" t="s">
        <v>7569</v>
      </c>
      <c r="AN835" s="470" t="s">
        <v>13687</v>
      </c>
      <c r="AO835" s="470" t="s">
        <v>7570</v>
      </c>
      <c r="AP835" s="470" t="s">
        <v>7571</v>
      </c>
      <c r="AQ835" s="470" t="s">
        <v>7565</v>
      </c>
      <c r="AR835" s="472" t="s">
        <v>515</v>
      </c>
      <c r="AS835" s="473" t="s">
        <v>1385</v>
      </c>
      <c r="AT835" s="472" t="s">
        <v>517</v>
      </c>
      <c r="AU835" s="472" t="s">
        <v>420</v>
      </c>
      <c r="AV835" s="472">
        <v>2020</v>
      </c>
      <c r="AW835" s="474" t="s">
        <v>15078</v>
      </c>
      <c r="AX835" s="475" t="s">
        <v>15079</v>
      </c>
      <c r="AY835" s="515">
        <v>1</v>
      </c>
      <c r="AZ835" s="474" t="s">
        <v>15079</v>
      </c>
      <c r="BA835" s="472" t="s">
        <v>517</v>
      </c>
      <c r="BB835" s="472" t="s">
        <v>1385</v>
      </c>
      <c r="BC835" s="472" t="s">
        <v>1385</v>
      </c>
      <c r="BD835" s="472" t="s">
        <v>1385</v>
      </c>
      <c r="BE835" s="472" t="s">
        <v>1385</v>
      </c>
      <c r="BF835" s="472">
        <v>34584.300000000003</v>
      </c>
      <c r="BG835" s="472">
        <v>0</v>
      </c>
      <c r="BH835" s="472" t="s">
        <v>1385</v>
      </c>
      <c r="BI835" s="510">
        <v>0</v>
      </c>
      <c r="BJ835" s="510">
        <v>0</v>
      </c>
      <c r="BK835" s="510">
        <v>0</v>
      </c>
      <c r="BL835" s="510">
        <v>3500</v>
      </c>
      <c r="BM835" s="510">
        <v>0</v>
      </c>
      <c r="BN835" s="510">
        <v>5000</v>
      </c>
      <c r="BO835" s="510">
        <v>0</v>
      </c>
      <c r="BP835" s="510">
        <v>0</v>
      </c>
      <c r="BQ835" s="510">
        <v>0</v>
      </c>
      <c r="BR835" s="510">
        <v>0</v>
      </c>
      <c r="BS835" s="510">
        <v>0</v>
      </c>
      <c r="BT835" s="510">
        <v>0</v>
      </c>
      <c r="BU835" s="510">
        <v>0</v>
      </c>
      <c r="BV835" s="510">
        <v>0</v>
      </c>
      <c r="BW835" s="510">
        <v>0</v>
      </c>
      <c r="BX835" s="510">
        <v>30000</v>
      </c>
      <c r="BY835" s="1011">
        <v>0</v>
      </c>
      <c r="BZ835" s="510">
        <v>0</v>
      </c>
      <c r="CA835" s="1011">
        <v>0</v>
      </c>
      <c r="CB835" s="510">
        <v>22000</v>
      </c>
      <c r="CC835" s="1011">
        <v>0</v>
      </c>
      <c r="CD835" s="510">
        <v>0</v>
      </c>
      <c r="CE835" s="1011">
        <v>0</v>
      </c>
      <c r="CF835" s="510">
        <v>45885.599999999999</v>
      </c>
      <c r="CG835" s="1011">
        <v>0</v>
      </c>
      <c r="CH835" s="510">
        <v>0</v>
      </c>
      <c r="CI835" s="1011">
        <v>0</v>
      </c>
    </row>
    <row r="836" spans="1:87" x14ac:dyDescent="0.2">
      <c r="A836" s="449">
        <v>44</v>
      </c>
      <c r="B836" s="453">
        <v>93246</v>
      </c>
      <c r="C836" s="454" t="s">
        <v>7572</v>
      </c>
      <c r="D836" s="454" t="s">
        <v>517</v>
      </c>
      <c r="E836" s="454" t="s">
        <v>7573</v>
      </c>
      <c r="F836" s="454" t="s">
        <v>529</v>
      </c>
      <c r="G836" s="454" t="s">
        <v>13688</v>
      </c>
      <c r="H836" s="455">
        <v>45878063000183</v>
      </c>
      <c r="I836" s="462">
        <v>29754</v>
      </c>
      <c r="J836" s="457">
        <v>37523180</v>
      </c>
      <c r="K836" s="454" t="s">
        <v>7574</v>
      </c>
      <c r="L836" s="458">
        <v>355</v>
      </c>
      <c r="M836" s="454" t="s">
        <v>1480</v>
      </c>
      <c r="N836" s="459">
        <v>4468055</v>
      </c>
      <c r="O836" s="460">
        <v>56155333</v>
      </c>
      <c r="P836" s="462">
        <v>563865</v>
      </c>
      <c r="Q836" s="462">
        <v>69</v>
      </c>
      <c r="R836" s="462">
        <v>43921</v>
      </c>
      <c r="S836" s="463">
        <v>1025</v>
      </c>
      <c r="T836" s="464">
        <v>5.4</v>
      </c>
      <c r="U836" s="465">
        <v>5535</v>
      </c>
      <c r="V836" s="465">
        <v>20340</v>
      </c>
      <c r="W836" s="466">
        <v>0</v>
      </c>
      <c r="X836" s="467">
        <v>1</v>
      </c>
      <c r="Y836" s="466">
        <v>38812.5</v>
      </c>
      <c r="Z836" s="468" t="s">
        <v>516</v>
      </c>
      <c r="AA836" s="466">
        <v>142130.5</v>
      </c>
      <c r="AB836" s="466">
        <v>142130.5</v>
      </c>
      <c r="AC836" s="467">
        <v>0</v>
      </c>
      <c r="AD836" s="466">
        <v>0</v>
      </c>
      <c r="AE836" s="468" t="s">
        <v>516</v>
      </c>
      <c r="AF836" s="466">
        <v>0</v>
      </c>
      <c r="AG836" s="466">
        <v>0</v>
      </c>
      <c r="AH836" s="466">
        <v>19855.150000000001</v>
      </c>
      <c r="AI836" s="466">
        <v>5175</v>
      </c>
      <c r="AJ836" s="469" t="s">
        <v>1481</v>
      </c>
      <c r="AK836" s="470" t="s">
        <v>1482</v>
      </c>
      <c r="AL836" s="471" t="s">
        <v>7575</v>
      </c>
      <c r="AM836" s="470" t="s">
        <v>7576</v>
      </c>
      <c r="AN836" s="470" t="s">
        <v>13688</v>
      </c>
      <c r="AO836" s="470" t="s">
        <v>7577</v>
      </c>
      <c r="AP836" s="470" t="s">
        <v>7578</v>
      </c>
      <c r="AQ836" s="470" t="s">
        <v>7572</v>
      </c>
      <c r="AR836" s="472" t="s">
        <v>515</v>
      </c>
      <c r="AS836" s="473" t="s">
        <v>1385</v>
      </c>
      <c r="AT836" s="472" t="s">
        <v>517</v>
      </c>
      <c r="AU836" s="472" t="s">
        <v>420</v>
      </c>
      <c r="AV836" s="472">
        <v>2020</v>
      </c>
      <c r="AW836" s="474" t="s">
        <v>15078</v>
      </c>
      <c r="AX836" s="475" t="s">
        <v>15079</v>
      </c>
      <c r="AY836" s="515">
        <v>1</v>
      </c>
      <c r="AZ836" s="474" t="s">
        <v>15079</v>
      </c>
      <c r="BA836" s="472" t="s">
        <v>517</v>
      </c>
      <c r="BB836" s="472" t="s">
        <v>1385</v>
      </c>
      <c r="BC836" s="472" t="s">
        <v>1385</v>
      </c>
      <c r="BD836" s="472" t="s">
        <v>1385</v>
      </c>
      <c r="BE836" s="472" t="s">
        <v>1385</v>
      </c>
      <c r="BF836" s="472">
        <v>38812.5</v>
      </c>
      <c r="BG836" s="472">
        <v>0</v>
      </c>
      <c r="BH836" s="472" t="s">
        <v>1385</v>
      </c>
      <c r="BI836" s="510">
        <v>0</v>
      </c>
      <c r="BJ836" s="510">
        <v>0</v>
      </c>
      <c r="BK836" s="510">
        <v>0</v>
      </c>
      <c r="BL836" s="510">
        <v>247</v>
      </c>
      <c r="BM836" s="510">
        <v>0</v>
      </c>
      <c r="BN836" s="510">
        <v>5000</v>
      </c>
      <c r="BO836" s="510">
        <v>0</v>
      </c>
      <c r="BP836" s="510">
        <v>0</v>
      </c>
      <c r="BQ836" s="510">
        <v>0</v>
      </c>
      <c r="BR836" s="510">
        <v>0</v>
      </c>
      <c r="BS836" s="510">
        <v>0</v>
      </c>
      <c r="BT836" s="510">
        <v>0</v>
      </c>
      <c r="BU836" s="510">
        <v>0</v>
      </c>
      <c r="BV836" s="510">
        <v>0</v>
      </c>
      <c r="BW836" s="510">
        <v>0</v>
      </c>
      <c r="BX836" s="510">
        <v>30000</v>
      </c>
      <c r="BY836" s="1011">
        <v>0</v>
      </c>
      <c r="BZ836" s="510">
        <v>0</v>
      </c>
      <c r="CA836" s="1011">
        <v>0</v>
      </c>
      <c r="CB836" s="510">
        <v>22000</v>
      </c>
      <c r="CC836" s="1011">
        <v>0</v>
      </c>
      <c r="CD836" s="510">
        <v>0</v>
      </c>
      <c r="CE836" s="1011">
        <v>0</v>
      </c>
      <c r="CF836" s="510">
        <v>51318</v>
      </c>
      <c r="CG836" s="1011">
        <v>0</v>
      </c>
      <c r="CH836" s="510">
        <v>0</v>
      </c>
      <c r="CI836" s="1011">
        <v>0</v>
      </c>
    </row>
    <row r="837" spans="1:87" x14ac:dyDescent="0.2">
      <c r="A837" s="449">
        <v>40</v>
      </c>
      <c r="B837" s="453">
        <v>93254</v>
      </c>
      <c r="C837" s="454" t="s">
        <v>7579</v>
      </c>
      <c r="D837" s="454" t="s">
        <v>517</v>
      </c>
      <c r="E837" s="454" t="s">
        <v>7580</v>
      </c>
      <c r="F837" s="454" t="s">
        <v>529</v>
      </c>
      <c r="G837" s="454" t="s">
        <v>13689</v>
      </c>
      <c r="H837" s="455">
        <v>52991650000140</v>
      </c>
      <c r="I837" s="462">
        <v>30609</v>
      </c>
      <c r="J837" s="457">
        <v>37523422</v>
      </c>
      <c r="K837" s="454" t="s">
        <v>3200</v>
      </c>
      <c r="L837" s="458">
        <v>2113</v>
      </c>
      <c r="M837" s="454" t="s">
        <v>1480</v>
      </c>
      <c r="N837" s="459">
        <v>4467000</v>
      </c>
      <c r="O837" s="460">
        <v>56117625</v>
      </c>
      <c r="P837" s="462">
        <v>563814</v>
      </c>
      <c r="Q837" s="462">
        <v>64</v>
      </c>
      <c r="R837" s="462">
        <v>43921</v>
      </c>
      <c r="S837" s="463">
        <v>1274</v>
      </c>
      <c r="T837" s="464">
        <v>5.4</v>
      </c>
      <c r="U837" s="465">
        <v>6879.6</v>
      </c>
      <c r="V837" s="465">
        <v>21960</v>
      </c>
      <c r="W837" s="466">
        <v>0</v>
      </c>
      <c r="X837" s="467">
        <v>1</v>
      </c>
      <c r="Y837" s="466">
        <v>43259.4</v>
      </c>
      <c r="Z837" s="468" t="s">
        <v>516</v>
      </c>
      <c r="AA837" s="466">
        <v>153986.20000000001</v>
      </c>
      <c r="AB837" s="466">
        <v>153986.20000000001</v>
      </c>
      <c r="AC837" s="467">
        <v>0</v>
      </c>
      <c r="AD837" s="466">
        <v>0</v>
      </c>
      <c r="AE837" s="468" t="s">
        <v>516</v>
      </c>
      <c r="AF837" s="466">
        <v>2000</v>
      </c>
      <c r="AG837" s="466">
        <v>2000</v>
      </c>
      <c r="AH837" s="466">
        <v>77692.91</v>
      </c>
      <c r="AI837" s="466">
        <v>35948.79</v>
      </c>
      <c r="AJ837" s="469" t="s">
        <v>1481</v>
      </c>
      <c r="AK837" s="470" t="s">
        <v>1482</v>
      </c>
      <c r="AL837" s="471" t="s">
        <v>7581</v>
      </c>
      <c r="AM837" s="470" t="s">
        <v>14904</v>
      </c>
      <c r="AN837" s="470" t="s">
        <v>13689</v>
      </c>
      <c r="AO837" s="470" t="s">
        <v>1385</v>
      </c>
      <c r="AP837" s="470" t="s">
        <v>7582</v>
      </c>
      <c r="AQ837" s="470" t="s">
        <v>7579</v>
      </c>
      <c r="AR837" s="472" t="s">
        <v>515</v>
      </c>
      <c r="AS837" s="473" t="s">
        <v>1385</v>
      </c>
      <c r="AT837" s="472" t="s">
        <v>517</v>
      </c>
      <c r="AU837" s="472" t="s">
        <v>420</v>
      </c>
      <c r="AV837" s="472">
        <v>2020</v>
      </c>
      <c r="AW837" s="474" t="s">
        <v>15078</v>
      </c>
      <c r="AX837" s="475" t="s">
        <v>15079</v>
      </c>
      <c r="AY837" s="515">
        <v>1</v>
      </c>
      <c r="AZ837" s="474" t="s">
        <v>15079</v>
      </c>
      <c r="BA837" s="472" t="s">
        <v>517</v>
      </c>
      <c r="BB837" s="472" t="s">
        <v>1385</v>
      </c>
      <c r="BC837" s="472" t="s">
        <v>1385</v>
      </c>
      <c r="BD837" s="472" t="s">
        <v>1385</v>
      </c>
      <c r="BE837" s="472" t="s">
        <v>1385</v>
      </c>
      <c r="BF837" s="472">
        <v>43259.4</v>
      </c>
      <c r="BG837" s="472">
        <v>0</v>
      </c>
      <c r="BH837" s="472" t="s">
        <v>1385</v>
      </c>
      <c r="BI837" s="510">
        <v>0</v>
      </c>
      <c r="BJ837" s="510">
        <v>675.35</v>
      </c>
      <c r="BK837" s="510">
        <v>0</v>
      </c>
      <c r="BL837" s="510">
        <v>3500</v>
      </c>
      <c r="BM837" s="510">
        <v>0</v>
      </c>
      <c r="BN837" s="510">
        <v>6000</v>
      </c>
      <c r="BO837" s="510">
        <v>0</v>
      </c>
      <c r="BP837" s="510">
        <v>2000</v>
      </c>
      <c r="BQ837" s="510">
        <v>0</v>
      </c>
      <c r="BR837" s="510">
        <v>0</v>
      </c>
      <c r="BS837" s="510">
        <v>0</v>
      </c>
      <c r="BT837" s="510">
        <v>0</v>
      </c>
      <c r="BU837" s="510">
        <v>2500</v>
      </c>
      <c r="BV837" s="510">
        <v>2500</v>
      </c>
      <c r="BW837" s="510">
        <v>0</v>
      </c>
      <c r="BX837" s="510">
        <v>30000</v>
      </c>
      <c r="BY837" s="1011">
        <v>0</v>
      </c>
      <c r="BZ837" s="510">
        <v>0</v>
      </c>
      <c r="CA837" s="1011">
        <v>0</v>
      </c>
      <c r="CB837" s="510">
        <v>22000</v>
      </c>
      <c r="CC837" s="1011">
        <v>0</v>
      </c>
      <c r="CD837" s="510">
        <v>0</v>
      </c>
      <c r="CE837" s="1011">
        <v>0</v>
      </c>
      <c r="CF837" s="510">
        <v>58726.8</v>
      </c>
      <c r="CG837" s="1011">
        <v>0</v>
      </c>
      <c r="CH837" s="510">
        <v>0</v>
      </c>
      <c r="CI837" s="1011">
        <v>0</v>
      </c>
    </row>
    <row r="838" spans="1:87" x14ac:dyDescent="0.2">
      <c r="A838" s="449">
        <v>37</v>
      </c>
      <c r="B838" s="453">
        <v>93262</v>
      </c>
      <c r="C838" s="454" t="s">
        <v>7583</v>
      </c>
      <c r="D838" s="454" t="s">
        <v>517</v>
      </c>
      <c r="E838" s="454" t="s">
        <v>7584</v>
      </c>
      <c r="F838" s="454" t="s">
        <v>529</v>
      </c>
      <c r="G838" s="454" t="s">
        <v>13690</v>
      </c>
      <c r="H838" s="455">
        <v>51536134000162</v>
      </c>
      <c r="I838" s="462">
        <v>29017</v>
      </c>
      <c r="J838" s="457">
        <v>37525932</v>
      </c>
      <c r="K838" s="454" t="s">
        <v>7585</v>
      </c>
      <c r="L838" s="458">
        <v>130</v>
      </c>
      <c r="M838" s="454" t="s">
        <v>1480</v>
      </c>
      <c r="N838" s="459">
        <v>4467210</v>
      </c>
      <c r="O838" s="460">
        <v>56110213</v>
      </c>
      <c r="P838" s="462">
        <v>567801</v>
      </c>
      <c r="Q838" s="462">
        <v>61</v>
      </c>
      <c r="R838" s="462">
        <v>43921</v>
      </c>
      <c r="S838" s="463">
        <v>934</v>
      </c>
      <c r="T838" s="464">
        <v>5.4</v>
      </c>
      <c r="U838" s="465">
        <v>5043.6000000000004</v>
      </c>
      <c r="V838" s="465">
        <v>20340</v>
      </c>
      <c r="W838" s="466">
        <v>0</v>
      </c>
      <c r="X838" s="467">
        <v>1</v>
      </c>
      <c r="Y838" s="466">
        <v>38075.4</v>
      </c>
      <c r="Z838" s="468" t="s">
        <v>516</v>
      </c>
      <c r="AA838" s="466">
        <v>140950.6</v>
      </c>
      <c r="AB838" s="466">
        <v>140950.6</v>
      </c>
      <c r="AC838" s="467">
        <v>0</v>
      </c>
      <c r="AD838" s="466">
        <v>0</v>
      </c>
      <c r="AE838" s="468" t="s">
        <v>516</v>
      </c>
      <c r="AF838" s="466">
        <v>2000</v>
      </c>
      <c r="AG838" s="466">
        <v>2000</v>
      </c>
      <c r="AH838" s="466">
        <v>37313.129999999997</v>
      </c>
      <c r="AI838" s="466">
        <v>18370.28</v>
      </c>
      <c r="AJ838" s="469" t="s">
        <v>1790</v>
      </c>
      <c r="AK838" s="470" t="s">
        <v>1791</v>
      </c>
      <c r="AL838" s="471" t="s">
        <v>7586</v>
      </c>
      <c r="AM838" s="470" t="s">
        <v>7587</v>
      </c>
      <c r="AN838" s="470" t="s">
        <v>13690</v>
      </c>
      <c r="AO838" s="470" t="s">
        <v>13691</v>
      </c>
      <c r="AP838" s="470" t="s">
        <v>7588</v>
      </c>
      <c r="AQ838" s="470" t="s">
        <v>7583</v>
      </c>
      <c r="AR838" s="472" t="s">
        <v>515</v>
      </c>
      <c r="AS838" s="473" t="s">
        <v>1385</v>
      </c>
      <c r="AT838" s="472" t="s">
        <v>517</v>
      </c>
      <c r="AU838" s="472" t="s">
        <v>420</v>
      </c>
      <c r="AV838" s="472">
        <v>2020</v>
      </c>
      <c r="AW838" s="474" t="s">
        <v>15078</v>
      </c>
      <c r="AX838" s="475" t="s">
        <v>15079</v>
      </c>
      <c r="AY838" s="515">
        <v>1</v>
      </c>
      <c r="AZ838" s="474" t="s">
        <v>15079</v>
      </c>
      <c r="BA838" s="472" t="s">
        <v>517</v>
      </c>
      <c r="BB838" s="472" t="s">
        <v>1385</v>
      </c>
      <c r="BC838" s="472" t="s">
        <v>1385</v>
      </c>
      <c r="BD838" s="472" t="s">
        <v>1385</v>
      </c>
      <c r="BE838" s="472" t="s">
        <v>1385</v>
      </c>
      <c r="BF838" s="472">
        <v>38075.4</v>
      </c>
      <c r="BG838" s="472">
        <v>0</v>
      </c>
      <c r="BH838" s="472" t="s">
        <v>1385</v>
      </c>
      <c r="BI838" s="510">
        <v>0</v>
      </c>
      <c r="BJ838" s="510">
        <v>0</v>
      </c>
      <c r="BK838" s="510">
        <v>0</v>
      </c>
      <c r="BL838" s="510">
        <v>0</v>
      </c>
      <c r="BM838" s="510">
        <v>0</v>
      </c>
      <c r="BN838" s="510">
        <v>5000</v>
      </c>
      <c r="BO838" s="510">
        <v>0</v>
      </c>
      <c r="BP838" s="510">
        <v>2000</v>
      </c>
      <c r="BQ838" s="510">
        <v>0</v>
      </c>
      <c r="BR838" s="510">
        <v>0</v>
      </c>
      <c r="BS838" s="510">
        <v>0</v>
      </c>
      <c r="BT838" s="510">
        <v>0</v>
      </c>
      <c r="BU838" s="510">
        <v>0</v>
      </c>
      <c r="BV838" s="510">
        <v>0</v>
      </c>
      <c r="BW838" s="510">
        <v>0</v>
      </c>
      <c r="BX838" s="510">
        <v>30000</v>
      </c>
      <c r="BY838" s="1011">
        <v>0</v>
      </c>
      <c r="BZ838" s="510">
        <v>0</v>
      </c>
      <c r="CA838" s="1011">
        <v>0</v>
      </c>
      <c r="CB838" s="510">
        <v>22000</v>
      </c>
      <c r="CC838" s="1011">
        <v>0</v>
      </c>
      <c r="CD838" s="510">
        <v>0</v>
      </c>
      <c r="CE838" s="1011">
        <v>0</v>
      </c>
      <c r="CF838" s="510">
        <v>50875.199999999997</v>
      </c>
      <c r="CG838" s="1011">
        <v>0</v>
      </c>
      <c r="CH838" s="510">
        <v>0</v>
      </c>
      <c r="CI838" s="1011">
        <v>0</v>
      </c>
    </row>
    <row r="839" spans="1:87" x14ac:dyDescent="0.2">
      <c r="A839" s="449">
        <v>52</v>
      </c>
      <c r="B839" s="453">
        <v>93271</v>
      </c>
      <c r="C839" s="454" t="s">
        <v>7589</v>
      </c>
      <c r="D839" s="454" t="s">
        <v>517</v>
      </c>
      <c r="E839" s="454" t="s">
        <v>7590</v>
      </c>
      <c r="F839" s="454" t="s">
        <v>529</v>
      </c>
      <c r="G839" s="454" t="s">
        <v>13692</v>
      </c>
      <c r="H839" s="455">
        <v>52626900000142</v>
      </c>
      <c r="I839" s="462">
        <v>30456</v>
      </c>
      <c r="J839" s="457">
        <v>37522850</v>
      </c>
      <c r="K839" s="454" t="s">
        <v>7591</v>
      </c>
      <c r="L839" s="458">
        <v>602</v>
      </c>
      <c r="M839" s="454" t="s">
        <v>1789</v>
      </c>
      <c r="N839" s="459">
        <v>4404000</v>
      </c>
      <c r="O839" s="460">
        <v>55620597</v>
      </c>
      <c r="P839" s="462">
        <v>563962</v>
      </c>
      <c r="Q839" s="462">
        <v>77</v>
      </c>
      <c r="R839" s="462">
        <v>43921</v>
      </c>
      <c r="S839" s="463">
        <v>958</v>
      </c>
      <c r="T839" s="464">
        <v>5.4</v>
      </c>
      <c r="U839" s="465">
        <v>5173.2</v>
      </c>
      <c r="V839" s="465">
        <v>20340</v>
      </c>
      <c r="W839" s="466">
        <v>0</v>
      </c>
      <c r="X839" s="467">
        <v>1</v>
      </c>
      <c r="Y839" s="466">
        <v>0</v>
      </c>
      <c r="Z839" s="468" t="s">
        <v>514</v>
      </c>
      <c r="AA839" s="466">
        <v>0</v>
      </c>
      <c r="AB839" s="466">
        <v>0</v>
      </c>
      <c r="AC839" s="467">
        <v>0</v>
      </c>
      <c r="AD839" s="466">
        <v>0</v>
      </c>
      <c r="AE839" s="468" t="s">
        <v>514</v>
      </c>
      <c r="AF839" s="466">
        <v>0</v>
      </c>
      <c r="AG839" s="466">
        <v>0</v>
      </c>
      <c r="AH839" s="466">
        <v>0.63</v>
      </c>
      <c r="AI839" s="466">
        <v>0</v>
      </c>
      <c r="AJ839" s="469" t="s">
        <v>1790</v>
      </c>
      <c r="AK839" s="470" t="s">
        <v>1791</v>
      </c>
      <c r="AL839" s="471" t="s">
        <v>7592</v>
      </c>
      <c r="AM839" s="470" t="s">
        <v>7593</v>
      </c>
      <c r="AN839" s="470" t="s">
        <v>13692</v>
      </c>
      <c r="AO839" s="470" t="s">
        <v>13693</v>
      </c>
      <c r="AP839" s="470" t="s">
        <v>7594</v>
      </c>
      <c r="AQ839" s="470" t="s">
        <v>7589</v>
      </c>
      <c r="AR839" s="472" t="s">
        <v>515</v>
      </c>
      <c r="AS839" s="473" t="s">
        <v>1385</v>
      </c>
      <c r="AT839" s="472" t="s">
        <v>517</v>
      </c>
      <c r="AU839" s="472" t="s">
        <v>420</v>
      </c>
      <c r="AV839" s="472">
        <v>2020</v>
      </c>
      <c r="AW839" s="474" t="s">
        <v>15078</v>
      </c>
      <c r="AX839" s="475" t="s">
        <v>15079</v>
      </c>
      <c r="AY839" s="515">
        <v>1</v>
      </c>
      <c r="AZ839" s="474" t="s">
        <v>15079</v>
      </c>
      <c r="BA839" s="472" t="s">
        <v>1385</v>
      </c>
      <c r="BB839" s="472" t="s">
        <v>516</v>
      </c>
      <c r="BC839" s="472">
        <v>2</v>
      </c>
      <c r="BD839" s="472">
        <v>4068</v>
      </c>
      <c r="BE839" s="472">
        <v>0</v>
      </c>
      <c r="BF839" s="472">
        <v>44371.8</v>
      </c>
      <c r="BG839" s="472">
        <v>0</v>
      </c>
      <c r="BH839" s="472" t="s">
        <v>516</v>
      </c>
      <c r="BI839" s="510">
        <v>0</v>
      </c>
      <c r="BJ839" s="510">
        <v>0</v>
      </c>
      <c r="BK839" s="510">
        <v>0</v>
      </c>
      <c r="BL839" s="510">
        <v>0</v>
      </c>
      <c r="BM839" s="510">
        <v>0</v>
      </c>
      <c r="BN839" s="510">
        <v>0</v>
      </c>
      <c r="BO839" s="510">
        <v>400</v>
      </c>
      <c r="BP839" s="510">
        <v>1600</v>
      </c>
      <c r="BQ839" s="510">
        <v>0</v>
      </c>
      <c r="BR839" s="510">
        <v>0</v>
      </c>
      <c r="BS839" s="510">
        <v>0</v>
      </c>
      <c r="BT839" s="510">
        <v>0</v>
      </c>
      <c r="BU839" s="510">
        <v>0</v>
      </c>
      <c r="BV839" s="510">
        <v>0</v>
      </c>
      <c r="BW839" s="510">
        <v>0</v>
      </c>
      <c r="BX839" s="510">
        <v>0</v>
      </c>
      <c r="BY839" s="1011">
        <v>0</v>
      </c>
      <c r="BZ839" s="510">
        <v>0</v>
      </c>
      <c r="CA839" s="1011">
        <v>0</v>
      </c>
      <c r="CB839" s="510">
        <v>0</v>
      </c>
      <c r="CC839" s="1011">
        <v>0</v>
      </c>
      <c r="CD839" s="510">
        <v>0</v>
      </c>
      <c r="CE839" s="1011">
        <v>0</v>
      </c>
      <c r="CF839" s="510">
        <v>0</v>
      </c>
      <c r="CG839" s="1011">
        <v>0</v>
      </c>
      <c r="CH839" s="510">
        <v>0</v>
      </c>
      <c r="CI839" s="1011">
        <v>0</v>
      </c>
    </row>
    <row r="840" spans="1:87" x14ac:dyDescent="0.2">
      <c r="A840" s="449">
        <v>49</v>
      </c>
      <c r="B840" s="453">
        <v>93289</v>
      </c>
      <c r="C840" s="454" t="s">
        <v>7595</v>
      </c>
      <c r="D840" s="454" t="s">
        <v>517</v>
      </c>
      <c r="E840" s="454" t="s">
        <v>7596</v>
      </c>
      <c r="F840" s="454" t="s">
        <v>529</v>
      </c>
      <c r="G840" s="454" t="s">
        <v>13694</v>
      </c>
      <c r="H840" s="455">
        <v>51168219000135</v>
      </c>
      <c r="I840" s="462">
        <v>28920</v>
      </c>
      <c r="J840" s="457">
        <v>37522760</v>
      </c>
      <c r="K840" s="454" t="s">
        <v>7597</v>
      </c>
      <c r="L840" s="458">
        <v>441</v>
      </c>
      <c r="M840" s="454" t="s">
        <v>1545</v>
      </c>
      <c r="N840" s="459">
        <v>4437000</v>
      </c>
      <c r="O840" s="460">
        <v>56310733</v>
      </c>
      <c r="P840" s="462">
        <v>563938</v>
      </c>
      <c r="Q840" s="462">
        <v>74</v>
      </c>
      <c r="R840" s="462">
        <v>43921</v>
      </c>
      <c r="S840" s="463">
        <v>842</v>
      </c>
      <c r="T840" s="464">
        <v>5.4</v>
      </c>
      <c r="U840" s="465">
        <v>4546.8</v>
      </c>
      <c r="V840" s="465">
        <v>18720</v>
      </c>
      <c r="W840" s="466">
        <v>0</v>
      </c>
      <c r="X840" s="467">
        <v>1</v>
      </c>
      <c r="Y840" s="466">
        <v>34900.199999999997</v>
      </c>
      <c r="Z840" s="468" t="s">
        <v>516</v>
      </c>
      <c r="AA840" s="466">
        <v>132753.4</v>
      </c>
      <c r="AB840" s="466">
        <v>132753.4</v>
      </c>
      <c r="AC840" s="467">
        <v>0</v>
      </c>
      <c r="AD840" s="466">
        <v>0</v>
      </c>
      <c r="AE840" s="468" t="s">
        <v>516</v>
      </c>
      <c r="AF840" s="466">
        <v>0</v>
      </c>
      <c r="AG840" s="466">
        <v>0</v>
      </c>
      <c r="AH840" s="466">
        <v>18613.439999999999</v>
      </c>
      <c r="AI840" s="466">
        <v>27805.09</v>
      </c>
      <c r="AJ840" s="469" t="s">
        <v>1790</v>
      </c>
      <c r="AK840" s="470" t="s">
        <v>1791</v>
      </c>
      <c r="AL840" s="471" t="s">
        <v>7598</v>
      </c>
      <c r="AM840" s="470" t="s">
        <v>7599</v>
      </c>
      <c r="AN840" s="470" t="s">
        <v>13694</v>
      </c>
      <c r="AO840" s="470" t="s">
        <v>7600</v>
      </c>
      <c r="AP840" s="470" t="s">
        <v>7601</v>
      </c>
      <c r="AQ840" s="470" t="s">
        <v>7595</v>
      </c>
      <c r="AR840" s="472" t="s">
        <v>515</v>
      </c>
      <c r="AS840" s="473" t="s">
        <v>1385</v>
      </c>
      <c r="AT840" s="472" t="s">
        <v>517</v>
      </c>
      <c r="AU840" s="472" t="s">
        <v>420</v>
      </c>
      <c r="AV840" s="472">
        <v>2020</v>
      </c>
      <c r="AW840" s="474" t="s">
        <v>15078</v>
      </c>
      <c r="AX840" s="475" t="s">
        <v>15079</v>
      </c>
      <c r="AY840" s="515">
        <v>1</v>
      </c>
      <c r="AZ840" s="474" t="s">
        <v>15079</v>
      </c>
      <c r="BA840" s="472" t="s">
        <v>517</v>
      </c>
      <c r="BB840" s="472" t="s">
        <v>1385</v>
      </c>
      <c r="BC840" s="472" t="s">
        <v>1385</v>
      </c>
      <c r="BD840" s="472" t="s">
        <v>1385</v>
      </c>
      <c r="BE840" s="472" t="s">
        <v>1385</v>
      </c>
      <c r="BF840" s="472">
        <v>34900.199999999997</v>
      </c>
      <c r="BG840" s="472">
        <v>0</v>
      </c>
      <c r="BH840" s="472" t="s">
        <v>1385</v>
      </c>
      <c r="BI840" s="510">
        <v>0</v>
      </c>
      <c r="BJ840" s="510">
        <v>0</v>
      </c>
      <c r="BK840" s="510">
        <v>0</v>
      </c>
      <c r="BL840" s="510">
        <v>2532.23</v>
      </c>
      <c r="BM840" s="510">
        <v>0</v>
      </c>
      <c r="BN840" s="510">
        <v>5000</v>
      </c>
      <c r="BO840" s="510">
        <v>0</v>
      </c>
      <c r="BP840" s="510">
        <v>0</v>
      </c>
      <c r="BQ840" s="510">
        <v>0</v>
      </c>
      <c r="BR840" s="510">
        <v>0</v>
      </c>
      <c r="BS840" s="510">
        <v>0</v>
      </c>
      <c r="BT840" s="510">
        <v>0</v>
      </c>
      <c r="BU840" s="510">
        <v>0</v>
      </c>
      <c r="BV840" s="510">
        <v>0</v>
      </c>
      <c r="BW840" s="510">
        <v>0</v>
      </c>
      <c r="BX840" s="510">
        <v>30000</v>
      </c>
      <c r="BY840" s="1011">
        <v>0</v>
      </c>
      <c r="BZ840" s="510">
        <v>0</v>
      </c>
      <c r="CA840" s="1011">
        <v>0</v>
      </c>
      <c r="CB840" s="510">
        <v>22000</v>
      </c>
      <c r="CC840" s="1011">
        <v>0</v>
      </c>
      <c r="CD840" s="510">
        <v>0</v>
      </c>
      <c r="CE840" s="1011">
        <v>0</v>
      </c>
      <c r="CF840" s="510">
        <v>45853.2</v>
      </c>
      <c r="CG840" s="1011">
        <v>0</v>
      </c>
      <c r="CH840" s="510">
        <v>0</v>
      </c>
      <c r="CI840" s="1011">
        <v>0</v>
      </c>
    </row>
    <row r="841" spans="1:87" x14ac:dyDescent="0.2">
      <c r="A841" s="449">
        <v>56</v>
      </c>
      <c r="B841" s="453">
        <v>93297</v>
      </c>
      <c r="C841" s="454" t="s">
        <v>7602</v>
      </c>
      <c r="D841" s="454" t="s">
        <v>517</v>
      </c>
      <c r="E841" s="454" t="s">
        <v>7603</v>
      </c>
      <c r="F841" s="454" t="s">
        <v>521</v>
      </c>
      <c r="G841" s="454" t="s">
        <v>13695</v>
      </c>
      <c r="H841" s="455">
        <v>51157113000136</v>
      </c>
      <c r="I841" s="462">
        <v>28895</v>
      </c>
      <c r="J841" s="457">
        <v>37550357</v>
      </c>
      <c r="K841" s="454" t="s">
        <v>7604</v>
      </c>
      <c r="L841" s="458">
        <v>78</v>
      </c>
      <c r="M841" s="454" t="s">
        <v>1989</v>
      </c>
      <c r="N841" s="459">
        <v>4782080</v>
      </c>
      <c r="O841" s="460">
        <v>56675628</v>
      </c>
      <c r="P841" s="462">
        <v>97228</v>
      </c>
      <c r="Q841" s="462">
        <v>58</v>
      </c>
      <c r="R841" s="462">
        <v>43934</v>
      </c>
      <c r="S841" s="463">
        <v>589</v>
      </c>
      <c r="T841" s="464">
        <v>5.4</v>
      </c>
      <c r="U841" s="465">
        <v>3180.6</v>
      </c>
      <c r="V841" s="465">
        <v>17100</v>
      </c>
      <c r="W841" s="466">
        <v>0</v>
      </c>
      <c r="X841" s="467">
        <v>1</v>
      </c>
      <c r="Y841" s="466">
        <v>30420.9</v>
      </c>
      <c r="Z841" s="468" t="s">
        <v>516</v>
      </c>
      <c r="AA841" s="466">
        <v>123338.9</v>
      </c>
      <c r="AB841" s="466">
        <v>123338.9</v>
      </c>
      <c r="AC841" s="467">
        <v>0</v>
      </c>
      <c r="AD841" s="466">
        <v>0</v>
      </c>
      <c r="AE841" s="468" t="s">
        <v>516</v>
      </c>
      <c r="AF841" s="466">
        <v>1600</v>
      </c>
      <c r="AG841" s="466">
        <v>1600</v>
      </c>
      <c r="AH841" s="466">
        <v>43228.08</v>
      </c>
      <c r="AI841" s="466">
        <v>4056.54</v>
      </c>
      <c r="AJ841" s="469" t="s">
        <v>1657</v>
      </c>
      <c r="AK841" s="470" t="s">
        <v>1625</v>
      </c>
      <c r="AL841" s="471" t="s">
        <v>7605</v>
      </c>
      <c r="AM841" s="470" t="s">
        <v>7606</v>
      </c>
      <c r="AN841" s="470" t="s">
        <v>1385</v>
      </c>
      <c r="AO841" s="470" t="s">
        <v>13696</v>
      </c>
      <c r="AP841" s="470" t="s">
        <v>7607</v>
      </c>
      <c r="AQ841" s="470" t="s">
        <v>7602</v>
      </c>
      <c r="AR841" s="472" t="s">
        <v>515</v>
      </c>
      <c r="AS841" s="473" t="s">
        <v>1385</v>
      </c>
      <c r="AT841" s="472" t="s">
        <v>517</v>
      </c>
      <c r="AU841" s="472" t="s">
        <v>420</v>
      </c>
      <c r="AV841" s="472">
        <v>2020</v>
      </c>
      <c r="AW841" s="474" t="s">
        <v>15078</v>
      </c>
      <c r="AX841" s="475" t="s">
        <v>15079</v>
      </c>
      <c r="AY841" s="515">
        <v>1</v>
      </c>
      <c r="AZ841" s="474" t="s">
        <v>15079</v>
      </c>
      <c r="BA841" s="472" t="s">
        <v>517</v>
      </c>
      <c r="BB841" s="472" t="s">
        <v>1385</v>
      </c>
      <c r="BC841" s="472" t="s">
        <v>1385</v>
      </c>
      <c r="BD841" s="472" t="s">
        <v>1385</v>
      </c>
      <c r="BE841" s="472" t="s">
        <v>1385</v>
      </c>
      <c r="BF841" s="472">
        <v>30420.9</v>
      </c>
      <c r="BG841" s="472">
        <v>0</v>
      </c>
      <c r="BH841" s="472" t="s">
        <v>1385</v>
      </c>
      <c r="BI841" s="510">
        <v>0</v>
      </c>
      <c r="BJ841" s="510">
        <v>0</v>
      </c>
      <c r="BK841" s="510">
        <v>0</v>
      </c>
      <c r="BL841" s="510">
        <v>1861.5</v>
      </c>
      <c r="BM841" s="510">
        <v>0</v>
      </c>
      <c r="BN841" s="510">
        <v>3500</v>
      </c>
      <c r="BO841" s="510">
        <v>400</v>
      </c>
      <c r="BP841" s="510">
        <v>1600</v>
      </c>
      <c r="BQ841" s="510">
        <v>0</v>
      </c>
      <c r="BR841" s="510">
        <v>0</v>
      </c>
      <c r="BS841" s="510">
        <v>0</v>
      </c>
      <c r="BT841" s="510">
        <v>0</v>
      </c>
      <c r="BU841" s="510">
        <v>0</v>
      </c>
      <c r="BV841" s="510">
        <v>0</v>
      </c>
      <c r="BW841" s="510">
        <v>0</v>
      </c>
      <c r="BX841" s="510">
        <v>30000</v>
      </c>
      <c r="BY841" s="1011">
        <v>0</v>
      </c>
      <c r="BZ841" s="510">
        <v>0</v>
      </c>
      <c r="CA841" s="1011">
        <v>0</v>
      </c>
      <c r="CB841" s="510">
        <v>22000</v>
      </c>
      <c r="CC841" s="1011">
        <v>0</v>
      </c>
      <c r="CD841" s="510">
        <v>0</v>
      </c>
      <c r="CE841" s="1011">
        <v>0</v>
      </c>
      <c r="CF841" s="510">
        <v>40518</v>
      </c>
      <c r="CG841" s="1011">
        <v>0</v>
      </c>
      <c r="CH841" s="510">
        <v>0</v>
      </c>
      <c r="CI841" s="1011">
        <v>0</v>
      </c>
    </row>
    <row r="842" spans="1:87" x14ac:dyDescent="0.2">
      <c r="A842" s="449">
        <v>42</v>
      </c>
      <c r="B842" s="453">
        <v>93301</v>
      </c>
      <c r="C842" s="454" t="s">
        <v>7608</v>
      </c>
      <c r="D842" s="454" t="s">
        <v>517</v>
      </c>
      <c r="E842" s="454" t="s">
        <v>7609</v>
      </c>
      <c r="F842" s="454" t="s">
        <v>521</v>
      </c>
      <c r="G842" s="454" t="s">
        <v>13697</v>
      </c>
      <c r="H842" s="455">
        <v>51560175000194</v>
      </c>
      <c r="I842" s="462">
        <v>29046</v>
      </c>
      <c r="J842" s="457">
        <v>37588800</v>
      </c>
      <c r="K842" s="454" t="s">
        <v>5707</v>
      </c>
      <c r="L842" s="458">
        <v>140</v>
      </c>
      <c r="M842" s="454" t="s">
        <v>5708</v>
      </c>
      <c r="N842" s="459">
        <v>4773170</v>
      </c>
      <c r="O842" s="460">
        <v>56876384</v>
      </c>
      <c r="P842" s="462">
        <v>100938</v>
      </c>
      <c r="Q842" s="462">
        <v>53</v>
      </c>
      <c r="R842" s="462">
        <v>43934</v>
      </c>
      <c r="S842" s="463">
        <v>726</v>
      </c>
      <c r="T842" s="464">
        <v>5.4</v>
      </c>
      <c r="U842" s="465">
        <v>3920.4</v>
      </c>
      <c r="V842" s="465">
        <v>18720</v>
      </c>
      <c r="W842" s="466">
        <v>0</v>
      </c>
      <c r="X842" s="467">
        <v>1</v>
      </c>
      <c r="Y842" s="466">
        <v>33960.6</v>
      </c>
      <c r="Z842" s="468" t="s">
        <v>516</v>
      </c>
      <c r="AA842" s="466">
        <v>131317</v>
      </c>
      <c r="AB842" s="466">
        <v>131317</v>
      </c>
      <c r="AC842" s="467">
        <v>0</v>
      </c>
      <c r="AD842" s="466">
        <v>0</v>
      </c>
      <c r="AE842" s="468" t="s">
        <v>516</v>
      </c>
      <c r="AF842" s="466">
        <v>2000</v>
      </c>
      <c r="AG842" s="466">
        <v>2000</v>
      </c>
      <c r="AH842" s="466">
        <v>27601.93</v>
      </c>
      <c r="AI842" s="466">
        <v>0</v>
      </c>
      <c r="AJ842" s="469" t="s">
        <v>1657</v>
      </c>
      <c r="AK842" s="470" t="s">
        <v>3495</v>
      </c>
      <c r="AL842" s="471" t="s">
        <v>7610</v>
      </c>
      <c r="AM842" s="470" t="s">
        <v>7611</v>
      </c>
      <c r="AN842" s="470" t="s">
        <v>1385</v>
      </c>
      <c r="AO842" s="470" t="s">
        <v>13698</v>
      </c>
      <c r="AP842" s="470" t="s">
        <v>7612</v>
      </c>
      <c r="AQ842" s="470" t="s">
        <v>7608</v>
      </c>
      <c r="AR842" s="472" t="s">
        <v>515</v>
      </c>
      <c r="AS842" s="473" t="s">
        <v>1385</v>
      </c>
      <c r="AT842" s="472" t="s">
        <v>517</v>
      </c>
      <c r="AU842" s="472" t="s">
        <v>420</v>
      </c>
      <c r="AV842" s="472">
        <v>2020</v>
      </c>
      <c r="AW842" s="474" t="s">
        <v>15078</v>
      </c>
      <c r="AX842" s="475" t="s">
        <v>15079</v>
      </c>
      <c r="AY842" s="515">
        <v>1</v>
      </c>
      <c r="AZ842" s="474" t="s">
        <v>15079</v>
      </c>
      <c r="BA842" s="472" t="s">
        <v>517</v>
      </c>
      <c r="BB842" s="472" t="s">
        <v>1385</v>
      </c>
      <c r="BC842" s="472" t="s">
        <v>1385</v>
      </c>
      <c r="BD842" s="472" t="s">
        <v>1385</v>
      </c>
      <c r="BE842" s="472" t="s">
        <v>1385</v>
      </c>
      <c r="BF842" s="472">
        <v>33960.6</v>
      </c>
      <c r="BG842" s="472">
        <v>0</v>
      </c>
      <c r="BH842" s="472" t="s">
        <v>1385</v>
      </c>
      <c r="BI842" s="510">
        <v>0</v>
      </c>
      <c r="BJ842" s="510">
        <v>2028.83</v>
      </c>
      <c r="BK842" s="510">
        <v>0</v>
      </c>
      <c r="BL842" s="510">
        <v>3500</v>
      </c>
      <c r="BM842" s="510">
        <v>0</v>
      </c>
      <c r="BN842" s="510">
        <v>0</v>
      </c>
      <c r="BO842" s="510">
        <v>0</v>
      </c>
      <c r="BP842" s="510">
        <v>2000</v>
      </c>
      <c r="BQ842" s="510">
        <v>0</v>
      </c>
      <c r="BR842" s="510">
        <v>0</v>
      </c>
      <c r="BS842" s="510">
        <v>0</v>
      </c>
      <c r="BT842" s="510">
        <v>0</v>
      </c>
      <c r="BU842" s="510">
        <v>0</v>
      </c>
      <c r="BV842" s="510">
        <v>0</v>
      </c>
      <c r="BW842" s="510">
        <v>0</v>
      </c>
      <c r="BX842" s="510">
        <v>30000</v>
      </c>
      <c r="BY842" s="1011">
        <v>0</v>
      </c>
      <c r="BZ842" s="510">
        <v>0</v>
      </c>
      <c r="CA842" s="1011">
        <v>0</v>
      </c>
      <c r="CB842" s="510">
        <v>22000</v>
      </c>
      <c r="CC842" s="1011">
        <v>0</v>
      </c>
      <c r="CD842" s="510">
        <v>0</v>
      </c>
      <c r="CE842" s="1011">
        <v>0</v>
      </c>
      <c r="CF842" s="510">
        <v>45356.4</v>
      </c>
      <c r="CG842" s="1011">
        <v>0</v>
      </c>
      <c r="CH842" s="510">
        <v>0</v>
      </c>
      <c r="CI842" s="1011">
        <v>0</v>
      </c>
    </row>
    <row r="843" spans="1:87" x14ac:dyDescent="0.2">
      <c r="A843" s="449">
        <v>35</v>
      </c>
      <c r="B843" s="453">
        <v>93319</v>
      </c>
      <c r="C843" s="454" t="s">
        <v>7613</v>
      </c>
      <c r="D843" s="454" t="s">
        <v>517</v>
      </c>
      <c r="E843" s="454" t="s">
        <v>7614</v>
      </c>
      <c r="F843" s="454" t="s">
        <v>521</v>
      </c>
      <c r="G843" s="454" t="s">
        <v>13699</v>
      </c>
      <c r="H843" s="455">
        <v>51183093000178</v>
      </c>
      <c r="I843" s="462">
        <v>28935</v>
      </c>
      <c r="J843" s="457">
        <v>37549847</v>
      </c>
      <c r="K843" s="454" t="s">
        <v>7615</v>
      </c>
      <c r="L843" s="458">
        <v>238</v>
      </c>
      <c r="M843" s="454" t="s">
        <v>5650</v>
      </c>
      <c r="N843" s="459">
        <v>4766050</v>
      </c>
      <c r="O843" s="460">
        <v>55481138</v>
      </c>
      <c r="P843" s="462">
        <v>88539</v>
      </c>
      <c r="Q843" s="462">
        <v>57</v>
      </c>
      <c r="R843" s="462">
        <v>43934</v>
      </c>
      <c r="S843" s="463">
        <v>480</v>
      </c>
      <c r="T843" s="464">
        <v>5.4</v>
      </c>
      <c r="U843" s="465">
        <v>2592</v>
      </c>
      <c r="V843" s="465">
        <v>15480</v>
      </c>
      <c r="W843" s="466">
        <v>0</v>
      </c>
      <c r="X843" s="467">
        <v>1</v>
      </c>
      <c r="Y843" s="466">
        <v>27108</v>
      </c>
      <c r="Z843" s="468" t="s">
        <v>516</v>
      </c>
      <c r="AA843" s="466">
        <v>118718.8</v>
      </c>
      <c r="AB843" s="466">
        <v>118718.8</v>
      </c>
      <c r="AC843" s="467">
        <v>0</v>
      </c>
      <c r="AD843" s="466">
        <v>0</v>
      </c>
      <c r="AE843" s="468" t="s">
        <v>516</v>
      </c>
      <c r="AF843" s="466">
        <v>0</v>
      </c>
      <c r="AG843" s="466">
        <v>0</v>
      </c>
      <c r="AH843" s="466">
        <v>30705.52</v>
      </c>
      <c r="AI843" s="466">
        <v>3769.83</v>
      </c>
      <c r="AJ843" s="469" t="s">
        <v>1657</v>
      </c>
      <c r="AK843" s="470" t="s">
        <v>3495</v>
      </c>
      <c r="AL843" s="471" t="s">
        <v>7616</v>
      </c>
      <c r="AM843" s="470" t="s">
        <v>7617</v>
      </c>
      <c r="AN843" s="470" t="s">
        <v>1385</v>
      </c>
      <c r="AO843" s="470" t="s">
        <v>7618</v>
      </c>
      <c r="AP843" s="470" t="s">
        <v>7619</v>
      </c>
      <c r="AQ843" s="470" t="s">
        <v>7613</v>
      </c>
      <c r="AR843" s="472" t="s">
        <v>515</v>
      </c>
      <c r="AS843" s="473" t="s">
        <v>1385</v>
      </c>
      <c r="AT843" s="472" t="s">
        <v>517</v>
      </c>
      <c r="AU843" s="472" t="s">
        <v>420</v>
      </c>
      <c r="AV843" s="472">
        <v>2020</v>
      </c>
      <c r="AW843" s="474" t="s">
        <v>15078</v>
      </c>
      <c r="AX843" s="475" t="s">
        <v>15079</v>
      </c>
      <c r="AY843" s="515">
        <v>1</v>
      </c>
      <c r="AZ843" s="474" t="s">
        <v>15079</v>
      </c>
      <c r="BA843" s="472" t="s">
        <v>517</v>
      </c>
      <c r="BB843" s="472" t="s">
        <v>1385</v>
      </c>
      <c r="BC843" s="472" t="s">
        <v>1385</v>
      </c>
      <c r="BD843" s="472" t="s">
        <v>1385</v>
      </c>
      <c r="BE843" s="472" t="s">
        <v>1385</v>
      </c>
      <c r="BF843" s="472">
        <v>27108</v>
      </c>
      <c r="BG843" s="472">
        <v>0</v>
      </c>
      <c r="BH843" s="472" t="s">
        <v>1385</v>
      </c>
      <c r="BI843" s="510">
        <v>0</v>
      </c>
      <c r="BJ843" s="510">
        <v>1724.8</v>
      </c>
      <c r="BK843" s="510">
        <v>0</v>
      </c>
      <c r="BL843" s="510">
        <v>294.89999999999998</v>
      </c>
      <c r="BM843" s="510">
        <v>0</v>
      </c>
      <c r="BN843" s="510">
        <v>3500</v>
      </c>
      <c r="BO843" s="510">
        <v>0</v>
      </c>
      <c r="BP843" s="510">
        <v>0</v>
      </c>
      <c r="BQ843" s="510">
        <v>0</v>
      </c>
      <c r="BR843" s="510">
        <v>0</v>
      </c>
      <c r="BS843" s="510">
        <v>0</v>
      </c>
      <c r="BT843" s="510">
        <v>0</v>
      </c>
      <c r="BU843" s="510">
        <v>2500</v>
      </c>
      <c r="BV843" s="510">
        <v>2500</v>
      </c>
      <c r="BW843" s="510">
        <v>0</v>
      </c>
      <c r="BX843" s="510">
        <v>30000</v>
      </c>
      <c r="BY843" s="1011">
        <v>0</v>
      </c>
      <c r="BZ843" s="510">
        <v>0</v>
      </c>
      <c r="CA843" s="1011">
        <v>0</v>
      </c>
      <c r="CB843" s="510">
        <v>22000</v>
      </c>
      <c r="CC843" s="1011">
        <v>0</v>
      </c>
      <c r="CD843" s="510">
        <v>0</v>
      </c>
      <c r="CE843" s="1011">
        <v>0</v>
      </c>
      <c r="CF843" s="510">
        <v>39610.800000000003</v>
      </c>
      <c r="CG843" s="1011">
        <v>0</v>
      </c>
      <c r="CH843" s="510">
        <v>0</v>
      </c>
      <c r="CI843" s="1011">
        <v>0</v>
      </c>
    </row>
    <row r="844" spans="1:87" x14ac:dyDescent="0.2">
      <c r="A844" s="449">
        <v>33</v>
      </c>
      <c r="B844" s="453">
        <v>93327</v>
      </c>
      <c r="C844" s="454" t="s">
        <v>7620</v>
      </c>
      <c r="D844" s="454" t="s">
        <v>517</v>
      </c>
      <c r="E844" s="454" t="s">
        <v>7621</v>
      </c>
      <c r="F844" s="454" t="s">
        <v>521</v>
      </c>
      <c r="G844" s="454" t="s">
        <v>13700</v>
      </c>
      <c r="H844" s="455">
        <v>51767549000147</v>
      </c>
      <c r="I844" s="462">
        <v>29187</v>
      </c>
      <c r="J844" s="457">
        <v>37549855</v>
      </c>
      <c r="K844" s="454" t="s">
        <v>7622</v>
      </c>
      <c r="L844" s="458">
        <v>39</v>
      </c>
      <c r="M844" s="454" t="s">
        <v>7623</v>
      </c>
      <c r="N844" s="459">
        <v>4827250</v>
      </c>
      <c r="O844" s="460">
        <v>56679313</v>
      </c>
      <c r="P844" s="462">
        <v>75259</v>
      </c>
      <c r="Q844" s="462">
        <v>46</v>
      </c>
      <c r="R844" s="462">
        <v>43934</v>
      </c>
      <c r="S844" s="463">
        <v>769</v>
      </c>
      <c r="T844" s="464">
        <v>5.4</v>
      </c>
      <c r="U844" s="465">
        <v>4152.6000000000004</v>
      </c>
      <c r="V844" s="465">
        <v>18720</v>
      </c>
      <c r="W844" s="466">
        <v>0</v>
      </c>
      <c r="X844" s="467">
        <v>1</v>
      </c>
      <c r="Y844" s="466">
        <v>34308.9</v>
      </c>
      <c r="Z844" s="468" t="s">
        <v>516</v>
      </c>
      <c r="AA844" s="466">
        <v>132248.9</v>
      </c>
      <c r="AB844" s="466">
        <v>132248.9</v>
      </c>
      <c r="AC844" s="467">
        <v>0</v>
      </c>
      <c r="AD844" s="466">
        <v>0</v>
      </c>
      <c r="AE844" s="468" t="s">
        <v>516</v>
      </c>
      <c r="AF844" s="466">
        <v>1600</v>
      </c>
      <c r="AG844" s="466">
        <v>1600</v>
      </c>
      <c r="AH844" s="466">
        <v>49532.9</v>
      </c>
      <c r="AI844" s="466">
        <v>7638.67</v>
      </c>
      <c r="AJ844" s="469" t="s">
        <v>1624</v>
      </c>
      <c r="AK844" s="470" t="s">
        <v>1625</v>
      </c>
      <c r="AL844" s="471" t="s">
        <v>7624</v>
      </c>
      <c r="AM844" s="470" t="s">
        <v>7625</v>
      </c>
      <c r="AN844" s="470" t="s">
        <v>1385</v>
      </c>
      <c r="AO844" s="470" t="s">
        <v>13701</v>
      </c>
      <c r="AP844" s="470" t="s">
        <v>7626</v>
      </c>
      <c r="AQ844" s="470" t="s">
        <v>7620</v>
      </c>
      <c r="AR844" s="472" t="s">
        <v>515</v>
      </c>
      <c r="AS844" s="473" t="s">
        <v>1385</v>
      </c>
      <c r="AT844" s="472" t="s">
        <v>517</v>
      </c>
      <c r="AU844" s="472" t="s">
        <v>420</v>
      </c>
      <c r="AV844" s="472">
        <v>2020</v>
      </c>
      <c r="AW844" s="474" t="s">
        <v>15078</v>
      </c>
      <c r="AX844" s="475" t="s">
        <v>15079</v>
      </c>
      <c r="AY844" s="515">
        <v>1</v>
      </c>
      <c r="AZ844" s="474" t="s">
        <v>15079</v>
      </c>
      <c r="BA844" s="472" t="s">
        <v>517</v>
      </c>
      <c r="BB844" s="472" t="s">
        <v>1385</v>
      </c>
      <c r="BC844" s="472" t="s">
        <v>1385</v>
      </c>
      <c r="BD844" s="472" t="s">
        <v>1385</v>
      </c>
      <c r="BE844" s="472" t="s">
        <v>1385</v>
      </c>
      <c r="BF844" s="472">
        <v>34308.9</v>
      </c>
      <c r="BG844" s="472">
        <v>0</v>
      </c>
      <c r="BH844" s="472" t="s">
        <v>1385</v>
      </c>
      <c r="BI844" s="510">
        <v>0</v>
      </c>
      <c r="BJ844" s="510">
        <v>0</v>
      </c>
      <c r="BK844" s="510">
        <v>0</v>
      </c>
      <c r="BL844" s="510">
        <v>3500</v>
      </c>
      <c r="BM844" s="510">
        <v>0</v>
      </c>
      <c r="BN844" s="510">
        <v>5000</v>
      </c>
      <c r="BO844" s="510">
        <v>400</v>
      </c>
      <c r="BP844" s="510">
        <v>1600</v>
      </c>
      <c r="BQ844" s="510">
        <v>0</v>
      </c>
      <c r="BR844" s="510">
        <v>0</v>
      </c>
      <c r="BS844" s="510">
        <v>0</v>
      </c>
      <c r="BT844" s="510">
        <v>0</v>
      </c>
      <c r="BU844" s="510">
        <v>0</v>
      </c>
      <c r="BV844" s="510">
        <v>0</v>
      </c>
      <c r="BW844" s="510">
        <v>0</v>
      </c>
      <c r="BX844" s="510">
        <v>30000</v>
      </c>
      <c r="BY844" s="1011">
        <v>0</v>
      </c>
      <c r="BZ844" s="510">
        <v>0</v>
      </c>
      <c r="CA844" s="1011">
        <v>0</v>
      </c>
      <c r="CB844" s="510">
        <v>22000</v>
      </c>
      <c r="CC844" s="1011">
        <v>0</v>
      </c>
      <c r="CD844" s="510">
        <v>0</v>
      </c>
      <c r="CE844" s="1011">
        <v>0</v>
      </c>
      <c r="CF844" s="510">
        <v>45540</v>
      </c>
      <c r="CG844" s="1011">
        <v>0</v>
      </c>
      <c r="CH844" s="510">
        <v>0</v>
      </c>
      <c r="CI844" s="1011">
        <v>0</v>
      </c>
    </row>
    <row r="845" spans="1:87" x14ac:dyDescent="0.2">
      <c r="A845" s="449">
        <v>44</v>
      </c>
      <c r="B845" s="453">
        <v>93335</v>
      </c>
      <c r="C845" s="454" t="s">
        <v>7627</v>
      </c>
      <c r="D845" s="454" t="s">
        <v>517</v>
      </c>
      <c r="E845" s="454" t="s">
        <v>7628</v>
      </c>
      <c r="F845" s="454" t="s">
        <v>521</v>
      </c>
      <c r="G845" s="454" t="s">
        <v>13702</v>
      </c>
      <c r="H845" s="455">
        <v>50672823000131</v>
      </c>
      <c r="I845" s="462">
        <v>28871</v>
      </c>
      <c r="J845" s="457">
        <v>37588834</v>
      </c>
      <c r="K845" s="454" t="s">
        <v>5656</v>
      </c>
      <c r="L845" s="458">
        <v>220</v>
      </c>
      <c r="M845" s="454" t="s">
        <v>7629</v>
      </c>
      <c r="N845" s="459">
        <v>4830020</v>
      </c>
      <c r="O845" s="460">
        <v>59289188</v>
      </c>
      <c r="P845" s="462">
        <v>99131</v>
      </c>
      <c r="Q845" s="462">
        <v>48</v>
      </c>
      <c r="R845" s="462">
        <v>43934</v>
      </c>
      <c r="S845" s="463">
        <v>981</v>
      </c>
      <c r="T845" s="464">
        <v>5.4</v>
      </c>
      <c r="U845" s="465">
        <v>5297.4</v>
      </c>
      <c r="V845" s="465">
        <v>20340</v>
      </c>
      <c r="W845" s="466">
        <v>0</v>
      </c>
      <c r="X845" s="467">
        <v>1</v>
      </c>
      <c r="Y845" s="466">
        <v>38456.1</v>
      </c>
      <c r="Z845" s="468" t="s">
        <v>516</v>
      </c>
      <c r="AA845" s="466">
        <v>142605.70000000001</v>
      </c>
      <c r="AB845" s="466">
        <v>142605.70000000001</v>
      </c>
      <c r="AC845" s="467">
        <v>0</v>
      </c>
      <c r="AD845" s="466">
        <v>0</v>
      </c>
      <c r="AE845" s="468" t="s">
        <v>516</v>
      </c>
      <c r="AF845" s="466">
        <v>2000</v>
      </c>
      <c r="AG845" s="466">
        <v>2000</v>
      </c>
      <c r="AH845" s="466">
        <v>13687.23</v>
      </c>
      <c r="AI845" s="466">
        <v>20646.18</v>
      </c>
      <c r="AJ845" s="469" t="s">
        <v>1624</v>
      </c>
      <c r="AK845" s="470" t="s">
        <v>1625</v>
      </c>
      <c r="AL845" s="471" t="s">
        <v>7630</v>
      </c>
      <c r="AM845" s="470" t="s">
        <v>4378</v>
      </c>
      <c r="AN845" s="470" t="s">
        <v>1385</v>
      </c>
      <c r="AO845" s="470" t="s">
        <v>14907</v>
      </c>
      <c r="AP845" s="470" t="s">
        <v>7631</v>
      </c>
      <c r="AQ845" s="470" t="s">
        <v>7627</v>
      </c>
      <c r="AR845" s="472" t="s">
        <v>515</v>
      </c>
      <c r="AS845" s="473" t="s">
        <v>1385</v>
      </c>
      <c r="AT845" s="472" t="s">
        <v>517</v>
      </c>
      <c r="AU845" s="472" t="s">
        <v>420</v>
      </c>
      <c r="AV845" s="472">
        <v>2020</v>
      </c>
      <c r="AW845" s="474" t="s">
        <v>15078</v>
      </c>
      <c r="AX845" s="475" t="s">
        <v>15079</v>
      </c>
      <c r="AY845" s="515">
        <v>1</v>
      </c>
      <c r="AZ845" s="474" t="s">
        <v>15079</v>
      </c>
      <c r="BA845" s="472" t="s">
        <v>517</v>
      </c>
      <c r="BB845" s="472" t="s">
        <v>1385</v>
      </c>
      <c r="BC845" s="472" t="s">
        <v>1385</v>
      </c>
      <c r="BD845" s="472" t="s">
        <v>1385</v>
      </c>
      <c r="BE845" s="472" t="s">
        <v>1385</v>
      </c>
      <c r="BF845" s="472">
        <v>38456.1</v>
      </c>
      <c r="BG845" s="472">
        <v>0</v>
      </c>
      <c r="BH845" s="472" t="s">
        <v>1385</v>
      </c>
      <c r="BI845" s="510">
        <v>0</v>
      </c>
      <c r="BJ845" s="510">
        <v>0</v>
      </c>
      <c r="BK845" s="510">
        <v>0</v>
      </c>
      <c r="BL845" s="510">
        <v>3500</v>
      </c>
      <c r="BM845" s="510">
        <v>0</v>
      </c>
      <c r="BN845" s="510">
        <v>5000</v>
      </c>
      <c r="BO845" s="510">
        <v>0</v>
      </c>
      <c r="BP845" s="510">
        <v>2000</v>
      </c>
      <c r="BQ845" s="510">
        <v>0</v>
      </c>
      <c r="BR845" s="510">
        <v>0</v>
      </c>
      <c r="BS845" s="510">
        <v>0</v>
      </c>
      <c r="BT845" s="510">
        <v>0</v>
      </c>
      <c r="BU845" s="510">
        <v>0</v>
      </c>
      <c r="BV845" s="510">
        <v>0</v>
      </c>
      <c r="BW845" s="510">
        <v>0</v>
      </c>
      <c r="BX845" s="510">
        <v>30000</v>
      </c>
      <c r="BY845" s="1011">
        <v>0</v>
      </c>
      <c r="BZ845" s="510">
        <v>0</v>
      </c>
      <c r="CA845" s="1011">
        <v>0</v>
      </c>
      <c r="CB845" s="510">
        <v>22000</v>
      </c>
      <c r="CC845" s="1011">
        <v>0</v>
      </c>
      <c r="CD845" s="510">
        <v>0</v>
      </c>
      <c r="CE845" s="1011">
        <v>0</v>
      </c>
      <c r="CF845" s="510">
        <v>52149.599999999999</v>
      </c>
      <c r="CG845" s="1011">
        <v>0</v>
      </c>
      <c r="CH845" s="510">
        <v>0</v>
      </c>
      <c r="CI845" s="1011">
        <v>0</v>
      </c>
    </row>
    <row r="846" spans="1:87" x14ac:dyDescent="0.2">
      <c r="A846" s="449">
        <v>53</v>
      </c>
      <c r="B846" s="453">
        <v>93343</v>
      </c>
      <c r="C846" s="454" t="s">
        <v>7632</v>
      </c>
      <c r="D846" s="454" t="s">
        <v>517</v>
      </c>
      <c r="E846" s="454" t="s">
        <v>7633</v>
      </c>
      <c r="F846" s="454" t="s">
        <v>521</v>
      </c>
      <c r="G846" s="454" t="s">
        <v>13703</v>
      </c>
      <c r="H846" s="455">
        <v>50209543000191</v>
      </c>
      <c r="I846" s="462">
        <v>28789</v>
      </c>
      <c r="J846" s="457">
        <v>37549871</v>
      </c>
      <c r="K846" s="454" t="s">
        <v>7634</v>
      </c>
      <c r="L846" s="458">
        <v>15</v>
      </c>
      <c r="M846" s="454" t="s">
        <v>7635</v>
      </c>
      <c r="N846" s="459">
        <v>4836120</v>
      </c>
      <c r="O846" s="460">
        <v>59717216</v>
      </c>
      <c r="P846" s="462">
        <v>91700</v>
      </c>
      <c r="Q846" s="462">
        <v>65</v>
      </c>
      <c r="R846" s="462">
        <v>43934</v>
      </c>
      <c r="S846" s="463">
        <v>1209</v>
      </c>
      <c r="T846" s="464">
        <v>5.4</v>
      </c>
      <c r="U846" s="465">
        <v>6528.6</v>
      </c>
      <c r="V846" s="465">
        <v>21960</v>
      </c>
      <c r="W846" s="466">
        <v>0</v>
      </c>
      <c r="X846" s="467">
        <v>1</v>
      </c>
      <c r="Y846" s="466">
        <v>42732.9</v>
      </c>
      <c r="Z846" s="468" t="s">
        <v>516</v>
      </c>
      <c r="AA846" s="466">
        <v>153288.5</v>
      </c>
      <c r="AB846" s="466">
        <v>153288.5</v>
      </c>
      <c r="AC846" s="467">
        <v>0</v>
      </c>
      <c r="AD846" s="466">
        <v>0</v>
      </c>
      <c r="AE846" s="468" t="s">
        <v>516</v>
      </c>
      <c r="AF846" s="466">
        <v>400</v>
      </c>
      <c r="AG846" s="466">
        <v>400</v>
      </c>
      <c r="AH846" s="466">
        <v>10015.459999999999</v>
      </c>
      <c r="AI846" s="466">
        <v>7098.01</v>
      </c>
      <c r="AJ846" s="469" t="s">
        <v>1481</v>
      </c>
      <c r="AK846" s="470" t="s">
        <v>3495</v>
      </c>
      <c r="AL846" s="471" t="s">
        <v>7636</v>
      </c>
      <c r="AM846" s="470" t="s">
        <v>7637</v>
      </c>
      <c r="AN846" s="470" t="s">
        <v>1385</v>
      </c>
      <c r="AO846" s="470" t="s">
        <v>14911</v>
      </c>
      <c r="AP846" s="470" t="s">
        <v>7638</v>
      </c>
      <c r="AQ846" s="470" t="s">
        <v>7632</v>
      </c>
      <c r="AR846" s="472" t="s">
        <v>515</v>
      </c>
      <c r="AS846" s="473" t="s">
        <v>1385</v>
      </c>
      <c r="AT846" s="472" t="s">
        <v>517</v>
      </c>
      <c r="AU846" s="472" t="s">
        <v>420</v>
      </c>
      <c r="AV846" s="472">
        <v>2020</v>
      </c>
      <c r="AW846" s="474" t="s">
        <v>15078</v>
      </c>
      <c r="AX846" s="475" t="s">
        <v>15079</v>
      </c>
      <c r="AY846" s="515">
        <v>1</v>
      </c>
      <c r="AZ846" s="474" t="s">
        <v>15079</v>
      </c>
      <c r="BA846" s="472" t="s">
        <v>517</v>
      </c>
      <c r="BB846" s="472" t="s">
        <v>1385</v>
      </c>
      <c r="BC846" s="472" t="s">
        <v>1385</v>
      </c>
      <c r="BD846" s="472" t="s">
        <v>1385</v>
      </c>
      <c r="BE846" s="472" t="s">
        <v>1385</v>
      </c>
      <c r="BF846" s="472">
        <v>42732.9</v>
      </c>
      <c r="BG846" s="472">
        <v>0</v>
      </c>
      <c r="BH846" s="472" t="s">
        <v>1385</v>
      </c>
      <c r="BI846" s="510">
        <v>0</v>
      </c>
      <c r="BJ846" s="510">
        <v>0</v>
      </c>
      <c r="BK846" s="510">
        <v>0</v>
      </c>
      <c r="BL846" s="510">
        <v>413.85</v>
      </c>
      <c r="BM846" s="510">
        <v>0</v>
      </c>
      <c r="BN846" s="510">
        <v>6000</v>
      </c>
      <c r="BO846" s="510">
        <v>1600</v>
      </c>
      <c r="BP846" s="510">
        <v>400</v>
      </c>
      <c r="BQ846" s="510">
        <v>0</v>
      </c>
      <c r="BR846" s="510">
        <v>0</v>
      </c>
      <c r="BS846" s="510">
        <v>0</v>
      </c>
      <c r="BT846" s="510">
        <v>0</v>
      </c>
      <c r="BU846" s="510">
        <v>0</v>
      </c>
      <c r="BV846" s="510">
        <v>0</v>
      </c>
      <c r="BW846" s="510">
        <v>0</v>
      </c>
      <c r="BX846" s="510">
        <v>30000</v>
      </c>
      <c r="BY846" s="1011">
        <v>0</v>
      </c>
      <c r="BZ846" s="510">
        <v>0</v>
      </c>
      <c r="CA846" s="1011">
        <v>0</v>
      </c>
      <c r="CB846" s="510">
        <v>22000</v>
      </c>
      <c r="CC846" s="1011">
        <v>0</v>
      </c>
      <c r="CD846" s="510">
        <v>0</v>
      </c>
      <c r="CE846" s="1011">
        <v>0</v>
      </c>
      <c r="CF846" s="510">
        <v>56955.6</v>
      </c>
      <c r="CG846" s="1011">
        <v>0</v>
      </c>
      <c r="CH846" s="510">
        <v>0</v>
      </c>
      <c r="CI846" s="1011">
        <v>0</v>
      </c>
    </row>
    <row r="847" spans="1:87" x14ac:dyDescent="0.2">
      <c r="A847" s="449">
        <v>52</v>
      </c>
      <c r="B847" s="453">
        <v>93351</v>
      </c>
      <c r="C847" s="454" t="s">
        <v>7639</v>
      </c>
      <c r="D847" s="454" t="s">
        <v>517</v>
      </c>
      <c r="E847" s="454" t="s">
        <v>7640</v>
      </c>
      <c r="F847" s="454" t="s">
        <v>521</v>
      </c>
      <c r="G847" s="454" t="s">
        <v>13704</v>
      </c>
      <c r="H847" s="455">
        <v>51757292000142</v>
      </c>
      <c r="I847" s="462">
        <v>29178</v>
      </c>
      <c r="J847" s="457">
        <v>37549910</v>
      </c>
      <c r="K847" s="454" t="s">
        <v>7641</v>
      </c>
      <c r="L847" s="458">
        <v>314</v>
      </c>
      <c r="M847" s="454" t="s">
        <v>7642</v>
      </c>
      <c r="N847" s="459">
        <v>4835250</v>
      </c>
      <c r="O847" s="460">
        <v>59394331</v>
      </c>
      <c r="P847" s="462">
        <v>92218</v>
      </c>
      <c r="Q847" s="462">
        <v>61</v>
      </c>
      <c r="R847" s="462">
        <v>43934</v>
      </c>
      <c r="S847" s="463">
        <v>1027</v>
      </c>
      <c r="T847" s="464">
        <v>5.4</v>
      </c>
      <c r="U847" s="465">
        <v>5545.8</v>
      </c>
      <c r="V847" s="465">
        <v>20340</v>
      </c>
      <c r="W847" s="466">
        <v>0</v>
      </c>
      <c r="X847" s="467">
        <v>1</v>
      </c>
      <c r="Y847" s="466">
        <v>38828.699999999997</v>
      </c>
      <c r="Z847" s="468" t="s">
        <v>516</v>
      </c>
      <c r="AA847" s="466">
        <v>144005.9</v>
      </c>
      <c r="AB847" s="466">
        <v>144005.9</v>
      </c>
      <c r="AC847" s="467">
        <v>0</v>
      </c>
      <c r="AD847" s="466">
        <v>0</v>
      </c>
      <c r="AE847" s="468" t="s">
        <v>516</v>
      </c>
      <c r="AF847" s="466">
        <v>400</v>
      </c>
      <c r="AG847" s="466">
        <v>400</v>
      </c>
      <c r="AH847" s="466">
        <v>39389.85</v>
      </c>
      <c r="AI847" s="466">
        <v>8237.82</v>
      </c>
      <c r="AJ847" s="469" t="s">
        <v>1624</v>
      </c>
      <c r="AK847" s="470" t="s">
        <v>1625</v>
      </c>
      <c r="AL847" s="471" t="s">
        <v>7643</v>
      </c>
      <c r="AM847" s="470" t="s">
        <v>7644</v>
      </c>
      <c r="AN847" s="470" t="s">
        <v>1385</v>
      </c>
      <c r="AO847" s="470" t="s">
        <v>13705</v>
      </c>
      <c r="AP847" s="470" t="s">
        <v>7645</v>
      </c>
      <c r="AQ847" s="470" t="s">
        <v>7639</v>
      </c>
      <c r="AR847" s="472" t="s">
        <v>515</v>
      </c>
      <c r="AS847" s="473" t="s">
        <v>1385</v>
      </c>
      <c r="AT847" s="472" t="s">
        <v>517</v>
      </c>
      <c r="AU847" s="472" t="s">
        <v>420</v>
      </c>
      <c r="AV847" s="472">
        <v>2020</v>
      </c>
      <c r="AW847" s="474" t="s">
        <v>15078</v>
      </c>
      <c r="AX847" s="475" t="s">
        <v>15079</v>
      </c>
      <c r="AY847" s="515">
        <v>1</v>
      </c>
      <c r="AZ847" s="474" t="s">
        <v>15079</v>
      </c>
      <c r="BA847" s="472" t="s">
        <v>517</v>
      </c>
      <c r="BB847" s="472" t="s">
        <v>1385</v>
      </c>
      <c r="BC847" s="472" t="s">
        <v>1385</v>
      </c>
      <c r="BD847" s="472" t="s">
        <v>1385</v>
      </c>
      <c r="BE847" s="472" t="s">
        <v>1385</v>
      </c>
      <c r="BF847" s="509">
        <v>38828.699999999997</v>
      </c>
      <c r="BG847" s="509">
        <v>0</v>
      </c>
      <c r="BH847" s="472" t="s">
        <v>1385</v>
      </c>
      <c r="BI847" s="510">
        <v>0</v>
      </c>
      <c r="BJ847" s="510">
        <v>0</v>
      </c>
      <c r="BK847" s="510">
        <v>0</v>
      </c>
      <c r="BL847" s="510">
        <v>3500</v>
      </c>
      <c r="BM847" s="510">
        <v>0</v>
      </c>
      <c r="BN847" s="510">
        <v>0</v>
      </c>
      <c r="BO847" s="510">
        <v>1600</v>
      </c>
      <c r="BP847" s="510">
        <v>400</v>
      </c>
      <c r="BQ847" s="510">
        <v>0</v>
      </c>
      <c r="BR847" s="510">
        <v>0</v>
      </c>
      <c r="BS847" s="510">
        <v>0</v>
      </c>
      <c r="BT847" s="510">
        <v>0</v>
      </c>
      <c r="BU847" s="510">
        <v>2500</v>
      </c>
      <c r="BV847" s="510">
        <v>2500</v>
      </c>
      <c r="BW847" s="510">
        <v>0</v>
      </c>
      <c r="BX847" s="510">
        <v>30000</v>
      </c>
      <c r="BY847" s="1011">
        <v>0</v>
      </c>
      <c r="BZ847" s="510">
        <v>0</v>
      </c>
      <c r="CA847" s="1011">
        <v>0</v>
      </c>
      <c r="CB847" s="510">
        <v>22000</v>
      </c>
      <c r="CC847" s="1011">
        <v>0</v>
      </c>
      <c r="CD847" s="510">
        <v>0</v>
      </c>
      <c r="CE847" s="1011">
        <v>0</v>
      </c>
      <c r="CF847" s="510">
        <v>51577.2</v>
      </c>
      <c r="CG847" s="1011">
        <v>0</v>
      </c>
      <c r="CH847" s="510">
        <v>0</v>
      </c>
      <c r="CI847" s="1011">
        <v>0</v>
      </c>
    </row>
    <row r="848" spans="1:87" x14ac:dyDescent="0.2">
      <c r="A848" s="449">
        <v>39</v>
      </c>
      <c r="B848" s="453">
        <v>93360</v>
      </c>
      <c r="C848" s="454" t="s">
        <v>7646</v>
      </c>
      <c r="D848" s="454" t="s">
        <v>517</v>
      </c>
      <c r="E848" s="454" t="s">
        <v>7647</v>
      </c>
      <c r="F848" s="454" t="s">
        <v>521</v>
      </c>
      <c r="G848" s="454" t="s">
        <v>13706</v>
      </c>
      <c r="H848" s="455">
        <v>43220219000109</v>
      </c>
      <c r="I848" s="462">
        <v>29327</v>
      </c>
      <c r="J848" s="457">
        <v>37549804</v>
      </c>
      <c r="K848" s="454" t="s">
        <v>1630</v>
      </c>
      <c r="L848" s="458">
        <v>24</v>
      </c>
      <c r="M848" s="454" t="s">
        <v>1631</v>
      </c>
      <c r="N848" s="459">
        <v>4858580</v>
      </c>
      <c r="O848" s="460">
        <v>55267593</v>
      </c>
      <c r="P848" s="462">
        <v>93060</v>
      </c>
      <c r="Q848" s="462">
        <v>54</v>
      </c>
      <c r="R848" s="462">
        <v>43934</v>
      </c>
      <c r="S848" s="463">
        <v>980</v>
      </c>
      <c r="T848" s="464">
        <v>5.4</v>
      </c>
      <c r="U848" s="465">
        <v>5292</v>
      </c>
      <c r="V848" s="465">
        <v>20340</v>
      </c>
      <c r="W848" s="466">
        <v>0</v>
      </c>
      <c r="X848" s="467">
        <v>1</v>
      </c>
      <c r="Y848" s="466">
        <v>38448</v>
      </c>
      <c r="Z848" s="468" t="s">
        <v>516</v>
      </c>
      <c r="AA848" s="466">
        <v>140902</v>
      </c>
      <c r="AB848" s="466">
        <v>140902</v>
      </c>
      <c r="AC848" s="467">
        <v>0</v>
      </c>
      <c r="AD848" s="466">
        <v>0</v>
      </c>
      <c r="AE848" s="468" t="s">
        <v>516</v>
      </c>
      <c r="AF848" s="466">
        <v>2000</v>
      </c>
      <c r="AG848" s="466">
        <v>2000</v>
      </c>
      <c r="AH848" s="466">
        <v>32797.980000000003</v>
      </c>
      <c r="AI848" s="466">
        <v>30203.94</v>
      </c>
      <c r="AJ848" s="469" t="s">
        <v>1657</v>
      </c>
      <c r="AK848" s="470" t="s">
        <v>3495</v>
      </c>
      <c r="AL848" s="471" t="s">
        <v>7648</v>
      </c>
      <c r="AM848" s="470" t="s">
        <v>13707</v>
      </c>
      <c r="AN848" s="470" t="s">
        <v>1385</v>
      </c>
      <c r="AO848" s="470" t="s">
        <v>13708</v>
      </c>
      <c r="AP848" s="470" t="s">
        <v>7649</v>
      </c>
      <c r="AQ848" s="470" t="s">
        <v>7646</v>
      </c>
      <c r="AR848" s="472" t="s">
        <v>515</v>
      </c>
      <c r="AS848" s="473" t="s">
        <v>1385</v>
      </c>
      <c r="AT848" s="472" t="s">
        <v>517</v>
      </c>
      <c r="AU848" s="472" t="s">
        <v>420</v>
      </c>
      <c r="AV848" s="472">
        <v>2020</v>
      </c>
      <c r="AW848" s="474" t="s">
        <v>15078</v>
      </c>
      <c r="AX848" s="475" t="s">
        <v>15079</v>
      </c>
      <c r="AY848" s="515">
        <v>1</v>
      </c>
      <c r="AZ848" s="474" t="s">
        <v>15079</v>
      </c>
      <c r="BA848" s="472" t="s">
        <v>517</v>
      </c>
      <c r="BB848" s="472" t="s">
        <v>1385</v>
      </c>
      <c r="BC848" s="472" t="s">
        <v>1385</v>
      </c>
      <c r="BD848" s="472" t="s">
        <v>1385</v>
      </c>
      <c r="BE848" s="472" t="s">
        <v>1385</v>
      </c>
      <c r="BF848" s="472">
        <v>38448</v>
      </c>
      <c r="BG848" s="472">
        <v>0</v>
      </c>
      <c r="BH848" s="472" t="s">
        <v>1385</v>
      </c>
      <c r="BI848" s="510">
        <v>0</v>
      </c>
      <c r="BJ848" s="510">
        <v>0</v>
      </c>
      <c r="BK848" s="510">
        <v>0</v>
      </c>
      <c r="BL848" s="510">
        <v>3500</v>
      </c>
      <c r="BM848" s="510">
        <v>0</v>
      </c>
      <c r="BN848" s="510">
        <v>5000</v>
      </c>
      <c r="BO848" s="510">
        <v>0</v>
      </c>
      <c r="BP848" s="510">
        <v>2000</v>
      </c>
      <c r="BQ848" s="510">
        <v>0</v>
      </c>
      <c r="BR848" s="510">
        <v>0</v>
      </c>
      <c r="BS848" s="510">
        <v>0</v>
      </c>
      <c r="BT848" s="510">
        <v>0</v>
      </c>
      <c r="BU848" s="510">
        <v>0</v>
      </c>
      <c r="BV848" s="510">
        <v>0</v>
      </c>
      <c r="BW848" s="510">
        <v>0</v>
      </c>
      <c r="BX848" s="510">
        <v>30000</v>
      </c>
      <c r="BY848" s="1011">
        <v>0</v>
      </c>
      <c r="BZ848" s="510">
        <v>0</v>
      </c>
      <c r="CA848" s="1011">
        <v>0</v>
      </c>
      <c r="CB848" s="510">
        <v>22000</v>
      </c>
      <c r="CC848" s="1011">
        <v>0</v>
      </c>
      <c r="CD848" s="510">
        <v>0</v>
      </c>
      <c r="CE848" s="1011">
        <v>0</v>
      </c>
      <c r="CF848" s="510">
        <v>50454</v>
      </c>
      <c r="CG848" s="1011">
        <v>0</v>
      </c>
      <c r="CH848" s="510">
        <v>0</v>
      </c>
      <c r="CI848" s="1011">
        <v>0</v>
      </c>
    </row>
    <row r="849" spans="1:87" x14ac:dyDescent="0.2">
      <c r="A849" s="449">
        <v>49</v>
      </c>
      <c r="B849" s="453">
        <v>93378</v>
      </c>
      <c r="C849" s="454" t="s">
        <v>7650</v>
      </c>
      <c r="D849" s="454" t="s">
        <v>517</v>
      </c>
      <c r="E849" s="454" t="s">
        <v>7651</v>
      </c>
      <c r="F849" s="454" t="s">
        <v>521</v>
      </c>
      <c r="G849" s="454" t="s">
        <v>13709</v>
      </c>
      <c r="H849" s="455">
        <v>51576528000144</v>
      </c>
      <c r="I849" s="462">
        <v>29062</v>
      </c>
      <c r="J849" s="457">
        <v>37550292</v>
      </c>
      <c r="K849" s="454" t="s">
        <v>7652</v>
      </c>
      <c r="L849" s="458">
        <v>377</v>
      </c>
      <c r="M849" s="454" t="s">
        <v>5695</v>
      </c>
      <c r="N849" s="459">
        <v>4855280</v>
      </c>
      <c r="O849" s="460">
        <v>55285303</v>
      </c>
      <c r="P849" s="462">
        <v>87486</v>
      </c>
      <c r="Q849" s="462">
        <v>60</v>
      </c>
      <c r="R849" s="462">
        <v>43934</v>
      </c>
      <c r="S849" s="463">
        <v>1538</v>
      </c>
      <c r="T849" s="464">
        <v>5.4</v>
      </c>
      <c r="U849" s="465">
        <v>8305.2000000000007</v>
      </c>
      <c r="V849" s="465">
        <v>23580</v>
      </c>
      <c r="W849" s="466">
        <v>0</v>
      </c>
      <c r="X849" s="467">
        <v>1</v>
      </c>
      <c r="Y849" s="466">
        <v>47827.8</v>
      </c>
      <c r="Z849" s="468" t="s">
        <v>516</v>
      </c>
      <c r="AA849" s="466">
        <v>163490.20000000001</v>
      </c>
      <c r="AB849" s="466">
        <v>163490.20000000001</v>
      </c>
      <c r="AC849" s="467">
        <v>0</v>
      </c>
      <c r="AD849" s="466">
        <v>0</v>
      </c>
      <c r="AE849" s="468" t="s">
        <v>516</v>
      </c>
      <c r="AF849" s="466">
        <v>2000</v>
      </c>
      <c r="AG849" s="466">
        <v>2000</v>
      </c>
      <c r="AH849" s="466">
        <v>34479.81</v>
      </c>
      <c r="AI849" s="466">
        <v>6377.04</v>
      </c>
      <c r="AJ849" s="469" t="s">
        <v>1624</v>
      </c>
      <c r="AK849" s="470" t="s">
        <v>1625</v>
      </c>
      <c r="AL849" s="471" t="s">
        <v>7653</v>
      </c>
      <c r="AM849" s="470" t="s">
        <v>13710</v>
      </c>
      <c r="AN849" s="470" t="s">
        <v>1385</v>
      </c>
      <c r="AO849" s="470" t="s">
        <v>13711</v>
      </c>
      <c r="AP849" s="470" t="s">
        <v>7654</v>
      </c>
      <c r="AQ849" s="470" t="s">
        <v>7650</v>
      </c>
      <c r="AR849" s="472" t="s">
        <v>515</v>
      </c>
      <c r="AS849" s="473" t="s">
        <v>1385</v>
      </c>
      <c r="AT849" s="472" t="s">
        <v>517</v>
      </c>
      <c r="AU849" s="472" t="s">
        <v>420</v>
      </c>
      <c r="AV849" s="472">
        <v>2020</v>
      </c>
      <c r="AW849" s="474" t="s">
        <v>15078</v>
      </c>
      <c r="AX849" s="475" t="s">
        <v>15079</v>
      </c>
      <c r="AY849" s="515">
        <v>1</v>
      </c>
      <c r="AZ849" s="474" t="s">
        <v>15079</v>
      </c>
      <c r="BA849" s="472" t="s">
        <v>517</v>
      </c>
      <c r="BB849" s="472" t="s">
        <v>1385</v>
      </c>
      <c r="BC849" s="472" t="s">
        <v>1385</v>
      </c>
      <c r="BD849" s="472" t="s">
        <v>1385</v>
      </c>
      <c r="BE849" s="472" t="s">
        <v>1385</v>
      </c>
      <c r="BF849" s="472">
        <v>47827.8</v>
      </c>
      <c r="BG849" s="472">
        <v>0</v>
      </c>
      <c r="BH849" s="472" t="s">
        <v>1385</v>
      </c>
      <c r="BI849" s="510">
        <v>0</v>
      </c>
      <c r="BJ849" s="510">
        <v>0</v>
      </c>
      <c r="BK849" s="510">
        <v>0</v>
      </c>
      <c r="BL849" s="510">
        <v>3500</v>
      </c>
      <c r="BM849" s="510">
        <v>0</v>
      </c>
      <c r="BN849" s="510">
        <v>6000</v>
      </c>
      <c r="BO849" s="510">
        <v>0</v>
      </c>
      <c r="BP849" s="510">
        <v>2000</v>
      </c>
      <c r="BQ849" s="510">
        <v>0</v>
      </c>
      <c r="BR849" s="510">
        <v>0</v>
      </c>
      <c r="BS849" s="510">
        <v>0</v>
      </c>
      <c r="BT849" s="510">
        <v>0</v>
      </c>
      <c r="BU849" s="510">
        <v>0</v>
      </c>
      <c r="BV849" s="510">
        <v>0</v>
      </c>
      <c r="BW849" s="510">
        <v>0</v>
      </c>
      <c r="BX849" s="510">
        <v>30000</v>
      </c>
      <c r="BY849" s="1011">
        <v>0</v>
      </c>
      <c r="BZ849" s="510">
        <v>0</v>
      </c>
      <c r="CA849" s="1011">
        <v>0</v>
      </c>
      <c r="CB849" s="510">
        <v>22000</v>
      </c>
      <c r="CC849" s="1011">
        <v>0</v>
      </c>
      <c r="CD849" s="510">
        <v>0</v>
      </c>
      <c r="CE849" s="1011">
        <v>0</v>
      </c>
      <c r="CF849" s="510">
        <v>63662.400000000001</v>
      </c>
      <c r="CG849" s="1011">
        <v>0</v>
      </c>
      <c r="CH849" s="510">
        <v>0</v>
      </c>
      <c r="CI849" s="1011">
        <v>0</v>
      </c>
    </row>
    <row r="850" spans="1:87" x14ac:dyDescent="0.2">
      <c r="A850" s="449">
        <v>45</v>
      </c>
      <c r="B850" s="453">
        <v>93386</v>
      </c>
      <c r="C850" s="454" t="s">
        <v>7655</v>
      </c>
      <c r="D850" s="454" t="s">
        <v>517</v>
      </c>
      <c r="E850" s="454" t="s">
        <v>7656</v>
      </c>
      <c r="F850" s="454" t="s">
        <v>521</v>
      </c>
      <c r="G850" s="454" t="s">
        <v>13712</v>
      </c>
      <c r="H850" s="455">
        <v>44881704000196</v>
      </c>
      <c r="I850" s="462">
        <v>29515</v>
      </c>
      <c r="J850" s="457">
        <v>37549723</v>
      </c>
      <c r="K850" s="454" t="s">
        <v>7657</v>
      </c>
      <c r="L850" s="458">
        <v>17</v>
      </c>
      <c r="M850" s="454" t="s">
        <v>7658</v>
      </c>
      <c r="N850" s="459">
        <v>4840460</v>
      </c>
      <c r="O850" s="460">
        <v>55283189</v>
      </c>
      <c r="P850" s="462">
        <v>86980</v>
      </c>
      <c r="Q850" s="462">
        <v>49</v>
      </c>
      <c r="R850" s="462">
        <v>43934</v>
      </c>
      <c r="S850" s="463">
        <v>857</v>
      </c>
      <c r="T850" s="464">
        <v>5.4</v>
      </c>
      <c r="U850" s="465">
        <v>4627.8</v>
      </c>
      <c r="V850" s="465">
        <v>18720</v>
      </c>
      <c r="W850" s="466">
        <v>0</v>
      </c>
      <c r="X850" s="467">
        <v>1</v>
      </c>
      <c r="Y850" s="466">
        <v>35021.699999999997</v>
      </c>
      <c r="Z850" s="468" t="s">
        <v>516</v>
      </c>
      <c r="AA850" s="466">
        <v>134317.70000000001</v>
      </c>
      <c r="AB850" s="466">
        <v>134317.70000000001</v>
      </c>
      <c r="AC850" s="467">
        <v>0</v>
      </c>
      <c r="AD850" s="466">
        <v>0</v>
      </c>
      <c r="AE850" s="468" t="s">
        <v>516</v>
      </c>
      <c r="AF850" s="466">
        <v>1000</v>
      </c>
      <c r="AG850" s="466">
        <v>1000</v>
      </c>
      <c r="AH850" s="466">
        <v>32168.46</v>
      </c>
      <c r="AI850" s="466">
        <v>6784.86</v>
      </c>
      <c r="AJ850" s="469" t="s">
        <v>1657</v>
      </c>
      <c r="AK850" s="470" t="s">
        <v>3495</v>
      </c>
      <c r="AL850" s="471" t="s">
        <v>7659</v>
      </c>
      <c r="AM850" s="470" t="s">
        <v>7660</v>
      </c>
      <c r="AN850" s="470" t="s">
        <v>1385</v>
      </c>
      <c r="AO850" s="470" t="s">
        <v>14908</v>
      </c>
      <c r="AP850" s="470" t="s">
        <v>7661</v>
      </c>
      <c r="AQ850" s="470" t="s">
        <v>7655</v>
      </c>
      <c r="AR850" s="472" t="s">
        <v>515</v>
      </c>
      <c r="AS850" s="473" t="s">
        <v>1385</v>
      </c>
      <c r="AT850" s="472" t="s">
        <v>517</v>
      </c>
      <c r="AU850" s="472" t="s">
        <v>420</v>
      </c>
      <c r="AV850" s="472">
        <v>2020</v>
      </c>
      <c r="AW850" s="474" t="s">
        <v>15078</v>
      </c>
      <c r="AX850" s="475" t="s">
        <v>15079</v>
      </c>
      <c r="AY850" s="515">
        <v>1</v>
      </c>
      <c r="AZ850" s="474" t="s">
        <v>15079</v>
      </c>
      <c r="BA850" s="472" t="s">
        <v>517</v>
      </c>
      <c r="BB850" s="472" t="s">
        <v>1385</v>
      </c>
      <c r="BC850" s="472" t="s">
        <v>1385</v>
      </c>
      <c r="BD850" s="472" t="s">
        <v>1385</v>
      </c>
      <c r="BE850" s="472" t="s">
        <v>1385</v>
      </c>
      <c r="BF850" s="472">
        <v>35021.699999999997</v>
      </c>
      <c r="BG850" s="472">
        <v>0</v>
      </c>
      <c r="BH850" s="472" t="s">
        <v>1385</v>
      </c>
      <c r="BI850" s="510">
        <v>0</v>
      </c>
      <c r="BJ850" s="510">
        <v>0</v>
      </c>
      <c r="BK850" s="510">
        <v>0</v>
      </c>
      <c r="BL850" s="510">
        <v>3500</v>
      </c>
      <c r="BM850" s="510">
        <v>0</v>
      </c>
      <c r="BN850" s="510">
        <v>5000</v>
      </c>
      <c r="BO850" s="510">
        <v>1000</v>
      </c>
      <c r="BP850" s="510">
        <v>1000</v>
      </c>
      <c r="BQ850" s="510">
        <v>0</v>
      </c>
      <c r="BR850" s="510">
        <v>0</v>
      </c>
      <c r="BS850" s="510">
        <v>0</v>
      </c>
      <c r="BT850" s="510">
        <v>0</v>
      </c>
      <c r="BU850" s="510">
        <v>0</v>
      </c>
      <c r="BV850" s="510">
        <v>0</v>
      </c>
      <c r="BW850" s="510">
        <v>0</v>
      </c>
      <c r="BX850" s="510">
        <v>30000</v>
      </c>
      <c r="BY850" s="1011">
        <v>0</v>
      </c>
      <c r="BZ850" s="510">
        <v>0</v>
      </c>
      <c r="CA850" s="1011">
        <v>0</v>
      </c>
      <c r="CB850" s="510">
        <v>22000</v>
      </c>
      <c r="CC850" s="1011">
        <v>0</v>
      </c>
      <c r="CD850" s="510">
        <v>0</v>
      </c>
      <c r="CE850" s="1011">
        <v>0</v>
      </c>
      <c r="CF850" s="510">
        <v>46296</v>
      </c>
      <c r="CG850" s="1011">
        <v>0</v>
      </c>
      <c r="CH850" s="510">
        <v>0</v>
      </c>
      <c r="CI850" s="1011">
        <v>0</v>
      </c>
    </row>
    <row r="851" spans="1:87" x14ac:dyDescent="0.2">
      <c r="A851" s="449">
        <v>59</v>
      </c>
      <c r="B851" s="453">
        <v>93394</v>
      </c>
      <c r="C851" s="454" t="s">
        <v>7662</v>
      </c>
      <c r="D851" s="454" t="s">
        <v>517</v>
      </c>
      <c r="E851" s="454" t="s">
        <v>7663</v>
      </c>
      <c r="F851" s="454" t="s">
        <v>521</v>
      </c>
      <c r="G851" s="454" t="s">
        <v>13713</v>
      </c>
      <c r="H851" s="455">
        <v>53371639000140</v>
      </c>
      <c r="I851" s="462">
        <v>30753</v>
      </c>
      <c r="J851" s="457">
        <v>37552066</v>
      </c>
      <c r="K851" s="454" t="s">
        <v>7664</v>
      </c>
      <c r="L851" s="458">
        <v>324</v>
      </c>
      <c r="M851" s="454" t="s">
        <v>7665</v>
      </c>
      <c r="N851" s="459">
        <v>4843500</v>
      </c>
      <c r="O851" s="460">
        <v>59714682</v>
      </c>
      <c r="P851" s="462">
        <v>97694</v>
      </c>
      <c r="Q851" s="462">
        <v>62</v>
      </c>
      <c r="R851" s="462">
        <v>43934</v>
      </c>
      <c r="S851" s="463">
        <v>1298</v>
      </c>
      <c r="T851" s="464">
        <v>5.4</v>
      </c>
      <c r="U851" s="465">
        <v>7009.2</v>
      </c>
      <c r="V851" s="465">
        <v>21960</v>
      </c>
      <c r="W851" s="466">
        <v>0</v>
      </c>
      <c r="X851" s="467">
        <v>1</v>
      </c>
      <c r="Y851" s="466">
        <v>43453.8</v>
      </c>
      <c r="Z851" s="468" t="s">
        <v>516</v>
      </c>
      <c r="AA851" s="466">
        <v>154018.6</v>
      </c>
      <c r="AB851" s="466">
        <v>154018.6</v>
      </c>
      <c r="AC851" s="467">
        <v>0</v>
      </c>
      <c r="AD851" s="466">
        <v>0</v>
      </c>
      <c r="AE851" s="468" t="s">
        <v>516</v>
      </c>
      <c r="AF851" s="466">
        <v>2000</v>
      </c>
      <c r="AG851" s="466">
        <v>2000</v>
      </c>
      <c r="AH851" s="466">
        <v>51126.91</v>
      </c>
      <c r="AI851" s="466">
        <v>14191.26</v>
      </c>
      <c r="AJ851" s="469" t="s">
        <v>1624</v>
      </c>
      <c r="AK851" s="470" t="s">
        <v>1625</v>
      </c>
      <c r="AL851" s="471" t="s">
        <v>7666</v>
      </c>
      <c r="AM851" s="470" t="s">
        <v>7667</v>
      </c>
      <c r="AN851" s="470" t="s">
        <v>1385</v>
      </c>
      <c r="AO851" s="470" t="s">
        <v>7668</v>
      </c>
      <c r="AP851" s="470" t="s">
        <v>7669</v>
      </c>
      <c r="AQ851" s="470" t="s">
        <v>7662</v>
      </c>
      <c r="AR851" s="472" t="s">
        <v>515</v>
      </c>
      <c r="AS851" s="473" t="s">
        <v>1385</v>
      </c>
      <c r="AT851" s="472" t="s">
        <v>517</v>
      </c>
      <c r="AU851" s="472" t="s">
        <v>420</v>
      </c>
      <c r="AV851" s="472">
        <v>2020</v>
      </c>
      <c r="AW851" s="474" t="s">
        <v>15078</v>
      </c>
      <c r="AX851" s="475" t="s">
        <v>15079</v>
      </c>
      <c r="AY851" s="515">
        <v>1</v>
      </c>
      <c r="AZ851" s="474" t="s">
        <v>15079</v>
      </c>
      <c r="BA851" s="472" t="s">
        <v>517</v>
      </c>
      <c r="BB851" s="472" t="s">
        <v>1385</v>
      </c>
      <c r="BC851" s="472" t="s">
        <v>1385</v>
      </c>
      <c r="BD851" s="472" t="s">
        <v>1385</v>
      </c>
      <c r="BE851" s="472" t="s">
        <v>1385</v>
      </c>
      <c r="BF851" s="472">
        <v>43453.8</v>
      </c>
      <c r="BG851" s="472">
        <v>0</v>
      </c>
      <c r="BH851" s="472" t="s">
        <v>1385</v>
      </c>
      <c r="BI851" s="510">
        <v>0</v>
      </c>
      <c r="BJ851" s="510">
        <v>0</v>
      </c>
      <c r="BK851" s="510">
        <v>0</v>
      </c>
      <c r="BL851" s="510">
        <v>3500</v>
      </c>
      <c r="BM851" s="510">
        <v>0</v>
      </c>
      <c r="BN851" s="510">
        <v>6000</v>
      </c>
      <c r="BO851" s="510">
        <v>0</v>
      </c>
      <c r="BP851" s="510">
        <v>2000</v>
      </c>
      <c r="BQ851" s="510">
        <v>0</v>
      </c>
      <c r="BR851" s="510">
        <v>0</v>
      </c>
      <c r="BS851" s="510">
        <v>0</v>
      </c>
      <c r="BT851" s="510">
        <v>0</v>
      </c>
      <c r="BU851" s="510">
        <v>0</v>
      </c>
      <c r="BV851" s="510">
        <v>0</v>
      </c>
      <c r="BW851" s="510">
        <v>0</v>
      </c>
      <c r="BX851" s="510">
        <v>30000</v>
      </c>
      <c r="BY851" s="1011">
        <v>0</v>
      </c>
      <c r="BZ851" s="510">
        <v>0</v>
      </c>
      <c r="CA851" s="1011">
        <v>0</v>
      </c>
      <c r="CB851" s="510">
        <v>22000</v>
      </c>
      <c r="CC851" s="1011">
        <v>0</v>
      </c>
      <c r="CD851" s="510">
        <v>0</v>
      </c>
      <c r="CE851" s="1011">
        <v>0</v>
      </c>
      <c r="CF851" s="510">
        <v>58564.800000000003</v>
      </c>
      <c r="CG851" s="1011">
        <v>0</v>
      </c>
      <c r="CH851" s="510">
        <v>0</v>
      </c>
      <c r="CI851" s="1011">
        <v>0</v>
      </c>
    </row>
    <row r="852" spans="1:87" x14ac:dyDescent="0.2">
      <c r="A852" s="449">
        <v>54</v>
      </c>
      <c r="B852" s="453">
        <v>93408</v>
      </c>
      <c r="C852" s="454" t="s">
        <v>7670</v>
      </c>
      <c r="D852" s="454" t="s">
        <v>517</v>
      </c>
      <c r="E852" s="454" t="s">
        <v>7671</v>
      </c>
      <c r="F852" s="454" t="s">
        <v>521</v>
      </c>
      <c r="G852" s="454" t="s">
        <v>13714</v>
      </c>
      <c r="H852" s="455">
        <v>45220167000104</v>
      </c>
      <c r="I852" s="462">
        <v>29585</v>
      </c>
      <c r="J852" s="457">
        <v>37560328</v>
      </c>
      <c r="K852" s="454" t="s">
        <v>7672</v>
      </c>
      <c r="L852" s="458">
        <v>50</v>
      </c>
      <c r="M852" s="454" t="s">
        <v>7673</v>
      </c>
      <c r="N852" s="459">
        <v>4812070</v>
      </c>
      <c r="O852" s="460">
        <v>56616313</v>
      </c>
      <c r="P852" s="462">
        <v>97546</v>
      </c>
      <c r="Q852" s="462">
        <v>69</v>
      </c>
      <c r="R852" s="462">
        <v>43934</v>
      </c>
      <c r="S852" s="463">
        <v>746</v>
      </c>
      <c r="T852" s="464">
        <v>5.4</v>
      </c>
      <c r="U852" s="465">
        <v>4028.4</v>
      </c>
      <c r="V852" s="465">
        <v>18720</v>
      </c>
      <c r="W852" s="466">
        <v>0</v>
      </c>
      <c r="X852" s="467">
        <v>1</v>
      </c>
      <c r="Y852" s="466">
        <v>34122.6</v>
      </c>
      <c r="Z852" s="468" t="s">
        <v>516</v>
      </c>
      <c r="AA852" s="466">
        <v>131371</v>
      </c>
      <c r="AB852" s="466">
        <v>131371</v>
      </c>
      <c r="AC852" s="467">
        <v>0</v>
      </c>
      <c r="AD852" s="466">
        <v>0</v>
      </c>
      <c r="AE852" s="468" t="s">
        <v>516</v>
      </c>
      <c r="AF852" s="466">
        <v>2000</v>
      </c>
      <c r="AG852" s="466">
        <v>2000</v>
      </c>
      <c r="AH852" s="466">
        <v>38205.24</v>
      </c>
      <c r="AI852" s="466">
        <v>2345.0300000000002</v>
      </c>
      <c r="AJ852" s="469" t="s">
        <v>1624</v>
      </c>
      <c r="AK852" s="470" t="s">
        <v>1625</v>
      </c>
      <c r="AL852" s="471" t="s">
        <v>7674</v>
      </c>
      <c r="AM852" s="470" t="s">
        <v>13715</v>
      </c>
      <c r="AN852" s="470" t="s">
        <v>1385</v>
      </c>
      <c r="AO852" s="470" t="s">
        <v>14912</v>
      </c>
      <c r="AP852" s="470" t="s">
        <v>7675</v>
      </c>
      <c r="AQ852" s="470" t="s">
        <v>7670</v>
      </c>
      <c r="AR852" s="472" t="s">
        <v>515</v>
      </c>
      <c r="AS852" s="473" t="s">
        <v>1385</v>
      </c>
      <c r="AT852" s="472" t="s">
        <v>517</v>
      </c>
      <c r="AU852" s="472" t="s">
        <v>420</v>
      </c>
      <c r="AV852" s="472">
        <v>2020</v>
      </c>
      <c r="AW852" s="474" t="s">
        <v>15078</v>
      </c>
      <c r="AX852" s="475" t="s">
        <v>15079</v>
      </c>
      <c r="AY852" s="515">
        <v>1</v>
      </c>
      <c r="AZ852" s="474" t="s">
        <v>15079</v>
      </c>
      <c r="BA852" s="472" t="s">
        <v>517</v>
      </c>
      <c r="BB852" s="472" t="s">
        <v>1385</v>
      </c>
      <c r="BC852" s="472" t="s">
        <v>1385</v>
      </c>
      <c r="BD852" s="472" t="s">
        <v>1385</v>
      </c>
      <c r="BE852" s="472" t="s">
        <v>1385</v>
      </c>
      <c r="BF852" s="472">
        <v>34122.6</v>
      </c>
      <c r="BG852" s="472">
        <v>0</v>
      </c>
      <c r="BH852" s="472" t="s">
        <v>1385</v>
      </c>
      <c r="BI852" s="510">
        <v>0</v>
      </c>
      <c r="BJ852" s="510">
        <v>10369.700000000001</v>
      </c>
      <c r="BK852" s="510">
        <v>0</v>
      </c>
      <c r="BL852" s="510">
        <v>0</v>
      </c>
      <c r="BM852" s="510">
        <v>0</v>
      </c>
      <c r="BN852" s="510">
        <v>5000</v>
      </c>
      <c r="BO852" s="510">
        <v>0</v>
      </c>
      <c r="BP852" s="510">
        <v>2000</v>
      </c>
      <c r="BQ852" s="510">
        <v>0</v>
      </c>
      <c r="BR852" s="510">
        <v>0</v>
      </c>
      <c r="BS852" s="510">
        <v>0</v>
      </c>
      <c r="BT852" s="510">
        <v>0</v>
      </c>
      <c r="BU852" s="510">
        <v>0</v>
      </c>
      <c r="BV852" s="510">
        <v>0</v>
      </c>
      <c r="BW852" s="510">
        <v>0</v>
      </c>
      <c r="BX852" s="510">
        <v>30000</v>
      </c>
      <c r="BY852" s="1011">
        <v>0</v>
      </c>
      <c r="BZ852" s="510">
        <v>0</v>
      </c>
      <c r="CA852" s="1011">
        <v>0</v>
      </c>
      <c r="CB852" s="510">
        <v>22000</v>
      </c>
      <c r="CC852" s="1011">
        <v>0</v>
      </c>
      <c r="CD852" s="510">
        <v>0</v>
      </c>
      <c r="CE852" s="1011">
        <v>0</v>
      </c>
      <c r="CF852" s="510">
        <v>45248.4</v>
      </c>
      <c r="CG852" s="1011">
        <v>0</v>
      </c>
      <c r="CH852" s="510">
        <v>0</v>
      </c>
      <c r="CI852" s="1011">
        <v>0</v>
      </c>
    </row>
    <row r="853" spans="1:87" x14ac:dyDescent="0.2">
      <c r="A853" s="449">
        <v>46</v>
      </c>
      <c r="B853" s="453">
        <v>93416</v>
      </c>
      <c r="C853" s="454" t="s">
        <v>7676</v>
      </c>
      <c r="D853" s="454" t="s">
        <v>517</v>
      </c>
      <c r="E853" s="454" t="s">
        <v>7677</v>
      </c>
      <c r="F853" s="454" t="s">
        <v>521</v>
      </c>
      <c r="G853" s="454" t="s">
        <v>13716</v>
      </c>
      <c r="H853" s="455">
        <v>43761329000188</v>
      </c>
      <c r="I853" s="462">
        <v>29397</v>
      </c>
      <c r="J853" s="457">
        <v>37550268</v>
      </c>
      <c r="K853" s="454" t="s">
        <v>7678</v>
      </c>
      <c r="L853" s="458">
        <v>115</v>
      </c>
      <c r="M853" s="454" t="s">
        <v>7679</v>
      </c>
      <c r="N853" s="459">
        <v>4816090</v>
      </c>
      <c r="O853" s="460">
        <v>56674466</v>
      </c>
      <c r="P853" s="462">
        <v>98992</v>
      </c>
      <c r="Q853" s="462">
        <v>47</v>
      </c>
      <c r="R853" s="462">
        <v>43934</v>
      </c>
      <c r="S853" s="463">
        <v>730</v>
      </c>
      <c r="T853" s="464">
        <v>5.4</v>
      </c>
      <c r="U853" s="465">
        <v>3942</v>
      </c>
      <c r="V853" s="465">
        <v>18720</v>
      </c>
      <c r="W853" s="466">
        <v>0</v>
      </c>
      <c r="X853" s="467">
        <v>1</v>
      </c>
      <c r="Y853" s="466">
        <v>0</v>
      </c>
      <c r="Z853" s="468" t="s">
        <v>514</v>
      </c>
      <c r="AA853" s="466">
        <v>0</v>
      </c>
      <c r="AB853" s="466">
        <v>0</v>
      </c>
      <c r="AC853" s="467">
        <v>0</v>
      </c>
      <c r="AD853" s="466">
        <v>0</v>
      </c>
      <c r="AE853" s="468" t="s">
        <v>514</v>
      </c>
      <c r="AF853" s="466">
        <v>0</v>
      </c>
      <c r="AG853" s="466">
        <v>0</v>
      </c>
      <c r="AH853" s="466">
        <v>0</v>
      </c>
      <c r="AI853" s="466">
        <v>0</v>
      </c>
      <c r="AJ853" s="469" t="s">
        <v>1624</v>
      </c>
      <c r="AK853" s="470" t="s">
        <v>1625</v>
      </c>
      <c r="AL853" s="471" t="s">
        <v>7680</v>
      </c>
      <c r="AM853" s="470" t="s">
        <v>7681</v>
      </c>
      <c r="AN853" s="470" t="s">
        <v>1385</v>
      </c>
      <c r="AO853" s="470" t="s">
        <v>13717</v>
      </c>
      <c r="AP853" s="470" t="s">
        <v>7682</v>
      </c>
      <c r="AQ853" s="470" t="s">
        <v>7676</v>
      </c>
      <c r="AR853" s="472" t="s">
        <v>515</v>
      </c>
      <c r="AS853" s="473" t="s">
        <v>1385</v>
      </c>
      <c r="AT853" s="472" t="s">
        <v>517</v>
      </c>
      <c r="AU853" s="472" t="s">
        <v>420</v>
      </c>
      <c r="AV853" s="472">
        <v>2020</v>
      </c>
      <c r="AW853" s="474" t="s">
        <v>15078</v>
      </c>
      <c r="AX853" s="475" t="s">
        <v>15079</v>
      </c>
      <c r="AY853" s="515">
        <v>1</v>
      </c>
      <c r="AZ853" s="474" t="s">
        <v>15079</v>
      </c>
      <c r="BA853" s="472" t="s">
        <v>1385</v>
      </c>
      <c r="BB853" s="472" t="s">
        <v>1385</v>
      </c>
      <c r="BC853" s="472" t="s">
        <v>1385</v>
      </c>
      <c r="BD853" s="472" t="s">
        <v>1385</v>
      </c>
      <c r="BE853" s="472" t="s">
        <v>1385</v>
      </c>
      <c r="BF853" s="509">
        <v>33993</v>
      </c>
      <c r="BG853" s="509">
        <v>0</v>
      </c>
      <c r="BH853" s="472" t="s">
        <v>516</v>
      </c>
      <c r="BI853" s="510">
        <v>0</v>
      </c>
      <c r="BJ853" s="510">
        <v>0</v>
      </c>
      <c r="BK853" s="510">
        <v>0</v>
      </c>
      <c r="BL853" s="510">
        <v>0</v>
      </c>
      <c r="BM853" s="510">
        <v>0</v>
      </c>
      <c r="BN853" s="510">
        <v>0</v>
      </c>
      <c r="BO853" s="510">
        <v>600</v>
      </c>
      <c r="BP853" s="510">
        <v>1400</v>
      </c>
      <c r="BQ853" s="510">
        <v>0</v>
      </c>
      <c r="BR853" s="510">
        <v>0</v>
      </c>
      <c r="BS853" s="510">
        <v>0</v>
      </c>
      <c r="BT853" s="510">
        <v>0</v>
      </c>
      <c r="BU853" s="510">
        <v>0</v>
      </c>
      <c r="BV853" s="510">
        <v>0</v>
      </c>
      <c r="BW853" s="510">
        <v>0</v>
      </c>
      <c r="BX853" s="510">
        <v>0</v>
      </c>
      <c r="BY853" s="1011">
        <v>0</v>
      </c>
      <c r="BZ853" s="510">
        <v>0</v>
      </c>
      <c r="CA853" s="1011">
        <v>0</v>
      </c>
      <c r="CB853" s="510">
        <v>0</v>
      </c>
      <c r="CC853" s="1011">
        <v>0</v>
      </c>
      <c r="CD853" s="510">
        <v>0</v>
      </c>
      <c r="CE853" s="1011">
        <v>0</v>
      </c>
      <c r="CF853" s="510">
        <v>0</v>
      </c>
      <c r="CG853" s="1011">
        <v>0</v>
      </c>
      <c r="CH853" s="510">
        <v>0</v>
      </c>
      <c r="CI853" s="1011">
        <v>0</v>
      </c>
    </row>
    <row r="854" spans="1:87" x14ac:dyDescent="0.2">
      <c r="A854" s="449">
        <v>51</v>
      </c>
      <c r="B854" s="453">
        <v>93424</v>
      </c>
      <c r="C854" s="454" t="s">
        <v>7683</v>
      </c>
      <c r="D854" s="454" t="s">
        <v>517</v>
      </c>
      <c r="E854" s="454" t="s">
        <v>7684</v>
      </c>
      <c r="F854" s="454" t="s">
        <v>521</v>
      </c>
      <c r="G854" s="454" t="s">
        <v>13718</v>
      </c>
      <c r="H854" s="455">
        <v>50632470000146</v>
      </c>
      <c r="I854" s="462">
        <v>28843</v>
      </c>
      <c r="J854" s="457">
        <v>37549928</v>
      </c>
      <c r="K854" s="454" t="s">
        <v>7685</v>
      </c>
      <c r="L854" s="458" t="s">
        <v>1446</v>
      </c>
      <c r="M854" s="454" t="s">
        <v>3226</v>
      </c>
      <c r="N854" s="459">
        <v>4810140</v>
      </c>
      <c r="O854" s="460">
        <v>56690999</v>
      </c>
      <c r="P854" s="462">
        <v>93478</v>
      </c>
      <c r="Q854" s="462">
        <v>59</v>
      </c>
      <c r="R854" s="462">
        <v>43934</v>
      </c>
      <c r="S854" s="463">
        <v>985</v>
      </c>
      <c r="T854" s="464">
        <v>5.4</v>
      </c>
      <c r="U854" s="465">
        <v>5319</v>
      </c>
      <c r="V854" s="465">
        <v>20340</v>
      </c>
      <c r="W854" s="466">
        <v>0</v>
      </c>
      <c r="X854" s="467">
        <v>1</v>
      </c>
      <c r="Y854" s="466">
        <v>38488.5</v>
      </c>
      <c r="Z854" s="468" t="s">
        <v>516</v>
      </c>
      <c r="AA854" s="466">
        <v>142578.9</v>
      </c>
      <c r="AB854" s="466">
        <v>142578.9</v>
      </c>
      <c r="AC854" s="467">
        <v>0</v>
      </c>
      <c r="AD854" s="466">
        <v>0</v>
      </c>
      <c r="AE854" s="468" t="s">
        <v>516</v>
      </c>
      <c r="AF854" s="466">
        <v>1800</v>
      </c>
      <c r="AG854" s="466">
        <v>1800</v>
      </c>
      <c r="AH854" s="466">
        <v>44807.46</v>
      </c>
      <c r="AI854" s="466">
        <v>12706.42</v>
      </c>
      <c r="AJ854" s="469" t="s">
        <v>1624</v>
      </c>
      <c r="AK854" s="470" t="s">
        <v>1625</v>
      </c>
      <c r="AL854" s="471" t="s">
        <v>7686</v>
      </c>
      <c r="AM854" s="470" t="s">
        <v>13719</v>
      </c>
      <c r="AN854" s="470" t="s">
        <v>1385</v>
      </c>
      <c r="AO854" s="470" t="s">
        <v>14909</v>
      </c>
      <c r="AP854" s="470" t="s">
        <v>7687</v>
      </c>
      <c r="AQ854" s="470" t="s">
        <v>7683</v>
      </c>
      <c r="AR854" s="472" t="s">
        <v>515</v>
      </c>
      <c r="AS854" s="473" t="s">
        <v>1385</v>
      </c>
      <c r="AT854" s="472" t="s">
        <v>517</v>
      </c>
      <c r="AU854" s="472" t="s">
        <v>420</v>
      </c>
      <c r="AV854" s="472">
        <v>2020</v>
      </c>
      <c r="AW854" s="474" t="s">
        <v>15078</v>
      </c>
      <c r="AX854" s="475" t="s">
        <v>15079</v>
      </c>
      <c r="AY854" s="515">
        <v>1</v>
      </c>
      <c r="AZ854" s="474" t="s">
        <v>15079</v>
      </c>
      <c r="BA854" s="472" t="s">
        <v>517</v>
      </c>
      <c r="BB854" s="472" t="s">
        <v>1385</v>
      </c>
      <c r="BC854" s="472" t="s">
        <v>1385</v>
      </c>
      <c r="BD854" s="472" t="s">
        <v>1385</v>
      </c>
      <c r="BE854" s="472" t="s">
        <v>1385</v>
      </c>
      <c r="BF854" s="472">
        <v>38488.5</v>
      </c>
      <c r="BG854" s="472">
        <v>0</v>
      </c>
      <c r="BH854" s="472" t="s">
        <v>1385</v>
      </c>
      <c r="BI854" s="510">
        <v>0</v>
      </c>
      <c r="BJ854" s="510">
        <v>0</v>
      </c>
      <c r="BK854" s="510">
        <v>0</v>
      </c>
      <c r="BL854" s="510">
        <v>3500</v>
      </c>
      <c r="BM854" s="510">
        <v>0</v>
      </c>
      <c r="BN854" s="510">
        <v>5000</v>
      </c>
      <c r="BO854" s="510">
        <v>200</v>
      </c>
      <c r="BP854" s="510">
        <v>1800</v>
      </c>
      <c r="BQ854" s="510">
        <v>0</v>
      </c>
      <c r="BR854" s="510">
        <v>0</v>
      </c>
      <c r="BS854" s="510">
        <v>0</v>
      </c>
      <c r="BT854" s="510">
        <v>0</v>
      </c>
      <c r="BU854" s="510">
        <v>2500</v>
      </c>
      <c r="BV854" s="510">
        <v>2500</v>
      </c>
      <c r="BW854" s="510">
        <v>0</v>
      </c>
      <c r="BX854" s="510">
        <v>30000</v>
      </c>
      <c r="BY854" s="1011">
        <v>0</v>
      </c>
      <c r="BZ854" s="510">
        <v>0</v>
      </c>
      <c r="CA854" s="1011">
        <v>0</v>
      </c>
      <c r="CB854" s="510">
        <v>22000</v>
      </c>
      <c r="CC854" s="1011">
        <v>0</v>
      </c>
      <c r="CD854" s="510">
        <v>0</v>
      </c>
      <c r="CE854" s="1011">
        <v>0</v>
      </c>
      <c r="CF854" s="510">
        <v>51890.400000000001</v>
      </c>
      <c r="CG854" s="1011">
        <v>0</v>
      </c>
      <c r="CH854" s="510">
        <v>0</v>
      </c>
      <c r="CI854" s="1011">
        <v>0</v>
      </c>
    </row>
    <row r="855" spans="1:87" x14ac:dyDescent="0.2">
      <c r="A855" s="449">
        <v>36</v>
      </c>
      <c r="B855" s="453">
        <v>93432</v>
      </c>
      <c r="C855" s="454" t="s">
        <v>7688</v>
      </c>
      <c r="D855" s="454" t="s">
        <v>517</v>
      </c>
      <c r="E855" s="454" t="s">
        <v>7689</v>
      </c>
      <c r="F855" s="454" t="s">
        <v>518</v>
      </c>
      <c r="G855" s="454" t="s">
        <v>13720</v>
      </c>
      <c r="H855" s="455">
        <v>53835468000162</v>
      </c>
      <c r="I855" s="462">
        <v>30994</v>
      </c>
      <c r="J855" s="457">
        <v>37468723</v>
      </c>
      <c r="K855" s="454" t="s">
        <v>5715</v>
      </c>
      <c r="L855" s="458" t="s">
        <v>1446</v>
      </c>
      <c r="M855" s="454" t="s">
        <v>5716</v>
      </c>
      <c r="N855" s="459">
        <v>3577040</v>
      </c>
      <c r="O855" s="460">
        <v>27418263</v>
      </c>
      <c r="P855" s="462">
        <v>49967</v>
      </c>
      <c r="Q855" s="462">
        <v>81</v>
      </c>
      <c r="R855" s="462">
        <v>43934</v>
      </c>
      <c r="S855" s="463">
        <v>822</v>
      </c>
      <c r="T855" s="464">
        <v>5.4</v>
      </c>
      <c r="U855" s="465">
        <v>4438.8</v>
      </c>
      <c r="V855" s="465">
        <v>18720</v>
      </c>
      <c r="W855" s="466">
        <v>0</v>
      </c>
      <c r="X855" s="467">
        <v>1</v>
      </c>
      <c r="Y855" s="466">
        <v>34738.199999999997</v>
      </c>
      <c r="Z855" s="468" t="s">
        <v>516</v>
      </c>
      <c r="AA855" s="466">
        <v>131997.4</v>
      </c>
      <c r="AB855" s="466">
        <v>131997.4</v>
      </c>
      <c r="AC855" s="467">
        <v>0</v>
      </c>
      <c r="AD855" s="466">
        <v>0</v>
      </c>
      <c r="AE855" s="468" t="s">
        <v>516</v>
      </c>
      <c r="AF855" s="466">
        <v>0</v>
      </c>
      <c r="AG855" s="466">
        <v>0</v>
      </c>
      <c r="AH855" s="466">
        <v>21514.62</v>
      </c>
      <c r="AI855" s="466">
        <v>4671.28</v>
      </c>
      <c r="AJ855" s="469" t="s">
        <v>1560</v>
      </c>
      <c r="AK855" s="470" t="s">
        <v>5718</v>
      </c>
      <c r="AL855" s="471" t="s">
        <v>7691</v>
      </c>
      <c r="AM855" s="470" t="s">
        <v>7692</v>
      </c>
      <c r="AN855" s="470" t="s">
        <v>7690</v>
      </c>
      <c r="AO855" s="470" t="s">
        <v>15021</v>
      </c>
      <c r="AP855" s="470" t="s">
        <v>7693</v>
      </c>
      <c r="AQ855" s="470" t="s">
        <v>7688</v>
      </c>
      <c r="AR855" s="472" t="s">
        <v>515</v>
      </c>
      <c r="AS855" s="473" t="s">
        <v>1385</v>
      </c>
      <c r="AT855" s="472" t="s">
        <v>517</v>
      </c>
      <c r="AU855" s="472" t="s">
        <v>420</v>
      </c>
      <c r="AV855" s="472">
        <v>2020</v>
      </c>
      <c r="AW855" s="474" t="s">
        <v>15078</v>
      </c>
      <c r="AX855" s="475" t="s">
        <v>15079</v>
      </c>
      <c r="AY855" s="515">
        <v>1</v>
      </c>
      <c r="AZ855" s="474" t="s">
        <v>15079</v>
      </c>
      <c r="BA855" s="472" t="s">
        <v>517</v>
      </c>
      <c r="BB855" s="472" t="s">
        <v>1385</v>
      </c>
      <c r="BC855" s="472" t="s">
        <v>1385</v>
      </c>
      <c r="BD855" s="472" t="s">
        <v>1385</v>
      </c>
      <c r="BE855" s="472" t="s">
        <v>1385</v>
      </c>
      <c r="BF855" s="472">
        <v>34738.199999999997</v>
      </c>
      <c r="BG855" s="472">
        <v>0</v>
      </c>
      <c r="BH855" s="472" t="s">
        <v>1385</v>
      </c>
      <c r="BI855" s="510">
        <v>0</v>
      </c>
      <c r="BJ855" s="510">
        <v>0</v>
      </c>
      <c r="BK855" s="510">
        <v>0</v>
      </c>
      <c r="BL855" s="510">
        <v>2345.5</v>
      </c>
      <c r="BM855" s="510">
        <v>0</v>
      </c>
      <c r="BN855" s="510">
        <v>5000</v>
      </c>
      <c r="BO855" s="510">
        <v>0</v>
      </c>
      <c r="BP855" s="510">
        <v>0</v>
      </c>
      <c r="BQ855" s="510">
        <v>0</v>
      </c>
      <c r="BR855" s="510">
        <v>0</v>
      </c>
      <c r="BS855" s="510">
        <v>0</v>
      </c>
      <c r="BT855" s="510">
        <v>0</v>
      </c>
      <c r="BU855" s="510">
        <v>2500</v>
      </c>
      <c r="BV855" s="510">
        <v>2500</v>
      </c>
      <c r="BW855" s="510">
        <v>0</v>
      </c>
      <c r="BX855" s="510">
        <v>30000</v>
      </c>
      <c r="BY855" s="1011">
        <v>0</v>
      </c>
      <c r="BZ855" s="510">
        <v>0</v>
      </c>
      <c r="CA855" s="1011">
        <v>0</v>
      </c>
      <c r="CB855" s="510">
        <v>22000</v>
      </c>
      <c r="CC855" s="1011">
        <v>0</v>
      </c>
      <c r="CD855" s="510">
        <v>0</v>
      </c>
      <c r="CE855" s="1011">
        <v>0</v>
      </c>
      <c r="CF855" s="510">
        <v>45259.199999999997</v>
      </c>
      <c r="CG855" s="1011">
        <v>0</v>
      </c>
      <c r="CH855" s="510">
        <v>0</v>
      </c>
      <c r="CI855" s="1011">
        <v>0</v>
      </c>
    </row>
    <row r="856" spans="1:87" x14ac:dyDescent="0.2">
      <c r="A856" s="449">
        <v>34</v>
      </c>
      <c r="B856" s="453">
        <v>93441</v>
      </c>
      <c r="C856" s="454" t="s">
        <v>7694</v>
      </c>
      <c r="D856" s="454" t="s">
        <v>517</v>
      </c>
      <c r="E856" s="454" t="s">
        <v>7695</v>
      </c>
      <c r="F856" s="454" t="s">
        <v>518</v>
      </c>
      <c r="G856" s="454" t="s">
        <v>13721</v>
      </c>
      <c r="H856" s="455">
        <v>50860386000180</v>
      </c>
      <c r="I856" s="462">
        <v>29864</v>
      </c>
      <c r="J856" s="457">
        <v>37497626</v>
      </c>
      <c r="K856" s="454" t="s">
        <v>5724</v>
      </c>
      <c r="L856" s="458">
        <v>337</v>
      </c>
      <c r="M856" s="454" t="s">
        <v>5363</v>
      </c>
      <c r="N856" s="459">
        <v>3584000</v>
      </c>
      <c r="O856" s="460">
        <v>27421210</v>
      </c>
      <c r="P856" s="462">
        <v>49924</v>
      </c>
      <c r="Q856" s="462">
        <v>79</v>
      </c>
      <c r="R856" s="462">
        <v>43955</v>
      </c>
      <c r="S856" s="463">
        <v>1305</v>
      </c>
      <c r="T856" s="464">
        <v>5.4</v>
      </c>
      <c r="U856" s="465">
        <v>7047</v>
      </c>
      <c r="V856" s="465">
        <v>21960</v>
      </c>
      <c r="W856" s="466">
        <v>0</v>
      </c>
      <c r="X856" s="467">
        <v>1</v>
      </c>
      <c r="Y856" s="466">
        <v>43510.5</v>
      </c>
      <c r="Z856" s="468" t="s">
        <v>516</v>
      </c>
      <c r="AA856" s="466">
        <v>152984.5</v>
      </c>
      <c r="AB856" s="466">
        <v>152984.5</v>
      </c>
      <c r="AC856" s="467">
        <v>0</v>
      </c>
      <c r="AD856" s="466">
        <v>0</v>
      </c>
      <c r="AE856" s="468" t="s">
        <v>516</v>
      </c>
      <c r="AF856" s="466">
        <v>0</v>
      </c>
      <c r="AG856" s="466">
        <v>0</v>
      </c>
      <c r="AH856" s="466">
        <v>26907.16</v>
      </c>
      <c r="AI856" s="466">
        <v>3657.54</v>
      </c>
      <c r="AJ856" s="469" t="s">
        <v>2196</v>
      </c>
      <c r="AK856" s="470" t="s">
        <v>1776</v>
      </c>
      <c r="AL856" s="471" t="s">
        <v>7697</v>
      </c>
      <c r="AM856" s="470" t="s">
        <v>13722</v>
      </c>
      <c r="AN856" s="470" t="s">
        <v>7696</v>
      </c>
      <c r="AO856" s="470" t="s">
        <v>15022</v>
      </c>
      <c r="AP856" s="470" t="s">
        <v>7698</v>
      </c>
      <c r="AQ856" s="470" t="s">
        <v>7694</v>
      </c>
      <c r="AR856" s="472" t="s">
        <v>515</v>
      </c>
      <c r="AS856" s="473" t="s">
        <v>1385</v>
      </c>
      <c r="AT856" s="472" t="s">
        <v>517</v>
      </c>
      <c r="AU856" s="472" t="s">
        <v>420</v>
      </c>
      <c r="AV856" s="472">
        <v>2020</v>
      </c>
      <c r="AW856" s="474" t="s">
        <v>15078</v>
      </c>
      <c r="AX856" s="475" t="s">
        <v>15079</v>
      </c>
      <c r="AY856" s="515">
        <v>1</v>
      </c>
      <c r="AZ856" s="474" t="s">
        <v>15079</v>
      </c>
      <c r="BA856" s="472" t="s">
        <v>517</v>
      </c>
      <c r="BB856" s="472" t="s">
        <v>1385</v>
      </c>
      <c r="BC856" s="472" t="s">
        <v>1385</v>
      </c>
      <c r="BD856" s="472" t="s">
        <v>1385</v>
      </c>
      <c r="BE856" s="472" t="s">
        <v>1385</v>
      </c>
      <c r="BF856" s="472">
        <v>43510.5</v>
      </c>
      <c r="BG856" s="472">
        <v>0</v>
      </c>
      <c r="BH856" s="472" t="s">
        <v>1385</v>
      </c>
      <c r="BI856" s="510">
        <v>0</v>
      </c>
      <c r="BJ856" s="510">
        <v>2.2999999999999998</v>
      </c>
      <c r="BK856" s="510">
        <v>0</v>
      </c>
      <c r="BL856" s="510">
        <v>72.900000000000006</v>
      </c>
      <c r="BM856" s="510">
        <v>0</v>
      </c>
      <c r="BN856" s="510">
        <v>6000</v>
      </c>
      <c r="BO856" s="510">
        <v>0</v>
      </c>
      <c r="BP856" s="510">
        <v>0</v>
      </c>
      <c r="BQ856" s="510">
        <v>0</v>
      </c>
      <c r="BR856" s="510">
        <v>0</v>
      </c>
      <c r="BS856" s="510">
        <v>0</v>
      </c>
      <c r="BT856" s="510">
        <v>0</v>
      </c>
      <c r="BU856" s="510">
        <v>2500</v>
      </c>
      <c r="BV856" s="510">
        <v>2500</v>
      </c>
      <c r="BW856" s="510">
        <v>0</v>
      </c>
      <c r="BX856" s="510">
        <v>30000</v>
      </c>
      <c r="BY856" s="1011">
        <v>0</v>
      </c>
      <c r="BZ856" s="510">
        <v>0</v>
      </c>
      <c r="CA856" s="1011">
        <v>0</v>
      </c>
      <c r="CB856" s="510">
        <v>22000</v>
      </c>
      <c r="CC856" s="1011">
        <v>0</v>
      </c>
      <c r="CD856" s="510">
        <v>0</v>
      </c>
      <c r="CE856" s="1011">
        <v>0</v>
      </c>
      <c r="CF856" s="510">
        <v>57474</v>
      </c>
      <c r="CG856" s="1011">
        <v>0</v>
      </c>
      <c r="CH856" s="510">
        <v>0</v>
      </c>
      <c r="CI856" s="1011">
        <v>0</v>
      </c>
    </row>
    <row r="857" spans="1:87" x14ac:dyDescent="0.2">
      <c r="A857" s="449">
        <v>38</v>
      </c>
      <c r="B857" s="453">
        <v>93459</v>
      </c>
      <c r="C857" s="454" t="s">
        <v>7699</v>
      </c>
      <c r="D857" s="454" t="s">
        <v>517</v>
      </c>
      <c r="E857" s="454" t="s">
        <v>7700</v>
      </c>
      <c r="F857" s="454" t="s">
        <v>518</v>
      </c>
      <c r="G857" s="454" t="s">
        <v>13723</v>
      </c>
      <c r="H857" s="455">
        <v>44416220000176</v>
      </c>
      <c r="I857" s="462">
        <v>29412</v>
      </c>
      <c r="J857" s="457">
        <v>37468677</v>
      </c>
      <c r="K857" s="454" t="s">
        <v>7702</v>
      </c>
      <c r="L857" s="458">
        <v>100</v>
      </c>
      <c r="M857" s="454" t="s">
        <v>1775</v>
      </c>
      <c r="N857" s="459">
        <v>3583170</v>
      </c>
      <c r="O857" s="460">
        <v>27437984</v>
      </c>
      <c r="P857" s="462">
        <v>49983</v>
      </c>
      <c r="Q857" s="462">
        <v>83</v>
      </c>
      <c r="R857" s="462">
        <v>43934</v>
      </c>
      <c r="S857" s="463">
        <v>771</v>
      </c>
      <c r="T857" s="464">
        <v>5.4</v>
      </c>
      <c r="U857" s="465">
        <v>4163.3999999999996</v>
      </c>
      <c r="V857" s="465">
        <v>18720</v>
      </c>
      <c r="W857" s="466">
        <v>0</v>
      </c>
      <c r="X857" s="467">
        <v>1</v>
      </c>
      <c r="Y857" s="466">
        <v>34325.1</v>
      </c>
      <c r="Z857" s="468" t="s">
        <v>516</v>
      </c>
      <c r="AA857" s="466">
        <v>132973.1</v>
      </c>
      <c r="AB857" s="466">
        <v>132973.1</v>
      </c>
      <c r="AC857" s="467">
        <v>0</v>
      </c>
      <c r="AD857" s="466">
        <v>0</v>
      </c>
      <c r="AE857" s="468" t="s">
        <v>516</v>
      </c>
      <c r="AF857" s="466">
        <v>1000</v>
      </c>
      <c r="AG857" s="466">
        <v>1000</v>
      </c>
      <c r="AH857" s="466">
        <v>30567.13</v>
      </c>
      <c r="AI857" s="466">
        <v>6865.02</v>
      </c>
      <c r="AJ857" s="469" t="s">
        <v>2196</v>
      </c>
      <c r="AK857" s="470" t="s">
        <v>2197</v>
      </c>
      <c r="AL857" s="471" t="s">
        <v>7703</v>
      </c>
      <c r="AM857" s="470" t="s">
        <v>7704</v>
      </c>
      <c r="AN857" s="470" t="s">
        <v>7701</v>
      </c>
      <c r="AO857" s="470" t="s">
        <v>15023</v>
      </c>
      <c r="AP857" s="470" t="s">
        <v>7705</v>
      </c>
      <c r="AQ857" s="470" t="s">
        <v>7699</v>
      </c>
      <c r="AR857" s="472" t="s">
        <v>515</v>
      </c>
      <c r="AS857" s="473" t="s">
        <v>1385</v>
      </c>
      <c r="AT857" s="472" t="s">
        <v>517</v>
      </c>
      <c r="AU857" s="472" t="s">
        <v>420</v>
      </c>
      <c r="AV857" s="472">
        <v>2020</v>
      </c>
      <c r="AW857" s="474" t="s">
        <v>15078</v>
      </c>
      <c r="AX857" s="475" t="s">
        <v>15079</v>
      </c>
      <c r="AY857" s="515">
        <v>1</v>
      </c>
      <c r="AZ857" s="474" t="s">
        <v>15079</v>
      </c>
      <c r="BA857" s="472" t="s">
        <v>517</v>
      </c>
      <c r="BB857" s="472" t="s">
        <v>1385</v>
      </c>
      <c r="BC857" s="472" t="s">
        <v>1385</v>
      </c>
      <c r="BD857" s="472" t="s">
        <v>1385</v>
      </c>
      <c r="BE857" s="472" t="s">
        <v>1385</v>
      </c>
      <c r="BF857" s="509">
        <v>34325.1</v>
      </c>
      <c r="BG857" s="509">
        <v>0</v>
      </c>
      <c r="BH857" s="472" t="s">
        <v>1385</v>
      </c>
      <c r="BI857" s="510">
        <v>0</v>
      </c>
      <c r="BJ857" s="510">
        <v>0</v>
      </c>
      <c r="BK857" s="510">
        <v>0</v>
      </c>
      <c r="BL857" s="510">
        <v>3500</v>
      </c>
      <c r="BM857" s="510">
        <v>0</v>
      </c>
      <c r="BN857" s="510">
        <v>5000</v>
      </c>
      <c r="BO857" s="510">
        <v>1000</v>
      </c>
      <c r="BP857" s="510">
        <v>1000</v>
      </c>
      <c r="BQ857" s="510">
        <v>0</v>
      </c>
      <c r="BR857" s="510">
        <v>0</v>
      </c>
      <c r="BS857" s="510">
        <v>0</v>
      </c>
      <c r="BT857" s="510">
        <v>0</v>
      </c>
      <c r="BU857" s="510">
        <v>2500</v>
      </c>
      <c r="BV857" s="510">
        <v>2500</v>
      </c>
      <c r="BW857" s="510">
        <v>0</v>
      </c>
      <c r="BX857" s="510">
        <v>30000</v>
      </c>
      <c r="BY857" s="1011">
        <v>0</v>
      </c>
      <c r="BZ857" s="510">
        <v>0</v>
      </c>
      <c r="CA857" s="1011">
        <v>0</v>
      </c>
      <c r="CB857" s="510">
        <v>22000</v>
      </c>
      <c r="CC857" s="1011">
        <v>0</v>
      </c>
      <c r="CD857" s="510">
        <v>0</v>
      </c>
      <c r="CE857" s="1011">
        <v>0</v>
      </c>
      <c r="CF857" s="510">
        <v>45648</v>
      </c>
      <c r="CG857" s="1011">
        <v>0</v>
      </c>
      <c r="CH857" s="510">
        <v>0</v>
      </c>
      <c r="CI857" s="1011">
        <v>0</v>
      </c>
    </row>
    <row r="858" spans="1:87" x14ac:dyDescent="0.2">
      <c r="A858" s="449">
        <v>37</v>
      </c>
      <c r="B858" s="453">
        <v>93467</v>
      </c>
      <c r="C858" s="454" t="s">
        <v>7706</v>
      </c>
      <c r="D858" s="454" t="s">
        <v>517</v>
      </c>
      <c r="E858" s="454" t="s">
        <v>7707</v>
      </c>
      <c r="F858" s="454" t="s">
        <v>518</v>
      </c>
      <c r="G858" s="454" t="s">
        <v>13724</v>
      </c>
      <c r="H858" s="455">
        <v>55905954000135</v>
      </c>
      <c r="I858" s="462">
        <v>29295</v>
      </c>
      <c r="J858" s="457">
        <v>37468693</v>
      </c>
      <c r="K858" s="454" t="s">
        <v>7709</v>
      </c>
      <c r="L858" s="458">
        <v>431</v>
      </c>
      <c r="M858" s="454" t="s">
        <v>1692</v>
      </c>
      <c r="N858" s="459">
        <v>8280000</v>
      </c>
      <c r="O858" s="460">
        <v>27486358</v>
      </c>
      <c r="P858" s="462">
        <v>49975</v>
      </c>
      <c r="Q858" s="462">
        <v>82</v>
      </c>
      <c r="R858" s="462">
        <v>43934</v>
      </c>
      <c r="S858" s="463">
        <v>784</v>
      </c>
      <c r="T858" s="464">
        <v>5.4</v>
      </c>
      <c r="U858" s="465">
        <v>4233.6000000000004</v>
      </c>
      <c r="V858" s="465">
        <v>18720</v>
      </c>
      <c r="W858" s="466">
        <v>0</v>
      </c>
      <c r="X858" s="467">
        <v>1</v>
      </c>
      <c r="Y858" s="466">
        <v>0</v>
      </c>
      <c r="Z858" s="468" t="s">
        <v>514</v>
      </c>
      <c r="AA858" s="466">
        <v>0</v>
      </c>
      <c r="AB858" s="466">
        <v>0</v>
      </c>
      <c r="AC858" s="467">
        <v>0</v>
      </c>
      <c r="AD858" s="466">
        <v>0</v>
      </c>
      <c r="AE858" s="468" t="s">
        <v>516</v>
      </c>
      <c r="AF858" s="466">
        <v>0</v>
      </c>
      <c r="AG858" s="466">
        <v>0</v>
      </c>
      <c r="AH858" s="466">
        <v>0</v>
      </c>
      <c r="AI858" s="466">
        <v>0</v>
      </c>
      <c r="AJ858" s="469" t="s">
        <v>6139</v>
      </c>
      <c r="AK858" s="470" t="s">
        <v>2615</v>
      </c>
      <c r="AL858" s="471" t="s">
        <v>7710</v>
      </c>
      <c r="AM858" s="470" t="s">
        <v>7711</v>
      </c>
      <c r="AN858" s="470" t="s">
        <v>7708</v>
      </c>
      <c r="AO858" s="470" t="s">
        <v>15024</v>
      </c>
      <c r="AP858" s="470" t="s">
        <v>7712</v>
      </c>
      <c r="AQ858" s="470" t="s">
        <v>7706</v>
      </c>
      <c r="AR858" s="472" t="s">
        <v>515</v>
      </c>
      <c r="AS858" s="473" t="s">
        <v>1385</v>
      </c>
      <c r="AT858" s="472" t="s">
        <v>517</v>
      </c>
      <c r="AU858" s="472" t="s">
        <v>420</v>
      </c>
      <c r="AV858" s="472">
        <v>2020</v>
      </c>
      <c r="AW858" s="474" t="s">
        <v>15078</v>
      </c>
      <c r="AX858" s="475" t="s">
        <v>15079</v>
      </c>
      <c r="AY858" s="515">
        <v>1</v>
      </c>
      <c r="AZ858" s="474" t="s">
        <v>15079</v>
      </c>
      <c r="BA858" s="472" t="s">
        <v>1385</v>
      </c>
      <c r="BB858" s="472" t="s">
        <v>1385</v>
      </c>
      <c r="BC858" s="472" t="s">
        <v>1385</v>
      </c>
      <c r="BD858" s="472" t="s">
        <v>1385</v>
      </c>
      <c r="BE858" s="472" t="s">
        <v>1385</v>
      </c>
      <c r="BF858" s="472">
        <v>34430.400000000001</v>
      </c>
      <c r="BG858" s="472">
        <v>0</v>
      </c>
      <c r="BH858" s="472" t="s">
        <v>516</v>
      </c>
      <c r="BI858" s="510">
        <v>0</v>
      </c>
      <c r="BJ858" s="510">
        <v>0</v>
      </c>
      <c r="BK858" s="510">
        <v>0</v>
      </c>
      <c r="BL858" s="510">
        <v>0</v>
      </c>
      <c r="BM858" s="510">
        <v>0</v>
      </c>
      <c r="BN858" s="510">
        <v>0</v>
      </c>
      <c r="BO858" s="510">
        <v>0</v>
      </c>
      <c r="BP858" s="510">
        <v>0</v>
      </c>
      <c r="BQ858" s="510">
        <v>0</v>
      </c>
      <c r="BR858" s="510">
        <v>0</v>
      </c>
      <c r="BS858" s="510">
        <v>0</v>
      </c>
      <c r="BT858" s="510">
        <v>0</v>
      </c>
      <c r="BU858" s="510">
        <v>0</v>
      </c>
      <c r="BV858" s="510">
        <v>0</v>
      </c>
      <c r="BW858" s="510">
        <v>0</v>
      </c>
      <c r="BX858" s="510">
        <v>0</v>
      </c>
      <c r="BY858" s="1011">
        <v>0</v>
      </c>
      <c r="BZ858" s="510">
        <v>0</v>
      </c>
      <c r="CA858" s="1011">
        <v>0</v>
      </c>
      <c r="CB858" s="510">
        <v>0</v>
      </c>
      <c r="CC858" s="1011">
        <v>0</v>
      </c>
      <c r="CD858" s="510">
        <v>0</v>
      </c>
      <c r="CE858" s="1011">
        <v>0</v>
      </c>
      <c r="CF858" s="510">
        <v>0</v>
      </c>
      <c r="CG858" s="1011">
        <v>0</v>
      </c>
      <c r="CH858" s="510">
        <v>0</v>
      </c>
      <c r="CI858" s="1011">
        <v>0</v>
      </c>
    </row>
    <row r="859" spans="1:87" x14ac:dyDescent="0.2">
      <c r="A859" s="449">
        <v>31</v>
      </c>
      <c r="B859" s="453">
        <v>93475</v>
      </c>
      <c r="C859" s="454" t="s">
        <v>7713</v>
      </c>
      <c r="D859" s="454" t="s">
        <v>517</v>
      </c>
      <c r="E859" s="454" t="s">
        <v>7714</v>
      </c>
      <c r="F859" s="454" t="s">
        <v>518</v>
      </c>
      <c r="G859" s="454" t="s">
        <v>13725</v>
      </c>
      <c r="H859" s="455">
        <v>43455666000147</v>
      </c>
      <c r="I859" s="462">
        <v>29355</v>
      </c>
      <c r="J859" s="457">
        <v>37497685</v>
      </c>
      <c r="K859" s="454" t="s">
        <v>7716</v>
      </c>
      <c r="L859" s="458">
        <v>428</v>
      </c>
      <c r="M859" s="454" t="s">
        <v>518</v>
      </c>
      <c r="N859" s="459">
        <v>8225000</v>
      </c>
      <c r="O859" s="460">
        <v>22056385</v>
      </c>
      <c r="P859" s="462">
        <v>49860</v>
      </c>
      <c r="Q859" s="462">
        <v>76</v>
      </c>
      <c r="R859" s="462">
        <v>43934</v>
      </c>
      <c r="S859" s="463">
        <v>907</v>
      </c>
      <c r="T859" s="464">
        <v>5.4</v>
      </c>
      <c r="U859" s="465">
        <v>4897.8</v>
      </c>
      <c r="V859" s="465">
        <v>20340</v>
      </c>
      <c r="W859" s="466">
        <v>0</v>
      </c>
      <c r="X859" s="467">
        <v>1</v>
      </c>
      <c r="Y859" s="466">
        <v>37856.699999999997</v>
      </c>
      <c r="Z859" s="468" t="s">
        <v>516</v>
      </c>
      <c r="AA859" s="466">
        <v>136681.9</v>
      </c>
      <c r="AB859" s="466">
        <v>136681.9</v>
      </c>
      <c r="AC859" s="467">
        <v>0</v>
      </c>
      <c r="AD859" s="466">
        <v>0</v>
      </c>
      <c r="AE859" s="468" t="s">
        <v>516</v>
      </c>
      <c r="AF859" s="466">
        <v>2000</v>
      </c>
      <c r="AG859" s="466">
        <v>2000</v>
      </c>
      <c r="AH859" s="466">
        <v>35722.33</v>
      </c>
      <c r="AI859" s="466">
        <v>20925.689999999999</v>
      </c>
      <c r="AJ859" s="469" t="s">
        <v>1674</v>
      </c>
      <c r="AK859" s="470" t="s">
        <v>518</v>
      </c>
      <c r="AL859" s="471" t="s">
        <v>7717</v>
      </c>
      <c r="AM859" s="470" t="s">
        <v>7718</v>
      </c>
      <c r="AN859" s="470" t="s">
        <v>7715</v>
      </c>
      <c r="AO859" s="470" t="s">
        <v>15025</v>
      </c>
      <c r="AP859" s="470" t="s">
        <v>7719</v>
      </c>
      <c r="AQ859" s="470" t="s">
        <v>7713</v>
      </c>
      <c r="AR859" s="472" t="s">
        <v>515</v>
      </c>
      <c r="AS859" s="473" t="s">
        <v>1385</v>
      </c>
      <c r="AT859" s="472" t="s">
        <v>517</v>
      </c>
      <c r="AU859" s="472" t="s">
        <v>420</v>
      </c>
      <c r="AV859" s="472">
        <v>2020</v>
      </c>
      <c r="AW859" s="474" t="s">
        <v>15078</v>
      </c>
      <c r="AX859" s="475" t="s">
        <v>15079</v>
      </c>
      <c r="AY859" s="515">
        <v>1</v>
      </c>
      <c r="AZ859" s="474" t="s">
        <v>15079</v>
      </c>
      <c r="BA859" s="472" t="s">
        <v>517</v>
      </c>
      <c r="BB859" s="472" t="s">
        <v>1385</v>
      </c>
      <c r="BC859" s="472" t="s">
        <v>1385</v>
      </c>
      <c r="BD859" s="509" t="s">
        <v>1385</v>
      </c>
      <c r="BE859" s="472" t="s">
        <v>1385</v>
      </c>
      <c r="BF859" s="509">
        <v>37856.699999999997</v>
      </c>
      <c r="BG859" s="509">
        <v>0</v>
      </c>
      <c r="BH859" s="472" t="s">
        <v>1385</v>
      </c>
      <c r="BI859" s="510">
        <v>0</v>
      </c>
      <c r="BJ859" s="510">
        <v>7915.54</v>
      </c>
      <c r="BK859" s="510">
        <v>0</v>
      </c>
      <c r="BL859" s="510">
        <v>1154.17</v>
      </c>
      <c r="BM859" s="510">
        <v>0</v>
      </c>
      <c r="BN859" s="510">
        <v>5000</v>
      </c>
      <c r="BO859" s="510">
        <v>0</v>
      </c>
      <c r="BP859" s="510">
        <v>2000</v>
      </c>
      <c r="BQ859" s="510">
        <v>0</v>
      </c>
      <c r="BR859" s="510">
        <v>0</v>
      </c>
      <c r="BS859" s="510">
        <v>0</v>
      </c>
      <c r="BT859" s="510">
        <v>0</v>
      </c>
      <c r="BU859" s="510">
        <v>2500</v>
      </c>
      <c r="BV859" s="510">
        <v>2500</v>
      </c>
      <c r="BW859" s="510">
        <v>0</v>
      </c>
      <c r="BX859" s="510">
        <v>30000</v>
      </c>
      <c r="BY859" s="1011">
        <v>0</v>
      </c>
      <c r="BZ859" s="510">
        <v>0</v>
      </c>
      <c r="CA859" s="1011">
        <v>0</v>
      </c>
      <c r="CB859" s="510">
        <v>22000</v>
      </c>
      <c r="CC859" s="1011">
        <v>0</v>
      </c>
      <c r="CD859" s="510">
        <v>0</v>
      </c>
      <c r="CE859" s="1011">
        <v>0</v>
      </c>
      <c r="CF859" s="510">
        <v>46825.2</v>
      </c>
      <c r="CG859" s="1011">
        <v>0</v>
      </c>
      <c r="CH859" s="510">
        <v>0</v>
      </c>
      <c r="CI859" s="1011">
        <v>0</v>
      </c>
    </row>
    <row r="860" spans="1:87" x14ac:dyDescent="0.2">
      <c r="A860" s="449">
        <v>42</v>
      </c>
      <c r="B860" s="453">
        <v>93483</v>
      </c>
      <c r="C860" s="454" t="s">
        <v>7720</v>
      </c>
      <c r="D860" s="454" t="s">
        <v>517</v>
      </c>
      <c r="E860" s="454" t="s">
        <v>7721</v>
      </c>
      <c r="F860" s="454" t="s">
        <v>518</v>
      </c>
      <c r="G860" s="454" t="s">
        <v>13726</v>
      </c>
      <c r="H860" s="455">
        <v>43456979000110</v>
      </c>
      <c r="I860" s="462">
        <v>29283</v>
      </c>
      <c r="J860" s="457">
        <v>37469177</v>
      </c>
      <c r="K860" s="454" t="s">
        <v>7723</v>
      </c>
      <c r="L860" s="458">
        <v>50</v>
      </c>
      <c r="M860" s="454" t="s">
        <v>518</v>
      </c>
      <c r="N860" s="459">
        <v>8210530</v>
      </c>
      <c r="O860" s="460">
        <v>20791269</v>
      </c>
      <c r="P860" s="462">
        <v>50043</v>
      </c>
      <c r="Q860" s="462">
        <v>87</v>
      </c>
      <c r="R860" s="462">
        <v>43934</v>
      </c>
      <c r="S860" s="463">
        <v>996</v>
      </c>
      <c r="T860" s="464">
        <v>5.4</v>
      </c>
      <c r="U860" s="465">
        <v>5378.4</v>
      </c>
      <c r="V860" s="465">
        <v>20340</v>
      </c>
      <c r="W860" s="466">
        <v>0</v>
      </c>
      <c r="X860" s="467">
        <v>1</v>
      </c>
      <c r="Y860" s="466">
        <v>38577.599999999999</v>
      </c>
      <c r="Z860" s="468" t="s">
        <v>516</v>
      </c>
      <c r="AA860" s="466">
        <v>137132.79999999999</v>
      </c>
      <c r="AB860" s="466">
        <v>137132.79999999999</v>
      </c>
      <c r="AC860" s="467">
        <v>0</v>
      </c>
      <c r="AD860" s="466">
        <v>0</v>
      </c>
      <c r="AE860" s="468" t="s">
        <v>516</v>
      </c>
      <c r="AF860" s="466">
        <v>0</v>
      </c>
      <c r="AG860" s="466">
        <v>0</v>
      </c>
      <c r="AH860" s="466">
        <v>25112.04</v>
      </c>
      <c r="AI860" s="466">
        <v>43130.1</v>
      </c>
      <c r="AJ860" s="469" t="s">
        <v>7724</v>
      </c>
      <c r="AK860" s="470" t="s">
        <v>518</v>
      </c>
      <c r="AL860" s="471" t="s">
        <v>7725</v>
      </c>
      <c r="AM860" s="470" t="s">
        <v>7726</v>
      </c>
      <c r="AN860" s="470" t="s">
        <v>7722</v>
      </c>
      <c r="AO860" s="470" t="s">
        <v>15026</v>
      </c>
      <c r="AP860" s="470" t="s">
        <v>7727</v>
      </c>
      <c r="AQ860" s="470" t="s">
        <v>7720</v>
      </c>
      <c r="AR860" s="472" t="s">
        <v>515</v>
      </c>
      <c r="AS860" s="473" t="s">
        <v>1385</v>
      </c>
      <c r="AT860" s="472" t="s">
        <v>517</v>
      </c>
      <c r="AU860" s="472" t="s">
        <v>420</v>
      </c>
      <c r="AV860" s="472">
        <v>2020</v>
      </c>
      <c r="AW860" s="474" t="s">
        <v>15078</v>
      </c>
      <c r="AX860" s="475" t="s">
        <v>15079</v>
      </c>
      <c r="AY860" s="515">
        <v>1</v>
      </c>
      <c r="AZ860" s="474" t="s">
        <v>15079</v>
      </c>
      <c r="BA860" s="472" t="s">
        <v>517</v>
      </c>
      <c r="BB860" s="472" t="s">
        <v>1385</v>
      </c>
      <c r="BC860" s="472" t="s">
        <v>1385</v>
      </c>
      <c r="BD860" s="472" t="s">
        <v>1385</v>
      </c>
      <c r="BE860" s="472" t="s">
        <v>1385</v>
      </c>
      <c r="BF860" s="472">
        <v>38577.599999999999</v>
      </c>
      <c r="BG860" s="472">
        <v>0</v>
      </c>
      <c r="BH860" s="472" t="s">
        <v>1385</v>
      </c>
      <c r="BI860" s="510">
        <v>0</v>
      </c>
      <c r="BJ860" s="510">
        <v>14787.8</v>
      </c>
      <c r="BK860" s="510">
        <v>0</v>
      </c>
      <c r="BL860" s="510">
        <v>3500</v>
      </c>
      <c r="BM860" s="510">
        <v>0</v>
      </c>
      <c r="BN860" s="510">
        <v>5000</v>
      </c>
      <c r="BO860" s="510">
        <v>0</v>
      </c>
      <c r="BP860" s="510">
        <v>0</v>
      </c>
      <c r="BQ860" s="510">
        <v>0</v>
      </c>
      <c r="BR860" s="510">
        <v>0</v>
      </c>
      <c r="BS860" s="510">
        <v>0</v>
      </c>
      <c r="BT860" s="510">
        <v>0</v>
      </c>
      <c r="BU860" s="510">
        <v>0</v>
      </c>
      <c r="BV860" s="510">
        <v>0</v>
      </c>
      <c r="BW860" s="510">
        <v>0</v>
      </c>
      <c r="BX860" s="510">
        <v>30000</v>
      </c>
      <c r="BY860" s="1011">
        <v>0</v>
      </c>
      <c r="BZ860" s="510">
        <v>0</v>
      </c>
      <c r="CA860" s="1011">
        <v>0</v>
      </c>
      <c r="CB860" s="510">
        <v>22000</v>
      </c>
      <c r="CC860" s="1011">
        <v>0</v>
      </c>
      <c r="CD860" s="510">
        <v>0</v>
      </c>
      <c r="CE860" s="1011">
        <v>0</v>
      </c>
      <c r="CF860" s="510">
        <v>46555.199999999997</v>
      </c>
      <c r="CG860" s="1011">
        <v>0</v>
      </c>
      <c r="CH860" s="510">
        <v>0</v>
      </c>
      <c r="CI860" s="1011">
        <v>0</v>
      </c>
    </row>
    <row r="861" spans="1:87" x14ac:dyDescent="0.2">
      <c r="A861" s="449">
        <v>29</v>
      </c>
      <c r="B861" s="453">
        <v>93491</v>
      </c>
      <c r="C861" s="454" t="s">
        <v>7728</v>
      </c>
      <c r="D861" s="454" t="s">
        <v>517</v>
      </c>
      <c r="E861" s="454" t="s">
        <v>7729</v>
      </c>
      <c r="F861" s="454" t="s">
        <v>518</v>
      </c>
      <c r="G861" s="454" t="s">
        <v>13727</v>
      </c>
      <c r="H861" s="455">
        <v>117708000127</v>
      </c>
      <c r="I861" s="462">
        <v>34513</v>
      </c>
      <c r="J861" s="457">
        <v>37497766</v>
      </c>
      <c r="K861" s="454" t="s">
        <v>7731</v>
      </c>
      <c r="L861" s="458">
        <v>212</v>
      </c>
      <c r="M861" s="454" t="s">
        <v>7732</v>
      </c>
      <c r="N861" s="459">
        <v>8420130</v>
      </c>
      <c r="O861" s="460">
        <v>25544530</v>
      </c>
      <c r="P861" s="462">
        <v>49835</v>
      </c>
      <c r="Q861" s="462">
        <v>74</v>
      </c>
      <c r="R861" s="462">
        <v>43963</v>
      </c>
      <c r="S861" s="463">
        <v>907</v>
      </c>
      <c r="T861" s="464">
        <v>5.4</v>
      </c>
      <c r="U861" s="465">
        <v>4897.8</v>
      </c>
      <c r="V861" s="465">
        <v>20340</v>
      </c>
      <c r="W861" s="466">
        <v>0</v>
      </c>
      <c r="X861" s="467">
        <v>1</v>
      </c>
      <c r="Y861" s="466">
        <v>37856.699999999997</v>
      </c>
      <c r="Z861" s="468" t="s">
        <v>516</v>
      </c>
      <c r="AA861" s="466">
        <v>136357.9</v>
      </c>
      <c r="AB861" s="466">
        <v>136357.9</v>
      </c>
      <c r="AC861" s="467">
        <v>0</v>
      </c>
      <c r="AD861" s="466">
        <v>0</v>
      </c>
      <c r="AE861" s="468" t="s">
        <v>516</v>
      </c>
      <c r="AF861" s="466">
        <v>2000</v>
      </c>
      <c r="AG861" s="466">
        <v>2000</v>
      </c>
      <c r="AH861" s="466">
        <v>29702.78</v>
      </c>
      <c r="AI861" s="466">
        <v>8214.2800000000007</v>
      </c>
      <c r="AJ861" s="469" t="s">
        <v>1674</v>
      </c>
      <c r="AK861" s="470" t="s">
        <v>518</v>
      </c>
      <c r="AL861" s="471" t="s">
        <v>7733</v>
      </c>
      <c r="AM861" s="470" t="s">
        <v>7734</v>
      </c>
      <c r="AN861" s="470" t="s">
        <v>7730</v>
      </c>
      <c r="AO861" s="470" t="s">
        <v>15027</v>
      </c>
      <c r="AP861" s="470" t="s">
        <v>7735</v>
      </c>
      <c r="AQ861" s="470" t="s">
        <v>7728</v>
      </c>
      <c r="AR861" s="472" t="s">
        <v>515</v>
      </c>
      <c r="AS861" s="473" t="s">
        <v>1385</v>
      </c>
      <c r="AT861" s="472" t="s">
        <v>517</v>
      </c>
      <c r="AU861" s="472" t="s">
        <v>420</v>
      </c>
      <c r="AV861" s="472">
        <v>2020</v>
      </c>
      <c r="AW861" s="474" t="s">
        <v>15078</v>
      </c>
      <c r="AX861" s="475" t="s">
        <v>15079</v>
      </c>
      <c r="AY861" s="515">
        <v>1</v>
      </c>
      <c r="AZ861" s="474" t="s">
        <v>15079</v>
      </c>
      <c r="BA861" s="472" t="s">
        <v>517</v>
      </c>
      <c r="BB861" s="472" t="s">
        <v>1385</v>
      </c>
      <c r="BC861" s="472" t="s">
        <v>1385</v>
      </c>
      <c r="BD861" s="472" t="s">
        <v>1385</v>
      </c>
      <c r="BE861" s="472" t="s">
        <v>1385</v>
      </c>
      <c r="BF861" s="472">
        <v>37856.699999999997</v>
      </c>
      <c r="BG861" s="472">
        <v>0</v>
      </c>
      <c r="BH861" s="472" t="s">
        <v>1385</v>
      </c>
      <c r="BI861" s="510">
        <v>0</v>
      </c>
      <c r="BJ861" s="510">
        <v>0</v>
      </c>
      <c r="BK861" s="510">
        <v>0</v>
      </c>
      <c r="BL861" s="510">
        <v>0</v>
      </c>
      <c r="BM861" s="510">
        <v>0</v>
      </c>
      <c r="BN861" s="510">
        <v>5000</v>
      </c>
      <c r="BO861" s="510">
        <v>0</v>
      </c>
      <c r="BP861" s="510">
        <v>2000</v>
      </c>
      <c r="BQ861" s="510">
        <v>0</v>
      </c>
      <c r="BR861" s="510">
        <v>0</v>
      </c>
      <c r="BS861" s="510">
        <v>0</v>
      </c>
      <c r="BT861" s="510">
        <v>0</v>
      </c>
      <c r="BU861" s="510">
        <v>2500</v>
      </c>
      <c r="BV861" s="510">
        <v>2500</v>
      </c>
      <c r="BW861" s="510">
        <v>0</v>
      </c>
      <c r="BX861" s="510">
        <v>30000</v>
      </c>
      <c r="BY861" s="1011">
        <v>0</v>
      </c>
      <c r="BZ861" s="510">
        <v>0</v>
      </c>
      <c r="CA861" s="1011">
        <v>0</v>
      </c>
      <c r="CB861" s="510">
        <v>22000</v>
      </c>
      <c r="CC861" s="1011">
        <v>0</v>
      </c>
      <c r="CD861" s="510">
        <v>0</v>
      </c>
      <c r="CE861" s="1011">
        <v>0</v>
      </c>
      <c r="CF861" s="510">
        <v>46501.2</v>
      </c>
      <c r="CG861" s="1011">
        <v>0</v>
      </c>
      <c r="CH861" s="510">
        <v>0</v>
      </c>
      <c r="CI861" s="1011">
        <v>0</v>
      </c>
    </row>
    <row r="862" spans="1:87" x14ac:dyDescent="0.2">
      <c r="A862" s="449">
        <v>33</v>
      </c>
      <c r="B862" s="453">
        <v>93505</v>
      </c>
      <c r="C862" s="454" t="s">
        <v>7736</v>
      </c>
      <c r="D862" s="454" t="s">
        <v>517</v>
      </c>
      <c r="E862" s="454" t="s">
        <v>7737</v>
      </c>
      <c r="F862" s="454" t="s">
        <v>518</v>
      </c>
      <c r="G862" s="454" t="s">
        <v>13728</v>
      </c>
      <c r="H862" s="455">
        <v>53830196000108</v>
      </c>
      <c r="I862" s="462">
        <v>30946</v>
      </c>
      <c r="J862" s="457">
        <v>37497634</v>
      </c>
      <c r="K862" s="454" t="s">
        <v>7738</v>
      </c>
      <c r="L862" s="458">
        <v>195</v>
      </c>
      <c r="M862" s="454" t="s">
        <v>5831</v>
      </c>
      <c r="N862" s="459">
        <v>8420650</v>
      </c>
      <c r="O862" s="460">
        <v>25578194</v>
      </c>
      <c r="P862" s="462">
        <v>49908</v>
      </c>
      <c r="Q862" s="462">
        <v>78</v>
      </c>
      <c r="R862" s="462">
        <v>43934</v>
      </c>
      <c r="S862" s="463">
        <v>1270</v>
      </c>
      <c r="T862" s="464">
        <v>5.4</v>
      </c>
      <c r="U862" s="465">
        <v>6858</v>
      </c>
      <c r="V862" s="465">
        <v>21960</v>
      </c>
      <c r="W862" s="466">
        <v>0</v>
      </c>
      <c r="X862" s="467">
        <v>1</v>
      </c>
      <c r="Y862" s="466">
        <v>43227</v>
      </c>
      <c r="Z862" s="468" t="s">
        <v>516</v>
      </c>
      <c r="AA862" s="466">
        <v>149575.4</v>
      </c>
      <c r="AB862" s="466">
        <v>149575.4</v>
      </c>
      <c r="AC862" s="467">
        <v>0</v>
      </c>
      <c r="AD862" s="466">
        <v>0</v>
      </c>
      <c r="AE862" s="468" t="s">
        <v>516</v>
      </c>
      <c r="AF862" s="466">
        <v>1000</v>
      </c>
      <c r="AG862" s="466">
        <v>1000</v>
      </c>
      <c r="AH862" s="466">
        <v>23386.639999999999</v>
      </c>
      <c r="AI862" s="466">
        <v>455.49</v>
      </c>
      <c r="AJ862" s="469" t="s">
        <v>1674</v>
      </c>
      <c r="AK862" s="470" t="s">
        <v>518</v>
      </c>
      <c r="AL862" s="471" t="s">
        <v>7739</v>
      </c>
      <c r="AM862" s="470" t="s">
        <v>7740</v>
      </c>
      <c r="AN862" s="470" t="s">
        <v>7741</v>
      </c>
      <c r="AO862" s="470" t="s">
        <v>15028</v>
      </c>
      <c r="AP862" s="470" t="s">
        <v>7742</v>
      </c>
      <c r="AQ862" s="470" t="s">
        <v>7736</v>
      </c>
      <c r="AR862" s="472" t="s">
        <v>515</v>
      </c>
      <c r="AS862" s="473" t="s">
        <v>1385</v>
      </c>
      <c r="AT862" s="472" t="s">
        <v>517</v>
      </c>
      <c r="AU862" s="472" t="s">
        <v>420</v>
      </c>
      <c r="AV862" s="472">
        <v>2020</v>
      </c>
      <c r="AW862" s="474" t="s">
        <v>15078</v>
      </c>
      <c r="AX862" s="475" t="s">
        <v>15079</v>
      </c>
      <c r="AY862" s="515">
        <v>1</v>
      </c>
      <c r="AZ862" s="474" t="s">
        <v>15079</v>
      </c>
      <c r="BA862" s="472" t="s">
        <v>517</v>
      </c>
      <c r="BB862" s="472" t="s">
        <v>1385</v>
      </c>
      <c r="BC862" s="472" t="s">
        <v>1385</v>
      </c>
      <c r="BD862" s="472" t="s">
        <v>1385</v>
      </c>
      <c r="BE862" s="472" t="s">
        <v>1385</v>
      </c>
      <c r="BF862" s="472">
        <v>43227</v>
      </c>
      <c r="BG862" s="472">
        <v>0</v>
      </c>
      <c r="BH862" s="472" t="s">
        <v>1385</v>
      </c>
      <c r="BI862" s="510">
        <v>0</v>
      </c>
      <c r="BJ862" s="510">
        <v>0</v>
      </c>
      <c r="BK862" s="510">
        <v>0</v>
      </c>
      <c r="BL862" s="510">
        <v>710</v>
      </c>
      <c r="BM862" s="510">
        <v>0</v>
      </c>
      <c r="BN862" s="510">
        <v>6000</v>
      </c>
      <c r="BO862" s="510">
        <v>1000</v>
      </c>
      <c r="BP862" s="510">
        <v>1000</v>
      </c>
      <c r="BQ862" s="510">
        <v>0</v>
      </c>
      <c r="BR862" s="510">
        <v>0</v>
      </c>
      <c r="BS862" s="510">
        <v>0</v>
      </c>
      <c r="BT862" s="510">
        <v>0</v>
      </c>
      <c r="BU862" s="510">
        <v>2500</v>
      </c>
      <c r="BV862" s="510">
        <v>2500</v>
      </c>
      <c r="BW862" s="510">
        <v>0</v>
      </c>
      <c r="BX862" s="510">
        <v>30000</v>
      </c>
      <c r="BY862" s="1011">
        <v>0</v>
      </c>
      <c r="BZ862" s="510">
        <v>0</v>
      </c>
      <c r="CA862" s="1011">
        <v>0</v>
      </c>
      <c r="CB862" s="510">
        <v>22000</v>
      </c>
      <c r="CC862" s="1011">
        <v>0</v>
      </c>
      <c r="CD862" s="510">
        <v>0</v>
      </c>
      <c r="CE862" s="1011">
        <v>0</v>
      </c>
      <c r="CF862" s="510">
        <v>53348.4</v>
      </c>
      <c r="CG862" s="1011">
        <v>0</v>
      </c>
      <c r="CH862" s="510">
        <v>0</v>
      </c>
      <c r="CI862" s="1011">
        <v>0</v>
      </c>
    </row>
    <row r="863" spans="1:87" x14ac:dyDescent="0.2">
      <c r="A863" s="449">
        <v>45</v>
      </c>
      <c r="B863" s="453">
        <v>93513</v>
      </c>
      <c r="C863" s="454" t="s">
        <v>7743</v>
      </c>
      <c r="D863" s="454" t="s">
        <v>517</v>
      </c>
      <c r="E863" s="454" t="s">
        <v>7744</v>
      </c>
      <c r="F863" s="454" t="s">
        <v>523</v>
      </c>
      <c r="G863" s="454" t="s">
        <v>13729</v>
      </c>
      <c r="H863" s="455">
        <v>43787407000113</v>
      </c>
      <c r="I863" s="462">
        <v>29392</v>
      </c>
      <c r="J863" s="457">
        <v>85723908</v>
      </c>
      <c r="K863" s="454" t="s">
        <v>7746</v>
      </c>
      <c r="L863" s="458">
        <v>278</v>
      </c>
      <c r="M863" s="454" t="s">
        <v>523</v>
      </c>
      <c r="N863" s="459">
        <v>8450020</v>
      </c>
      <c r="O863" s="460">
        <v>25578176</v>
      </c>
      <c r="P863" s="462">
        <v>283684</v>
      </c>
      <c r="Q863" s="462">
        <v>45</v>
      </c>
      <c r="R863" s="462">
        <v>43921</v>
      </c>
      <c r="S863" s="463">
        <v>778</v>
      </c>
      <c r="T863" s="464">
        <v>5.4</v>
      </c>
      <c r="U863" s="465">
        <v>4201.2</v>
      </c>
      <c r="V863" s="465">
        <v>18720</v>
      </c>
      <c r="W863" s="466">
        <v>0</v>
      </c>
      <c r="X863" s="467">
        <v>1</v>
      </c>
      <c r="Y863" s="466">
        <v>34381.800000000003</v>
      </c>
      <c r="Z863" s="468" t="s">
        <v>516</v>
      </c>
      <c r="AA863" s="466">
        <v>132181</v>
      </c>
      <c r="AB863" s="466">
        <v>132181</v>
      </c>
      <c r="AC863" s="467">
        <v>0</v>
      </c>
      <c r="AD863" s="466">
        <v>0</v>
      </c>
      <c r="AE863" s="468" t="s">
        <v>516</v>
      </c>
      <c r="AF863" s="466">
        <v>2000</v>
      </c>
      <c r="AG863" s="466">
        <v>2000</v>
      </c>
      <c r="AH863" s="466">
        <v>20699.8</v>
      </c>
      <c r="AI863" s="466">
        <v>24072.67</v>
      </c>
      <c r="AJ863" s="469" t="s">
        <v>1674</v>
      </c>
      <c r="AK863" s="470" t="s">
        <v>518</v>
      </c>
      <c r="AL863" s="471" t="s">
        <v>7747</v>
      </c>
      <c r="AM863" s="470" t="s">
        <v>7748</v>
      </c>
      <c r="AN863" s="470" t="s">
        <v>7745</v>
      </c>
      <c r="AO863" s="470" t="s">
        <v>13730</v>
      </c>
      <c r="AP863" s="470" t="s">
        <v>7749</v>
      </c>
      <c r="AQ863" s="470" t="s">
        <v>7743</v>
      </c>
      <c r="AR863" s="472" t="s">
        <v>515</v>
      </c>
      <c r="AS863" s="473" t="s">
        <v>1385</v>
      </c>
      <c r="AT863" s="472" t="s">
        <v>517</v>
      </c>
      <c r="AU863" s="472" t="s">
        <v>420</v>
      </c>
      <c r="AV863" s="472">
        <v>2020</v>
      </c>
      <c r="AW863" s="474" t="s">
        <v>15078</v>
      </c>
      <c r="AX863" s="475" t="s">
        <v>15079</v>
      </c>
      <c r="AY863" s="515">
        <v>1</v>
      </c>
      <c r="AZ863" s="474" t="s">
        <v>15079</v>
      </c>
      <c r="BA863" s="472" t="s">
        <v>517</v>
      </c>
      <c r="BB863" s="472" t="s">
        <v>1385</v>
      </c>
      <c r="BC863" s="472" t="s">
        <v>1385</v>
      </c>
      <c r="BD863" s="472" t="s">
        <v>1385</v>
      </c>
      <c r="BE863" s="472" t="s">
        <v>1385</v>
      </c>
      <c r="BF863" s="472">
        <v>34381.800000000003</v>
      </c>
      <c r="BG863" s="472">
        <v>0</v>
      </c>
      <c r="BH863" s="472" t="s">
        <v>1385</v>
      </c>
      <c r="BI863" s="510">
        <v>0</v>
      </c>
      <c r="BJ863" s="510">
        <v>0</v>
      </c>
      <c r="BK863" s="510">
        <v>0</v>
      </c>
      <c r="BL863" s="510">
        <v>0</v>
      </c>
      <c r="BM863" s="510">
        <v>0</v>
      </c>
      <c r="BN863" s="510">
        <v>5000</v>
      </c>
      <c r="BO863" s="510">
        <v>0</v>
      </c>
      <c r="BP863" s="510">
        <v>2000</v>
      </c>
      <c r="BQ863" s="510">
        <v>0</v>
      </c>
      <c r="BR863" s="510">
        <v>0</v>
      </c>
      <c r="BS863" s="510">
        <v>0</v>
      </c>
      <c r="BT863" s="510">
        <v>0</v>
      </c>
      <c r="BU863" s="510">
        <v>2500</v>
      </c>
      <c r="BV863" s="510">
        <v>2500</v>
      </c>
      <c r="BW863" s="510">
        <v>0</v>
      </c>
      <c r="BX863" s="510">
        <v>30000</v>
      </c>
      <c r="BY863" s="1011">
        <v>0</v>
      </c>
      <c r="BZ863" s="510">
        <v>0</v>
      </c>
      <c r="CA863" s="1011">
        <v>0</v>
      </c>
      <c r="CB863" s="510">
        <v>22000</v>
      </c>
      <c r="CC863" s="1011">
        <v>0</v>
      </c>
      <c r="CD863" s="510">
        <v>0</v>
      </c>
      <c r="CE863" s="1011">
        <v>0</v>
      </c>
      <c r="CF863" s="510">
        <v>45799.199999999997</v>
      </c>
      <c r="CG863" s="1011">
        <v>0</v>
      </c>
      <c r="CH863" s="510">
        <v>0</v>
      </c>
      <c r="CI863" s="1011">
        <v>0</v>
      </c>
    </row>
    <row r="864" spans="1:87" x14ac:dyDescent="0.2">
      <c r="A864" s="449">
        <v>58</v>
      </c>
      <c r="B864" s="453">
        <v>93521</v>
      </c>
      <c r="C864" s="454" t="s">
        <v>7750</v>
      </c>
      <c r="D864" s="454" t="s">
        <v>517</v>
      </c>
      <c r="E864" s="454" t="s">
        <v>7751</v>
      </c>
      <c r="F864" s="454" t="s">
        <v>523</v>
      </c>
      <c r="G864" s="454" t="s">
        <v>13731</v>
      </c>
      <c r="H864" s="455">
        <v>43787597000179</v>
      </c>
      <c r="I864" s="462">
        <v>29392</v>
      </c>
      <c r="J864" s="457">
        <v>85774871</v>
      </c>
      <c r="K864" s="454" t="s">
        <v>7752</v>
      </c>
      <c r="L864" s="458">
        <v>4</v>
      </c>
      <c r="M864" s="454" t="s">
        <v>523</v>
      </c>
      <c r="N864" s="459">
        <v>8412010</v>
      </c>
      <c r="O864" s="460">
        <v>25578121</v>
      </c>
      <c r="P864" s="462">
        <v>261737</v>
      </c>
      <c r="Q864" s="462">
        <v>58</v>
      </c>
      <c r="R864" s="462">
        <v>43921</v>
      </c>
      <c r="S864" s="463">
        <v>404</v>
      </c>
      <c r="T864" s="464">
        <v>5.4</v>
      </c>
      <c r="U864" s="465">
        <v>2181.6</v>
      </c>
      <c r="V864" s="465">
        <v>15480</v>
      </c>
      <c r="W864" s="466">
        <v>0</v>
      </c>
      <c r="X864" s="467">
        <v>1</v>
      </c>
      <c r="Y864" s="466">
        <v>26492.400000000001</v>
      </c>
      <c r="Z864" s="468" t="s">
        <v>516</v>
      </c>
      <c r="AA864" s="466">
        <v>113729.2</v>
      </c>
      <c r="AB864" s="466">
        <v>113729.2</v>
      </c>
      <c r="AC864" s="467">
        <v>0</v>
      </c>
      <c r="AD864" s="466">
        <v>0</v>
      </c>
      <c r="AE864" s="468" t="s">
        <v>516</v>
      </c>
      <c r="AF864" s="466">
        <v>0</v>
      </c>
      <c r="AG864" s="466">
        <v>0</v>
      </c>
      <c r="AH864" s="466">
        <v>22764.78</v>
      </c>
      <c r="AI864" s="466">
        <v>11351.42</v>
      </c>
      <c r="AJ864" s="469" t="s">
        <v>1674</v>
      </c>
      <c r="AK864" s="470" t="s">
        <v>518</v>
      </c>
      <c r="AL864" s="471" t="s">
        <v>7753</v>
      </c>
      <c r="AM864" s="470" t="s">
        <v>7754</v>
      </c>
      <c r="AN864" s="470" t="s">
        <v>1385</v>
      </c>
      <c r="AO864" s="470" t="s">
        <v>13732</v>
      </c>
      <c r="AP864" s="470" t="s">
        <v>7755</v>
      </c>
      <c r="AQ864" s="470" t="s">
        <v>7750</v>
      </c>
      <c r="AR864" s="472" t="s">
        <v>515</v>
      </c>
      <c r="AS864" s="473" t="s">
        <v>1385</v>
      </c>
      <c r="AT864" s="472" t="s">
        <v>517</v>
      </c>
      <c r="AU864" s="472" t="s">
        <v>420</v>
      </c>
      <c r="AV864" s="472">
        <v>2020</v>
      </c>
      <c r="AW864" s="474" t="s">
        <v>15078</v>
      </c>
      <c r="AX864" s="475" t="s">
        <v>15079</v>
      </c>
      <c r="AY864" s="515">
        <v>1</v>
      </c>
      <c r="AZ864" s="474" t="s">
        <v>15079</v>
      </c>
      <c r="BA864" s="472" t="s">
        <v>517</v>
      </c>
      <c r="BB864" s="472" t="s">
        <v>1385</v>
      </c>
      <c r="BC864" s="472" t="s">
        <v>1385</v>
      </c>
      <c r="BD864" s="472" t="s">
        <v>1385</v>
      </c>
      <c r="BE864" s="472" t="s">
        <v>1385</v>
      </c>
      <c r="BF864" s="472">
        <v>26492.400000000001</v>
      </c>
      <c r="BG864" s="472">
        <v>0</v>
      </c>
      <c r="BH864" s="472" t="s">
        <v>1385</v>
      </c>
      <c r="BI864" s="510">
        <v>0</v>
      </c>
      <c r="BJ864" s="510">
        <v>0</v>
      </c>
      <c r="BK864" s="510">
        <v>0</v>
      </c>
      <c r="BL864" s="510">
        <v>0</v>
      </c>
      <c r="BM864" s="510">
        <v>0</v>
      </c>
      <c r="BN864" s="510">
        <v>3500</v>
      </c>
      <c r="BO864" s="510">
        <v>0</v>
      </c>
      <c r="BP864" s="510">
        <v>0</v>
      </c>
      <c r="BQ864" s="510">
        <v>0</v>
      </c>
      <c r="BR864" s="510">
        <v>0</v>
      </c>
      <c r="BS864" s="510">
        <v>0</v>
      </c>
      <c r="BT864" s="510">
        <v>0</v>
      </c>
      <c r="BU864" s="510">
        <v>0</v>
      </c>
      <c r="BV864" s="510">
        <v>0</v>
      </c>
      <c r="BW864" s="510">
        <v>0</v>
      </c>
      <c r="BX864" s="510">
        <v>30000</v>
      </c>
      <c r="BY864" s="1011">
        <v>0</v>
      </c>
      <c r="BZ864" s="510">
        <v>0</v>
      </c>
      <c r="CA864" s="1011">
        <v>0</v>
      </c>
      <c r="CB864" s="510">
        <v>22000</v>
      </c>
      <c r="CC864" s="1011">
        <v>0</v>
      </c>
      <c r="CD864" s="510">
        <v>0</v>
      </c>
      <c r="CE864" s="1011">
        <v>0</v>
      </c>
      <c r="CF864" s="510">
        <v>35236.800000000003</v>
      </c>
      <c r="CG864" s="1011">
        <v>0</v>
      </c>
      <c r="CH864" s="510">
        <v>0</v>
      </c>
      <c r="CI864" s="1011">
        <v>0</v>
      </c>
    </row>
    <row r="865" spans="1:87" x14ac:dyDescent="0.2">
      <c r="A865" s="449">
        <v>44</v>
      </c>
      <c r="B865" s="453">
        <v>93530</v>
      </c>
      <c r="C865" s="454" t="s">
        <v>7756</v>
      </c>
      <c r="D865" s="454" t="s">
        <v>517</v>
      </c>
      <c r="E865" s="454" t="s">
        <v>7757</v>
      </c>
      <c r="F865" s="454" t="s">
        <v>523</v>
      </c>
      <c r="G865" s="454" t="s">
        <v>13733</v>
      </c>
      <c r="H865" s="455">
        <v>43675685000189</v>
      </c>
      <c r="I865" s="462">
        <v>29388</v>
      </c>
      <c r="J865" s="457">
        <v>85673110</v>
      </c>
      <c r="K865" s="454" t="s">
        <v>5845</v>
      </c>
      <c r="L865" s="458">
        <v>425</v>
      </c>
      <c r="M865" s="454" t="s">
        <v>3472</v>
      </c>
      <c r="N865" s="459">
        <v>8460180</v>
      </c>
      <c r="O865" s="460">
        <v>25575726</v>
      </c>
      <c r="P865" s="462">
        <v>264850</v>
      </c>
      <c r="Q865" s="462">
        <v>44</v>
      </c>
      <c r="R865" s="462">
        <v>43921</v>
      </c>
      <c r="S865" s="463">
        <v>1026</v>
      </c>
      <c r="T865" s="464">
        <v>5.4</v>
      </c>
      <c r="U865" s="465">
        <v>5540.4</v>
      </c>
      <c r="V865" s="465">
        <v>20340</v>
      </c>
      <c r="W865" s="466">
        <v>0</v>
      </c>
      <c r="X865" s="467">
        <v>1</v>
      </c>
      <c r="Y865" s="466">
        <v>38820.6</v>
      </c>
      <c r="Z865" s="468" t="s">
        <v>516</v>
      </c>
      <c r="AA865" s="466">
        <v>162373.4</v>
      </c>
      <c r="AB865" s="466">
        <v>162373.4</v>
      </c>
      <c r="AC865" s="467">
        <v>0</v>
      </c>
      <c r="AD865" s="466">
        <v>0</v>
      </c>
      <c r="AE865" s="468" t="s">
        <v>516</v>
      </c>
      <c r="AF865" s="466">
        <v>2000</v>
      </c>
      <c r="AG865" s="466">
        <v>2000</v>
      </c>
      <c r="AH865" s="466">
        <v>25255.13</v>
      </c>
      <c r="AI865" s="466">
        <v>5176.08</v>
      </c>
      <c r="AJ865" s="469" t="s">
        <v>1674</v>
      </c>
      <c r="AK865" s="470" t="s">
        <v>518</v>
      </c>
      <c r="AL865" s="471" t="s">
        <v>7759</v>
      </c>
      <c r="AM865" s="470" t="s">
        <v>7760</v>
      </c>
      <c r="AN865" s="470" t="s">
        <v>7758</v>
      </c>
      <c r="AO865" s="470" t="s">
        <v>7761</v>
      </c>
      <c r="AP865" s="470" t="s">
        <v>7762</v>
      </c>
      <c r="AQ865" s="470" t="s">
        <v>7756</v>
      </c>
      <c r="AR865" s="472" t="s">
        <v>515</v>
      </c>
      <c r="AS865" s="473" t="s">
        <v>1385</v>
      </c>
      <c r="AT865" s="472" t="s">
        <v>517</v>
      </c>
      <c r="AU865" s="472" t="s">
        <v>420</v>
      </c>
      <c r="AV865" s="472">
        <v>2020</v>
      </c>
      <c r="AW865" s="474" t="s">
        <v>15078</v>
      </c>
      <c r="AX865" s="475" t="s">
        <v>15079</v>
      </c>
      <c r="AY865" s="515">
        <v>1</v>
      </c>
      <c r="AZ865" s="474" t="s">
        <v>15079</v>
      </c>
      <c r="BA865" s="472" t="s">
        <v>517</v>
      </c>
      <c r="BB865" s="472" t="s">
        <v>1385</v>
      </c>
      <c r="BC865" s="472" t="s">
        <v>1385</v>
      </c>
      <c r="BD865" s="472" t="s">
        <v>1385</v>
      </c>
      <c r="BE865" s="472" t="s">
        <v>1385</v>
      </c>
      <c r="BF865" s="472">
        <v>38820.6</v>
      </c>
      <c r="BG865" s="472">
        <v>0</v>
      </c>
      <c r="BH865" s="472" t="s">
        <v>1385</v>
      </c>
      <c r="BI865" s="510">
        <v>0</v>
      </c>
      <c r="BJ865" s="510">
        <v>0</v>
      </c>
      <c r="BK865" s="510">
        <v>0</v>
      </c>
      <c r="BL865" s="510">
        <v>0</v>
      </c>
      <c r="BM865" s="510">
        <v>0</v>
      </c>
      <c r="BN865" s="510">
        <v>5000</v>
      </c>
      <c r="BO865" s="510">
        <v>0</v>
      </c>
      <c r="BP865" s="510">
        <v>2000</v>
      </c>
      <c r="BQ865" s="510">
        <v>0</v>
      </c>
      <c r="BR865" s="510">
        <v>0</v>
      </c>
      <c r="BS865" s="510">
        <v>0</v>
      </c>
      <c r="BT865" s="510">
        <v>0</v>
      </c>
      <c r="BU865" s="510">
        <v>2500</v>
      </c>
      <c r="BV865" s="510">
        <v>2500</v>
      </c>
      <c r="BW865" s="510">
        <v>0</v>
      </c>
      <c r="BX865" s="510">
        <v>30000</v>
      </c>
      <c r="BY865" s="1011">
        <v>0</v>
      </c>
      <c r="BZ865" s="510">
        <v>0</v>
      </c>
      <c r="CA865" s="1011">
        <v>0</v>
      </c>
      <c r="CB865" s="510">
        <v>22000</v>
      </c>
      <c r="CC865" s="1011">
        <v>0</v>
      </c>
      <c r="CD865" s="510">
        <v>0</v>
      </c>
      <c r="CE865" s="1011">
        <v>0</v>
      </c>
      <c r="CF865" s="510">
        <v>71552.800000000003</v>
      </c>
      <c r="CG865" s="1011">
        <v>0</v>
      </c>
      <c r="CH865" s="510">
        <v>0</v>
      </c>
      <c r="CI865" s="1011">
        <v>0</v>
      </c>
    </row>
    <row r="866" spans="1:87" x14ac:dyDescent="0.2">
      <c r="A866" s="449">
        <v>57</v>
      </c>
      <c r="B866" s="453">
        <v>93548</v>
      </c>
      <c r="C866" s="454" t="s">
        <v>7763</v>
      </c>
      <c r="D866" s="454" t="s">
        <v>517</v>
      </c>
      <c r="E866" s="454" t="s">
        <v>7764</v>
      </c>
      <c r="F866" s="454" t="s">
        <v>523</v>
      </c>
      <c r="G866" s="454" t="s">
        <v>13734</v>
      </c>
      <c r="H866" s="455">
        <v>43787472000149</v>
      </c>
      <c r="I866" s="462">
        <v>29392</v>
      </c>
      <c r="J866" s="457">
        <v>85723916</v>
      </c>
      <c r="K866" s="454" t="s">
        <v>7765</v>
      </c>
      <c r="L866" s="458">
        <v>4977</v>
      </c>
      <c r="M866" s="454" t="s">
        <v>1950</v>
      </c>
      <c r="N866" s="459">
        <v>8490500</v>
      </c>
      <c r="O866" s="460">
        <v>25558181</v>
      </c>
      <c r="P866" s="462">
        <v>261745</v>
      </c>
      <c r="Q866" s="462">
        <v>57</v>
      </c>
      <c r="R866" s="462">
        <v>43921</v>
      </c>
      <c r="S866" s="463">
        <v>1314</v>
      </c>
      <c r="T866" s="464">
        <v>5.4</v>
      </c>
      <c r="U866" s="465">
        <v>7095.6</v>
      </c>
      <c r="V866" s="465">
        <v>21960</v>
      </c>
      <c r="W866" s="466">
        <v>0</v>
      </c>
      <c r="X866" s="467">
        <v>1</v>
      </c>
      <c r="Y866" s="466">
        <v>43583.4</v>
      </c>
      <c r="Z866" s="468" t="s">
        <v>516</v>
      </c>
      <c r="AA866" s="466">
        <v>148662.20000000001</v>
      </c>
      <c r="AB866" s="466">
        <v>148662.20000000001</v>
      </c>
      <c r="AC866" s="467">
        <v>0</v>
      </c>
      <c r="AD866" s="466">
        <v>0</v>
      </c>
      <c r="AE866" s="468" t="s">
        <v>516</v>
      </c>
      <c r="AF866" s="466">
        <v>1600</v>
      </c>
      <c r="AG866" s="466">
        <v>1600</v>
      </c>
      <c r="AH866" s="466">
        <v>31845.15</v>
      </c>
      <c r="AI866" s="466">
        <v>232.61</v>
      </c>
      <c r="AJ866" s="469" t="s">
        <v>1674</v>
      </c>
      <c r="AK866" s="470" t="s">
        <v>518</v>
      </c>
      <c r="AL866" s="471" t="s">
        <v>7766</v>
      </c>
      <c r="AM866" s="470" t="s">
        <v>13735</v>
      </c>
      <c r="AN866" s="470" t="s">
        <v>1385</v>
      </c>
      <c r="AO866" s="470" t="s">
        <v>13736</v>
      </c>
      <c r="AP866" s="470" t="s">
        <v>7767</v>
      </c>
      <c r="AQ866" s="470" t="s">
        <v>7763</v>
      </c>
      <c r="AR866" s="472" t="s">
        <v>515</v>
      </c>
      <c r="AS866" s="473" t="s">
        <v>1385</v>
      </c>
      <c r="AT866" s="472" t="s">
        <v>517</v>
      </c>
      <c r="AU866" s="472" t="s">
        <v>420</v>
      </c>
      <c r="AV866" s="472">
        <v>2020</v>
      </c>
      <c r="AW866" s="474" t="s">
        <v>15078</v>
      </c>
      <c r="AX866" s="475" t="s">
        <v>15079</v>
      </c>
      <c r="AY866" s="515">
        <v>1</v>
      </c>
      <c r="AZ866" s="474" t="s">
        <v>15079</v>
      </c>
      <c r="BA866" s="472" t="s">
        <v>517</v>
      </c>
      <c r="BB866" s="472" t="s">
        <v>1385</v>
      </c>
      <c r="BC866" s="472" t="s">
        <v>1385</v>
      </c>
      <c r="BD866" s="472" t="s">
        <v>1385</v>
      </c>
      <c r="BE866" s="472" t="s">
        <v>1385</v>
      </c>
      <c r="BF866" s="472">
        <v>43583.4</v>
      </c>
      <c r="BG866" s="472">
        <v>0</v>
      </c>
      <c r="BH866" s="472" t="s">
        <v>1385</v>
      </c>
      <c r="BI866" s="510">
        <v>0</v>
      </c>
      <c r="BJ866" s="510">
        <v>0</v>
      </c>
      <c r="BK866" s="510">
        <v>0</v>
      </c>
      <c r="BL866" s="510">
        <v>0</v>
      </c>
      <c r="BM866" s="510">
        <v>0</v>
      </c>
      <c r="BN866" s="510">
        <v>6000</v>
      </c>
      <c r="BO866" s="510">
        <v>400</v>
      </c>
      <c r="BP866" s="510">
        <v>1600</v>
      </c>
      <c r="BQ866" s="510">
        <v>0</v>
      </c>
      <c r="BR866" s="510">
        <v>0</v>
      </c>
      <c r="BS866" s="510">
        <v>0</v>
      </c>
      <c r="BT866" s="510">
        <v>0</v>
      </c>
      <c r="BU866" s="510">
        <v>2500</v>
      </c>
      <c r="BV866" s="510">
        <v>2500</v>
      </c>
      <c r="BW866" s="510">
        <v>0</v>
      </c>
      <c r="BX866" s="510">
        <v>30000</v>
      </c>
      <c r="BY866" s="1011">
        <v>0</v>
      </c>
      <c r="BZ866" s="510">
        <v>0</v>
      </c>
      <c r="CA866" s="1011">
        <v>0</v>
      </c>
      <c r="CB866" s="510">
        <v>22000</v>
      </c>
      <c r="CC866" s="1011">
        <v>0</v>
      </c>
      <c r="CD866" s="510">
        <v>0</v>
      </c>
      <c r="CE866" s="1011">
        <v>0</v>
      </c>
      <c r="CF866" s="510">
        <v>52678.8</v>
      </c>
      <c r="CG866" s="1011">
        <v>0</v>
      </c>
      <c r="CH866" s="510">
        <v>0</v>
      </c>
      <c r="CI866" s="1011">
        <v>0</v>
      </c>
    </row>
    <row r="867" spans="1:87" x14ac:dyDescent="0.2">
      <c r="A867" s="449">
        <v>52</v>
      </c>
      <c r="B867" s="453">
        <v>93556</v>
      </c>
      <c r="C867" s="454" t="s">
        <v>7768</v>
      </c>
      <c r="D867" s="454" t="s">
        <v>517</v>
      </c>
      <c r="E867" s="454" t="s">
        <v>7769</v>
      </c>
      <c r="F867" s="454" t="s">
        <v>513</v>
      </c>
      <c r="G867" s="454" t="s">
        <v>13737</v>
      </c>
      <c r="H867" s="455">
        <v>51690717000143</v>
      </c>
      <c r="I867" s="462">
        <v>29073</v>
      </c>
      <c r="J867" s="457">
        <v>37536834</v>
      </c>
      <c r="K867" s="454" t="s">
        <v>5858</v>
      </c>
      <c r="L867" s="458">
        <v>224</v>
      </c>
      <c r="M867" s="454" t="s">
        <v>5859</v>
      </c>
      <c r="N867" s="459">
        <v>8380520</v>
      </c>
      <c r="O867" s="460">
        <v>27313203</v>
      </c>
      <c r="P867" s="462">
        <v>149996</v>
      </c>
      <c r="Q867" s="462">
        <v>52</v>
      </c>
      <c r="R867" s="462">
        <v>43937</v>
      </c>
      <c r="S867" s="463">
        <v>1162</v>
      </c>
      <c r="T867" s="464">
        <v>5.4</v>
      </c>
      <c r="U867" s="465">
        <v>6274.8</v>
      </c>
      <c r="V867" s="465">
        <v>20340</v>
      </c>
      <c r="W867" s="466">
        <v>0</v>
      </c>
      <c r="X867" s="467">
        <v>1</v>
      </c>
      <c r="Y867" s="466">
        <v>39922.199999999997</v>
      </c>
      <c r="Z867" s="468" t="s">
        <v>516</v>
      </c>
      <c r="AA867" s="466">
        <v>144547</v>
      </c>
      <c r="AB867" s="466">
        <v>144547</v>
      </c>
      <c r="AC867" s="467">
        <v>0</v>
      </c>
      <c r="AD867" s="466">
        <v>0</v>
      </c>
      <c r="AE867" s="468" t="s">
        <v>516</v>
      </c>
      <c r="AF867" s="466">
        <v>0</v>
      </c>
      <c r="AG867" s="466">
        <v>0</v>
      </c>
      <c r="AH867" s="466">
        <v>23939.18</v>
      </c>
      <c r="AI867" s="466">
        <v>5322.96</v>
      </c>
      <c r="AJ867" s="469" t="s">
        <v>2030</v>
      </c>
      <c r="AK867" s="470" t="s">
        <v>513</v>
      </c>
      <c r="AL867" s="471" t="s">
        <v>7770</v>
      </c>
      <c r="AM867" s="470" t="s">
        <v>7771</v>
      </c>
      <c r="AN867" s="470" t="s">
        <v>7772</v>
      </c>
      <c r="AO867" s="470" t="s">
        <v>7773</v>
      </c>
      <c r="AP867" s="470" t="s">
        <v>7774</v>
      </c>
      <c r="AQ867" s="470" t="s">
        <v>7768</v>
      </c>
      <c r="AR867" s="472" t="s">
        <v>515</v>
      </c>
      <c r="AS867" s="473" t="s">
        <v>1385</v>
      </c>
      <c r="AT867" s="472" t="s">
        <v>517</v>
      </c>
      <c r="AU867" s="472" t="s">
        <v>420</v>
      </c>
      <c r="AV867" s="472">
        <v>2020</v>
      </c>
      <c r="AW867" s="474" t="s">
        <v>15078</v>
      </c>
      <c r="AX867" s="475" t="s">
        <v>15079</v>
      </c>
      <c r="AY867" s="515">
        <v>1</v>
      </c>
      <c r="AZ867" s="474" t="s">
        <v>15079</v>
      </c>
      <c r="BA867" s="472" t="s">
        <v>517</v>
      </c>
      <c r="BB867" s="472" t="s">
        <v>1385</v>
      </c>
      <c r="BC867" s="472" t="s">
        <v>1385</v>
      </c>
      <c r="BD867" s="472" t="s">
        <v>1385</v>
      </c>
      <c r="BE867" s="472" t="s">
        <v>1385</v>
      </c>
      <c r="BF867" s="472">
        <v>39922.199999999997</v>
      </c>
      <c r="BG867" s="472">
        <v>0</v>
      </c>
      <c r="BH867" s="472" t="s">
        <v>1385</v>
      </c>
      <c r="BI867" s="510">
        <v>0</v>
      </c>
      <c r="BJ867" s="510">
        <v>0</v>
      </c>
      <c r="BK867" s="510">
        <v>0</v>
      </c>
      <c r="BL867" s="510">
        <v>0</v>
      </c>
      <c r="BM867" s="510">
        <v>0</v>
      </c>
      <c r="BN867" s="510">
        <v>4150</v>
      </c>
      <c r="BO867" s="510">
        <v>0</v>
      </c>
      <c r="BP867" s="510">
        <v>0</v>
      </c>
      <c r="BQ867" s="510">
        <v>0</v>
      </c>
      <c r="BR867" s="510">
        <v>0</v>
      </c>
      <c r="BS867" s="510">
        <v>0</v>
      </c>
      <c r="BT867" s="510">
        <v>0</v>
      </c>
      <c r="BU867" s="510">
        <v>0</v>
      </c>
      <c r="BV867" s="510">
        <v>0</v>
      </c>
      <c r="BW867" s="510">
        <v>0</v>
      </c>
      <c r="BX867" s="510">
        <v>30000</v>
      </c>
      <c r="BY867" s="1011">
        <v>0</v>
      </c>
      <c r="BZ867" s="510">
        <v>0</v>
      </c>
      <c r="CA867" s="1011">
        <v>0</v>
      </c>
      <c r="CB867" s="510">
        <v>22000</v>
      </c>
      <c r="CC867" s="1011">
        <v>0</v>
      </c>
      <c r="CD867" s="510">
        <v>0</v>
      </c>
      <c r="CE867" s="1011">
        <v>0</v>
      </c>
      <c r="CF867" s="510">
        <v>52624.800000000003</v>
      </c>
      <c r="CG867" s="1011">
        <v>0</v>
      </c>
      <c r="CH867" s="510">
        <v>0</v>
      </c>
      <c r="CI867" s="1011">
        <v>0</v>
      </c>
    </row>
    <row r="868" spans="1:87" x14ac:dyDescent="0.2">
      <c r="A868" s="449">
        <v>61</v>
      </c>
      <c r="B868" s="453">
        <v>93564</v>
      </c>
      <c r="C868" s="454" t="s">
        <v>7775</v>
      </c>
      <c r="D868" s="454" t="s">
        <v>517</v>
      </c>
      <c r="E868" s="454" t="s">
        <v>7776</v>
      </c>
      <c r="F868" s="454" t="s">
        <v>513</v>
      </c>
      <c r="G868" s="454" t="s">
        <v>13738</v>
      </c>
      <c r="H868" s="455">
        <v>54282975000189</v>
      </c>
      <c r="I868" s="462">
        <v>30985</v>
      </c>
      <c r="J868" s="457">
        <v>37532847</v>
      </c>
      <c r="K868" s="454" t="s">
        <v>7777</v>
      </c>
      <c r="L868" s="458">
        <v>441</v>
      </c>
      <c r="M868" s="454" t="s">
        <v>2799</v>
      </c>
      <c r="N868" s="459">
        <v>8371120</v>
      </c>
      <c r="O868" s="460">
        <v>27312404</v>
      </c>
      <c r="P868" s="462">
        <v>150242</v>
      </c>
      <c r="Q868" s="462">
        <v>61</v>
      </c>
      <c r="R868" s="462">
        <v>43937</v>
      </c>
      <c r="S868" s="463">
        <v>782</v>
      </c>
      <c r="T868" s="464">
        <v>5.4</v>
      </c>
      <c r="U868" s="465">
        <v>4222.8</v>
      </c>
      <c r="V868" s="465">
        <v>18720</v>
      </c>
      <c r="W868" s="466">
        <v>0</v>
      </c>
      <c r="X868" s="467">
        <v>1</v>
      </c>
      <c r="Y868" s="466">
        <v>34414.199999999997</v>
      </c>
      <c r="Z868" s="468" t="s">
        <v>516</v>
      </c>
      <c r="AA868" s="466">
        <v>132505</v>
      </c>
      <c r="AB868" s="466">
        <v>132505</v>
      </c>
      <c r="AC868" s="467">
        <v>0</v>
      </c>
      <c r="AD868" s="466">
        <v>0</v>
      </c>
      <c r="AE868" s="468" t="s">
        <v>516</v>
      </c>
      <c r="AF868" s="466">
        <v>2000</v>
      </c>
      <c r="AG868" s="466">
        <v>2000</v>
      </c>
      <c r="AH868" s="466">
        <v>25169.29</v>
      </c>
      <c r="AI868" s="466">
        <v>9234.99</v>
      </c>
      <c r="AJ868" s="469" t="s">
        <v>1560</v>
      </c>
      <c r="AK868" s="470" t="s">
        <v>1561</v>
      </c>
      <c r="AL868" s="471" t="s">
        <v>7778</v>
      </c>
      <c r="AM868" s="470" t="s">
        <v>7779</v>
      </c>
      <c r="AN868" s="470" t="s">
        <v>7780</v>
      </c>
      <c r="AO868" s="470" t="s">
        <v>7781</v>
      </c>
      <c r="AP868" s="470" t="s">
        <v>7782</v>
      </c>
      <c r="AQ868" s="470" t="s">
        <v>7775</v>
      </c>
      <c r="AR868" s="472" t="s">
        <v>515</v>
      </c>
      <c r="AS868" s="473" t="s">
        <v>1385</v>
      </c>
      <c r="AT868" s="472" t="s">
        <v>517</v>
      </c>
      <c r="AU868" s="472" t="s">
        <v>420</v>
      </c>
      <c r="AV868" s="472">
        <v>2020</v>
      </c>
      <c r="AW868" s="474" t="s">
        <v>15078</v>
      </c>
      <c r="AX868" s="475" t="s">
        <v>15079</v>
      </c>
      <c r="AY868" s="515">
        <v>1</v>
      </c>
      <c r="AZ868" s="474" t="s">
        <v>15079</v>
      </c>
      <c r="BA868" s="472" t="s">
        <v>517</v>
      </c>
      <c r="BB868" s="472" t="s">
        <v>1385</v>
      </c>
      <c r="BC868" s="472" t="s">
        <v>1385</v>
      </c>
      <c r="BD868" s="472" t="s">
        <v>1385</v>
      </c>
      <c r="BE868" s="472" t="s">
        <v>1385</v>
      </c>
      <c r="BF868" s="472">
        <v>34414.199999999997</v>
      </c>
      <c r="BG868" s="472">
        <v>0</v>
      </c>
      <c r="BH868" s="472" t="s">
        <v>1385</v>
      </c>
      <c r="BI868" s="510">
        <v>0</v>
      </c>
      <c r="BJ868" s="510">
        <v>0</v>
      </c>
      <c r="BK868" s="510">
        <v>0</v>
      </c>
      <c r="BL868" s="510">
        <v>3500</v>
      </c>
      <c r="BM868" s="510">
        <v>0</v>
      </c>
      <c r="BN868" s="510">
        <v>5000</v>
      </c>
      <c r="BO868" s="510">
        <v>0</v>
      </c>
      <c r="BP868" s="510">
        <v>2000</v>
      </c>
      <c r="BQ868" s="510">
        <v>0</v>
      </c>
      <c r="BR868" s="510">
        <v>0</v>
      </c>
      <c r="BS868" s="510">
        <v>0</v>
      </c>
      <c r="BT868" s="510">
        <v>0</v>
      </c>
      <c r="BU868" s="510">
        <v>2500</v>
      </c>
      <c r="BV868" s="510">
        <v>2500</v>
      </c>
      <c r="BW868" s="510">
        <v>0</v>
      </c>
      <c r="BX868" s="510">
        <v>30000</v>
      </c>
      <c r="BY868" s="1011">
        <v>0</v>
      </c>
      <c r="BZ868" s="510">
        <v>0</v>
      </c>
      <c r="CA868" s="1011">
        <v>0</v>
      </c>
      <c r="CB868" s="510">
        <v>22000</v>
      </c>
      <c r="CC868" s="1011">
        <v>0</v>
      </c>
      <c r="CD868" s="510">
        <v>0</v>
      </c>
      <c r="CE868" s="1011">
        <v>0</v>
      </c>
      <c r="CF868" s="510">
        <v>46090.8</v>
      </c>
      <c r="CG868" s="1011">
        <v>0</v>
      </c>
      <c r="CH868" s="510">
        <v>0</v>
      </c>
      <c r="CI868" s="1011">
        <v>0</v>
      </c>
    </row>
    <row r="869" spans="1:87" x14ac:dyDescent="0.2">
      <c r="A869" s="449">
        <v>48</v>
      </c>
      <c r="B869" s="453">
        <v>93572</v>
      </c>
      <c r="C869" s="454" t="s">
        <v>7783</v>
      </c>
      <c r="D869" s="454" t="s">
        <v>517</v>
      </c>
      <c r="E869" s="454" t="s">
        <v>7784</v>
      </c>
      <c r="F869" s="454" t="s">
        <v>513</v>
      </c>
      <c r="G869" s="454" t="s">
        <v>13739</v>
      </c>
      <c r="H869" s="455">
        <v>51690691000133</v>
      </c>
      <c r="I869" s="462">
        <v>29069</v>
      </c>
      <c r="J869" s="457">
        <v>37536842</v>
      </c>
      <c r="K869" s="454" t="s">
        <v>7785</v>
      </c>
      <c r="L869" s="458">
        <v>128</v>
      </c>
      <c r="M869" s="454" t="s">
        <v>3373</v>
      </c>
      <c r="N869" s="459">
        <v>8370030</v>
      </c>
      <c r="O869" s="460">
        <v>27312970</v>
      </c>
      <c r="P869" s="462">
        <v>149732</v>
      </c>
      <c r="Q869" s="462">
        <v>48</v>
      </c>
      <c r="R869" s="462">
        <v>43937</v>
      </c>
      <c r="S869" s="463">
        <v>1197</v>
      </c>
      <c r="T869" s="464">
        <v>5.4</v>
      </c>
      <c r="U869" s="465">
        <v>6463.8</v>
      </c>
      <c r="V869" s="465">
        <v>20340</v>
      </c>
      <c r="W869" s="466">
        <v>0</v>
      </c>
      <c r="X869" s="467">
        <v>1</v>
      </c>
      <c r="Y869" s="466">
        <v>46307.7</v>
      </c>
      <c r="Z869" s="468" t="s">
        <v>516</v>
      </c>
      <c r="AA869" s="466">
        <v>167948.1</v>
      </c>
      <c r="AB869" s="466">
        <v>167948.1</v>
      </c>
      <c r="AC869" s="467">
        <v>0</v>
      </c>
      <c r="AD869" s="466">
        <v>0</v>
      </c>
      <c r="AE869" s="468" t="s">
        <v>516</v>
      </c>
      <c r="AF869" s="466">
        <v>1400</v>
      </c>
      <c r="AG869" s="466">
        <v>1400</v>
      </c>
      <c r="AH869" s="466">
        <v>28827.05</v>
      </c>
      <c r="AI869" s="466">
        <v>2286.7399999999998</v>
      </c>
      <c r="AJ869" s="469" t="s">
        <v>2520</v>
      </c>
      <c r="AK869" s="470" t="s">
        <v>2521</v>
      </c>
      <c r="AL869" s="471" t="s">
        <v>7786</v>
      </c>
      <c r="AM869" s="470" t="s">
        <v>7787</v>
      </c>
      <c r="AN869" s="470" t="s">
        <v>1385</v>
      </c>
      <c r="AO869" s="470" t="s">
        <v>7788</v>
      </c>
      <c r="AP869" s="470" t="s">
        <v>7789</v>
      </c>
      <c r="AQ869" s="470" t="s">
        <v>7783</v>
      </c>
      <c r="AR869" s="472" t="s">
        <v>515</v>
      </c>
      <c r="AS869" s="473" t="s">
        <v>1385</v>
      </c>
      <c r="AT869" s="472" t="s">
        <v>517</v>
      </c>
      <c r="AU869" s="472" t="s">
        <v>420</v>
      </c>
      <c r="AV869" s="472">
        <v>2020</v>
      </c>
      <c r="AW869" s="474" t="s">
        <v>15078</v>
      </c>
      <c r="AX869" s="475" t="s">
        <v>15079</v>
      </c>
      <c r="AY869" s="515">
        <v>1</v>
      </c>
      <c r="AZ869" s="474" t="s">
        <v>15079</v>
      </c>
      <c r="BA869" s="472" t="s">
        <v>517</v>
      </c>
      <c r="BB869" s="472" t="s">
        <v>516</v>
      </c>
      <c r="BC869" s="472">
        <v>2</v>
      </c>
      <c r="BD869" s="472">
        <v>4068</v>
      </c>
      <c r="BE869" s="472">
        <v>0</v>
      </c>
      <c r="BF869" s="472">
        <v>46307.7</v>
      </c>
      <c r="BG869" s="472">
        <v>0</v>
      </c>
      <c r="BH869" s="472" t="s">
        <v>1385</v>
      </c>
      <c r="BI869" s="510">
        <v>0</v>
      </c>
      <c r="BJ869" s="510">
        <v>0</v>
      </c>
      <c r="BK869" s="510">
        <v>0</v>
      </c>
      <c r="BL869" s="510">
        <v>3500</v>
      </c>
      <c r="BM869" s="510">
        <v>0</v>
      </c>
      <c r="BN869" s="510">
        <v>5000</v>
      </c>
      <c r="BO869" s="510">
        <v>600</v>
      </c>
      <c r="BP869" s="510">
        <v>1400</v>
      </c>
      <c r="BQ869" s="510">
        <v>0</v>
      </c>
      <c r="BR869" s="510">
        <v>0</v>
      </c>
      <c r="BS869" s="510">
        <v>0</v>
      </c>
      <c r="BT869" s="510">
        <v>0</v>
      </c>
      <c r="BU869" s="510">
        <v>0</v>
      </c>
      <c r="BV869" s="510">
        <v>0</v>
      </c>
      <c r="BW869" s="510">
        <v>0</v>
      </c>
      <c r="BX869" s="510">
        <v>30000</v>
      </c>
      <c r="BY869" s="1011">
        <v>0</v>
      </c>
      <c r="BZ869" s="510">
        <v>0</v>
      </c>
      <c r="CA869" s="1011">
        <v>0</v>
      </c>
      <c r="CB869" s="510">
        <v>22000</v>
      </c>
      <c r="CC869" s="1011">
        <v>0</v>
      </c>
      <c r="CD869" s="510">
        <v>0</v>
      </c>
      <c r="CE869" s="1011">
        <v>0</v>
      </c>
      <c r="CF869" s="510">
        <v>69040.399999999994</v>
      </c>
      <c r="CG869" s="1011">
        <v>0</v>
      </c>
      <c r="CH869" s="510">
        <v>0</v>
      </c>
      <c r="CI869" s="1011">
        <v>0</v>
      </c>
    </row>
    <row r="870" spans="1:87" x14ac:dyDescent="0.2">
      <c r="A870" s="449">
        <v>70</v>
      </c>
      <c r="B870" s="453">
        <v>93581</v>
      </c>
      <c r="C870" s="454" t="s">
        <v>7790</v>
      </c>
      <c r="D870" s="454" t="s">
        <v>517</v>
      </c>
      <c r="E870" s="454" t="s">
        <v>7791</v>
      </c>
      <c r="F870" s="454" t="s">
        <v>513</v>
      </c>
      <c r="G870" s="454" t="s">
        <v>13740</v>
      </c>
      <c r="H870" s="455">
        <v>53983573000149</v>
      </c>
      <c r="I870" s="462">
        <v>30979</v>
      </c>
      <c r="J870" s="457">
        <v>37532626</v>
      </c>
      <c r="K870" s="454" t="s">
        <v>7792</v>
      </c>
      <c r="L870" s="458" t="s">
        <v>1446</v>
      </c>
      <c r="M870" s="454" t="s">
        <v>3373</v>
      </c>
      <c r="N870" s="459">
        <v>8341080</v>
      </c>
      <c r="O870" s="460">
        <v>27311596</v>
      </c>
      <c r="P870" s="462">
        <v>150790</v>
      </c>
      <c r="Q870" s="462">
        <v>70</v>
      </c>
      <c r="R870" s="462">
        <v>43937</v>
      </c>
      <c r="S870" s="463">
        <v>976</v>
      </c>
      <c r="T870" s="464">
        <v>5.4</v>
      </c>
      <c r="U870" s="465">
        <v>5270.4</v>
      </c>
      <c r="V870" s="465">
        <v>20340</v>
      </c>
      <c r="W870" s="466">
        <v>0</v>
      </c>
      <c r="X870" s="467">
        <v>1</v>
      </c>
      <c r="Y870" s="466">
        <v>38415.599999999999</v>
      </c>
      <c r="Z870" s="468" t="s">
        <v>516</v>
      </c>
      <c r="AA870" s="466">
        <v>141971.6</v>
      </c>
      <c r="AB870" s="466">
        <v>141971.6</v>
      </c>
      <c r="AC870" s="467">
        <v>0</v>
      </c>
      <c r="AD870" s="466">
        <v>0</v>
      </c>
      <c r="AE870" s="468" t="s">
        <v>516</v>
      </c>
      <c r="AF870" s="466">
        <v>1600</v>
      </c>
      <c r="AG870" s="466">
        <v>1600</v>
      </c>
      <c r="AH870" s="466">
        <v>43063.07</v>
      </c>
      <c r="AI870" s="466">
        <v>5312.08</v>
      </c>
      <c r="AJ870" s="469" t="s">
        <v>2030</v>
      </c>
      <c r="AK870" s="470" t="s">
        <v>513</v>
      </c>
      <c r="AL870" s="471" t="s">
        <v>7793</v>
      </c>
      <c r="AM870" s="470" t="s">
        <v>13741</v>
      </c>
      <c r="AN870" s="470" t="s">
        <v>1385</v>
      </c>
      <c r="AO870" s="470" t="s">
        <v>7794</v>
      </c>
      <c r="AP870" s="470" t="s">
        <v>7795</v>
      </c>
      <c r="AQ870" s="470" t="s">
        <v>7790</v>
      </c>
      <c r="AR870" s="472" t="s">
        <v>515</v>
      </c>
      <c r="AS870" s="473" t="s">
        <v>1385</v>
      </c>
      <c r="AT870" s="472" t="s">
        <v>517</v>
      </c>
      <c r="AU870" s="472" t="s">
        <v>420</v>
      </c>
      <c r="AV870" s="472">
        <v>2020</v>
      </c>
      <c r="AW870" s="474" t="s">
        <v>15078</v>
      </c>
      <c r="AX870" s="475" t="s">
        <v>15079</v>
      </c>
      <c r="AY870" s="515">
        <v>1</v>
      </c>
      <c r="AZ870" s="474" t="s">
        <v>15079</v>
      </c>
      <c r="BA870" s="472" t="s">
        <v>517</v>
      </c>
      <c r="BB870" s="472" t="s">
        <v>1385</v>
      </c>
      <c r="BC870" s="472" t="s">
        <v>1385</v>
      </c>
      <c r="BD870" s="472" t="s">
        <v>1385</v>
      </c>
      <c r="BE870" s="472" t="s">
        <v>1385</v>
      </c>
      <c r="BF870" s="472">
        <v>38415.599999999999</v>
      </c>
      <c r="BG870" s="472">
        <v>0</v>
      </c>
      <c r="BH870" s="472" t="s">
        <v>1385</v>
      </c>
      <c r="BI870" s="510">
        <v>0</v>
      </c>
      <c r="BJ870" s="510">
        <v>0</v>
      </c>
      <c r="BK870" s="510">
        <v>0</v>
      </c>
      <c r="BL870" s="510">
        <v>492.94</v>
      </c>
      <c r="BM870" s="510">
        <v>0</v>
      </c>
      <c r="BN870" s="510">
        <v>5000</v>
      </c>
      <c r="BO870" s="510">
        <v>400</v>
      </c>
      <c r="BP870" s="510">
        <v>1600</v>
      </c>
      <c r="BQ870" s="510">
        <v>0</v>
      </c>
      <c r="BR870" s="510">
        <v>0</v>
      </c>
      <c r="BS870" s="510">
        <v>0</v>
      </c>
      <c r="BT870" s="510">
        <v>0</v>
      </c>
      <c r="BU870" s="510">
        <v>0</v>
      </c>
      <c r="BV870" s="510">
        <v>0</v>
      </c>
      <c r="BW870" s="510">
        <v>0</v>
      </c>
      <c r="BX870" s="510">
        <v>30000</v>
      </c>
      <c r="BY870" s="1011">
        <v>0</v>
      </c>
      <c r="BZ870" s="510">
        <v>0</v>
      </c>
      <c r="CA870" s="1011">
        <v>0</v>
      </c>
      <c r="CB870" s="510">
        <v>22000</v>
      </c>
      <c r="CC870" s="1011">
        <v>0</v>
      </c>
      <c r="CD870" s="510">
        <v>0</v>
      </c>
      <c r="CE870" s="1011">
        <v>0</v>
      </c>
      <c r="CF870" s="510">
        <v>51156</v>
      </c>
      <c r="CG870" s="1011">
        <v>0</v>
      </c>
      <c r="CH870" s="510">
        <v>0</v>
      </c>
      <c r="CI870" s="1011">
        <v>0</v>
      </c>
    </row>
    <row r="871" spans="1:87" x14ac:dyDescent="0.2">
      <c r="A871" s="449">
        <v>64</v>
      </c>
      <c r="B871" s="453">
        <v>93599</v>
      </c>
      <c r="C871" s="454" t="s">
        <v>7796</v>
      </c>
      <c r="D871" s="454" t="s">
        <v>517</v>
      </c>
      <c r="E871" s="454" t="s">
        <v>7797</v>
      </c>
      <c r="F871" s="454" t="s">
        <v>513</v>
      </c>
      <c r="G871" s="454" t="s">
        <v>13742</v>
      </c>
      <c r="H871" s="455">
        <v>51690709000105</v>
      </c>
      <c r="I871" s="462">
        <v>29067</v>
      </c>
      <c r="J871" s="457">
        <v>37536877</v>
      </c>
      <c r="K871" s="454" t="s">
        <v>7798</v>
      </c>
      <c r="L871" s="458">
        <v>688</v>
      </c>
      <c r="M871" s="454" t="s">
        <v>2029</v>
      </c>
      <c r="N871" s="459">
        <v>8330480</v>
      </c>
      <c r="O871" s="460">
        <v>29192397</v>
      </c>
      <c r="P871" s="462">
        <v>150501</v>
      </c>
      <c r="Q871" s="462">
        <v>64</v>
      </c>
      <c r="R871" s="462">
        <v>43937</v>
      </c>
      <c r="S871" s="463">
        <v>1221</v>
      </c>
      <c r="T871" s="464">
        <v>5.4</v>
      </c>
      <c r="U871" s="465">
        <v>6593.4</v>
      </c>
      <c r="V871" s="465">
        <v>21960</v>
      </c>
      <c r="W871" s="466">
        <v>0</v>
      </c>
      <c r="X871" s="467">
        <v>1</v>
      </c>
      <c r="Y871" s="466">
        <v>42830.1</v>
      </c>
      <c r="Z871" s="468" t="s">
        <v>516</v>
      </c>
      <c r="AA871" s="466">
        <v>152001.70000000001</v>
      </c>
      <c r="AB871" s="466">
        <v>152001.70000000001</v>
      </c>
      <c r="AC871" s="467">
        <v>0</v>
      </c>
      <c r="AD871" s="466">
        <v>0</v>
      </c>
      <c r="AE871" s="468" t="s">
        <v>516</v>
      </c>
      <c r="AF871" s="466">
        <v>2000</v>
      </c>
      <c r="AG871" s="466">
        <v>2000</v>
      </c>
      <c r="AH871" s="466">
        <v>17034.95</v>
      </c>
      <c r="AI871" s="466">
        <v>493.36</v>
      </c>
      <c r="AJ871" s="469" t="s">
        <v>1674</v>
      </c>
      <c r="AK871" s="470" t="s">
        <v>518</v>
      </c>
      <c r="AL871" s="471" t="s">
        <v>7799</v>
      </c>
      <c r="AM871" s="470" t="s">
        <v>7800</v>
      </c>
      <c r="AN871" s="470" t="s">
        <v>1385</v>
      </c>
      <c r="AO871" s="470" t="s">
        <v>7801</v>
      </c>
      <c r="AP871" s="470" t="s">
        <v>7802</v>
      </c>
      <c r="AQ871" s="470" t="s">
        <v>7796</v>
      </c>
      <c r="AR871" s="472" t="s">
        <v>515</v>
      </c>
      <c r="AS871" s="473" t="s">
        <v>1385</v>
      </c>
      <c r="AT871" s="472" t="s">
        <v>517</v>
      </c>
      <c r="AU871" s="472" t="s">
        <v>420</v>
      </c>
      <c r="AV871" s="472">
        <v>2020</v>
      </c>
      <c r="AW871" s="474" t="s">
        <v>15078</v>
      </c>
      <c r="AX871" s="475" t="s">
        <v>15079</v>
      </c>
      <c r="AY871" s="515">
        <v>1</v>
      </c>
      <c r="AZ871" s="474" t="s">
        <v>15079</v>
      </c>
      <c r="BA871" s="472" t="s">
        <v>517</v>
      </c>
      <c r="BB871" s="472" t="s">
        <v>1385</v>
      </c>
      <c r="BC871" s="472" t="s">
        <v>1385</v>
      </c>
      <c r="BD871" s="472" t="s">
        <v>1385</v>
      </c>
      <c r="BE871" s="472" t="s">
        <v>1385</v>
      </c>
      <c r="BF871" s="472">
        <v>42830.1</v>
      </c>
      <c r="BG871" s="472">
        <v>0</v>
      </c>
      <c r="BH871" s="472" t="s">
        <v>1385</v>
      </c>
      <c r="BI871" s="510">
        <v>0</v>
      </c>
      <c r="BJ871" s="510">
        <v>0</v>
      </c>
      <c r="BK871" s="510">
        <v>0</v>
      </c>
      <c r="BL871" s="510">
        <v>1145.3900000000001</v>
      </c>
      <c r="BM871" s="510">
        <v>0</v>
      </c>
      <c r="BN871" s="510">
        <v>6000</v>
      </c>
      <c r="BO871" s="510">
        <v>0</v>
      </c>
      <c r="BP871" s="510">
        <v>2000</v>
      </c>
      <c r="BQ871" s="510">
        <v>0</v>
      </c>
      <c r="BR871" s="510">
        <v>0</v>
      </c>
      <c r="BS871" s="510">
        <v>0</v>
      </c>
      <c r="BT871" s="510">
        <v>0</v>
      </c>
      <c r="BU871" s="510">
        <v>2500</v>
      </c>
      <c r="BV871" s="510">
        <v>2500</v>
      </c>
      <c r="BW871" s="510">
        <v>0</v>
      </c>
      <c r="BX871" s="510">
        <v>30000</v>
      </c>
      <c r="BY871" s="1011">
        <v>0</v>
      </c>
      <c r="BZ871" s="510">
        <v>0</v>
      </c>
      <c r="CA871" s="1011">
        <v>0</v>
      </c>
      <c r="CB871" s="510">
        <v>22000</v>
      </c>
      <c r="CC871" s="1011">
        <v>0</v>
      </c>
      <c r="CD871" s="510">
        <v>0</v>
      </c>
      <c r="CE871" s="1011">
        <v>0</v>
      </c>
      <c r="CF871" s="510">
        <v>57171.6</v>
      </c>
      <c r="CG871" s="1011">
        <v>0</v>
      </c>
      <c r="CH871" s="510">
        <v>0</v>
      </c>
      <c r="CI871" s="1011">
        <v>0</v>
      </c>
    </row>
    <row r="872" spans="1:87" x14ac:dyDescent="0.2">
      <c r="A872" s="449">
        <v>72</v>
      </c>
      <c r="B872" s="453">
        <v>93602</v>
      </c>
      <c r="C872" s="454" t="s">
        <v>7803</v>
      </c>
      <c r="D872" s="454" t="s">
        <v>517</v>
      </c>
      <c r="E872" s="454" t="s">
        <v>7804</v>
      </c>
      <c r="F872" s="454" t="s">
        <v>513</v>
      </c>
      <c r="G872" s="454" t="s">
        <v>13743</v>
      </c>
      <c r="H872" s="455">
        <v>51721249000127</v>
      </c>
      <c r="I872" s="462">
        <v>29063</v>
      </c>
      <c r="J872" s="457">
        <v>37536885</v>
      </c>
      <c r="K872" s="454" t="s">
        <v>2255</v>
      </c>
      <c r="L872" s="458">
        <v>371</v>
      </c>
      <c r="M872" s="454" t="s">
        <v>7805</v>
      </c>
      <c r="N872" s="459">
        <v>3968080</v>
      </c>
      <c r="O872" s="460">
        <v>29190409</v>
      </c>
      <c r="P872" s="462">
        <v>150811</v>
      </c>
      <c r="Q872" s="462">
        <v>72</v>
      </c>
      <c r="R872" s="462">
        <v>43937</v>
      </c>
      <c r="S872" s="463">
        <v>861</v>
      </c>
      <c r="T872" s="464">
        <v>5.4</v>
      </c>
      <c r="U872" s="465">
        <v>4649.3999999999996</v>
      </c>
      <c r="V872" s="465">
        <v>18720</v>
      </c>
      <c r="W872" s="466">
        <v>0</v>
      </c>
      <c r="X872" s="467">
        <v>1</v>
      </c>
      <c r="Y872" s="466">
        <v>35054.1</v>
      </c>
      <c r="Z872" s="468" t="s">
        <v>516</v>
      </c>
      <c r="AA872" s="466">
        <v>133231.29999999999</v>
      </c>
      <c r="AB872" s="466">
        <v>133231.29999999999</v>
      </c>
      <c r="AC872" s="467">
        <v>0</v>
      </c>
      <c r="AD872" s="466">
        <v>0</v>
      </c>
      <c r="AE872" s="468" t="s">
        <v>516</v>
      </c>
      <c r="AF872" s="466">
        <v>2000</v>
      </c>
      <c r="AG872" s="466">
        <v>2000</v>
      </c>
      <c r="AH872" s="466">
        <v>10621.99</v>
      </c>
      <c r="AI872" s="466">
        <v>16532.28</v>
      </c>
      <c r="AJ872" s="469" t="s">
        <v>2030</v>
      </c>
      <c r="AK872" s="470" t="s">
        <v>513</v>
      </c>
      <c r="AL872" s="471" t="s">
        <v>7806</v>
      </c>
      <c r="AM872" s="470" t="s">
        <v>13744</v>
      </c>
      <c r="AN872" s="470" t="s">
        <v>1385</v>
      </c>
      <c r="AO872" s="470" t="s">
        <v>7807</v>
      </c>
      <c r="AP872" s="470" t="s">
        <v>7808</v>
      </c>
      <c r="AQ872" s="470" t="s">
        <v>7803</v>
      </c>
      <c r="AR872" s="472" t="s">
        <v>515</v>
      </c>
      <c r="AS872" s="473" t="s">
        <v>1385</v>
      </c>
      <c r="AT872" s="472" t="s">
        <v>517</v>
      </c>
      <c r="AU872" s="472" t="s">
        <v>420</v>
      </c>
      <c r="AV872" s="472">
        <v>2020</v>
      </c>
      <c r="AW872" s="474" t="s">
        <v>15078</v>
      </c>
      <c r="AX872" s="475" t="s">
        <v>15079</v>
      </c>
      <c r="AY872" s="515">
        <v>1</v>
      </c>
      <c r="AZ872" s="474" t="s">
        <v>15079</v>
      </c>
      <c r="BA872" s="472" t="s">
        <v>517</v>
      </c>
      <c r="BB872" s="472" t="s">
        <v>1385</v>
      </c>
      <c r="BC872" s="472" t="s">
        <v>1385</v>
      </c>
      <c r="BD872" s="472" t="s">
        <v>1385</v>
      </c>
      <c r="BE872" s="472" t="s">
        <v>1385</v>
      </c>
      <c r="BF872" s="472">
        <v>35054.1</v>
      </c>
      <c r="BG872" s="472">
        <v>0</v>
      </c>
      <c r="BH872" s="472" t="s">
        <v>1385</v>
      </c>
      <c r="BI872" s="510">
        <v>0</v>
      </c>
      <c r="BJ872" s="510">
        <v>0</v>
      </c>
      <c r="BK872" s="510">
        <v>0</v>
      </c>
      <c r="BL872" s="510">
        <v>0</v>
      </c>
      <c r="BM872" s="510">
        <v>0</v>
      </c>
      <c r="BN872" s="510">
        <v>5000</v>
      </c>
      <c r="BO872" s="510">
        <v>0</v>
      </c>
      <c r="BP872" s="510">
        <v>2000</v>
      </c>
      <c r="BQ872" s="510">
        <v>0</v>
      </c>
      <c r="BR872" s="510">
        <v>0</v>
      </c>
      <c r="BS872" s="510">
        <v>0</v>
      </c>
      <c r="BT872" s="510">
        <v>0</v>
      </c>
      <c r="BU872" s="510">
        <v>0</v>
      </c>
      <c r="BV872" s="510">
        <v>0</v>
      </c>
      <c r="BW872" s="510">
        <v>0</v>
      </c>
      <c r="BX872" s="510">
        <v>30000</v>
      </c>
      <c r="BY872" s="1011">
        <v>0</v>
      </c>
      <c r="BZ872" s="510">
        <v>0</v>
      </c>
      <c r="CA872" s="1011">
        <v>0</v>
      </c>
      <c r="CB872" s="510">
        <v>22000</v>
      </c>
      <c r="CC872" s="1011">
        <v>0</v>
      </c>
      <c r="CD872" s="510">
        <v>0</v>
      </c>
      <c r="CE872" s="1011">
        <v>0</v>
      </c>
      <c r="CF872" s="510">
        <v>46177.2</v>
      </c>
      <c r="CG872" s="1011">
        <v>0</v>
      </c>
      <c r="CH872" s="510">
        <v>0</v>
      </c>
      <c r="CI872" s="1011">
        <v>0</v>
      </c>
    </row>
    <row r="873" spans="1:87" x14ac:dyDescent="0.2">
      <c r="A873" s="449">
        <v>71</v>
      </c>
      <c r="B873" s="453">
        <v>93611</v>
      </c>
      <c r="C873" s="454" t="s">
        <v>7809</v>
      </c>
      <c r="D873" s="454" t="s">
        <v>517</v>
      </c>
      <c r="E873" s="454" t="s">
        <v>7810</v>
      </c>
      <c r="F873" s="454" t="s">
        <v>513</v>
      </c>
      <c r="G873" s="454" t="s">
        <v>13745</v>
      </c>
      <c r="H873" s="455">
        <v>54282959000196</v>
      </c>
      <c r="I873" s="462">
        <v>30985</v>
      </c>
      <c r="J873" s="457">
        <v>37532600</v>
      </c>
      <c r="K873" s="454" t="s">
        <v>7811</v>
      </c>
      <c r="L873" s="458">
        <v>955</v>
      </c>
      <c r="M873" s="454" t="s">
        <v>5882</v>
      </c>
      <c r="N873" s="459">
        <v>3951090</v>
      </c>
      <c r="O873" s="460">
        <v>20108899</v>
      </c>
      <c r="P873" s="462">
        <v>150803</v>
      </c>
      <c r="Q873" s="462">
        <v>71</v>
      </c>
      <c r="R873" s="462">
        <v>43937</v>
      </c>
      <c r="S873" s="463">
        <v>851</v>
      </c>
      <c r="T873" s="464">
        <v>5.4</v>
      </c>
      <c r="U873" s="465">
        <v>4595.3999999999996</v>
      </c>
      <c r="V873" s="465">
        <v>18720</v>
      </c>
      <c r="W873" s="466">
        <v>0</v>
      </c>
      <c r="X873" s="467">
        <v>1</v>
      </c>
      <c r="Y873" s="466">
        <v>34973.1</v>
      </c>
      <c r="Z873" s="468" t="s">
        <v>516</v>
      </c>
      <c r="AA873" s="466">
        <v>134165.9</v>
      </c>
      <c r="AB873" s="466">
        <v>134165.9</v>
      </c>
      <c r="AC873" s="467">
        <v>0</v>
      </c>
      <c r="AD873" s="466">
        <v>0</v>
      </c>
      <c r="AE873" s="468" t="s">
        <v>516</v>
      </c>
      <c r="AF873" s="466">
        <v>1600</v>
      </c>
      <c r="AG873" s="466">
        <v>1600</v>
      </c>
      <c r="AH873" s="466">
        <v>13835.41</v>
      </c>
      <c r="AI873" s="466">
        <v>5036.0600000000004</v>
      </c>
      <c r="AJ873" s="469" t="s">
        <v>2030</v>
      </c>
      <c r="AK873" s="470" t="s">
        <v>513</v>
      </c>
      <c r="AL873" s="471" t="s">
        <v>7812</v>
      </c>
      <c r="AM873" s="470" t="s">
        <v>7813</v>
      </c>
      <c r="AN873" s="470" t="s">
        <v>7814</v>
      </c>
      <c r="AO873" s="470" t="s">
        <v>7815</v>
      </c>
      <c r="AP873" s="470" t="s">
        <v>7816</v>
      </c>
      <c r="AQ873" s="470" t="s">
        <v>7809</v>
      </c>
      <c r="AR873" s="472" t="s">
        <v>515</v>
      </c>
      <c r="AS873" s="473" t="s">
        <v>1385</v>
      </c>
      <c r="AT873" s="472" t="s">
        <v>517</v>
      </c>
      <c r="AU873" s="472" t="s">
        <v>420</v>
      </c>
      <c r="AV873" s="472">
        <v>2020</v>
      </c>
      <c r="AW873" s="474" t="s">
        <v>15078</v>
      </c>
      <c r="AX873" s="475" t="s">
        <v>15079</v>
      </c>
      <c r="AY873" s="515">
        <v>1</v>
      </c>
      <c r="AZ873" s="474" t="s">
        <v>15079</v>
      </c>
      <c r="BA873" s="472" t="s">
        <v>517</v>
      </c>
      <c r="BB873" s="472" t="s">
        <v>1385</v>
      </c>
      <c r="BC873" s="472" t="s">
        <v>1385</v>
      </c>
      <c r="BD873" s="472" t="s">
        <v>1385</v>
      </c>
      <c r="BE873" s="472" t="s">
        <v>1385</v>
      </c>
      <c r="BF873" s="472">
        <v>34973.1</v>
      </c>
      <c r="BG873" s="472">
        <v>0</v>
      </c>
      <c r="BH873" s="472" t="s">
        <v>1385</v>
      </c>
      <c r="BI873" s="510">
        <v>0</v>
      </c>
      <c r="BJ873" s="510">
        <v>0</v>
      </c>
      <c r="BK873" s="510">
        <v>0</v>
      </c>
      <c r="BL873" s="510">
        <v>0</v>
      </c>
      <c r="BM873" s="510">
        <v>0</v>
      </c>
      <c r="BN873" s="510">
        <v>5000</v>
      </c>
      <c r="BO873" s="510">
        <v>400</v>
      </c>
      <c r="BP873" s="510">
        <v>1600</v>
      </c>
      <c r="BQ873" s="510">
        <v>0</v>
      </c>
      <c r="BR873" s="510">
        <v>0</v>
      </c>
      <c r="BS873" s="510">
        <v>0</v>
      </c>
      <c r="BT873" s="510">
        <v>0</v>
      </c>
      <c r="BU873" s="510">
        <v>2500</v>
      </c>
      <c r="BV873" s="510">
        <v>2500</v>
      </c>
      <c r="BW873" s="510">
        <v>0</v>
      </c>
      <c r="BX873" s="510">
        <v>30000</v>
      </c>
      <c r="BY873" s="1011">
        <v>0</v>
      </c>
      <c r="BZ873" s="510">
        <v>0</v>
      </c>
      <c r="CA873" s="1011">
        <v>0</v>
      </c>
      <c r="CB873" s="510">
        <v>22000</v>
      </c>
      <c r="CC873" s="1011">
        <v>0</v>
      </c>
      <c r="CD873" s="510">
        <v>0</v>
      </c>
      <c r="CE873" s="1011">
        <v>0</v>
      </c>
      <c r="CF873" s="510">
        <v>46792.800000000003</v>
      </c>
      <c r="CG873" s="1011">
        <v>0</v>
      </c>
      <c r="CH873" s="510">
        <v>0</v>
      </c>
      <c r="CI873" s="1011">
        <v>0</v>
      </c>
    </row>
    <row r="874" spans="1:87" x14ac:dyDescent="0.2">
      <c r="A874" s="449">
        <v>30</v>
      </c>
      <c r="B874" s="453">
        <v>93629</v>
      </c>
      <c r="C874" s="454" t="s">
        <v>7817</v>
      </c>
      <c r="D874" s="454" t="s">
        <v>517</v>
      </c>
      <c r="E874" s="454" t="s">
        <v>7818</v>
      </c>
      <c r="F874" s="454" t="s">
        <v>518</v>
      </c>
      <c r="G874" s="454" t="s">
        <v>13746</v>
      </c>
      <c r="H874" s="455">
        <v>58630518000199</v>
      </c>
      <c r="I874" s="462">
        <v>32140</v>
      </c>
      <c r="J874" s="457">
        <v>37497715</v>
      </c>
      <c r="K874" s="454" t="s">
        <v>7820</v>
      </c>
      <c r="L874" s="458">
        <v>2051</v>
      </c>
      <c r="M874" s="454" t="s">
        <v>7821</v>
      </c>
      <c r="N874" s="459">
        <v>8270001</v>
      </c>
      <c r="O874" s="460">
        <v>27480271</v>
      </c>
      <c r="P874" s="462">
        <v>49851</v>
      </c>
      <c r="Q874" s="462">
        <v>75</v>
      </c>
      <c r="R874" s="462">
        <v>43973</v>
      </c>
      <c r="S874" s="463">
        <v>725</v>
      </c>
      <c r="T874" s="464">
        <v>5.4</v>
      </c>
      <c r="U874" s="465">
        <v>3915</v>
      </c>
      <c r="V874" s="465">
        <v>18720</v>
      </c>
      <c r="W874" s="466">
        <v>0</v>
      </c>
      <c r="X874" s="467">
        <v>1</v>
      </c>
      <c r="Y874" s="466">
        <v>33952.5</v>
      </c>
      <c r="Z874" s="468" t="s">
        <v>516</v>
      </c>
      <c r="AA874" s="466">
        <v>131428.1</v>
      </c>
      <c r="AB874" s="466">
        <v>131428.1</v>
      </c>
      <c r="AC874" s="467">
        <v>0</v>
      </c>
      <c r="AD874" s="466">
        <v>0</v>
      </c>
      <c r="AE874" s="468" t="s">
        <v>516</v>
      </c>
      <c r="AF874" s="466">
        <v>1600</v>
      </c>
      <c r="AG874" s="466">
        <v>1600</v>
      </c>
      <c r="AH874" s="466">
        <v>55931.7</v>
      </c>
      <c r="AI874" s="466">
        <v>11019.72</v>
      </c>
      <c r="AJ874" s="469" t="s">
        <v>1674</v>
      </c>
      <c r="AK874" s="470" t="s">
        <v>518</v>
      </c>
      <c r="AL874" s="471" t="s">
        <v>2808</v>
      </c>
      <c r="AM874" s="470" t="s">
        <v>13747</v>
      </c>
      <c r="AN874" s="470" t="s">
        <v>7819</v>
      </c>
      <c r="AO874" s="470" t="s">
        <v>15029</v>
      </c>
      <c r="AP874" s="470" t="s">
        <v>7822</v>
      </c>
      <c r="AQ874" s="470" t="s">
        <v>7817</v>
      </c>
      <c r="AR874" s="472" t="s">
        <v>515</v>
      </c>
      <c r="AS874" s="473" t="s">
        <v>1385</v>
      </c>
      <c r="AT874" s="472" t="s">
        <v>517</v>
      </c>
      <c r="AU874" s="472" t="s">
        <v>420</v>
      </c>
      <c r="AV874" s="472">
        <v>2020</v>
      </c>
      <c r="AW874" s="474" t="s">
        <v>15078</v>
      </c>
      <c r="AX874" s="475" t="s">
        <v>15079</v>
      </c>
      <c r="AY874" s="515">
        <v>1</v>
      </c>
      <c r="AZ874" s="474" t="s">
        <v>15079</v>
      </c>
      <c r="BA874" s="472" t="s">
        <v>517</v>
      </c>
      <c r="BB874" s="472" t="s">
        <v>1385</v>
      </c>
      <c r="BC874" s="472" t="s">
        <v>1385</v>
      </c>
      <c r="BD874" s="472" t="s">
        <v>1385</v>
      </c>
      <c r="BE874" s="472" t="s">
        <v>1385</v>
      </c>
      <c r="BF874" s="472">
        <v>33952.5</v>
      </c>
      <c r="BG874" s="472">
        <v>0</v>
      </c>
      <c r="BH874" s="472" t="s">
        <v>1385</v>
      </c>
      <c r="BI874" s="510">
        <v>0</v>
      </c>
      <c r="BJ874" s="510">
        <v>18768.900000000001</v>
      </c>
      <c r="BK874" s="510">
        <v>0</v>
      </c>
      <c r="BL874" s="510">
        <v>71.89</v>
      </c>
      <c r="BM874" s="510">
        <v>0</v>
      </c>
      <c r="BN874" s="510">
        <v>5000</v>
      </c>
      <c r="BO874" s="510">
        <v>400</v>
      </c>
      <c r="BP874" s="510">
        <v>1600</v>
      </c>
      <c r="BQ874" s="510">
        <v>0</v>
      </c>
      <c r="BR874" s="510">
        <v>0</v>
      </c>
      <c r="BS874" s="510">
        <v>0</v>
      </c>
      <c r="BT874" s="510">
        <v>0</v>
      </c>
      <c r="BU874" s="510">
        <v>2500</v>
      </c>
      <c r="BV874" s="510">
        <v>2500</v>
      </c>
      <c r="BW874" s="510">
        <v>0</v>
      </c>
      <c r="BX874" s="510">
        <v>30000</v>
      </c>
      <c r="BY874" s="1011">
        <v>0</v>
      </c>
      <c r="BZ874" s="510">
        <v>0</v>
      </c>
      <c r="CA874" s="1011">
        <v>0</v>
      </c>
      <c r="CB874" s="510">
        <v>22000</v>
      </c>
      <c r="CC874" s="1011">
        <v>0</v>
      </c>
      <c r="CD874" s="510">
        <v>0</v>
      </c>
      <c r="CE874" s="1011">
        <v>0</v>
      </c>
      <c r="CF874" s="510">
        <v>45075.6</v>
      </c>
      <c r="CG874" s="1011">
        <v>0</v>
      </c>
      <c r="CH874" s="510">
        <v>0</v>
      </c>
      <c r="CI874" s="1011">
        <v>0</v>
      </c>
    </row>
    <row r="875" spans="1:87" x14ac:dyDescent="0.2">
      <c r="A875" s="449">
        <v>64</v>
      </c>
      <c r="B875" s="453">
        <v>93637</v>
      </c>
      <c r="C875" s="454" t="s">
        <v>7823</v>
      </c>
      <c r="D875" s="454" t="s">
        <v>2253</v>
      </c>
      <c r="E875" s="454" t="s">
        <v>7824</v>
      </c>
      <c r="F875" s="454" t="s">
        <v>523</v>
      </c>
      <c r="G875" s="454" t="s">
        <v>13748</v>
      </c>
      <c r="H875" s="455">
        <v>57394330000126</v>
      </c>
      <c r="I875" s="462">
        <v>31862</v>
      </c>
      <c r="J875" s="457">
        <v>37615300</v>
      </c>
      <c r="K875" s="454" t="s">
        <v>3599</v>
      </c>
      <c r="L875" s="458">
        <v>1155</v>
      </c>
      <c r="M875" s="454" t="s">
        <v>1950</v>
      </c>
      <c r="N875" s="459">
        <v>8471000</v>
      </c>
      <c r="O875" s="460">
        <v>22822125</v>
      </c>
      <c r="P875" s="462">
        <v>261672</v>
      </c>
      <c r="Q875" s="462">
        <v>64</v>
      </c>
      <c r="R875" s="462">
        <v>43921</v>
      </c>
      <c r="S875" s="463">
        <v>1656</v>
      </c>
      <c r="T875" s="464">
        <v>5.4</v>
      </c>
      <c r="U875" s="465">
        <v>8942.4</v>
      </c>
      <c r="V875" s="465">
        <v>23580</v>
      </c>
      <c r="W875" s="466">
        <v>0</v>
      </c>
      <c r="X875" s="467">
        <v>1</v>
      </c>
      <c r="Y875" s="466">
        <v>48783.6</v>
      </c>
      <c r="Z875" s="468" t="s">
        <v>516</v>
      </c>
      <c r="AA875" s="466">
        <v>165018.4</v>
      </c>
      <c r="AB875" s="466">
        <v>165018.4</v>
      </c>
      <c r="AC875" s="467">
        <v>0</v>
      </c>
      <c r="AD875" s="466">
        <v>0</v>
      </c>
      <c r="AE875" s="468" t="s">
        <v>516</v>
      </c>
      <c r="AF875" s="466">
        <v>2000</v>
      </c>
      <c r="AG875" s="466">
        <v>2000</v>
      </c>
      <c r="AH875" s="466">
        <v>24980.06</v>
      </c>
      <c r="AI875" s="466">
        <v>18222.34</v>
      </c>
      <c r="AJ875" s="469" t="s">
        <v>1674</v>
      </c>
      <c r="AK875" s="470" t="s">
        <v>518</v>
      </c>
      <c r="AL875" s="471" t="s">
        <v>7825</v>
      </c>
      <c r="AM875" s="470" t="s">
        <v>13749</v>
      </c>
      <c r="AN875" s="470" t="s">
        <v>1385</v>
      </c>
      <c r="AO875" s="470" t="s">
        <v>13750</v>
      </c>
      <c r="AP875" s="470" t="s">
        <v>7826</v>
      </c>
      <c r="AQ875" s="470" t="s">
        <v>7823</v>
      </c>
      <c r="AR875" s="472" t="s">
        <v>515</v>
      </c>
      <c r="AS875" s="473" t="s">
        <v>1385</v>
      </c>
      <c r="AT875" s="472" t="s">
        <v>2253</v>
      </c>
      <c r="AU875" s="472" t="s">
        <v>420</v>
      </c>
      <c r="AV875" s="472">
        <v>2020</v>
      </c>
      <c r="AW875" s="474" t="s">
        <v>15078</v>
      </c>
      <c r="AX875" s="475" t="s">
        <v>15079</v>
      </c>
      <c r="AY875" s="515">
        <v>1</v>
      </c>
      <c r="AZ875" s="474" t="s">
        <v>15079</v>
      </c>
      <c r="BA875" s="472" t="s">
        <v>2253</v>
      </c>
      <c r="BB875" s="472" t="s">
        <v>1385</v>
      </c>
      <c r="BC875" s="472" t="s">
        <v>1385</v>
      </c>
      <c r="BD875" s="472" t="s">
        <v>1385</v>
      </c>
      <c r="BE875" s="472" t="s">
        <v>1385</v>
      </c>
      <c r="BF875" s="472">
        <v>48783.6</v>
      </c>
      <c r="BG875" s="472">
        <v>0</v>
      </c>
      <c r="BH875" s="472" t="s">
        <v>1385</v>
      </c>
      <c r="BI875" s="510">
        <v>0</v>
      </c>
      <c r="BJ875" s="510">
        <v>0</v>
      </c>
      <c r="BK875" s="510">
        <v>0</v>
      </c>
      <c r="BL875" s="510">
        <v>0</v>
      </c>
      <c r="BM875" s="510">
        <v>0</v>
      </c>
      <c r="BN875" s="510">
        <v>6000</v>
      </c>
      <c r="BO875" s="510">
        <v>0</v>
      </c>
      <c r="BP875" s="510">
        <v>2000</v>
      </c>
      <c r="BQ875" s="510">
        <v>0</v>
      </c>
      <c r="BR875" s="510">
        <v>0</v>
      </c>
      <c r="BS875" s="510">
        <v>0</v>
      </c>
      <c r="BT875" s="510">
        <v>0</v>
      </c>
      <c r="BU875" s="510">
        <v>0</v>
      </c>
      <c r="BV875" s="510">
        <v>0</v>
      </c>
      <c r="BW875" s="510">
        <v>0</v>
      </c>
      <c r="BX875" s="510">
        <v>30000</v>
      </c>
      <c r="BY875" s="1011">
        <v>0</v>
      </c>
      <c r="BZ875" s="510">
        <v>0</v>
      </c>
      <c r="CA875" s="1011">
        <v>0</v>
      </c>
      <c r="CB875" s="510">
        <v>22000</v>
      </c>
      <c r="CC875" s="1011">
        <v>0</v>
      </c>
      <c r="CD875" s="510">
        <v>0</v>
      </c>
      <c r="CE875" s="1011">
        <v>0</v>
      </c>
      <c r="CF875" s="510">
        <v>64234.8</v>
      </c>
      <c r="CG875" s="1011">
        <v>0</v>
      </c>
      <c r="CH875" s="510">
        <v>0</v>
      </c>
      <c r="CI875" s="1011">
        <v>0</v>
      </c>
    </row>
    <row r="876" spans="1:87" x14ac:dyDescent="0.2">
      <c r="A876" s="449">
        <v>53</v>
      </c>
      <c r="B876" s="453">
        <v>93645</v>
      </c>
      <c r="C876" s="454" t="s">
        <v>7827</v>
      </c>
      <c r="D876" s="454" t="s">
        <v>517</v>
      </c>
      <c r="E876" s="454" t="s">
        <v>7828</v>
      </c>
      <c r="F876" s="454" t="s">
        <v>523</v>
      </c>
      <c r="G876" s="454" t="s">
        <v>13751</v>
      </c>
      <c r="H876" s="455">
        <v>58119736000163</v>
      </c>
      <c r="I876" s="462">
        <v>32037</v>
      </c>
      <c r="J876" s="457">
        <v>37615866</v>
      </c>
      <c r="K876" s="454" t="s">
        <v>7829</v>
      </c>
      <c r="L876" s="458">
        <v>700</v>
      </c>
      <c r="M876" s="454" t="s">
        <v>1950</v>
      </c>
      <c r="N876" s="459">
        <v>8490000</v>
      </c>
      <c r="O876" s="460">
        <v>22820040</v>
      </c>
      <c r="P876" s="462">
        <v>261966</v>
      </c>
      <c r="Q876" s="462">
        <v>53</v>
      </c>
      <c r="R876" s="462">
        <v>43921</v>
      </c>
      <c r="S876" s="463">
        <v>918</v>
      </c>
      <c r="T876" s="464">
        <v>5.4</v>
      </c>
      <c r="U876" s="465">
        <v>4957.2</v>
      </c>
      <c r="V876" s="465">
        <v>20340</v>
      </c>
      <c r="W876" s="466">
        <v>0</v>
      </c>
      <c r="X876" s="467">
        <v>1</v>
      </c>
      <c r="Y876" s="466">
        <v>37945.800000000003</v>
      </c>
      <c r="Z876" s="468" t="s">
        <v>516</v>
      </c>
      <c r="AA876" s="466">
        <v>136587.4</v>
      </c>
      <c r="AB876" s="466">
        <v>136587.4</v>
      </c>
      <c r="AC876" s="467">
        <v>0</v>
      </c>
      <c r="AD876" s="466">
        <v>0</v>
      </c>
      <c r="AE876" s="468" t="s">
        <v>516</v>
      </c>
      <c r="AF876" s="466">
        <v>2000</v>
      </c>
      <c r="AG876" s="466">
        <v>2000</v>
      </c>
      <c r="AH876" s="466">
        <v>29689.62</v>
      </c>
      <c r="AI876" s="466">
        <v>12022.36</v>
      </c>
      <c r="AJ876" s="469" t="s">
        <v>1846</v>
      </c>
      <c r="AK876" s="470" t="s">
        <v>1847</v>
      </c>
      <c r="AL876" s="471" t="s">
        <v>7830</v>
      </c>
      <c r="AM876" s="470" t="s">
        <v>7831</v>
      </c>
      <c r="AN876" s="470" t="s">
        <v>1385</v>
      </c>
      <c r="AO876" s="470" t="s">
        <v>7832</v>
      </c>
      <c r="AP876" s="470" t="s">
        <v>7833</v>
      </c>
      <c r="AQ876" s="470" t="s">
        <v>7827</v>
      </c>
      <c r="AR876" s="472" t="s">
        <v>515</v>
      </c>
      <c r="AS876" s="473" t="s">
        <v>1385</v>
      </c>
      <c r="AT876" s="472" t="s">
        <v>517</v>
      </c>
      <c r="AU876" s="472" t="s">
        <v>420</v>
      </c>
      <c r="AV876" s="472">
        <v>2020</v>
      </c>
      <c r="AW876" s="474" t="s">
        <v>15078</v>
      </c>
      <c r="AX876" s="475" t="s">
        <v>15079</v>
      </c>
      <c r="AY876" s="515">
        <v>1</v>
      </c>
      <c r="AZ876" s="474" t="s">
        <v>15079</v>
      </c>
      <c r="BA876" s="472" t="s">
        <v>517</v>
      </c>
      <c r="BB876" s="472" t="s">
        <v>1385</v>
      </c>
      <c r="BC876" s="472" t="s">
        <v>1385</v>
      </c>
      <c r="BD876" s="472" t="s">
        <v>1385</v>
      </c>
      <c r="BE876" s="472" t="s">
        <v>1385</v>
      </c>
      <c r="BF876" s="472">
        <v>37945.800000000003</v>
      </c>
      <c r="BG876" s="472">
        <v>0</v>
      </c>
      <c r="BH876" s="472" t="s">
        <v>1385</v>
      </c>
      <c r="BI876" s="510">
        <v>0</v>
      </c>
      <c r="BJ876" s="510">
        <v>0</v>
      </c>
      <c r="BK876" s="510">
        <v>0</v>
      </c>
      <c r="BL876" s="510">
        <v>0</v>
      </c>
      <c r="BM876" s="510">
        <v>0</v>
      </c>
      <c r="BN876" s="510">
        <v>5000</v>
      </c>
      <c r="BO876" s="510">
        <v>0</v>
      </c>
      <c r="BP876" s="510">
        <v>2000</v>
      </c>
      <c r="BQ876" s="510">
        <v>0</v>
      </c>
      <c r="BR876" s="510">
        <v>0</v>
      </c>
      <c r="BS876" s="510">
        <v>0</v>
      </c>
      <c r="BT876" s="510">
        <v>0</v>
      </c>
      <c r="BU876" s="510">
        <v>2500</v>
      </c>
      <c r="BV876" s="510">
        <v>2500</v>
      </c>
      <c r="BW876" s="510">
        <v>0</v>
      </c>
      <c r="BX876" s="510">
        <v>30000</v>
      </c>
      <c r="BY876" s="1011">
        <v>0</v>
      </c>
      <c r="BZ876" s="510">
        <v>0</v>
      </c>
      <c r="CA876" s="1011">
        <v>0</v>
      </c>
      <c r="CB876" s="510">
        <v>22000</v>
      </c>
      <c r="CC876" s="1011">
        <v>0</v>
      </c>
      <c r="CD876" s="510">
        <v>0</v>
      </c>
      <c r="CE876" s="1011">
        <v>0</v>
      </c>
      <c r="CF876" s="510">
        <v>46641.599999999999</v>
      </c>
      <c r="CG876" s="1011">
        <v>0</v>
      </c>
      <c r="CH876" s="510">
        <v>0</v>
      </c>
      <c r="CI876" s="1011">
        <v>0</v>
      </c>
    </row>
    <row r="877" spans="1:87" x14ac:dyDescent="0.2">
      <c r="A877" s="449">
        <v>59</v>
      </c>
      <c r="B877" s="453">
        <v>93653</v>
      </c>
      <c r="C877" s="454" t="s">
        <v>7834</v>
      </c>
      <c r="D877" s="454" t="s">
        <v>517</v>
      </c>
      <c r="E877" s="454" t="s">
        <v>7835</v>
      </c>
      <c r="F877" s="454" t="s">
        <v>523</v>
      </c>
      <c r="G877" s="454" t="s">
        <v>13752</v>
      </c>
      <c r="H877" s="455">
        <v>57351611000100</v>
      </c>
      <c r="I877" s="462">
        <v>31894</v>
      </c>
      <c r="J877" s="457">
        <v>37621050</v>
      </c>
      <c r="K877" s="454" t="s">
        <v>7836</v>
      </c>
      <c r="L877" s="458">
        <v>894</v>
      </c>
      <c r="M877" s="454" t="s">
        <v>1950</v>
      </c>
      <c r="N877" s="459">
        <v>8471533</v>
      </c>
      <c r="O877" s="460">
        <v>22821297</v>
      </c>
      <c r="P877" s="462">
        <v>261729</v>
      </c>
      <c r="Q877" s="462">
        <v>59</v>
      </c>
      <c r="R877" s="462">
        <v>43921</v>
      </c>
      <c r="S877" s="463">
        <v>847</v>
      </c>
      <c r="T877" s="464">
        <v>5.4</v>
      </c>
      <c r="U877" s="465">
        <v>4573.8</v>
      </c>
      <c r="V877" s="465">
        <v>18720</v>
      </c>
      <c r="W877" s="466">
        <v>0</v>
      </c>
      <c r="X877" s="467">
        <v>1</v>
      </c>
      <c r="Y877" s="466">
        <v>43364.7</v>
      </c>
      <c r="Z877" s="468" t="s">
        <v>516</v>
      </c>
      <c r="AA877" s="466">
        <v>156974.70000000001</v>
      </c>
      <c r="AB877" s="466">
        <v>156974.70000000001</v>
      </c>
      <c r="AC877" s="467">
        <v>0</v>
      </c>
      <c r="AD877" s="466">
        <v>0</v>
      </c>
      <c r="AE877" s="468" t="s">
        <v>516</v>
      </c>
      <c r="AF877" s="466">
        <v>0</v>
      </c>
      <c r="AG877" s="466">
        <v>0</v>
      </c>
      <c r="AH877" s="466">
        <v>28970.58</v>
      </c>
      <c r="AI877" s="466">
        <v>2041.16</v>
      </c>
      <c r="AJ877" s="469" t="s">
        <v>1674</v>
      </c>
      <c r="AK877" s="470" t="s">
        <v>518</v>
      </c>
      <c r="AL877" s="471" t="s">
        <v>7837</v>
      </c>
      <c r="AM877" s="470" t="s">
        <v>7838</v>
      </c>
      <c r="AN877" s="470" t="s">
        <v>1385</v>
      </c>
      <c r="AO877" s="470" t="s">
        <v>13753</v>
      </c>
      <c r="AP877" s="470" t="s">
        <v>7839</v>
      </c>
      <c r="AQ877" s="470" t="s">
        <v>7834</v>
      </c>
      <c r="AR877" s="472" t="s">
        <v>515</v>
      </c>
      <c r="AS877" s="473" t="s">
        <v>1385</v>
      </c>
      <c r="AT877" s="472" t="s">
        <v>517</v>
      </c>
      <c r="AU877" s="472" t="s">
        <v>420</v>
      </c>
      <c r="AV877" s="472">
        <v>2020</v>
      </c>
      <c r="AW877" s="474" t="s">
        <v>15078</v>
      </c>
      <c r="AX877" s="475" t="s">
        <v>15079</v>
      </c>
      <c r="AY877" s="515">
        <v>1</v>
      </c>
      <c r="AZ877" s="474" t="s">
        <v>15079</v>
      </c>
      <c r="BA877" s="472" t="s">
        <v>517</v>
      </c>
      <c r="BB877" s="472" t="s">
        <v>516</v>
      </c>
      <c r="BC877" s="472">
        <v>5</v>
      </c>
      <c r="BD877" s="472">
        <v>5616</v>
      </c>
      <c r="BE877" s="472">
        <v>0</v>
      </c>
      <c r="BF877" s="472">
        <v>43364.7</v>
      </c>
      <c r="BG877" s="472">
        <v>0</v>
      </c>
      <c r="BH877" s="472" t="s">
        <v>1385</v>
      </c>
      <c r="BI877" s="510">
        <v>0</v>
      </c>
      <c r="BJ877" s="510">
        <v>0</v>
      </c>
      <c r="BK877" s="510">
        <v>0</v>
      </c>
      <c r="BL877" s="510">
        <v>3500</v>
      </c>
      <c r="BM877" s="510">
        <v>0</v>
      </c>
      <c r="BN877" s="510">
        <v>5000</v>
      </c>
      <c r="BO877" s="510">
        <v>0</v>
      </c>
      <c r="BP877" s="510">
        <v>0</v>
      </c>
      <c r="BQ877" s="510">
        <v>0</v>
      </c>
      <c r="BR877" s="510">
        <v>0</v>
      </c>
      <c r="BS877" s="510">
        <v>0</v>
      </c>
      <c r="BT877" s="510">
        <v>0</v>
      </c>
      <c r="BU877" s="510">
        <v>2500</v>
      </c>
      <c r="BV877" s="510">
        <v>2500</v>
      </c>
      <c r="BW877" s="510">
        <v>0</v>
      </c>
      <c r="BX877" s="510">
        <v>30000</v>
      </c>
      <c r="BY877" s="1011">
        <v>0</v>
      </c>
      <c r="BZ877" s="510">
        <v>0</v>
      </c>
      <c r="CA877" s="1011">
        <v>0</v>
      </c>
      <c r="CB877" s="510">
        <v>22000</v>
      </c>
      <c r="CC877" s="1011">
        <v>0</v>
      </c>
      <c r="CD877" s="510">
        <v>0</v>
      </c>
      <c r="CE877" s="1011">
        <v>0</v>
      </c>
      <c r="CF877" s="510">
        <v>61610</v>
      </c>
      <c r="CG877" s="1011">
        <v>0</v>
      </c>
      <c r="CH877" s="510">
        <v>0</v>
      </c>
      <c r="CI877" s="1011">
        <v>0</v>
      </c>
    </row>
    <row r="878" spans="1:87" x14ac:dyDescent="0.2">
      <c r="A878" s="449">
        <v>67</v>
      </c>
      <c r="B878" s="453">
        <v>93661</v>
      </c>
      <c r="C878" s="454" t="s">
        <v>7840</v>
      </c>
      <c r="D878" s="454" t="s">
        <v>517</v>
      </c>
      <c r="E878" s="454" t="s">
        <v>7841</v>
      </c>
      <c r="F878" s="454" t="s">
        <v>527</v>
      </c>
      <c r="G878" s="454" t="s">
        <v>13754</v>
      </c>
      <c r="H878" s="455">
        <v>53835393000110</v>
      </c>
      <c r="I878" s="462">
        <v>30980</v>
      </c>
      <c r="J878" s="457">
        <v>37588206</v>
      </c>
      <c r="K878" s="454" t="s">
        <v>7842</v>
      </c>
      <c r="L878" s="458">
        <v>658</v>
      </c>
      <c r="M878" s="454" t="s">
        <v>2332</v>
      </c>
      <c r="N878" s="459">
        <v>3801000</v>
      </c>
      <c r="O878" s="460">
        <v>25464145</v>
      </c>
      <c r="P878" s="462">
        <v>183442</v>
      </c>
      <c r="Q878" s="462">
        <v>115</v>
      </c>
      <c r="R878" s="462">
        <v>43917</v>
      </c>
      <c r="S878" s="463">
        <v>714</v>
      </c>
      <c r="T878" s="464">
        <v>5.4</v>
      </c>
      <c r="U878" s="465">
        <v>3855.6</v>
      </c>
      <c r="V878" s="465">
        <v>18720</v>
      </c>
      <c r="W878" s="466">
        <v>0</v>
      </c>
      <c r="X878" s="467">
        <v>1</v>
      </c>
      <c r="Y878" s="466">
        <v>0</v>
      </c>
      <c r="Z878" s="468" t="s">
        <v>514</v>
      </c>
      <c r="AA878" s="466">
        <v>0</v>
      </c>
      <c r="AB878" s="466">
        <v>0</v>
      </c>
      <c r="AC878" s="467">
        <v>0</v>
      </c>
      <c r="AD878" s="466">
        <v>0</v>
      </c>
      <c r="AE878" s="468" t="s">
        <v>516</v>
      </c>
      <c r="AF878" s="466">
        <v>0</v>
      </c>
      <c r="AG878" s="466">
        <v>0</v>
      </c>
      <c r="AH878" s="466">
        <v>0</v>
      </c>
      <c r="AI878" s="466">
        <v>0</v>
      </c>
      <c r="AJ878" s="469" t="s">
        <v>1839</v>
      </c>
      <c r="AK878" s="470" t="s">
        <v>1888</v>
      </c>
      <c r="AL878" s="471" t="s">
        <v>7843</v>
      </c>
      <c r="AM878" s="470" t="s">
        <v>7844</v>
      </c>
      <c r="AN878" s="470" t="s">
        <v>13755</v>
      </c>
      <c r="AO878" s="470" t="s">
        <v>7845</v>
      </c>
      <c r="AP878" s="470" t="s">
        <v>7846</v>
      </c>
      <c r="AQ878" s="470" t="s">
        <v>7840</v>
      </c>
      <c r="AR878" s="472" t="s">
        <v>515</v>
      </c>
      <c r="AS878" s="473" t="s">
        <v>1385</v>
      </c>
      <c r="AT878" s="472" t="s">
        <v>517</v>
      </c>
      <c r="AU878" s="472" t="s">
        <v>420</v>
      </c>
      <c r="AV878" s="472">
        <v>2020</v>
      </c>
      <c r="AW878" s="474" t="s">
        <v>15078</v>
      </c>
      <c r="AX878" s="475" t="s">
        <v>15079</v>
      </c>
      <c r="AY878" s="515">
        <v>1</v>
      </c>
      <c r="AZ878" s="474" t="s">
        <v>15079</v>
      </c>
      <c r="BA878" s="472" t="s">
        <v>1385</v>
      </c>
      <c r="BB878" s="472" t="s">
        <v>1385</v>
      </c>
      <c r="BC878" s="472" t="s">
        <v>1385</v>
      </c>
      <c r="BD878" s="472" t="s">
        <v>1385</v>
      </c>
      <c r="BE878" s="472" t="s">
        <v>1385</v>
      </c>
      <c r="BF878" s="472">
        <v>33863.4</v>
      </c>
      <c r="BG878" s="472">
        <v>0</v>
      </c>
      <c r="BH878" s="472" t="s">
        <v>516</v>
      </c>
      <c r="BI878" s="510">
        <v>0</v>
      </c>
      <c r="BJ878" s="510">
        <v>0</v>
      </c>
      <c r="BK878" s="510">
        <v>0</v>
      </c>
      <c r="BL878" s="510">
        <v>0</v>
      </c>
      <c r="BM878" s="510">
        <v>0</v>
      </c>
      <c r="BN878" s="510">
        <v>0</v>
      </c>
      <c r="BO878" s="510">
        <v>0</v>
      </c>
      <c r="BP878" s="510">
        <v>0</v>
      </c>
      <c r="BQ878" s="510">
        <v>0</v>
      </c>
      <c r="BR878" s="510">
        <v>0</v>
      </c>
      <c r="BS878" s="510">
        <v>0</v>
      </c>
      <c r="BT878" s="510">
        <v>0</v>
      </c>
      <c r="BU878" s="510">
        <v>0</v>
      </c>
      <c r="BV878" s="510">
        <v>0</v>
      </c>
      <c r="BW878" s="510">
        <v>0</v>
      </c>
      <c r="BX878" s="510">
        <v>0</v>
      </c>
      <c r="BY878" s="1011">
        <v>0</v>
      </c>
      <c r="BZ878" s="510">
        <v>0</v>
      </c>
      <c r="CA878" s="1011">
        <v>0</v>
      </c>
      <c r="CB878" s="510">
        <v>0</v>
      </c>
      <c r="CC878" s="1011">
        <v>0</v>
      </c>
      <c r="CD878" s="510">
        <v>0</v>
      </c>
      <c r="CE878" s="1011">
        <v>0</v>
      </c>
      <c r="CF878" s="510">
        <v>0</v>
      </c>
      <c r="CG878" s="1011">
        <v>0</v>
      </c>
      <c r="CH878" s="510">
        <v>0</v>
      </c>
      <c r="CI878" s="1011">
        <v>0</v>
      </c>
    </row>
    <row r="879" spans="1:87" x14ac:dyDescent="0.2">
      <c r="A879" s="449">
        <v>39</v>
      </c>
      <c r="B879" s="453">
        <v>93670</v>
      </c>
      <c r="C879" s="454" t="s">
        <v>7847</v>
      </c>
      <c r="D879" s="454" t="s">
        <v>517</v>
      </c>
      <c r="E879" s="454" t="s">
        <v>7848</v>
      </c>
      <c r="F879" s="454" t="s">
        <v>527</v>
      </c>
      <c r="G879" s="454" t="s">
        <v>13756</v>
      </c>
      <c r="H879" s="455">
        <v>51553873000162</v>
      </c>
      <c r="I879" s="462">
        <v>36707</v>
      </c>
      <c r="J879" s="457">
        <v>37588184</v>
      </c>
      <c r="K879" s="454" t="s">
        <v>7849</v>
      </c>
      <c r="L879" s="458">
        <v>37</v>
      </c>
      <c r="M879" s="454" t="s">
        <v>7850</v>
      </c>
      <c r="N879" s="459">
        <v>3676090</v>
      </c>
      <c r="O879" s="460">
        <v>20429134</v>
      </c>
      <c r="P879" s="462">
        <v>224548</v>
      </c>
      <c r="Q879" s="462">
        <v>86</v>
      </c>
      <c r="R879" s="462">
        <v>43928</v>
      </c>
      <c r="S879" s="463">
        <v>760</v>
      </c>
      <c r="T879" s="464">
        <v>5.4</v>
      </c>
      <c r="U879" s="465">
        <v>4104</v>
      </c>
      <c r="V879" s="465">
        <v>18720</v>
      </c>
      <c r="W879" s="466">
        <v>0</v>
      </c>
      <c r="X879" s="467">
        <v>1</v>
      </c>
      <c r="Y879" s="466">
        <v>34236</v>
      </c>
      <c r="Z879" s="468" t="s">
        <v>516</v>
      </c>
      <c r="AA879" s="466">
        <v>131711.6</v>
      </c>
      <c r="AB879" s="466">
        <v>131711.6</v>
      </c>
      <c r="AC879" s="467">
        <v>0</v>
      </c>
      <c r="AD879" s="466">
        <v>0</v>
      </c>
      <c r="AE879" s="468" t="s">
        <v>516</v>
      </c>
      <c r="AF879" s="466">
        <v>1600</v>
      </c>
      <c r="AG879" s="466">
        <v>1600</v>
      </c>
      <c r="AH879" s="466">
        <v>4329.55</v>
      </c>
      <c r="AI879" s="466">
        <v>8474.26</v>
      </c>
      <c r="AJ879" s="469" t="s">
        <v>3829</v>
      </c>
      <c r="AK879" s="470" t="s">
        <v>3830</v>
      </c>
      <c r="AL879" s="471" t="s">
        <v>7851</v>
      </c>
      <c r="AM879" s="470" t="s">
        <v>7852</v>
      </c>
      <c r="AN879" s="470" t="s">
        <v>13756</v>
      </c>
      <c r="AO879" s="470" t="s">
        <v>13757</v>
      </c>
      <c r="AP879" s="470" t="s">
        <v>7853</v>
      </c>
      <c r="AQ879" s="470" t="s">
        <v>7847</v>
      </c>
      <c r="AR879" s="472" t="s">
        <v>515</v>
      </c>
      <c r="AS879" s="473" t="s">
        <v>1385</v>
      </c>
      <c r="AT879" s="472" t="s">
        <v>517</v>
      </c>
      <c r="AU879" s="472" t="s">
        <v>420</v>
      </c>
      <c r="AV879" s="472">
        <v>2020</v>
      </c>
      <c r="AW879" s="474" t="s">
        <v>15078</v>
      </c>
      <c r="AX879" s="475" t="s">
        <v>15079</v>
      </c>
      <c r="AY879" s="515">
        <v>1</v>
      </c>
      <c r="AZ879" s="474" t="s">
        <v>15079</v>
      </c>
      <c r="BA879" s="472" t="s">
        <v>517</v>
      </c>
      <c r="BB879" s="472" t="s">
        <v>1385</v>
      </c>
      <c r="BC879" s="472" t="s">
        <v>1385</v>
      </c>
      <c r="BD879" s="472" t="s">
        <v>1385</v>
      </c>
      <c r="BE879" s="472" t="s">
        <v>1385</v>
      </c>
      <c r="BF879" s="472">
        <v>34236</v>
      </c>
      <c r="BG879" s="472">
        <v>0</v>
      </c>
      <c r="BH879" s="472" t="s">
        <v>1385</v>
      </c>
      <c r="BI879" s="510">
        <v>0</v>
      </c>
      <c r="BJ879" s="510">
        <v>0</v>
      </c>
      <c r="BK879" s="510">
        <v>0</v>
      </c>
      <c r="BL879" s="510">
        <v>2303.59</v>
      </c>
      <c r="BM879" s="510">
        <v>0</v>
      </c>
      <c r="BN879" s="510">
        <v>640</v>
      </c>
      <c r="BO879" s="510">
        <v>400</v>
      </c>
      <c r="BP879" s="510">
        <v>1600</v>
      </c>
      <c r="BQ879" s="510">
        <v>0</v>
      </c>
      <c r="BR879" s="510">
        <v>0</v>
      </c>
      <c r="BS879" s="510">
        <v>0</v>
      </c>
      <c r="BT879" s="510">
        <v>0</v>
      </c>
      <c r="BU879" s="510">
        <v>2500</v>
      </c>
      <c r="BV879" s="510">
        <v>2500</v>
      </c>
      <c r="BW879" s="510">
        <v>0</v>
      </c>
      <c r="BX879" s="510">
        <v>30000</v>
      </c>
      <c r="BY879" s="1011">
        <v>0</v>
      </c>
      <c r="BZ879" s="510">
        <v>0</v>
      </c>
      <c r="CA879" s="1011">
        <v>0</v>
      </c>
      <c r="CB879" s="510">
        <v>22000</v>
      </c>
      <c r="CC879" s="1011">
        <v>0</v>
      </c>
      <c r="CD879" s="510">
        <v>0</v>
      </c>
      <c r="CE879" s="1011">
        <v>0</v>
      </c>
      <c r="CF879" s="510">
        <v>45075.6</v>
      </c>
      <c r="CG879" s="1011">
        <v>0</v>
      </c>
      <c r="CH879" s="510">
        <v>0</v>
      </c>
      <c r="CI879" s="1011">
        <v>0</v>
      </c>
    </row>
    <row r="880" spans="1:87" x14ac:dyDescent="0.2">
      <c r="A880" s="449">
        <v>74</v>
      </c>
      <c r="B880" s="453">
        <v>93688</v>
      </c>
      <c r="C880" s="454" t="s">
        <v>7854</v>
      </c>
      <c r="D880" s="454" t="s">
        <v>517</v>
      </c>
      <c r="E880" s="454" t="s">
        <v>7855</v>
      </c>
      <c r="F880" s="454" t="s">
        <v>526</v>
      </c>
      <c r="G880" s="454" t="s">
        <v>13758</v>
      </c>
      <c r="H880" s="455">
        <v>54224043000180</v>
      </c>
      <c r="I880" s="462">
        <v>30965</v>
      </c>
      <c r="J880" s="457">
        <v>37470710</v>
      </c>
      <c r="K880" s="454" t="s">
        <v>7856</v>
      </c>
      <c r="L880" s="458">
        <v>340</v>
      </c>
      <c r="M880" s="454" t="s">
        <v>7857</v>
      </c>
      <c r="N880" s="459">
        <v>8061030</v>
      </c>
      <c r="O880" s="460">
        <v>20370421</v>
      </c>
      <c r="P880" s="462">
        <v>131876</v>
      </c>
      <c r="Q880" s="462">
        <v>74</v>
      </c>
      <c r="R880" s="462">
        <v>43928</v>
      </c>
      <c r="S880" s="463">
        <v>752</v>
      </c>
      <c r="T880" s="464">
        <v>5.4</v>
      </c>
      <c r="U880" s="465">
        <v>4060.8</v>
      </c>
      <c r="V880" s="465">
        <v>18720</v>
      </c>
      <c r="W880" s="466">
        <v>0</v>
      </c>
      <c r="X880" s="467">
        <v>1</v>
      </c>
      <c r="Y880" s="466">
        <v>34171.199999999997</v>
      </c>
      <c r="Z880" s="468" t="s">
        <v>516</v>
      </c>
      <c r="AA880" s="466">
        <v>128244.8</v>
      </c>
      <c r="AB880" s="466">
        <v>128244.8</v>
      </c>
      <c r="AC880" s="467">
        <v>0</v>
      </c>
      <c r="AD880" s="466">
        <v>0</v>
      </c>
      <c r="AE880" s="468" t="s">
        <v>516</v>
      </c>
      <c r="AF880" s="466">
        <v>1600</v>
      </c>
      <c r="AG880" s="466">
        <v>1600</v>
      </c>
      <c r="AH880" s="466">
        <v>9023.7999999999993</v>
      </c>
      <c r="AI880" s="466">
        <v>7527.88</v>
      </c>
      <c r="AJ880" s="469" t="s">
        <v>1839</v>
      </c>
      <c r="AK880" s="470" t="s">
        <v>526</v>
      </c>
      <c r="AL880" s="471" t="s">
        <v>7858</v>
      </c>
      <c r="AM880" s="470" t="s">
        <v>13759</v>
      </c>
      <c r="AN880" s="470" t="s">
        <v>1385</v>
      </c>
      <c r="AO880" s="470" t="s">
        <v>7859</v>
      </c>
      <c r="AP880" s="470" t="s">
        <v>7860</v>
      </c>
      <c r="AQ880" s="470" t="s">
        <v>7854</v>
      </c>
      <c r="AR880" s="472" t="s">
        <v>515</v>
      </c>
      <c r="AS880" s="473" t="s">
        <v>1385</v>
      </c>
      <c r="AT880" s="472" t="s">
        <v>517</v>
      </c>
      <c r="AU880" s="472" t="s">
        <v>420</v>
      </c>
      <c r="AV880" s="472">
        <v>2020</v>
      </c>
      <c r="AW880" s="474" t="s">
        <v>15078</v>
      </c>
      <c r="AX880" s="475" t="s">
        <v>15079</v>
      </c>
      <c r="AY880" s="515">
        <v>1</v>
      </c>
      <c r="AZ880" s="474" t="s">
        <v>15079</v>
      </c>
      <c r="BA880" s="472" t="s">
        <v>517</v>
      </c>
      <c r="BB880" s="472" t="s">
        <v>1385</v>
      </c>
      <c r="BC880" s="472" t="s">
        <v>1385</v>
      </c>
      <c r="BD880" s="472" t="s">
        <v>1385</v>
      </c>
      <c r="BE880" s="472" t="s">
        <v>1385</v>
      </c>
      <c r="BF880" s="472">
        <v>34171.199999999997</v>
      </c>
      <c r="BG880" s="472">
        <v>0</v>
      </c>
      <c r="BH880" s="472" t="s">
        <v>1385</v>
      </c>
      <c r="BI880" s="510">
        <v>0</v>
      </c>
      <c r="BJ880" s="510">
        <v>0</v>
      </c>
      <c r="BK880" s="510">
        <v>0</v>
      </c>
      <c r="BL880" s="510">
        <v>3500</v>
      </c>
      <c r="BM880" s="510">
        <v>0</v>
      </c>
      <c r="BN880" s="510">
        <v>3260</v>
      </c>
      <c r="BO880" s="510">
        <v>400</v>
      </c>
      <c r="BP880" s="510">
        <v>1600</v>
      </c>
      <c r="BQ880" s="510">
        <v>0</v>
      </c>
      <c r="BR880" s="510">
        <v>0</v>
      </c>
      <c r="BS880" s="510">
        <v>0</v>
      </c>
      <c r="BT880" s="510">
        <v>0</v>
      </c>
      <c r="BU880" s="510">
        <v>2500</v>
      </c>
      <c r="BV880" s="510">
        <v>2500</v>
      </c>
      <c r="BW880" s="510">
        <v>0</v>
      </c>
      <c r="BX880" s="510">
        <v>30000</v>
      </c>
      <c r="BY880" s="1011">
        <v>0</v>
      </c>
      <c r="BZ880" s="510">
        <v>0</v>
      </c>
      <c r="CA880" s="1011">
        <v>0</v>
      </c>
      <c r="CB880" s="510">
        <v>22000</v>
      </c>
      <c r="CC880" s="1011">
        <v>0</v>
      </c>
      <c r="CD880" s="510">
        <v>0</v>
      </c>
      <c r="CE880" s="1011">
        <v>0</v>
      </c>
      <c r="CF880" s="510">
        <v>41673.599999999999</v>
      </c>
      <c r="CG880" s="1011">
        <v>0</v>
      </c>
      <c r="CH880" s="510">
        <v>0</v>
      </c>
      <c r="CI880" s="1011">
        <v>0</v>
      </c>
    </row>
    <row r="881" spans="1:87" x14ac:dyDescent="0.2">
      <c r="A881" s="449">
        <v>51</v>
      </c>
      <c r="B881" s="453">
        <v>93696</v>
      </c>
      <c r="C881" s="454" t="s">
        <v>7861</v>
      </c>
      <c r="D881" s="454" t="s">
        <v>517</v>
      </c>
      <c r="E881" s="454" t="s">
        <v>7862</v>
      </c>
      <c r="F881" s="454" t="s">
        <v>526</v>
      </c>
      <c r="G881" s="454" t="s">
        <v>13760</v>
      </c>
      <c r="H881" s="455">
        <v>51684405000127</v>
      </c>
      <c r="I881" s="462">
        <v>29068</v>
      </c>
      <c r="J881" s="457">
        <v>37474928</v>
      </c>
      <c r="K881" s="454" t="s">
        <v>7863</v>
      </c>
      <c r="L881" s="458">
        <v>169</v>
      </c>
      <c r="M881" s="454" t="s">
        <v>1888</v>
      </c>
      <c r="N881" s="459">
        <v>8070280</v>
      </c>
      <c r="O881" s="460">
        <v>22970192</v>
      </c>
      <c r="P881" s="462">
        <v>185020</v>
      </c>
      <c r="Q881" s="462">
        <v>51</v>
      </c>
      <c r="R881" s="462">
        <v>43928</v>
      </c>
      <c r="S881" s="463">
        <v>918</v>
      </c>
      <c r="T881" s="464">
        <v>5.4</v>
      </c>
      <c r="U881" s="465">
        <v>4957.2</v>
      </c>
      <c r="V881" s="465">
        <v>20340</v>
      </c>
      <c r="W881" s="466">
        <v>0</v>
      </c>
      <c r="X881" s="467">
        <v>1</v>
      </c>
      <c r="Y881" s="466">
        <v>37945.800000000003</v>
      </c>
      <c r="Z881" s="468" t="s">
        <v>516</v>
      </c>
      <c r="AA881" s="466">
        <v>140378.20000000001</v>
      </c>
      <c r="AB881" s="466">
        <v>140378.20000000001</v>
      </c>
      <c r="AC881" s="467">
        <v>0</v>
      </c>
      <c r="AD881" s="466">
        <v>0</v>
      </c>
      <c r="AE881" s="468" t="s">
        <v>516</v>
      </c>
      <c r="AF881" s="466">
        <v>0</v>
      </c>
      <c r="AG881" s="466">
        <v>0</v>
      </c>
      <c r="AH881" s="466">
        <v>14378.9</v>
      </c>
      <c r="AI881" s="466">
        <v>16070.52</v>
      </c>
      <c r="AJ881" s="469" t="s">
        <v>1839</v>
      </c>
      <c r="AK881" s="470" t="s">
        <v>526</v>
      </c>
      <c r="AL881" s="471" t="s">
        <v>7864</v>
      </c>
      <c r="AM881" s="470" t="s">
        <v>7865</v>
      </c>
      <c r="AN881" s="470" t="s">
        <v>1385</v>
      </c>
      <c r="AO881" s="470" t="s">
        <v>13761</v>
      </c>
      <c r="AP881" s="470" t="s">
        <v>7866</v>
      </c>
      <c r="AQ881" s="470" t="s">
        <v>7861</v>
      </c>
      <c r="AR881" s="472" t="s">
        <v>515</v>
      </c>
      <c r="AS881" s="473" t="s">
        <v>1385</v>
      </c>
      <c r="AT881" s="472" t="s">
        <v>517</v>
      </c>
      <c r="AU881" s="472" t="s">
        <v>420</v>
      </c>
      <c r="AV881" s="472">
        <v>2020</v>
      </c>
      <c r="AW881" s="474" t="s">
        <v>15078</v>
      </c>
      <c r="AX881" s="475" t="s">
        <v>15079</v>
      </c>
      <c r="AY881" s="515">
        <v>1</v>
      </c>
      <c r="AZ881" s="474" t="s">
        <v>15079</v>
      </c>
      <c r="BA881" s="472" t="s">
        <v>517</v>
      </c>
      <c r="BB881" s="472" t="s">
        <v>1385</v>
      </c>
      <c r="BC881" s="472" t="s">
        <v>1385</v>
      </c>
      <c r="BD881" s="472" t="s">
        <v>1385</v>
      </c>
      <c r="BE881" s="472" t="s">
        <v>1385</v>
      </c>
      <c r="BF881" s="472">
        <v>37945.800000000003</v>
      </c>
      <c r="BG881" s="472">
        <v>0</v>
      </c>
      <c r="BH881" s="472" t="s">
        <v>1385</v>
      </c>
      <c r="BI881" s="510">
        <v>0</v>
      </c>
      <c r="BJ881" s="510">
        <v>0</v>
      </c>
      <c r="BK881" s="510">
        <v>0</v>
      </c>
      <c r="BL881" s="510">
        <v>0</v>
      </c>
      <c r="BM881" s="510">
        <v>0</v>
      </c>
      <c r="BN881" s="510">
        <v>5000</v>
      </c>
      <c r="BO881" s="510">
        <v>0</v>
      </c>
      <c r="BP881" s="510">
        <v>0</v>
      </c>
      <c r="BQ881" s="510">
        <v>0</v>
      </c>
      <c r="BR881" s="510">
        <v>0</v>
      </c>
      <c r="BS881" s="510">
        <v>0</v>
      </c>
      <c r="BT881" s="510">
        <v>0</v>
      </c>
      <c r="BU881" s="510">
        <v>2500</v>
      </c>
      <c r="BV881" s="510">
        <v>2500</v>
      </c>
      <c r="BW881" s="510">
        <v>0</v>
      </c>
      <c r="BX881" s="510">
        <v>30000</v>
      </c>
      <c r="BY881" s="1011">
        <v>0</v>
      </c>
      <c r="BZ881" s="510">
        <v>0</v>
      </c>
      <c r="CA881" s="1011">
        <v>0</v>
      </c>
      <c r="CB881" s="510">
        <v>22000</v>
      </c>
      <c r="CC881" s="1011">
        <v>0</v>
      </c>
      <c r="CD881" s="510">
        <v>0</v>
      </c>
      <c r="CE881" s="1011">
        <v>0</v>
      </c>
      <c r="CF881" s="510">
        <v>50432.4</v>
      </c>
      <c r="CG881" s="1011">
        <v>0</v>
      </c>
      <c r="CH881" s="510">
        <v>0</v>
      </c>
      <c r="CI881" s="1011">
        <v>0</v>
      </c>
    </row>
    <row r="882" spans="1:87" x14ac:dyDescent="0.2">
      <c r="A882" s="449">
        <v>78</v>
      </c>
      <c r="B882" s="453">
        <v>93700</v>
      </c>
      <c r="C882" s="454" t="s">
        <v>7867</v>
      </c>
      <c r="D882" s="454" t="s">
        <v>517</v>
      </c>
      <c r="E882" s="454" t="s">
        <v>7868</v>
      </c>
      <c r="F882" s="454" t="s">
        <v>526</v>
      </c>
      <c r="G882" s="454" t="s">
        <v>13762</v>
      </c>
      <c r="H882" s="455">
        <v>863614000105</v>
      </c>
      <c r="I882" s="462">
        <v>34932</v>
      </c>
      <c r="J882" s="457">
        <v>37475258</v>
      </c>
      <c r="K882" s="454" t="s">
        <v>7869</v>
      </c>
      <c r="L882" s="458">
        <v>25</v>
      </c>
      <c r="M882" s="454" t="s">
        <v>6020</v>
      </c>
      <c r="N882" s="459">
        <v>8051560</v>
      </c>
      <c r="O882" s="460">
        <v>22800020</v>
      </c>
      <c r="P882" s="462">
        <v>201947</v>
      </c>
      <c r="Q882" s="462">
        <v>78</v>
      </c>
      <c r="R882" s="462">
        <v>43928</v>
      </c>
      <c r="S882" s="463">
        <v>768</v>
      </c>
      <c r="T882" s="464">
        <v>5.4</v>
      </c>
      <c r="U882" s="465">
        <v>4147.2</v>
      </c>
      <c r="V882" s="465">
        <v>18720</v>
      </c>
      <c r="W882" s="466">
        <v>0</v>
      </c>
      <c r="X882" s="467">
        <v>1</v>
      </c>
      <c r="Y882" s="466">
        <v>34300.800000000003</v>
      </c>
      <c r="Z882" s="468" t="s">
        <v>516</v>
      </c>
      <c r="AA882" s="466">
        <v>128028.4</v>
      </c>
      <c r="AB882" s="466">
        <v>128028.4</v>
      </c>
      <c r="AC882" s="467">
        <v>0</v>
      </c>
      <c r="AD882" s="466">
        <v>0</v>
      </c>
      <c r="AE882" s="468" t="s">
        <v>516</v>
      </c>
      <c r="AF882" s="466">
        <v>0</v>
      </c>
      <c r="AG882" s="466">
        <v>0</v>
      </c>
      <c r="AH882" s="466">
        <v>23767.95</v>
      </c>
      <c r="AI882" s="466">
        <v>995.03</v>
      </c>
      <c r="AJ882" s="469" t="s">
        <v>1839</v>
      </c>
      <c r="AK882" s="470" t="s">
        <v>526</v>
      </c>
      <c r="AL882" s="471" t="s">
        <v>7870</v>
      </c>
      <c r="AM882" s="470" t="s">
        <v>7871</v>
      </c>
      <c r="AN882" s="470" t="s">
        <v>1385</v>
      </c>
      <c r="AO882" s="470" t="s">
        <v>7872</v>
      </c>
      <c r="AP882" s="470" t="s">
        <v>7873</v>
      </c>
      <c r="AQ882" s="470" t="s">
        <v>7867</v>
      </c>
      <c r="AR882" s="472" t="s">
        <v>515</v>
      </c>
      <c r="AS882" s="473" t="s">
        <v>1385</v>
      </c>
      <c r="AT882" s="472" t="s">
        <v>517</v>
      </c>
      <c r="AU882" s="472" t="s">
        <v>420</v>
      </c>
      <c r="AV882" s="472">
        <v>2020</v>
      </c>
      <c r="AW882" s="474" t="s">
        <v>15078</v>
      </c>
      <c r="AX882" s="475" t="s">
        <v>15079</v>
      </c>
      <c r="AY882" s="515">
        <v>1</v>
      </c>
      <c r="AZ882" s="474" t="s">
        <v>15079</v>
      </c>
      <c r="BA882" s="472" t="s">
        <v>517</v>
      </c>
      <c r="BB882" s="472" t="s">
        <v>1385</v>
      </c>
      <c r="BC882" s="472" t="s">
        <v>1385</v>
      </c>
      <c r="BD882" s="472" t="s">
        <v>1385</v>
      </c>
      <c r="BE882" s="472" t="s">
        <v>1385</v>
      </c>
      <c r="BF882" s="472">
        <v>34300.800000000003</v>
      </c>
      <c r="BG882" s="472">
        <v>0</v>
      </c>
      <c r="BH882" s="472" t="s">
        <v>1385</v>
      </c>
      <c r="BI882" s="510">
        <v>0</v>
      </c>
      <c r="BJ882" s="510">
        <v>0</v>
      </c>
      <c r="BK882" s="510">
        <v>0</v>
      </c>
      <c r="BL882" s="510">
        <v>0</v>
      </c>
      <c r="BM882" s="510">
        <v>0</v>
      </c>
      <c r="BN882" s="510">
        <v>0</v>
      </c>
      <c r="BO882" s="510">
        <v>0</v>
      </c>
      <c r="BP882" s="510">
        <v>0</v>
      </c>
      <c r="BQ882" s="510">
        <v>0</v>
      </c>
      <c r="BR882" s="510">
        <v>0</v>
      </c>
      <c r="BS882" s="510">
        <v>0</v>
      </c>
      <c r="BT882" s="510">
        <v>0</v>
      </c>
      <c r="BU882" s="510">
        <v>2500</v>
      </c>
      <c r="BV882" s="510">
        <v>2500</v>
      </c>
      <c r="BW882" s="510">
        <v>0</v>
      </c>
      <c r="BX882" s="510">
        <v>30000</v>
      </c>
      <c r="BY882" s="1011">
        <v>0</v>
      </c>
      <c r="BZ882" s="510">
        <v>0</v>
      </c>
      <c r="CA882" s="1011">
        <v>0</v>
      </c>
      <c r="CB882" s="510">
        <v>22000</v>
      </c>
      <c r="CC882" s="1011">
        <v>0</v>
      </c>
      <c r="CD882" s="510">
        <v>0</v>
      </c>
      <c r="CE882" s="1011">
        <v>0</v>
      </c>
      <c r="CF882" s="510">
        <v>41727.599999999999</v>
      </c>
      <c r="CG882" s="1011">
        <v>0</v>
      </c>
      <c r="CH882" s="510">
        <v>0</v>
      </c>
      <c r="CI882" s="1011">
        <v>0</v>
      </c>
    </row>
    <row r="883" spans="1:87" x14ac:dyDescent="0.2">
      <c r="A883" s="449">
        <v>28</v>
      </c>
      <c r="B883" s="453">
        <v>93718</v>
      </c>
      <c r="C883" s="454" t="s">
        <v>7874</v>
      </c>
      <c r="D883" s="454" t="s">
        <v>517</v>
      </c>
      <c r="E883" s="454" t="s">
        <v>7875</v>
      </c>
      <c r="F883" s="454" t="s">
        <v>518</v>
      </c>
      <c r="G883" s="454" t="s">
        <v>13763</v>
      </c>
      <c r="H883" s="455">
        <v>59181792000190</v>
      </c>
      <c r="I883" s="462">
        <v>32316</v>
      </c>
      <c r="J883" s="457">
        <v>37497782</v>
      </c>
      <c r="K883" s="454" t="s">
        <v>7877</v>
      </c>
      <c r="L883" s="458">
        <v>1</v>
      </c>
      <c r="M883" s="454" t="s">
        <v>6117</v>
      </c>
      <c r="N883" s="459">
        <v>8235560</v>
      </c>
      <c r="O883" s="460">
        <v>20525777</v>
      </c>
      <c r="P883" s="462">
        <v>49827</v>
      </c>
      <c r="Q883" s="462">
        <v>73</v>
      </c>
      <c r="R883" s="462">
        <v>43934</v>
      </c>
      <c r="S883" s="463">
        <v>913</v>
      </c>
      <c r="T883" s="464">
        <v>5.4</v>
      </c>
      <c r="U883" s="465">
        <v>4930.2</v>
      </c>
      <c r="V883" s="465">
        <v>20340</v>
      </c>
      <c r="W883" s="466">
        <v>0</v>
      </c>
      <c r="X883" s="467">
        <v>1</v>
      </c>
      <c r="Y883" s="466">
        <v>47058.3</v>
      </c>
      <c r="Z883" s="468" t="s">
        <v>516</v>
      </c>
      <c r="AA883" s="466">
        <v>163288.29999999999</v>
      </c>
      <c r="AB883" s="466">
        <v>163288.29999999999</v>
      </c>
      <c r="AC883" s="467">
        <v>0</v>
      </c>
      <c r="AD883" s="466">
        <v>0</v>
      </c>
      <c r="AE883" s="468" t="s">
        <v>516</v>
      </c>
      <c r="AF883" s="466">
        <v>1000</v>
      </c>
      <c r="AG883" s="466">
        <v>1000</v>
      </c>
      <c r="AH883" s="466">
        <v>48693.97</v>
      </c>
      <c r="AI883" s="466">
        <v>6840.63</v>
      </c>
      <c r="AJ883" s="469" t="s">
        <v>1674</v>
      </c>
      <c r="AK883" s="470" t="s">
        <v>518</v>
      </c>
      <c r="AL883" s="471" t="s">
        <v>7878</v>
      </c>
      <c r="AM883" s="470" t="s">
        <v>7879</v>
      </c>
      <c r="AN883" s="470" t="s">
        <v>7876</v>
      </c>
      <c r="AO883" s="470" t="s">
        <v>15030</v>
      </c>
      <c r="AP883" s="470" t="s">
        <v>7880</v>
      </c>
      <c r="AQ883" s="470" t="s">
        <v>7874</v>
      </c>
      <c r="AR883" s="472" t="s">
        <v>515</v>
      </c>
      <c r="AS883" s="473" t="s">
        <v>1385</v>
      </c>
      <c r="AT883" s="472" t="s">
        <v>517</v>
      </c>
      <c r="AU883" s="472" t="s">
        <v>420</v>
      </c>
      <c r="AV883" s="472">
        <v>2020</v>
      </c>
      <c r="AW883" s="474" t="s">
        <v>15078</v>
      </c>
      <c r="AX883" s="475" t="s">
        <v>15079</v>
      </c>
      <c r="AY883" s="515">
        <v>1</v>
      </c>
      <c r="AZ883" s="474" t="s">
        <v>15079</v>
      </c>
      <c r="BA883" s="472" t="s">
        <v>517</v>
      </c>
      <c r="BB883" s="472" t="s">
        <v>516</v>
      </c>
      <c r="BC883" s="472">
        <v>5</v>
      </c>
      <c r="BD883" s="472">
        <v>6102</v>
      </c>
      <c r="BE883" s="472">
        <v>0</v>
      </c>
      <c r="BF883" s="472">
        <v>47058.3</v>
      </c>
      <c r="BG883" s="472">
        <v>0</v>
      </c>
      <c r="BH883" s="472" t="s">
        <v>1385</v>
      </c>
      <c r="BI883" s="510">
        <v>0</v>
      </c>
      <c r="BJ883" s="510">
        <v>23.26</v>
      </c>
      <c r="BK883" s="510">
        <v>0</v>
      </c>
      <c r="BL883" s="510">
        <v>3500</v>
      </c>
      <c r="BM883" s="510">
        <v>0</v>
      </c>
      <c r="BN883" s="510">
        <v>2950</v>
      </c>
      <c r="BO883" s="510">
        <v>1000</v>
      </c>
      <c r="BP883" s="510">
        <v>1000</v>
      </c>
      <c r="BQ883" s="510">
        <v>0</v>
      </c>
      <c r="BR883" s="510">
        <v>0</v>
      </c>
      <c r="BS883" s="510">
        <v>0</v>
      </c>
      <c r="BT883" s="510">
        <v>0</v>
      </c>
      <c r="BU883" s="510">
        <v>2500</v>
      </c>
      <c r="BV883" s="510">
        <v>2500</v>
      </c>
      <c r="BW883" s="510">
        <v>0</v>
      </c>
      <c r="BX883" s="510">
        <v>30000</v>
      </c>
      <c r="BY883" s="1011">
        <v>0</v>
      </c>
      <c r="BZ883" s="510">
        <v>0</v>
      </c>
      <c r="CA883" s="1011">
        <v>0</v>
      </c>
      <c r="CB883" s="510">
        <v>22000</v>
      </c>
      <c r="CC883" s="1011">
        <v>0</v>
      </c>
      <c r="CD883" s="510">
        <v>0</v>
      </c>
      <c r="CE883" s="1011">
        <v>0</v>
      </c>
      <c r="CF883" s="510">
        <v>63230</v>
      </c>
      <c r="CG883" s="1011">
        <v>0</v>
      </c>
      <c r="CH883" s="510">
        <v>0</v>
      </c>
      <c r="CI883" s="1011">
        <v>0</v>
      </c>
    </row>
    <row r="884" spans="1:87" x14ac:dyDescent="0.2">
      <c r="A884" s="449">
        <v>76</v>
      </c>
      <c r="B884" s="453">
        <v>93726</v>
      </c>
      <c r="C884" s="454" t="s">
        <v>7881</v>
      </c>
      <c r="D884" s="454" t="s">
        <v>517</v>
      </c>
      <c r="E884" s="454" t="s">
        <v>7882</v>
      </c>
      <c r="F884" s="454" t="s">
        <v>526</v>
      </c>
      <c r="G884" s="454" t="s">
        <v>13764</v>
      </c>
      <c r="H884" s="455">
        <v>54416730000105</v>
      </c>
      <c r="I884" s="462">
        <v>30924</v>
      </c>
      <c r="J884" s="457">
        <v>37587447</v>
      </c>
      <c r="K884" s="454" t="s">
        <v>7883</v>
      </c>
      <c r="L884" s="458">
        <v>51</v>
      </c>
      <c r="M884" s="454" t="s">
        <v>7884</v>
      </c>
      <c r="N884" s="459">
        <v>8050120</v>
      </c>
      <c r="O884" s="460">
        <v>20540273</v>
      </c>
      <c r="P884" s="462">
        <v>210938</v>
      </c>
      <c r="Q884" s="462">
        <v>76</v>
      </c>
      <c r="R884" s="462">
        <v>43928</v>
      </c>
      <c r="S884" s="463">
        <v>1058</v>
      </c>
      <c r="T884" s="464">
        <v>5.4</v>
      </c>
      <c r="U884" s="465">
        <v>5713.2</v>
      </c>
      <c r="V884" s="465">
        <v>20340</v>
      </c>
      <c r="W884" s="466">
        <v>0</v>
      </c>
      <c r="X884" s="467">
        <v>1</v>
      </c>
      <c r="Y884" s="466">
        <v>45181.8</v>
      </c>
      <c r="Z884" s="468" t="s">
        <v>516</v>
      </c>
      <c r="AA884" s="466">
        <v>161409</v>
      </c>
      <c r="AB884" s="466">
        <v>161409</v>
      </c>
      <c r="AC884" s="467">
        <v>0</v>
      </c>
      <c r="AD884" s="466">
        <v>0</v>
      </c>
      <c r="AE884" s="468" t="s">
        <v>516</v>
      </c>
      <c r="AF884" s="466">
        <v>0</v>
      </c>
      <c r="AG884" s="466">
        <v>0</v>
      </c>
      <c r="AH884" s="466">
        <v>41701.35</v>
      </c>
      <c r="AI884" s="466">
        <v>14048.48</v>
      </c>
      <c r="AJ884" s="469" t="s">
        <v>1839</v>
      </c>
      <c r="AK884" s="470" t="s">
        <v>526</v>
      </c>
      <c r="AL884" s="471" t="s">
        <v>7885</v>
      </c>
      <c r="AM884" s="470" t="s">
        <v>7886</v>
      </c>
      <c r="AN884" s="470" t="s">
        <v>1385</v>
      </c>
      <c r="AO884" s="470" t="s">
        <v>7887</v>
      </c>
      <c r="AP884" s="470" t="s">
        <v>7888</v>
      </c>
      <c r="AQ884" s="470" t="s">
        <v>7881</v>
      </c>
      <c r="AR884" s="472" t="s">
        <v>515</v>
      </c>
      <c r="AS884" s="473" t="s">
        <v>1385</v>
      </c>
      <c r="AT884" s="472" t="s">
        <v>517</v>
      </c>
      <c r="AU884" s="472" t="s">
        <v>420</v>
      </c>
      <c r="AV884" s="472">
        <v>2020</v>
      </c>
      <c r="AW884" s="474" t="s">
        <v>15078</v>
      </c>
      <c r="AX884" s="475" t="s">
        <v>15079</v>
      </c>
      <c r="AY884" s="515">
        <v>1</v>
      </c>
      <c r="AZ884" s="474" t="s">
        <v>15079</v>
      </c>
      <c r="BA884" s="472" t="s">
        <v>517</v>
      </c>
      <c r="BB884" s="472" t="s">
        <v>516</v>
      </c>
      <c r="BC884" s="472">
        <v>3</v>
      </c>
      <c r="BD884" s="472">
        <v>4068</v>
      </c>
      <c r="BE884" s="472">
        <v>0</v>
      </c>
      <c r="BF884" s="472">
        <v>45181.8</v>
      </c>
      <c r="BG884" s="472">
        <v>0</v>
      </c>
      <c r="BH884" s="472" t="s">
        <v>1385</v>
      </c>
      <c r="BI884" s="510">
        <v>0</v>
      </c>
      <c r="BJ884" s="510">
        <v>40.83</v>
      </c>
      <c r="BK884" s="510">
        <v>0</v>
      </c>
      <c r="BL884" s="510">
        <v>3500</v>
      </c>
      <c r="BM884" s="510">
        <v>0</v>
      </c>
      <c r="BN884" s="510">
        <v>5000</v>
      </c>
      <c r="BO884" s="510">
        <v>0</v>
      </c>
      <c r="BP884" s="510">
        <v>0</v>
      </c>
      <c r="BQ884" s="510">
        <v>0</v>
      </c>
      <c r="BR884" s="510">
        <v>0</v>
      </c>
      <c r="BS884" s="510">
        <v>0</v>
      </c>
      <c r="BT884" s="510">
        <v>0</v>
      </c>
      <c r="BU884" s="510">
        <v>0</v>
      </c>
      <c r="BV884" s="510">
        <v>0</v>
      </c>
      <c r="BW884" s="510">
        <v>0</v>
      </c>
      <c r="BX884" s="510">
        <v>30000</v>
      </c>
      <c r="BY884" s="1011">
        <v>0</v>
      </c>
      <c r="BZ884" s="510">
        <v>0</v>
      </c>
      <c r="CA884" s="1011">
        <v>0</v>
      </c>
      <c r="CB884" s="510">
        <v>22000</v>
      </c>
      <c r="CC884" s="1011">
        <v>0</v>
      </c>
      <c r="CD884" s="510">
        <v>0</v>
      </c>
      <c r="CE884" s="1011">
        <v>0</v>
      </c>
      <c r="CF884" s="510">
        <v>64227.199999999997</v>
      </c>
      <c r="CG884" s="1011">
        <v>0</v>
      </c>
      <c r="CH884" s="510">
        <v>0</v>
      </c>
      <c r="CI884" s="1011">
        <v>0</v>
      </c>
    </row>
    <row r="885" spans="1:87" x14ac:dyDescent="0.2">
      <c r="A885" s="449">
        <v>42</v>
      </c>
      <c r="B885" s="453">
        <v>93734</v>
      </c>
      <c r="C885" s="454" t="s">
        <v>7889</v>
      </c>
      <c r="D885" s="454" t="s">
        <v>517</v>
      </c>
      <c r="E885" s="454" t="s">
        <v>7890</v>
      </c>
      <c r="F885" s="454" t="s">
        <v>526</v>
      </c>
      <c r="G885" s="454" t="s">
        <v>13765</v>
      </c>
      <c r="H885" s="455">
        <v>51583466000106</v>
      </c>
      <c r="I885" s="462">
        <v>29042</v>
      </c>
      <c r="J885" s="457">
        <v>37605674</v>
      </c>
      <c r="K885" s="454" t="s">
        <v>7891</v>
      </c>
      <c r="L885" s="458">
        <v>365</v>
      </c>
      <c r="M885" s="454" t="s">
        <v>4792</v>
      </c>
      <c r="N885" s="459">
        <v>8040420</v>
      </c>
      <c r="O885" s="460">
        <v>25678429</v>
      </c>
      <c r="P885" s="462">
        <v>122435</v>
      </c>
      <c r="Q885" s="462">
        <v>42</v>
      </c>
      <c r="R885" s="462">
        <v>43928</v>
      </c>
      <c r="S885" s="463">
        <v>805</v>
      </c>
      <c r="T885" s="464">
        <v>5.4</v>
      </c>
      <c r="U885" s="465">
        <v>4347</v>
      </c>
      <c r="V885" s="465">
        <v>18720</v>
      </c>
      <c r="W885" s="466">
        <v>0</v>
      </c>
      <c r="X885" s="467">
        <v>1</v>
      </c>
      <c r="Y885" s="466">
        <v>34600.5</v>
      </c>
      <c r="Z885" s="468" t="s">
        <v>516</v>
      </c>
      <c r="AA885" s="466">
        <v>132702.1</v>
      </c>
      <c r="AB885" s="466">
        <v>132702.1</v>
      </c>
      <c r="AC885" s="467">
        <v>0</v>
      </c>
      <c r="AD885" s="466">
        <v>0</v>
      </c>
      <c r="AE885" s="468" t="s">
        <v>516</v>
      </c>
      <c r="AF885" s="466">
        <v>2000</v>
      </c>
      <c r="AG885" s="466">
        <v>2000</v>
      </c>
      <c r="AH885" s="466">
        <v>4036.75</v>
      </c>
      <c r="AI885" s="466">
        <v>0.2</v>
      </c>
      <c r="AJ885" s="469" t="s">
        <v>1839</v>
      </c>
      <c r="AK885" s="470" t="s">
        <v>526</v>
      </c>
      <c r="AL885" s="471" t="s">
        <v>7892</v>
      </c>
      <c r="AM885" s="470" t="s">
        <v>13766</v>
      </c>
      <c r="AN885" s="470" t="s">
        <v>1385</v>
      </c>
      <c r="AO885" s="470" t="s">
        <v>13767</v>
      </c>
      <c r="AP885" s="470" t="s">
        <v>7893</v>
      </c>
      <c r="AQ885" s="470" t="s">
        <v>7889</v>
      </c>
      <c r="AR885" s="472" t="s">
        <v>515</v>
      </c>
      <c r="AS885" s="473" t="s">
        <v>1385</v>
      </c>
      <c r="AT885" s="472" t="s">
        <v>517</v>
      </c>
      <c r="AU885" s="472" t="s">
        <v>420</v>
      </c>
      <c r="AV885" s="472">
        <v>2020</v>
      </c>
      <c r="AW885" s="474" t="s">
        <v>15078</v>
      </c>
      <c r="AX885" s="475" t="s">
        <v>15079</v>
      </c>
      <c r="AY885" s="515">
        <v>1</v>
      </c>
      <c r="AZ885" s="474" t="s">
        <v>15079</v>
      </c>
      <c r="BA885" s="472" t="s">
        <v>517</v>
      </c>
      <c r="BB885" s="472" t="s">
        <v>1385</v>
      </c>
      <c r="BC885" s="472" t="s">
        <v>1385</v>
      </c>
      <c r="BD885" s="472" t="s">
        <v>1385</v>
      </c>
      <c r="BE885" s="472" t="s">
        <v>1385</v>
      </c>
      <c r="BF885" s="472">
        <v>34600.5</v>
      </c>
      <c r="BG885" s="472">
        <v>0</v>
      </c>
      <c r="BH885" s="472" t="s">
        <v>1385</v>
      </c>
      <c r="BI885" s="510">
        <v>0</v>
      </c>
      <c r="BJ885" s="510">
        <v>0</v>
      </c>
      <c r="BK885" s="510">
        <v>0</v>
      </c>
      <c r="BL885" s="510">
        <v>313.27</v>
      </c>
      <c r="BM885" s="510">
        <v>0</v>
      </c>
      <c r="BN885" s="510">
        <v>4250</v>
      </c>
      <c r="BO885" s="510">
        <v>0</v>
      </c>
      <c r="BP885" s="510">
        <v>2000</v>
      </c>
      <c r="BQ885" s="510">
        <v>0</v>
      </c>
      <c r="BR885" s="510">
        <v>0</v>
      </c>
      <c r="BS885" s="510">
        <v>0</v>
      </c>
      <c r="BT885" s="510">
        <v>0</v>
      </c>
      <c r="BU885" s="510">
        <v>2500</v>
      </c>
      <c r="BV885" s="510">
        <v>2500</v>
      </c>
      <c r="BW885" s="510">
        <v>0</v>
      </c>
      <c r="BX885" s="510">
        <v>30000</v>
      </c>
      <c r="BY885" s="1011">
        <v>0</v>
      </c>
      <c r="BZ885" s="510">
        <v>0</v>
      </c>
      <c r="CA885" s="1011">
        <v>0</v>
      </c>
      <c r="CB885" s="510">
        <v>22000</v>
      </c>
      <c r="CC885" s="1011">
        <v>0</v>
      </c>
      <c r="CD885" s="510">
        <v>0</v>
      </c>
      <c r="CE885" s="1011">
        <v>0</v>
      </c>
      <c r="CF885" s="510">
        <v>46101.599999999999</v>
      </c>
      <c r="CG885" s="1011">
        <v>0</v>
      </c>
      <c r="CH885" s="510">
        <v>0</v>
      </c>
      <c r="CI885" s="1011">
        <v>0</v>
      </c>
    </row>
    <row r="886" spans="1:87" x14ac:dyDescent="0.2">
      <c r="A886" s="449">
        <v>68</v>
      </c>
      <c r="B886" s="453">
        <v>93742</v>
      </c>
      <c r="C886" s="454" t="s">
        <v>7894</v>
      </c>
      <c r="D886" s="454" t="s">
        <v>517</v>
      </c>
      <c r="E886" s="454" t="s">
        <v>7895</v>
      </c>
      <c r="F886" s="454" t="s">
        <v>526</v>
      </c>
      <c r="G886" s="454" t="s">
        <v>13768</v>
      </c>
      <c r="H886" s="455">
        <v>44780179000112</v>
      </c>
      <c r="I886" s="462">
        <v>29460</v>
      </c>
      <c r="J886" s="457">
        <v>37477005</v>
      </c>
      <c r="K886" s="454" t="s">
        <v>7896</v>
      </c>
      <c r="L886" s="458">
        <v>93</v>
      </c>
      <c r="M886" s="454" t="s">
        <v>7897</v>
      </c>
      <c r="N886" s="459">
        <v>8010120</v>
      </c>
      <c r="O886" s="460">
        <v>20372056</v>
      </c>
      <c r="P886" s="462">
        <v>120955</v>
      </c>
      <c r="Q886" s="462">
        <v>68</v>
      </c>
      <c r="R886" s="462">
        <v>43928</v>
      </c>
      <c r="S886" s="463">
        <v>1068</v>
      </c>
      <c r="T886" s="464">
        <v>5.4</v>
      </c>
      <c r="U886" s="465">
        <v>5767.2</v>
      </c>
      <c r="V886" s="465">
        <v>20340</v>
      </c>
      <c r="W886" s="466">
        <v>0</v>
      </c>
      <c r="X886" s="467">
        <v>1</v>
      </c>
      <c r="Y886" s="466">
        <v>39160.800000000003</v>
      </c>
      <c r="Z886" s="468" t="s">
        <v>516</v>
      </c>
      <c r="AA886" s="466">
        <v>142997.20000000001</v>
      </c>
      <c r="AB886" s="466">
        <v>142997.20000000001</v>
      </c>
      <c r="AC886" s="467">
        <v>0</v>
      </c>
      <c r="AD886" s="466">
        <v>0</v>
      </c>
      <c r="AE886" s="468" t="s">
        <v>516</v>
      </c>
      <c r="AF886" s="466">
        <v>0</v>
      </c>
      <c r="AG886" s="466">
        <v>0</v>
      </c>
      <c r="AH886" s="466">
        <v>14297.23</v>
      </c>
      <c r="AI886" s="466">
        <v>925.65</v>
      </c>
      <c r="AJ886" s="469" t="s">
        <v>1839</v>
      </c>
      <c r="AK886" s="470" t="s">
        <v>526</v>
      </c>
      <c r="AL886" s="471" t="s">
        <v>7898</v>
      </c>
      <c r="AM886" s="470" t="s">
        <v>7899</v>
      </c>
      <c r="AN886" s="470" t="s">
        <v>1385</v>
      </c>
      <c r="AO886" s="470" t="s">
        <v>7900</v>
      </c>
      <c r="AP886" s="470" t="s">
        <v>7901</v>
      </c>
      <c r="AQ886" s="470" t="s">
        <v>7894</v>
      </c>
      <c r="AR886" s="472" t="s">
        <v>515</v>
      </c>
      <c r="AS886" s="473" t="s">
        <v>1385</v>
      </c>
      <c r="AT886" s="472" t="s">
        <v>517</v>
      </c>
      <c r="AU886" s="472" t="s">
        <v>420</v>
      </c>
      <c r="AV886" s="472">
        <v>2020</v>
      </c>
      <c r="AW886" s="474" t="s">
        <v>15078</v>
      </c>
      <c r="AX886" s="475" t="s">
        <v>15079</v>
      </c>
      <c r="AY886" s="515">
        <v>1</v>
      </c>
      <c r="AZ886" s="474" t="s">
        <v>15079</v>
      </c>
      <c r="BA886" s="472" t="s">
        <v>517</v>
      </c>
      <c r="BB886" s="472" t="s">
        <v>1385</v>
      </c>
      <c r="BC886" s="472" t="s">
        <v>1385</v>
      </c>
      <c r="BD886" s="472" t="s">
        <v>1385</v>
      </c>
      <c r="BE886" s="472" t="s">
        <v>1385</v>
      </c>
      <c r="BF886" s="472">
        <v>39160.800000000003</v>
      </c>
      <c r="BG886" s="472">
        <v>0</v>
      </c>
      <c r="BH886" s="472" t="s">
        <v>1385</v>
      </c>
      <c r="BI886" s="510">
        <v>0</v>
      </c>
      <c r="BJ886" s="510">
        <v>0</v>
      </c>
      <c r="BK886" s="510">
        <v>0</v>
      </c>
      <c r="BL886" s="510">
        <v>0</v>
      </c>
      <c r="BM886" s="510">
        <v>0</v>
      </c>
      <c r="BN886" s="510">
        <v>5000</v>
      </c>
      <c r="BO886" s="510">
        <v>0</v>
      </c>
      <c r="BP886" s="510">
        <v>0</v>
      </c>
      <c r="BQ886" s="510">
        <v>0</v>
      </c>
      <c r="BR886" s="510">
        <v>0</v>
      </c>
      <c r="BS886" s="510">
        <v>0</v>
      </c>
      <c r="BT886" s="510">
        <v>0</v>
      </c>
      <c r="BU886" s="510">
        <v>0</v>
      </c>
      <c r="BV886" s="510">
        <v>0</v>
      </c>
      <c r="BW886" s="510">
        <v>0</v>
      </c>
      <c r="BX886" s="510">
        <v>30000</v>
      </c>
      <c r="BY886" s="1011">
        <v>0</v>
      </c>
      <c r="BZ886" s="510">
        <v>0</v>
      </c>
      <c r="CA886" s="1011">
        <v>0</v>
      </c>
      <c r="CB886" s="510">
        <v>22000</v>
      </c>
      <c r="CC886" s="1011">
        <v>0</v>
      </c>
      <c r="CD886" s="510">
        <v>0</v>
      </c>
      <c r="CE886" s="1011">
        <v>0</v>
      </c>
      <c r="CF886" s="510">
        <v>51836.4</v>
      </c>
      <c r="CG886" s="1011">
        <v>0</v>
      </c>
      <c r="CH886" s="510">
        <v>0</v>
      </c>
      <c r="CI886" s="1011">
        <v>0</v>
      </c>
    </row>
    <row r="887" spans="1:87" x14ac:dyDescent="0.2">
      <c r="A887" s="449">
        <v>73</v>
      </c>
      <c r="B887" s="453">
        <v>93751</v>
      </c>
      <c r="C887" s="454" t="s">
        <v>7902</v>
      </c>
      <c r="D887" s="454" t="s">
        <v>517</v>
      </c>
      <c r="E887" s="454" t="s">
        <v>7903</v>
      </c>
      <c r="F887" s="454" t="s">
        <v>526</v>
      </c>
      <c r="G887" s="454" t="s">
        <v>13769</v>
      </c>
      <c r="H887" s="455">
        <v>53817854000121</v>
      </c>
      <c r="I887" s="462">
        <v>30855</v>
      </c>
      <c r="J887" s="457">
        <v>37587323</v>
      </c>
      <c r="K887" s="454" t="s">
        <v>7904</v>
      </c>
      <c r="L887" s="458">
        <v>374</v>
      </c>
      <c r="M887" s="454" t="s">
        <v>1888</v>
      </c>
      <c r="N887" s="459">
        <v>8042080</v>
      </c>
      <c r="O887" s="460">
        <v>20544822</v>
      </c>
      <c r="P887" s="462">
        <v>123458</v>
      </c>
      <c r="Q887" s="462">
        <v>73</v>
      </c>
      <c r="R887" s="462">
        <v>43928</v>
      </c>
      <c r="S887" s="463">
        <v>1269</v>
      </c>
      <c r="T887" s="464">
        <v>5.4</v>
      </c>
      <c r="U887" s="465">
        <v>6852.6</v>
      </c>
      <c r="V887" s="465">
        <v>21960</v>
      </c>
      <c r="W887" s="466">
        <v>0</v>
      </c>
      <c r="X887" s="467">
        <v>1</v>
      </c>
      <c r="Y887" s="466">
        <v>53100.9</v>
      </c>
      <c r="Z887" s="468" t="s">
        <v>516</v>
      </c>
      <c r="AA887" s="466">
        <v>180934.5</v>
      </c>
      <c r="AB887" s="466">
        <v>180934.5</v>
      </c>
      <c r="AC887" s="467">
        <v>0</v>
      </c>
      <c r="AD887" s="466">
        <v>0</v>
      </c>
      <c r="AE887" s="468" t="s">
        <v>516</v>
      </c>
      <c r="AF887" s="466">
        <v>0</v>
      </c>
      <c r="AG887" s="466">
        <v>0</v>
      </c>
      <c r="AH887" s="466">
        <v>29603.09</v>
      </c>
      <c r="AI887" s="466">
        <v>14050.36</v>
      </c>
      <c r="AJ887" s="469" t="s">
        <v>1839</v>
      </c>
      <c r="AK887" s="470" t="s">
        <v>526</v>
      </c>
      <c r="AL887" s="471" t="s">
        <v>7905</v>
      </c>
      <c r="AM887" s="470" t="s">
        <v>13770</v>
      </c>
      <c r="AN887" s="470" t="s">
        <v>1385</v>
      </c>
      <c r="AO887" s="470" t="s">
        <v>7906</v>
      </c>
      <c r="AP887" s="470" t="s">
        <v>7907</v>
      </c>
      <c r="AQ887" s="470" t="s">
        <v>7902</v>
      </c>
      <c r="AR887" s="472" t="s">
        <v>515</v>
      </c>
      <c r="AS887" s="473" t="s">
        <v>1385</v>
      </c>
      <c r="AT887" s="472" t="s">
        <v>517</v>
      </c>
      <c r="AU887" s="472" t="s">
        <v>420</v>
      </c>
      <c r="AV887" s="472">
        <v>2020</v>
      </c>
      <c r="AW887" s="474" t="s">
        <v>15078</v>
      </c>
      <c r="AX887" s="475" t="s">
        <v>15079</v>
      </c>
      <c r="AY887" s="515">
        <v>1</v>
      </c>
      <c r="AZ887" s="474" t="s">
        <v>15079</v>
      </c>
      <c r="BA887" s="472" t="s">
        <v>517</v>
      </c>
      <c r="BB887" s="472" t="s">
        <v>516</v>
      </c>
      <c r="BC887" s="472">
        <v>8</v>
      </c>
      <c r="BD887" s="472">
        <v>6588</v>
      </c>
      <c r="BE887" s="472">
        <v>0</v>
      </c>
      <c r="BF887" s="472">
        <v>53100.9</v>
      </c>
      <c r="BG887" s="472">
        <v>0</v>
      </c>
      <c r="BH887" s="472" t="s">
        <v>1385</v>
      </c>
      <c r="BI887" s="510">
        <v>0</v>
      </c>
      <c r="BJ887" s="510">
        <v>0</v>
      </c>
      <c r="BK887" s="510">
        <v>0</v>
      </c>
      <c r="BL887" s="510">
        <v>0</v>
      </c>
      <c r="BM887" s="510">
        <v>0</v>
      </c>
      <c r="BN887" s="510">
        <v>3750</v>
      </c>
      <c r="BO887" s="510">
        <v>0</v>
      </c>
      <c r="BP887" s="510">
        <v>0</v>
      </c>
      <c r="BQ887" s="510">
        <v>0</v>
      </c>
      <c r="BR887" s="510">
        <v>0</v>
      </c>
      <c r="BS887" s="510">
        <v>0</v>
      </c>
      <c r="BT887" s="510">
        <v>0</v>
      </c>
      <c r="BU887" s="510">
        <v>2500</v>
      </c>
      <c r="BV887" s="510">
        <v>2500</v>
      </c>
      <c r="BW887" s="510">
        <v>0</v>
      </c>
      <c r="BX887" s="510">
        <v>30000</v>
      </c>
      <c r="BY887" s="1011">
        <v>0</v>
      </c>
      <c r="BZ887" s="510">
        <v>0</v>
      </c>
      <c r="CA887" s="1011">
        <v>0</v>
      </c>
      <c r="CB887" s="510">
        <v>22000</v>
      </c>
      <c r="CC887" s="1011">
        <v>0</v>
      </c>
      <c r="CD887" s="510">
        <v>0</v>
      </c>
      <c r="CE887" s="1011">
        <v>0</v>
      </c>
      <c r="CF887" s="510">
        <v>75833.600000000006</v>
      </c>
      <c r="CG887" s="1011">
        <v>0</v>
      </c>
      <c r="CH887" s="510">
        <v>0</v>
      </c>
      <c r="CI887" s="1011">
        <v>0</v>
      </c>
    </row>
    <row r="888" spans="1:87" x14ac:dyDescent="0.2">
      <c r="A888" s="449">
        <v>75</v>
      </c>
      <c r="B888" s="453">
        <v>93769</v>
      </c>
      <c r="C888" s="454" t="s">
        <v>7908</v>
      </c>
      <c r="D888" s="454" t="s">
        <v>517</v>
      </c>
      <c r="E888" s="454" t="s">
        <v>7909</v>
      </c>
      <c r="F888" s="454" t="s">
        <v>526</v>
      </c>
      <c r="G888" s="454" t="s">
        <v>13771</v>
      </c>
      <c r="H888" s="455">
        <v>52637477000186</v>
      </c>
      <c r="I888" s="462">
        <v>30525</v>
      </c>
      <c r="J888" s="457">
        <v>37475126</v>
      </c>
      <c r="K888" s="454" t="s">
        <v>7910</v>
      </c>
      <c r="L888" s="458">
        <v>495</v>
      </c>
      <c r="M888" s="454" t="s">
        <v>1888</v>
      </c>
      <c r="N888" s="459">
        <v>8021480</v>
      </c>
      <c r="O888" s="460">
        <v>20377694</v>
      </c>
      <c r="P888" s="462">
        <v>170006</v>
      </c>
      <c r="Q888" s="462">
        <v>75</v>
      </c>
      <c r="R888" s="462">
        <v>43928</v>
      </c>
      <c r="S888" s="463">
        <v>958</v>
      </c>
      <c r="T888" s="464">
        <v>5.4</v>
      </c>
      <c r="U888" s="465">
        <v>5173.2</v>
      </c>
      <c r="V888" s="465">
        <v>20340</v>
      </c>
      <c r="W888" s="466">
        <v>0</v>
      </c>
      <c r="X888" s="467">
        <v>1</v>
      </c>
      <c r="Y888" s="466">
        <v>38269.800000000003</v>
      </c>
      <c r="Z888" s="468" t="s">
        <v>516</v>
      </c>
      <c r="AA888" s="466">
        <v>137429.79999999999</v>
      </c>
      <c r="AB888" s="466">
        <v>137429.79999999999</v>
      </c>
      <c r="AC888" s="467">
        <v>0</v>
      </c>
      <c r="AD888" s="466">
        <v>0</v>
      </c>
      <c r="AE888" s="468" t="s">
        <v>516</v>
      </c>
      <c r="AF888" s="466">
        <v>0</v>
      </c>
      <c r="AG888" s="466">
        <v>0</v>
      </c>
      <c r="AH888" s="466">
        <v>32283.32</v>
      </c>
      <c r="AI888" s="466">
        <v>13144.65</v>
      </c>
      <c r="AJ888" s="469" t="s">
        <v>1839</v>
      </c>
      <c r="AK888" s="470" t="s">
        <v>526</v>
      </c>
      <c r="AL888" s="471" t="s">
        <v>7911</v>
      </c>
      <c r="AM888" s="470" t="s">
        <v>7912</v>
      </c>
      <c r="AN888" s="470" t="s">
        <v>1385</v>
      </c>
      <c r="AO888" s="470" t="s">
        <v>7913</v>
      </c>
      <c r="AP888" s="470" t="s">
        <v>7914</v>
      </c>
      <c r="AQ888" s="470" t="s">
        <v>7908</v>
      </c>
      <c r="AR888" s="472" t="s">
        <v>515</v>
      </c>
      <c r="AS888" s="473" t="s">
        <v>1385</v>
      </c>
      <c r="AT888" s="472" t="s">
        <v>517</v>
      </c>
      <c r="AU888" s="472" t="s">
        <v>420</v>
      </c>
      <c r="AV888" s="472">
        <v>2020</v>
      </c>
      <c r="AW888" s="474" t="s">
        <v>15078</v>
      </c>
      <c r="AX888" s="475" t="s">
        <v>15079</v>
      </c>
      <c r="AY888" s="515">
        <v>1</v>
      </c>
      <c r="AZ888" s="474" t="s">
        <v>15079</v>
      </c>
      <c r="BA888" s="472" t="s">
        <v>517</v>
      </c>
      <c r="BB888" s="472" t="s">
        <v>1385</v>
      </c>
      <c r="BC888" s="472" t="s">
        <v>1385</v>
      </c>
      <c r="BD888" s="472" t="s">
        <v>1385</v>
      </c>
      <c r="BE888" s="472" t="s">
        <v>1385</v>
      </c>
      <c r="BF888" s="472">
        <v>38269.800000000003</v>
      </c>
      <c r="BG888" s="472">
        <v>0</v>
      </c>
      <c r="BH888" s="472" t="s">
        <v>1385</v>
      </c>
      <c r="BI888" s="510">
        <v>0</v>
      </c>
      <c r="BJ888" s="510">
        <v>0</v>
      </c>
      <c r="BK888" s="510">
        <v>0</v>
      </c>
      <c r="BL888" s="510">
        <v>17.5</v>
      </c>
      <c r="BM888" s="510">
        <v>0</v>
      </c>
      <c r="BN888" s="510">
        <v>5000</v>
      </c>
      <c r="BO888" s="510">
        <v>0</v>
      </c>
      <c r="BP888" s="510">
        <v>0</v>
      </c>
      <c r="BQ888" s="510">
        <v>0</v>
      </c>
      <c r="BR888" s="510">
        <v>0</v>
      </c>
      <c r="BS888" s="510">
        <v>0</v>
      </c>
      <c r="BT888" s="510">
        <v>0</v>
      </c>
      <c r="BU888" s="510">
        <v>2500</v>
      </c>
      <c r="BV888" s="510">
        <v>2500</v>
      </c>
      <c r="BW888" s="510">
        <v>0</v>
      </c>
      <c r="BX888" s="510">
        <v>30000</v>
      </c>
      <c r="BY888" s="1011">
        <v>0</v>
      </c>
      <c r="BZ888" s="510">
        <v>0</v>
      </c>
      <c r="CA888" s="1011">
        <v>0</v>
      </c>
      <c r="CB888" s="510">
        <v>22000</v>
      </c>
      <c r="CC888" s="1011">
        <v>0</v>
      </c>
      <c r="CD888" s="510">
        <v>0</v>
      </c>
      <c r="CE888" s="1011">
        <v>0</v>
      </c>
      <c r="CF888" s="510">
        <v>47160</v>
      </c>
      <c r="CG888" s="1011">
        <v>0</v>
      </c>
      <c r="CH888" s="510">
        <v>0</v>
      </c>
      <c r="CI888" s="1011">
        <v>0</v>
      </c>
    </row>
    <row r="889" spans="1:87" x14ac:dyDescent="0.2">
      <c r="A889" s="449">
        <v>54</v>
      </c>
      <c r="B889" s="453">
        <v>93777</v>
      </c>
      <c r="C889" s="454" t="s">
        <v>7915</v>
      </c>
      <c r="D889" s="454" t="s">
        <v>517</v>
      </c>
      <c r="E889" s="454" t="s">
        <v>7916</v>
      </c>
      <c r="F889" s="454" t="s">
        <v>526</v>
      </c>
      <c r="G889" s="454" t="s">
        <v>13772</v>
      </c>
      <c r="H889" s="455">
        <v>55537575000130</v>
      </c>
      <c r="I889" s="462">
        <v>31393</v>
      </c>
      <c r="J889" s="457">
        <v>37470566</v>
      </c>
      <c r="K889" s="454" t="s">
        <v>7917</v>
      </c>
      <c r="L889" s="458">
        <v>415</v>
      </c>
      <c r="M889" s="454" t="s">
        <v>1838</v>
      </c>
      <c r="N889" s="459">
        <v>8032450</v>
      </c>
      <c r="O889" s="460">
        <v>20351648</v>
      </c>
      <c r="P889" s="462">
        <v>143351</v>
      </c>
      <c r="Q889" s="462">
        <v>54</v>
      </c>
      <c r="R889" s="462">
        <v>43928</v>
      </c>
      <c r="S889" s="463">
        <v>765</v>
      </c>
      <c r="T889" s="464">
        <v>5.4</v>
      </c>
      <c r="U889" s="465">
        <v>4131</v>
      </c>
      <c r="V889" s="465">
        <v>18720</v>
      </c>
      <c r="W889" s="466">
        <v>0</v>
      </c>
      <c r="X889" s="467">
        <v>1</v>
      </c>
      <c r="Y889" s="466">
        <v>39892.5</v>
      </c>
      <c r="Z889" s="468" t="s">
        <v>516</v>
      </c>
      <c r="AA889" s="466">
        <v>153534.9</v>
      </c>
      <c r="AB889" s="466">
        <v>153534.9</v>
      </c>
      <c r="AC889" s="467">
        <v>0</v>
      </c>
      <c r="AD889" s="466">
        <v>0</v>
      </c>
      <c r="AE889" s="468" t="s">
        <v>516</v>
      </c>
      <c r="AF889" s="466">
        <v>2000</v>
      </c>
      <c r="AG889" s="466">
        <v>2000</v>
      </c>
      <c r="AH889" s="466">
        <v>14503.14</v>
      </c>
      <c r="AI889" s="466">
        <v>1798.11</v>
      </c>
      <c r="AJ889" s="469" t="s">
        <v>1839</v>
      </c>
      <c r="AK889" s="470" t="s">
        <v>526</v>
      </c>
      <c r="AL889" s="471" t="s">
        <v>7918</v>
      </c>
      <c r="AM889" s="470" t="s">
        <v>7919</v>
      </c>
      <c r="AN889" s="470" t="s">
        <v>1385</v>
      </c>
      <c r="AO889" s="470" t="s">
        <v>7920</v>
      </c>
      <c r="AP889" s="470" t="s">
        <v>7921</v>
      </c>
      <c r="AQ889" s="470" t="s">
        <v>7915</v>
      </c>
      <c r="AR889" s="472" t="s">
        <v>515</v>
      </c>
      <c r="AS889" s="473" t="s">
        <v>1385</v>
      </c>
      <c r="AT889" s="472" t="s">
        <v>517</v>
      </c>
      <c r="AU889" s="472" t="s">
        <v>420</v>
      </c>
      <c r="AV889" s="472">
        <v>2020</v>
      </c>
      <c r="AW889" s="474" t="s">
        <v>15078</v>
      </c>
      <c r="AX889" s="475" t="s">
        <v>15079</v>
      </c>
      <c r="AY889" s="515">
        <v>1</v>
      </c>
      <c r="AZ889" s="474" t="s">
        <v>15079</v>
      </c>
      <c r="BA889" s="472" t="s">
        <v>517</v>
      </c>
      <c r="BB889" s="472" t="s">
        <v>516</v>
      </c>
      <c r="BC889" s="472">
        <v>3</v>
      </c>
      <c r="BD889" s="472">
        <v>3744</v>
      </c>
      <c r="BE889" s="472">
        <v>0</v>
      </c>
      <c r="BF889" s="472">
        <v>39892.5</v>
      </c>
      <c r="BG889" s="472">
        <v>0</v>
      </c>
      <c r="BH889" s="472" t="s">
        <v>1385</v>
      </c>
      <c r="BI889" s="510">
        <v>0</v>
      </c>
      <c r="BJ889" s="510">
        <v>0</v>
      </c>
      <c r="BK889" s="510">
        <v>0</v>
      </c>
      <c r="BL889" s="510">
        <v>2732.33</v>
      </c>
      <c r="BM889" s="510">
        <v>0</v>
      </c>
      <c r="BN889" s="510">
        <v>3700</v>
      </c>
      <c r="BO889" s="510">
        <v>0</v>
      </c>
      <c r="BP889" s="510">
        <v>2000</v>
      </c>
      <c r="BQ889" s="510">
        <v>0</v>
      </c>
      <c r="BR889" s="510">
        <v>0</v>
      </c>
      <c r="BS889" s="510">
        <v>0</v>
      </c>
      <c r="BT889" s="510">
        <v>0</v>
      </c>
      <c r="BU889" s="510">
        <v>2500</v>
      </c>
      <c r="BV889" s="510">
        <v>0</v>
      </c>
      <c r="BW889" s="510">
        <v>0</v>
      </c>
      <c r="BX889" s="510">
        <v>30000</v>
      </c>
      <c r="BY889" s="1011">
        <v>0</v>
      </c>
      <c r="BZ889" s="510">
        <v>0</v>
      </c>
      <c r="CA889" s="1011">
        <v>0</v>
      </c>
      <c r="CB889" s="510">
        <v>22000</v>
      </c>
      <c r="CC889" s="1011">
        <v>0</v>
      </c>
      <c r="CD889" s="510">
        <v>0</v>
      </c>
      <c r="CE889" s="1011">
        <v>0</v>
      </c>
      <c r="CF889" s="510">
        <v>61642.400000000001</v>
      </c>
      <c r="CG889" s="1011">
        <v>0</v>
      </c>
      <c r="CH889" s="510">
        <v>0</v>
      </c>
      <c r="CI889" s="1011">
        <v>0</v>
      </c>
    </row>
    <row r="890" spans="1:87" x14ac:dyDescent="0.2">
      <c r="A890" s="449">
        <v>46</v>
      </c>
      <c r="B890" s="453">
        <v>93785</v>
      </c>
      <c r="C890" s="454" t="s">
        <v>7922</v>
      </c>
      <c r="D890" s="454" t="s">
        <v>517</v>
      </c>
      <c r="E890" s="454" t="s">
        <v>7923</v>
      </c>
      <c r="F890" s="454" t="s">
        <v>523</v>
      </c>
      <c r="G890" s="454" t="s">
        <v>13773</v>
      </c>
      <c r="H890" s="455">
        <v>43560507000102</v>
      </c>
      <c r="I890" s="462">
        <v>29179</v>
      </c>
      <c r="J890" s="457">
        <v>37615815</v>
      </c>
      <c r="K890" s="454" t="s">
        <v>7924</v>
      </c>
      <c r="L890" s="458">
        <v>968</v>
      </c>
      <c r="M890" s="454" t="s">
        <v>523</v>
      </c>
      <c r="N890" s="459">
        <v>8032370</v>
      </c>
      <c r="O890" s="460">
        <v>20351650</v>
      </c>
      <c r="P890" s="462">
        <v>264795</v>
      </c>
      <c r="Q890" s="462">
        <v>46</v>
      </c>
      <c r="R890" s="462">
        <v>43921</v>
      </c>
      <c r="S890" s="463">
        <v>1433</v>
      </c>
      <c r="T890" s="464">
        <v>5.4</v>
      </c>
      <c r="U890" s="465">
        <v>7738.2</v>
      </c>
      <c r="V890" s="465">
        <v>21960</v>
      </c>
      <c r="W890" s="466">
        <v>0</v>
      </c>
      <c r="X890" s="467">
        <v>1</v>
      </c>
      <c r="Y890" s="466">
        <v>44547.3</v>
      </c>
      <c r="Z890" s="468" t="s">
        <v>516</v>
      </c>
      <c r="AA890" s="466">
        <v>156310.9</v>
      </c>
      <c r="AB890" s="466">
        <v>156310.9</v>
      </c>
      <c r="AC890" s="467">
        <v>0</v>
      </c>
      <c r="AD890" s="466">
        <v>0</v>
      </c>
      <c r="AE890" s="468" t="s">
        <v>516</v>
      </c>
      <c r="AF890" s="466">
        <v>0</v>
      </c>
      <c r="AG890" s="466">
        <v>0</v>
      </c>
      <c r="AH890" s="466">
        <v>20754.12</v>
      </c>
      <c r="AI890" s="466">
        <v>0.43</v>
      </c>
      <c r="AJ890" s="469" t="s">
        <v>1839</v>
      </c>
      <c r="AK890" s="470" t="s">
        <v>1888</v>
      </c>
      <c r="AL890" s="471" t="s">
        <v>7925</v>
      </c>
      <c r="AM890" s="470" t="s">
        <v>7926</v>
      </c>
      <c r="AN890" s="470" t="s">
        <v>1385</v>
      </c>
      <c r="AO890" s="470" t="s">
        <v>7927</v>
      </c>
      <c r="AP890" s="470" t="s">
        <v>7928</v>
      </c>
      <c r="AQ890" s="470" t="s">
        <v>7922</v>
      </c>
      <c r="AR890" s="472" t="s">
        <v>515</v>
      </c>
      <c r="AS890" s="473" t="s">
        <v>1385</v>
      </c>
      <c r="AT890" s="472" t="s">
        <v>517</v>
      </c>
      <c r="AU890" s="472" t="s">
        <v>420</v>
      </c>
      <c r="AV890" s="472">
        <v>2020</v>
      </c>
      <c r="AW890" s="474" t="s">
        <v>15078</v>
      </c>
      <c r="AX890" s="475" t="s">
        <v>15079</v>
      </c>
      <c r="AY890" s="515">
        <v>1</v>
      </c>
      <c r="AZ890" s="474" t="s">
        <v>15079</v>
      </c>
      <c r="BA890" s="472" t="s">
        <v>517</v>
      </c>
      <c r="BB890" s="472" t="s">
        <v>1385</v>
      </c>
      <c r="BC890" s="472" t="s">
        <v>1385</v>
      </c>
      <c r="BD890" s="472" t="s">
        <v>1385</v>
      </c>
      <c r="BE890" s="472" t="s">
        <v>1385</v>
      </c>
      <c r="BF890" s="472">
        <v>44547.3</v>
      </c>
      <c r="BG890" s="472">
        <v>0</v>
      </c>
      <c r="BH890" s="472" t="s">
        <v>1385</v>
      </c>
      <c r="BI890" s="510">
        <v>0</v>
      </c>
      <c r="BJ890" s="510">
        <v>0</v>
      </c>
      <c r="BK890" s="510">
        <v>0</v>
      </c>
      <c r="BL890" s="510">
        <v>3500</v>
      </c>
      <c r="BM890" s="510">
        <v>0</v>
      </c>
      <c r="BN890" s="510">
        <v>6000</v>
      </c>
      <c r="BO890" s="510">
        <v>0</v>
      </c>
      <c r="BP890" s="510">
        <v>0</v>
      </c>
      <c r="BQ890" s="510">
        <v>0</v>
      </c>
      <c r="BR890" s="510">
        <v>0</v>
      </c>
      <c r="BS890" s="510">
        <v>0</v>
      </c>
      <c r="BT890" s="510">
        <v>0</v>
      </c>
      <c r="BU890" s="510">
        <v>0</v>
      </c>
      <c r="BV890" s="510">
        <v>0</v>
      </c>
      <c r="BW890" s="510">
        <v>0</v>
      </c>
      <c r="BX890" s="510">
        <v>30000</v>
      </c>
      <c r="BY890" s="1011">
        <v>0</v>
      </c>
      <c r="BZ890" s="510">
        <v>0</v>
      </c>
      <c r="CA890" s="1011">
        <v>0</v>
      </c>
      <c r="CB890" s="510">
        <v>22000</v>
      </c>
      <c r="CC890" s="1011">
        <v>0</v>
      </c>
      <c r="CD890" s="510">
        <v>0</v>
      </c>
      <c r="CE890" s="1011">
        <v>0</v>
      </c>
      <c r="CF890" s="510">
        <v>59763.6</v>
      </c>
      <c r="CG890" s="1011">
        <v>0</v>
      </c>
      <c r="CH890" s="510">
        <v>0</v>
      </c>
      <c r="CI890" s="1011">
        <v>0</v>
      </c>
    </row>
    <row r="891" spans="1:87" x14ac:dyDescent="0.2">
      <c r="A891" s="449">
        <v>63</v>
      </c>
      <c r="B891" s="453">
        <v>93793</v>
      </c>
      <c r="C891" s="454" t="s">
        <v>7929</v>
      </c>
      <c r="D891" s="454" t="s">
        <v>517</v>
      </c>
      <c r="E891" s="454" t="s">
        <v>7930</v>
      </c>
      <c r="F891" s="454" t="s">
        <v>526</v>
      </c>
      <c r="G891" s="454" t="s">
        <v>13774</v>
      </c>
      <c r="H891" s="455">
        <v>67635722000193</v>
      </c>
      <c r="I891" s="462">
        <v>33736</v>
      </c>
      <c r="J891" s="457">
        <v>37474871</v>
      </c>
      <c r="K891" s="454" t="s">
        <v>7931</v>
      </c>
      <c r="L891" s="458">
        <v>13</v>
      </c>
      <c r="M891" s="454" t="s">
        <v>2807</v>
      </c>
      <c r="N891" s="459">
        <v>8240530</v>
      </c>
      <c r="O891" s="460">
        <v>20544774</v>
      </c>
      <c r="P891" s="462">
        <v>125566</v>
      </c>
      <c r="Q891" s="462">
        <v>63</v>
      </c>
      <c r="R891" s="462">
        <v>43928</v>
      </c>
      <c r="S891" s="463">
        <v>782</v>
      </c>
      <c r="T891" s="464">
        <v>5.4</v>
      </c>
      <c r="U891" s="465">
        <v>4222.8</v>
      </c>
      <c r="V891" s="465">
        <v>18720</v>
      </c>
      <c r="W891" s="466">
        <v>0</v>
      </c>
      <c r="X891" s="467">
        <v>1</v>
      </c>
      <c r="Y891" s="466">
        <v>42838.2</v>
      </c>
      <c r="Z891" s="468" t="s">
        <v>516</v>
      </c>
      <c r="AA891" s="466">
        <v>156545.4</v>
      </c>
      <c r="AB891" s="466">
        <v>156545.4</v>
      </c>
      <c r="AC891" s="467">
        <v>0</v>
      </c>
      <c r="AD891" s="466">
        <v>0</v>
      </c>
      <c r="AE891" s="468" t="s">
        <v>516</v>
      </c>
      <c r="AF891" s="466">
        <v>0</v>
      </c>
      <c r="AG891" s="466">
        <v>0</v>
      </c>
      <c r="AH891" s="466">
        <v>21206.84</v>
      </c>
      <c r="AI891" s="466">
        <v>9403.33</v>
      </c>
      <c r="AJ891" s="469" t="s">
        <v>4086</v>
      </c>
      <c r="AK891" s="470" t="s">
        <v>4793</v>
      </c>
      <c r="AL891" s="471" t="s">
        <v>7932</v>
      </c>
      <c r="AM891" s="470" t="s">
        <v>7933</v>
      </c>
      <c r="AN891" s="470" t="s">
        <v>1385</v>
      </c>
      <c r="AO891" s="470" t="s">
        <v>7934</v>
      </c>
      <c r="AP891" s="470" t="s">
        <v>7935</v>
      </c>
      <c r="AQ891" s="470" t="s">
        <v>7929</v>
      </c>
      <c r="AR891" s="472" t="s">
        <v>515</v>
      </c>
      <c r="AS891" s="473" t="s">
        <v>1385</v>
      </c>
      <c r="AT891" s="472" t="s">
        <v>517</v>
      </c>
      <c r="AU891" s="472" t="s">
        <v>420</v>
      </c>
      <c r="AV891" s="472">
        <v>2020</v>
      </c>
      <c r="AW891" s="474" t="s">
        <v>15078</v>
      </c>
      <c r="AX891" s="475" t="s">
        <v>15079</v>
      </c>
      <c r="AY891" s="515">
        <v>1</v>
      </c>
      <c r="AZ891" s="474" t="s">
        <v>15079</v>
      </c>
      <c r="BA891" s="472" t="s">
        <v>517</v>
      </c>
      <c r="BB891" s="472" t="s">
        <v>516</v>
      </c>
      <c r="BC891" s="472">
        <v>16</v>
      </c>
      <c r="BD891" s="472">
        <v>5616</v>
      </c>
      <c r="BE891" s="472">
        <v>0</v>
      </c>
      <c r="BF891" s="472">
        <v>42838.2</v>
      </c>
      <c r="BG891" s="472">
        <v>0</v>
      </c>
      <c r="BH891" s="472" t="s">
        <v>1385</v>
      </c>
      <c r="BI891" s="510">
        <v>0</v>
      </c>
      <c r="BJ891" s="510">
        <v>1093.76</v>
      </c>
      <c r="BK891" s="510">
        <v>0</v>
      </c>
      <c r="BL891" s="510">
        <v>0</v>
      </c>
      <c r="BM891" s="510">
        <v>0</v>
      </c>
      <c r="BN891" s="510">
        <v>5000</v>
      </c>
      <c r="BO891" s="510">
        <v>0</v>
      </c>
      <c r="BP891" s="510">
        <v>0</v>
      </c>
      <c r="BQ891" s="510">
        <v>0</v>
      </c>
      <c r="BR891" s="510">
        <v>0</v>
      </c>
      <c r="BS891" s="510">
        <v>0</v>
      </c>
      <c r="BT891" s="510">
        <v>0</v>
      </c>
      <c r="BU891" s="510">
        <v>2500</v>
      </c>
      <c r="BV891" s="510">
        <v>2500</v>
      </c>
      <c r="BW891" s="510">
        <v>0</v>
      </c>
      <c r="BX891" s="510">
        <v>30000</v>
      </c>
      <c r="BY891" s="1011">
        <v>0</v>
      </c>
      <c r="BZ891" s="510">
        <v>0</v>
      </c>
      <c r="CA891" s="1011">
        <v>0</v>
      </c>
      <c r="CB891" s="510">
        <v>22000</v>
      </c>
      <c r="CC891" s="1011">
        <v>0</v>
      </c>
      <c r="CD891" s="510">
        <v>0</v>
      </c>
      <c r="CE891" s="1011">
        <v>0</v>
      </c>
      <c r="CF891" s="510">
        <v>61707.199999999997</v>
      </c>
      <c r="CG891" s="1011">
        <v>0</v>
      </c>
      <c r="CH891" s="510">
        <v>0</v>
      </c>
      <c r="CI891" s="1011">
        <v>0</v>
      </c>
    </row>
    <row r="892" spans="1:87" x14ac:dyDescent="0.2">
      <c r="A892" s="449">
        <v>60</v>
      </c>
      <c r="B892" s="453">
        <v>93807</v>
      </c>
      <c r="C892" s="454" t="s">
        <v>7936</v>
      </c>
      <c r="D892" s="454" t="s">
        <v>517</v>
      </c>
      <c r="E892" s="454" t="s">
        <v>7937</v>
      </c>
      <c r="F892" s="454" t="s">
        <v>526</v>
      </c>
      <c r="G892" s="454" t="s">
        <v>13775</v>
      </c>
      <c r="H892" s="455">
        <v>59938175000197</v>
      </c>
      <c r="I892" s="462">
        <v>32442</v>
      </c>
      <c r="J892" s="457">
        <v>37474987</v>
      </c>
      <c r="K892" s="454" t="s">
        <v>7938</v>
      </c>
      <c r="L892" s="458">
        <v>746</v>
      </c>
      <c r="M892" s="454" t="s">
        <v>2807</v>
      </c>
      <c r="N892" s="459">
        <v>8240730</v>
      </c>
      <c r="O892" s="460">
        <v>20544993</v>
      </c>
      <c r="P892" s="462">
        <v>121978</v>
      </c>
      <c r="Q892" s="462">
        <v>60</v>
      </c>
      <c r="R892" s="462">
        <v>43928</v>
      </c>
      <c r="S892" s="463">
        <v>1073</v>
      </c>
      <c r="T892" s="464">
        <v>5.4</v>
      </c>
      <c r="U892" s="465">
        <v>5794.2</v>
      </c>
      <c r="V892" s="465">
        <v>20340</v>
      </c>
      <c r="W892" s="466">
        <v>0</v>
      </c>
      <c r="X892" s="467">
        <v>1</v>
      </c>
      <c r="Y892" s="466">
        <v>48354.3</v>
      </c>
      <c r="Z892" s="468" t="s">
        <v>516</v>
      </c>
      <c r="AA892" s="466">
        <v>169268.3</v>
      </c>
      <c r="AB892" s="466">
        <v>169268.3</v>
      </c>
      <c r="AC892" s="467">
        <v>0</v>
      </c>
      <c r="AD892" s="466">
        <v>0</v>
      </c>
      <c r="AE892" s="468" t="s">
        <v>516</v>
      </c>
      <c r="AF892" s="466">
        <v>1500</v>
      </c>
      <c r="AG892" s="466">
        <v>1500</v>
      </c>
      <c r="AH892" s="466">
        <v>59036.51</v>
      </c>
      <c r="AI892" s="466">
        <v>15.59</v>
      </c>
      <c r="AJ892" s="469" t="s">
        <v>1674</v>
      </c>
      <c r="AK892" s="470" t="s">
        <v>518</v>
      </c>
      <c r="AL892" s="471" t="s">
        <v>7939</v>
      </c>
      <c r="AM892" s="470" t="s">
        <v>7940</v>
      </c>
      <c r="AN892" s="470" t="s">
        <v>1385</v>
      </c>
      <c r="AO892" s="470" t="s">
        <v>13776</v>
      </c>
      <c r="AP892" s="470" t="s">
        <v>7941</v>
      </c>
      <c r="AQ892" s="470" t="s">
        <v>7936</v>
      </c>
      <c r="AR892" s="472" t="s">
        <v>515</v>
      </c>
      <c r="AS892" s="473" t="s">
        <v>1385</v>
      </c>
      <c r="AT892" s="472" t="s">
        <v>517</v>
      </c>
      <c r="AU892" s="472" t="s">
        <v>420</v>
      </c>
      <c r="AV892" s="472">
        <v>2020</v>
      </c>
      <c r="AW892" s="474" t="s">
        <v>15078</v>
      </c>
      <c r="AX892" s="475" t="s">
        <v>15079</v>
      </c>
      <c r="AY892" s="515">
        <v>1</v>
      </c>
      <c r="AZ892" s="474" t="s">
        <v>15079</v>
      </c>
      <c r="BA892" s="472" t="s">
        <v>517</v>
      </c>
      <c r="BB892" s="472" t="s">
        <v>516</v>
      </c>
      <c r="BC892" s="472">
        <v>6</v>
      </c>
      <c r="BD892" s="472">
        <v>6102</v>
      </c>
      <c r="BE892" s="472">
        <v>0</v>
      </c>
      <c r="BF892" s="472">
        <v>48354.3</v>
      </c>
      <c r="BG892" s="472">
        <v>0</v>
      </c>
      <c r="BH892" s="472" t="s">
        <v>1385</v>
      </c>
      <c r="BI892" s="510">
        <v>0</v>
      </c>
      <c r="BJ892" s="510">
        <v>154.5</v>
      </c>
      <c r="BK892" s="510">
        <v>0</v>
      </c>
      <c r="BL892" s="510">
        <v>3500</v>
      </c>
      <c r="BM892" s="510">
        <v>0</v>
      </c>
      <c r="BN892" s="510">
        <v>4400</v>
      </c>
      <c r="BO892" s="510">
        <v>500</v>
      </c>
      <c r="BP892" s="510">
        <v>1500</v>
      </c>
      <c r="BQ892" s="510">
        <v>0</v>
      </c>
      <c r="BR892" s="510">
        <v>0</v>
      </c>
      <c r="BS892" s="510">
        <v>0</v>
      </c>
      <c r="BT892" s="510">
        <v>0</v>
      </c>
      <c r="BU892" s="510">
        <v>2500</v>
      </c>
      <c r="BV892" s="510">
        <v>2500</v>
      </c>
      <c r="BW892" s="510">
        <v>0</v>
      </c>
      <c r="BX892" s="510">
        <v>30000</v>
      </c>
      <c r="BY892" s="1011">
        <v>0</v>
      </c>
      <c r="BZ892" s="510">
        <v>0</v>
      </c>
      <c r="CA892" s="1011">
        <v>0</v>
      </c>
      <c r="CB892" s="510">
        <v>22000</v>
      </c>
      <c r="CC892" s="1011">
        <v>0</v>
      </c>
      <c r="CD892" s="510">
        <v>0</v>
      </c>
      <c r="CE892" s="1011">
        <v>0</v>
      </c>
      <c r="CF892" s="510">
        <v>68414</v>
      </c>
      <c r="CG892" s="1011">
        <v>0</v>
      </c>
      <c r="CH892" s="510">
        <v>0</v>
      </c>
      <c r="CI892" s="1011">
        <v>0</v>
      </c>
    </row>
    <row r="893" spans="1:87" x14ac:dyDescent="0.2">
      <c r="A893" s="449">
        <v>30</v>
      </c>
      <c r="B893" s="453">
        <v>93815</v>
      </c>
      <c r="C893" s="454" t="s">
        <v>7942</v>
      </c>
      <c r="D893" s="454" t="s">
        <v>517</v>
      </c>
      <c r="E893" s="454" t="s">
        <v>7943</v>
      </c>
      <c r="F893" s="454" t="s">
        <v>523</v>
      </c>
      <c r="G893" s="454" t="s">
        <v>13777</v>
      </c>
      <c r="H893" s="455">
        <v>54003678000157</v>
      </c>
      <c r="I893" s="462">
        <v>30932</v>
      </c>
      <c r="J893" s="457">
        <v>37615246</v>
      </c>
      <c r="K893" s="454" t="s">
        <v>7944</v>
      </c>
      <c r="L893" s="458">
        <v>25</v>
      </c>
      <c r="M893" s="454" t="s">
        <v>7945</v>
      </c>
      <c r="N893" s="459">
        <v>8440001</v>
      </c>
      <c r="O893" s="460">
        <v>20356380</v>
      </c>
      <c r="P893" s="462">
        <v>263713</v>
      </c>
      <c r="Q893" s="462">
        <v>30</v>
      </c>
      <c r="R893" s="462">
        <v>43921</v>
      </c>
      <c r="S893" s="463">
        <v>1163</v>
      </c>
      <c r="T893" s="464">
        <v>5.4</v>
      </c>
      <c r="U893" s="465">
        <v>6280.2</v>
      </c>
      <c r="V893" s="465">
        <v>20340</v>
      </c>
      <c r="W893" s="466">
        <v>0</v>
      </c>
      <c r="X893" s="467">
        <v>1</v>
      </c>
      <c r="Y893" s="466">
        <v>39930.300000000003</v>
      </c>
      <c r="Z893" s="468" t="s">
        <v>516</v>
      </c>
      <c r="AA893" s="466">
        <v>143637.1</v>
      </c>
      <c r="AB893" s="466">
        <v>143637.1</v>
      </c>
      <c r="AC893" s="467">
        <v>0</v>
      </c>
      <c r="AD893" s="466">
        <v>0</v>
      </c>
      <c r="AE893" s="468" t="s">
        <v>516</v>
      </c>
      <c r="AF893" s="466">
        <v>0</v>
      </c>
      <c r="AG893" s="466">
        <v>0</v>
      </c>
      <c r="AH893" s="466">
        <v>21502.73</v>
      </c>
      <c r="AI893" s="466">
        <v>0</v>
      </c>
      <c r="AJ893" s="469" t="s">
        <v>1674</v>
      </c>
      <c r="AK893" s="470" t="s">
        <v>518</v>
      </c>
      <c r="AL893" s="471" t="s">
        <v>7946</v>
      </c>
      <c r="AM893" s="470" t="s">
        <v>7947</v>
      </c>
      <c r="AN893" s="470" t="s">
        <v>1385</v>
      </c>
      <c r="AO893" s="470" t="s">
        <v>7948</v>
      </c>
      <c r="AP893" s="470" t="s">
        <v>7949</v>
      </c>
      <c r="AQ893" s="470" t="s">
        <v>7942</v>
      </c>
      <c r="AR893" s="472" t="s">
        <v>515</v>
      </c>
      <c r="AS893" s="473" t="s">
        <v>1385</v>
      </c>
      <c r="AT893" s="472" t="s">
        <v>517</v>
      </c>
      <c r="AU893" s="472" t="s">
        <v>420</v>
      </c>
      <c r="AV893" s="472">
        <v>2020</v>
      </c>
      <c r="AW893" s="474" t="s">
        <v>15078</v>
      </c>
      <c r="AX893" s="475" t="s">
        <v>15079</v>
      </c>
      <c r="AY893" s="515">
        <v>1</v>
      </c>
      <c r="AZ893" s="474" t="s">
        <v>15079</v>
      </c>
      <c r="BA893" s="472" t="s">
        <v>517</v>
      </c>
      <c r="BB893" s="472" t="s">
        <v>1385</v>
      </c>
      <c r="BC893" s="472" t="s">
        <v>1385</v>
      </c>
      <c r="BD893" s="472" t="s">
        <v>1385</v>
      </c>
      <c r="BE893" s="472" t="s">
        <v>1385</v>
      </c>
      <c r="BF893" s="472">
        <v>39930.300000000003</v>
      </c>
      <c r="BG893" s="472">
        <v>0</v>
      </c>
      <c r="BH893" s="472" t="s">
        <v>1385</v>
      </c>
      <c r="BI893" s="510">
        <v>0</v>
      </c>
      <c r="BJ893" s="510">
        <v>0</v>
      </c>
      <c r="BK893" s="510">
        <v>0</v>
      </c>
      <c r="BL893" s="510">
        <v>0</v>
      </c>
      <c r="BM893" s="510">
        <v>0</v>
      </c>
      <c r="BN893" s="510">
        <v>5000</v>
      </c>
      <c r="BO893" s="510">
        <v>0</v>
      </c>
      <c r="BP893" s="510">
        <v>0</v>
      </c>
      <c r="BQ893" s="510">
        <v>0</v>
      </c>
      <c r="BR893" s="510">
        <v>0</v>
      </c>
      <c r="BS893" s="510">
        <v>0</v>
      </c>
      <c r="BT893" s="510">
        <v>0</v>
      </c>
      <c r="BU893" s="510">
        <v>2500</v>
      </c>
      <c r="BV893" s="510">
        <v>2500</v>
      </c>
      <c r="BW893" s="510">
        <v>0</v>
      </c>
      <c r="BX893" s="510">
        <v>30000</v>
      </c>
      <c r="BY893" s="1011">
        <v>0</v>
      </c>
      <c r="BZ893" s="510">
        <v>0</v>
      </c>
      <c r="CA893" s="1011">
        <v>0</v>
      </c>
      <c r="CB893" s="510">
        <v>22000</v>
      </c>
      <c r="CC893" s="1011">
        <v>0</v>
      </c>
      <c r="CD893" s="510">
        <v>0</v>
      </c>
      <c r="CE893" s="1011">
        <v>0</v>
      </c>
      <c r="CF893" s="510">
        <v>51706.8</v>
      </c>
      <c r="CG893" s="1011">
        <v>0</v>
      </c>
      <c r="CH893" s="510">
        <v>0</v>
      </c>
      <c r="CI893" s="1011">
        <v>0</v>
      </c>
    </row>
    <row r="894" spans="1:87" x14ac:dyDescent="0.2">
      <c r="A894" s="449">
        <v>57</v>
      </c>
      <c r="B894" s="453">
        <v>93823</v>
      </c>
      <c r="C894" s="454" t="s">
        <v>7950</v>
      </c>
      <c r="D894" s="454" t="s">
        <v>517</v>
      </c>
      <c r="E894" s="454" t="s">
        <v>7951</v>
      </c>
      <c r="F894" s="454" t="s">
        <v>526</v>
      </c>
      <c r="G894" s="454" t="s">
        <v>13778</v>
      </c>
      <c r="H894" s="455">
        <v>56274673000194</v>
      </c>
      <c r="I894" s="462">
        <v>31589</v>
      </c>
      <c r="J894" s="457">
        <v>37475436</v>
      </c>
      <c r="K894" s="454" t="s">
        <v>6059</v>
      </c>
      <c r="L894" s="458">
        <v>18</v>
      </c>
      <c r="M894" s="454" t="s">
        <v>7952</v>
      </c>
      <c r="N894" s="459">
        <v>8160090</v>
      </c>
      <c r="O894" s="460">
        <v>20354244</v>
      </c>
      <c r="P894" s="462">
        <v>140840</v>
      </c>
      <c r="Q894" s="462">
        <v>57</v>
      </c>
      <c r="R894" s="462">
        <v>43928</v>
      </c>
      <c r="S894" s="463">
        <v>869</v>
      </c>
      <c r="T894" s="464">
        <v>5.4</v>
      </c>
      <c r="U894" s="465">
        <v>4692.6000000000004</v>
      </c>
      <c r="V894" s="465">
        <v>18720</v>
      </c>
      <c r="W894" s="466">
        <v>0</v>
      </c>
      <c r="X894" s="467">
        <v>1</v>
      </c>
      <c r="Y894" s="466">
        <v>35118.9</v>
      </c>
      <c r="Z894" s="468" t="s">
        <v>516</v>
      </c>
      <c r="AA894" s="466">
        <v>134641.70000000001</v>
      </c>
      <c r="AB894" s="466">
        <v>134641.70000000001</v>
      </c>
      <c r="AC894" s="467">
        <v>0</v>
      </c>
      <c r="AD894" s="466">
        <v>0</v>
      </c>
      <c r="AE894" s="468" t="s">
        <v>516</v>
      </c>
      <c r="AF894" s="466">
        <v>1000</v>
      </c>
      <c r="AG894" s="466">
        <v>1000</v>
      </c>
      <c r="AH894" s="466">
        <v>27399.62</v>
      </c>
      <c r="AI894" s="466">
        <v>0</v>
      </c>
      <c r="AJ894" s="469" t="s">
        <v>1839</v>
      </c>
      <c r="AK894" s="470" t="s">
        <v>526</v>
      </c>
      <c r="AL894" s="471" t="s">
        <v>7953</v>
      </c>
      <c r="AM894" s="470" t="s">
        <v>7954</v>
      </c>
      <c r="AN894" s="470" t="s">
        <v>1385</v>
      </c>
      <c r="AO894" s="470" t="s">
        <v>7955</v>
      </c>
      <c r="AP894" s="470" t="s">
        <v>7956</v>
      </c>
      <c r="AQ894" s="470" t="s">
        <v>7950</v>
      </c>
      <c r="AR894" s="472" t="s">
        <v>515</v>
      </c>
      <c r="AS894" s="473" t="s">
        <v>1385</v>
      </c>
      <c r="AT894" s="472" t="s">
        <v>517</v>
      </c>
      <c r="AU894" s="472" t="s">
        <v>420</v>
      </c>
      <c r="AV894" s="472">
        <v>2020</v>
      </c>
      <c r="AW894" s="474" t="s">
        <v>15078</v>
      </c>
      <c r="AX894" s="475" t="s">
        <v>15079</v>
      </c>
      <c r="AY894" s="515">
        <v>1</v>
      </c>
      <c r="AZ894" s="474" t="s">
        <v>15079</v>
      </c>
      <c r="BA894" s="472" t="s">
        <v>517</v>
      </c>
      <c r="BB894" s="472" t="s">
        <v>1385</v>
      </c>
      <c r="BC894" s="472" t="s">
        <v>1385</v>
      </c>
      <c r="BD894" s="472" t="s">
        <v>1385</v>
      </c>
      <c r="BE894" s="472" t="s">
        <v>1385</v>
      </c>
      <c r="BF894" s="472">
        <v>35118.9</v>
      </c>
      <c r="BG894" s="472">
        <v>0</v>
      </c>
      <c r="BH894" s="472" t="s">
        <v>1385</v>
      </c>
      <c r="BI894" s="510">
        <v>0</v>
      </c>
      <c r="BJ894" s="510">
        <v>0</v>
      </c>
      <c r="BK894" s="510">
        <v>0</v>
      </c>
      <c r="BL894" s="510">
        <v>0</v>
      </c>
      <c r="BM894" s="510">
        <v>0</v>
      </c>
      <c r="BN894" s="510">
        <v>5000</v>
      </c>
      <c r="BO894" s="510">
        <v>1000</v>
      </c>
      <c r="BP894" s="510">
        <v>1000</v>
      </c>
      <c r="BQ894" s="510">
        <v>0</v>
      </c>
      <c r="BR894" s="510">
        <v>0</v>
      </c>
      <c r="BS894" s="510">
        <v>0</v>
      </c>
      <c r="BT894" s="510">
        <v>0</v>
      </c>
      <c r="BU894" s="510">
        <v>2500</v>
      </c>
      <c r="BV894" s="510">
        <v>2500</v>
      </c>
      <c r="BW894" s="510">
        <v>0</v>
      </c>
      <c r="BX894" s="510">
        <v>30000</v>
      </c>
      <c r="BY894" s="1011">
        <v>0</v>
      </c>
      <c r="BZ894" s="510">
        <v>0</v>
      </c>
      <c r="CA894" s="1011">
        <v>0</v>
      </c>
      <c r="CB894" s="510">
        <v>22000</v>
      </c>
      <c r="CC894" s="1011">
        <v>0</v>
      </c>
      <c r="CD894" s="510">
        <v>0</v>
      </c>
      <c r="CE894" s="1011">
        <v>0</v>
      </c>
      <c r="CF894" s="510">
        <v>46522.8</v>
      </c>
      <c r="CG894" s="1011">
        <v>0</v>
      </c>
      <c r="CH894" s="510">
        <v>0</v>
      </c>
      <c r="CI894" s="1011">
        <v>0</v>
      </c>
    </row>
    <row r="895" spans="1:87" x14ac:dyDescent="0.2">
      <c r="A895" s="449">
        <v>41</v>
      </c>
      <c r="B895" s="453">
        <v>93831</v>
      </c>
      <c r="C895" s="454" t="s">
        <v>7957</v>
      </c>
      <c r="D895" s="454" t="s">
        <v>517</v>
      </c>
      <c r="E895" s="454" t="s">
        <v>7958</v>
      </c>
      <c r="F895" s="454" t="s">
        <v>526</v>
      </c>
      <c r="G895" s="454" t="s">
        <v>13779</v>
      </c>
      <c r="H895" s="455">
        <v>51721397000141</v>
      </c>
      <c r="I895" s="462">
        <v>29123</v>
      </c>
      <c r="J895" s="457">
        <v>85079855</v>
      </c>
      <c r="K895" s="454" t="s">
        <v>7959</v>
      </c>
      <c r="L895" s="458">
        <v>100</v>
      </c>
      <c r="M895" s="454" t="s">
        <v>7960</v>
      </c>
      <c r="N895" s="459">
        <v>8151700</v>
      </c>
      <c r="O895" s="460">
        <v>20353844</v>
      </c>
      <c r="P895" s="462">
        <v>180559</v>
      </c>
      <c r="Q895" s="462">
        <v>41</v>
      </c>
      <c r="R895" s="462">
        <v>43928</v>
      </c>
      <c r="S895" s="463">
        <v>1343</v>
      </c>
      <c r="T895" s="464">
        <v>5.4</v>
      </c>
      <c r="U895" s="465">
        <v>7252.2</v>
      </c>
      <c r="V895" s="465">
        <v>21960</v>
      </c>
      <c r="W895" s="466">
        <v>0</v>
      </c>
      <c r="X895" s="467">
        <v>1</v>
      </c>
      <c r="Y895" s="466">
        <v>43818.3</v>
      </c>
      <c r="Z895" s="468" t="s">
        <v>516</v>
      </c>
      <c r="AA895" s="466">
        <v>149015.5</v>
      </c>
      <c r="AB895" s="466">
        <v>149015.5</v>
      </c>
      <c r="AC895" s="467">
        <v>0</v>
      </c>
      <c r="AD895" s="466">
        <v>0</v>
      </c>
      <c r="AE895" s="468" t="s">
        <v>516</v>
      </c>
      <c r="AF895" s="466">
        <v>2000</v>
      </c>
      <c r="AG895" s="466">
        <v>2000</v>
      </c>
      <c r="AH895" s="466">
        <v>2287.8000000000002</v>
      </c>
      <c r="AI895" s="466">
        <v>0</v>
      </c>
      <c r="AJ895" s="469" t="s">
        <v>1839</v>
      </c>
      <c r="AK895" s="470" t="s">
        <v>526</v>
      </c>
      <c r="AL895" s="471" t="s">
        <v>7961</v>
      </c>
      <c r="AM895" s="470" t="s">
        <v>7962</v>
      </c>
      <c r="AN895" s="470" t="s">
        <v>1385</v>
      </c>
      <c r="AO895" s="470" t="s">
        <v>7963</v>
      </c>
      <c r="AP895" s="470" t="s">
        <v>7964</v>
      </c>
      <c r="AQ895" s="470" t="s">
        <v>7957</v>
      </c>
      <c r="AR895" s="472" t="s">
        <v>515</v>
      </c>
      <c r="AS895" s="473" t="s">
        <v>1385</v>
      </c>
      <c r="AT895" s="472" t="s">
        <v>517</v>
      </c>
      <c r="AU895" s="472" t="s">
        <v>420</v>
      </c>
      <c r="AV895" s="472">
        <v>2020</v>
      </c>
      <c r="AW895" s="474" t="s">
        <v>15078</v>
      </c>
      <c r="AX895" s="475" t="s">
        <v>15079</v>
      </c>
      <c r="AY895" s="515">
        <v>1</v>
      </c>
      <c r="AZ895" s="474" t="s">
        <v>15079</v>
      </c>
      <c r="BA895" s="472" t="s">
        <v>517</v>
      </c>
      <c r="BB895" s="472" t="s">
        <v>1385</v>
      </c>
      <c r="BC895" s="472" t="s">
        <v>1385</v>
      </c>
      <c r="BD895" s="472" t="s">
        <v>1385</v>
      </c>
      <c r="BE895" s="472" t="s">
        <v>1385</v>
      </c>
      <c r="BF895" s="472">
        <v>43818.3</v>
      </c>
      <c r="BG895" s="472">
        <v>0</v>
      </c>
      <c r="BH895" s="472" t="s">
        <v>1385</v>
      </c>
      <c r="BI895" s="510">
        <v>0</v>
      </c>
      <c r="BJ895" s="510">
        <v>0</v>
      </c>
      <c r="BK895" s="510">
        <v>0</v>
      </c>
      <c r="BL895" s="510">
        <v>1339</v>
      </c>
      <c r="BM895" s="510">
        <v>0</v>
      </c>
      <c r="BN895" s="510">
        <v>6000</v>
      </c>
      <c r="BO895" s="510">
        <v>0</v>
      </c>
      <c r="BP895" s="510">
        <v>2000</v>
      </c>
      <c r="BQ895" s="510">
        <v>0</v>
      </c>
      <c r="BR895" s="510">
        <v>0</v>
      </c>
      <c r="BS895" s="510">
        <v>0</v>
      </c>
      <c r="BT895" s="510">
        <v>0</v>
      </c>
      <c r="BU895" s="510">
        <v>2500</v>
      </c>
      <c r="BV895" s="510">
        <v>2500</v>
      </c>
      <c r="BW895" s="510">
        <v>0</v>
      </c>
      <c r="BX895" s="510">
        <v>30000</v>
      </c>
      <c r="BY895" s="1011">
        <v>0</v>
      </c>
      <c r="BZ895" s="510">
        <v>0</v>
      </c>
      <c r="CA895" s="1011">
        <v>0</v>
      </c>
      <c r="CB895" s="510">
        <v>22000</v>
      </c>
      <c r="CC895" s="1011">
        <v>0</v>
      </c>
      <c r="CD895" s="510">
        <v>0</v>
      </c>
      <c r="CE895" s="1011">
        <v>0</v>
      </c>
      <c r="CF895" s="510">
        <v>53197.2</v>
      </c>
      <c r="CG895" s="1011">
        <v>0</v>
      </c>
      <c r="CH895" s="510">
        <v>0</v>
      </c>
      <c r="CI895" s="1011">
        <v>0</v>
      </c>
    </row>
    <row r="896" spans="1:87" x14ac:dyDescent="0.2">
      <c r="A896" s="449">
        <v>71</v>
      </c>
      <c r="B896" s="453">
        <v>93840</v>
      </c>
      <c r="C896" s="454" t="s">
        <v>7965</v>
      </c>
      <c r="D896" s="454" t="s">
        <v>517</v>
      </c>
      <c r="E896" s="454" t="s">
        <v>7966</v>
      </c>
      <c r="F896" s="454" t="s">
        <v>526</v>
      </c>
      <c r="G896" s="454" t="s">
        <v>13780</v>
      </c>
      <c r="H896" s="455">
        <v>59391177000109</v>
      </c>
      <c r="I896" s="462">
        <v>32339</v>
      </c>
      <c r="J896" s="457">
        <v>95572554</v>
      </c>
      <c r="K896" s="454" t="s">
        <v>7967</v>
      </c>
      <c r="L896" s="458">
        <v>22</v>
      </c>
      <c r="M896" s="454" t="s">
        <v>1411</v>
      </c>
      <c r="N896" s="459">
        <v>8160460</v>
      </c>
      <c r="O896" s="460">
        <v>25617361</v>
      </c>
      <c r="P896" s="462">
        <v>136320</v>
      </c>
      <c r="Q896" s="462">
        <v>71</v>
      </c>
      <c r="R896" s="462">
        <v>43928</v>
      </c>
      <c r="S896" s="463">
        <v>1201</v>
      </c>
      <c r="T896" s="464">
        <v>5.4</v>
      </c>
      <c r="U896" s="465">
        <v>6485.4</v>
      </c>
      <c r="V896" s="465">
        <v>21960</v>
      </c>
      <c r="W896" s="466">
        <v>0</v>
      </c>
      <c r="X896" s="467">
        <v>1</v>
      </c>
      <c r="Y896" s="466">
        <v>0</v>
      </c>
      <c r="Z896" s="468" t="s">
        <v>514</v>
      </c>
      <c r="AA896" s="466">
        <v>0</v>
      </c>
      <c r="AB896" s="466">
        <v>0</v>
      </c>
      <c r="AC896" s="467">
        <v>0</v>
      </c>
      <c r="AD896" s="466">
        <v>0</v>
      </c>
      <c r="AE896" s="468" t="s">
        <v>516</v>
      </c>
      <c r="AF896" s="466">
        <v>0</v>
      </c>
      <c r="AG896" s="466">
        <v>0</v>
      </c>
      <c r="AH896" s="466">
        <v>0</v>
      </c>
      <c r="AI896" s="466">
        <v>0</v>
      </c>
      <c r="AJ896" s="469" t="s">
        <v>1410</v>
      </c>
      <c r="AK896" s="470" t="s">
        <v>1411</v>
      </c>
      <c r="AL896" s="471" t="s">
        <v>7968</v>
      </c>
      <c r="AM896" s="470" t="s">
        <v>7969</v>
      </c>
      <c r="AN896" s="470" t="s">
        <v>1385</v>
      </c>
      <c r="AO896" s="470" t="s">
        <v>13781</v>
      </c>
      <c r="AP896" s="470" t="s">
        <v>7970</v>
      </c>
      <c r="AQ896" s="470" t="s">
        <v>7965</v>
      </c>
      <c r="AR896" s="472" t="s">
        <v>515</v>
      </c>
      <c r="AS896" s="473" t="s">
        <v>1385</v>
      </c>
      <c r="AT896" s="472" t="s">
        <v>517</v>
      </c>
      <c r="AU896" s="472" t="s">
        <v>420</v>
      </c>
      <c r="AV896" s="472">
        <v>2020</v>
      </c>
      <c r="AW896" s="474" t="s">
        <v>15078</v>
      </c>
      <c r="AX896" s="475" t="s">
        <v>15079</v>
      </c>
      <c r="AY896" s="515">
        <v>1</v>
      </c>
      <c r="AZ896" s="474" t="s">
        <v>15079</v>
      </c>
      <c r="BA896" s="472" t="s">
        <v>1385</v>
      </c>
      <c r="BB896" s="472" t="s">
        <v>1385</v>
      </c>
      <c r="BC896" s="472" t="s">
        <v>1385</v>
      </c>
      <c r="BD896" s="472" t="s">
        <v>1385</v>
      </c>
      <c r="BE896" s="472" t="s">
        <v>1385</v>
      </c>
      <c r="BF896" s="472">
        <v>42668.1</v>
      </c>
      <c r="BG896" s="472">
        <v>0</v>
      </c>
      <c r="BH896" s="472" t="s">
        <v>516</v>
      </c>
      <c r="BI896" s="510">
        <v>0</v>
      </c>
      <c r="BJ896" s="510">
        <v>0</v>
      </c>
      <c r="BK896" s="510">
        <v>0</v>
      </c>
      <c r="BL896" s="510">
        <v>0</v>
      </c>
      <c r="BM896" s="510">
        <v>0</v>
      </c>
      <c r="BN896" s="510">
        <v>0</v>
      </c>
      <c r="BO896" s="510">
        <v>0</v>
      </c>
      <c r="BP896" s="510">
        <v>0</v>
      </c>
      <c r="BQ896" s="510">
        <v>0</v>
      </c>
      <c r="BR896" s="510">
        <v>0</v>
      </c>
      <c r="BS896" s="510">
        <v>0</v>
      </c>
      <c r="BT896" s="510">
        <v>0</v>
      </c>
      <c r="BU896" s="510">
        <v>0</v>
      </c>
      <c r="BV896" s="510">
        <v>0</v>
      </c>
      <c r="BW896" s="510">
        <v>0</v>
      </c>
      <c r="BX896" s="510">
        <v>0</v>
      </c>
      <c r="BY896" s="1011">
        <v>0</v>
      </c>
      <c r="BZ896" s="510">
        <v>0</v>
      </c>
      <c r="CA896" s="1011">
        <v>0</v>
      </c>
      <c r="CB896" s="510">
        <v>0</v>
      </c>
      <c r="CC896" s="1011">
        <v>0</v>
      </c>
      <c r="CD896" s="510">
        <v>0</v>
      </c>
      <c r="CE896" s="1011">
        <v>0</v>
      </c>
      <c r="CF896" s="510">
        <v>0</v>
      </c>
      <c r="CG896" s="1011">
        <v>0</v>
      </c>
      <c r="CH896" s="510">
        <v>0</v>
      </c>
      <c r="CI896" s="1011">
        <v>0</v>
      </c>
    </row>
    <row r="897" spans="1:87" x14ac:dyDescent="0.2">
      <c r="A897" s="449">
        <v>69</v>
      </c>
      <c r="B897" s="453">
        <v>93858</v>
      </c>
      <c r="C897" s="454" t="s">
        <v>7971</v>
      </c>
      <c r="D897" s="454" t="s">
        <v>517</v>
      </c>
      <c r="E897" s="454" t="s">
        <v>7972</v>
      </c>
      <c r="F897" s="454" t="s">
        <v>526</v>
      </c>
      <c r="G897" s="454" t="s">
        <v>13782</v>
      </c>
      <c r="H897" s="455">
        <v>59088260000103</v>
      </c>
      <c r="I897" s="462">
        <v>32213</v>
      </c>
      <c r="J897" s="457">
        <v>37475177</v>
      </c>
      <c r="K897" s="454" t="s">
        <v>7973</v>
      </c>
      <c r="L897" s="458">
        <v>210</v>
      </c>
      <c r="M897" s="454" t="s">
        <v>6042</v>
      </c>
      <c r="N897" s="459">
        <v>8022080</v>
      </c>
      <c r="O897" s="460">
        <v>25865251</v>
      </c>
      <c r="P897" s="462">
        <v>167862</v>
      </c>
      <c r="Q897" s="462">
        <v>69</v>
      </c>
      <c r="R897" s="462">
        <v>43928</v>
      </c>
      <c r="S897" s="463">
        <v>902</v>
      </c>
      <c r="T897" s="464">
        <v>5.4</v>
      </c>
      <c r="U897" s="465">
        <v>4870.8</v>
      </c>
      <c r="V897" s="465">
        <v>20340</v>
      </c>
      <c r="W897" s="466">
        <v>0</v>
      </c>
      <c r="X897" s="467">
        <v>1</v>
      </c>
      <c r="Y897" s="466">
        <v>37816.199999999997</v>
      </c>
      <c r="Z897" s="468" t="s">
        <v>516</v>
      </c>
      <c r="AA897" s="466">
        <v>136371.4</v>
      </c>
      <c r="AB897" s="466">
        <v>136371.4</v>
      </c>
      <c r="AC897" s="467">
        <v>0</v>
      </c>
      <c r="AD897" s="466">
        <v>0</v>
      </c>
      <c r="AE897" s="468" t="s">
        <v>516</v>
      </c>
      <c r="AF897" s="466">
        <v>2000</v>
      </c>
      <c r="AG897" s="466">
        <v>2000</v>
      </c>
      <c r="AH897" s="466">
        <v>32807.72</v>
      </c>
      <c r="AI897" s="466">
        <v>0</v>
      </c>
      <c r="AJ897" s="469" t="s">
        <v>1839</v>
      </c>
      <c r="AK897" s="470" t="s">
        <v>526</v>
      </c>
      <c r="AL897" s="471" t="s">
        <v>7974</v>
      </c>
      <c r="AM897" s="470" t="s">
        <v>7975</v>
      </c>
      <c r="AN897" s="470" t="s">
        <v>1385</v>
      </c>
      <c r="AO897" s="470" t="s">
        <v>13783</v>
      </c>
      <c r="AP897" s="470" t="s">
        <v>7976</v>
      </c>
      <c r="AQ897" s="470" t="s">
        <v>7971</v>
      </c>
      <c r="AR897" s="472" t="s">
        <v>515</v>
      </c>
      <c r="AS897" s="473" t="s">
        <v>1385</v>
      </c>
      <c r="AT897" s="472" t="s">
        <v>517</v>
      </c>
      <c r="AU897" s="472" t="s">
        <v>420</v>
      </c>
      <c r="AV897" s="472">
        <v>2020</v>
      </c>
      <c r="AW897" s="474" t="s">
        <v>15078</v>
      </c>
      <c r="AX897" s="475" t="s">
        <v>15079</v>
      </c>
      <c r="AY897" s="515">
        <v>1</v>
      </c>
      <c r="AZ897" s="474" t="s">
        <v>15079</v>
      </c>
      <c r="BA897" s="472" t="s">
        <v>517</v>
      </c>
      <c r="BB897" s="472" t="s">
        <v>1385</v>
      </c>
      <c r="BC897" s="472" t="s">
        <v>1385</v>
      </c>
      <c r="BD897" s="472" t="s">
        <v>1385</v>
      </c>
      <c r="BE897" s="472" t="s">
        <v>1385</v>
      </c>
      <c r="BF897" s="472">
        <v>37816.199999999997</v>
      </c>
      <c r="BG897" s="472">
        <v>0</v>
      </c>
      <c r="BH897" s="472" t="s">
        <v>1385</v>
      </c>
      <c r="BI897" s="510">
        <v>0</v>
      </c>
      <c r="BJ897" s="510">
        <v>281.95999999999998</v>
      </c>
      <c r="BK897" s="510">
        <v>0</v>
      </c>
      <c r="BL897" s="510">
        <v>1485</v>
      </c>
      <c r="BM897" s="510">
        <v>0</v>
      </c>
      <c r="BN897" s="510">
        <v>5000</v>
      </c>
      <c r="BO897" s="510">
        <v>0</v>
      </c>
      <c r="BP897" s="510">
        <v>2000</v>
      </c>
      <c r="BQ897" s="510">
        <v>0</v>
      </c>
      <c r="BR897" s="510">
        <v>0</v>
      </c>
      <c r="BS897" s="510">
        <v>0</v>
      </c>
      <c r="BT897" s="510">
        <v>0</v>
      </c>
      <c r="BU897" s="510">
        <v>0</v>
      </c>
      <c r="BV897" s="510">
        <v>0</v>
      </c>
      <c r="BW897" s="510">
        <v>0</v>
      </c>
      <c r="BX897" s="510">
        <v>30000</v>
      </c>
      <c r="BY897" s="1011">
        <v>0</v>
      </c>
      <c r="BZ897" s="510">
        <v>0</v>
      </c>
      <c r="CA897" s="1011">
        <v>0</v>
      </c>
      <c r="CB897" s="510">
        <v>22000</v>
      </c>
      <c r="CC897" s="1011">
        <v>0</v>
      </c>
      <c r="CD897" s="510">
        <v>0</v>
      </c>
      <c r="CE897" s="1011">
        <v>0</v>
      </c>
      <c r="CF897" s="510">
        <v>46555.199999999997</v>
      </c>
      <c r="CG897" s="1011">
        <v>0</v>
      </c>
      <c r="CH897" s="510">
        <v>0</v>
      </c>
      <c r="CI897" s="1011">
        <v>0</v>
      </c>
    </row>
    <row r="898" spans="1:87" x14ac:dyDescent="0.2">
      <c r="A898" s="449">
        <v>77</v>
      </c>
      <c r="B898" s="453">
        <v>93866</v>
      </c>
      <c r="C898" s="454" t="s">
        <v>7977</v>
      </c>
      <c r="D898" s="454" t="s">
        <v>517</v>
      </c>
      <c r="E898" s="454" t="s">
        <v>7978</v>
      </c>
      <c r="F898" s="454" t="s">
        <v>526</v>
      </c>
      <c r="G898" s="454" t="s">
        <v>13784</v>
      </c>
      <c r="H898" s="455">
        <v>53758959000157</v>
      </c>
      <c r="I898" s="462">
        <v>30866</v>
      </c>
      <c r="J898" s="457">
        <v>37587331</v>
      </c>
      <c r="K898" s="454" t="s">
        <v>7979</v>
      </c>
      <c r="L898" s="458">
        <v>73</v>
      </c>
      <c r="M898" s="454" t="s">
        <v>2799</v>
      </c>
      <c r="N898" s="459">
        <v>8080650</v>
      </c>
      <c r="O898" s="460">
        <v>25816835</v>
      </c>
      <c r="P898" s="462">
        <v>123318</v>
      </c>
      <c r="Q898" s="462">
        <v>77</v>
      </c>
      <c r="R898" s="462">
        <v>43928</v>
      </c>
      <c r="S898" s="463">
        <v>817</v>
      </c>
      <c r="T898" s="464">
        <v>5.4</v>
      </c>
      <c r="U898" s="465">
        <v>4411.8</v>
      </c>
      <c r="V898" s="465">
        <v>18720</v>
      </c>
      <c r="W898" s="466">
        <v>0</v>
      </c>
      <c r="X898" s="467">
        <v>1</v>
      </c>
      <c r="Y898" s="466">
        <v>34697.699999999997</v>
      </c>
      <c r="Z898" s="468" t="s">
        <v>516</v>
      </c>
      <c r="AA898" s="466">
        <v>132723.70000000001</v>
      </c>
      <c r="AB898" s="466">
        <v>132723.70000000001</v>
      </c>
      <c r="AC898" s="467">
        <v>0</v>
      </c>
      <c r="AD898" s="466">
        <v>0</v>
      </c>
      <c r="AE898" s="468" t="s">
        <v>516</v>
      </c>
      <c r="AF898" s="466">
        <v>2000</v>
      </c>
      <c r="AG898" s="466">
        <v>2000</v>
      </c>
      <c r="AH898" s="466">
        <v>22774.68</v>
      </c>
      <c r="AI898" s="466">
        <v>8331.35</v>
      </c>
      <c r="AJ898" s="469" t="s">
        <v>1839</v>
      </c>
      <c r="AK898" s="470" t="s">
        <v>526</v>
      </c>
      <c r="AL898" s="471" t="s">
        <v>7980</v>
      </c>
      <c r="AM898" s="470" t="s">
        <v>7981</v>
      </c>
      <c r="AN898" s="470" t="s">
        <v>1385</v>
      </c>
      <c r="AO898" s="470" t="s">
        <v>7982</v>
      </c>
      <c r="AP898" s="470" t="s">
        <v>7983</v>
      </c>
      <c r="AQ898" s="470" t="s">
        <v>7977</v>
      </c>
      <c r="AR898" s="472" t="s">
        <v>515</v>
      </c>
      <c r="AS898" s="473" t="s">
        <v>1385</v>
      </c>
      <c r="AT898" s="472" t="s">
        <v>517</v>
      </c>
      <c r="AU898" s="472" t="s">
        <v>420</v>
      </c>
      <c r="AV898" s="472">
        <v>2020</v>
      </c>
      <c r="AW898" s="474" t="s">
        <v>15078</v>
      </c>
      <c r="AX898" s="475" t="s">
        <v>15079</v>
      </c>
      <c r="AY898" s="515">
        <v>1</v>
      </c>
      <c r="AZ898" s="474" t="s">
        <v>15079</v>
      </c>
      <c r="BA898" s="472" t="s">
        <v>517</v>
      </c>
      <c r="BB898" s="472" t="s">
        <v>1385</v>
      </c>
      <c r="BC898" s="472" t="s">
        <v>1385</v>
      </c>
      <c r="BD898" s="472" t="s">
        <v>1385</v>
      </c>
      <c r="BE898" s="472" t="s">
        <v>1385</v>
      </c>
      <c r="BF898" s="472">
        <v>34697.699999999997</v>
      </c>
      <c r="BG898" s="472">
        <v>0</v>
      </c>
      <c r="BH898" s="472" t="s">
        <v>1385</v>
      </c>
      <c r="BI898" s="510">
        <v>0</v>
      </c>
      <c r="BJ898" s="510">
        <v>191.94</v>
      </c>
      <c r="BK898" s="510">
        <v>0</v>
      </c>
      <c r="BL898" s="510">
        <v>1999.21</v>
      </c>
      <c r="BM898" s="510">
        <v>0</v>
      </c>
      <c r="BN898" s="510">
        <v>5000</v>
      </c>
      <c r="BO898" s="510">
        <v>0</v>
      </c>
      <c r="BP898" s="510">
        <v>2000</v>
      </c>
      <c r="BQ898" s="510">
        <v>0</v>
      </c>
      <c r="BR898" s="510">
        <v>0</v>
      </c>
      <c r="BS898" s="510">
        <v>0</v>
      </c>
      <c r="BT898" s="510">
        <v>0</v>
      </c>
      <c r="BU898" s="510">
        <v>2500</v>
      </c>
      <c r="BV898" s="510">
        <v>2500</v>
      </c>
      <c r="BW898" s="510">
        <v>0</v>
      </c>
      <c r="BX898" s="510">
        <v>30000</v>
      </c>
      <c r="BY898" s="1011">
        <v>0</v>
      </c>
      <c r="BZ898" s="510">
        <v>0</v>
      </c>
      <c r="CA898" s="1011">
        <v>0</v>
      </c>
      <c r="CB898" s="510">
        <v>22000</v>
      </c>
      <c r="CC898" s="1011">
        <v>0</v>
      </c>
      <c r="CD898" s="510">
        <v>0</v>
      </c>
      <c r="CE898" s="1011">
        <v>0</v>
      </c>
      <c r="CF898" s="510">
        <v>46026</v>
      </c>
      <c r="CG898" s="1011">
        <v>0</v>
      </c>
      <c r="CH898" s="510">
        <v>0</v>
      </c>
      <c r="CI898" s="1011">
        <v>0</v>
      </c>
    </row>
    <row r="899" spans="1:87" x14ac:dyDescent="0.2">
      <c r="A899" s="449">
        <v>61</v>
      </c>
      <c r="B899" s="453">
        <v>93874</v>
      </c>
      <c r="C899" s="454" t="s">
        <v>7984</v>
      </c>
      <c r="D899" s="454" t="s">
        <v>517</v>
      </c>
      <c r="E899" s="454" t="s">
        <v>7985</v>
      </c>
      <c r="F899" s="454" t="s">
        <v>526</v>
      </c>
      <c r="G899" s="454" t="s">
        <v>13785</v>
      </c>
      <c r="H899" s="455">
        <v>53832143000126</v>
      </c>
      <c r="I899" s="462">
        <v>30949</v>
      </c>
      <c r="J899" s="457">
        <v>37585576</v>
      </c>
      <c r="K899" s="454" t="s">
        <v>7986</v>
      </c>
      <c r="L899" s="458">
        <v>537</v>
      </c>
      <c r="M899" s="454" t="s">
        <v>7987</v>
      </c>
      <c r="N899" s="459">
        <v>8081410</v>
      </c>
      <c r="O899" s="460">
        <v>25810143</v>
      </c>
      <c r="P899" s="462">
        <v>128131</v>
      </c>
      <c r="Q899" s="462">
        <v>61</v>
      </c>
      <c r="R899" s="462">
        <v>43928</v>
      </c>
      <c r="S899" s="463">
        <v>1053</v>
      </c>
      <c r="T899" s="464">
        <v>5.4</v>
      </c>
      <c r="U899" s="465">
        <v>5686.2</v>
      </c>
      <c r="V899" s="465">
        <v>20340</v>
      </c>
      <c r="W899" s="466">
        <v>0</v>
      </c>
      <c r="X899" s="467">
        <v>1</v>
      </c>
      <c r="Y899" s="466">
        <v>39039.300000000003</v>
      </c>
      <c r="Z899" s="468" t="s">
        <v>516</v>
      </c>
      <c r="AA899" s="466">
        <v>142724.5</v>
      </c>
      <c r="AB899" s="466">
        <v>142724.5</v>
      </c>
      <c r="AC899" s="467">
        <v>0</v>
      </c>
      <c r="AD899" s="466">
        <v>0</v>
      </c>
      <c r="AE899" s="468" t="s">
        <v>516</v>
      </c>
      <c r="AF899" s="466">
        <v>0</v>
      </c>
      <c r="AG899" s="466">
        <v>0</v>
      </c>
      <c r="AH899" s="466">
        <v>29292.46</v>
      </c>
      <c r="AI899" s="466">
        <v>17285.96</v>
      </c>
      <c r="AJ899" s="469" t="s">
        <v>1839</v>
      </c>
      <c r="AK899" s="470" t="s">
        <v>526</v>
      </c>
      <c r="AL899" s="471" t="s">
        <v>7988</v>
      </c>
      <c r="AM899" s="470" t="s">
        <v>13786</v>
      </c>
      <c r="AN899" s="470" t="s">
        <v>1385</v>
      </c>
      <c r="AO899" s="470" t="s">
        <v>7989</v>
      </c>
      <c r="AP899" s="470" t="s">
        <v>7990</v>
      </c>
      <c r="AQ899" s="470" t="s">
        <v>7984</v>
      </c>
      <c r="AR899" s="472" t="s">
        <v>515</v>
      </c>
      <c r="AS899" s="473" t="s">
        <v>1385</v>
      </c>
      <c r="AT899" s="472" t="s">
        <v>517</v>
      </c>
      <c r="AU899" s="472" t="s">
        <v>420</v>
      </c>
      <c r="AV899" s="472">
        <v>2020</v>
      </c>
      <c r="AW899" s="474" t="s">
        <v>15078</v>
      </c>
      <c r="AX899" s="475" t="s">
        <v>15079</v>
      </c>
      <c r="AY899" s="515">
        <v>1</v>
      </c>
      <c r="AZ899" s="474" t="s">
        <v>15079</v>
      </c>
      <c r="BA899" s="472" t="s">
        <v>517</v>
      </c>
      <c r="BB899" s="472" t="s">
        <v>1385</v>
      </c>
      <c r="BC899" s="472" t="s">
        <v>1385</v>
      </c>
      <c r="BD899" s="472" t="s">
        <v>1385</v>
      </c>
      <c r="BE899" s="472" t="s">
        <v>1385</v>
      </c>
      <c r="BF899" s="472">
        <v>39039.300000000003</v>
      </c>
      <c r="BG899" s="472">
        <v>0</v>
      </c>
      <c r="BH899" s="472" t="s">
        <v>1385</v>
      </c>
      <c r="BI899" s="510">
        <v>0</v>
      </c>
      <c r="BJ899" s="510">
        <v>0</v>
      </c>
      <c r="BK899" s="510">
        <v>0</v>
      </c>
      <c r="BL899" s="510">
        <v>0</v>
      </c>
      <c r="BM899" s="510">
        <v>0</v>
      </c>
      <c r="BN899" s="510">
        <v>5000</v>
      </c>
      <c r="BO899" s="510">
        <v>0</v>
      </c>
      <c r="BP899" s="510">
        <v>0</v>
      </c>
      <c r="BQ899" s="510">
        <v>0</v>
      </c>
      <c r="BR899" s="510">
        <v>0</v>
      </c>
      <c r="BS899" s="510">
        <v>0</v>
      </c>
      <c r="BT899" s="510">
        <v>0</v>
      </c>
      <c r="BU899" s="510">
        <v>2500</v>
      </c>
      <c r="BV899" s="510">
        <v>2500</v>
      </c>
      <c r="BW899" s="510">
        <v>0</v>
      </c>
      <c r="BX899" s="510">
        <v>30000</v>
      </c>
      <c r="BY899" s="1011">
        <v>0</v>
      </c>
      <c r="BZ899" s="510">
        <v>0</v>
      </c>
      <c r="CA899" s="1011">
        <v>0</v>
      </c>
      <c r="CB899" s="510">
        <v>22000</v>
      </c>
      <c r="CC899" s="1011">
        <v>0</v>
      </c>
      <c r="CD899" s="510">
        <v>0</v>
      </c>
      <c r="CE899" s="1011">
        <v>0</v>
      </c>
      <c r="CF899" s="510">
        <v>51685.2</v>
      </c>
      <c r="CG899" s="1011">
        <v>0</v>
      </c>
      <c r="CH899" s="510">
        <v>0</v>
      </c>
      <c r="CI899" s="1011">
        <v>0</v>
      </c>
    </row>
    <row r="900" spans="1:87" x14ac:dyDescent="0.2">
      <c r="A900" s="449">
        <v>62</v>
      </c>
      <c r="B900" s="453">
        <v>93882</v>
      </c>
      <c r="C900" s="454" t="s">
        <v>7991</v>
      </c>
      <c r="D900" s="454" t="s">
        <v>517</v>
      </c>
      <c r="E900" s="454" t="s">
        <v>7992</v>
      </c>
      <c r="F900" s="454" t="s">
        <v>526</v>
      </c>
      <c r="G900" s="454" t="s">
        <v>13787</v>
      </c>
      <c r="H900" s="455">
        <v>59181776000106</v>
      </c>
      <c r="I900" s="462">
        <v>32324</v>
      </c>
      <c r="J900" s="457">
        <v>37475282</v>
      </c>
      <c r="K900" s="454" t="s">
        <v>7993</v>
      </c>
      <c r="L900" s="458">
        <v>140</v>
      </c>
      <c r="M900" s="454" t="s">
        <v>2352</v>
      </c>
      <c r="N900" s="459">
        <v>8081000</v>
      </c>
      <c r="O900" s="460">
        <v>25812539</v>
      </c>
      <c r="P900" s="462">
        <v>126953</v>
      </c>
      <c r="Q900" s="462">
        <v>62</v>
      </c>
      <c r="R900" s="462">
        <v>43928</v>
      </c>
      <c r="S900" s="463">
        <v>1081</v>
      </c>
      <c r="T900" s="464">
        <v>5.4</v>
      </c>
      <c r="U900" s="465">
        <v>5837.4</v>
      </c>
      <c r="V900" s="465">
        <v>20340</v>
      </c>
      <c r="W900" s="466">
        <v>0</v>
      </c>
      <c r="X900" s="467">
        <v>1</v>
      </c>
      <c r="Y900" s="466">
        <v>39266.1</v>
      </c>
      <c r="Z900" s="468" t="s">
        <v>516</v>
      </c>
      <c r="AA900" s="466">
        <v>142422.1</v>
      </c>
      <c r="AB900" s="466">
        <v>142422.1</v>
      </c>
      <c r="AC900" s="467">
        <v>0</v>
      </c>
      <c r="AD900" s="466">
        <v>0</v>
      </c>
      <c r="AE900" s="468" t="s">
        <v>516</v>
      </c>
      <c r="AF900" s="466">
        <v>0</v>
      </c>
      <c r="AG900" s="466">
        <v>0</v>
      </c>
      <c r="AH900" s="466">
        <v>12202.85</v>
      </c>
      <c r="AI900" s="466">
        <v>208.32</v>
      </c>
      <c r="AJ900" s="469" t="s">
        <v>1839</v>
      </c>
      <c r="AK900" s="470" t="s">
        <v>526</v>
      </c>
      <c r="AL900" s="471" t="s">
        <v>7994</v>
      </c>
      <c r="AM900" s="470" t="s">
        <v>7995</v>
      </c>
      <c r="AN900" s="470" t="s">
        <v>1385</v>
      </c>
      <c r="AO900" s="470" t="s">
        <v>13788</v>
      </c>
      <c r="AP900" s="470" t="s">
        <v>7996</v>
      </c>
      <c r="AQ900" s="470" t="s">
        <v>7991</v>
      </c>
      <c r="AR900" s="472" t="s">
        <v>515</v>
      </c>
      <c r="AS900" s="473" t="s">
        <v>1385</v>
      </c>
      <c r="AT900" s="472" t="s">
        <v>517</v>
      </c>
      <c r="AU900" s="472" t="s">
        <v>420</v>
      </c>
      <c r="AV900" s="472">
        <v>2020</v>
      </c>
      <c r="AW900" s="474" t="s">
        <v>15078</v>
      </c>
      <c r="AX900" s="475" t="s">
        <v>15079</v>
      </c>
      <c r="AY900" s="515">
        <v>1</v>
      </c>
      <c r="AZ900" s="474" t="s">
        <v>15079</v>
      </c>
      <c r="BA900" s="472" t="s">
        <v>517</v>
      </c>
      <c r="BB900" s="472" t="s">
        <v>1385</v>
      </c>
      <c r="BC900" s="472" t="s">
        <v>1385</v>
      </c>
      <c r="BD900" s="472" t="s">
        <v>1385</v>
      </c>
      <c r="BE900" s="472" t="s">
        <v>1385</v>
      </c>
      <c r="BF900" s="472">
        <v>39266.1</v>
      </c>
      <c r="BG900" s="472">
        <v>0</v>
      </c>
      <c r="BH900" s="472" t="s">
        <v>1385</v>
      </c>
      <c r="BI900" s="510">
        <v>0</v>
      </c>
      <c r="BJ900" s="510">
        <v>0</v>
      </c>
      <c r="BK900" s="510">
        <v>0</v>
      </c>
      <c r="BL900" s="510">
        <v>0</v>
      </c>
      <c r="BM900" s="510">
        <v>0</v>
      </c>
      <c r="BN900" s="510">
        <v>5000</v>
      </c>
      <c r="BO900" s="510">
        <v>0</v>
      </c>
      <c r="BP900" s="510">
        <v>0</v>
      </c>
      <c r="BQ900" s="510">
        <v>0</v>
      </c>
      <c r="BR900" s="510">
        <v>0</v>
      </c>
      <c r="BS900" s="510">
        <v>0</v>
      </c>
      <c r="BT900" s="510">
        <v>0</v>
      </c>
      <c r="BU900" s="510">
        <v>2500</v>
      </c>
      <c r="BV900" s="510">
        <v>2500</v>
      </c>
      <c r="BW900" s="510">
        <v>0</v>
      </c>
      <c r="BX900" s="510">
        <v>30000</v>
      </c>
      <c r="BY900" s="1011">
        <v>0</v>
      </c>
      <c r="BZ900" s="510">
        <v>0</v>
      </c>
      <c r="CA900" s="1011">
        <v>0</v>
      </c>
      <c r="CB900" s="510">
        <v>22000</v>
      </c>
      <c r="CC900" s="1011">
        <v>0</v>
      </c>
      <c r="CD900" s="510">
        <v>0</v>
      </c>
      <c r="CE900" s="1011">
        <v>0</v>
      </c>
      <c r="CF900" s="510">
        <v>51156</v>
      </c>
      <c r="CG900" s="1011">
        <v>0</v>
      </c>
      <c r="CH900" s="510">
        <v>0</v>
      </c>
      <c r="CI900" s="1011">
        <v>0</v>
      </c>
    </row>
    <row r="901" spans="1:87" x14ac:dyDescent="0.2">
      <c r="A901" s="449">
        <v>43</v>
      </c>
      <c r="B901" s="453">
        <v>93891</v>
      </c>
      <c r="C901" s="454" t="s">
        <v>7997</v>
      </c>
      <c r="D901" s="454" t="s">
        <v>517</v>
      </c>
      <c r="E901" s="454" t="s">
        <v>7998</v>
      </c>
      <c r="F901" s="454" t="s">
        <v>526</v>
      </c>
      <c r="G901" s="454" t="s">
        <v>13789</v>
      </c>
      <c r="H901" s="455">
        <v>54325436000180</v>
      </c>
      <c r="I901" s="462">
        <v>31090</v>
      </c>
      <c r="J901" s="457">
        <v>37475452</v>
      </c>
      <c r="K901" s="454" t="s">
        <v>7999</v>
      </c>
      <c r="L901" s="458">
        <v>797</v>
      </c>
      <c r="M901" s="454" t="s">
        <v>8000</v>
      </c>
      <c r="N901" s="459">
        <v>8190000</v>
      </c>
      <c r="O901" s="460">
        <v>25810360</v>
      </c>
      <c r="P901" s="462">
        <v>219854</v>
      </c>
      <c r="Q901" s="462">
        <v>43</v>
      </c>
      <c r="R901" s="462">
        <v>43928</v>
      </c>
      <c r="S901" s="463">
        <v>925</v>
      </c>
      <c r="T901" s="464">
        <v>5.4</v>
      </c>
      <c r="U901" s="465">
        <v>4995</v>
      </c>
      <c r="V901" s="465">
        <v>20340</v>
      </c>
      <c r="W901" s="466">
        <v>0</v>
      </c>
      <c r="X901" s="467">
        <v>1</v>
      </c>
      <c r="Y901" s="466">
        <v>38002.5</v>
      </c>
      <c r="Z901" s="468" t="s">
        <v>516</v>
      </c>
      <c r="AA901" s="466">
        <v>137151.70000000001</v>
      </c>
      <c r="AB901" s="466">
        <v>137151.70000000001</v>
      </c>
      <c r="AC901" s="467">
        <v>0</v>
      </c>
      <c r="AD901" s="466">
        <v>0</v>
      </c>
      <c r="AE901" s="468" t="s">
        <v>516</v>
      </c>
      <c r="AF901" s="466">
        <v>0</v>
      </c>
      <c r="AG901" s="466">
        <v>0</v>
      </c>
      <c r="AH901" s="466">
        <v>42073.75</v>
      </c>
      <c r="AI901" s="466">
        <v>5067</v>
      </c>
      <c r="AJ901" s="469" t="s">
        <v>1410</v>
      </c>
      <c r="AK901" s="470" t="s">
        <v>1411</v>
      </c>
      <c r="AL901" s="471" t="s">
        <v>8001</v>
      </c>
      <c r="AM901" s="470" t="s">
        <v>13790</v>
      </c>
      <c r="AN901" s="470" t="s">
        <v>1385</v>
      </c>
      <c r="AO901" s="470" t="s">
        <v>13791</v>
      </c>
      <c r="AP901" s="470" t="s">
        <v>8002</v>
      </c>
      <c r="AQ901" s="470" t="s">
        <v>7997</v>
      </c>
      <c r="AR901" s="472" t="s">
        <v>515</v>
      </c>
      <c r="AS901" s="473" t="s">
        <v>1385</v>
      </c>
      <c r="AT901" s="472" t="s">
        <v>517</v>
      </c>
      <c r="AU901" s="472" t="s">
        <v>420</v>
      </c>
      <c r="AV901" s="472">
        <v>2020</v>
      </c>
      <c r="AW901" s="474" t="s">
        <v>15078</v>
      </c>
      <c r="AX901" s="475" t="s">
        <v>15079</v>
      </c>
      <c r="AY901" s="515">
        <v>1</v>
      </c>
      <c r="AZ901" s="474" t="s">
        <v>15079</v>
      </c>
      <c r="BA901" s="472" t="s">
        <v>517</v>
      </c>
      <c r="BB901" s="472" t="s">
        <v>1385</v>
      </c>
      <c r="BC901" s="472" t="s">
        <v>1385</v>
      </c>
      <c r="BD901" s="509" t="s">
        <v>1385</v>
      </c>
      <c r="BE901" s="472" t="s">
        <v>1385</v>
      </c>
      <c r="BF901" s="509">
        <v>38002.5</v>
      </c>
      <c r="BG901" s="509">
        <v>0</v>
      </c>
      <c r="BH901" s="472" t="s">
        <v>1385</v>
      </c>
      <c r="BI901" s="510">
        <v>0</v>
      </c>
      <c r="BJ901" s="510">
        <v>7877.1</v>
      </c>
      <c r="BK901" s="510">
        <v>0</v>
      </c>
      <c r="BL901" s="510">
        <v>3500</v>
      </c>
      <c r="BM901" s="510">
        <v>0</v>
      </c>
      <c r="BN901" s="510">
        <v>5000</v>
      </c>
      <c r="BO901" s="510">
        <v>0</v>
      </c>
      <c r="BP901" s="510">
        <v>0</v>
      </c>
      <c r="BQ901" s="510">
        <v>0</v>
      </c>
      <c r="BR901" s="510">
        <v>0</v>
      </c>
      <c r="BS901" s="510">
        <v>0</v>
      </c>
      <c r="BT901" s="510">
        <v>0</v>
      </c>
      <c r="BU901" s="510">
        <v>2500</v>
      </c>
      <c r="BV901" s="510">
        <v>2500</v>
      </c>
      <c r="BW901" s="510">
        <v>0</v>
      </c>
      <c r="BX901" s="510">
        <v>30000</v>
      </c>
      <c r="BY901" s="1011">
        <v>0</v>
      </c>
      <c r="BZ901" s="510">
        <v>0</v>
      </c>
      <c r="CA901" s="1011">
        <v>0</v>
      </c>
      <c r="CB901" s="510">
        <v>22000</v>
      </c>
      <c r="CC901" s="1011">
        <v>0</v>
      </c>
      <c r="CD901" s="510">
        <v>0</v>
      </c>
      <c r="CE901" s="1011">
        <v>0</v>
      </c>
      <c r="CF901" s="510">
        <v>47149.2</v>
      </c>
      <c r="CG901" s="1011">
        <v>0</v>
      </c>
      <c r="CH901" s="510">
        <v>0</v>
      </c>
      <c r="CI901" s="1011">
        <v>0</v>
      </c>
    </row>
    <row r="902" spans="1:87" x14ac:dyDescent="0.2">
      <c r="A902" s="449">
        <v>44</v>
      </c>
      <c r="B902" s="453">
        <v>93904</v>
      </c>
      <c r="C902" s="454" t="s">
        <v>8003</v>
      </c>
      <c r="D902" s="454" t="s">
        <v>517</v>
      </c>
      <c r="E902" s="454" t="s">
        <v>8004</v>
      </c>
      <c r="F902" s="454" t="s">
        <v>526</v>
      </c>
      <c r="G902" s="454" t="s">
        <v>13792</v>
      </c>
      <c r="H902" s="455">
        <v>57853384000102</v>
      </c>
      <c r="I902" s="462">
        <v>32001</v>
      </c>
      <c r="J902" s="457">
        <v>37585968</v>
      </c>
      <c r="K902" s="454" t="s">
        <v>8005</v>
      </c>
      <c r="L902" s="458">
        <v>608</v>
      </c>
      <c r="M902" s="454" t="s">
        <v>1838</v>
      </c>
      <c r="N902" s="459">
        <v>8190340</v>
      </c>
      <c r="O902" s="460">
        <v>25810794</v>
      </c>
      <c r="P902" s="462">
        <v>141618</v>
      </c>
      <c r="Q902" s="462">
        <v>44</v>
      </c>
      <c r="R902" s="462">
        <v>43928</v>
      </c>
      <c r="S902" s="463">
        <v>1152</v>
      </c>
      <c r="T902" s="464">
        <v>5.4</v>
      </c>
      <c r="U902" s="465">
        <v>6220.8</v>
      </c>
      <c r="V902" s="465">
        <v>20340</v>
      </c>
      <c r="W902" s="466">
        <v>0</v>
      </c>
      <c r="X902" s="467">
        <v>1</v>
      </c>
      <c r="Y902" s="466">
        <v>39841.199999999997</v>
      </c>
      <c r="Z902" s="468" t="s">
        <v>516</v>
      </c>
      <c r="AA902" s="466">
        <v>144919.6</v>
      </c>
      <c r="AB902" s="466">
        <v>144919.6</v>
      </c>
      <c r="AC902" s="467">
        <v>0</v>
      </c>
      <c r="AD902" s="466">
        <v>0</v>
      </c>
      <c r="AE902" s="468" t="s">
        <v>516</v>
      </c>
      <c r="AF902" s="466">
        <v>0</v>
      </c>
      <c r="AG902" s="466">
        <v>0</v>
      </c>
      <c r="AH902" s="466">
        <v>26197.73</v>
      </c>
      <c r="AI902" s="466">
        <v>1488.8</v>
      </c>
      <c r="AJ902" s="469" t="s">
        <v>8006</v>
      </c>
      <c r="AK902" s="470" t="s">
        <v>526</v>
      </c>
      <c r="AL902" s="471" t="s">
        <v>8007</v>
      </c>
      <c r="AM902" s="470" t="s">
        <v>8008</v>
      </c>
      <c r="AN902" s="470" t="s">
        <v>1385</v>
      </c>
      <c r="AO902" s="470" t="s">
        <v>13793</v>
      </c>
      <c r="AP902" s="470" t="s">
        <v>8009</v>
      </c>
      <c r="AQ902" s="470" t="s">
        <v>8003</v>
      </c>
      <c r="AR902" s="472" t="s">
        <v>515</v>
      </c>
      <c r="AS902" s="473" t="s">
        <v>1385</v>
      </c>
      <c r="AT902" s="472" t="s">
        <v>517</v>
      </c>
      <c r="AU902" s="472" t="s">
        <v>420</v>
      </c>
      <c r="AV902" s="472">
        <v>2020</v>
      </c>
      <c r="AW902" s="474" t="s">
        <v>15078</v>
      </c>
      <c r="AX902" s="475" t="s">
        <v>15079</v>
      </c>
      <c r="AY902" s="515">
        <v>1</v>
      </c>
      <c r="AZ902" s="474" t="s">
        <v>15079</v>
      </c>
      <c r="BA902" s="472" t="s">
        <v>517</v>
      </c>
      <c r="BB902" s="472" t="s">
        <v>1385</v>
      </c>
      <c r="BC902" s="472" t="s">
        <v>1385</v>
      </c>
      <c r="BD902" s="472" t="s">
        <v>1385</v>
      </c>
      <c r="BE902" s="472" t="s">
        <v>1385</v>
      </c>
      <c r="BF902" s="472">
        <v>39841.199999999997</v>
      </c>
      <c r="BG902" s="472">
        <v>0</v>
      </c>
      <c r="BH902" s="472" t="s">
        <v>1385</v>
      </c>
      <c r="BI902" s="510">
        <v>0</v>
      </c>
      <c r="BJ902" s="510">
        <v>0</v>
      </c>
      <c r="BK902" s="510">
        <v>0</v>
      </c>
      <c r="BL902" s="510">
        <v>0</v>
      </c>
      <c r="BM902" s="510">
        <v>0</v>
      </c>
      <c r="BN902" s="510">
        <v>4040</v>
      </c>
      <c r="BO902" s="510">
        <v>0</v>
      </c>
      <c r="BP902" s="510">
        <v>0</v>
      </c>
      <c r="BQ902" s="510">
        <v>0</v>
      </c>
      <c r="BR902" s="510">
        <v>0</v>
      </c>
      <c r="BS902" s="510">
        <v>0</v>
      </c>
      <c r="BT902" s="510">
        <v>0</v>
      </c>
      <c r="BU902" s="510">
        <v>2500</v>
      </c>
      <c r="BV902" s="510">
        <v>2500</v>
      </c>
      <c r="BW902" s="510">
        <v>0</v>
      </c>
      <c r="BX902" s="510">
        <v>30000</v>
      </c>
      <c r="BY902" s="1011">
        <v>0</v>
      </c>
      <c r="BZ902" s="510">
        <v>0</v>
      </c>
      <c r="CA902" s="1011">
        <v>0</v>
      </c>
      <c r="CB902" s="510">
        <v>22000</v>
      </c>
      <c r="CC902" s="1011">
        <v>0</v>
      </c>
      <c r="CD902" s="510">
        <v>0</v>
      </c>
      <c r="CE902" s="1011">
        <v>0</v>
      </c>
      <c r="CF902" s="510">
        <v>53078.400000000001</v>
      </c>
      <c r="CG902" s="1011">
        <v>0</v>
      </c>
      <c r="CH902" s="510">
        <v>0</v>
      </c>
      <c r="CI902" s="1011">
        <v>0</v>
      </c>
    </row>
    <row r="903" spans="1:87" x14ac:dyDescent="0.2">
      <c r="A903" s="449">
        <v>45</v>
      </c>
      <c r="B903" s="453">
        <v>93912</v>
      </c>
      <c r="C903" s="454" t="s">
        <v>8010</v>
      </c>
      <c r="D903" s="454" t="s">
        <v>517</v>
      </c>
      <c r="E903" s="454" t="s">
        <v>8011</v>
      </c>
      <c r="F903" s="454" t="s">
        <v>526</v>
      </c>
      <c r="G903" s="454" t="s">
        <v>13794</v>
      </c>
      <c r="H903" s="455">
        <v>64025893000102</v>
      </c>
      <c r="I903" s="462">
        <v>33122</v>
      </c>
      <c r="J903" s="457">
        <v>37470663</v>
      </c>
      <c r="K903" s="454" t="s">
        <v>8012</v>
      </c>
      <c r="L903" s="458">
        <v>223</v>
      </c>
      <c r="M903" s="454" t="s">
        <v>1838</v>
      </c>
      <c r="N903" s="459">
        <v>8120000</v>
      </c>
      <c r="O903" s="460">
        <v>29638634</v>
      </c>
      <c r="P903" s="462">
        <v>185500</v>
      </c>
      <c r="Q903" s="462">
        <v>45</v>
      </c>
      <c r="R903" s="462">
        <v>43928</v>
      </c>
      <c r="S903" s="463">
        <v>1684</v>
      </c>
      <c r="T903" s="464">
        <v>5.4</v>
      </c>
      <c r="U903" s="465">
        <v>9093.6</v>
      </c>
      <c r="V903" s="465">
        <v>23580</v>
      </c>
      <c r="W903" s="466">
        <v>0</v>
      </c>
      <c r="X903" s="467">
        <v>1</v>
      </c>
      <c r="Y903" s="466">
        <v>49010.400000000001</v>
      </c>
      <c r="Z903" s="468" t="s">
        <v>516</v>
      </c>
      <c r="AA903" s="466">
        <v>166244.79999999999</v>
      </c>
      <c r="AB903" s="466">
        <v>166244.79999999999</v>
      </c>
      <c r="AC903" s="467">
        <v>0</v>
      </c>
      <c r="AD903" s="466">
        <v>0</v>
      </c>
      <c r="AE903" s="468" t="s">
        <v>516</v>
      </c>
      <c r="AF903" s="466">
        <v>1400</v>
      </c>
      <c r="AG903" s="466">
        <v>1400</v>
      </c>
      <c r="AH903" s="466">
        <v>886.09</v>
      </c>
      <c r="AI903" s="466">
        <v>3851.8</v>
      </c>
      <c r="AJ903" s="469" t="s">
        <v>1410</v>
      </c>
      <c r="AK903" s="470" t="s">
        <v>1411</v>
      </c>
      <c r="AL903" s="471" t="s">
        <v>8013</v>
      </c>
      <c r="AM903" s="470" t="s">
        <v>13795</v>
      </c>
      <c r="AN903" s="470" t="s">
        <v>1385</v>
      </c>
      <c r="AO903" s="470" t="s">
        <v>8014</v>
      </c>
      <c r="AP903" s="470" t="s">
        <v>8015</v>
      </c>
      <c r="AQ903" s="470" t="s">
        <v>8010</v>
      </c>
      <c r="AR903" s="472" t="s">
        <v>515</v>
      </c>
      <c r="AS903" s="473" t="s">
        <v>1385</v>
      </c>
      <c r="AT903" s="472" t="s">
        <v>517</v>
      </c>
      <c r="AU903" s="472" t="s">
        <v>420</v>
      </c>
      <c r="AV903" s="472">
        <v>2020</v>
      </c>
      <c r="AW903" s="474" t="s">
        <v>15078</v>
      </c>
      <c r="AX903" s="475" t="s">
        <v>15079</v>
      </c>
      <c r="AY903" s="515">
        <v>1</v>
      </c>
      <c r="AZ903" s="474" t="s">
        <v>15079</v>
      </c>
      <c r="BA903" s="472" t="s">
        <v>517</v>
      </c>
      <c r="BB903" s="472" t="s">
        <v>1385</v>
      </c>
      <c r="BC903" s="472" t="s">
        <v>1385</v>
      </c>
      <c r="BD903" s="472" t="s">
        <v>1385</v>
      </c>
      <c r="BE903" s="472" t="s">
        <v>1385</v>
      </c>
      <c r="BF903" s="472">
        <v>49010.400000000001</v>
      </c>
      <c r="BG903" s="472">
        <v>0</v>
      </c>
      <c r="BH903" s="472" t="s">
        <v>1385</v>
      </c>
      <c r="BI903" s="510">
        <v>0</v>
      </c>
      <c r="BJ903" s="510">
        <v>0</v>
      </c>
      <c r="BK903" s="510">
        <v>0</v>
      </c>
      <c r="BL903" s="510">
        <v>0</v>
      </c>
      <c r="BM903" s="510">
        <v>0</v>
      </c>
      <c r="BN903" s="510">
        <v>5150</v>
      </c>
      <c r="BO903" s="510">
        <v>600</v>
      </c>
      <c r="BP903" s="510">
        <v>1400</v>
      </c>
      <c r="BQ903" s="510">
        <v>0</v>
      </c>
      <c r="BR903" s="510">
        <v>0</v>
      </c>
      <c r="BS903" s="510">
        <v>0</v>
      </c>
      <c r="BT903" s="510">
        <v>0</v>
      </c>
      <c r="BU903" s="510">
        <v>0</v>
      </c>
      <c r="BV903" s="510">
        <v>0</v>
      </c>
      <c r="BW903" s="510">
        <v>0</v>
      </c>
      <c r="BX903" s="510">
        <v>30000</v>
      </c>
      <c r="BY903" s="1011">
        <v>0</v>
      </c>
      <c r="BZ903" s="510">
        <v>0</v>
      </c>
      <c r="CA903" s="1011">
        <v>0</v>
      </c>
      <c r="CB903" s="510">
        <v>22000</v>
      </c>
      <c r="CC903" s="1011">
        <v>0</v>
      </c>
      <c r="CD903" s="510">
        <v>0</v>
      </c>
      <c r="CE903" s="1011">
        <v>0</v>
      </c>
      <c r="CF903" s="510">
        <v>64634.400000000001</v>
      </c>
      <c r="CG903" s="1011">
        <v>0</v>
      </c>
      <c r="CH903" s="510">
        <v>0</v>
      </c>
      <c r="CI903" s="1011">
        <v>0</v>
      </c>
    </row>
    <row r="904" spans="1:87" x14ac:dyDescent="0.2">
      <c r="A904" s="449">
        <v>53</v>
      </c>
      <c r="B904" s="453">
        <v>93921</v>
      </c>
      <c r="C904" s="454" t="s">
        <v>8016</v>
      </c>
      <c r="D904" s="454" t="s">
        <v>517</v>
      </c>
      <c r="E904" s="454" t="s">
        <v>8017</v>
      </c>
      <c r="F904" s="454" t="s">
        <v>526</v>
      </c>
      <c r="G904" s="454" t="s">
        <v>13796</v>
      </c>
      <c r="H904" s="455">
        <v>791887000183</v>
      </c>
      <c r="I904" s="462">
        <v>34750</v>
      </c>
      <c r="J904" s="457">
        <v>37470760</v>
      </c>
      <c r="K904" s="454" t="s">
        <v>8018</v>
      </c>
      <c r="L904" s="458">
        <v>18</v>
      </c>
      <c r="M904" s="454" t="s">
        <v>1838</v>
      </c>
      <c r="N904" s="459">
        <v>8142010</v>
      </c>
      <c r="O904" s="460">
        <v>25673420</v>
      </c>
      <c r="P904" s="462">
        <v>140042</v>
      </c>
      <c r="Q904" s="462">
        <v>53</v>
      </c>
      <c r="R904" s="462">
        <v>43928</v>
      </c>
      <c r="S904" s="463">
        <v>1300</v>
      </c>
      <c r="T904" s="464">
        <v>5.4</v>
      </c>
      <c r="U904" s="465">
        <v>7020</v>
      </c>
      <c r="V904" s="465">
        <v>21960</v>
      </c>
      <c r="W904" s="466">
        <v>0</v>
      </c>
      <c r="X904" s="467">
        <v>1</v>
      </c>
      <c r="Y904" s="466">
        <v>50058</v>
      </c>
      <c r="Z904" s="468" t="s">
        <v>516</v>
      </c>
      <c r="AA904" s="466">
        <v>171727.6</v>
      </c>
      <c r="AB904" s="466">
        <v>171727.6</v>
      </c>
      <c r="AC904" s="467">
        <v>0</v>
      </c>
      <c r="AD904" s="466">
        <v>0</v>
      </c>
      <c r="AE904" s="468" t="s">
        <v>516</v>
      </c>
      <c r="AF904" s="466">
        <v>1000</v>
      </c>
      <c r="AG904" s="466">
        <v>1000</v>
      </c>
      <c r="AH904" s="466">
        <v>87981.38</v>
      </c>
      <c r="AI904" s="466">
        <v>12750.3</v>
      </c>
      <c r="AJ904" s="469" t="s">
        <v>1410</v>
      </c>
      <c r="AK904" s="470" t="s">
        <v>1411</v>
      </c>
      <c r="AL904" s="471" t="s">
        <v>8019</v>
      </c>
      <c r="AM904" s="470" t="s">
        <v>8020</v>
      </c>
      <c r="AN904" s="470" t="s">
        <v>1385</v>
      </c>
      <c r="AO904" s="470" t="s">
        <v>13797</v>
      </c>
      <c r="AP904" s="470" t="s">
        <v>8021</v>
      </c>
      <c r="AQ904" s="470" t="s">
        <v>8016</v>
      </c>
      <c r="AR904" s="472" t="s">
        <v>515</v>
      </c>
      <c r="AS904" s="473" t="s">
        <v>1385</v>
      </c>
      <c r="AT904" s="472" t="s">
        <v>517</v>
      </c>
      <c r="AU904" s="472" t="s">
        <v>420</v>
      </c>
      <c r="AV904" s="472">
        <v>2020</v>
      </c>
      <c r="AW904" s="474" t="s">
        <v>15078</v>
      </c>
      <c r="AX904" s="475" t="s">
        <v>15079</v>
      </c>
      <c r="AY904" s="515">
        <v>1</v>
      </c>
      <c r="AZ904" s="474" t="s">
        <v>15079</v>
      </c>
      <c r="BA904" s="472" t="s">
        <v>517</v>
      </c>
      <c r="BB904" s="472" t="s">
        <v>516</v>
      </c>
      <c r="BC904" s="472">
        <v>2</v>
      </c>
      <c r="BD904" s="472">
        <v>4392</v>
      </c>
      <c r="BE904" s="472">
        <v>0</v>
      </c>
      <c r="BF904" s="472">
        <v>50058</v>
      </c>
      <c r="BG904" s="472">
        <v>0</v>
      </c>
      <c r="BH904" s="472" t="s">
        <v>1385</v>
      </c>
      <c r="BI904" s="510">
        <v>0</v>
      </c>
      <c r="BJ904" s="510">
        <v>1375.2</v>
      </c>
      <c r="BK904" s="510">
        <v>0</v>
      </c>
      <c r="BL904" s="510">
        <v>3500</v>
      </c>
      <c r="BM904" s="510">
        <v>0</v>
      </c>
      <c r="BN904" s="510">
        <v>4440</v>
      </c>
      <c r="BO904" s="510">
        <v>1000</v>
      </c>
      <c r="BP904" s="510">
        <v>1000</v>
      </c>
      <c r="BQ904" s="510">
        <v>0</v>
      </c>
      <c r="BR904" s="510">
        <v>0</v>
      </c>
      <c r="BS904" s="510">
        <v>0</v>
      </c>
      <c r="BT904" s="510">
        <v>0</v>
      </c>
      <c r="BU904" s="510">
        <v>2500</v>
      </c>
      <c r="BV904" s="510">
        <v>2500</v>
      </c>
      <c r="BW904" s="510">
        <v>0</v>
      </c>
      <c r="BX904" s="510">
        <v>30000</v>
      </c>
      <c r="BY904" s="1011">
        <v>0</v>
      </c>
      <c r="BZ904" s="510">
        <v>0</v>
      </c>
      <c r="CA904" s="1011">
        <v>0</v>
      </c>
      <c r="CB904" s="510">
        <v>22000</v>
      </c>
      <c r="CC904" s="1011">
        <v>0</v>
      </c>
      <c r="CD904" s="510">
        <v>0</v>
      </c>
      <c r="CE904" s="1011">
        <v>0</v>
      </c>
      <c r="CF904" s="510">
        <v>68669.600000000006</v>
      </c>
      <c r="CG904" s="1011">
        <v>0</v>
      </c>
      <c r="CH904" s="510">
        <v>0</v>
      </c>
      <c r="CI904" s="1011">
        <v>0</v>
      </c>
    </row>
    <row r="905" spans="1:87" x14ac:dyDescent="0.2">
      <c r="A905" s="449">
        <v>79</v>
      </c>
      <c r="B905" s="453">
        <v>93939</v>
      </c>
      <c r="C905" s="454" t="s">
        <v>8022</v>
      </c>
      <c r="D905" s="454" t="s">
        <v>517</v>
      </c>
      <c r="E905" s="454" t="s">
        <v>8023</v>
      </c>
      <c r="F905" s="454" t="s">
        <v>526</v>
      </c>
      <c r="G905" s="454" t="s">
        <v>13798</v>
      </c>
      <c r="H905" s="455">
        <v>53824587000110</v>
      </c>
      <c r="I905" s="462">
        <v>30904</v>
      </c>
      <c r="J905" s="457">
        <v>37587366</v>
      </c>
      <c r="K905" s="454" t="s">
        <v>8024</v>
      </c>
      <c r="L905" s="458">
        <v>200</v>
      </c>
      <c r="M905" s="454" t="s">
        <v>1838</v>
      </c>
      <c r="N905" s="459">
        <v>8121700</v>
      </c>
      <c r="O905" s="460">
        <v>29638906</v>
      </c>
      <c r="P905" s="462">
        <v>203389</v>
      </c>
      <c r="Q905" s="462">
        <v>79</v>
      </c>
      <c r="R905" s="462">
        <v>43928</v>
      </c>
      <c r="S905" s="463">
        <v>1466</v>
      </c>
      <c r="T905" s="464">
        <v>5.4</v>
      </c>
      <c r="U905" s="465">
        <v>7916.4</v>
      </c>
      <c r="V905" s="465">
        <v>21960</v>
      </c>
      <c r="W905" s="466">
        <v>0</v>
      </c>
      <c r="X905" s="467">
        <v>1</v>
      </c>
      <c r="Y905" s="466">
        <v>44814.6</v>
      </c>
      <c r="Z905" s="468" t="s">
        <v>516</v>
      </c>
      <c r="AA905" s="466">
        <v>156260.6</v>
      </c>
      <c r="AB905" s="466">
        <v>156260.6</v>
      </c>
      <c r="AC905" s="467">
        <v>0</v>
      </c>
      <c r="AD905" s="466">
        <v>0</v>
      </c>
      <c r="AE905" s="468" t="s">
        <v>516</v>
      </c>
      <c r="AF905" s="466">
        <v>1000</v>
      </c>
      <c r="AG905" s="466">
        <v>1000</v>
      </c>
      <c r="AH905" s="466">
        <v>41967.97</v>
      </c>
      <c r="AI905" s="466">
        <v>10147.99</v>
      </c>
      <c r="AJ905" s="469" t="s">
        <v>1839</v>
      </c>
      <c r="AK905" s="470" t="s">
        <v>526</v>
      </c>
      <c r="AL905" s="471" t="s">
        <v>8025</v>
      </c>
      <c r="AM905" s="470" t="s">
        <v>8026</v>
      </c>
      <c r="AN905" s="470" t="s">
        <v>1385</v>
      </c>
      <c r="AO905" s="470" t="s">
        <v>13799</v>
      </c>
      <c r="AP905" s="470" t="s">
        <v>8027</v>
      </c>
      <c r="AQ905" s="470" t="s">
        <v>8022</v>
      </c>
      <c r="AR905" s="472" t="s">
        <v>515</v>
      </c>
      <c r="AS905" s="473" t="s">
        <v>1385</v>
      </c>
      <c r="AT905" s="472" t="s">
        <v>517</v>
      </c>
      <c r="AU905" s="472" t="s">
        <v>420</v>
      </c>
      <c r="AV905" s="472">
        <v>2020</v>
      </c>
      <c r="AW905" s="474" t="s">
        <v>15078</v>
      </c>
      <c r="AX905" s="475" t="s">
        <v>15079</v>
      </c>
      <c r="AY905" s="515">
        <v>1</v>
      </c>
      <c r="AZ905" s="474" t="s">
        <v>15079</v>
      </c>
      <c r="BA905" s="472" t="s">
        <v>517</v>
      </c>
      <c r="BB905" s="472" t="s">
        <v>1385</v>
      </c>
      <c r="BC905" s="472" t="s">
        <v>1385</v>
      </c>
      <c r="BD905" s="472" t="s">
        <v>1385</v>
      </c>
      <c r="BE905" s="472" t="s">
        <v>1385</v>
      </c>
      <c r="BF905" s="472">
        <v>44814.6</v>
      </c>
      <c r="BG905" s="472">
        <v>0</v>
      </c>
      <c r="BH905" s="472" t="s">
        <v>1385</v>
      </c>
      <c r="BI905" s="510">
        <v>0</v>
      </c>
      <c r="BJ905" s="510">
        <v>0</v>
      </c>
      <c r="BK905" s="510">
        <v>0</v>
      </c>
      <c r="BL905" s="510">
        <v>3500</v>
      </c>
      <c r="BM905" s="510">
        <v>0</v>
      </c>
      <c r="BN905" s="510">
        <v>2400</v>
      </c>
      <c r="BO905" s="510">
        <v>1000</v>
      </c>
      <c r="BP905" s="510">
        <v>1000</v>
      </c>
      <c r="BQ905" s="510">
        <v>0</v>
      </c>
      <c r="BR905" s="510">
        <v>0</v>
      </c>
      <c r="BS905" s="510">
        <v>0</v>
      </c>
      <c r="BT905" s="510">
        <v>0</v>
      </c>
      <c r="BU905" s="510">
        <v>2500</v>
      </c>
      <c r="BV905" s="510">
        <v>2500</v>
      </c>
      <c r="BW905" s="510">
        <v>0</v>
      </c>
      <c r="BX905" s="510">
        <v>30000</v>
      </c>
      <c r="BY905" s="1011">
        <v>0</v>
      </c>
      <c r="BZ905" s="510">
        <v>0</v>
      </c>
      <c r="CA905" s="1011">
        <v>0</v>
      </c>
      <c r="CB905" s="510">
        <v>22000</v>
      </c>
      <c r="CC905" s="1011">
        <v>0</v>
      </c>
      <c r="CD905" s="510">
        <v>0</v>
      </c>
      <c r="CE905" s="1011">
        <v>0</v>
      </c>
      <c r="CF905" s="510">
        <v>58446</v>
      </c>
      <c r="CG905" s="1011">
        <v>0</v>
      </c>
      <c r="CH905" s="510">
        <v>0</v>
      </c>
      <c r="CI905" s="1011">
        <v>0</v>
      </c>
    </row>
    <row r="906" spans="1:87" x14ac:dyDescent="0.2">
      <c r="A906" s="449">
        <v>68</v>
      </c>
      <c r="B906" s="453">
        <v>93947</v>
      </c>
      <c r="C906" s="454" t="s">
        <v>8028</v>
      </c>
      <c r="D906" s="454" t="s">
        <v>517</v>
      </c>
      <c r="E906" s="454" t="s">
        <v>8029</v>
      </c>
      <c r="F906" s="454" t="s">
        <v>527</v>
      </c>
      <c r="G906" s="454" t="s">
        <v>13800</v>
      </c>
      <c r="H906" s="455">
        <v>51959070000102</v>
      </c>
      <c r="I906" s="462">
        <v>29182</v>
      </c>
      <c r="J906" s="457">
        <v>37554930</v>
      </c>
      <c r="K906" s="454" t="s">
        <v>6123</v>
      </c>
      <c r="L906" s="458">
        <v>730</v>
      </c>
      <c r="M906" s="454" t="s">
        <v>2314</v>
      </c>
      <c r="N906" s="459">
        <v>3306000</v>
      </c>
      <c r="O906" s="460">
        <v>22954128</v>
      </c>
      <c r="P906" s="462">
        <v>183469</v>
      </c>
      <c r="Q906" s="462">
        <v>116</v>
      </c>
      <c r="R906" s="462">
        <v>43917</v>
      </c>
      <c r="S906" s="463">
        <v>532</v>
      </c>
      <c r="T906" s="464">
        <v>5.4</v>
      </c>
      <c r="U906" s="465">
        <v>2872.8</v>
      </c>
      <c r="V906" s="465">
        <v>17100</v>
      </c>
      <c r="W906" s="466">
        <v>0</v>
      </c>
      <c r="X906" s="467">
        <v>1</v>
      </c>
      <c r="Y906" s="466">
        <v>29959.200000000001</v>
      </c>
      <c r="Z906" s="468" t="s">
        <v>516</v>
      </c>
      <c r="AA906" s="466">
        <v>121753.60000000001</v>
      </c>
      <c r="AB906" s="466">
        <v>121753.60000000001</v>
      </c>
      <c r="AC906" s="467">
        <v>0</v>
      </c>
      <c r="AD906" s="466">
        <v>0</v>
      </c>
      <c r="AE906" s="468" t="s">
        <v>516</v>
      </c>
      <c r="AF906" s="466">
        <v>0</v>
      </c>
      <c r="AG906" s="466">
        <v>0</v>
      </c>
      <c r="AH906" s="466">
        <v>20361.400000000001</v>
      </c>
      <c r="AI906" s="466">
        <v>13059.45</v>
      </c>
      <c r="AJ906" s="469" t="s">
        <v>2315</v>
      </c>
      <c r="AK906" s="470" t="s">
        <v>2316</v>
      </c>
      <c r="AL906" s="471" t="s">
        <v>8030</v>
      </c>
      <c r="AM906" s="470" t="s">
        <v>13801</v>
      </c>
      <c r="AN906" s="470" t="s">
        <v>13802</v>
      </c>
      <c r="AO906" s="470" t="s">
        <v>13803</v>
      </c>
      <c r="AP906" s="470" t="s">
        <v>8031</v>
      </c>
      <c r="AQ906" s="470" t="s">
        <v>8028</v>
      </c>
      <c r="AR906" s="472" t="s">
        <v>515</v>
      </c>
      <c r="AS906" s="473" t="s">
        <v>1385</v>
      </c>
      <c r="AT906" s="472" t="s">
        <v>517</v>
      </c>
      <c r="AU906" s="472" t="s">
        <v>420</v>
      </c>
      <c r="AV906" s="472">
        <v>2020</v>
      </c>
      <c r="AW906" s="474" t="s">
        <v>15078</v>
      </c>
      <c r="AX906" s="475" t="s">
        <v>15079</v>
      </c>
      <c r="AY906" s="515">
        <v>1</v>
      </c>
      <c r="AZ906" s="474" t="s">
        <v>15079</v>
      </c>
      <c r="BA906" s="472" t="s">
        <v>517</v>
      </c>
      <c r="BB906" s="472" t="s">
        <v>1385</v>
      </c>
      <c r="BC906" s="472" t="s">
        <v>1385</v>
      </c>
      <c r="BD906" s="472" t="s">
        <v>1385</v>
      </c>
      <c r="BE906" s="472" t="s">
        <v>1385</v>
      </c>
      <c r="BF906" s="472">
        <v>29959.200000000001</v>
      </c>
      <c r="BG906" s="472">
        <v>0</v>
      </c>
      <c r="BH906" s="472" t="s">
        <v>1385</v>
      </c>
      <c r="BI906" s="510">
        <v>0</v>
      </c>
      <c r="BJ906" s="510">
        <v>0</v>
      </c>
      <c r="BK906" s="510">
        <v>0</v>
      </c>
      <c r="BL906" s="510">
        <v>3500</v>
      </c>
      <c r="BM906" s="510">
        <v>0</v>
      </c>
      <c r="BN906" s="510">
        <v>0</v>
      </c>
      <c r="BO906" s="510">
        <v>0</v>
      </c>
      <c r="BP906" s="510">
        <v>0</v>
      </c>
      <c r="BQ906" s="510">
        <v>0</v>
      </c>
      <c r="BR906" s="510">
        <v>0</v>
      </c>
      <c r="BS906" s="510">
        <v>0</v>
      </c>
      <c r="BT906" s="510">
        <v>0</v>
      </c>
      <c r="BU906" s="510">
        <v>2500</v>
      </c>
      <c r="BV906" s="510">
        <v>2500</v>
      </c>
      <c r="BW906" s="510">
        <v>0</v>
      </c>
      <c r="BX906" s="510">
        <v>30000</v>
      </c>
      <c r="BY906" s="1011">
        <v>0</v>
      </c>
      <c r="BZ906" s="510">
        <v>0</v>
      </c>
      <c r="CA906" s="1011">
        <v>0</v>
      </c>
      <c r="CB906" s="510">
        <v>22000</v>
      </c>
      <c r="CC906" s="1011">
        <v>0</v>
      </c>
      <c r="CD906" s="510">
        <v>0</v>
      </c>
      <c r="CE906" s="1011">
        <v>0</v>
      </c>
      <c r="CF906" s="510">
        <v>39794.400000000001</v>
      </c>
      <c r="CG906" s="1011">
        <v>0</v>
      </c>
      <c r="CH906" s="510">
        <v>0</v>
      </c>
      <c r="CI906" s="1011">
        <v>0</v>
      </c>
    </row>
    <row r="907" spans="1:87" x14ac:dyDescent="0.2">
      <c r="A907" s="449">
        <v>56</v>
      </c>
      <c r="B907" s="453">
        <v>93955</v>
      </c>
      <c r="C907" s="454" t="s">
        <v>8032</v>
      </c>
      <c r="D907" s="454" t="s">
        <v>517</v>
      </c>
      <c r="E907" s="454" t="s">
        <v>8033</v>
      </c>
      <c r="F907" s="454" t="s">
        <v>527</v>
      </c>
      <c r="G907" s="454" t="s">
        <v>13804</v>
      </c>
      <c r="H907" s="455">
        <v>51766723000137</v>
      </c>
      <c r="I907" s="462">
        <v>29187</v>
      </c>
      <c r="J907" s="457">
        <v>37590448</v>
      </c>
      <c r="K907" s="454" t="s">
        <v>8034</v>
      </c>
      <c r="L907" s="458">
        <v>210</v>
      </c>
      <c r="M907" s="454" t="s">
        <v>8035</v>
      </c>
      <c r="N907" s="459">
        <v>3310000</v>
      </c>
      <c r="O907" s="460">
        <v>22954085</v>
      </c>
      <c r="P907" s="462">
        <v>196749</v>
      </c>
      <c r="Q907" s="462">
        <v>104</v>
      </c>
      <c r="R907" s="462">
        <v>43917</v>
      </c>
      <c r="S907" s="463">
        <v>752</v>
      </c>
      <c r="T907" s="464">
        <v>5.4</v>
      </c>
      <c r="U907" s="465">
        <v>4060.8</v>
      </c>
      <c r="V907" s="465">
        <v>18720</v>
      </c>
      <c r="W907" s="466">
        <v>0</v>
      </c>
      <c r="X907" s="467">
        <v>1</v>
      </c>
      <c r="Y907" s="466">
        <v>34171.199999999997</v>
      </c>
      <c r="Z907" s="468" t="s">
        <v>516</v>
      </c>
      <c r="AA907" s="466">
        <v>131808.4</v>
      </c>
      <c r="AB907" s="466">
        <v>131808.4</v>
      </c>
      <c r="AC907" s="467">
        <v>0</v>
      </c>
      <c r="AD907" s="466">
        <v>0</v>
      </c>
      <c r="AE907" s="468" t="s">
        <v>516</v>
      </c>
      <c r="AF907" s="466">
        <v>0</v>
      </c>
      <c r="AG907" s="466">
        <v>0</v>
      </c>
      <c r="AH907" s="466">
        <v>28369.64</v>
      </c>
      <c r="AI907" s="466">
        <v>12652.04</v>
      </c>
      <c r="AJ907" s="469" t="s">
        <v>2315</v>
      </c>
      <c r="AK907" s="470" t="s">
        <v>2316</v>
      </c>
      <c r="AL907" s="471" t="s">
        <v>8036</v>
      </c>
      <c r="AM907" s="470" t="s">
        <v>8037</v>
      </c>
      <c r="AN907" s="470" t="s">
        <v>13804</v>
      </c>
      <c r="AO907" s="470" t="s">
        <v>13805</v>
      </c>
      <c r="AP907" s="470" t="s">
        <v>8038</v>
      </c>
      <c r="AQ907" s="470" t="s">
        <v>8032</v>
      </c>
      <c r="AR907" s="472" t="s">
        <v>515</v>
      </c>
      <c r="AS907" s="473" t="s">
        <v>1385</v>
      </c>
      <c r="AT907" s="472" t="s">
        <v>517</v>
      </c>
      <c r="AU907" s="472" t="s">
        <v>420</v>
      </c>
      <c r="AV907" s="472">
        <v>2020</v>
      </c>
      <c r="AW907" s="474" t="s">
        <v>15078</v>
      </c>
      <c r="AX907" s="475" t="s">
        <v>15079</v>
      </c>
      <c r="AY907" s="515">
        <v>1</v>
      </c>
      <c r="AZ907" s="474" t="s">
        <v>15079</v>
      </c>
      <c r="BA907" s="472" t="s">
        <v>517</v>
      </c>
      <c r="BB907" s="472" t="s">
        <v>1385</v>
      </c>
      <c r="BC907" s="472" t="s">
        <v>1385</v>
      </c>
      <c r="BD907" s="472" t="s">
        <v>1385</v>
      </c>
      <c r="BE907" s="472" t="s">
        <v>1385</v>
      </c>
      <c r="BF907" s="472">
        <v>34171.199999999997</v>
      </c>
      <c r="BG907" s="472">
        <v>0</v>
      </c>
      <c r="BH907" s="472" t="s">
        <v>1385</v>
      </c>
      <c r="BI907" s="510">
        <v>0</v>
      </c>
      <c r="BJ907" s="510">
        <v>7782.72</v>
      </c>
      <c r="BK907" s="510">
        <v>0</v>
      </c>
      <c r="BL907" s="510">
        <v>3500</v>
      </c>
      <c r="BM907" s="510">
        <v>0</v>
      </c>
      <c r="BN907" s="510">
        <v>5000</v>
      </c>
      <c r="BO907" s="510">
        <v>0</v>
      </c>
      <c r="BP907" s="510">
        <v>0</v>
      </c>
      <c r="BQ907" s="510">
        <v>0</v>
      </c>
      <c r="BR907" s="510">
        <v>0</v>
      </c>
      <c r="BS907" s="510">
        <v>0</v>
      </c>
      <c r="BT907" s="510">
        <v>0</v>
      </c>
      <c r="BU907" s="510">
        <v>2500</v>
      </c>
      <c r="BV907" s="510">
        <v>2500</v>
      </c>
      <c r="BW907" s="510">
        <v>0</v>
      </c>
      <c r="BX907" s="510">
        <v>30000</v>
      </c>
      <c r="BY907" s="1011">
        <v>0</v>
      </c>
      <c r="BZ907" s="510">
        <v>0</v>
      </c>
      <c r="CA907" s="1011">
        <v>0</v>
      </c>
      <c r="CB907" s="510">
        <v>22000</v>
      </c>
      <c r="CC907" s="1011">
        <v>0</v>
      </c>
      <c r="CD907" s="510">
        <v>0</v>
      </c>
      <c r="CE907" s="1011">
        <v>0</v>
      </c>
      <c r="CF907" s="510">
        <v>45637.2</v>
      </c>
      <c r="CG907" s="1011">
        <v>0</v>
      </c>
      <c r="CH907" s="510">
        <v>0</v>
      </c>
      <c r="CI907" s="1011">
        <v>0</v>
      </c>
    </row>
    <row r="908" spans="1:87" x14ac:dyDescent="0.2">
      <c r="A908" s="449">
        <v>60</v>
      </c>
      <c r="B908" s="453">
        <v>93963</v>
      </c>
      <c r="C908" s="454" t="s">
        <v>8039</v>
      </c>
      <c r="D908" s="454" t="s">
        <v>517</v>
      </c>
      <c r="E908" s="454" t="s">
        <v>8040</v>
      </c>
      <c r="F908" s="454" t="s">
        <v>527</v>
      </c>
      <c r="G908" s="454" t="s">
        <v>13806</v>
      </c>
      <c r="H908" s="455">
        <v>51692697000140</v>
      </c>
      <c r="I908" s="462">
        <v>29094</v>
      </c>
      <c r="J908" s="457">
        <v>37554808</v>
      </c>
      <c r="K908" s="454" t="s">
        <v>8041</v>
      </c>
      <c r="L908" s="458">
        <v>140</v>
      </c>
      <c r="M908" s="454" t="s">
        <v>5718</v>
      </c>
      <c r="N908" s="459">
        <v>3510040</v>
      </c>
      <c r="O908" s="460">
        <v>26538062</v>
      </c>
      <c r="P908" s="462">
        <v>186328</v>
      </c>
      <c r="Q908" s="462">
        <v>108</v>
      </c>
      <c r="R908" s="462">
        <v>43917</v>
      </c>
      <c r="S908" s="463">
        <v>959</v>
      </c>
      <c r="T908" s="464">
        <v>5.4</v>
      </c>
      <c r="U908" s="465">
        <v>5178.6000000000004</v>
      </c>
      <c r="V908" s="465">
        <v>20340</v>
      </c>
      <c r="W908" s="466">
        <v>0</v>
      </c>
      <c r="X908" s="467">
        <v>1</v>
      </c>
      <c r="Y908" s="466">
        <v>38277.9</v>
      </c>
      <c r="Z908" s="468" t="s">
        <v>516</v>
      </c>
      <c r="AA908" s="466">
        <v>140710.29999999999</v>
      </c>
      <c r="AB908" s="466">
        <v>140710.29999999999</v>
      </c>
      <c r="AC908" s="467">
        <v>0</v>
      </c>
      <c r="AD908" s="466">
        <v>0</v>
      </c>
      <c r="AE908" s="468" t="s">
        <v>516</v>
      </c>
      <c r="AF908" s="466">
        <v>0</v>
      </c>
      <c r="AG908" s="466">
        <v>0</v>
      </c>
      <c r="AH908" s="466">
        <v>24634.11</v>
      </c>
      <c r="AI908" s="466">
        <v>21309.3</v>
      </c>
      <c r="AJ908" s="469" t="s">
        <v>5717</v>
      </c>
      <c r="AK908" s="470" t="s">
        <v>5718</v>
      </c>
      <c r="AL908" s="471" t="s">
        <v>8042</v>
      </c>
      <c r="AM908" s="470" t="s">
        <v>8043</v>
      </c>
      <c r="AN908" s="470" t="s">
        <v>13806</v>
      </c>
      <c r="AO908" s="470" t="s">
        <v>13807</v>
      </c>
      <c r="AP908" s="470" t="s">
        <v>8044</v>
      </c>
      <c r="AQ908" s="470" t="s">
        <v>8039</v>
      </c>
      <c r="AR908" s="472" t="s">
        <v>515</v>
      </c>
      <c r="AS908" s="473" t="s">
        <v>1385</v>
      </c>
      <c r="AT908" s="472" t="s">
        <v>517</v>
      </c>
      <c r="AU908" s="472" t="s">
        <v>420</v>
      </c>
      <c r="AV908" s="472">
        <v>2020</v>
      </c>
      <c r="AW908" s="474" t="s">
        <v>15078</v>
      </c>
      <c r="AX908" s="475" t="s">
        <v>15079</v>
      </c>
      <c r="AY908" s="515">
        <v>1</v>
      </c>
      <c r="AZ908" s="474" t="s">
        <v>15079</v>
      </c>
      <c r="BA908" s="472" t="s">
        <v>517</v>
      </c>
      <c r="BB908" s="472" t="s">
        <v>1385</v>
      </c>
      <c r="BC908" s="472" t="s">
        <v>1385</v>
      </c>
      <c r="BD908" s="472" t="s">
        <v>1385</v>
      </c>
      <c r="BE908" s="472" t="s">
        <v>1385</v>
      </c>
      <c r="BF908" s="472">
        <v>38277.9</v>
      </c>
      <c r="BG908" s="472">
        <v>0</v>
      </c>
      <c r="BH908" s="472" t="s">
        <v>1385</v>
      </c>
      <c r="BI908" s="510">
        <v>0</v>
      </c>
      <c r="BJ908" s="510">
        <v>0</v>
      </c>
      <c r="BK908" s="510">
        <v>0</v>
      </c>
      <c r="BL908" s="510">
        <v>3500</v>
      </c>
      <c r="BM908" s="510">
        <v>0</v>
      </c>
      <c r="BN908" s="510">
        <v>5000</v>
      </c>
      <c r="BO908" s="510">
        <v>0</v>
      </c>
      <c r="BP908" s="510">
        <v>0</v>
      </c>
      <c r="BQ908" s="510">
        <v>0</v>
      </c>
      <c r="BR908" s="510">
        <v>0</v>
      </c>
      <c r="BS908" s="510">
        <v>0</v>
      </c>
      <c r="BT908" s="510">
        <v>0</v>
      </c>
      <c r="BU908" s="510">
        <v>2500</v>
      </c>
      <c r="BV908" s="510">
        <v>2500</v>
      </c>
      <c r="BW908" s="510">
        <v>0</v>
      </c>
      <c r="BX908" s="510">
        <v>30000</v>
      </c>
      <c r="BY908" s="1011">
        <v>0</v>
      </c>
      <c r="BZ908" s="510">
        <v>0</v>
      </c>
      <c r="CA908" s="1011">
        <v>0</v>
      </c>
      <c r="CB908" s="510">
        <v>22000</v>
      </c>
      <c r="CC908" s="1011">
        <v>0</v>
      </c>
      <c r="CD908" s="510">
        <v>0</v>
      </c>
      <c r="CE908" s="1011">
        <v>0</v>
      </c>
      <c r="CF908" s="510">
        <v>50432.4</v>
      </c>
      <c r="CG908" s="1011">
        <v>0</v>
      </c>
      <c r="CH908" s="510">
        <v>0</v>
      </c>
      <c r="CI908" s="1011">
        <v>0</v>
      </c>
    </row>
    <row r="909" spans="1:87" x14ac:dyDescent="0.2">
      <c r="A909" s="449">
        <v>36</v>
      </c>
      <c r="B909" s="453">
        <v>93971</v>
      </c>
      <c r="C909" s="454" t="s">
        <v>8045</v>
      </c>
      <c r="D909" s="454" t="s">
        <v>517</v>
      </c>
      <c r="E909" s="454" t="s">
        <v>8046</v>
      </c>
      <c r="F909" s="454" t="s">
        <v>527</v>
      </c>
      <c r="G909" s="454" t="s">
        <v>13808</v>
      </c>
      <c r="H909" s="455">
        <v>52169422000199</v>
      </c>
      <c r="I909" s="462">
        <v>30372</v>
      </c>
      <c r="J909" s="457">
        <v>37555146</v>
      </c>
      <c r="K909" s="454" t="s">
        <v>8047</v>
      </c>
      <c r="L909" s="458">
        <v>99</v>
      </c>
      <c r="M909" s="454" t="s">
        <v>6218</v>
      </c>
      <c r="N909" s="459">
        <v>3520050</v>
      </c>
      <c r="O909" s="460">
        <v>26511274</v>
      </c>
      <c r="P909" s="462">
        <v>183310</v>
      </c>
      <c r="Q909" s="462">
        <v>83</v>
      </c>
      <c r="R909" s="462">
        <v>43934</v>
      </c>
      <c r="S909" s="463">
        <v>695</v>
      </c>
      <c r="T909" s="464">
        <v>5.4</v>
      </c>
      <c r="U909" s="465">
        <v>3753</v>
      </c>
      <c r="V909" s="465">
        <v>17100</v>
      </c>
      <c r="W909" s="466">
        <v>0</v>
      </c>
      <c r="X909" s="467">
        <v>1</v>
      </c>
      <c r="Y909" s="466">
        <v>31279.5</v>
      </c>
      <c r="Z909" s="468" t="s">
        <v>516</v>
      </c>
      <c r="AA909" s="466">
        <v>124315.9</v>
      </c>
      <c r="AB909" s="466">
        <v>124315.9</v>
      </c>
      <c r="AC909" s="467">
        <v>0</v>
      </c>
      <c r="AD909" s="466">
        <v>0</v>
      </c>
      <c r="AE909" s="468" t="s">
        <v>516</v>
      </c>
      <c r="AF909" s="466">
        <v>0</v>
      </c>
      <c r="AG909" s="466">
        <v>0</v>
      </c>
      <c r="AH909" s="466">
        <v>59904.18</v>
      </c>
      <c r="AI909" s="466">
        <v>2134.6</v>
      </c>
      <c r="AJ909" s="469" t="s">
        <v>5717</v>
      </c>
      <c r="AK909" s="470" t="s">
        <v>5718</v>
      </c>
      <c r="AL909" s="471" t="s">
        <v>8048</v>
      </c>
      <c r="AM909" s="470" t="s">
        <v>8049</v>
      </c>
      <c r="AN909" s="470" t="s">
        <v>13808</v>
      </c>
      <c r="AO909" s="470" t="s">
        <v>13809</v>
      </c>
      <c r="AP909" s="470" t="s">
        <v>8050</v>
      </c>
      <c r="AQ909" s="470" t="s">
        <v>8045</v>
      </c>
      <c r="AR909" s="472" t="s">
        <v>515</v>
      </c>
      <c r="AS909" s="473" t="s">
        <v>1385</v>
      </c>
      <c r="AT909" s="472" t="s">
        <v>517</v>
      </c>
      <c r="AU909" s="472" t="s">
        <v>420</v>
      </c>
      <c r="AV909" s="472">
        <v>2020</v>
      </c>
      <c r="AW909" s="474" t="s">
        <v>15078</v>
      </c>
      <c r="AX909" s="475" t="s">
        <v>15079</v>
      </c>
      <c r="AY909" s="515">
        <v>1</v>
      </c>
      <c r="AZ909" s="474" t="s">
        <v>15079</v>
      </c>
      <c r="BA909" s="472" t="s">
        <v>517</v>
      </c>
      <c r="BB909" s="472" t="s">
        <v>1385</v>
      </c>
      <c r="BC909" s="472" t="s">
        <v>1385</v>
      </c>
      <c r="BD909" s="472" t="s">
        <v>1385</v>
      </c>
      <c r="BE909" s="472" t="s">
        <v>1385</v>
      </c>
      <c r="BF909" s="472">
        <v>31279.5</v>
      </c>
      <c r="BG909" s="472">
        <v>0</v>
      </c>
      <c r="BH909" s="472" t="s">
        <v>1385</v>
      </c>
      <c r="BI909" s="510">
        <v>0</v>
      </c>
      <c r="BJ909" s="510">
        <v>0</v>
      </c>
      <c r="BK909" s="510">
        <v>0</v>
      </c>
      <c r="BL909" s="510">
        <v>3083.07</v>
      </c>
      <c r="BM909" s="510">
        <v>0</v>
      </c>
      <c r="BN909" s="510">
        <v>3500</v>
      </c>
      <c r="BO909" s="510">
        <v>0</v>
      </c>
      <c r="BP909" s="510">
        <v>0</v>
      </c>
      <c r="BQ909" s="510">
        <v>0</v>
      </c>
      <c r="BR909" s="510">
        <v>0</v>
      </c>
      <c r="BS909" s="510">
        <v>0</v>
      </c>
      <c r="BT909" s="510">
        <v>0</v>
      </c>
      <c r="BU909" s="510">
        <v>2500</v>
      </c>
      <c r="BV909" s="510">
        <v>2500</v>
      </c>
      <c r="BW909" s="510">
        <v>0</v>
      </c>
      <c r="BX909" s="510">
        <v>30000</v>
      </c>
      <c r="BY909" s="1011">
        <v>0</v>
      </c>
      <c r="BZ909" s="510">
        <v>0</v>
      </c>
      <c r="CA909" s="1011">
        <v>0</v>
      </c>
      <c r="CB909" s="510">
        <v>22000</v>
      </c>
      <c r="CC909" s="1011">
        <v>0</v>
      </c>
      <c r="CD909" s="510">
        <v>0</v>
      </c>
      <c r="CE909" s="1011">
        <v>0</v>
      </c>
      <c r="CF909" s="510">
        <v>41036.400000000001</v>
      </c>
      <c r="CG909" s="1011">
        <v>0</v>
      </c>
      <c r="CH909" s="510">
        <v>0</v>
      </c>
      <c r="CI909" s="1011">
        <v>0</v>
      </c>
    </row>
    <row r="910" spans="1:87" x14ac:dyDescent="0.2">
      <c r="A910" s="449">
        <v>50</v>
      </c>
      <c r="B910" s="453">
        <v>93980</v>
      </c>
      <c r="C910" s="454" t="s">
        <v>8051</v>
      </c>
      <c r="D910" s="454" t="s">
        <v>517</v>
      </c>
      <c r="E910" s="454" t="s">
        <v>8052</v>
      </c>
      <c r="F910" s="454" t="s">
        <v>527</v>
      </c>
      <c r="G910" s="454" t="s">
        <v>13810</v>
      </c>
      <c r="H910" s="455">
        <v>51738128000198</v>
      </c>
      <c r="I910" s="462">
        <v>29138</v>
      </c>
      <c r="J910" s="457">
        <v>37606182</v>
      </c>
      <c r="K910" s="454" t="s">
        <v>8053</v>
      </c>
      <c r="L910" s="458">
        <v>578</v>
      </c>
      <c r="M910" s="454" t="s">
        <v>8054</v>
      </c>
      <c r="N910" s="459">
        <v>3546010</v>
      </c>
      <c r="O910" s="460">
        <v>29589237</v>
      </c>
      <c r="P910" s="462">
        <v>198903</v>
      </c>
      <c r="Q910" s="462">
        <v>98</v>
      </c>
      <c r="R910" s="462">
        <v>43917</v>
      </c>
      <c r="S910" s="463">
        <v>607</v>
      </c>
      <c r="T910" s="464">
        <v>5.4</v>
      </c>
      <c r="U910" s="465">
        <v>3277.8</v>
      </c>
      <c r="V910" s="465">
        <v>17100</v>
      </c>
      <c r="W910" s="466">
        <v>0</v>
      </c>
      <c r="X910" s="467">
        <v>1</v>
      </c>
      <c r="Y910" s="466">
        <v>30566.7</v>
      </c>
      <c r="Z910" s="468" t="s">
        <v>516</v>
      </c>
      <c r="AA910" s="466">
        <v>123235.9</v>
      </c>
      <c r="AB910" s="466">
        <v>123235.9</v>
      </c>
      <c r="AC910" s="467">
        <v>0</v>
      </c>
      <c r="AD910" s="466">
        <v>0</v>
      </c>
      <c r="AE910" s="468" t="s">
        <v>516</v>
      </c>
      <c r="AF910" s="466">
        <v>2000</v>
      </c>
      <c r="AG910" s="466">
        <v>2000</v>
      </c>
      <c r="AH910" s="466">
        <v>9048.69</v>
      </c>
      <c r="AI910" s="466">
        <v>12090.39</v>
      </c>
      <c r="AJ910" s="469" t="s">
        <v>2196</v>
      </c>
      <c r="AK910" s="470" t="s">
        <v>2197</v>
      </c>
      <c r="AL910" s="471" t="s">
        <v>8055</v>
      </c>
      <c r="AM910" s="470" t="s">
        <v>8056</v>
      </c>
      <c r="AN910" s="470" t="s">
        <v>13810</v>
      </c>
      <c r="AO910" s="470" t="s">
        <v>13811</v>
      </c>
      <c r="AP910" s="470" t="s">
        <v>8057</v>
      </c>
      <c r="AQ910" s="470" t="s">
        <v>8051</v>
      </c>
      <c r="AR910" s="472" t="s">
        <v>515</v>
      </c>
      <c r="AS910" s="473" t="s">
        <v>1385</v>
      </c>
      <c r="AT910" s="472" t="s">
        <v>517</v>
      </c>
      <c r="AU910" s="472" t="s">
        <v>420</v>
      </c>
      <c r="AV910" s="472">
        <v>2020</v>
      </c>
      <c r="AW910" s="474" t="s">
        <v>15078</v>
      </c>
      <c r="AX910" s="475" t="s">
        <v>15079</v>
      </c>
      <c r="AY910" s="515">
        <v>1</v>
      </c>
      <c r="AZ910" s="474" t="s">
        <v>15079</v>
      </c>
      <c r="BA910" s="472" t="s">
        <v>517</v>
      </c>
      <c r="BB910" s="472" t="s">
        <v>1385</v>
      </c>
      <c r="BC910" s="472" t="s">
        <v>1385</v>
      </c>
      <c r="BD910" s="472" t="s">
        <v>1385</v>
      </c>
      <c r="BE910" s="472" t="s">
        <v>1385</v>
      </c>
      <c r="BF910" s="472">
        <v>30566.7</v>
      </c>
      <c r="BG910" s="472">
        <v>0</v>
      </c>
      <c r="BH910" s="472" t="s">
        <v>1385</v>
      </c>
      <c r="BI910" s="510">
        <v>0</v>
      </c>
      <c r="BJ910" s="510">
        <v>27.45</v>
      </c>
      <c r="BK910" s="510">
        <v>0</v>
      </c>
      <c r="BL910" s="510">
        <v>1456.19</v>
      </c>
      <c r="BM910" s="510">
        <v>0</v>
      </c>
      <c r="BN910" s="510">
        <v>3500</v>
      </c>
      <c r="BO910" s="510">
        <v>0</v>
      </c>
      <c r="BP910" s="510">
        <v>2000</v>
      </c>
      <c r="BQ910" s="510">
        <v>0</v>
      </c>
      <c r="BR910" s="510">
        <v>0</v>
      </c>
      <c r="BS910" s="510">
        <v>0</v>
      </c>
      <c r="BT910" s="510">
        <v>0</v>
      </c>
      <c r="BU910" s="510">
        <v>2500</v>
      </c>
      <c r="BV910" s="510">
        <v>2500</v>
      </c>
      <c r="BW910" s="510">
        <v>0</v>
      </c>
      <c r="BX910" s="510">
        <v>30000</v>
      </c>
      <c r="BY910" s="1011">
        <v>0</v>
      </c>
      <c r="BZ910" s="510">
        <v>0</v>
      </c>
      <c r="CA910" s="1011">
        <v>0</v>
      </c>
      <c r="CB910" s="510">
        <v>22000</v>
      </c>
      <c r="CC910" s="1011">
        <v>0</v>
      </c>
      <c r="CD910" s="510">
        <v>0</v>
      </c>
      <c r="CE910" s="1011">
        <v>0</v>
      </c>
      <c r="CF910" s="510">
        <v>40669.199999999997</v>
      </c>
      <c r="CG910" s="1011">
        <v>0</v>
      </c>
      <c r="CH910" s="510">
        <v>0</v>
      </c>
      <c r="CI910" s="1011">
        <v>0</v>
      </c>
    </row>
    <row r="911" spans="1:87" x14ac:dyDescent="0.2">
      <c r="A911" s="449">
        <v>37</v>
      </c>
      <c r="B911" s="453">
        <v>93998</v>
      </c>
      <c r="C911" s="454" t="s">
        <v>8058</v>
      </c>
      <c r="D911" s="454" t="s">
        <v>517</v>
      </c>
      <c r="E911" s="454" t="s">
        <v>8059</v>
      </c>
      <c r="F911" s="454" t="s">
        <v>527</v>
      </c>
      <c r="G911" s="454" t="s">
        <v>13812</v>
      </c>
      <c r="H911" s="455">
        <v>52633898000139</v>
      </c>
      <c r="I911" s="462">
        <v>30491</v>
      </c>
      <c r="J911" s="457">
        <v>37605526</v>
      </c>
      <c r="K911" s="454" t="s">
        <v>8060</v>
      </c>
      <c r="L911" s="458">
        <v>238</v>
      </c>
      <c r="M911" s="454" t="s">
        <v>2459</v>
      </c>
      <c r="N911" s="459">
        <v>3560020</v>
      </c>
      <c r="O911" s="460">
        <v>27481566</v>
      </c>
      <c r="P911" s="462">
        <v>185909</v>
      </c>
      <c r="Q911" s="462">
        <v>84</v>
      </c>
      <c r="R911" s="462">
        <v>43934</v>
      </c>
      <c r="S911" s="463">
        <v>635</v>
      </c>
      <c r="T911" s="464">
        <v>5.4</v>
      </c>
      <c r="U911" s="465">
        <v>3429</v>
      </c>
      <c r="V911" s="465">
        <v>17100</v>
      </c>
      <c r="W911" s="466">
        <v>0</v>
      </c>
      <c r="X911" s="467">
        <v>1</v>
      </c>
      <c r="Y911" s="466">
        <v>30793.5</v>
      </c>
      <c r="Z911" s="468" t="s">
        <v>516</v>
      </c>
      <c r="AA911" s="466">
        <v>123603.1</v>
      </c>
      <c r="AB911" s="466">
        <v>123603.1</v>
      </c>
      <c r="AC911" s="467">
        <v>0</v>
      </c>
      <c r="AD911" s="466">
        <v>0</v>
      </c>
      <c r="AE911" s="468" t="s">
        <v>516</v>
      </c>
      <c r="AF911" s="466">
        <v>0</v>
      </c>
      <c r="AG911" s="466">
        <v>0</v>
      </c>
      <c r="AH911" s="466">
        <v>17852.27</v>
      </c>
      <c r="AI911" s="466">
        <v>6500.65</v>
      </c>
      <c r="AJ911" s="469" t="s">
        <v>2196</v>
      </c>
      <c r="AK911" s="470" t="s">
        <v>2197</v>
      </c>
      <c r="AL911" s="471" t="s">
        <v>8061</v>
      </c>
      <c r="AM911" s="470" t="s">
        <v>8062</v>
      </c>
      <c r="AN911" s="470" t="s">
        <v>13812</v>
      </c>
      <c r="AO911" s="470" t="s">
        <v>13813</v>
      </c>
      <c r="AP911" s="470" t="s">
        <v>8063</v>
      </c>
      <c r="AQ911" s="470" t="s">
        <v>8058</v>
      </c>
      <c r="AR911" s="472" t="s">
        <v>515</v>
      </c>
      <c r="AS911" s="473" t="s">
        <v>1385</v>
      </c>
      <c r="AT911" s="472" t="s">
        <v>517</v>
      </c>
      <c r="AU911" s="472" t="s">
        <v>420</v>
      </c>
      <c r="AV911" s="472">
        <v>2020</v>
      </c>
      <c r="AW911" s="474" t="s">
        <v>15078</v>
      </c>
      <c r="AX911" s="475" t="s">
        <v>15079</v>
      </c>
      <c r="AY911" s="515">
        <v>1</v>
      </c>
      <c r="AZ911" s="474" t="s">
        <v>15079</v>
      </c>
      <c r="BA911" s="472" t="s">
        <v>517</v>
      </c>
      <c r="BB911" s="472" t="s">
        <v>1385</v>
      </c>
      <c r="BC911" s="472" t="s">
        <v>1385</v>
      </c>
      <c r="BD911" s="472" t="s">
        <v>1385</v>
      </c>
      <c r="BE911" s="472" t="s">
        <v>1385</v>
      </c>
      <c r="BF911" s="472">
        <v>30793.5</v>
      </c>
      <c r="BG911" s="472">
        <v>0</v>
      </c>
      <c r="BH911" s="472" t="s">
        <v>1385</v>
      </c>
      <c r="BI911" s="510">
        <v>0</v>
      </c>
      <c r="BJ911" s="510">
        <v>0</v>
      </c>
      <c r="BK911" s="510">
        <v>0</v>
      </c>
      <c r="BL911" s="510">
        <v>0</v>
      </c>
      <c r="BM911" s="510">
        <v>0</v>
      </c>
      <c r="BN911" s="510">
        <v>3500</v>
      </c>
      <c r="BO911" s="510">
        <v>0</v>
      </c>
      <c r="BP911" s="510">
        <v>0</v>
      </c>
      <c r="BQ911" s="510">
        <v>0</v>
      </c>
      <c r="BR911" s="510">
        <v>0</v>
      </c>
      <c r="BS911" s="510">
        <v>0</v>
      </c>
      <c r="BT911" s="510">
        <v>0</v>
      </c>
      <c r="BU911" s="510">
        <v>0</v>
      </c>
      <c r="BV911" s="510">
        <v>0</v>
      </c>
      <c r="BW911" s="510">
        <v>0</v>
      </c>
      <c r="BX911" s="510">
        <v>30000</v>
      </c>
      <c r="BY911" s="1011">
        <v>0</v>
      </c>
      <c r="BZ911" s="510">
        <v>0</v>
      </c>
      <c r="CA911" s="1011">
        <v>0</v>
      </c>
      <c r="CB911" s="510">
        <v>22000</v>
      </c>
      <c r="CC911" s="1011">
        <v>0</v>
      </c>
      <c r="CD911" s="510">
        <v>0</v>
      </c>
      <c r="CE911" s="1011">
        <v>0</v>
      </c>
      <c r="CF911" s="510">
        <v>40809.599999999999</v>
      </c>
      <c r="CG911" s="1011">
        <v>0</v>
      </c>
      <c r="CH911" s="510">
        <v>0</v>
      </c>
      <c r="CI911" s="1011">
        <v>0</v>
      </c>
    </row>
    <row r="912" spans="1:87" x14ac:dyDescent="0.2">
      <c r="A912" s="449">
        <v>55</v>
      </c>
      <c r="B912" s="453">
        <v>94005</v>
      </c>
      <c r="C912" s="454" t="s">
        <v>8064</v>
      </c>
      <c r="D912" s="454" t="s">
        <v>517</v>
      </c>
      <c r="E912" s="454" t="s">
        <v>8065</v>
      </c>
      <c r="F912" s="454" t="s">
        <v>527</v>
      </c>
      <c r="G912" s="454" t="s">
        <v>13814</v>
      </c>
      <c r="H912" s="455">
        <v>51722239000106</v>
      </c>
      <c r="I912" s="462">
        <v>37072</v>
      </c>
      <c r="J912" s="457">
        <v>37554573</v>
      </c>
      <c r="K912" s="454" t="s">
        <v>8066</v>
      </c>
      <c r="L912" s="458">
        <v>644</v>
      </c>
      <c r="M912" s="454" t="s">
        <v>6159</v>
      </c>
      <c r="N912" s="459">
        <v>3557000</v>
      </c>
      <c r="O912" s="460">
        <v>27494506</v>
      </c>
      <c r="P912" s="462">
        <v>208089</v>
      </c>
      <c r="Q912" s="462">
        <v>103</v>
      </c>
      <c r="R912" s="462">
        <v>43917</v>
      </c>
      <c r="S912" s="463">
        <v>698</v>
      </c>
      <c r="T912" s="464">
        <v>5.4</v>
      </c>
      <c r="U912" s="465">
        <v>3769.2</v>
      </c>
      <c r="V912" s="465">
        <v>17100</v>
      </c>
      <c r="W912" s="466">
        <v>0</v>
      </c>
      <c r="X912" s="467">
        <v>1</v>
      </c>
      <c r="Y912" s="466">
        <v>36433.800000000003</v>
      </c>
      <c r="Z912" s="468" t="s">
        <v>516</v>
      </c>
      <c r="AA912" s="466">
        <v>143301</v>
      </c>
      <c r="AB912" s="466">
        <v>143301</v>
      </c>
      <c r="AC912" s="467">
        <v>0</v>
      </c>
      <c r="AD912" s="466">
        <v>0</v>
      </c>
      <c r="AE912" s="468" t="s">
        <v>516</v>
      </c>
      <c r="AF912" s="466">
        <v>2000</v>
      </c>
      <c r="AG912" s="466">
        <v>2000</v>
      </c>
      <c r="AH912" s="466">
        <v>18039.82</v>
      </c>
      <c r="AI912" s="466">
        <v>5971.4</v>
      </c>
      <c r="AJ912" s="469" t="s">
        <v>2196</v>
      </c>
      <c r="AK912" s="470" t="s">
        <v>2197</v>
      </c>
      <c r="AL912" s="471" t="s">
        <v>8067</v>
      </c>
      <c r="AM912" s="470" t="s">
        <v>8068</v>
      </c>
      <c r="AN912" s="470" t="s">
        <v>13814</v>
      </c>
      <c r="AO912" s="470" t="s">
        <v>13815</v>
      </c>
      <c r="AP912" s="470" t="s">
        <v>8069</v>
      </c>
      <c r="AQ912" s="470" t="s">
        <v>8064</v>
      </c>
      <c r="AR912" s="472" t="s">
        <v>515</v>
      </c>
      <c r="AS912" s="473" t="s">
        <v>1385</v>
      </c>
      <c r="AT912" s="472" t="s">
        <v>517</v>
      </c>
      <c r="AU912" s="472" t="s">
        <v>420</v>
      </c>
      <c r="AV912" s="472">
        <v>2020</v>
      </c>
      <c r="AW912" s="474" t="s">
        <v>15078</v>
      </c>
      <c r="AX912" s="475" t="s">
        <v>15079</v>
      </c>
      <c r="AY912" s="515">
        <v>1</v>
      </c>
      <c r="AZ912" s="474" t="s">
        <v>15079</v>
      </c>
      <c r="BA912" s="472" t="s">
        <v>517</v>
      </c>
      <c r="BB912" s="472" t="s">
        <v>516</v>
      </c>
      <c r="BC912" s="472">
        <v>2</v>
      </c>
      <c r="BD912" s="472">
        <v>3420</v>
      </c>
      <c r="BE912" s="472">
        <v>0</v>
      </c>
      <c r="BF912" s="472">
        <v>36433.800000000003</v>
      </c>
      <c r="BG912" s="472">
        <v>0</v>
      </c>
      <c r="BH912" s="472" t="s">
        <v>1385</v>
      </c>
      <c r="BI912" s="510">
        <v>0</v>
      </c>
      <c r="BJ912" s="510">
        <v>0</v>
      </c>
      <c r="BK912" s="510">
        <v>0</v>
      </c>
      <c r="BL912" s="510">
        <v>3500</v>
      </c>
      <c r="BM912" s="510">
        <v>0</v>
      </c>
      <c r="BN912" s="510">
        <v>3500</v>
      </c>
      <c r="BO912" s="510">
        <v>0</v>
      </c>
      <c r="BP912" s="510">
        <v>2000</v>
      </c>
      <c r="BQ912" s="510">
        <v>0</v>
      </c>
      <c r="BR912" s="510">
        <v>0</v>
      </c>
      <c r="BS912" s="510">
        <v>0</v>
      </c>
      <c r="BT912" s="510">
        <v>0</v>
      </c>
      <c r="BU912" s="510">
        <v>0</v>
      </c>
      <c r="BV912" s="510">
        <v>0</v>
      </c>
      <c r="BW912" s="510">
        <v>0</v>
      </c>
      <c r="BX912" s="510">
        <v>30000</v>
      </c>
      <c r="BY912" s="1011">
        <v>0</v>
      </c>
      <c r="BZ912" s="510">
        <v>0</v>
      </c>
      <c r="CA912" s="1011">
        <v>0</v>
      </c>
      <c r="CB912" s="510">
        <v>22000</v>
      </c>
      <c r="CC912" s="1011">
        <v>0</v>
      </c>
      <c r="CD912" s="510">
        <v>0</v>
      </c>
      <c r="CE912" s="1011">
        <v>0</v>
      </c>
      <c r="CF912" s="510">
        <v>54867.199999999997</v>
      </c>
      <c r="CG912" s="1011">
        <v>0</v>
      </c>
      <c r="CH912" s="510">
        <v>0</v>
      </c>
      <c r="CI912" s="1011">
        <v>0</v>
      </c>
    </row>
    <row r="913" spans="1:87" x14ac:dyDescent="0.2">
      <c r="A913" s="449">
        <v>61</v>
      </c>
      <c r="B913" s="453">
        <v>94013</v>
      </c>
      <c r="C913" s="454" t="s">
        <v>8070</v>
      </c>
      <c r="D913" s="454" t="s">
        <v>517</v>
      </c>
      <c r="E913" s="454" t="s">
        <v>8071</v>
      </c>
      <c r="F913" s="454" t="s">
        <v>527</v>
      </c>
      <c r="G913" s="454" t="s">
        <v>13816</v>
      </c>
      <c r="H913" s="455">
        <v>52024874000182</v>
      </c>
      <c r="I913" s="462">
        <v>30260</v>
      </c>
      <c r="J913" s="457">
        <v>37557106</v>
      </c>
      <c r="K913" s="454" t="s">
        <v>8072</v>
      </c>
      <c r="L913" s="458">
        <v>134</v>
      </c>
      <c r="M913" s="454" t="s">
        <v>8073</v>
      </c>
      <c r="N913" s="459">
        <v>3552080</v>
      </c>
      <c r="O913" s="460">
        <v>29581377</v>
      </c>
      <c r="P913" s="462">
        <v>183434</v>
      </c>
      <c r="Q913" s="462">
        <v>109</v>
      </c>
      <c r="R913" s="462">
        <v>43917</v>
      </c>
      <c r="S913" s="463">
        <v>508</v>
      </c>
      <c r="T913" s="464">
        <v>5.4</v>
      </c>
      <c r="U913" s="465">
        <v>2743.2</v>
      </c>
      <c r="V913" s="465">
        <v>17100</v>
      </c>
      <c r="W913" s="466">
        <v>0</v>
      </c>
      <c r="X913" s="467">
        <v>1</v>
      </c>
      <c r="Y913" s="466">
        <v>29764.799999999999</v>
      </c>
      <c r="Z913" s="468" t="s">
        <v>516</v>
      </c>
      <c r="AA913" s="466">
        <v>118038.39999999999</v>
      </c>
      <c r="AB913" s="466">
        <v>118038.39999999999</v>
      </c>
      <c r="AC913" s="467">
        <v>0</v>
      </c>
      <c r="AD913" s="466">
        <v>0</v>
      </c>
      <c r="AE913" s="468" t="s">
        <v>516</v>
      </c>
      <c r="AF913" s="466">
        <v>0</v>
      </c>
      <c r="AG913" s="466">
        <v>0</v>
      </c>
      <c r="AH913" s="466">
        <v>55958.61</v>
      </c>
      <c r="AI913" s="466">
        <v>46.74</v>
      </c>
      <c r="AJ913" s="469" t="s">
        <v>2196</v>
      </c>
      <c r="AK913" s="470" t="s">
        <v>5731</v>
      </c>
      <c r="AL913" s="471" t="s">
        <v>8074</v>
      </c>
      <c r="AM913" s="470" t="s">
        <v>8075</v>
      </c>
      <c r="AN913" s="470" t="s">
        <v>8076</v>
      </c>
      <c r="AO913" s="470" t="s">
        <v>3889</v>
      </c>
      <c r="AP913" s="470" t="s">
        <v>8077</v>
      </c>
      <c r="AQ913" s="470" t="s">
        <v>8070</v>
      </c>
      <c r="AR913" s="472" t="s">
        <v>515</v>
      </c>
      <c r="AS913" s="473" t="s">
        <v>1385</v>
      </c>
      <c r="AT913" s="472" t="s">
        <v>517</v>
      </c>
      <c r="AU913" s="472" t="s">
        <v>420</v>
      </c>
      <c r="AV913" s="472">
        <v>2020</v>
      </c>
      <c r="AW913" s="474" t="s">
        <v>15078</v>
      </c>
      <c r="AX913" s="475" t="s">
        <v>15079</v>
      </c>
      <c r="AY913" s="515">
        <v>1</v>
      </c>
      <c r="AZ913" s="474" t="s">
        <v>15079</v>
      </c>
      <c r="BA913" s="472" t="s">
        <v>517</v>
      </c>
      <c r="BB913" s="472" t="s">
        <v>1385</v>
      </c>
      <c r="BC913" s="472" t="s">
        <v>1385</v>
      </c>
      <c r="BD913" s="472" t="s">
        <v>1385</v>
      </c>
      <c r="BE913" s="472" t="s">
        <v>1385</v>
      </c>
      <c r="BF913" s="472">
        <v>29764.799999999999</v>
      </c>
      <c r="BG913" s="472">
        <v>0</v>
      </c>
      <c r="BH913" s="472" t="s">
        <v>1385</v>
      </c>
      <c r="BI913" s="510">
        <v>0</v>
      </c>
      <c r="BJ913" s="510">
        <v>1012.1</v>
      </c>
      <c r="BK913" s="510">
        <v>0</v>
      </c>
      <c r="BL913" s="510">
        <v>1132.0999999999999</v>
      </c>
      <c r="BM913" s="510">
        <v>0</v>
      </c>
      <c r="BN913" s="510">
        <v>800</v>
      </c>
      <c r="BO913" s="510">
        <v>0</v>
      </c>
      <c r="BP913" s="510">
        <v>0</v>
      </c>
      <c r="BQ913" s="510">
        <v>0</v>
      </c>
      <c r="BR913" s="510">
        <v>0</v>
      </c>
      <c r="BS913" s="510">
        <v>0</v>
      </c>
      <c r="BT913" s="510">
        <v>0</v>
      </c>
      <c r="BU913" s="510">
        <v>0</v>
      </c>
      <c r="BV913" s="510">
        <v>0</v>
      </c>
      <c r="BW913" s="510">
        <v>0</v>
      </c>
      <c r="BX913" s="510">
        <v>30000</v>
      </c>
      <c r="BY913" s="1011">
        <v>0</v>
      </c>
      <c r="BZ913" s="510">
        <v>0</v>
      </c>
      <c r="CA913" s="1011">
        <v>0</v>
      </c>
      <c r="CB913" s="510">
        <v>22000</v>
      </c>
      <c r="CC913" s="1011">
        <v>0</v>
      </c>
      <c r="CD913" s="510">
        <v>0</v>
      </c>
      <c r="CE913" s="1011">
        <v>0</v>
      </c>
      <c r="CF913" s="510">
        <v>36273.599999999999</v>
      </c>
      <c r="CG913" s="1011">
        <v>0</v>
      </c>
      <c r="CH913" s="510">
        <v>0</v>
      </c>
      <c r="CI913" s="1011">
        <v>0</v>
      </c>
    </row>
    <row r="914" spans="1:87" x14ac:dyDescent="0.2">
      <c r="A914" s="449">
        <v>45</v>
      </c>
      <c r="B914" s="453">
        <v>94021</v>
      </c>
      <c r="C914" s="454" t="s">
        <v>8078</v>
      </c>
      <c r="D914" s="454" t="s">
        <v>517</v>
      </c>
      <c r="E914" s="454" t="s">
        <v>8079</v>
      </c>
      <c r="F914" s="454" t="s">
        <v>527</v>
      </c>
      <c r="G914" s="454" t="s">
        <v>13817</v>
      </c>
      <c r="H914" s="455">
        <v>50261718000100</v>
      </c>
      <c r="I914" s="462">
        <v>27316</v>
      </c>
      <c r="J914" s="457">
        <v>37587870</v>
      </c>
      <c r="K914" s="454" t="s">
        <v>8080</v>
      </c>
      <c r="L914" s="458">
        <v>199</v>
      </c>
      <c r="M914" s="454" t="s">
        <v>8054</v>
      </c>
      <c r="N914" s="459">
        <v>3552010</v>
      </c>
      <c r="O914" s="460">
        <v>26852359</v>
      </c>
      <c r="P914" s="462">
        <v>202706</v>
      </c>
      <c r="Q914" s="462">
        <v>93</v>
      </c>
      <c r="R914" s="462">
        <v>43917</v>
      </c>
      <c r="S914" s="463">
        <v>526</v>
      </c>
      <c r="T914" s="464">
        <v>5.4</v>
      </c>
      <c r="U914" s="465">
        <v>2840.4</v>
      </c>
      <c r="V914" s="465">
        <v>17100</v>
      </c>
      <c r="W914" s="466">
        <v>0</v>
      </c>
      <c r="X914" s="467">
        <v>1</v>
      </c>
      <c r="Y914" s="466">
        <v>29910.6</v>
      </c>
      <c r="Z914" s="468" t="s">
        <v>516</v>
      </c>
      <c r="AA914" s="466">
        <v>118054.6</v>
      </c>
      <c r="AB914" s="466">
        <v>118054.6</v>
      </c>
      <c r="AC914" s="467">
        <v>0</v>
      </c>
      <c r="AD914" s="466">
        <v>0</v>
      </c>
      <c r="AE914" s="468" t="s">
        <v>516</v>
      </c>
      <c r="AF914" s="466">
        <v>2000</v>
      </c>
      <c r="AG914" s="466">
        <v>2000</v>
      </c>
      <c r="AH914" s="466">
        <v>16632.419999999998</v>
      </c>
      <c r="AI914" s="466">
        <v>13924.49</v>
      </c>
      <c r="AJ914" s="469" t="s">
        <v>2196</v>
      </c>
      <c r="AK914" s="470" t="s">
        <v>2197</v>
      </c>
      <c r="AL914" s="471" t="s">
        <v>8081</v>
      </c>
      <c r="AM914" s="470" t="s">
        <v>8082</v>
      </c>
      <c r="AN914" s="470" t="s">
        <v>13817</v>
      </c>
      <c r="AO914" s="470" t="s">
        <v>8083</v>
      </c>
      <c r="AP914" s="470" t="s">
        <v>8084</v>
      </c>
      <c r="AQ914" s="470" t="s">
        <v>8078</v>
      </c>
      <c r="AR914" s="472" t="s">
        <v>515</v>
      </c>
      <c r="AS914" s="473" t="s">
        <v>1385</v>
      </c>
      <c r="AT914" s="472" t="s">
        <v>517</v>
      </c>
      <c r="AU914" s="472" t="s">
        <v>420</v>
      </c>
      <c r="AV914" s="472">
        <v>2020</v>
      </c>
      <c r="AW914" s="474" t="s">
        <v>15078</v>
      </c>
      <c r="AX914" s="475" t="s">
        <v>15079</v>
      </c>
      <c r="AY914" s="515">
        <v>1</v>
      </c>
      <c r="AZ914" s="474" t="s">
        <v>15079</v>
      </c>
      <c r="BA914" s="472" t="s">
        <v>517</v>
      </c>
      <c r="BB914" s="472" t="s">
        <v>1385</v>
      </c>
      <c r="BC914" s="472" t="s">
        <v>1385</v>
      </c>
      <c r="BD914" s="472" t="s">
        <v>1385</v>
      </c>
      <c r="BE914" s="472" t="s">
        <v>1385</v>
      </c>
      <c r="BF914" s="472">
        <v>29910.6</v>
      </c>
      <c r="BG914" s="472">
        <v>0</v>
      </c>
      <c r="BH914" s="472" t="s">
        <v>1385</v>
      </c>
      <c r="BI914" s="510">
        <v>0</v>
      </c>
      <c r="BJ914" s="510">
        <v>0</v>
      </c>
      <c r="BK914" s="510">
        <v>0</v>
      </c>
      <c r="BL914" s="510">
        <v>0</v>
      </c>
      <c r="BM914" s="510">
        <v>0</v>
      </c>
      <c r="BN914" s="510">
        <v>3500</v>
      </c>
      <c r="BO914" s="510">
        <v>0</v>
      </c>
      <c r="BP914" s="510">
        <v>2000</v>
      </c>
      <c r="BQ914" s="510">
        <v>0</v>
      </c>
      <c r="BR914" s="510">
        <v>0</v>
      </c>
      <c r="BS914" s="510">
        <v>0</v>
      </c>
      <c r="BT914" s="510">
        <v>0</v>
      </c>
      <c r="BU914" s="510">
        <v>2500</v>
      </c>
      <c r="BV914" s="510">
        <v>2500</v>
      </c>
      <c r="BW914" s="510">
        <v>0</v>
      </c>
      <c r="BX914" s="510">
        <v>30000</v>
      </c>
      <c r="BY914" s="1011">
        <v>0</v>
      </c>
      <c r="BZ914" s="510">
        <v>0</v>
      </c>
      <c r="CA914" s="1011">
        <v>0</v>
      </c>
      <c r="CB914" s="510">
        <v>22000</v>
      </c>
      <c r="CC914" s="1011">
        <v>0</v>
      </c>
      <c r="CD914" s="510">
        <v>0</v>
      </c>
      <c r="CE914" s="1011">
        <v>0</v>
      </c>
      <c r="CF914" s="510">
        <v>36144</v>
      </c>
      <c r="CG914" s="1011">
        <v>0</v>
      </c>
      <c r="CH914" s="510">
        <v>0</v>
      </c>
      <c r="CI914" s="1011">
        <v>0</v>
      </c>
    </row>
    <row r="915" spans="1:87" x14ac:dyDescent="0.2">
      <c r="A915" s="449">
        <v>42</v>
      </c>
      <c r="B915" s="453">
        <v>94030</v>
      </c>
      <c r="C915" s="454" t="s">
        <v>8085</v>
      </c>
      <c r="D915" s="454" t="s">
        <v>517</v>
      </c>
      <c r="E915" s="454" t="s">
        <v>8086</v>
      </c>
      <c r="F915" s="454" t="s">
        <v>527</v>
      </c>
      <c r="G915" s="454" t="s">
        <v>13818</v>
      </c>
      <c r="H915" s="455">
        <v>53826095000163</v>
      </c>
      <c r="I915" s="462">
        <v>30972</v>
      </c>
      <c r="J915" s="457">
        <v>37554670</v>
      </c>
      <c r="K915" s="454" t="s">
        <v>8087</v>
      </c>
      <c r="L915" s="458">
        <v>464</v>
      </c>
      <c r="M915" s="454" t="s">
        <v>2197</v>
      </c>
      <c r="N915" s="459">
        <v>3567000</v>
      </c>
      <c r="O915" s="460">
        <v>29582051</v>
      </c>
      <c r="P915" s="462">
        <v>229728</v>
      </c>
      <c r="Q915" s="462">
        <v>90</v>
      </c>
      <c r="R915" s="462">
        <v>43917</v>
      </c>
      <c r="S915" s="463">
        <v>762</v>
      </c>
      <c r="T915" s="464">
        <v>5.4</v>
      </c>
      <c r="U915" s="465">
        <v>4114.8</v>
      </c>
      <c r="V915" s="465">
        <v>18720</v>
      </c>
      <c r="W915" s="466">
        <v>0</v>
      </c>
      <c r="X915" s="467">
        <v>1</v>
      </c>
      <c r="Y915" s="466">
        <v>34252.199999999997</v>
      </c>
      <c r="Z915" s="468" t="s">
        <v>516</v>
      </c>
      <c r="AA915" s="466">
        <v>131759.79999999999</v>
      </c>
      <c r="AB915" s="466">
        <v>131759.79999999999</v>
      </c>
      <c r="AC915" s="467">
        <v>0</v>
      </c>
      <c r="AD915" s="466">
        <v>0</v>
      </c>
      <c r="AE915" s="468" t="s">
        <v>516</v>
      </c>
      <c r="AF915" s="466">
        <v>0</v>
      </c>
      <c r="AG915" s="466">
        <v>0</v>
      </c>
      <c r="AH915" s="466">
        <v>15360.96</v>
      </c>
      <c r="AI915" s="466">
        <v>4567.4399999999996</v>
      </c>
      <c r="AJ915" s="469" t="s">
        <v>2196</v>
      </c>
      <c r="AK915" s="470" t="s">
        <v>2197</v>
      </c>
      <c r="AL915" s="471" t="s">
        <v>8088</v>
      </c>
      <c r="AM915" s="470" t="s">
        <v>8089</v>
      </c>
      <c r="AN915" s="470" t="s">
        <v>13818</v>
      </c>
      <c r="AO915" s="470" t="s">
        <v>13819</v>
      </c>
      <c r="AP915" s="470" t="s">
        <v>5731</v>
      </c>
      <c r="AQ915" s="470" t="s">
        <v>8085</v>
      </c>
      <c r="AR915" s="472" t="s">
        <v>515</v>
      </c>
      <c r="AS915" s="473" t="s">
        <v>1385</v>
      </c>
      <c r="AT915" s="472" t="s">
        <v>517</v>
      </c>
      <c r="AU915" s="472" t="s">
        <v>420</v>
      </c>
      <c r="AV915" s="472">
        <v>2020</v>
      </c>
      <c r="AW915" s="474" t="s">
        <v>15078</v>
      </c>
      <c r="AX915" s="475" t="s">
        <v>15079</v>
      </c>
      <c r="AY915" s="515">
        <v>1</v>
      </c>
      <c r="AZ915" s="474" t="s">
        <v>15079</v>
      </c>
      <c r="BA915" s="472" t="s">
        <v>517</v>
      </c>
      <c r="BB915" s="472" t="s">
        <v>1385</v>
      </c>
      <c r="BC915" s="472" t="s">
        <v>1385</v>
      </c>
      <c r="BD915" s="472" t="s">
        <v>1385</v>
      </c>
      <c r="BE915" s="472" t="s">
        <v>1385</v>
      </c>
      <c r="BF915" s="472">
        <v>34252.199999999997</v>
      </c>
      <c r="BG915" s="472">
        <v>0</v>
      </c>
      <c r="BH915" s="472" t="s">
        <v>1385</v>
      </c>
      <c r="BI915" s="510">
        <v>0</v>
      </c>
      <c r="BJ915" s="510">
        <v>0</v>
      </c>
      <c r="BK915" s="510">
        <v>0</v>
      </c>
      <c r="BL915" s="510">
        <v>0</v>
      </c>
      <c r="BM915" s="510">
        <v>0</v>
      </c>
      <c r="BN915" s="510">
        <v>550</v>
      </c>
      <c r="BO915" s="510">
        <v>0</v>
      </c>
      <c r="BP915" s="510">
        <v>0</v>
      </c>
      <c r="BQ915" s="510">
        <v>0</v>
      </c>
      <c r="BR915" s="510">
        <v>0</v>
      </c>
      <c r="BS915" s="510">
        <v>0</v>
      </c>
      <c r="BT915" s="510">
        <v>0</v>
      </c>
      <c r="BU915" s="510">
        <v>0</v>
      </c>
      <c r="BV915" s="510">
        <v>0</v>
      </c>
      <c r="BW915" s="510">
        <v>0</v>
      </c>
      <c r="BX915" s="510">
        <v>30000</v>
      </c>
      <c r="BY915" s="1011">
        <v>0</v>
      </c>
      <c r="BZ915" s="510">
        <v>0</v>
      </c>
      <c r="CA915" s="1011">
        <v>0</v>
      </c>
      <c r="CB915" s="510">
        <v>22000</v>
      </c>
      <c r="CC915" s="1011">
        <v>0</v>
      </c>
      <c r="CD915" s="510">
        <v>0</v>
      </c>
      <c r="CE915" s="1011">
        <v>0</v>
      </c>
      <c r="CF915" s="510">
        <v>45507.6</v>
      </c>
      <c r="CG915" s="1011">
        <v>0</v>
      </c>
      <c r="CH915" s="510">
        <v>0</v>
      </c>
      <c r="CI915" s="1011">
        <v>0</v>
      </c>
    </row>
    <row r="916" spans="1:87" x14ac:dyDescent="0.2">
      <c r="A916" s="449">
        <v>41</v>
      </c>
      <c r="B916" s="453">
        <v>94048</v>
      </c>
      <c r="C916" s="454" t="s">
        <v>8090</v>
      </c>
      <c r="D916" s="454" t="s">
        <v>517</v>
      </c>
      <c r="E916" s="454" t="s">
        <v>8091</v>
      </c>
      <c r="F916" s="454" t="s">
        <v>527</v>
      </c>
      <c r="G916" s="454" t="s">
        <v>13820</v>
      </c>
      <c r="H916" s="455">
        <v>51760544000192</v>
      </c>
      <c r="I916" s="462">
        <v>29055</v>
      </c>
      <c r="J916" s="457">
        <v>37588141</v>
      </c>
      <c r="K916" s="454" t="s">
        <v>8092</v>
      </c>
      <c r="L916" s="458">
        <v>171</v>
      </c>
      <c r="M916" s="454" t="s">
        <v>4599</v>
      </c>
      <c r="N916" s="459">
        <v>3687060</v>
      </c>
      <c r="O916" s="460">
        <v>20486864</v>
      </c>
      <c r="P916" s="462">
        <v>183337</v>
      </c>
      <c r="Q916" s="462">
        <v>89</v>
      </c>
      <c r="R916" s="462">
        <v>43998</v>
      </c>
      <c r="S916" s="463">
        <v>745</v>
      </c>
      <c r="T916" s="464">
        <v>5.4</v>
      </c>
      <c r="U916" s="465">
        <v>4023</v>
      </c>
      <c r="V916" s="465">
        <v>18720</v>
      </c>
      <c r="W916" s="466">
        <v>0</v>
      </c>
      <c r="X916" s="467">
        <v>1</v>
      </c>
      <c r="Y916" s="466">
        <v>34114.5</v>
      </c>
      <c r="Z916" s="468" t="s">
        <v>516</v>
      </c>
      <c r="AA916" s="466">
        <v>131470.9</v>
      </c>
      <c r="AB916" s="466">
        <v>131470.9</v>
      </c>
      <c r="AC916" s="467">
        <v>0</v>
      </c>
      <c r="AD916" s="466">
        <v>0</v>
      </c>
      <c r="AE916" s="468" t="s">
        <v>516</v>
      </c>
      <c r="AF916" s="466">
        <v>0</v>
      </c>
      <c r="AG916" s="466">
        <v>0</v>
      </c>
      <c r="AH916" s="466">
        <v>4283.0200000000004</v>
      </c>
      <c r="AI916" s="466">
        <v>9609.06</v>
      </c>
      <c r="AJ916" s="469" t="s">
        <v>4600</v>
      </c>
      <c r="AK916" s="470" t="s">
        <v>4601</v>
      </c>
      <c r="AL916" s="471" t="s">
        <v>8093</v>
      </c>
      <c r="AM916" s="470" t="s">
        <v>11733</v>
      </c>
      <c r="AN916" s="470" t="s">
        <v>13820</v>
      </c>
      <c r="AO916" s="470" t="s">
        <v>13821</v>
      </c>
      <c r="AP916" s="470" t="s">
        <v>8094</v>
      </c>
      <c r="AQ916" s="470" t="s">
        <v>8090</v>
      </c>
      <c r="AR916" s="472" t="s">
        <v>515</v>
      </c>
      <c r="AS916" s="473" t="s">
        <v>1385</v>
      </c>
      <c r="AT916" s="472" t="s">
        <v>517</v>
      </c>
      <c r="AU916" s="472" t="s">
        <v>420</v>
      </c>
      <c r="AV916" s="472">
        <v>2020</v>
      </c>
      <c r="AW916" s="474" t="s">
        <v>15078</v>
      </c>
      <c r="AX916" s="475" t="s">
        <v>15079</v>
      </c>
      <c r="AY916" s="515">
        <v>1</v>
      </c>
      <c r="AZ916" s="474" t="s">
        <v>15079</v>
      </c>
      <c r="BA916" s="472" t="s">
        <v>517</v>
      </c>
      <c r="BB916" s="472" t="s">
        <v>1385</v>
      </c>
      <c r="BC916" s="472" t="s">
        <v>1385</v>
      </c>
      <c r="BD916" s="472" t="s">
        <v>1385</v>
      </c>
      <c r="BE916" s="472" t="s">
        <v>1385</v>
      </c>
      <c r="BF916" s="472">
        <v>34114.5</v>
      </c>
      <c r="BG916" s="472">
        <v>0</v>
      </c>
      <c r="BH916" s="472" t="s">
        <v>1385</v>
      </c>
      <c r="BI916" s="510">
        <v>0</v>
      </c>
      <c r="BJ916" s="510">
        <v>25.6</v>
      </c>
      <c r="BK916" s="510">
        <v>0</v>
      </c>
      <c r="BL916" s="510">
        <v>703.87</v>
      </c>
      <c r="BM916" s="510">
        <v>0</v>
      </c>
      <c r="BN916" s="510">
        <v>5000</v>
      </c>
      <c r="BO916" s="510">
        <v>0</v>
      </c>
      <c r="BP916" s="510">
        <v>0</v>
      </c>
      <c r="BQ916" s="510">
        <v>0</v>
      </c>
      <c r="BR916" s="510">
        <v>0</v>
      </c>
      <c r="BS916" s="510">
        <v>0</v>
      </c>
      <c r="BT916" s="510">
        <v>0</v>
      </c>
      <c r="BU916" s="510">
        <v>2500</v>
      </c>
      <c r="BV916" s="510">
        <v>2500</v>
      </c>
      <c r="BW916" s="510">
        <v>0</v>
      </c>
      <c r="BX916" s="510">
        <v>30000</v>
      </c>
      <c r="BY916" s="1011">
        <v>0</v>
      </c>
      <c r="BZ916" s="510">
        <v>0</v>
      </c>
      <c r="CA916" s="1011">
        <v>0</v>
      </c>
      <c r="CB916" s="510">
        <v>22000</v>
      </c>
      <c r="CC916" s="1011">
        <v>0</v>
      </c>
      <c r="CD916" s="510">
        <v>0</v>
      </c>
      <c r="CE916" s="1011">
        <v>0</v>
      </c>
      <c r="CF916" s="510">
        <v>45356.4</v>
      </c>
      <c r="CG916" s="1011">
        <v>0</v>
      </c>
      <c r="CH916" s="510">
        <v>0</v>
      </c>
      <c r="CI916" s="1011">
        <v>0</v>
      </c>
    </row>
    <row r="917" spans="1:87" x14ac:dyDescent="0.2">
      <c r="A917" s="449">
        <v>58</v>
      </c>
      <c r="B917" s="453">
        <v>94056</v>
      </c>
      <c r="C917" s="454" t="s">
        <v>8095</v>
      </c>
      <c r="D917" s="454" t="s">
        <v>517</v>
      </c>
      <c r="E917" s="454" t="s">
        <v>8096</v>
      </c>
      <c r="F917" s="454" t="s">
        <v>527</v>
      </c>
      <c r="G917" s="454" t="s">
        <v>13822</v>
      </c>
      <c r="H917" s="455">
        <v>51696607000199</v>
      </c>
      <c r="I917" s="462">
        <v>29096</v>
      </c>
      <c r="J917" s="457">
        <v>37554905</v>
      </c>
      <c r="K917" s="454" t="s">
        <v>8097</v>
      </c>
      <c r="L917" s="458">
        <v>109</v>
      </c>
      <c r="M917" s="454" t="s">
        <v>8098</v>
      </c>
      <c r="N917" s="459">
        <v>3693100</v>
      </c>
      <c r="O917" s="460">
        <v>22805121</v>
      </c>
      <c r="P917" s="462">
        <v>202730</v>
      </c>
      <c r="Q917" s="462">
        <v>106</v>
      </c>
      <c r="R917" s="462">
        <v>43917</v>
      </c>
      <c r="S917" s="463">
        <v>940</v>
      </c>
      <c r="T917" s="464">
        <v>5.4</v>
      </c>
      <c r="U917" s="465">
        <v>5076</v>
      </c>
      <c r="V917" s="465">
        <v>20340</v>
      </c>
      <c r="W917" s="466">
        <v>0</v>
      </c>
      <c r="X917" s="467">
        <v>1</v>
      </c>
      <c r="Y917" s="466">
        <v>38124</v>
      </c>
      <c r="Z917" s="468" t="s">
        <v>516</v>
      </c>
      <c r="AA917" s="466">
        <v>136906</v>
      </c>
      <c r="AB917" s="466">
        <v>136906</v>
      </c>
      <c r="AC917" s="467">
        <v>0</v>
      </c>
      <c r="AD917" s="466">
        <v>0</v>
      </c>
      <c r="AE917" s="468" t="s">
        <v>516</v>
      </c>
      <c r="AF917" s="466">
        <v>2000</v>
      </c>
      <c r="AG917" s="466">
        <v>2000</v>
      </c>
      <c r="AH917" s="466">
        <v>14694.21</v>
      </c>
      <c r="AI917" s="466">
        <v>5083.2</v>
      </c>
      <c r="AJ917" s="469" t="s">
        <v>2196</v>
      </c>
      <c r="AK917" s="470" t="s">
        <v>2197</v>
      </c>
      <c r="AL917" s="471" t="s">
        <v>8099</v>
      </c>
      <c r="AM917" s="470" t="s">
        <v>8100</v>
      </c>
      <c r="AN917" s="470" t="s">
        <v>13823</v>
      </c>
      <c r="AO917" s="470" t="s">
        <v>13824</v>
      </c>
      <c r="AP917" s="470" t="s">
        <v>8101</v>
      </c>
      <c r="AQ917" s="470" t="s">
        <v>8095</v>
      </c>
      <c r="AR917" s="472" t="s">
        <v>515</v>
      </c>
      <c r="AS917" s="473" t="s">
        <v>1385</v>
      </c>
      <c r="AT917" s="472" t="s">
        <v>517</v>
      </c>
      <c r="AU917" s="472" t="s">
        <v>420</v>
      </c>
      <c r="AV917" s="472">
        <v>2020</v>
      </c>
      <c r="AW917" s="474" t="s">
        <v>15078</v>
      </c>
      <c r="AX917" s="475" t="s">
        <v>15079</v>
      </c>
      <c r="AY917" s="515">
        <v>1</v>
      </c>
      <c r="AZ917" s="474" t="s">
        <v>15079</v>
      </c>
      <c r="BA917" s="472" t="s">
        <v>517</v>
      </c>
      <c r="BB917" s="472" t="s">
        <v>1385</v>
      </c>
      <c r="BC917" s="472" t="s">
        <v>1385</v>
      </c>
      <c r="BD917" s="472" t="s">
        <v>1385</v>
      </c>
      <c r="BE917" s="472" t="s">
        <v>1385</v>
      </c>
      <c r="BF917" s="472">
        <v>38124</v>
      </c>
      <c r="BG917" s="472">
        <v>0</v>
      </c>
      <c r="BH917" s="472" t="s">
        <v>1385</v>
      </c>
      <c r="BI917" s="510">
        <v>0</v>
      </c>
      <c r="BJ917" s="510">
        <v>0</v>
      </c>
      <c r="BK917" s="510">
        <v>0</v>
      </c>
      <c r="BL917" s="510">
        <v>3061.2</v>
      </c>
      <c r="BM917" s="510">
        <v>0</v>
      </c>
      <c r="BN917" s="510">
        <v>3500</v>
      </c>
      <c r="BO917" s="510">
        <v>0</v>
      </c>
      <c r="BP917" s="510">
        <v>2000</v>
      </c>
      <c r="BQ917" s="510">
        <v>0</v>
      </c>
      <c r="BR917" s="510">
        <v>0</v>
      </c>
      <c r="BS917" s="510">
        <v>0</v>
      </c>
      <c r="BT917" s="510">
        <v>0</v>
      </c>
      <c r="BU917" s="510">
        <v>2500</v>
      </c>
      <c r="BV917" s="510">
        <v>2500</v>
      </c>
      <c r="BW917" s="510">
        <v>0</v>
      </c>
      <c r="BX917" s="510">
        <v>30000</v>
      </c>
      <c r="BY917" s="1011">
        <v>0</v>
      </c>
      <c r="BZ917" s="510">
        <v>0</v>
      </c>
      <c r="CA917" s="1011">
        <v>0</v>
      </c>
      <c r="CB917" s="510">
        <v>22000</v>
      </c>
      <c r="CC917" s="1011">
        <v>0</v>
      </c>
      <c r="CD917" s="510">
        <v>0</v>
      </c>
      <c r="CE917" s="1011">
        <v>0</v>
      </c>
      <c r="CF917" s="510">
        <v>46782</v>
      </c>
      <c r="CG917" s="1011">
        <v>0</v>
      </c>
      <c r="CH917" s="510">
        <v>0</v>
      </c>
      <c r="CI917" s="1011">
        <v>0</v>
      </c>
    </row>
    <row r="918" spans="1:87" x14ac:dyDescent="0.2">
      <c r="A918" s="449">
        <v>26</v>
      </c>
      <c r="B918" s="453">
        <v>94064</v>
      </c>
      <c r="C918" s="454" t="s">
        <v>8102</v>
      </c>
      <c r="D918" s="454" t="s">
        <v>517</v>
      </c>
      <c r="E918" s="454" t="s">
        <v>8103</v>
      </c>
      <c r="F918" s="454" t="s">
        <v>518</v>
      </c>
      <c r="G918" s="454" t="s">
        <v>13825</v>
      </c>
      <c r="H918" s="455">
        <v>51542538000169</v>
      </c>
      <c r="I918" s="462">
        <v>29012</v>
      </c>
      <c r="J918" s="457">
        <v>37497812</v>
      </c>
      <c r="K918" s="454" t="s">
        <v>8105</v>
      </c>
      <c r="L918" s="458">
        <v>176</v>
      </c>
      <c r="M918" s="454" t="s">
        <v>2858</v>
      </c>
      <c r="N918" s="459">
        <v>8223090</v>
      </c>
      <c r="O918" s="460">
        <v>20414550</v>
      </c>
      <c r="P918" s="462">
        <v>49797</v>
      </c>
      <c r="Q918" s="462">
        <v>71</v>
      </c>
      <c r="R918" s="462">
        <v>43934</v>
      </c>
      <c r="S918" s="463">
        <v>830</v>
      </c>
      <c r="T918" s="464">
        <v>5.4</v>
      </c>
      <c r="U918" s="465">
        <v>4482</v>
      </c>
      <c r="V918" s="465">
        <v>18720</v>
      </c>
      <c r="W918" s="466">
        <v>0</v>
      </c>
      <c r="X918" s="467">
        <v>1</v>
      </c>
      <c r="Y918" s="466">
        <v>34803</v>
      </c>
      <c r="Z918" s="468" t="s">
        <v>516</v>
      </c>
      <c r="AA918" s="466">
        <v>132440.20000000001</v>
      </c>
      <c r="AB918" s="466">
        <v>132440.20000000001</v>
      </c>
      <c r="AC918" s="467">
        <v>0</v>
      </c>
      <c r="AD918" s="466">
        <v>0</v>
      </c>
      <c r="AE918" s="468" t="s">
        <v>516</v>
      </c>
      <c r="AF918" s="466">
        <v>0</v>
      </c>
      <c r="AG918" s="466">
        <v>0</v>
      </c>
      <c r="AH918" s="466">
        <v>33577.03</v>
      </c>
      <c r="AI918" s="466">
        <v>5840.9</v>
      </c>
      <c r="AJ918" s="469" t="s">
        <v>1674</v>
      </c>
      <c r="AK918" s="470" t="s">
        <v>518</v>
      </c>
      <c r="AL918" s="471" t="s">
        <v>8106</v>
      </c>
      <c r="AM918" s="470" t="s">
        <v>8107</v>
      </c>
      <c r="AN918" s="470" t="s">
        <v>8104</v>
      </c>
      <c r="AO918" s="470" t="s">
        <v>15031</v>
      </c>
      <c r="AP918" s="470" t="s">
        <v>8108</v>
      </c>
      <c r="AQ918" s="470" t="s">
        <v>8102</v>
      </c>
      <c r="AR918" s="472" t="s">
        <v>515</v>
      </c>
      <c r="AS918" s="473" t="s">
        <v>1385</v>
      </c>
      <c r="AT918" s="472" t="s">
        <v>517</v>
      </c>
      <c r="AU918" s="472" t="s">
        <v>420</v>
      </c>
      <c r="AV918" s="472">
        <v>2020</v>
      </c>
      <c r="AW918" s="474" t="s">
        <v>15078</v>
      </c>
      <c r="AX918" s="475" t="s">
        <v>15079</v>
      </c>
      <c r="AY918" s="515">
        <v>1</v>
      </c>
      <c r="AZ918" s="474" t="s">
        <v>15079</v>
      </c>
      <c r="BA918" s="472" t="s">
        <v>517</v>
      </c>
      <c r="BB918" s="472" t="s">
        <v>1385</v>
      </c>
      <c r="BC918" s="472" t="s">
        <v>1385</v>
      </c>
      <c r="BD918" s="472" t="s">
        <v>1385</v>
      </c>
      <c r="BE918" s="472" t="s">
        <v>1385</v>
      </c>
      <c r="BF918" s="472">
        <v>34803</v>
      </c>
      <c r="BG918" s="472">
        <v>0</v>
      </c>
      <c r="BH918" s="472" t="s">
        <v>1385</v>
      </c>
      <c r="BI918" s="510">
        <v>0</v>
      </c>
      <c r="BJ918" s="510">
        <v>3799.04</v>
      </c>
      <c r="BK918" s="510">
        <v>0</v>
      </c>
      <c r="BL918" s="510">
        <v>3500</v>
      </c>
      <c r="BM918" s="510">
        <v>0</v>
      </c>
      <c r="BN918" s="510">
        <v>5000</v>
      </c>
      <c r="BO918" s="510">
        <v>0</v>
      </c>
      <c r="BP918" s="510">
        <v>0</v>
      </c>
      <c r="BQ918" s="510">
        <v>0</v>
      </c>
      <c r="BR918" s="510">
        <v>0</v>
      </c>
      <c r="BS918" s="510">
        <v>0</v>
      </c>
      <c r="BT918" s="510">
        <v>0</v>
      </c>
      <c r="BU918" s="510">
        <v>2500</v>
      </c>
      <c r="BV918" s="510">
        <v>2500</v>
      </c>
      <c r="BW918" s="510">
        <v>0</v>
      </c>
      <c r="BX918" s="510">
        <v>30000</v>
      </c>
      <c r="BY918" s="1011">
        <v>0</v>
      </c>
      <c r="BZ918" s="510">
        <v>0</v>
      </c>
      <c r="CA918" s="1011">
        <v>0</v>
      </c>
      <c r="CB918" s="510">
        <v>22000</v>
      </c>
      <c r="CC918" s="1011">
        <v>0</v>
      </c>
      <c r="CD918" s="510">
        <v>0</v>
      </c>
      <c r="CE918" s="1011">
        <v>0</v>
      </c>
      <c r="CF918" s="510">
        <v>45637.2</v>
      </c>
      <c r="CG918" s="1011">
        <v>0</v>
      </c>
      <c r="CH918" s="510">
        <v>0</v>
      </c>
      <c r="CI918" s="1011">
        <v>0</v>
      </c>
    </row>
    <row r="919" spans="1:87" x14ac:dyDescent="0.2">
      <c r="A919" s="449">
        <v>71</v>
      </c>
      <c r="B919" s="453">
        <v>94072</v>
      </c>
      <c r="C919" s="454" t="s">
        <v>8109</v>
      </c>
      <c r="D919" s="454" t="s">
        <v>517</v>
      </c>
      <c r="E919" s="454" t="s">
        <v>8110</v>
      </c>
      <c r="F919" s="454" t="s">
        <v>527</v>
      </c>
      <c r="G919" s="454" t="s">
        <v>13826</v>
      </c>
      <c r="H919" s="455">
        <v>51602928000187</v>
      </c>
      <c r="I919" s="462">
        <v>29038</v>
      </c>
      <c r="J919" s="457">
        <v>37606212</v>
      </c>
      <c r="K919" s="454" t="s">
        <v>8111</v>
      </c>
      <c r="L919" s="458">
        <v>104</v>
      </c>
      <c r="M919" s="454" t="s">
        <v>6172</v>
      </c>
      <c r="N919" s="459">
        <v>3683040</v>
      </c>
      <c r="O919" s="460">
        <v>22804192</v>
      </c>
      <c r="P919" s="462">
        <v>186042</v>
      </c>
      <c r="Q919" s="462">
        <v>120</v>
      </c>
      <c r="R919" s="462">
        <v>43917</v>
      </c>
      <c r="S919" s="463">
        <v>752</v>
      </c>
      <c r="T919" s="464">
        <v>5.4</v>
      </c>
      <c r="U919" s="465">
        <v>4060.8</v>
      </c>
      <c r="V919" s="465">
        <v>18720</v>
      </c>
      <c r="W919" s="466">
        <v>0</v>
      </c>
      <c r="X919" s="467">
        <v>1</v>
      </c>
      <c r="Y919" s="466">
        <v>34171.199999999997</v>
      </c>
      <c r="Z919" s="468" t="s">
        <v>516</v>
      </c>
      <c r="AA919" s="466">
        <v>131862.39999999999</v>
      </c>
      <c r="AB919" s="466">
        <v>131862.39999999999</v>
      </c>
      <c r="AC919" s="467">
        <v>0</v>
      </c>
      <c r="AD919" s="466">
        <v>0</v>
      </c>
      <c r="AE919" s="468" t="s">
        <v>516</v>
      </c>
      <c r="AF919" s="466">
        <v>0</v>
      </c>
      <c r="AG919" s="466">
        <v>0</v>
      </c>
      <c r="AH919" s="466">
        <v>42838.65</v>
      </c>
      <c r="AI919" s="466">
        <v>22400.52</v>
      </c>
      <c r="AJ919" s="469" t="s">
        <v>2196</v>
      </c>
      <c r="AK919" s="470" t="s">
        <v>5731</v>
      </c>
      <c r="AL919" s="471" t="s">
        <v>8112</v>
      </c>
      <c r="AM919" s="470" t="s">
        <v>8113</v>
      </c>
      <c r="AN919" s="470" t="s">
        <v>13827</v>
      </c>
      <c r="AO919" s="470" t="s">
        <v>13828</v>
      </c>
      <c r="AP919" s="470" t="s">
        <v>8114</v>
      </c>
      <c r="AQ919" s="470" t="s">
        <v>8109</v>
      </c>
      <c r="AR919" s="472" t="s">
        <v>515</v>
      </c>
      <c r="AS919" s="473" t="s">
        <v>1385</v>
      </c>
      <c r="AT919" s="472" t="s">
        <v>517</v>
      </c>
      <c r="AU919" s="472" t="s">
        <v>420</v>
      </c>
      <c r="AV919" s="472">
        <v>2020</v>
      </c>
      <c r="AW919" s="474" t="s">
        <v>15078</v>
      </c>
      <c r="AX919" s="475" t="s">
        <v>15079</v>
      </c>
      <c r="AY919" s="515">
        <v>1</v>
      </c>
      <c r="AZ919" s="474" t="s">
        <v>15079</v>
      </c>
      <c r="BA919" s="472" t="s">
        <v>517</v>
      </c>
      <c r="BB919" s="472" t="s">
        <v>1385</v>
      </c>
      <c r="BC919" s="472" t="s">
        <v>1385</v>
      </c>
      <c r="BD919" s="472" t="s">
        <v>1385</v>
      </c>
      <c r="BE919" s="472" t="s">
        <v>1385</v>
      </c>
      <c r="BF919" s="472">
        <v>34171.199999999997</v>
      </c>
      <c r="BG919" s="472">
        <v>0</v>
      </c>
      <c r="BH919" s="472" t="s">
        <v>1385</v>
      </c>
      <c r="BI919" s="510">
        <v>0</v>
      </c>
      <c r="BJ919" s="510">
        <v>0</v>
      </c>
      <c r="BK919" s="510">
        <v>0</v>
      </c>
      <c r="BL919" s="510">
        <v>2450</v>
      </c>
      <c r="BM919" s="510">
        <v>0</v>
      </c>
      <c r="BN919" s="510">
        <v>5000</v>
      </c>
      <c r="BO919" s="510">
        <v>0</v>
      </c>
      <c r="BP919" s="510">
        <v>0</v>
      </c>
      <c r="BQ919" s="510">
        <v>0</v>
      </c>
      <c r="BR919" s="510">
        <v>0</v>
      </c>
      <c r="BS919" s="510">
        <v>0</v>
      </c>
      <c r="BT919" s="510">
        <v>0</v>
      </c>
      <c r="BU919" s="510">
        <v>2500</v>
      </c>
      <c r="BV919" s="510">
        <v>2500</v>
      </c>
      <c r="BW919" s="510">
        <v>0</v>
      </c>
      <c r="BX919" s="510">
        <v>30000</v>
      </c>
      <c r="BY919" s="1011">
        <v>0</v>
      </c>
      <c r="BZ919" s="510">
        <v>0</v>
      </c>
      <c r="CA919" s="1011">
        <v>0</v>
      </c>
      <c r="CB919" s="510">
        <v>22000</v>
      </c>
      <c r="CC919" s="1011">
        <v>0</v>
      </c>
      <c r="CD919" s="510">
        <v>0</v>
      </c>
      <c r="CE919" s="1011">
        <v>0</v>
      </c>
      <c r="CF919" s="510">
        <v>45691.199999999997</v>
      </c>
      <c r="CG919" s="1011">
        <v>0</v>
      </c>
      <c r="CH919" s="510">
        <v>0</v>
      </c>
      <c r="CI919" s="1011">
        <v>0</v>
      </c>
    </row>
    <row r="920" spans="1:87" x14ac:dyDescent="0.2">
      <c r="A920" s="449">
        <v>53</v>
      </c>
      <c r="B920" s="453">
        <v>94081</v>
      </c>
      <c r="C920" s="454" t="s">
        <v>8115</v>
      </c>
      <c r="D920" s="454" t="s">
        <v>517</v>
      </c>
      <c r="E920" s="454" t="s">
        <v>8116</v>
      </c>
      <c r="F920" s="454" t="s">
        <v>527</v>
      </c>
      <c r="G920" s="454" t="s">
        <v>13829</v>
      </c>
      <c r="H920" s="455">
        <v>49875875000126</v>
      </c>
      <c r="I920" s="462">
        <v>30036</v>
      </c>
      <c r="J920" s="457">
        <v>37554883</v>
      </c>
      <c r="K920" s="454" t="s">
        <v>8117</v>
      </c>
      <c r="L920" s="458">
        <v>105</v>
      </c>
      <c r="M920" s="454" t="s">
        <v>8118</v>
      </c>
      <c r="N920" s="459">
        <v>3757050</v>
      </c>
      <c r="O920" s="460">
        <v>25464008</v>
      </c>
      <c r="P920" s="462">
        <v>183396</v>
      </c>
      <c r="Q920" s="462">
        <v>101</v>
      </c>
      <c r="R920" s="462">
        <v>43943</v>
      </c>
      <c r="S920" s="463">
        <v>668</v>
      </c>
      <c r="T920" s="464">
        <v>5.4</v>
      </c>
      <c r="U920" s="465">
        <v>3607.2</v>
      </c>
      <c r="V920" s="465">
        <v>17100</v>
      </c>
      <c r="W920" s="466">
        <v>0</v>
      </c>
      <c r="X920" s="467">
        <v>1</v>
      </c>
      <c r="Y920" s="466">
        <v>38755.800000000003</v>
      </c>
      <c r="Z920" s="468" t="s">
        <v>516</v>
      </c>
      <c r="AA920" s="466">
        <v>147300.6</v>
      </c>
      <c r="AB920" s="466">
        <v>147300.6</v>
      </c>
      <c r="AC920" s="467">
        <v>0</v>
      </c>
      <c r="AD920" s="466">
        <v>0</v>
      </c>
      <c r="AE920" s="468" t="s">
        <v>516</v>
      </c>
      <c r="AF920" s="466">
        <v>0</v>
      </c>
      <c r="AG920" s="466">
        <v>0</v>
      </c>
      <c r="AH920" s="466">
        <v>25243.47</v>
      </c>
      <c r="AI920" s="466">
        <v>5201.04</v>
      </c>
      <c r="AJ920" s="469" t="s">
        <v>3829</v>
      </c>
      <c r="AK920" s="470" t="s">
        <v>3830</v>
      </c>
      <c r="AL920" s="471" t="s">
        <v>8119</v>
      </c>
      <c r="AM920" s="470" t="s">
        <v>13830</v>
      </c>
      <c r="AN920" s="470" t="s">
        <v>13829</v>
      </c>
      <c r="AO920" s="470" t="s">
        <v>13831</v>
      </c>
      <c r="AP920" s="470" t="s">
        <v>8120</v>
      </c>
      <c r="AQ920" s="470" t="s">
        <v>8115</v>
      </c>
      <c r="AR920" s="472" t="s">
        <v>515</v>
      </c>
      <c r="AS920" s="473" t="s">
        <v>1385</v>
      </c>
      <c r="AT920" s="472" t="s">
        <v>517</v>
      </c>
      <c r="AU920" s="472" t="s">
        <v>420</v>
      </c>
      <c r="AV920" s="472">
        <v>2020</v>
      </c>
      <c r="AW920" s="474" t="s">
        <v>15078</v>
      </c>
      <c r="AX920" s="475" t="s">
        <v>15079</v>
      </c>
      <c r="AY920" s="515">
        <v>1</v>
      </c>
      <c r="AZ920" s="474" t="s">
        <v>15079</v>
      </c>
      <c r="BA920" s="472" t="s">
        <v>517</v>
      </c>
      <c r="BB920" s="472" t="s">
        <v>516</v>
      </c>
      <c r="BC920" s="472">
        <v>7</v>
      </c>
      <c r="BD920" s="472">
        <v>5130</v>
      </c>
      <c r="BE920" s="472">
        <v>0</v>
      </c>
      <c r="BF920" s="472">
        <v>38755.800000000003</v>
      </c>
      <c r="BG920" s="472">
        <v>0</v>
      </c>
      <c r="BH920" s="472" t="s">
        <v>1385</v>
      </c>
      <c r="BI920" s="510">
        <v>0</v>
      </c>
      <c r="BJ920" s="510">
        <v>0</v>
      </c>
      <c r="BK920" s="510">
        <v>0</v>
      </c>
      <c r="BL920" s="510">
        <v>0</v>
      </c>
      <c r="BM920" s="510">
        <v>0</v>
      </c>
      <c r="BN920" s="510">
        <v>3500</v>
      </c>
      <c r="BO920" s="510">
        <v>0</v>
      </c>
      <c r="BP920" s="510">
        <v>0</v>
      </c>
      <c r="BQ920" s="510">
        <v>0</v>
      </c>
      <c r="BR920" s="510">
        <v>0</v>
      </c>
      <c r="BS920" s="510">
        <v>0</v>
      </c>
      <c r="BT920" s="510">
        <v>0</v>
      </c>
      <c r="BU920" s="510">
        <v>2500</v>
      </c>
      <c r="BV920" s="510">
        <v>2500</v>
      </c>
      <c r="BW920" s="510">
        <v>0</v>
      </c>
      <c r="BX920" s="510">
        <v>30000</v>
      </c>
      <c r="BY920" s="1011">
        <v>0</v>
      </c>
      <c r="BZ920" s="510">
        <v>0</v>
      </c>
      <c r="CA920" s="1011">
        <v>0</v>
      </c>
      <c r="CB920" s="510">
        <v>22000</v>
      </c>
      <c r="CC920" s="1011">
        <v>0</v>
      </c>
      <c r="CD920" s="510">
        <v>0</v>
      </c>
      <c r="CE920" s="1011">
        <v>0</v>
      </c>
      <c r="CF920" s="510">
        <v>56544.800000000003</v>
      </c>
      <c r="CG920" s="1011">
        <v>0</v>
      </c>
      <c r="CH920" s="510">
        <v>0</v>
      </c>
      <c r="CI920" s="1011">
        <v>0</v>
      </c>
    </row>
    <row r="921" spans="1:87" x14ac:dyDescent="0.2">
      <c r="A921" s="449">
        <v>63</v>
      </c>
      <c r="B921" s="453">
        <v>94099</v>
      </c>
      <c r="C921" s="454" t="s">
        <v>8121</v>
      </c>
      <c r="D921" s="454" t="s">
        <v>517</v>
      </c>
      <c r="E921" s="454" t="s">
        <v>8122</v>
      </c>
      <c r="F921" s="454" t="s">
        <v>527</v>
      </c>
      <c r="G921" s="454" t="s">
        <v>13832</v>
      </c>
      <c r="H921" s="455">
        <v>52571304000102</v>
      </c>
      <c r="I921" s="462">
        <v>30183</v>
      </c>
      <c r="J921" s="457">
        <v>38089505</v>
      </c>
      <c r="K921" s="454" t="s">
        <v>8123</v>
      </c>
      <c r="L921" s="458">
        <v>679</v>
      </c>
      <c r="M921" s="454" t="s">
        <v>8124</v>
      </c>
      <c r="N921" s="459">
        <v>3873000</v>
      </c>
      <c r="O921" s="460">
        <v>22809975</v>
      </c>
      <c r="P921" s="462">
        <v>196455</v>
      </c>
      <c r="Q921" s="462">
        <v>111</v>
      </c>
      <c r="R921" s="462">
        <v>43917</v>
      </c>
      <c r="S921" s="463">
        <v>768</v>
      </c>
      <c r="T921" s="464">
        <v>5.4</v>
      </c>
      <c r="U921" s="465">
        <v>4147.2</v>
      </c>
      <c r="V921" s="465">
        <v>18720</v>
      </c>
      <c r="W921" s="466">
        <v>0</v>
      </c>
      <c r="X921" s="467">
        <v>1</v>
      </c>
      <c r="Y921" s="466">
        <v>34300.800000000003</v>
      </c>
      <c r="Z921" s="468" t="s">
        <v>516</v>
      </c>
      <c r="AA921" s="466">
        <v>133208</v>
      </c>
      <c r="AB921" s="466">
        <v>133208</v>
      </c>
      <c r="AC921" s="467">
        <v>0</v>
      </c>
      <c r="AD921" s="466">
        <v>0</v>
      </c>
      <c r="AE921" s="468" t="s">
        <v>516</v>
      </c>
      <c r="AF921" s="466">
        <v>1000</v>
      </c>
      <c r="AG921" s="466">
        <v>1000</v>
      </c>
      <c r="AH921" s="466">
        <v>19890.810000000001</v>
      </c>
      <c r="AI921" s="466">
        <v>5966.93</v>
      </c>
      <c r="AJ921" s="469" t="s">
        <v>1889</v>
      </c>
      <c r="AK921" s="470" t="s">
        <v>1890</v>
      </c>
      <c r="AL921" s="471" t="s">
        <v>8125</v>
      </c>
      <c r="AM921" s="470" t="s">
        <v>8126</v>
      </c>
      <c r="AN921" s="470" t="s">
        <v>8127</v>
      </c>
      <c r="AO921" s="470" t="s">
        <v>13833</v>
      </c>
      <c r="AP921" s="470" t="s">
        <v>8128</v>
      </c>
      <c r="AQ921" s="470" t="s">
        <v>8121</v>
      </c>
      <c r="AR921" s="472" t="s">
        <v>515</v>
      </c>
      <c r="AS921" s="473" t="s">
        <v>1385</v>
      </c>
      <c r="AT921" s="472" t="s">
        <v>517</v>
      </c>
      <c r="AU921" s="472" t="s">
        <v>420</v>
      </c>
      <c r="AV921" s="472">
        <v>2020</v>
      </c>
      <c r="AW921" s="474" t="s">
        <v>15078</v>
      </c>
      <c r="AX921" s="475" t="s">
        <v>15079</v>
      </c>
      <c r="AY921" s="515">
        <v>1</v>
      </c>
      <c r="AZ921" s="474" t="s">
        <v>15079</v>
      </c>
      <c r="BA921" s="472" t="s">
        <v>517</v>
      </c>
      <c r="BB921" s="472" t="s">
        <v>1385</v>
      </c>
      <c r="BC921" s="472" t="s">
        <v>1385</v>
      </c>
      <c r="BD921" s="472" t="s">
        <v>1385</v>
      </c>
      <c r="BE921" s="472" t="s">
        <v>1385</v>
      </c>
      <c r="BF921" s="472">
        <v>34300.800000000003</v>
      </c>
      <c r="BG921" s="472">
        <v>0</v>
      </c>
      <c r="BH921" s="472" t="s">
        <v>1385</v>
      </c>
      <c r="BI921" s="510">
        <v>0</v>
      </c>
      <c r="BJ921" s="510">
        <v>0</v>
      </c>
      <c r="BK921" s="510">
        <v>0</v>
      </c>
      <c r="BL921" s="510">
        <v>0</v>
      </c>
      <c r="BM921" s="510">
        <v>0</v>
      </c>
      <c r="BN921" s="510">
        <v>5000</v>
      </c>
      <c r="BO921" s="510">
        <v>1000</v>
      </c>
      <c r="BP921" s="510">
        <v>1000</v>
      </c>
      <c r="BQ921" s="510">
        <v>0</v>
      </c>
      <c r="BR921" s="510">
        <v>0</v>
      </c>
      <c r="BS921" s="510">
        <v>0</v>
      </c>
      <c r="BT921" s="510">
        <v>0</v>
      </c>
      <c r="BU921" s="510">
        <v>2500</v>
      </c>
      <c r="BV921" s="510">
        <v>2500</v>
      </c>
      <c r="BW921" s="510">
        <v>0</v>
      </c>
      <c r="BX921" s="510">
        <v>30000</v>
      </c>
      <c r="BY921" s="1011">
        <v>0</v>
      </c>
      <c r="BZ921" s="510">
        <v>0</v>
      </c>
      <c r="CA921" s="1011">
        <v>0</v>
      </c>
      <c r="CB921" s="510">
        <v>22000</v>
      </c>
      <c r="CC921" s="1011">
        <v>0</v>
      </c>
      <c r="CD921" s="510">
        <v>0</v>
      </c>
      <c r="CE921" s="1011">
        <v>0</v>
      </c>
      <c r="CF921" s="510">
        <v>45907.199999999997</v>
      </c>
      <c r="CG921" s="1011">
        <v>0</v>
      </c>
      <c r="CH921" s="510">
        <v>0</v>
      </c>
      <c r="CI921" s="1011">
        <v>0</v>
      </c>
    </row>
    <row r="922" spans="1:87" x14ac:dyDescent="0.2">
      <c r="A922" s="449">
        <v>51</v>
      </c>
      <c r="B922" s="453">
        <v>94102</v>
      </c>
      <c r="C922" s="454" t="s">
        <v>8129</v>
      </c>
      <c r="D922" s="454" t="s">
        <v>517</v>
      </c>
      <c r="E922" s="454" t="s">
        <v>8130</v>
      </c>
      <c r="F922" s="454" t="s">
        <v>527</v>
      </c>
      <c r="G922" s="454" t="s">
        <v>13834</v>
      </c>
      <c r="H922" s="455">
        <v>53760161000140</v>
      </c>
      <c r="I922" s="462">
        <v>30915</v>
      </c>
      <c r="J922" s="457">
        <v>37554832</v>
      </c>
      <c r="K922" s="454" t="s">
        <v>8131</v>
      </c>
      <c r="L922" s="458">
        <v>365</v>
      </c>
      <c r="M922" s="454" t="s">
        <v>8132</v>
      </c>
      <c r="N922" s="459">
        <v>3626000</v>
      </c>
      <c r="O922" s="460">
        <v>29582803</v>
      </c>
      <c r="P922" s="462">
        <v>209727</v>
      </c>
      <c r="Q922" s="462">
        <v>99</v>
      </c>
      <c r="R922" s="462">
        <v>43917</v>
      </c>
      <c r="S922" s="463">
        <v>750</v>
      </c>
      <c r="T922" s="464">
        <v>5.4</v>
      </c>
      <c r="U922" s="465">
        <v>4050</v>
      </c>
      <c r="V922" s="465">
        <v>18720</v>
      </c>
      <c r="W922" s="466">
        <v>0</v>
      </c>
      <c r="X922" s="467">
        <v>1</v>
      </c>
      <c r="Y922" s="466">
        <v>34155</v>
      </c>
      <c r="Z922" s="468" t="s">
        <v>516</v>
      </c>
      <c r="AA922" s="466">
        <v>149183</v>
      </c>
      <c r="AB922" s="466">
        <v>149183</v>
      </c>
      <c r="AC922" s="467">
        <v>0</v>
      </c>
      <c r="AD922" s="466">
        <v>0</v>
      </c>
      <c r="AE922" s="468" t="s">
        <v>516</v>
      </c>
      <c r="AF922" s="466">
        <v>2000</v>
      </c>
      <c r="AG922" s="466">
        <v>2000</v>
      </c>
      <c r="AH922" s="466">
        <v>0</v>
      </c>
      <c r="AI922" s="466">
        <v>2976.79</v>
      </c>
      <c r="AJ922" s="469" t="s">
        <v>2233</v>
      </c>
      <c r="AK922" s="470" t="s">
        <v>2653</v>
      </c>
      <c r="AL922" s="471" t="s">
        <v>8133</v>
      </c>
      <c r="AM922" s="470" t="s">
        <v>8134</v>
      </c>
      <c r="AN922" s="470" t="s">
        <v>13834</v>
      </c>
      <c r="AO922" s="470" t="s">
        <v>13835</v>
      </c>
      <c r="AP922" s="470" t="s">
        <v>8135</v>
      </c>
      <c r="AQ922" s="470" t="s">
        <v>8129</v>
      </c>
      <c r="AR922" s="472" t="s">
        <v>515</v>
      </c>
      <c r="AS922" s="473" t="s">
        <v>1385</v>
      </c>
      <c r="AT922" s="472" t="s">
        <v>517</v>
      </c>
      <c r="AU922" s="472" t="s">
        <v>420</v>
      </c>
      <c r="AV922" s="472">
        <v>2020</v>
      </c>
      <c r="AW922" s="474" t="s">
        <v>15078</v>
      </c>
      <c r="AX922" s="475" t="s">
        <v>15079</v>
      </c>
      <c r="AY922" s="515">
        <v>1</v>
      </c>
      <c r="AZ922" s="474" t="s">
        <v>15079</v>
      </c>
      <c r="BA922" s="472" t="s">
        <v>517</v>
      </c>
      <c r="BB922" s="472" t="s">
        <v>1385</v>
      </c>
      <c r="BC922" s="472" t="s">
        <v>1385</v>
      </c>
      <c r="BD922" s="472" t="s">
        <v>1385</v>
      </c>
      <c r="BE922" s="472" t="s">
        <v>1385</v>
      </c>
      <c r="BF922" s="472">
        <v>34155</v>
      </c>
      <c r="BG922" s="472">
        <v>0</v>
      </c>
      <c r="BH922" s="472" t="s">
        <v>1385</v>
      </c>
      <c r="BI922" s="510">
        <v>0</v>
      </c>
      <c r="BJ922" s="510">
        <v>0</v>
      </c>
      <c r="BK922" s="510">
        <v>0</v>
      </c>
      <c r="BL922" s="510">
        <v>0</v>
      </c>
      <c r="BM922" s="510">
        <v>0</v>
      </c>
      <c r="BN922" s="510">
        <v>5000</v>
      </c>
      <c r="BO922" s="510">
        <v>0</v>
      </c>
      <c r="BP922" s="510">
        <v>2000</v>
      </c>
      <c r="BQ922" s="510">
        <v>0</v>
      </c>
      <c r="BR922" s="510">
        <v>0</v>
      </c>
      <c r="BS922" s="510">
        <v>0</v>
      </c>
      <c r="BT922" s="510">
        <v>0</v>
      </c>
      <c r="BU922" s="510">
        <v>2500</v>
      </c>
      <c r="BV922" s="510">
        <v>2500</v>
      </c>
      <c r="BW922" s="510">
        <v>0</v>
      </c>
      <c r="BX922" s="510">
        <v>30000</v>
      </c>
      <c r="BY922" s="1011">
        <v>0</v>
      </c>
      <c r="BZ922" s="510">
        <v>0</v>
      </c>
      <c r="CA922" s="1011">
        <v>0</v>
      </c>
      <c r="CB922" s="510">
        <v>22000</v>
      </c>
      <c r="CC922" s="1011">
        <v>0</v>
      </c>
      <c r="CD922" s="510">
        <v>0</v>
      </c>
      <c r="CE922" s="1011">
        <v>0</v>
      </c>
      <c r="CF922" s="510">
        <v>63028</v>
      </c>
      <c r="CG922" s="1011">
        <v>0</v>
      </c>
      <c r="CH922" s="510">
        <v>0</v>
      </c>
      <c r="CI922" s="1011">
        <v>0</v>
      </c>
    </row>
    <row r="923" spans="1:87" x14ac:dyDescent="0.2">
      <c r="A923" s="449">
        <v>65</v>
      </c>
      <c r="B923" s="453">
        <v>94111</v>
      </c>
      <c r="C923" s="454" t="s">
        <v>8136</v>
      </c>
      <c r="D923" s="454" t="s">
        <v>517</v>
      </c>
      <c r="E923" s="454" t="s">
        <v>8137</v>
      </c>
      <c r="F923" s="454" t="s">
        <v>527</v>
      </c>
      <c r="G923" s="454" t="s">
        <v>13836</v>
      </c>
      <c r="H923" s="455">
        <v>51694651000160</v>
      </c>
      <c r="I923" s="462">
        <v>27870</v>
      </c>
      <c r="J923" s="457">
        <v>37555170</v>
      </c>
      <c r="K923" s="454" t="s">
        <v>8138</v>
      </c>
      <c r="L923" s="458">
        <v>68</v>
      </c>
      <c r="M923" s="454" t="s">
        <v>5012</v>
      </c>
      <c r="N923" s="459">
        <v>3671010</v>
      </c>
      <c r="O923" s="460">
        <v>29574092</v>
      </c>
      <c r="P923" s="462">
        <v>186018</v>
      </c>
      <c r="Q923" s="462">
        <v>113</v>
      </c>
      <c r="R923" s="462">
        <v>43917</v>
      </c>
      <c r="S923" s="463">
        <v>644</v>
      </c>
      <c r="T923" s="464">
        <v>5.4</v>
      </c>
      <c r="U923" s="465">
        <v>3477.6</v>
      </c>
      <c r="V923" s="465">
        <v>17100</v>
      </c>
      <c r="W923" s="466">
        <v>0</v>
      </c>
      <c r="X923" s="467">
        <v>1</v>
      </c>
      <c r="Y923" s="466">
        <v>30866.400000000001</v>
      </c>
      <c r="Z923" s="468" t="s">
        <v>516</v>
      </c>
      <c r="AA923" s="466">
        <v>128309.2</v>
      </c>
      <c r="AB923" s="466">
        <v>128309.2</v>
      </c>
      <c r="AC923" s="467">
        <v>0</v>
      </c>
      <c r="AD923" s="466">
        <v>0</v>
      </c>
      <c r="AE923" s="468" t="s">
        <v>516</v>
      </c>
      <c r="AF923" s="466">
        <v>2000</v>
      </c>
      <c r="AG923" s="466">
        <v>2000</v>
      </c>
      <c r="AH923" s="466">
        <v>7591.43</v>
      </c>
      <c r="AI923" s="466">
        <v>0</v>
      </c>
      <c r="AJ923" s="469" t="s">
        <v>3829</v>
      </c>
      <c r="AK923" s="470" t="s">
        <v>3830</v>
      </c>
      <c r="AL923" s="471" t="s">
        <v>8139</v>
      </c>
      <c r="AM923" s="470" t="s">
        <v>8140</v>
      </c>
      <c r="AN923" s="470" t="s">
        <v>13837</v>
      </c>
      <c r="AO923" s="470" t="s">
        <v>13838</v>
      </c>
      <c r="AP923" s="470" t="s">
        <v>8141</v>
      </c>
      <c r="AQ923" s="470" t="s">
        <v>8136</v>
      </c>
      <c r="AR923" s="472" t="s">
        <v>515</v>
      </c>
      <c r="AS923" s="473" t="s">
        <v>1385</v>
      </c>
      <c r="AT923" s="472" t="s">
        <v>517</v>
      </c>
      <c r="AU923" s="472" t="s">
        <v>420</v>
      </c>
      <c r="AV923" s="472">
        <v>2020</v>
      </c>
      <c r="AW923" s="474" t="s">
        <v>15078</v>
      </c>
      <c r="AX923" s="475" t="s">
        <v>15079</v>
      </c>
      <c r="AY923" s="515">
        <v>1</v>
      </c>
      <c r="AZ923" s="474" t="s">
        <v>15079</v>
      </c>
      <c r="BA923" s="472" t="s">
        <v>517</v>
      </c>
      <c r="BB923" s="472" t="s">
        <v>1385</v>
      </c>
      <c r="BC923" s="472" t="s">
        <v>1385</v>
      </c>
      <c r="BD923" s="472" t="s">
        <v>1385</v>
      </c>
      <c r="BE923" s="472" t="s">
        <v>1385</v>
      </c>
      <c r="BF923" s="472">
        <v>30866.400000000001</v>
      </c>
      <c r="BG923" s="472">
        <v>0</v>
      </c>
      <c r="BH923" s="472" t="s">
        <v>1385</v>
      </c>
      <c r="BI923" s="510">
        <v>0</v>
      </c>
      <c r="BJ923" s="510">
        <v>0</v>
      </c>
      <c r="BK923" s="510">
        <v>0</v>
      </c>
      <c r="BL923" s="510">
        <v>0</v>
      </c>
      <c r="BM923" s="510">
        <v>0</v>
      </c>
      <c r="BN923" s="510">
        <v>3500</v>
      </c>
      <c r="BO923" s="510">
        <v>0</v>
      </c>
      <c r="BP923" s="510">
        <v>2000</v>
      </c>
      <c r="BQ923" s="510">
        <v>0</v>
      </c>
      <c r="BR923" s="510">
        <v>0</v>
      </c>
      <c r="BS923" s="510">
        <v>0</v>
      </c>
      <c r="BT923" s="510">
        <v>0</v>
      </c>
      <c r="BU923" s="510">
        <v>0</v>
      </c>
      <c r="BV923" s="510">
        <v>0</v>
      </c>
      <c r="BW923" s="510">
        <v>0</v>
      </c>
      <c r="BX923" s="510">
        <v>30000</v>
      </c>
      <c r="BY923" s="1011">
        <v>0</v>
      </c>
      <c r="BZ923" s="510">
        <v>0</v>
      </c>
      <c r="CA923" s="1011">
        <v>0</v>
      </c>
      <c r="CB923" s="510">
        <v>22000</v>
      </c>
      <c r="CC923" s="1011">
        <v>0</v>
      </c>
      <c r="CD923" s="510">
        <v>0</v>
      </c>
      <c r="CE923" s="1011">
        <v>0</v>
      </c>
      <c r="CF923" s="510">
        <v>45442.8</v>
      </c>
      <c r="CG923" s="1011">
        <v>0</v>
      </c>
      <c r="CH923" s="510">
        <v>0</v>
      </c>
      <c r="CI923" s="1011">
        <v>0</v>
      </c>
    </row>
    <row r="924" spans="1:87" x14ac:dyDescent="0.2">
      <c r="A924" s="449">
        <v>52</v>
      </c>
      <c r="B924" s="453">
        <v>94129</v>
      </c>
      <c r="C924" s="454" t="s">
        <v>8142</v>
      </c>
      <c r="D924" s="454" t="s">
        <v>517</v>
      </c>
      <c r="E924" s="454" t="s">
        <v>8143</v>
      </c>
      <c r="F924" s="454" t="s">
        <v>527</v>
      </c>
      <c r="G924" s="454" t="s">
        <v>13839</v>
      </c>
      <c r="H924" s="455">
        <v>55491419000185</v>
      </c>
      <c r="I924" s="462">
        <v>31471</v>
      </c>
      <c r="J924" s="457">
        <v>37554719</v>
      </c>
      <c r="K924" s="454" t="s">
        <v>6178</v>
      </c>
      <c r="L924" s="458">
        <v>647</v>
      </c>
      <c r="M924" s="454" t="s">
        <v>6179</v>
      </c>
      <c r="N924" s="459">
        <v>3732010</v>
      </c>
      <c r="O924" s="460">
        <v>26412963</v>
      </c>
      <c r="P924" s="462">
        <v>183361</v>
      </c>
      <c r="Q924" s="462">
        <v>100</v>
      </c>
      <c r="R924" s="462">
        <v>43917</v>
      </c>
      <c r="S924" s="463">
        <v>932</v>
      </c>
      <c r="T924" s="464">
        <v>5.4</v>
      </c>
      <c r="U924" s="465">
        <v>5032.8</v>
      </c>
      <c r="V924" s="465">
        <v>20340</v>
      </c>
      <c r="W924" s="466">
        <v>0</v>
      </c>
      <c r="X924" s="467">
        <v>1</v>
      </c>
      <c r="Y924" s="466">
        <v>38059.199999999997</v>
      </c>
      <c r="Z924" s="468" t="s">
        <v>516</v>
      </c>
      <c r="AA924" s="466">
        <v>137186.79999999999</v>
      </c>
      <c r="AB924" s="466">
        <v>137186.79999999999</v>
      </c>
      <c r="AC924" s="467">
        <v>0</v>
      </c>
      <c r="AD924" s="466">
        <v>0</v>
      </c>
      <c r="AE924" s="468" t="s">
        <v>516</v>
      </c>
      <c r="AF924" s="466">
        <v>0</v>
      </c>
      <c r="AG924" s="466">
        <v>0</v>
      </c>
      <c r="AH924" s="466">
        <v>28152.33</v>
      </c>
      <c r="AI924" s="466">
        <v>6399.28</v>
      </c>
      <c r="AJ924" s="469" t="s">
        <v>3829</v>
      </c>
      <c r="AK924" s="470" t="s">
        <v>3465</v>
      </c>
      <c r="AL924" s="471" t="s">
        <v>8144</v>
      </c>
      <c r="AM924" s="470" t="s">
        <v>8145</v>
      </c>
      <c r="AN924" s="470" t="s">
        <v>13839</v>
      </c>
      <c r="AO924" s="470" t="s">
        <v>13840</v>
      </c>
      <c r="AP924" s="470" t="s">
        <v>8146</v>
      </c>
      <c r="AQ924" s="470" t="s">
        <v>8142</v>
      </c>
      <c r="AR924" s="472" t="s">
        <v>515</v>
      </c>
      <c r="AS924" s="473" t="s">
        <v>1385</v>
      </c>
      <c r="AT924" s="472" t="s">
        <v>517</v>
      </c>
      <c r="AU924" s="472" t="s">
        <v>420</v>
      </c>
      <c r="AV924" s="472">
        <v>2020</v>
      </c>
      <c r="AW924" s="474" t="s">
        <v>15078</v>
      </c>
      <c r="AX924" s="475" t="s">
        <v>15079</v>
      </c>
      <c r="AY924" s="515">
        <v>1</v>
      </c>
      <c r="AZ924" s="474" t="s">
        <v>15079</v>
      </c>
      <c r="BA924" s="472" t="s">
        <v>517</v>
      </c>
      <c r="BB924" s="472" t="s">
        <v>1385</v>
      </c>
      <c r="BC924" s="472" t="s">
        <v>1385</v>
      </c>
      <c r="BD924" s="472" t="s">
        <v>1385</v>
      </c>
      <c r="BE924" s="472" t="s">
        <v>1385</v>
      </c>
      <c r="BF924" s="472">
        <v>38059.199999999997</v>
      </c>
      <c r="BG924" s="472">
        <v>0</v>
      </c>
      <c r="BH924" s="472" t="s">
        <v>1385</v>
      </c>
      <c r="BI924" s="510">
        <v>0</v>
      </c>
      <c r="BJ924" s="510">
        <v>0</v>
      </c>
      <c r="BK924" s="510">
        <v>0</v>
      </c>
      <c r="BL924" s="510">
        <v>0</v>
      </c>
      <c r="BM924" s="510">
        <v>0</v>
      </c>
      <c r="BN924" s="510">
        <v>0</v>
      </c>
      <c r="BO924" s="510">
        <v>0</v>
      </c>
      <c r="BP924" s="510">
        <v>0</v>
      </c>
      <c r="BQ924" s="510">
        <v>0</v>
      </c>
      <c r="BR924" s="510">
        <v>0</v>
      </c>
      <c r="BS924" s="510">
        <v>0</v>
      </c>
      <c r="BT924" s="510">
        <v>0</v>
      </c>
      <c r="BU924" s="510">
        <v>2500</v>
      </c>
      <c r="BV924" s="510">
        <v>2500</v>
      </c>
      <c r="BW924" s="510">
        <v>0</v>
      </c>
      <c r="BX924" s="510">
        <v>30000</v>
      </c>
      <c r="BY924" s="1011">
        <v>0</v>
      </c>
      <c r="BZ924" s="510">
        <v>0</v>
      </c>
      <c r="CA924" s="1011">
        <v>0</v>
      </c>
      <c r="CB924" s="510">
        <v>22000</v>
      </c>
      <c r="CC924" s="1011">
        <v>0</v>
      </c>
      <c r="CD924" s="510">
        <v>0</v>
      </c>
      <c r="CE924" s="1011">
        <v>0</v>
      </c>
      <c r="CF924" s="510">
        <v>47127.6</v>
      </c>
      <c r="CG924" s="1011">
        <v>0</v>
      </c>
      <c r="CH924" s="510">
        <v>0</v>
      </c>
      <c r="CI924" s="1011">
        <v>0</v>
      </c>
    </row>
    <row r="925" spans="1:87" x14ac:dyDescent="0.2">
      <c r="A925" s="449">
        <v>46</v>
      </c>
      <c r="B925" s="453">
        <v>94137</v>
      </c>
      <c r="C925" s="454" t="s">
        <v>8147</v>
      </c>
      <c r="D925" s="454" t="s">
        <v>517</v>
      </c>
      <c r="E925" s="454" t="s">
        <v>8148</v>
      </c>
      <c r="F925" s="454" t="s">
        <v>527</v>
      </c>
      <c r="G925" s="454" t="s">
        <v>13841</v>
      </c>
      <c r="H925" s="455">
        <v>50640598000151</v>
      </c>
      <c r="I925" s="462">
        <v>28825</v>
      </c>
      <c r="J925" s="457">
        <v>37554859</v>
      </c>
      <c r="K925" s="454" t="s">
        <v>8149</v>
      </c>
      <c r="L925" s="458">
        <v>60</v>
      </c>
      <c r="M925" s="454" t="s">
        <v>3465</v>
      </c>
      <c r="N925" s="459">
        <v>3721090</v>
      </c>
      <c r="O925" s="460">
        <v>29586723</v>
      </c>
      <c r="P925" s="462">
        <v>215743</v>
      </c>
      <c r="Q925" s="462">
        <v>94</v>
      </c>
      <c r="R925" s="462">
        <v>43917</v>
      </c>
      <c r="S925" s="463">
        <v>951</v>
      </c>
      <c r="T925" s="464">
        <v>5.4</v>
      </c>
      <c r="U925" s="465">
        <v>5135.3999999999996</v>
      </c>
      <c r="V925" s="465">
        <v>20340</v>
      </c>
      <c r="W925" s="466">
        <v>0</v>
      </c>
      <c r="X925" s="467">
        <v>1</v>
      </c>
      <c r="Y925" s="466">
        <v>38213.1</v>
      </c>
      <c r="Z925" s="468" t="s">
        <v>516</v>
      </c>
      <c r="AA925" s="466">
        <v>141358.29999999999</v>
      </c>
      <c r="AB925" s="466">
        <v>141358.29999999999</v>
      </c>
      <c r="AC925" s="467">
        <v>0</v>
      </c>
      <c r="AD925" s="466">
        <v>0</v>
      </c>
      <c r="AE925" s="468" t="s">
        <v>516</v>
      </c>
      <c r="AF925" s="466">
        <v>0</v>
      </c>
      <c r="AG925" s="466">
        <v>0</v>
      </c>
      <c r="AH925" s="466">
        <v>28796.18</v>
      </c>
      <c r="AI925" s="466">
        <v>12680.2</v>
      </c>
      <c r="AJ925" s="469" t="s">
        <v>3829</v>
      </c>
      <c r="AK925" s="470" t="s">
        <v>3830</v>
      </c>
      <c r="AL925" s="471" t="s">
        <v>8150</v>
      </c>
      <c r="AM925" s="470" t="s">
        <v>8151</v>
      </c>
      <c r="AN925" s="470" t="s">
        <v>13841</v>
      </c>
      <c r="AO925" s="470" t="s">
        <v>13842</v>
      </c>
      <c r="AP925" s="470" t="s">
        <v>8152</v>
      </c>
      <c r="AQ925" s="470" t="s">
        <v>8147</v>
      </c>
      <c r="AR925" s="472" t="s">
        <v>515</v>
      </c>
      <c r="AS925" s="473" t="s">
        <v>1385</v>
      </c>
      <c r="AT925" s="472" t="s">
        <v>517</v>
      </c>
      <c r="AU925" s="472" t="s">
        <v>420</v>
      </c>
      <c r="AV925" s="472">
        <v>2020</v>
      </c>
      <c r="AW925" s="474" t="s">
        <v>15078</v>
      </c>
      <c r="AX925" s="475" t="s">
        <v>15079</v>
      </c>
      <c r="AY925" s="515">
        <v>1</v>
      </c>
      <c r="AZ925" s="474" t="s">
        <v>15079</v>
      </c>
      <c r="BA925" s="472" t="s">
        <v>517</v>
      </c>
      <c r="BB925" s="472" t="s">
        <v>1385</v>
      </c>
      <c r="BC925" s="472" t="s">
        <v>1385</v>
      </c>
      <c r="BD925" s="472" t="s">
        <v>1385</v>
      </c>
      <c r="BE925" s="472" t="s">
        <v>1385</v>
      </c>
      <c r="BF925" s="472">
        <v>38213.1</v>
      </c>
      <c r="BG925" s="472">
        <v>0</v>
      </c>
      <c r="BH925" s="472" t="s">
        <v>1385</v>
      </c>
      <c r="BI925" s="510">
        <v>0</v>
      </c>
      <c r="BJ925" s="510">
        <v>0</v>
      </c>
      <c r="BK925" s="510">
        <v>0</v>
      </c>
      <c r="BL925" s="510">
        <v>492.24</v>
      </c>
      <c r="BM925" s="510">
        <v>0</v>
      </c>
      <c r="BN925" s="510">
        <v>5000</v>
      </c>
      <c r="BO925" s="510">
        <v>0</v>
      </c>
      <c r="BP925" s="510">
        <v>0</v>
      </c>
      <c r="BQ925" s="510">
        <v>0</v>
      </c>
      <c r="BR925" s="510">
        <v>0</v>
      </c>
      <c r="BS925" s="510">
        <v>0</v>
      </c>
      <c r="BT925" s="510">
        <v>0</v>
      </c>
      <c r="BU925" s="510">
        <v>2500</v>
      </c>
      <c r="BV925" s="510">
        <v>2500</v>
      </c>
      <c r="BW925" s="510">
        <v>0</v>
      </c>
      <c r="BX925" s="510">
        <v>30000</v>
      </c>
      <c r="BY925" s="1011">
        <v>0</v>
      </c>
      <c r="BZ925" s="510">
        <v>0</v>
      </c>
      <c r="CA925" s="1011">
        <v>0</v>
      </c>
      <c r="CB925" s="510">
        <v>22000</v>
      </c>
      <c r="CC925" s="1011">
        <v>0</v>
      </c>
      <c r="CD925" s="510">
        <v>0</v>
      </c>
      <c r="CE925" s="1011">
        <v>0</v>
      </c>
      <c r="CF925" s="510">
        <v>51145.2</v>
      </c>
      <c r="CG925" s="1011">
        <v>0</v>
      </c>
      <c r="CH925" s="510">
        <v>0</v>
      </c>
      <c r="CI925" s="1011">
        <v>0</v>
      </c>
    </row>
    <row r="926" spans="1:87" x14ac:dyDescent="0.2">
      <c r="A926" s="449">
        <v>47</v>
      </c>
      <c r="B926" s="453">
        <v>94145</v>
      </c>
      <c r="C926" s="454" t="s">
        <v>8153</v>
      </c>
      <c r="D926" s="454" t="s">
        <v>517</v>
      </c>
      <c r="E926" s="454" t="s">
        <v>8154</v>
      </c>
      <c r="F926" s="454" t="s">
        <v>527</v>
      </c>
      <c r="G926" s="454" t="s">
        <v>13843</v>
      </c>
      <c r="H926" s="455">
        <v>47310768000125</v>
      </c>
      <c r="I926" s="462">
        <v>29845</v>
      </c>
      <c r="J926" s="457">
        <v>37593374</v>
      </c>
      <c r="K926" s="454" t="s">
        <v>8155</v>
      </c>
      <c r="L926" s="458">
        <v>342</v>
      </c>
      <c r="M926" s="454" t="s">
        <v>8156</v>
      </c>
      <c r="N926" s="459">
        <v>3714050</v>
      </c>
      <c r="O926" s="460">
        <v>26419440</v>
      </c>
      <c r="P926" s="462">
        <v>185933</v>
      </c>
      <c r="Q926" s="462">
        <v>95</v>
      </c>
      <c r="R926" s="462">
        <v>43917</v>
      </c>
      <c r="S926" s="463">
        <v>924</v>
      </c>
      <c r="T926" s="464">
        <v>5.4</v>
      </c>
      <c r="U926" s="465">
        <v>4989.6000000000004</v>
      </c>
      <c r="V926" s="465">
        <v>20340</v>
      </c>
      <c r="W926" s="466">
        <v>0</v>
      </c>
      <c r="X926" s="467">
        <v>1</v>
      </c>
      <c r="Y926" s="466">
        <v>37994.400000000001</v>
      </c>
      <c r="Z926" s="468" t="s">
        <v>516</v>
      </c>
      <c r="AA926" s="466">
        <v>142036</v>
      </c>
      <c r="AB926" s="466">
        <v>142036</v>
      </c>
      <c r="AC926" s="467">
        <v>0</v>
      </c>
      <c r="AD926" s="466">
        <v>0</v>
      </c>
      <c r="AE926" s="468" t="s">
        <v>516</v>
      </c>
      <c r="AF926" s="466">
        <v>0</v>
      </c>
      <c r="AG926" s="466">
        <v>0</v>
      </c>
      <c r="AH926" s="466">
        <v>20092.52</v>
      </c>
      <c r="AI926" s="466">
        <v>0</v>
      </c>
      <c r="AJ926" s="469" t="s">
        <v>5982</v>
      </c>
      <c r="AK926" s="470" t="s">
        <v>6146</v>
      </c>
      <c r="AL926" s="471" t="s">
        <v>8157</v>
      </c>
      <c r="AM926" s="470" t="s">
        <v>8158</v>
      </c>
      <c r="AN926" s="470" t="s">
        <v>13843</v>
      </c>
      <c r="AO926" s="470" t="s">
        <v>8159</v>
      </c>
      <c r="AP926" s="470" t="s">
        <v>8160</v>
      </c>
      <c r="AQ926" s="470" t="s">
        <v>8153</v>
      </c>
      <c r="AR926" s="472" t="s">
        <v>515</v>
      </c>
      <c r="AS926" s="473" t="s">
        <v>1385</v>
      </c>
      <c r="AT926" s="472" t="s">
        <v>517</v>
      </c>
      <c r="AU926" s="472" t="s">
        <v>420</v>
      </c>
      <c r="AV926" s="472">
        <v>2020</v>
      </c>
      <c r="AW926" s="474" t="s">
        <v>15078</v>
      </c>
      <c r="AX926" s="475" t="s">
        <v>15079</v>
      </c>
      <c r="AY926" s="515">
        <v>1</v>
      </c>
      <c r="AZ926" s="474" t="s">
        <v>15079</v>
      </c>
      <c r="BA926" s="472" t="s">
        <v>517</v>
      </c>
      <c r="BB926" s="472" t="s">
        <v>1385</v>
      </c>
      <c r="BC926" s="472" t="s">
        <v>1385</v>
      </c>
      <c r="BD926" s="472" t="s">
        <v>1385</v>
      </c>
      <c r="BE926" s="472" t="s">
        <v>1385</v>
      </c>
      <c r="BF926" s="472">
        <v>37994.400000000001</v>
      </c>
      <c r="BG926" s="472">
        <v>0</v>
      </c>
      <c r="BH926" s="472" t="s">
        <v>1385</v>
      </c>
      <c r="BI926" s="510">
        <v>0</v>
      </c>
      <c r="BJ926" s="510">
        <v>0</v>
      </c>
      <c r="BK926" s="510">
        <v>0</v>
      </c>
      <c r="BL926" s="510">
        <v>3500</v>
      </c>
      <c r="BM926" s="510">
        <v>0</v>
      </c>
      <c r="BN926" s="510">
        <v>5000</v>
      </c>
      <c r="BO926" s="510">
        <v>0</v>
      </c>
      <c r="BP926" s="510">
        <v>0</v>
      </c>
      <c r="BQ926" s="510">
        <v>0</v>
      </c>
      <c r="BR926" s="510">
        <v>0</v>
      </c>
      <c r="BS926" s="510">
        <v>0</v>
      </c>
      <c r="BT926" s="510">
        <v>0</v>
      </c>
      <c r="BU926" s="510">
        <v>0</v>
      </c>
      <c r="BV926" s="510">
        <v>0</v>
      </c>
      <c r="BW926" s="510">
        <v>0</v>
      </c>
      <c r="BX926" s="510">
        <v>30000</v>
      </c>
      <c r="BY926" s="1011">
        <v>0</v>
      </c>
      <c r="BZ926" s="510">
        <v>0</v>
      </c>
      <c r="CA926" s="1011">
        <v>0</v>
      </c>
      <c r="CB926" s="510">
        <v>22000</v>
      </c>
      <c r="CC926" s="1011">
        <v>0</v>
      </c>
      <c r="CD926" s="510">
        <v>0</v>
      </c>
      <c r="CE926" s="1011">
        <v>0</v>
      </c>
      <c r="CF926" s="510">
        <v>52041.599999999999</v>
      </c>
      <c r="CG926" s="1011">
        <v>0</v>
      </c>
      <c r="CH926" s="510">
        <v>0</v>
      </c>
      <c r="CI926" s="1011">
        <v>0</v>
      </c>
    </row>
    <row r="927" spans="1:87" x14ac:dyDescent="0.2">
      <c r="A927" s="449">
        <v>43</v>
      </c>
      <c r="B927" s="453">
        <v>94153</v>
      </c>
      <c r="C927" s="454" t="s">
        <v>8161</v>
      </c>
      <c r="D927" s="454" t="s">
        <v>517</v>
      </c>
      <c r="E927" s="454" t="s">
        <v>8162</v>
      </c>
      <c r="F927" s="454" t="s">
        <v>527</v>
      </c>
      <c r="G927" s="454" t="s">
        <v>13844</v>
      </c>
      <c r="H927" s="455">
        <v>51585552000140</v>
      </c>
      <c r="I927" s="462">
        <v>29062</v>
      </c>
      <c r="J927" s="457">
        <v>37587560</v>
      </c>
      <c r="K927" s="454" t="s">
        <v>8163</v>
      </c>
      <c r="L927" s="458" t="s">
        <v>1446</v>
      </c>
      <c r="M927" s="454" t="s">
        <v>2314</v>
      </c>
      <c r="N927" s="459">
        <v>3065020</v>
      </c>
      <c r="O927" s="460">
        <v>22954096</v>
      </c>
      <c r="P927" s="462">
        <v>207023</v>
      </c>
      <c r="Q927" s="462">
        <v>91</v>
      </c>
      <c r="R927" s="462">
        <v>43917</v>
      </c>
      <c r="S927" s="463">
        <v>693</v>
      </c>
      <c r="T927" s="464">
        <v>5.4</v>
      </c>
      <c r="U927" s="465">
        <v>3742.2</v>
      </c>
      <c r="V927" s="465">
        <v>17100</v>
      </c>
      <c r="W927" s="466">
        <v>0</v>
      </c>
      <c r="X927" s="467">
        <v>1</v>
      </c>
      <c r="Y927" s="466">
        <v>31263.3</v>
      </c>
      <c r="Z927" s="468" t="s">
        <v>516</v>
      </c>
      <c r="AA927" s="466">
        <v>124645.3</v>
      </c>
      <c r="AB927" s="466">
        <v>124645.3</v>
      </c>
      <c r="AC927" s="467">
        <v>0</v>
      </c>
      <c r="AD927" s="466">
        <v>0</v>
      </c>
      <c r="AE927" s="468" t="s">
        <v>516</v>
      </c>
      <c r="AF927" s="466">
        <v>2000</v>
      </c>
      <c r="AG927" s="466">
        <v>2000</v>
      </c>
      <c r="AH927" s="466">
        <v>14962.38</v>
      </c>
      <c r="AI927" s="466">
        <v>0</v>
      </c>
      <c r="AJ927" s="469" t="s">
        <v>2982</v>
      </c>
      <c r="AK927" s="470" t="s">
        <v>8164</v>
      </c>
      <c r="AL927" s="471" t="s">
        <v>8165</v>
      </c>
      <c r="AM927" s="470" t="s">
        <v>8166</v>
      </c>
      <c r="AN927" s="470" t="s">
        <v>8167</v>
      </c>
      <c r="AO927" s="470" t="s">
        <v>13845</v>
      </c>
      <c r="AP927" s="470" t="s">
        <v>8168</v>
      </c>
      <c r="AQ927" s="470" t="s">
        <v>8161</v>
      </c>
      <c r="AR927" s="472" t="s">
        <v>515</v>
      </c>
      <c r="AS927" s="473" t="s">
        <v>1385</v>
      </c>
      <c r="AT927" s="472" t="s">
        <v>517</v>
      </c>
      <c r="AU927" s="472" t="s">
        <v>420</v>
      </c>
      <c r="AV927" s="472">
        <v>2020</v>
      </c>
      <c r="AW927" s="474" t="s">
        <v>15078</v>
      </c>
      <c r="AX927" s="475" t="s">
        <v>15079</v>
      </c>
      <c r="AY927" s="515">
        <v>1</v>
      </c>
      <c r="AZ927" s="474" t="s">
        <v>15079</v>
      </c>
      <c r="BA927" s="472" t="s">
        <v>517</v>
      </c>
      <c r="BB927" s="472" t="s">
        <v>1385</v>
      </c>
      <c r="BC927" s="472" t="s">
        <v>1385</v>
      </c>
      <c r="BD927" s="472" t="s">
        <v>1385</v>
      </c>
      <c r="BE927" s="472" t="s">
        <v>1385</v>
      </c>
      <c r="BF927" s="472">
        <v>31263.3</v>
      </c>
      <c r="BG927" s="472">
        <v>0</v>
      </c>
      <c r="BH927" s="472" t="s">
        <v>1385</v>
      </c>
      <c r="BI927" s="510">
        <v>0</v>
      </c>
      <c r="BJ927" s="510">
        <v>0</v>
      </c>
      <c r="BK927" s="510">
        <v>0</v>
      </c>
      <c r="BL927" s="510">
        <v>0</v>
      </c>
      <c r="BM927" s="510">
        <v>0</v>
      </c>
      <c r="BN927" s="510">
        <v>2650</v>
      </c>
      <c r="BO927" s="510">
        <v>0</v>
      </c>
      <c r="BP927" s="510">
        <v>2000</v>
      </c>
      <c r="BQ927" s="510">
        <v>0</v>
      </c>
      <c r="BR927" s="510">
        <v>0</v>
      </c>
      <c r="BS927" s="510">
        <v>0</v>
      </c>
      <c r="BT927" s="510">
        <v>0</v>
      </c>
      <c r="BU927" s="510">
        <v>2500</v>
      </c>
      <c r="BV927" s="510">
        <v>2500</v>
      </c>
      <c r="BW927" s="510">
        <v>0</v>
      </c>
      <c r="BX927" s="510">
        <v>30000</v>
      </c>
      <c r="BY927" s="1011">
        <v>0</v>
      </c>
      <c r="BZ927" s="510">
        <v>0</v>
      </c>
      <c r="CA927" s="1011">
        <v>0</v>
      </c>
      <c r="CB927" s="510">
        <v>22000</v>
      </c>
      <c r="CC927" s="1011">
        <v>0</v>
      </c>
      <c r="CD927" s="510">
        <v>0</v>
      </c>
      <c r="CE927" s="1011">
        <v>0</v>
      </c>
      <c r="CF927" s="510">
        <v>41382</v>
      </c>
      <c r="CG927" s="1011">
        <v>0</v>
      </c>
      <c r="CH927" s="510">
        <v>0</v>
      </c>
      <c r="CI927" s="1011">
        <v>0</v>
      </c>
    </row>
    <row r="928" spans="1:87" x14ac:dyDescent="0.2">
      <c r="A928" s="449">
        <v>43</v>
      </c>
      <c r="B928" s="453">
        <v>94161</v>
      </c>
      <c r="C928" s="454" t="s">
        <v>8169</v>
      </c>
      <c r="D928" s="454" t="s">
        <v>517</v>
      </c>
      <c r="E928" s="454" t="s">
        <v>8170</v>
      </c>
      <c r="F928" s="454" t="s">
        <v>522</v>
      </c>
      <c r="G928" s="454" t="s">
        <v>13846</v>
      </c>
      <c r="H928" s="455">
        <v>46233011000112</v>
      </c>
      <c r="I928" s="462">
        <v>29795</v>
      </c>
      <c r="J928" s="457">
        <v>37587676</v>
      </c>
      <c r="K928" s="454" t="s">
        <v>8171</v>
      </c>
      <c r="L928" s="458">
        <v>660</v>
      </c>
      <c r="M928" s="454" t="s">
        <v>8172</v>
      </c>
      <c r="N928" s="459">
        <v>2911000</v>
      </c>
      <c r="O928" s="460">
        <v>39322970</v>
      </c>
      <c r="P928" s="462">
        <v>110909</v>
      </c>
      <c r="Q928" s="462">
        <v>75</v>
      </c>
      <c r="R928" s="462">
        <v>43922</v>
      </c>
      <c r="S928" s="463">
        <v>500</v>
      </c>
      <c r="T928" s="464">
        <v>5.4</v>
      </c>
      <c r="U928" s="465">
        <v>2700</v>
      </c>
      <c r="V928" s="465">
        <v>15480</v>
      </c>
      <c r="W928" s="466">
        <v>0</v>
      </c>
      <c r="X928" s="467">
        <v>1</v>
      </c>
      <c r="Y928" s="466">
        <v>33075</v>
      </c>
      <c r="Z928" s="468" t="s">
        <v>516</v>
      </c>
      <c r="AA928" s="466">
        <v>134131.79999999999</v>
      </c>
      <c r="AB928" s="466">
        <v>134131.79999999999</v>
      </c>
      <c r="AC928" s="467">
        <v>0</v>
      </c>
      <c r="AD928" s="466">
        <v>0</v>
      </c>
      <c r="AE928" s="468" t="s">
        <v>516</v>
      </c>
      <c r="AF928" s="466">
        <v>0</v>
      </c>
      <c r="AG928" s="466">
        <v>0</v>
      </c>
      <c r="AH928" s="466">
        <v>23393.42</v>
      </c>
      <c r="AI928" s="466">
        <v>13065.86</v>
      </c>
      <c r="AJ928" s="469" t="s">
        <v>1438</v>
      </c>
      <c r="AK928" s="470" t="s">
        <v>12345</v>
      </c>
      <c r="AL928" s="471" t="s">
        <v>8173</v>
      </c>
      <c r="AM928" s="470" t="s">
        <v>13847</v>
      </c>
      <c r="AN928" s="470" t="s">
        <v>1385</v>
      </c>
      <c r="AO928" s="470" t="s">
        <v>8174</v>
      </c>
      <c r="AP928" s="470" t="s">
        <v>8175</v>
      </c>
      <c r="AQ928" s="470" t="s">
        <v>8169</v>
      </c>
      <c r="AR928" s="472" t="s">
        <v>515</v>
      </c>
      <c r="AS928" s="473" t="s">
        <v>1385</v>
      </c>
      <c r="AT928" s="472" t="s">
        <v>517</v>
      </c>
      <c r="AU928" s="472" t="s">
        <v>420</v>
      </c>
      <c r="AV928" s="472">
        <v>2020</v>
      </c>
      <c r="AW928" s="474" t="s">
        <v>15078</v>
      </c>
      <c r="AX928" s="475" t="s">
        <v>15079</v>
      </c>
      <c r="AY928" s="515">
        <v>1</v>
      </c>
      <c r="AZ928" s="474" t="s">
        <v>15079</v>
      </c>
      <c r="BA928" s="472" t="s">
        <v>517</v>
      </c>
      <c r="BB928" s="472" t="s">
        <v>516</v>
      </c>
      <c r="BC928" s="472">
        <v>4</v>
      </c>
      <c r="BD928" s="472">
        <v>3870</v>
      </c>
      <c r="BE928" s="472">
        <v>0</v>
      </c>
      <c r="BF928" s="472">
        <v>33075</v>
      </c>
      <c r="BG928" s="472">
        <v>0</v>
      </c>
      <c r="BH928" s="472" t="s">
        <v>1385</v>
      </c>
      <c r="BI928" s="510">
        <v>0</v>
      </c>
      <c r="BJ928" s="510">
        <v>0</v>
      </c>
      <c r="BK928" s="510">
        <v>0</v>
      </c>
      <c r="BL928" s="510">
        <v>0</v>
      </c>
      <c r="BM928" s="510">
        <v>0</v>
      </c>
      <c r="BN928" s="510">
        <v>3500</v>
      </c>
      <c r="BO928" s="510">
        <v>0</v>
      </c>
      <c r="BP928" s="510">
        <v>0</v>
      </c>
      <c r="BQ928" s="510">
        <v>0</v>
      </c>
      <c r="BR928" s="510">
        <v>0</v>
      </c>
      <c r="BS928" s="510">
        <v>0</v>
      </c>
      <c r="BT928" s="510">
        <v>0</v>
      </c>
      <c r="BU928" s="510">
        <v>2500</v>
      </c>
      <c r="BV928" s="510">
        <v>2500</v>
      </c>
      <c r="BW928" s="510">
        <v>0</v>
      </c>
      <c r="BX928" s="510">
        <v>30000</v>
      </c>
      <c r="BY928" s="1011">
        <v>0</v>
      </c>
      <c r="BZ928" s="510">
        <v>0</v>
      </c>
      <c r="CA928" s="1011">
        <v>0</v>
      </c>
      <c r="CB928" s="510">
        <v>22000</v>
      </c>
      <c r="CC928" s="1011">
        <v>0</v>
      </c>
      <c r="CD928" s="510">
        <v>0</v>
      </c>
      <c r="CE928" s="1011">
        <v>0</v>
      </c>
      <c r="CF928" s="510">
        <v>49056.800000000003</v>
      </c>
      <c r="CG928" s="1011">
        <v>0</v>
      </c>
      <c r="CH928" s="510">
        <v>0</v>
      </c>
      <c r="CI928" s="1011">
        <v>0</v>
      </c>
    </row>
    <row r="929" spans="1:87" x14ac:dyDescent="0.2">
      <c r="A929" s="449">
        <v>47</v>
      </c>
      <c r="B929" s="453">
        <v>94170</v>
      </c>
      <c r="C929" s="454" t="s">
        <v>8176</v>
      </c>
      <c r="D929" s="454" t="s">
        <v>517</v>
      </c>
      <c r="E929" s="454" t="s">
        <v>8177</v>
      </c>
      <c r="F929" s="454" t="s">
        <v>522</v>
      </c>
      <c r="G929" s="454" t="s">
        <v>13848</v>
      </c>
      <c r="H929" s="455">
        <v>57750176000188</v>
      </c>
      <c r="I929" s="462">
        <v>31965</v>
      </c>
      <c r="J929" s="457">
        <v>37587692</v>
      </c>
      <c r="K929" s="454" t="s">
        <v>8178</v>
      </c>
      <c r="L929" s="458">
        <v>259</v>
      </c>
      <c r="M929" s="454" t="s">
        <v>1437</v>
      </c>
      <c r="N929" s="459">
        <v>2736000</v>
      </c>
      <c r="O929" s="460">
        <v>39753074</v>
      </c>
      <c r="P929" s="462">
        <v>80104</v>
      </c>
      <c r="Q929" s="462">
        <v>79</v>
      </c>
      <c r="R929" s="462">
        <v>43911</v>
      </c>
      <c r="S929" s="463">
        <v>926</v>
      </c>
      <c r="T929" s="464">
        <v>5.4</v>
      </c>
      <c r="U929" s="465">
        <v>5000.3999999999996</v>
      </c>
      <c r="V929" s="465">
        <v>20340</v>
      </c>
      <c r="W929" s="466">
        <v>0</v>
      </c>
      <c r="X929" s="467">
        <v>1</v>
      </c>
      <c r="Y929" s="466">
        <v>38010.6</v>
      </c>
      <c r="Z929" s="468" t="s">
        <v>516</v>
      </c>
      <c r="AA929" s="466">
        <v>137484.6</v>
      </c>
      <c r="AB929" s="466">
        <v>137484.6</v>
      </c>
      <c r="AC929" s="467">
        <v>0</v>
      </c>
      <c r="AD929" s="466">
        <v>0</v>
      </c>
      <c r="AE929" s="468" t="s">
        <v>516</v>
      </c>
      <c r="AF929" s="466">
        <v>1200</v>
      </c>
      <c r="AG929" s="466">
        <v>1200</v>
      </c>
      <c r="AH929" s="466">
        <v>11742.64</v>
      </c>
      <c r="AI929" s="466">
        <v>12317.63</v>
      </c>
      <c r="AJ929" s="469" t="s">
        <v>1438</v>
      </c>
      <c r="AK929" s="470" t="s">
        <v>12345</v>
      </c>
      <c r="AL929" s="471" t="s">
        <v>8179</v>
      </c>
      <c r="AM929" s="470" t="s">
        <v>8180</v>
      </c>
      <c r="AN929" s="470" t="s">
        <v>1385</v>
      </c>
      <c r="AO929" s="470" t="s">
        <v>8181</v>
      </c>
      <c r="AP929" s="470" t="s">
        <v>8182</v>
      </c>
      <c r="AQ929" s="470" t="s">
        <v>8176</v>
      </c>
      <c r="AR929" s="472" t="s">
        <v>515</v>
      </c>
      <c r="AS929" s="473" t="s">
        <v>1385</v>
      </c>
      <c r="AT929" s="472" t="s">
        <v>517</v>
      </c>
      <c r="AU929" s="472" t="s">
        <v>420</v>
      </c>
      <c r="AV929" s="472">
        <v>2020</v>
      </c>
      <c r="AW929" s="474" t="s">
        <v>15078</v>
      </c>
      <c r="AX929" s="475" t="s">
        <v>15079</v>
      </c>
      <c r="AY929" s="515">
        <v>1</v>
      </c>
      <c r="AZ929" s="474" t="s">
        <v>15079</v>
      </c>
      <c r="BA929" s="472" t="s">
        <v>517</v>
      </c>
      <c r="BB929" s="472" t="s">
        <v>1385</v>
      </c>
      <c r="BC929" s="472" t="s">
        <v>1385</v>
      </c>
      <c r="BD929" s="472" t="s">
        <v>1385</v>
      </c>
      <c r="BE929" s="472" t="s">
        <v>1385</v>
      </c>
      <c r="BF929" s="472">
        <v>38010.6</v>
      </c>
      <c r="BG929" s="472">
        <v>0</v>
      </c>
      <c r="BH929" s="472" t="s">
        <v>1385</v>
      </c>
      <c r="BI929" s="510">
        <v>0</v>
      </c>
      <c r="BJ929" s="510">
        <v>0</v>
      </c>
      <c r="BK929" s="510">
        <v>0</v>
      </c>
      <c r="BL929" s="510">
        <v>0</v>
      </c>
      <c r="BM929" s="510">
        <v>0</v>
      </c>
      <c r="BN929" s="510">
        <v>0</v>
      </c>
      <c r="BO929" s="510">
        <v>800</v>
      </c>
      <c r="BP929" s="510">
        <v>1200</v>
      </c>
      <c r="BQ929" s="510">
        <v>0</v>
      </c>
      <c r="BR929" s="510">
        <v>0</v>
      </c>
      <c r="BS929" s="510">
        <v>0</v>
      </c>
      <c r="BT929" s="510">
        <v>0</v>
      </c>
      <c r="BU929" s="510">
        <v>2500</v>
      </c>
      <c r="BV929" s="510">
        <v>2500</v>
      </c>
      <c r="BW929" s="510">
        <v>0</v>
      </c>
      <c r="BX929" s="510">
        <v>30000</v>
      </c>
      <c r="BY929" s="1011">
        <v>0</v>
      </c>
      <c r="BZ929" s="510">
        <v>0</v>
      </c>
      <c r="CA929" s="1011">
        <v>0</v>
      </c>
      <c r="CB929" s="510">
        <v>22000</v>
      </c>
      <c r="CC929" s="1011">
        <v>0</v>
      </c>
      <c r="CD929" s="510">
        <v>0</v>
      </c>
      <c r="CE929" s="1011">
        <v>0</v>
      </c>
      <c r="CF929" s="510">
        <v>46674</v>
      </c>
      <c r="CG929" s="1011">
        <v>0</v>
      </c>
      <c r="CH929" s="510">
        <v>0</v>
      </c>
      <c r="CI929" s="1011">
        <v>0</v>
      </c>
    </row>
    <row r="930" spans="1:87" x14ac:dyDescent="0.2">
      <c r="A930" s="449">
        <v>36</v>
      </c>
      <c r="B930" s="453">
        <v>94188</v>
      </c>
      <c r="C930" s="454" t="s">
        <v>8183</v>
      </c>
      <c r="D930" s="454" t="s">
        <v>517</v>
      </c>
      <c r="E930" s="454" t="s">
        <v>8184</v>
      </c>
      <c r="F930" s="454" t="s">
        <v>522</v>
      </c>
      <c r="G930" s="454" t="s">
        <v>13849</v>
      </c>
      <c r="H930" s="455">
        <v>43422807000125</v>
      </c>
      <c r="I930" s="462">
        <v>29353</v>
      </c>
      <c r="J930" s="457">
        <v>35518956</v>
      </c>
      <c r="K930" s="454" t="s">
        <v>8185</v>
      </c>
      <c r="L930" s="458">
        <v>36</v>
      </c>
      <c r="M930" s="454" t="s">
        <v>4443</v>
      </c>
      <c r="N930" s="459">
        <v>2840080</v>
      </c>
      <c r="O930" s="460">
        <v>39234464</v>
      </c>
      <c r="P930" s="462">
        <v>77316</v>
      </c>
      <c r="Q930" s="462">
        <v>69</v>
      </c>
      <c r="R930" s="462">
        <v>43911</v>
      </c>
      <c r="S930" s="463">
        <v>608</v>
      </c>
      <c r="T930" s="464">
        <v>5.4</v>
      </c>
      <c r="U930" s="465">
        <v>3283.2</v>
      </c>
      <c r="V930" s="465">
        <v>17100</v>
      </c>
      <c r="W930" s="466">
        <v>0</v>
      </c>
      <c r="X930" s="467">
        <v>1</v>
      </c>
      <c r="Y930" s="466">
        <v>30574.799999999999</v>
      </c>
      <c r="Z930" s="468" t="s">
        <v>516</v>
      </c>
      <c r="AA930" s="466">
        <v>123740.8</v>
      </c>
      <c r="AB930" s="466">
        <v>123740.8</v>
      </c>
      <c r="AC930" s="467">
        <v>0</v>
      </c>
      <c r="AD930" s="466">
        <v>0</v>
      </c>
      <c r="AE930" s="468" t="s">
        <v>516</v>
      </c>
      <c r="AF930" s="466">
        <v>2000</v>
      </c>
      <c r="AG930" s="466">
        <v>2000</v>
      </c>
      <c r="AH930" s="466">
        <v>17323.669999999998</v>
      </c>
      <c r="AI930" s="466">
        <v>1434.45</v>
      </c>
      <c r="AJ930" s="469" t="s">
        <v>1438</v>
      </c>
      <c r="AK930" s="470" t="s">
        <v>12345</v>
      </c>
      <c r="AL930" s="471" t="s">
        <v>13850</v>
      </c>
      <c r="AM930" s="470" t="s">
        <v>8186</v>
      </c>
      <c r="AN930" s="470" t="s">
        <v>1385</v>
      </c>
      <c r="AO930" s="470" t="s">
        <v>13851</v>
      </c>
      <c r="AP930" s="470" t="s">
        <v>8187</v>
      </c>
      <c r="AQ930" s="470" t="s">
        <v>8183</v>
      </c>
      <c r="AR930" s="472" t="s">
        <v>515</v>
      </c>
      <c r="AS930" s="473" t="s">
        <v>1385</v>
      </c>
      <c r="AT930" s="472" t="s">
        <v>517</v>
      </c>
      <c r="AU930" s="472" t="s">
        <v>420</v>
      </c>
      <c r="AV930" s="472">
        <v>2020</v>
      </c>
      <c r="AW930" s="474" t="s">
        <v>15078</v>
      </c>
      <c r="AX930" s="475" t="s">
        <v>15079</v>
      </c>
      <c r="AY930" s="515">
        <v>1</v>
      </c>
      <c r="AZ930" s="474" t="s">
        <v>15079</v>
      </c>
      <c r="BA930" s="472" t="s">
        <v>517</v>
      </c>
      <c r="BB930" s="472" t="s">
        <v>1385</v>
      </c>
      <c r="BC930" s="472" t="s">
        <v>1385</v>
      </c>
      <c r="BD930" s="472" t="s">
        <v>1385</v>
      </c>
      <c r="BE930" s="472" t="s">
        <v>1385</v>
      </c>
      <c r="BF930" s="472">
        <v>30574.799999999999</v>
      </c>
      <c r="BG930" s="472">
        <v>0</v>
      </c>
      <c r="BH930" s="472" t="s">
        <v>1385</v>
      </c>
      <c r="BI930" s="510">
        <v>0</v>
      </c>
      <c r="BJ930" s="510">
        <v>0</v>
      </c>
      <c r="BK930" s="510">
        <v>0</v>
      </c>
      <c r="BL930" s="510">
        <v>0</v>
      </c>
      <c r="BM930" s="510">
        <v>0</v>
      </c>
      <c r="BN930" s="510">
        <v>3500</v>
      </c>
      <c r="BO930" s="510">
        <v>0</v>
      </c>
      <c r="BP930" s="510">
        <v>2000</v>
      </c>
      <c r="BQ930" s="510">
        <v>0</v>
      </c>
      <c r="BR930" s="510">
        <v>0</v>
      </c>
      <c r="BS930" s="510">
        <v>0</v>
      </c>
      <c r="BT930" s="510">
        <v>0</v>
      </c>
      <c r="BU930" s="510">
        <v>0</v>
      </c>
      <c r="BV930" s="510">
        <v>0</v>
      </c>
      <c r="BW930" s="510">
        <v>0</v>
      </c>
      <c r="BX930" s="510">
        <v>30000</v>
      </c>
      <c r="BY930" s="1011">
        <v>0</v>
      </c>
      <c r="BZ930" s="510">
        <v>0</v>
      </c>
      <c r="CA930" s="1011">
        <v>0</v>
      </c>
      <c r="CB930" s="510">
        <v>22000</v>
      </c>
      <c r="CC930" s="1011">
        <v>0</v>
      </c>
      <c r="CD930" s="510">
        <v>0</v>
      </c>
      <c r="CE930" s="1011">
        <v>0</v>
      </c>
      <c r="CF930" s="510">
        <v>41166</v>
      </c>
      <c r="CG930" s="1011">
        <v>0</v>
      </c>
      <c r="CH930" s="510">
        <v>0</v>
      </c>
      <c r="CI930" s="1011">
        <v>0</v>
      </c>
    </row>
    <row r="931" spans="1:87" x14ac:dyDescent="0.2">
      <c r="A931" s="449">
        <v>28</v>
      </c>
      <c r="B931" s="453">
        <v>94196</v>
      </c>
      <c r="C931" s="454" t="s">
        <v>8188</v>
      </c>
      <c r="D931" s="454" t="s">
        <v>517</v>
      </c>
      <c r="E931" s="454" t="s">
        <v>8189</v>
      </c>
      <c r="F931" s="454" t="s">
        <v>522</v>
      </c>
      <c r="G931" s="454" t="s">
        <v>13852</v>
      </c>
      <c r="H931" s="455">
        <v>52034501000192</v>
      </c>
      <c r="I931" s="462">
        <v>30299</v>
      </c>
      <c r="J931" s="457">
        <v>37589148</v>
      </c>
      <c r="K931" s="454" t="s">
        <v>8190</v>
      </c>
      <c r="L931" s="458">
        <v>295</v>
      </c>
      <c r="M931" s="454" t="s">
        <v>8191</v>
      </c>
      <c r="N931" s="459">
        <v>2967050</v>
      </c>
      <c r="O931" s="460">
        <v>39755517</v>
      </c>
      <c r="P931" s="462">
        <v>77103</v>
      </c>
      <c r="Q931" s="462">
        <v>61</v>
      </c>
      <c r="R931" s="462">
        <v>43911</v>
      </c>
      <c r="S931" s="463">
        <v>780</v>
      </c>
      <c r="T931" s="464">
        <v>5.4</v>
      </c>
      <c r="U931" s="465">
        <v>4212</v>
      </c>
      <c r="V931" s="465">
        <v>18720</v>
      </c>
      <c r="W931" s="466">
        <v>0</v>
      </c>
      <c r="X931" s="467">
        <v>1</v>
      </c>
      <c r="Y931" s="466">
        <v>34398</v>
      </c>
      <c r="Z931" s="468" t="s">
        <v>516</v>
      </c>
      <c r="AA931" s="466">
        <v>128726</v>
      </c>
      <c r="AB931" s="466">
        <v>128726</v>
      </c>
      <c r="AC931" s="467">
        <v>0</v>
      </c>
      <c r="AD931" s="466">
        <v>0</v>
      </c>
      <c r="AE931" s="468" t="s">
        <v>516</v>
      </c>
      <c r="AF931" s="466">
        <v>1000</v>
      </c>
      <c r="AG931" s="466">
        <v>1000</v>
      </c>
      <c r="AH931" s="466">
        <v>54194.79</v>
      </c>
      <c r="AI931" s="466">
        <v>12841.16</v>
      </c>
      <c r="AJ931" s="469" t="s">
        <v>1571</v>
      </c>
      <c r="AK931" s="470" t="s">
        <v>528</v>
      </c>
      <c r="AL931" s="471" t="s">
        <v>8192</v>
      </c>
      <c r="AM931" s="470" t="s">
        <v>8193</v>
      </c>
      <c r="AN931" s="470" t="s">
        <v>1385</v>
      </c>
      <c r="AO931" s="470" t="s">
        <v>13853</v>
      </c>
      <c r="AP931" s="470" t="s">
        <v>8194</v>
      </c>
      <c r="AQ931" s="470" t="s">
        <v>8188</v>
      </c>
      <c r="AR931" s="472" t="s">
        <v>515</v>
      </c>
      <c r="AS931" s="473" t="s">
        <v>1385</v>
      </c>
      <c r="AT931" s="472" t="s">
        <v>517</v>
      </c>
      <c r="AU931" s="472" t="s">
        <v>420</v>
      </c>
      <c r="AV931" s="472">
        <v>2020</v>
      </c>
      <c r="AW931" s="474" t="s">
        <v>15078</v>
      </c>
      <c r="AX931" s="475" t="s">
        <v>15079</v>
      </c>
      <c r="AY931" s="515">
        <v>1</v>
      </c>
      <c r="AZ931" s="474" t="s">
        <v>15079</v>
      </c>
      <c r="BA931" s="472" t="s">
        <v>517</v>
      </c>
      <c r="BB931" s="472" t="s">
        <v>1385</v>
      </c>
      <c r="BC931" s="472" t="s">
        <v>1385</v>
      </c>
      <c r="BD931" s="472" t="s">
        <v>1385</v>
      </c>
      <c r="BE931" s="472" t="s">
        <v>1385</v>
      </c>
      <c r="BF931" s="472">
        <v>34398</v>
      </c>
      <c r="BG931" s="472">
        <v>0</v>
      </c>
      <c r="BH931" s="472" t="s">
        <v>1385</v>
      </c>
      <c r="BI931" s="510">
        <v>0</v>
      </c>
      <c r="BJ931" s="510">
        <v>0</v>
      </c>
      <c r="BK931" s="510">
        <v>0</v>
      </c>
      <c r="BL931" s="510">
        <v>0.7</v>
      </c>
      <c r="BM931" s="510">
        <v>0</v>
      </c>
      <c r="BN931" s="510">
        <v>3500</v>
      </c>
      <c r="BO931" s="510">
        <v>1000</v>
      </c>
      <c r="BP931" s="510">
        <v>1000</v>
      </c>
      <c r="BQ931" s="510">
        <v>0</v>
      </c>
      <c r="BR931" s="510">
        <v>0</v>
      </c>
      <c r="BS931" s="510">
        <v>0</v>
      </c>
      <c r="BT931" s="510">
        <v>0</v>
      </c>
      <c r="BU931" s="510">
        <v>0</v>
      </c>
      <c r="BV931" s="510">
        <v>0</v>
      </c>
      <c r="BW931" s="510">
        <v>0</v>
      </c>
      <c r="BX931" s="510">
        <v>30000</v>
      </c>
      <c r="BY931" s="1011">
        <v>0</v>
      </c>
      <c r="BZ931" s="510">
        <v>0</v>
      </c>
      <c r="CA931" s="1011">
        <v>0</v>
      </c>
      <c r="CB931" s="510">
        <v>22000</v>
      </c>
      <c r="CC931" s="1011">
        <v>0</v>
      </c>
      <c r="CD931" s="510">
        <v>0</v>
      </c>
      <c r="CE931" s="1011">
        <v>0</v>
      </c>
      <c r="CF931" s="510">
        <v>41328</v>
      </c>
      <c r="CG931" s="1011">
        <v>0</v>
      </c>
      <c r="CH931" s="510">
        <v>0</v>
      </c>
      <c r="CI931" s="1011">
        <v>0</v>
      </c>
    </row>
    <row r="932" spans="1:87" x14ac:dyDescent="0.2">
      <c r="A932" s="449">
        <v>42</v>
      </c>
      <c r="B932" s="453">
        <v>94200</v>
      </c>
      <c r="C932" s="454" t="s">
        <v>8195</v>
      </c>
      <c r="D932" s="454" t="s">
        <v>517</v>
      </c>
      <c r="E932" s="454" t="s">
        <v>8196</v>
      </c>
      <c r="F932" s="454" t="s">
        <v>522</v>
      </c>
      <c r="G932" s="454" t="s">
        <v>13854</v>
      </c>
      <c r="H932" s="455">
        <v>52191319000145</v>
      </c>
      <c r="I932" s="462">
        <v>30330</v>
      </c>
      <c r="J932" s="457">
        <v>37587781</v>
      </c>
      <c r="K932" s="454" t="s">
        <v>8197</v>
      </c>
      <c r="L932" s="458">
        <v>155</v>
      </c>
      <c r="M932" s="454" t="s">
        <v>3675</v>
      </c>
      <c r="N932" s="459">
        <v>2846140</v>
      </c>
      <c r="O932" s="460">
        <v>39212885</v>
      </c>
      <c r="P932" s="462">
        <v>80023</v>
      </c>
      <c r="Q932" s="462">
        <v>74</v>
      </c>
      <c r="R932" s="462">
        <v>43922</v>
      </c>
      <c r="S932" s="463">
        <v>786</v>
      </c>
      <c r="T932" s="464">
        <v>5.4</v>
      </c>
      <c r="U932" s="465">
        <v>4244.3999999999996</v>
      </c>
      <c r="V932" s="465">
        <v>18720</v>
      </c>
      <c r="W932" s="466">
        <v>0</v>
      </c>
      <c r="X932" s="467">
        <v>1</v>
      </c>
      <c r="Y932" s="466">
        <v>40062.6</v>
      </c>
      <c r="Z932" s="468" t="s">
        <v>516</v>
      </c>
      <c r="AA932" s="466">
        <v>137321.79999999999</v>
      </c>
      <c r="AB932" s="466">
        <v>137321.79999999999</v>
      </c>
      <c r="AC932" s="467">
        <v>0</v>
      </c>
      <c r="AD932" s="466">
        <v>0</v>
      </c>
      <c r="AE932" s="468" t="s">
        <v>516</v>
      </c>
      <c r="AF932" s="466">
        <v>2000</v>
      </c>
      <c r="AG932" s="466">
        <v>2000</v>
      </c>
      <c r="AH932" s="466">
        <v>25249.31</v>
      </c>
      <c r="AI932" s="466">
        <v>17162.66</v>
      </c>
      <c r="AJ932" s="469" t="s">
        <v>1571</v>
      </c>
      <c r="AK932" s="470" t="s">
        <v>528</v>
      </c>
      <c r="AL932" s="471" t="s">
        <v>8198</v>
      </c>
      <c r="AM932" s="470" t="s">
        <v>8199</v>
      </c>
      <c r="AN932" s="470" t="s">
        <v>1385</v>
      </c>
      <c r="AO932" s="470" t="s">
        <v>8200</v>
      </c>
      <c r="AP932" s="470" t="s">
        <v>8201</v>
      </c>
      <c r="AQ932" s="470" t="s">
        <v>8195</v>
      </c>
      <c r="AR932" s="472" t="s">
        <v>515</v>
      </c>
      <c r="AS932" s="473" t="s">
        <v>1385</v>
      </c>
      <c r="AT932" s="472" t="s">
        <v>517</v>
      </c>
      <c r="AU932" s="472" t="s">
        <v>420</v>
      </c>
      <c r="AV932" s="472">
        <v>2020</v>
      </c>
      <c r="AW932" s="474" t="s">
        <v>15078</v>
      </c>
      <c r="AX932" s="475" t="s">
        <v>15079</v>
      </c>
      <c r="AY932" s="515">
        <v>1</v>
      </c>
      <c r="AZ932" s="474" t="s">
        <v>15079</v>
      </c>
      <c r="BA932" s="472" t="s">
        <v>517</v>
      </c>
      <c r="BB932" s="472" t="s">
        <v>516</v>
      </c>
      <c r="BC932" s="472">
        <v>3</v>
      </c>
      <c r="BD932" s="472">
        <v>3744</v>
      </c>
      <c r="BE932" s="472">
        <v>0</v>
      </c>
      <c r="BF932" s="472">
        <v>40062.6</v>
      </c>
      <c r="BG932" s="472">
        <v>0</v>
      </c>
      <c r="BH932" s="472" t="s">
        <v>1385</v>
      </c>
      <c r="BI932" s="510">
        <v>0</v>
      </c>
      <c r="BJ932" s="510">
        <v>0</v>
      </c>
      <c r="BK932" s="510">
        <v>0</v>
      </c>
      <c r="BL932" s="510">
        <v>0</v>
      </c>
      <c r="BM932" s="510">
        <v>0</v>
      </c>
      <c r="BN932" s="510">
        <v>3700</v>
      </c>
      <c r="BO932" s="510">
        <v>0</v>
      </c>
      <c r="BP932" s="510">
        <v>2000</v>
      </c>
      <c r="BQ932" s="510">
        <v>0</v>
      </c>
      <c r="BR932" s="510">
        <v>0</v>
      </c>
      <c r="BS932" s="510">
        <v>0</v>
      </c>
      <c r="BT932" s="510">
        <v>0</v>
      </c>
      <c r="BU932" s="510">
        <v>2500</v>
      </c>
      <c r="BV932" s="510">
        <v>2500</v>
      </c>
      <c r="BW932" s="510">
        <v>0</v>
      </c>
      <c r="BX932" s="510">
        <v>30000</v>
      </c>
      <c r="BY932" s="1011">
        <v>0</v>
      </c>
      <c r="BZ932" s="510">
        <v>0</v>
      </c>
      <c r="CA932" s="1011">
        <v>0</v>
      </c>
      <c r="CB932" s="510">
        <v>22000</v>
      </c>
      <c r="CC932" s="1011">
        <v>0</v>
      </c>
      <c r="CD932" s="510">
        <v>0</v>
      </c>
      <c r="CE932" s="1011">
        <v>0</v>
      </c>
      <c r="CF932" s="510">
        <v>45259.199999999997</v>
      </c>
      <c r="CG932" s="1011">
        <v>0</v>
      </c>
      <c r="CH932" s="510">
        <v>0</v>
      </c>
      <c r="CI932" s="1011">
        <v>0</v>
      </c>
    </row>
    <row r="933" spans="1:87" x14ac:dyDescent="0.2">
      <c r="A933" s="449">
        <v>19</v>
      </c>
      <c r="B933" s="453">
        <v>94218</v>
      </c>
      <c r="C933" s="454" t="s">
        <v>8202</v>
      </c>
      <c r="D933" s="454" t="s">
        <v>517</v>
      </c>
      <c r="E933" s="454" t="s">
        <v>8203</v>
      </c>
      <c r="F933" s="454" t="s">
        <v>522</v>
      </c>
      <c r="G933" s="454" t="s">
        <v>13855</v>
      </c>
      <c r="H933" s="455">
        <v>52027166000103</v>
      </c>
      <c r="I933" s="462">
        <v>30271</v>
      </c>
      <c r="J933" s="457">
        <v>37588397</v>
      </c>
      <c r="K933" s="454" t="s">
        <v>8204</v>
      </c>
      <c r="L933" s="458">
        <v>619</v>
      </c>
      <c r="M933" s="454" t="s">
        <v>8205</v>
      </c>
      <c r="N933" s="459">
        <v>2853010</v>
      </c>
      <c r="O933" s="460">
        <v>39213875</v>
      </c>
      <c r="P933" s="462">
        <v>75437</v>
      </c>
      <c r="Q933" s="462">
        <v>52</v>
      </c>
      <c r="R933" s="462">
        <v>43911</v>
      </c>
      <c r="S933" s="463">
        <v>1165</v>
      </c>
      <c r="T933" s="464">
        <v>5.4</v>
      </c>
      <c r="U933" s="465">
        <v>6291</v>
      </c>
      <c r="V933" s="465">
        <v>20340</v>
      </c>
      <c r="W933" s="466">
        <v>0</v>
      </c>
      <c r="X933" s="467">
        <v>1</v>
      </c>
      <c r="Y933" s="466">
        <v>39946.5</v>
      </c>
      <c r="Z933" s="468" t="s">
        <v>516</v>
      </c>
      <c r="AA933" s="466">
        <v>144917.29999999999</v>
      </c>
      <c r="AB933" s="466">
        <v>144917.29999999999</v>
      </c>
      <c r="AC933" s="467">
        <v>0</v>
      </c>
      <c r="AD933" s="466">
        <v>0</v>
      </c>
      <c r="AE933" s="468" t="s">
        <v>516</v>
      </c>
      <c r="AF933" s="466">
        <v>1600</v>
      </c>
      <c r="AG933" s="466">
        <v>1600</v>
      </c>
      <c r="AH933" s="466">
        <v>22431.14</v>
      </c>
      <c r="AI933" s="466">
        <v>12816.05</v>
      </c>
      <c r="AJ933" s="469" t="s">
        <v>1438</v>
      </c>
      <c r="AK933" s="470" t="s">
        <v>12345</v>
      </c>
      <c r="AL933" s="471" t="s">
        <v>13856</v>
      </c>
      <c r="AM933" s="470" t="s">
        <v>8206</v>
      </c>
      <c r="AN933" s="470" t="s">
        <v>1385</v>
      </c>
      <c r="AO933" s="470" t="s">
        <v>8207</v>
      </c>
      <c r="AP933" s="470" t="s">
        <v>8208</v>
      </c>
      <c r="AQ933" s="470" t="s">
        <v>8202</v>
      </c>
      <c r="AR933" s="472" t="s">
        <v>515</v>
      </c>
      <c r="AS933" s="473" t="s">
        <v>1385</v>
      </c>
      <c r="AT933" s="472" t="s">
        <v>517</v>
      </c>
      <c r="AU933" s="472" t="s">
        <v>420</v>
      </c>
      <c r="AV933" s="472">
        <v>2020</v>
      </c>
      <c r="AW933" s="474" t="s">
        <v>15078</v>
      </c>
      <c r="AX933" s="475" t="s">
        <v>15079</v>
      </c>
      <c r="AY933" s="515">
        <v>1</v>
      </c>
      <c r="AZ933" s="474" t="s">
        <v>15079</v>
      </c>
      <c r="BA933" s="472" t="s">
        <v>517</v>
      </c>
      <c r="BB933" s="472" t="s">
        <v>1385</v>
      </c>
      <c r="BC933" s="472" t="s">
        <v>1385</v>
      </c>
      <c r="BD933" s="472" t="s">
        <v>1385</v>
      </c>
      <c r="BE933" s="472" t="s">
        <v>1385</v>
      </c>
      <c r="BF933" s="472">
        <v>39946.5</v>
      </c>
      <c r="BG933" s="472">
        <v>0</v>
      </c>
      <c r="BH933" s="472" t="s">
        <v>1385</v>
      </c>
      <c r="BI933" s="510">
        <v>0</v>
      </c>
      <c r="BJ933" s="510">
        <v>0</v>
      </c>
      <c r="BK933" s="510">
        <v>0</v>
      </c>
      <c r="BL933" s="510">
        <v>0</v>
      </c>
      <c r="BM933" s="510">
        <v>0</v>
      </c>
      <c r="BN933" s="510">
        <v>4350</v>
      </c>
      <c r="BO933" s="510">
        <v>400</v>
      </c>
      <c r="BP933" s="510">
        <v>1600</v>
      </c>
      <c r="BQ933" s="510">
        <v>0</v>
      </c>
      <c r="BR933" s="510">
        <v>0</v>
      </c>
      <c r="BS933" s="510">
        <v>0</v>
      </c>
      <c r="BT933" s="510">
        <v>0</v>
      </c>
      <c r="BU933" s="510">
        <v>2500</v>
      </c>
      <c r="BV933" s="510">
        <v>2500</v>
      </c>
      <c r="BW933" s="510">
        <v>0</v>
      </c>
      <c r="BX933" s="510">
        <v>30000</v>
      </c>
      <c r="BY933" s="1011">
        <v>0</v>
      </c>
      <c r="BZ933" s="510">
        <v>0</v>
      </c>
      <c r="CA933" s="1011">
        <v>0</v>
      </c>
      <c r="CB933" s="510">
        <v>22000</v>
      </c>
      <c r="CC933" s="1011">
        <v>0</v>
      </c>
      <c r="CD933" s="510">
        <v>0</v>
      </c>
      <c r="CE933" s="1011">
        <v>0</v>
      </c>
      <c r="CF933" s="510">
        <v>52570.8</v>
      </c>
      <c r="CG933" s="1011">
        <v>0</v>
      </c>
      <c r="CH933" s="510">
        <v>0</v>
      </c>
      <c r="CI933" s="1011">
        <v>0</v>
      </c>
    </row>
    <row r="934" spans="1:87" x14ac:dyDescent="0.2">
      <c r="A934" s="449">
        <v>49</v>
      </c>
      <c r="B934" s="453">
        <v>94226</v>
      </c>
      <c r="C934" s="454" t="s">
        <v>8209</v>
      </c>
      <c r="D934" s="454" t="s">
        <v>517</v>
      </c>
      <c r="E934" s="454" t="s">
        <v>8210</v>
      </c>
      <c r="F934" s="454" t="s">
        <v>522</v>
      </c>
      <c r="G934" s="454" t="s">
        <v>13857</v>
      </c>
      <c r="H934" s="455">
        <v>71588370000130</v>
      </c>
      <c r="I934" s="462">
        <v>34311</v>
      </c>
      <c r="J934" s="457">
        <v>37587722</v>
      </c>
      <c r="K934" s="454" t="s">
        <v>8211</v>
      </c>
      <c r="L934" s="458">
        <v>2515</v>
      </c>
      <c r="M934" s="454" t="s">
        <v>3675</v>
      </c>
      <c r="N934" s="459">
        <v>2845040</v>
      </c>
      <c r="O934" s="460">
        <v>39211033</v>
      </c>
      <c r="P934" s="462">
        <v>86510</v>
      </c>
      <c r="Q934" s="462">
        <v>81</v>
      </c>
      <c r="R934" s="462">
        <v>43911</v>
      </c>
      <c r="S934" s="463">
        <v>743</v>
      </c>
      <c r="T934" s="464">
        <v>5.4</v>
      </c>
      <c r="U934" s="465">
        <v>4012.2</v>
      </c>
      <c r="V934" s="465">
        <v>18720</v>
      </c>
      <c r="W934" s="466">
        <v>0</v>
      </c>
      <c r="X934" s="467">
        <v>1</v>
      </c>
      <c r="Y934" s="466">
        <v>34098.300000000003</v>
      </c>
      <c r="Z934" s="468" t="s">
        <v>516</v>
      </c>
      <c r="AA934" s="466">
        <v>131281.9</v>
      </c>
      <c r="AB934" s="466">
        <v>131281.9</v>
      </c>
      <c r="AC934" s="467">
        <v>0</v>
      </c>
      <c r="AD934" s="466">
        <v>0</v>
      </c>
      <c r="AE934" s="468" t="s">
        <v>516</v>
      </c>
      <c r="AF934" s="466">
        <v>0</v>
      </c>
      <c r="AG934" s="466">
        <v>0</v>
      </c>
      <c r="AH934" s="466">
        <v>8556.3799999999992</v>
      </c>
      <c r="AI934" s="466">
        <v>12604.42</v>
      </c>
      <c r="AJ934" s="469" t="s">
        <v>1438</v>
      </c>
      <c r="AK934" s="470" t="s">
        <v>12345</v>
      </c>
      <c r="AL934" s="471" t="s">
        <v>8212</v>
      </c>
      <c r="AM934" s="470" t="s">
        <v>8213</v>
      </c>
      <c r="AN934" s="470" t="s">
        <v>1385</v>
      </c>
      <c r="AO934" s="470" t="s">
        <v>13858</v>
      </c>
      <c r="AP934" s="470" t="s">
        <v>8214</v>
      </c>
      <c r="AQ934" s="470" t="s">
        <v>8209</v>
      </c>
      <c r="AR934" s="472" t="s">
        <v>515</v>
      </c>
      <c r="AS934" s="473" t="s">
        <v>1385</v>
      </c>
      <c r="AT934" s="472" t="s">
        <v>517</v>
      </c>
      <c r="AU934" s="472" t="s">
        <v>420</v>
      </c>
      <c r="AV934" s="472">
        <v>2020</v>
      </c>
      <c r="AW934" s="474" t="s">
        <v>15078</v>
      </c>
      <c r="AX934" s="475" t="s">
        <v>15079</v>
      </c>
      <c r="AY934" s="515">
        <v>1</v>
      </c>
      <c r="AZ934" s="474" t="s">
        <v>15079</v>
      </c>
      <c r="BA934" s="472" t="s">
        <v>517</v>
      </c>
      <c r="BB934" s="472" t="s">
        <v>1385</v>
      </c>
      <c r="BC934" s="472" t="s">
        <v>1385</v>
      </c>
      <c r="BD934" s="472" t="s">
        <v>1385</v>
      </c>
      <c r="BE934" s="472" t="s">
        <v>1385</v>
      </c>
      <c r="BF934" s="472">
        <v>34098.300000000003</v>
      </c>
      <c r="BG934" s="472">
        <v>0</v>
      </c>
      <c r="BH934" s="472" t="s">
        <v>1385</v>
      </c>
      <c r="BI934" s="510">
        <v>0</v>
      </c>
      <c r="BJ934" s="510">
        <v>0</v>
      </c>
      <c r="BK934" s="510">
        <v>0</v>
      </c>
      <c r="BL934" s="510">
        <v>0</v>
      </c>
      <c r="BM934" s="510">
        <v>0</v>
      </c>
      <c r="BN934" s="510">
        <v>5000</v>
      </c>
      <c r="BO934" s="510">
        <v>0</v>
      </c>
      <c r="BP934" s="510">
        <v>0</v>
      </c>
      <c r="BQ934" s="510">
        <v>0</v>
      </c>
      <c r="BR934" s="510">
        <v>0</v>
      </c>
      <c r="BS934" s="510">
        <v>0</v>
      </c>
      <c r="BT934" s="510">
        <v>0</v>
      </c>
      <c r="BU934" s="510">
        <v>0</v>
      </c>
      <c r="BV934" s="510">
        <v>0</v>
      </c>
      <c r="BW934" s="510">
        <v>0</v>
      </c>
      <c r="BX934" s="510">
        <v>30000</v>
      </c>
      <c r="BY934" s="1011">
        <v>0</v>
      </c>
      <c r="BZ934" s="510">
        <v>0</v>
      </c>
      <c r="CA934" s="1011">
        <v>0</v>
      </c>
      <c r="CB934" s="510">
        <v>22000</v>
      </c>
      <c r="CC934" s="1011">
        <v>0</v>
      </c>
      <c r="CD934" s="510">
        <v>0</v>
      </c>
      <c r="CE934" s="1011">
        <v>0</v>
      </c>
      <c r="CF934" s="510">
        <v>45183.6</v>
      </c>
      <c r="CG934" s="1011">
        <v>0</v>
      </c>
      <c r="CH934" s="510">
        <v>0</v>
      </c>
      <c r="CI934" s="1011">
        <v>0</v>
      </c>
    </row>
    <row r="935" spans="1:87" x14ac:dyDescent="0.2">
      <c r="A935" s="449">
        <v>52</v>
      </c>
      <c r="B935" s="453">
        <v>94234</v>
      </c>
      <c r="C935" s="454" t="s">
        <v>8215</v>
      </c>
      <c r="D935" s="454" t="s">
        <v>517</v>
      </c>
      <c r="E935" s="454" t="s">
        <v>8216</v>
      </c>
      <c r="F935" s="454" t="s">
        <v>522</v>
      </c>
      <c r="G935" s="454" t="s">
        <v>13859</v>
      </c>
      <c r="H935" s="455">
        <v>53177929000157</v>
      </c>
      <c r="I935" s="462">
        <v>30705</v>
      </c>
      <c r="J935" s="457">
        <v>37605445</v>
      </c>
      <c r="K935" s="454" t="s">
        <v>8217</v>
      </c>
      <c r="L935" s="458">
        <v>110</v>
      </c>
      <c r="M935" s="454" t="s">
        <v>6275</v>
      </c>
      <c r="N935" s="459">
        <v>2866040</v>
      </c>
      <c r="O935" s="460">
        <v>38518820</v>
      </c>
      <c r="P935" s="462">
        <v>79912</v>
      </c>
      <c r="Q935" s="462">
        <v>85</v>
      </c>
      <c r="R935" s="462">
        <v>43967</v>
      </c>
      <c r="S935" s="463">
        <v>997</v>
      </c>
      <c r="T935" s="464">
        <v>5.4</v>
      </c>
      <c r="U935" s="465">
        <v>5383.8</v>
      </c>
      <c r="V935" s="465">
        <v>20340</v>
      </c>
      <c r="W935" s="466">
        <v>0</v>
      </c>
      <c r="X935" s="467">
        <v>1</v>
      </c>
      <c r="Y935" s="466">
        <v>47738.7</v>
      </c>
      <c r="Z935" s="468" t="s">
        <v>516</v>
      </c>
      <c r="AA935" s="466">
        <v>146650.29999999999</v>
      </c>
      <c r="AB935" s="466">
        <v>146650.29999999999</v>
      </c>
      <c r="AC935" s="467">
        <v>0</v>
      </c>
      <c r="AD935" s="466">
        <v>0</v>
      </c>
      <c r="AE935" s="468" t="s">
        <v>516</v>
      </c>
      <c r="AF935" s="466">
        <v>2000</v>
      </c>
      <c r="AG935" s="466">
        <v>2000</v>
      </c>
      <c r="AH935" s="466">
        <v>0</v>
      </c>
      <c r="AI935" s="466">
        <v>1222.3</v>
      </c>
      <c r="AJ935" s="469" t="s">
        <v>1438</v>
      </c>
      <c r="AK935" s="470" t="s">
        <v>12345</v>
      </c>
      <c r="AL935" s="471" t="s">
        <v>8218</v>
      </c>
      <c r="AM935" s="470" t="s">
        <v>13860</v>
      </c>
      <c r="AN935" s="470" t="s">
        <v>1385</v>
      </c>
      <c r="AO935" s="470" t="s">
        <v>13861</v>
      </c>
      <c r="AP935" s="470" t="s">
        <v>8219</v>
      </c>
      <c r="AQ935" s="470" t="s">
        <v>8215</v>
      </c>
      <c r="AR935" s="472" t="s">
        <v>515</v>
      </c>
      <c r="AS935" s="473" t="s">
        <v>1385</v>
      </c>
      <c r="AT935" s="472" t="s">
        <v>517</v>
      </c>
      <c r="AU935" s="472" t="s">
        <v>420</v>
      </c>
      <c r="AV935" s="472">
        <v>2020</v>
      </c>
      <c r="AW935" s="474" t="s">
        <v>15078</v>
      </c>
      <c r="AX935" s="475" t="s">
        <v>15079</v>
      </c>
      <c r="AY935" s="515">
        <v>1</v>
      </c>
      <c r="AZ935" s="474" t="s">
        <v>15079</v>
      </c>
      <c r="BA935" s="472" t="s">
        <v>517</v>
      </c>
      <c r="BB935" s="472" t="s">
        <v>516</v>
      </c>
      <c r="BC935" s="472">
        <v>6</v>
      </c>
      <c r="BD935" s="472">
        <v>6102</v>
      </c>
      <c r="BE935" s="472">
        <v>0</v>
      </c>
      <c r="BF935" s="472">
        <v>47738.7</v>
      </c>
      <c r="BG935" s="472">
        <v>0</v>
      </c>
      <c r="BH935" s="472" t="s">
        <v>1385</v>
      </c>
      <c r="BI935" s="510">
        <v>0</v>
      </c>
      <c r="BJ935" s="510">
        <v>0</v>
      </c>
      <c r="BK935" s="510">
        <v>0</v>
      </c>
      <c r="BL935" s="510">
        <v>0</v>
      </c>
      <c r="BM935" s="510">
        <v>0</v>
      </c>
      <c r="BN935" s="510">
        <v>0</v>
      </c>
      <c r="BO935" s="510">
        <v>0</v>
      </c>
      <c r="BP935" s="510">
        <v>2000</v>
      </c>
      <c r="BQ935" s="510">
        <v>0</v>
      </c>
      <c r="BR935" s="510">
        <v>0</v>
      </c>
      <c r="BS935" s="510">
        <v>0</v>
      </c>
      <c r="BT935" s="510">
        <v>0</v>
      </c>
      <c r="BU935" s="510">
        <v>0</v>
      </c>
      <c r="BV935" s="510">
        <v>0</v>
      </c>
      <c r="BW935" s="510">
        <v>0</v>
      </c>
      <c r="BX935" s="510">
        <v>30000</v>
      </c>
      <c r="BY935" s="1011">
        <v>0</v>
      </c>
      <c r="BZ935" s="510">
        <v>0</v>
      </c>
      <c r="CA935" s="1011">
        <v>0</v>
      </c>
      <c r="CB935" s="510">
        <v>22000</v>
      </c>
      <c r="CC935" s="1011">
        <v>0</v>
      </c>
      <c r="CD935" s="510">
        <v>0</v>
      </c>
      <c r="CE935" s="1011">
        <v>0</v>
      </c>
      <c r="CF935" s="510">
        <v>46911.6</v>
      </c>
      <c r="CG935" s="1011">
        <v>0</v>
      </c>
      <c r="CH935" s="510">
        <v>0</v>
      </c>
      <c r="CI935" s="1011">
        <v>0</v>
      </c>
    </row>
    <row r="936" spans="1:87" x14ac:dyDescent="0.2">
      <c r="A936" s="449">
        <v>21</v>
      </c>
      <c r="B936" s="453">
        <v>94242</v>
      </c>
      <c r="C936" s="454" t="s">
        <v>8220</v>
      </c>
      <c r="D936" s="454" t="s">
        <v>517</v>
      </c>
      <c r="E936" s="454" t="s">
        <v>8221</v>
      </c>
      <c r="F936" s="454" t="s">
        <v>522</v>
      </c>
      <c r="G936" s="454" t="s">
        <v>13862</v>
      </c>
      <c r="H936" s="455">
        <v>52566403000104</v>
      </c>
      <c r="I936" s="462">
        <v>30445</v>
      </c>
      <c r="J936" s="457">
        <v>37590413</v>
      </c>
      <c r="K936" s="454" t="s">
        <v>8222</v>
      </c>
      <c r="L936" s="458">
        <v>50</v>
      </c>
      <c r="M936" s="454" t="s">
        <v>8223</v>
      </c>
      <c r="N936" s="459">
        <v>2865110</v>
      </c>
      <c r="O936" s="460">
        <v>38515722</v>
      </c>
      <c r="P936" s="462">
        <v>77200</v>
      </c>
      <c r="Q936" s="462">
        <v>54</v>
      </c>
      <c r="R936" s="462">
        <v>43911</v>
      </c>
      <c r="S936" s="463">
        <v>664</v>
      </c>
      <c r="T936" s="464">
        <v>5.4</v>
      </c>
      <c r="U936" s="465">
        <v>3585.6</v>
      </c>
      <c r="V936" s="465">
        <v>17100</v>
      </c>
      <c r="W936" s="466">
        <v>0</v>
      </c>
      <c r="X936" s="467">
        <v>1</v>
      </c>
      <c r="Y936" s="466">
        <v>0</v>
      </c>
      <c r="Z936" s="468" t="s">
        <v>514</v>
      </c>
      <c r="AA936" s="466">
        <v>0</v>
      </c>
      <c r="AB936" s="466">
        <v>0</v>
      </c>
      <c r="AC936" s="467">
        <v>0</v>
      </c>
      <c r="AD936" s="466">
        <v>0</v>
      </c>
      <c r="AE936" s="468" t="s">
        <v>516</v>
      </c>
      <c r="AF936" s="466">
        <v>0</v>
      </c>
      <c r="AG936" s="466">
        <v>0</v>
      </c>
      <c r="AH936" s="466">
        <v>0</v>
      </c>
      <c r="AI936" s="466">
        <v>0</v>
      </c>
      <c r="AJ936" s="469" t="s">
        <v>1438</v>
      </c>
      <c r="AK936" s="470" t="s">
        <v>12345</v>
      </c>
      <c r="AL936" s="471" t="s">
        <v>8224</v>
      </c>
      <c r="AM936" s="470" t="s">
        <v>13863</v>
      </c>
      <c r="AN936" s="470" t="s">
        <v>1385</v>
      </c>
      <c r="AO936" s="470" t="s">
        <v>13864</v>
      </c>
      <c r="AP936" s="470" t="s">
        <v>8225</v>
      </c>
      <c r="AQ936" s="470" t="s">
        <v>8220</v>
      </c>
      <c r="AR936" s="472" t="s">
        <v>515</v>
      </c>
      <c r="AS936" s="473" t="s">
        <v>1385</v>
      </c>
      <c r="AT936" s="472" t="s">
        <v>517</v>
      </c>
      <c r="AU936" s="472" t="s">
        <v>420</v>
      </c>
      <c r="AV936" s="472">
        <v>2020</v>
      </c>
      <c r="AW936" s="474" t="s">
        <v>15078</v>
      </c>
      <c r="AX936" s="475" t="s">
        <v>15079</v>
      </c>
      <c r="AY936" s="515">
        <v>1</v>
      </c>
      <c r="AZ936" s="474" t="s">
        <v>15079</v>
      </c>
      <c r="BA936" s="472" t="s">
        <v>1385</v>
      </c>
      <c r="BB936" s="472" t="s">
        <v>1385</v>
      </c>
      <c r="BC936" s="472" t="s">
        <v>1385</v>
      </c>
      <c r="BD936" s="472" t="s">
        <v>1385</v>
      </c>
      <c r="BE936" s="472" t="s">
        <v>1385</v>
      </c>
      <c r="BF936" s="472">
        <v>31028.400000000001</v>
      </c>
      <c r="BG936" s="472">
        <v>0</v>
      </c>
      <c r="BH936" s="472" t="s">
        <v>516</v>
      </c>
      <c r="BI936" s="510">
        <v>0</v>
      </c>
      <c r="BJ936" s="510">
        <v>0</v>
      </c>
      <c r="BK936" s="510">
        <v>0</v>
      </c>
      <c r="BL936" s="510">
        <v>0</v>
      </c>
      <c r="BM936" s="510">
        <v>0</v>
      </c>
      <c r="BN936" s="510">
        <v>0</v>
      </c>
      <c r="BO936" s="510">
        <v>0</v>
      </c>
      <c r="BP936" s="510">
        <v>0</v>
      </c>
      <c r="BQ936" s="510">
        <v>0</v>
      </c>
      <c r="BR936" s="510">
        <v>0</v>
      </c>
      <c r="BS936" s="510">
        <v>0</v>
      </c>
      <c r="BT936" s="510">
        <v>0</v>
      </c>
      <c r="BU936" s="510">
        <v>0</v>
      </c>
      <c r="BV936" s="510">
        <v>0</v>
      </c>
      <c r="BW936" s="510">
        <v>0</v>
      </c>
      <c r="BX936" s="510">
        <v>0</v>
      </c>
      <c r="BY936" s="1011">
        <v>0</v>
      </c>
      <c r="BZ936" s="510">
        <v>0</v>
      </c>
      <c r="CA936" s="1011">
        <v>0</v>
      </c>
      <c r="CB936" s="510">
        <v>0</v>
      </c>
      <c r="CC936" s="1011">
        <v>0</v>
      </c>
      <c r="CD936" s="510">
        <v>0</v>
      </c>
      <c r="CE936" s="1011">
        <v>0</v>
      </c>
      <c r="CF936" s="510">
        <v>0</v>
      </c>
      <c r="CG936" s="1011">
        <v>0</v>
      </c>
      <c r="CH936" s="510">
        <v>0</v>
      </c>
      <c r="CI936" s="1011">
        <v>0</v>
      </c>
    </row>
    <row r="937" spans="1:87" x14ac:dyDescent="0.2">
      <c r="A937" s="449">
        <v>51</v>
      </c>
      <c r="B937" s="453">
        <v>94251</v>
      </c>
      <c r="C937" s="454" t="s">
        <v>8226</v>
      </c>
      <c r="D937" s="454" t="s">
        <v>517</v>
      </c>
      <c r="E937" s="454" t="s">
        <v>8227</v>
      </c>
      <c r="F937" s="454" t="s">
        <v>522</v>
      </c>
      <c r="G937" s="454" t="s">
        <v>13865</v>
      </c>
      <c r="H937" s="455">
        <v>53102828000117</v>
      </c>
      <c r="I937" s="462">
        <v>30659</v>
      </c>
      <c r="J937" s="457">
        <v>37586874</v>
      </c>
      <c r="K937" s="454" t="s">
        <v>8228</v>
      </c>
      <c r="L937" s="458">
        <v>177</v>
      </c>
      <c r="M937" s="454" t="s">
        <v>5097</v>
      </c>
      <c r="N937" s="459">
        <v>2860110</v>
      </c>
      <c r="O937" s="460">
        <v>38512226</v>
      </c>
      <c r="P937" s="462">
        <v>80058</v>
      </c>
      <c r="Q937" s="462">
        <v>83</v>
      </c>
      <c r="R937" s="462">
        <v>43911</v>
      </c>
      <c r="S937" s="463">
        <v>1039</v>
      </c>
      <c r="T937" s="464">
        <v>5.4</v>
      </c>
      <c r="U937" s="465">
        <v>5610.6</v>
      </c>
      <c r="V937" s="465">
        <v>20340</v>
      </c>
      <c r="W937" s="466">
        <v>0</v>
      </c>
      <c r="X937" s="467">
        <v>1</v>
      </c>
      <c r="Y937" s="466">
        <v>38925.9</v>
      </c>
      <c r="Z937" s="468" t="s">
        <v>516</v>
      </c>
      <c r="AA937" s="466">
        <v>142719.1</v>
      </c>
      <c r="AB937" s="466">
        <v>142719.1</v>
      </c>
      <c r="AC937" s="467">
        <v>0</v>
      </c>
      <c r="AD937" s="466">
        <v>0</v>
      </c>
      <c r="AE937" s="468" t="s">
        <v>516</v>
      </c>
      <c r="AF937" s="466">
        <v>2000</v>
      </c>
      <c r="AG937" s="466">
        <v>2000</v>
      </c>
      <c r="AH937" s="466">
        <v>45069.84</v>
      </c>
      <c r="AI937" s="466">
        <v>13388.19</v>
      </c>
      <c r="AJ937" s="469" t="s">
        <v>1571</v>
      </c>
      <c r="AK937" s="470" t="s">
        <v>528</v>
      </c>
      <c r="AL937" s="471" t="s">
        <v>8229</v>
      </c>
      <c r="AM937" s="470" t="s">
        <v>8230</v>
      </c>
      <c r="AN937" s="470" t="s">
        <v>1385</v>
      </c>
      <c r="AO937" s="470" t="s">
        <v>13866</v>
      </c>
      <c r="AP937" s="470" t="s">
        <v>8231</v>
      </c>
      <c r="AQ937" s="470" t="s">
        <v>8226</v>
      </c>
      <c r="AR937" s="472" t="s">
        <v>515</v>
      </c>
      <c r="AS937" s="473" t="s">
        <v>1385</v>
      </c>
      <c r="AT937" s="472" t="s">
        <v>517</v>
      </c>
      <c r="AU937" s="472" t="s">
        <v>420</v>
      </c>
      <c r="AV937" s="472">
        <v>2020</v>
      </c>
      <c r="AW937" s="474" t="s">
        <v>15078</v>
      </c>
      <c r="AX937" s="475" t="s">
        <v>15079</v>
      </c>
      <c r="AY937" s="515">
        <v>1</v>
      </c>
      <c r="AZ937" s="474" t="s">
        <v>15079</v>
      </c>
      <c r="BA937" s="472" t="s">
        <v>517</v>
      </c>
      <c r="BB937" s="472" t="s">
        <v>1385</v>
      </c>
      <c r="BC937" s="472" t="s">
        <v>1385</v>
      </c>
      <c r="BD937" s="472" t="s">
        <v>1385</v>
      </c>
      <c r="BE937" s="472" t="s">
        <v>1385</v>
      </c>
      <c r="BF937" s="472">
        <v>38925.9</v>
      </c>
      <c r="BG937" s="472">
        <v>0</v>
      </c>
      <c r="BH937" s="472" t="s">
        <v>1385</v>
      </c>
      <c r="BI937" s="510">
        <v>0</v>
      </c>
      <c r="BJ937" s="510">
        <v>0</v>
      </c>
      <c r="BK937" s="510">
        <v>0</v>
      </c>
      <c r="BL937" s="510">
        <v>0.3</v>
      </c>
      <c r="BM937" s="510">
        <v>0</v>
      </c>
      <c r="BN937" s="510">
        <v>5000</v>
      </c>
      <c r="BO937" s="510">
        <v>0</v>
      </c>
      <c r="BP937" s="510">
        <v>2000</v>
      </c>
      <c r="BQ937" s="510">
        <v>0</v>
      </c>
      <c r="BR937" s="510">
        <v>0</v>
      </c>
      <c r="BS937" s="510">
        <v>0</v>
      </c>
      <c r="BT937" s="510">
        <v>0</v>
      </c>
      <c r="BU937" s="510">
        <v>0</v>
      </c>
      <c r="BV937" s="510">
        <v>0</v>
      </c>
      <c r="BW937" s="510">
        <v>0</v>
      </c>
      <c r="BX937" s="510">
        <v>30000</v>
      </c>
      <c r="BY937" s="1011">
        <v>0</v>
      </c>
      <c r="BZ937" s="510">
        <v>0</v>
      </c>
      <c r="CA937" s="1011">
        <v>0</v>
      </c>
      <c r="CB937" s="510">
        <v>22000</v>
      </c>
      <c r="CC937" s="1011">
        <v>0</v>
      </c>
      <c r="CD937" s="510">
        <v>0</v>
      </c>
      <c r="CE937" s="1011">
        <v>0</v>
      </c>
      <c r="CF937" s="510">
        <v>51793.2</v>
      </c>
      <c r="CG937" s="1011">
        <v>0</v>
      </c>
      <c r="CH937" s="510">
        <v>0</v>
      </c>
      <c r="CI937" s="1011">
        <v>0</v>
      </c>
    </row>
    <row r="938" spans="1:87" x14ac:dyDescent="0.2">
      <c r="A938" s="449">
        <v>24</v>
      </c>
      <c r="B938" s="453">
        <v>94269</v>
      </c>
      <c r="C938" s="454" t="s">
        <v>8232</v>
      </c>
      <c r="D938" s="454" t="s">
        <v>517</v>
      </c>
      <c r="E938" s="454" t="s">
        <v>8233</v>
      </c>
      <c r="F938" s="454" t="s">
        <v>522</v>
      </c>
      <c r="G938" s="454" t="s">
        <v>13867</v>
      </c>
      <c r="H938" s="455">
        <v>59830968000198</v>
      </c>
      <c r="I938" s="462">
        <v>32458</v>
      </c>
      <c r="J938" s="457">
        <v>37589059</v>
      </c>
      <c r="K938" s="454" t="s">
        <v>8234</v>
      </c>
      <c r="L938" s="458">
        <v>285</v>
      </c>
      <c r="M938" s="454" t="s">
        <v>3730</v>
      </c>
      <c r="N938" s="459">
        <v>2874140</v>
      </c>
      <c r="O938" s="460">
        <v>39840774</v>
      </c>
      <c r="P938" s="462">
        <v>77111</v>
      </c>
      <c r="Q938" s="462">
        <v>57</v>
      </c>
      <c r="R938" s="462">
        <v>43922</v>
      </c>
      <c r="S938" s="463">
        <v>1044</v>
      </c>
      <c r="T938" s="464">
        <v>5.4</v>
      </c>
      <c r="U938" s="465">
        <v>5637.6</v>
      </c>
      <c r="V938" s="465">
        <v>20340</v>
      </c>
      <c r="W938" s="466">
        <v>0</v>
      </c>
      <c r="X938" s="467">
        <v>1</v>
      </c>
      <c r="Y938" s="466">
        <v>46593.9</v>
      </c>
      <c r="Z938" s="468" t="s">
        <v>516</v>
      </c>
      <c r="AA938" s="466">
        <v>166694.70000000001</v>
      </c>
      <c r="AB938" s="466">
        <v>166694.70000000001</v>
      </c>
      <c r="AC938" s="467">
        <v>0</v>
      </c>
      <c r="AD938" s="466">
        <v>0</v>
      </c>
      <c r="AE938" s="468" t="s">
        <v>516</v>
      </c>
      <c r="AF938" s="466">
        <v>0</v>
      </c>
      <c r="AG938" s="466">
        <v>0</v>
      </c>
      <c r="AH938" s="466">
        <v>6401.14</v>
      </c>
      <c r="AI938" s="466">
        <v>15531.3</v>
      </c>
      <c r="AJ938" s="469" t="s">
        <v>1438</v>
      </c>
      <c r="AK938" s="470" t="s">
        <v>12345</v>
      </c>
      <c r="AL938" s="471" t="s">
        <v>8235</v>
      </c>
      <c r="AM938" s="470" t="s">
        <v>8236</v>
      </c>
      <c r="AN938" s="470" t="s">
        <v>1385</v>
      </c>
      <c r="AO938" s="470" t="s">
        <v>13868</v>
      </c>
      <c r="AP938" s="470" t="s">
        <v>5660</v>
      </c>
      <c r="AQ938" s="470" t="s">
        <v>8232</v>
      </c>
      <c r="AR938" s="472" t="s">
        <v>515</v>
      </c>
      <c r="AS938" s="473" t="s">
        <v>1385</v>
      </c>
      <c r="AT938" s="472" t="s">
        <v>517</v>
      </c>
      <c r="AU938" s="472" t="s">
        <v>420</v>
      </c>
      <c r="AV938" s="472">
        <v>2020</v>
      </c>
      <c r="AW938" s="474" t="s">
        <v>15078</v>
      </c>
      <c r="AX938" s="475" t="s">
        <v>15079</v>
      </c>
      <c r="AY938" s="515">
        <v>1</v>
      </c>
      <c r="AZ938" s="474" t="s">
        <v>15079</v>
      </c>
      <c r="BA938" s="472" t="s">
        <v>517</v>
      </c>
      <c r="BB938" s="472" t="s">
        <v>516</v>
      </c>
      <c r="BC938" s="472">
        <v>4</v>
      </c>
      <c r="BD938" s="472">
        <v>5085</v>
      </c>
      <c r="BE938" s="472">
        <v>0</v>
      </c>
      <c r="BF938" s="472">
        <v>46593.9</v>
      </c>
      <c r="BG938" s="472">
        <v>0</v>
      </c>
      <c r="BH938" s="472" t="s">
        <v>1385</v>
      </c>
      <c r="BI938" s="510">
        <v>0</v>
      </c>
      <c r="BJ938" s="510">
        <v>0</v>
      </c>
      <c r="BK938" s="510">
        <v>0</v>
      </c>
      <c r="BL938" s="510">
        <v>0</v>
      </c>
      <c r="BM938" s="510">
        <v>0</v>
      </c>
      <c r="BN938" s="510">
        <v>0</v>
      </c>
      <c r="BO938" s="510">
        <v>0</v>
      </c>
      <c r="BP938" s="510">
        <v>0</v>
      </c>
      <c r="BQ938" s="510">
        <v>0</v>
      </c>
      <c r="BR938" s="510">
        <v>0</v>
      </c>
      <c r="BS938" s="510">
        <v>0</v>
      </c>
      <c r="BT938" s="510">
        <v>0</v>
      </c>
      <c r="BU938" s="510">
        <v>0</v>
      </c>
      <c r="BV938" s="510">
        <v>0</v>
      </c>
      <c r="BW938" s="510">
        <v>0</v>
      </c>
      <c r="BX938" s="510">
        <v>30000</v>
      </c>
      <c r="BY938" s="1011">
        <v>0</v>
      </c>
      <c r="BZ938" s="510">
        <v>0</v>
      </c>
      <c r="CA938" s="1011">
        <v>0</v>
      </c>
      <c r="CB938" s="510">
        <v>22000</v>
      </c>
      <c r="CC938" s="1011">
        <v>0</v>
      </c>
      <c r="CD938" s="510">
        <v>0</v>
      </c>
      <c r="CE938" s="1011">
        <v>0</v>
      </c>
      <c r="CF938" s="510">
        <v>68100.800000000003</v>
      </c>
      <c r="CG938" s="1011">
        <v>0</v>
      </c>
      <c r="CH938" s="510">
        <v>0</v>
      </c>
      <c r="CI938" s="1011">
        <v>0</v>
      </c>
    </row>
    <row r="939" spans="1:87" x14ac:dyDescent="0.2">
      <c r="A939" s="449">
        <v>37</v>
      </c>
      <c r="B939" s="453">
        <v>94277</v>
      </c>
      <c r="C939" s="454" t="s">
        <v>8237</v>
      </c>
      <c r="D939" s="454" t="s">
        <v>517</v>
      </c>
      <c r="E939" s="454" t="s">
        <v>8238</v>
      </c>
      <c r="F939" s="454" t="s">
        <v>522</v>
      </c>
      <c r="G939" s="454" t="s">
        <v>13869</v>
      </c>
      <c r="H939" s="455">
        <v>59580167000111</v>
      </c>
      <c r="I939" s="462">
        <v>32449</v>
      </c>
      <c r="J939" s="457">
        <v>37587617</v>
      </c>
      <c r="K939" s="454" t="s">
        <v>6294</v>
      </c>
      <c r="L939" s="458">
        <v>400</v>
      </c>
      <c r="M939" s="454" t="s">
        <v>8239</v>
      </c>
      <c r="N939" s="459">
        <v>2878080</v>
      </c>
      <c r="O939" s="460">
        <v>38519589</v>
      </c>
      <c r="P939" s="462">
        <v>77170</v>
      </c>
      <c r="Q939" s="462">
        <v>70</v>
      </c>
      <c r="R939" s="462">
        <v>43911</v>
      </c>
      <c r="S939" s="463">
        <v>1035</v>
      </c>
      <c r="T939" s="464">
        <v>5.4</v>
      </c>
      <c r="U939" s="465">
        <v>5589</v>
      </c>
      <c r="V939" s="465">
        <v>20340</v>
      </c>
      <c r="W939" s="466">
        <v>0</v>
      </c>
      <c r="X939" s="467">
        <v>1</v>
      </c>
      <c r="Y939" s="466">
        <v>38893.5</v>
      </c>
      <c r="Z939" s="468" t="s">
        <v>516</v>
      </c>
      <c r="AA939" s="466">
        <v>142395.1</v>
      </c>
      <c r="AB939" s="466">
        <v>142395.1</v>
      </c>
      <c r="AC939" s="467">
        <v>0</v>
      </c>
      <c r="AD939" s="466">
        <v>0</v>
      </c>
      <c r="AE939" s="468" t="s">
        <v>516</v>
      </c>
      <c r="AF939" s="466">
        <v>2000</v>
      </c>
      <c r="AG939" s="466">
        <v>2000</v>
      </c>
      <c r="AH939" s="466">
        <v>27940.55</v>
      </c>
      <c r="AI939" s="466">
        <v>5311.31</v>
      </c>
      <c r="AJ939" s="469" t="s">
        <v>1438</v>
      </c>
      <c r="AK939" s="470" t="s">
        <v>12345</v>
      </c>
      <c r="AL939" s="471" t="s">
        <v>8240</v>
      </c>
      <c r="AM939" s="470" t="s">
        <v>8241</v>
      </c>
      <c r="AN939" s="470" t="s">
        <v>1385</v>
      </c>
      <c r="AO939" s="470" t="s">
        <v>13870</v>
      </c>
      <c r="AP939" s="470" t="s">
        <v>8242</v>
      </c>
      <c r="AQ939" s="470" t="s">
        <v>8237</v>
      </c>
      <c r="AR939" s="472" t="s">
        <v>515</v>
      </c>
      <c r="AS939" s="473" t="s">
        <v>1385</v>
      </c>
      <c r="AT939" s="472" t="s">
        <v>517</v>
      </c>
      <c r="AU939" s="472" t="s">
        <v>420</v>
      </c>
      <c r="AV939" s="472">
        <v>2020</v>
      </c>
      <c r="AW939" s="474" t="s">
        <v>15078</v>
      </c>
      <c r="AX939" s="475" t="s">
        <v>15079</v>
      </c>
      <c r="AY939" s="515">
        <v>1</v>
      </c>
      <c r="AZ939" s="474" t="s">
        <v>15079</v>
      </c>
      <c r="BA939" s="472" t="s">
        <v>517</v>
      </c>
      <c r="BB939" s="472" t="s">
        <v>1385</v>
      </c>
      <c r="BC939" s="472" t="s">
        <v>1385</v>
      </c>
      <c r="BD939" s="472" t="s">
        <v>1385</v>
      </c>
      <c r="BE939" s="472" t="s">
        <v>1385</v>
      </c>
      <c r="BF939" s="472">
        <v>38893.5</v>
      </c>
      <c r="BG939" s="472">
        <v>0</v>
      </c>
      <c r="BH939" s="472" t="s">
        <v>1385</v>
      </c>
      <c r="BI939" s="510">
        <v>0</v>
      </c>
      <c r="BJ939" s="510">
        <v>0</v>
      </c>
      <c r="BK939" s="510">
        <v>0</v>
      </c>
      <c r="BL939" s="510">
        <v>379.5</v>
      </c>
      <c r="BM939" s="510">
        <v>0</v>
      </c>
      <c r="BN939" s="510">
        <v>5000</v>
      </c>
      <c r="BO939" s="510">
        <v>0</v>
      </c>
      <c r="BP939" s="510">
        <v>2000</v>
      </c>
      <c r="BQ939" s="510">
        <v>0</v>
      </c>
      <c r="BR939" s="510">
        <v>0</v>
      </c>
      <c r="BS939" s="510">
        <v>0</v>
      </c>
      <c r="BT939" s="510">
        <v>0</v>
      </c>
      <c r="BU939" s="510">
        <v>2500</v>
      </c>
      <c r="BV939" s="510">
        <v>2500</v>
      </c>
      <c r="BW939" s="510">
        <v>0</v>
      </c>
      <c r="BX939" s="510">
        <v>30000</v>
      </c>
      <c r="BY939" s="1011">
        <v>0</v>
      </c>
      <c r="BZ939" s="510">
        <v>0</v>
      </c>
      <c r="CA939" s="1011">
        <v>0</v>
      </c>
      <c r="CB939" s="510">
        <v>22000</v>
      </c>
      <c r="CC939" s="1011">
        <v>0</v>
      </c>
      <c r="CD939" s="510">
        <v>0</v>
      </c>
      <c r="CE939" s="1011">
        <v>0</v>
      </c>
      <c r="CF939" s="510">
        <v>51501.599999999999</v>
      </c>
      <c r="CG939" s="1011">
        <v>0</v>
      </c>
      <c r="CH939" s="510">
        <v>0</v>
      </c>
      <c r="CI939" s="1011">
        <v>0</v>
      </c>
    </row>
    <row r="940" spans="1:87" x14ac:dyDescent="0.2">
      <c r="A940" s="449">
        <v>56</v>
      </c>
      <c r="B940" s="453">
        <v>94285</v>
      </c>
      <c r="C940" s="454" t="s">
        <v>8243</v>
      </c>
      <c r="D940" s="454" t="s">
        <v>517</v>
      </c>
      <c r="E940" s="454" t="s">
        <v>8244</v>
      </c>
      <c r="F940" s="454" t="s">
        <v>525</v>
      </c>
      <c r="G940" s="454" t="s">
        <v>13871</v>
      </c>
      <c r="H940" s="455">
        <v>52026564000105</v>
      </c>
      <c r="I940" s="462">
        <v>30228</v>
      </c>
      <c r="J940" s="457">
        <v>37605437</v>
      </c>
      <c r="K940" s="454" t="s">
        <v>8245</v>
      </c>
      <c r="L940" s="458">
        <v>44</v>
      </c>
      <c r="M940" s="454" t="s">
        <v>2662</v>
      </c>
      <c r="N940" s="459">
        <v>2635090</v>
      </c>
      <c r="O940" s="460">
        <v>22585539</v>
      </c>
      <c r="P940" s="462">
        <v>332910</v>
      </c>
      <c r="Q940" s="462">
        <v>56</v>
      </c>
      <c r="R940" s="462">
        <v>43950</v>
      </c>
      <c r="S940" s="463">
        <v>748</v>
      </c>
      <c r="T940" s="464">
        <v>5.4</v>
      </c>
      <c r="U940" s="465">
        <v>4039.2</v>
      </c>
      <c r="V940" s="465">
        <v>18720</v>
      </c>
      <c r="W940" s="466">
        <v>0</v>
      </c>
      <c r="X940" s="467">
        <v>1</v>
      </c>
      <c r="Y940" s="466">
        <v>34138.800000000003</v>
      </c>
      <c r="Z940" s="468" t="s">
        <v>516</v>
      </c>
      <c r="AA940" s="466">
        <v>150725.6</v>
      </c>
      <c r="AB940" s="466">
        <v>150725.6</v>
      </c>
      <c r="AC940" s="467">
        <v>0</v>
      </c>
      <c r="AD940" s="466">
        <v>0</v>
      </c>
      <c r="AE940" s="468" t="s">
        <v>516</v>
      </c>
      <c r="AF940" s="466">
        <v>0</v>
      </c>
      <c r="AG940" s="466">
        <v>0</v>
      </c>
      <c r="AH940" s="466">
        <v>25300.91</v>
      </c>
      <c r="AI940" s="466">
        <v>5735.59</v>
      </c>
      <c r="AJ940" s="469" t="s">
        <v>1460</v>
      </c>
      <c r="AK940" s="470" t="s">
        <v>1461</v>
      </c>
      <c r="AL940" s="471" t="s">
        <v>8246</v>
      </c>
      <c r="AM940" s="470" t="s">
        <v>13872</v>
      </c>
      <c r="AN940" s="470" t="s">
        <v>8247</v>
      </c>
      <c r="AO940" s="470" t="s">
        <v>8248</v>
      </c>
      <c r="AP940" s="470" t="s">
        <v>8249</v>
      </c>
      <c r="AQ940" s="470" t="s">
        <v>8243</v>
      </c>
      <c r="AR940" s="472" t="s">
        <v>515</v>
      </c>
      <c r="AS940" s="473" t="s">
        <v>1385</v>
      </c>
      <c r="AT940" s="472" t="s">
        <v>517</v>
      </c>
      <c r="AU940" s="472" t="s">
        <v>420</v>
      </c>
      <c r="AV940" s="472">
        <v>2020</v>
      </c>
      <c r="AW940" s="474" t="s">
        <v>15078</v>
      </c>
      <c r="AX940" s="475" t="s">
        <v>15079</v>
      </c>
      <c r="AY940" s="515">
        <v>1</v>
      </c>
      <c r="AZ940" s="474" t="s">
        <v>15079</v>
      </c>
      <c r="BA940" s="472" t="s">
        <v>517</v>
      </c>
      <c r="BB940" s="472" t="s">
        <v>1385</v>
      </c>
      <c r="BC940" s="472" t="s">
        <v>1385</v>
      </c>
      <c r="BD940" s="472" t="s">
        <v>1385</v>
      </c>
      <c r="BE940" s="472" t="s">
        <v>1385</v>
      </c>
      <c r="BF940" s="472">
        <v>34138.800000000003</v>
      </c>
      <c r="BG940" s="472">
        <v>0</v>
      </c>
      <c r="BH940" s="472" t="s">
        <v>1385</v>
      </c>
      <c r="BI940" s="510">
        <v>0</v>
      </c>
      <c r="BJ940" s="510">
        <v>0</v>
      </c>
      <c r="BK940" s="510">
        <v>0</v>
      </c>
      <c r="BL940" s="510">
        <v>3500</v>
      </c>
      <c r="BM940" s="510">
        <v>0</v>
      </c>
      <c r="BN940" s="510">
        <v>5000</v>
      </c>
      <c r="BO940" s="510">
        <v>0</v>
      </c>
      <c r="BP940" s="510">
        <v>0</v>
      </c>
      <c r="BQ940" s="510">
        <v>0</v>
      </c>
      <c r="BR940" s="510">
        <v>0</v>
      </c>
      <c r="BS940" s="510">
        <v>0</v>
      </c>
      <c r="BT940" s="510">
        <v>0</v>
      </c>
      <c r="BU940" s="510">
        <v>2500</v>
      </c>
      <c r="BV940" s="510">
        <v>2500</v>
      </c>
      <c r="BW940" s="510">
        <v>0</v>
      </c>
      <c r="BX940" s="510">
        <v>30000</v>
      </c>
      <c r="BY940" s="1011">
        <v>0</v>
      </c>
      <c r="BZ940" s="510">
        <v>0</v>
      </c>
      <c r="CA940" s="1011">
        <v>0</v>
      </c>
      <c r="CB940" s="510">
        <v>22000</v>
      </c>
      <c r="CC940" s="1011">
        <v>0</v>
      </c>
      <c r="CD940" s="510">
        <v>0</v>
      </c>
      <c r="CE940" s="1011">
        <v>0</v>
      </c>
      <c r="CF940" s="510">
        <v>64586.8</v>
      </c>
      <c r="CG940" s="1011">
        <v>0</v>
      </c>
      <c r="CH940" s="510">
        <v>0</v>
      </c>
      <c r="CI940" s="1011">
        <v>0</v>
      </c>
    </row>
    <row r="941" spans="1:87" x14ac:dyDescent="0.2">
      <c r="A941" s="449">
        <v>44</v>
      </c>
      <c r="B941" s="453">
        <v>94293</v>
      </c>
      <c r="C941" s="454" t="s">
        <v>8250</v>
      </c>
      <c r="D941" s="454" t="s">
        <v>517</v>
      </c>
      <c r="E941" s="454" t="s">
        <v>8251</v>
      </c>
      <c r="F941" s="454" t="s">
        <v>522</v>
      </c>
      <c r="G941" s="454" t="s">
        <v>13873</v>
      </c>
      <c r="H941" s="455">
        <v>56575814000109</v>
      </c>
      <c r="I941" s="462">
        <v>31565</v>
      </c>
      <c r="J941" s="457">
        <v>37587650</v>
      </c>
      <c r="K941" s="454" t="s">
        <v>8252</v>
      </c>
      <c r="L941" s="458">
        <v>10</v>
      </c>
      <c r="M941" s="454" t="s">
        <v>8253</v>
      </c>
      <c r="N941" s="459">
        <v>22670030</v>
      </c>
      <c r="O941" s="460">
        <v>38515329</v>
      </c>
      <c r="P941" s="462">
        <v>79866</v>
      </c>
      <c r="Q941" s="462">
        <v>76</v>
      </c>
      <c r="R941" s="462">
        <v>43911</v>
      </c>
      <c r="S941" s="463">
        <v>1108</v>
      </c>
      <c r="T941" s="464">
        <v>5.4</v>
      </c>
      <c r="U941" s="465">
        <v>5983.2</v>
      </c>
      <c r="V941" s="465">
        <v>20340</v>
      </c>
      <c r="W941" s="466">
        <v>0</v>
      </c>
      <c r="X941" s="467">
        <v>1</v>
      </c>
      <c r="Y941" s="466">
        <v>39484.800000000003</v>
      </c>
      <c r="Z941" s="468" t="s">
        <v>516</v>
      </c>
      <c r="AA941" s="466">
        <v>144358.39999999999</v>
      </c>
      <c r="AB941" s="466">
        <v>144358.39999999999</v>
      </c>
      <c r="AC941" s="467">
        <v>0</v>
      </c>
      <c r="AD941" s="466">
        <v>0</v>
      </c>
      <c r="AE941" s="468" t="s">
        <v>516</v>
      </c>
      <c r="AF941" s="466">
        <v>1600</v>
      </c>
      <c r="AG941" s="466">
        <v>1600</v>
      </c>
      <c r="AH941" s="466">
        <v>21510.71</v>
      </c>
      <c r="AI941" s="466">
        <v>5346.44</v>
      </c>
      <c r="AJ941" s="469" t="s">
        <v>4024</v>
      </c>
      <c r="AK941" s="470" t="s">
        <v>12893</v>
      </c>
      <c r="AL941" s="471" t="s">
        <v>8254</v>
      </c>
      <c r="AM941" s="470" t="s">
        <v>13874</v>
      </c>
      <c r="AN941" s="470" t="s">
        <v>1385</v>
      </c>
      <c r="AO941" s="470" t="s">
        <v>13875</v>
      </c>
      <c r="AP941" s="470" t="s">
        <v>8255</v>
      </c>
      <c r="AQ941" s="470" t="s">
        <v>8250</v>
      </c>
      <c r="AR941" s="472" t="s">
        <v>515</v>
      </c>
      <c r="AS941" s="473" t="s">
        <v>1385</v>
      </c>
      <c r="AT941" s="472" t="s">
        <v>517</v>
      </c>
      <c r="AU941" s="472" t="s">
        <v>420</v>
      </c>
      <c r="AV941" s="472">
        <v>2020</v>
      </c>
      <c r="AW941" s="474" t="s">
        <v>15078</v>
      </c>
      <c r="AX941" s="475" t="s">
        <v>15079</v>
      </c>
      <c r="AY941" s="515">
        <v>1</v>
      </c>
      <c r="AZ941" s="474" t="s">
        <v>15079</v>
      </c>
      <c r="BA941" s="472" t="s">
        <v>517</v>
      </c>
      <c r="BB941" s="472" t="s">
        <v>1385</v>
      </c>
      <c r="BC941" s="472" t="s">
        <v>1385</v>
      </c>
      <c r="BD941" s="472" t="s">
        <v>1385</v>
      </c>
      <c r="BE941" s="472" t="s">
        <v>1385</v>
      </c>
      <c r="BF941" s="472">
        <v>39484.800000000003</v>
      </c>
      <c r="BG941" s="472">
        <v>0</v>
      </c>
      <c r="BH941" s="472" t="s">
        <v>1385</v>
      </c>
      <c r="BI941" s="510">
        <v>0</v>
      </c>
      <c r="BJ941" s="510">
        <v>0</v>
      </c>
      <c r="BK941" s="510">
        <v>0</v>
      </c>
      <c r="BL941" s="510">
        <v>0</v>
      </c>
      <c r="BM941" s="510">
        <v>0</v>
      </c>
      <c r="BN941" s="510">
        <v>2700</v>
      </c>
      <c r="BO941" s="510">
        <v>400</v>
      </c>
      <c r="BP941" s="510">
        <v>1600</v>
      </c>
      <c r="BQ941" s="510">
        <v>0</v>
      </c>
      <c r="BR941" s="510">
        <v>0</v>
      </c>
      <c r="BS941" s="510">
        <v>0</v>
      </c>
      <c r="BT941" s="510">
        <v>0</v>
      </c>
      <c r="BU941" s="510">
        <v>2500</v>
      </c>
      <c r="BV941" s="510">
        <v>2500</v>
      </c>
      <c r="BW941" s="510">
        <v>0</v>
      </c>
      <c r="BX941" s="510">
        <v>30000</v>
      </c>
      <c r="BY941" s="1011">
        <v>0</v>
      </c>
      <c r="BZ941" s="510">
        <v>0</v>
      </c>
      <c r="CA941" s="1011">
        <v>0</v>
      </c>
      <c r="CB941" s="510">
        <v>22000</v>
      </c>
      <c r="CC941" s="1011">
        <v>0</v>
      </c>
      <c r="CD941" s="510">
        <v>0</v>
      </c>
      <c r="CE941" s="1011">
        <v>0</v>
      </c>
      <c r="CF941" s="510">
        <v>52473.599999999999</v>
      </c>
      <c r="CG941" s="1011">
        <v>0</v>
      </c>
      <c r="CH941" s="510">
        <v>0</v>
      </c>
      <c r="CI941" s="1011">
        <v>0</v>
      </c>
    </row>
    <row r="942" spans="1:87" x14ac:dyDescent="0.2">
      <c r="A942" s="449">
        <v>29</v>
      </c>
      <c r="B942" s="453">
        <v>94307</v>
      </c>
      <c r="C942" s="454" t="s">
        <v>8256</v>
      </c>
      <c r="D942" s="454" t="s">
        <v>517</v>
      </c>
      <c r="E942" s="454" t="s">
        <v>8257</v>
      </c>
      <c r="F942" s="454" t="s">
        <v>522</v>
      </c>
      <c r="G942" s="454" t="s">
        <v>13876</v>
      </c>
      <c r="H942" s="455">
        <v>53983821000151</v>
      </c>
      <c r="I942" s="462">
        <v>31005</v>
      </c>
      <c r="J942" s="457">
        <v>37588710</v>
      </c>
      <c r="K942" s="454" t="s">
        <v>8258</v>
      </c>
      <c r="L942" s="458">
        <v>139</v>
      </c>
      <c r="M942" s="454" t="s">
        <v>8259</v>
      </c>
      <c r="N942" s="459">
        <v>2673000</v>
      </c>
      <c r="O942" s="460">
        <v>38515820</v>
      </c>
      <c r="P942" s="462">
        <v>77227</v>
      </c>
      <c r="Q942" s="462">
        <v>62</v>
      </c>
      <c r="R942" s="462">
        <v>43911</v>
      </c>
      <c r="S942" s="463">
        <v>978</v>
      </c>
      <c r="T942" s="464">
        <v>5.4</v>
      </c>
      <c r="U942" s="465">
        <v>5281.2</v>
      </c>
      <c r="V942" s="465">
        <v>20340</v>
      </c>
      <c r="W942" s="466">
        <v>0</v>
      </c>
      <c r="X942" s="467">
        <v>1</v>
      </c>
      <c r="Y942" s="466">
        <v>38431.800000000003</v>
      </c>
      <c r="Z942" s="468" t="s">
        <v>516</v>
      </c>
      <c r="AA942" s="466">
        <v>142587.79999999999</v>
      </c>
      <c r="AB942" s="466">
        <v>142587.79999999999</v>
      </c>
      <c r="AC942" s="467">
        <v>0</v>
      </c>
      <c r="AD942" s="466">
        <v>0</v>
      </c>
      <c r="AE942" s="468" t="s">
        <v>516</v>
      </c>
      <c r="AF942" s="466">
        <v>1000</v>
      </c>
      <c r="AG942" s="466">
        <v>1000</v>
      </c>
      <c r="AH942" s="466">
        <v>35554.370000000003</v>
      </c>
      <c r="AI942" s="466">
        <v>10744.5</v>
      </c>
      <c r="AJ942" s="469" t="s">
        <v>1498</v>
      </c>
      <c r="AK942" s="470" t="s">
        <v>12355</v>
      </c>
      <c r="AL942" s="471" t="s">
        <v>8260</v>
      </c>
      <c r="AM942" s="470" t="s">
        <v>8261</v>
      </c>
      <c r="AN942" s="470" t="s">
        <v>1385</v>
      </c>
      <c r="AO942" s="470" t="s">
        <v>13877</v>
      </c>
      <c r="AP942" s="470" t="s">
        <v>8262</v>
      </c>
      <c r="AQ942" s="470" t="s">
        <v>8256</v>
      </c>
      <c r="AR942" s="472" t="s">
        <v>515</v>
      </c>
      <c r="AS942" s="473" t="s">
        <v>1385</v>
      </c>
      <c r="AT942" s="472" t="s">
        <v>517</v>
      </c>
      <c r="AU942" s="472" t="s">
        <v>420</v>
      </c>
      <c r="AV942" s="472">
        <v>2020</v>
      </c>
      <c r="AW942" s="474" t="s">
        <v>15078</v>
      </c>
      <c r="AX942" s="475" t="s">
        <v>15079</v>
      </c>
      <c r="AY942" s="515">
        <v>1</v>
      </c>
      <c r="AZ942" s="474" t="s">
        <v>15079</v>
      </c>
      <c r="BA942" s="472" t="s">
        <v>517</v>
      </c>
      <c r="BB942" s="472" t="s">
        <v>1385</v>
      </c>
      <c r="BC942" s="472" t="s">
        <v>1385</v>
      </c>
      <c r="BD942" s="472" t="s">
        <v>1385</v>
      </c>
      <c r="BE942" s="472" t="s">
        <v>1385</v>
      </c>
      <c r="BF942" s="472">
        <v>38431.800000000003</v>
      </c>
      <c r="BG942" s="472">
        <v>0</v>
      </c>
      <c r="BH942" s="472" t="s">
        <v>1385</v>
      </c>
      <c r="BI942" s="510">
        <v>0</v>
      </c>
      <c r="BJ942" s="510">
        <v>0</v>
      </c>
      <c r="BK942" s="510">
        <v>0</v>
      </c>
      <c r="BL942" s="510">
        <v>0</v>
      </c>
      <c r="BM942" s="510">
        <v>0</v>
      </c>
      <c r="BN942" s="510">
        <v>5000</v>
      </c>
      <c r="BO942" s="510">
        <v>1000</v>
      </c>
      <c r="BP942" s="510">
        <v>1000</v>
      </c>
      <c r="BQ942" s="510">
        <v>0</v>
      </c>
      <c r="BR942" s="510">
        <v>0</v>
      </c>
      <c r="BS942" s="510">
        <v>0</v>
      </c>
      <c r="BT942" s="510">
        <v>0</v>
      </c>
      <c r="BU942" s="510">
        <v>2500</v>
      </c>
      <c r="BV942" s="510">
        <v>2500</v>
      </c>
      <c r="BW942" s="510">
        <v>0</v>
      </c>
      <c r="BX942" s="510">
        <v>30000</v>
      </c>
      <c r="BY942" s="1011">
        <v>0</v>
      </c>
      <c r="BZ942" s="510">
        <v>0</v>
      </c>
      <c r="CA942" s="1011">
        <v>0</v>
      </c>
      <c r="CB942" s="510">
        <v>22000</v>
      </c>
      <c r="CC942" s="1011">
        <v>0</v>
      </c>
      <c r="CD942" s="510">
        <v>0</v>
      </c>
      <c r="CE942" s="1011">
        <v>0</v>
      </c>
      <c r="CF942" s="510">
        <v>51156</v>
      </c>
      <c r="CG942" s="1011">
        <v>0</v>
      </c>
      <c r="CH942" s="510">
        <v>0</v>
      </c>
      <c r="CI942" s="1011">
        <v>0</v>
      </c>
    </row>
    <row r="943" spans="1:87" x14ac:dyDescent="0.2">
      <c r="A943" s="449">
        <v>46</v>
      </c>
      <c r="B943" s="453">
        <v>94315</v>
      </c>
      <c r="C943" s="454" t="s">
        <v>8263</v>
      </c>
      <c r="D943" s="454" t="s">
        <v>517</v>
      </c>
      <c r="E943" s="454" t="s">
        <v>8264</v>
      </c>
      <c r="F943" s="454" t="s">
        <v>522</v>
      </c>
      <c r="G943" s="454" t="s">
        <v>13878</v>
      </c>
      <c r="H943" s="455">
        <v>53455085000169</v>
      </c>
      <c r="I943" s="462">
        <v>30799</v>
      </c>
      <c r="J943" s="457">
        <v>37587757</v>
      </c>
      <c r="K943" s="454" t="s">
        <v>8265</v>
      </c>
      <c r="L943" s="458">
        <v>100</v>
      </c>
      <c r="M943" s="454" t="s">
        <v>8266</v>
      </c>
      <c r="N943" s="459">
        <v>27589100</v>
      </c>
      <c r="O943" s="460">
        <v>39234650</v>
      </c>
      <c r="P943" s="462">
        <v>80066</v>
      </c>
      <c r="Q943" s="462">
        <v>78</v>
      </c>
      <c r="R943" s="462">
        <v>43911</v>
      </c>
      <c r="S943" s="463">
        <v>682</v>
      </c>
      <c r="T943" s="464">
        <v>5.4</v>
      </c>
      <c r="U943" s="465">
        <v>3682.8</v>
      </c>
      <c r="V943" s="465">
        <v>17100</v>
      </c>
      <c r="W943" s="466">
        <v>0</v>
      </c>
      <c r="X943" s="467">
        <v>1</v>
      </c>
      <c r="Y943" s="466">
        <v>31174.2</v>
      </c>
      <c r="Z943" s="468" t="s">
        <v>516</v>
      </c>
      <c r="AA943" s="466">
        <v>124869.4</v>
      </c>
      <c r="AB943" s="466">
        <v>124869.4</v>
      </c>
      <c r="AC943" s="467">
        <v>0</v>
      </c>
      <c r="AD943" s="466">
        <v>0</v>
      </c>
      <c r="AE943" s="468" t="s">
        <v>516</v>
      </c>
      <c r="AF943" s="466">
        <v>2000</v>
      </c>
      <c r="AG943" s="466">
        <v>2000</v>
      </c>
      <c r="AH943" s="466">
        <v>13661.82</v>
      </c>
      <c r="AI943" s="466">
        <v>5027.4399999999996</v>
      </c>
      <c r="AJ943" s="469" t="s">
        <v>1438</v>
      </c>
      <c r="AK943" s="470" t="s">
        <v>12345</v>
      </c>
      <c r="AL943" s="471" t="s">
        <v>8267</v>
      </c>
      <c r="AM943" s="470" t="s">
        <v>8268</v>
      </c>
      <c r="AN943" s="470" t="s">
        <v>1385</v>
      </c>
      <c r="AO943" s="470" t="s">
        <v>8269</v>
      </c>
      <c r="AP943" s="470" t="s">
        <v>8270</v>
      </c>
      <c r="AQ943" s="470" t="s">
        <v>8263</v>
      </c>
      <c r="AR943" s="472" t="s">
        <v>515</v>
      </c>
      <c r="AS943" s="473" t="s">
        <v>1385</v>
      </c>
      <c r="AT943" s="472" t="s">
        <v>517</v>
      </c>
      <c r="AU943" s="472" t="s">
        <v>420</v>
      </c>
      <c r="AV943" s="472">
        <v>2020</v>
      </c>
      <c r="AW943" s="474" t="s">
        <v>15078</v>
      </c>
      <c r="AX943" s="475" t="s">
        <v>15079</v>
      </c>
      <c r="AY943" s="515">
        <v>1</v>
      </c>
      <c r="AZ943" s="474" t="s">
        <v>15079</v>
      </c>
      <c r="BA943" s="472" t="s">
        <v>517</v>
      </c>
      <c r="BB943" s="472" t="s">
        <v>1385</v>
      </c>
      <c r="BC943" s="472" t="s">
        <v>1385</v>
      </c>
      <c r="BD943" s="472" t="s">
        <v>1385</v>
      </c>
      <c r="BE943" s="472" t="s">
        <v>1385</v>
      </c>
      <c r="BF943" s="472">
        <v>31174.2</v>
      </c>
      <c r="BG943" s="472">
        <v>0</v>
      </c>
      <c r="BH943" s="472" t="s">
        <v>1385</v>
      </c>
      <c r="BI943" s="510">
        <v>0</v>
      </c>
      <c r="BJ943" s="510">
        <v>0</v>
      </c>
      <c r="BK943" s="510">
        <v>0</v>
      </c>
      <c r="BL943" s="510">
        <v>0</v>
      </c>
      <c r="BM943" s="510">
        <v>0</v>
      </c>
      <c r="BN943" s="510">
        <v>3500</v>
      </c>
      <c r="BO943" s="510">
        <v>0</v>
      </c>
      <c r="BP943" s="510">
        <v>2000</v>
      </c>
      <c r="BQ943" s="510">
        <v>0</v>
      </c>
      <c r="BR943" s="510">
        <v>0</v>
      </c>
      <c r="BS943" s="510">
        <v>0</v>
      </c>
      <c r="BT943" s="510">
        <v>0</v>
      </c>
      <c r="BU943" s="510">
        <v>2500</v>
      </c>
      <c r="BV943" s="510">
        <v>2500</v>
      </c>
      <c r="BW943" s="510">
        <v>0</v>
      </c>
      <c r="BX943" s="510">
        <v>30000</v>
      </c>
      <c r="BY943" s="1011">
        <v>0</v>
      </c>
      <c r="BZ943" s="510">
        <v>0</v>
      </c>
      <c r="CA943" s="1011">
        <v>0</v>
      </c>
      <c r="CB943" s="510">
        <v>22000</v>
      </c>
      <c r="CC943" s="1011">
        <v>0</v>
      </c>
      <c r="CD943" s="510">
        <v>0</v>
      </c>
      <c r="CE943" s="1011">
        <v>0</v>
      </c>
      <c r="CF943" s="510">
        <v>41695.199999999997</v>
      </c>
      <c r="CG943" s="1011">
        <v>0</v>
      </c>
      <c r="CH943" s="510">
        <v>0</v>
      </c>
      <c r="CI943" s="1011">
        <v>0</v>
      </c>
    </row>
    <row r="944" spans="1:87" x14ac:dyDescent="0.2">
      <c r="A944" s="449">
        <v>27</v>
      </c>
      <c r="B944" s="453">
        <v>94323</v>
      </c>
      <c r="C944" s="454" t="s">
        <v>8271</v>
      </c>
      <c r="D944" s="454" t="s">
        <v>517</v>
      </c>
      <c r="E944" s="454" t="s">
        <v>8272</v>
      </c>
      <c r="F944" s="454" t="s">
        <v>522</v>
      </c>
      <c r="G944" s="454" t="s">
        <v>13879</v>
      </c>
      <c r="H944" s="455">
        <v>52633500000164</v>
      </c>
      <c r="I944" s="462">
        <v>30489</v>
      </c>
      <c r="J944" s="457">
        <v>37589130</v>
      </c>
      <c r="K944" s="454" t="s">
        <v>1436</v>
      </c>
      <c r="L944" s="458">
        <v>50</v>
      </c>
      <c r="M944" s="454" t="s">
        <v>8273</v>
      </c>
      <c r="N944" s="459">
        <v>2727000</v>
      </c>
      <c r="O944" s="460">
        <v>39310100</v>
      </c>
      <c r="P944" s="462">
        <v>95632</v>
      </c>
      <c r="Q944" s="462">
        <v>60</v>
      </c>
      <c r="R944" s="462">
        <v>43922</v>
      </c>
      <c r="S944" s="463">
        <v>696</v>
      </c>
      <c r="T944" s="464">
        <v>5.4</v>
      </c>
      <c r="U944" s="465">
        <v>3758.4</v>
      </c>
      <c r="V944" s="465">
        <v>17100</v>
      </c>
      <c r="W944" s="466">
        <v>0</v>
      </c>
      <c r="X944" s="467">
        <v>1</v>
      </c>
      <c r="Y944" s="466">
        <v>31287.599999999999</v>
      </c>
      <c r="Z944" s="468" t="s">
        <v>516</v>
      </c>
      <c r="AA944" s="466">
        <v>125004.4</v>
      </c>
      <c r="AB944" s="466">
        <v>125004.4</v>
      </c>
      <c r="AC944" s="467">
        <v>0</v>
      </c>
      <c r="AD944" s="466">
        <v>0</v>
      </c>
      <c r="AE944" s="468" t="s">
        <v>516</v>
      </c>
      <c r="AF944" s="466">
        <v>0</v>
      </c>
      <c r="AG944" s="466">
        <v>0</v>
      </c>
      <c r="AH944" s="466">
        <v>32410.880000000001</v>
      </c>
      <c r="AI944" s="466">
        <v>20471.79</v>
      </c>
      <c r="AJ944" s="469" t="s">
        <v>1438</v>
      </c>
      <c r="AK944" s="470" t="s">
        <v>12345</v>
      </c>
      <c r="AL944" s="471" t="s">
        <v>13880</v>
      </c>
      <c r="AM944" s="470" t="s">
        <v>13881</v>
      </c>
      <c r="AN944" s="470" t="s">
        <v>1385</v>
      </c>
      <c r="AO944" s="470" t="s">
        <v>8274</v>
      </c>
      <c r="AP944" s="470" t="s">
        <v>8275</v>
      </c>
      <c r="AQ944" s="470" t="s">
        <v>8271</v>
      </c>
      <c r="AR944" s="472" t="s">
        <v>515</v>
      </c>
      <c r="AS944" s="473" t="s">
        <v>1385</v>
      </c>
      <c r="AT944" s="472" t="s">
        <v>517</v>
      </c>
      <c r="AU944" s="472" t="s">
        <v>420</v>
      </c>
      <c r="AV944" s="472">
        <v>2020</v>
      </c>
      <c r="AW944" s="474" t="s">
        <v>15078</v>
      </c>
      <c r="AX944" s="475" t="s">
        <v>15079</v>
      </c>
      <c r="AY944" s="515">
        <v>1</v>
      </c>
      <c r="AZ944" s="474" t="s">
        <v>15079</v>
      </c>
      <c r="BA944" s="472" t="s">
        <v>517</v>
      </c>
      <c r="BB944" s="472" t="s">
        <v>1385</v>
      </c>
      <c r="BC944" s="472" t="s">
        <v>1385</v>
      </c>
      <c r="BD944" s="472" t="s">
        <v>1385</v>
      </c>
      <c r="BE944" s="472" t="s">
        <v>1385</v>
      </c>
      <c r="BF944" s="472">
        <v>31287.599999999999</v>
      </c>
      <c r="BG944" s="472">
        <v>0</v>
      </c>
      <c r="BH944" s="472" t="s">
        <v>1385</v>
      </c>
      <c r="BI944" s="510">
        <v>0</v>
      </c>
      <c r="BJ944" s="510">
        <v>0</v>
      </c>
      <c r="BK944" s="510">
        <v>0</v>
      </c>
      <c r="BL944" s="510">
        <v>0</v>
      </c>
      <c r="BM944" s="510">
        <v>0</v>
      </c>
      <c r="BN944" s="510">
        <v>3500</v>
      </c>
      <c r="BO944" s="510">
        <v>0</v>
      </c>
      <c r="BP944" s="510">
        <v>0</v>
      </c>
      <c r="BQ944" s="510">
        <v>0</v>
      </c>
      <c r="BR944" s="510">
        <v>0</v>
      </c>
      <c r="BS944" s="510">
        <v>0</v>
      </c>
      <c r="BT944" s="510">
        <v>0</v>
      </c>
      <c r="BU944" s="510">
        <v>2500</v>
      </c>
      <c r="BV944" s="510">
        <v>2500</v>
      </c>
      <c r="BW944" s="510">
        <v>0</v>
      </c>
      <c r="BX944" s="510">
        <v>30000</v>
      </c>
      <c r="BY944" s="1011">
        <v>0</v>
      </c>
      <c r="BZ944" s="510">
        <v>0</v>
      </c>
      <c r="CA944" s="1011">
        <v>0</v>
      </c>
      <c r="CB944" s="510">
        <v>22000</v>
      </c>
      <c r="CC944" s="1011">
        <v>0</v>
      </c>
      <c r="CD944" s="510">
        <v>0</v>
      </c>
      <c r="CE944" s="1011">
        <v>0</v>
      </c>
      <c r="CF944" s="510">
        <v>41716.800000000003</v>
      </c>
      <c r="CG944" s="1011">
        <v>0</v>
      </c>
      <c r="CH944" s="510">
        <v>0</v>
      </c>
      <c r="CI944" s="1011">
        <v>0</v>
      </c>
    </row>
    <row r="945" spans="1:87" x14ac:dyDescent="0.2">
      <c r="A945" s="449">
        <v>33</v>
      </c>
      <c r="B945" s="453">
        <v>94331</v>
      </c>
      <c r="C945" s="454" t="s">
        <v>8276</v>
      </c>
      <c r="D945" s="454" t="s">
        <v>517</v>
      </c>
      <c r="E945" s="454" t="s">
        <v>8277</v>
      </c>
      <c r="F945" s="454" t="s">
        <v>522</v>
      </c>
      <c r="G945" s="454" t="s">
        <v>13882</v>
      </c>
      <c r="H945" s="455">
        <v>53081873000132</v>
      </c>
      <c r="I945" s="462">
        <v>30645</v>
      </c>
      <c r="J945" s="457">
        <v>37588176</v>
      </c>
      <c r="K945" s="454" t="s">
        <v>8278</v>
      </c>
      <c r="L945" s="458">
        <v>464</v>
      </c>
      <c r="M945" s="454" t="s">
        <v>8279</v>
      </c>
      <c r="N945" s="459">
        <v>2564010</v>
      </c>
      <c r="O945" s="460">
        <v>39666947</v>
      </c>
      <c r="P945" s="462">
        <v>77146</v>
      </c>
      <c r="Q945" s="462">
        <v>66</v>
      </c>
      <c r="R945" s="462">
        <v>43911</v>
      </c>
      <c r="S945" s="463">
        <v>747</v>
      </c>
      <c r="T945" s="464">
        <v>5.4</v>
      </c>
      <c r="U945" s="465">
        <v>4033.8</v>
      </c>
      <c r="V945" s="465">
        <v>18720</v>
      </c>
      <c r="W945" s="466">
        <v>0</v>
      </c>
      <c r="X945" s="467">
        <v>1</v>
      </c>
      <c r="Y945" s="466">
        <v>34130.699999999997</v>
      </c>
      <c r="Z945" s="468" t="s">
        <v>516</v>
      </c>
      <c r="AA945" s="466">
        <v>132157.1</v>
      </c>
      <c r="AB945" s="466">
        <v>132157.1</v>
      </c>
      <c r="AC945" s="467">
        <v>0</v>
      </c>
      <c r="AD945" s="466">
        <v>0</v>
      </c>
      <c r="AE945" s="468" t="s">
        <v>516</v>
      </c>
      <c r="AF945" s="466">
        <v>1600</v>
      </c>
      <c r="AG945" s="466">
        <v>1600</v>
      </c>
      <c r="AH945" s="466">
        <v>29569.57</v>
      </c>
      <c r="AI945" s="466">
        <v>6000.6</v>
      </c>
      <c r="AJ945" s="469" t="s">
        <v>2555</v>
      </c>
      <c r="AK945" s="470" t="s">
        <v>2556</v>
      </c>
      <c r="AL945" s="471" t="s">
        <v>13883</v>
      </c>
      <c r="AM945" s="470" t="s">
        <v>13884</v>
      </c>
      <c r="AN945" s="470" t="s">
        <v>1385</v>
      </c>
      <c r="AO945" s="470" t="s">
        <v>8280</v>
      </c>
      <c r="AP945" s="470" t="s">
        <v>8281</v>
      </c>
      <c r="AQ945" s="470" t="s">
        <v>8276</v>
      </c>
      <c r="AR945" s="472" t="s">
        <v>515</v>
      </c>
      <c r="AS945" s="473" t="s">
        <v>1385</v>
      </c>
      <c r="AT945" s="472" t="s">
        <v>517</v>
      </c>
      <c r="AU945" s="472" t="s">
        <v>420</v>
      </c>
      <c r="AV945" s="472">
        <v>2020</v>
      </c>
      <c r="AW945" s="474" t="s">
        <v>15078</v>
      </c>
      <c r="AX945" s="475" t="s">
        <v>15079</v>
      </c>
      <c r="AY945" s="515">
        <v>1</v>
      </c>
      <c r="AZ945" s="474" t="s">
        <v>15079</v>
      </c>
      <c r="BA945" s="472" t="s">
        <v>517</v>
      </c>
      <c r="BB945" s="472" t="s">
        <v>1385</v>
      </c>
      <c r="BC945" s="472" t="s">
        <v>1385</v>
      </c>
      <c r="BD945" s="472" t="s">
        <v>1385</v>
      </c>
      <c r="BE945" s="472" t="s">
        <v>1385</v>
      </c>
      <c r="BF945" s="472">
        <v>34130.699999999997</v>
      </c>
      <c r="BG945" s="472">
        <v>0</v>
      </c>
      <c r="BH945" s="472" t="s">
        <v>1385</v>
      </c>
      <c r="BI945" s="510">
        <v>0</v>
      </c>
      <c r="BJ945" s="510">
        <v>0</v>
      </c>
      <c r="BK945" s="510">
        <v>0</v>
      </c>
      <c r="BL945" s="510">
        <v>0</v>
      </c>
      <c r="BM945" s="510">
        <v>0</v>
      </c>
      <c r="BN945" s="510">
        <v>5000</v>
      </c>
      <c r="BO945" s="510">
        <v>400</v>
      </c>
      <c r="BP945" s="510">
        <v>1600</v>
      </c>
      <c r="BQ945" s="510">
        <v>0</v>
      </c>
      <c r="BR945" s="510">
        <v>0</v>
      </c>
      <c r="BS945" s="510">
        <v>0</v>
      </c>
      <c r="BT945" s="510">
        <v>0</v>
      </c>
      <c r="BU945" s="510">
        <v>2500</v>
      </c>
      <c r="BV945" s="510">
        <v>2500</v>
      </c>
      <c r="BW945" s="510">
        <v>0</v>
      </c>
      <c r="BX945" s="510">
        <v>30000</v>
      </c>
      <c r="BY945" s="1011">
        <v>0</v>
      </c>
      <c r="BZ945" s="510">
        <v>0</v>
      </c>
      <c r="CA945" s="1011">
        <v>0</v>
      </c>
      <c r="CB945" s="510">
        <v>22000</v>
      </c>
      <c r="CC945" s="1011">
        <v>0</v>
      </c>
      <c r="CD945" s="510">
        <v>0</v>
      </c>
      <c r="CE945" s="1011">
        <v>0</v>
      </c>
      <c r="CF945" s="510">
        <v>45626.400000000001</v>
      </c>
      <c r="CG945" s="1011">
        <v>0</v>
      </c>
      <c r="CH945" s="510">
        <v>0</v>
      </c>
      <c r="CI945" s="1011">
        <v>0</v>
      </c>
    </row>
    <row r="946" spans="1:87" x14ac:dyDescent="0.2">
      <c r="A946" s="449">
        <v>22</v>
      </c>
      <c r="B946" s="453">
        <v>94340</v>
      </c>
      <c r="C946" s="454" t="s">
        <v>8282</v>
      </c>
      <c r="D946" s="454" t="s">
        <v>517</v>
      </c>
      <c r="E946" s="454" t="s">
        <v>8283</v>
      </c>
      <c r="F946" s="454" t="s">
        <v>522</v>
      </c>
      <c r="G946" s="454" t="s">
        <v>13885</v>
      </c>
      <c r="H946" s="455">
        <v>52844222000194</v>
      </c>
      <c r="I946" s="462">
        <v>30582</v>
      </c>
      <c r="J946" s="457">
        <v>37589075</v>
      </c>
      <c r="K946" s="454" t="s">
        <v>8284</v>
      </c>
      <c r="L946" s="458">
        <v>223</v>
      </c>
      <c r="M946" s="454" t="s">
        <v>2554</v>
      </c>
      <c r="N946" s="459">
        <v>2557120</v>
      </c>
      <c r="O946" s="460">
        <v>39663047</v>
      </c>
      <c r="P946" s="462">
        <v>77235</v>
      </c>
      <c r="Q946" s="462">
        <v>55</v>
      </c>
      <c r="R946" s="462">
        <v>43922</v>
      </c>
      <c r="S946" s="463">
        <v>850</v>
      </c>
      <c r="T946" s="464">
        <v>5.4</v>
      </c>
      <c r="U946" s="465">
        <v>4590</v>
      </c>
      <c r="V946" s="465">
        <v>18720</v>
      </c>
      <c r="W946" s="466">
        <v>0</v>
      </c>
      <c r="X946" s="467">
        <v>1</v>
      </c>
      <c r="Y946" s="466">
        <v>43389</v>
      </c>
      <c r="Z946" s="468" t="s">
        <v>516</v>
      </c>
      <c r="AA946" s="466">
        <v>157318.20000000001</v>
      </c>
      <c r="AB946" s="466">
        <v>157318.20000000001</v>
      </c>
      <c r="AC946" s="467">
        <v>0</v>
      </c>
      <c r="AD946" s="466">
        <v>0</v>
      </c>
      <c r="AE946" s="468" t="s">
        <v>516</v>
      </c>
      <c r="AF946" s="466">
        <v>1400</v>
      </c>
      <c r="AG946" s="466">
        <v>1400</v>
      </c>
      <c r="AH946" s="466">
        <v>11410.86</v>
      </c>
      <c r="AI946" s="466">
        <v>8419.1</v>
      </c>
      <c r="AJ946" s="469" t="s">
        <v>4101</v>
      </c>
      <c r="AK946" s="470" t="s">
        <v>1499</v>
      </c>
      <c r="AL946" s="471" t="s">
        <v>8285</v>
      </c>
      <c r="AM946" s="470" t="s">
        <v>8286</v>
      </c>
      <c r="AN946" s="470" t="s">
        <v>1385</v>
      </c>
      <c r="AO946" s="470" t="s">
        <v>13886</v>
      </c>
      <c r="AP946" s="470" t="s">
        <v>8287</v>
      </c>
      <c r="AQ946" s="470" t="s">
        <v>8282</v>
      </c>
      <c r="AR946" s="472" t="s">
        <v>515</v>
      </c>
      <c r="AS946" s="473" t="s">
        <v>1385</v>
      </c>
      <c r="AT946" s="472" t="s">
        <v>517</v>
      </c>
      <c r="AU946" s="472" t="s">
        <v>420</v>
      </c>
      <c r="AV946" s="472">
        <v>2020</v>
      </c>
      <c r="AW946" s="474" t="s">
        <v>15078</v>
      </c>
      <c r="AX946" s="475" t="s">
        <v>15079</v>
      </c>
      <c r="AY946" s="515">
        <v>1</v>
      </c>
      <c r="AZ946" s="474" t="s">
        <v>15079</v>
      </c>
      <c r="BA946" s="472" t="s">
        <v>517</v>
      </c>
      <c r="BB946" s="472" t="s">
        <v>516</v>
      </c>
      <c r="BC946" s="472">
        <v>5</v>
      </c>
      <c r="BD946" s="472">
        <v>5616</v>
      </c>
      <c r="BE946" s="472">
        <v>0</v>
      </c>
      <c r="BF946" s="472">
        <v>43389</v>
      </c>
      <c r="BG946" s="472">
        <v>0</v>
      </c>
      <c r="BH946" s="472" t="s">
        <v>1385</v>
      </c>
      <c r="BI946" s="510">
        <v>0</v>
      </c>
      <c r="BJ946" s="510">
        <v>0</v>
      </c>
      <c r="BK946" s="510">
        <v>0</v>
      </c>
      <c r="BL946" s="510">
        <v>0</v>
      </c>
      <c r="BM946" s="510">
        <v>0</v>
      </c>
      <c r="BN946" s="510">
        <v>5000</v>
      </c>
      <c r="BO946" s="510">
        <v>600</v>
      </c>
      <c r="BP946" s="510">
        <v>1400</v>
      </c>
      <c r="BQ946" s="510">
        <v>0</v>
      </c>
      <c r="BR946" s="510">
        <v>0</v>
      </c>
      <c r="BS946" s="510">
        <v>0</v>
      </c>
      <c r="BT946" s="510">
        <v>0</v>
      </c>
      <c r="BU946" s="510">
        <v>0</v>
      </c>
      <c r="BV946" s="510">
        <v>0</v>
      </c>
      <c r="BW946" s="510">
        <v>0</v>
      </c>
      <c r="BX946" s="510">
        <v>30000</v>
      </c>
      <c r="BY946" s="1011">
        <v>0</v>
      </c>
      <c r="BZ946" s="510">
        <v>0</v>
      </c>
      <c r="CA946" s="1011">
        <v>0</v>
      </c>
      <c r="CB946" s="510">
        <v>22000</v>
      </c>
      <c r="CC946" s="1011">
        <v>0</v>
      </c>
      <c r="CD946" s="510">
        <v>0</v>
      </c>
      <c r="CE946" s="1011">
        <v>0</v>
      </c>
      <c r="CF946" s="510">
        <v>61329.2</v>
      </c>
      <c r="CG946" s="1011">
        <v>0</v>
      </c>
      <c r="CH946" s="510">
        <v>0</v>
      </c>
      <c r="CI946" s="1011">
        <v>0</v>
      </c>
    </row>
    <row r="947" spans="1:87" x14ac:dyDescent="0.2">
      <c r="A947" s="449">
        <v>20</v>
      </c>
      <c r="B947" s="453">
        <v>94358</v>
      </c>
      <c r="C947" s="454" t="s">
        <v>8288</v>
      </c>
      <c r="D947" s="454" t="s">
        <v>517</v>
      </c>
      <c r="E947" s="454" t="s">
        <v>8289</v>
      </c>
      <c r="F947" s="454" t="s">
        <v>522</v>
      </c>
      <c r="G947" s="454" t="s">
        <v>13887</v>
      </c>
      <c r="H947" s="455">
        <v>52031382000114</v>
      </c>
      <c r="I947" s="462">
        <v>30279</v>
      </c>
      <c r="J947" s="457">
        <v>37588354</v>
      </c>
      <c r="K947" s="454" t="s">
        <v>8290</v>
      </c>
      <c r="L947" s="458">
        <v>193</v>
      </c>
      <c r="M947" s="454" t="s">
        <v>1499</v>
      </c>
      <c r="N947" s="459">
        <v>2545000</v>
      </c>
      <c r="O947" s="460">
        <v>38579122</v>
      </c>
      <c r="P947" s="462">
        <v>77219</v>
      </c>
      <c r="Q947" s="462">
        <v>53</v>
      </c>
      <c r="R947" s="462">
        <v>43911</v>
      </c>
      <c r="S947" s="463">
        <v>1135</v>
      </c>
      <c r="T947" s="464">
        <v>5.4</v>
      </c>
      <c r="U947" s="465">
        <v>6129</v>
      </c>
      <c r="V947" s="465">
        <v>20340</v>
      </c>
      <c r="W947" s="466">
        <v>0</v>
      </c>
      <c r="X947" s="467">
        <v>1</v>
      </c>
      <c r="Y947" s="466">
        <v>39703.5</v>
      </c>
      <c r="Z947" s="468" t="s">
        <v>516</v>
      </c>
      <c r="AA947" s="466">
        <v>145263.5</v>
      </c>
      <c r="AB947" s="466">
        <v>145263.5</v>
      </c>
      <c r="AC947" s="467">
        <v>0</v>
      </c>
      <c r="AD947" s="466">
        <v>0</v>
      </c>
      <c r="AE947" s="468" t="s">
        <v>516</v>
      </c>
      <c r="AF947" s="466">
        <v>1000</v>
      </c>
      <c r="AG947" s="466">
        <v>1000</v>
      </c>
      <c r="AH947" s="466">
        <v>38215.5</v>
      </c>
      <c r="AI947" s="466">
        <v>21083.4</v>
      </c>
      <c r="AJ947" s="469" t="s">
        <v>4101</v>
      </c>
      <c r="AK947" s="470" t="s">
        <v>1499</v>
      </c>
      <c r="AL947" s="471" t="s">
        <v>8291</v>
      </c>
      <c r="AM947" s="470" t="s">
        <v>13888</v>
      </c>
      <c r="AN947" s="470" t="s">
        <v>1385</v>
      </c>
      <c r="AO947" s="470" t="s">
        <v>13889</v>
      </c>
      <c r="AP947" s="470" t="s">
        <v>8292</v>
      </c>
      <c r="AQ947" s="470" t="s">
        <v>8288</v>
      </c>
      <c r="AR947" s="472" t="s">
        <v>515</v>
      </c>
      <c r="AS947" s="473" t="s">
        <v>1385</v>
      </c>
      <c r="AT947" s="472" t="s">
        <v>517</v>
      </c>
      <c r="AU947" s="472" t="s">
        <v>420</v>
      </c>
      <c r="AV947" s="472">
        <v>2020</v>
      </c>
      <c r="AW947" s="474" t="s">
        <v>15078</v>
      </c>
      <c r="AX947" s="475" t="s">
        <v>15079</v>
      </c>
      <c r="AY947" s="515">
        <v>1</v>
      </c>
      <c r="AZ947" s="474" t="s">
        <v>15079</v>
      </c>
      <c r="BA947" s="472" t="s">
        <v>517</v>
      </c>
      <c r="BB947" s="472" t="s">
        <v>1385</v>
      </c>
      <c r="BC947" s="472" t="s">
        <v>1385</v>
      </c>
      <c r="BD947" s="472" t="s">
        <v>1385</v>
      </c>
      <c r="BE947" s="472" t="s">
        <v>1385</v>
      </c>
      <c r="BF947" s="472">
        <v>39703.5</v>
      </c>
      <c r="BG947" s="472">
        <v>0</v>
      </c>
      <c r="BH947" s="472" t="s">
        <v>1385</v>
      </c>
      <c r="BI947" s="510">
        <v>0</v>
      </c>
      <c r="BJ947" s="510">
        <v>0</v>
      </c>
      <c r="BK947" s="510">
        <v>0</v>
      </c>
      <c r="BL947" s="510">
        <v>0</v>
      </c>
      <c r="BM947" s="510">
        <v>0</v>
      </c>
      <c r="BN947" s="510">
        <v>5000</v>
      </c>
      <c r="BO947" s="510">
        <v>1000</v>
      </c>
      <c r="BP947" s="510">
        <v>1000</v>
      </c>
      <c r="BQ947" s="510">
        <v>0</v>
      </c>
      <c r="BR947" s="510">
        <v>0</v>
      </c>
      <c r="BS947" s="510">
        <v>0</v>
      </c>
      <c r="BT947" s="510">
        <v>0</v>
      </c>
      <c r="BU947" s="510">
        <v>0</v>
      </c>
      <c r="BV947" s="510">
        <v>0</v>
      </c>
      <c r="BW947" s="510">
        <v>0</v>
      </c>
      <c r="BX947" s="510">
        <v>30000</v>
      </c>
      <c r="BY947" s="1011">
        <v>0</v>
      </c>
      <c r="BZ947" s="510">
        <v>0</v>
      </c>
      <c r="CA947" s="1011">
        <v>0</v>
      </c>
      <c r="CB947" s="510">
        <v>22000</v>
      </c>
      <c r="CC947" s="1011">
        <v>0</v>
      </c>
      <c r="CD947" s="510">
        <v>0</v>
      </c>
      <c r="CE947" s="1011">
        <v>0</v>
      </c>
      <c r="CF947" s="510">
        <v>52560</v>
      </c>
      <c r="CG947" s="1011">
        <v>0</v>
      </c>
      <c r="CH947" s="510">
        <v>0</v>
      </c>
      <c r="CI947" s="1011">
        <v>0</v>
      </c>
    </row>
    <row r="948" spans="1:87" x14ac:dyDescent="0.2">
      <c r="A948" s="449">
        <v>30</v>
      </c>
      <c r="B948" s="453">
        <v>94366</v>
      </c>
      <c r="C948" s="454" t="s">
        <v>8293</v>
      </c>
      <c r="D948" s="454" t="s">
        <v>517</v>
      </c>
      <c r="E948" s="454" t="s">
        <v>8294</v>
      </c>
      <c r="F948" s="454" t="s">
        <v>522</v>
      </c>
      <c r="G948" s="454" t="s">
        <v>13890</v>
      </c>
      <c r="H948" s="455">
        <v>51170199000137</v>
      </c>
      <c r="I948" s="462">
        <v>28914</v>
      </c>
      <c r="J948" s="457">
        <v>37588753</v>
      </c>
      <c r="K948" s="454" t="s">
        <v>8295</v>
      </c>
      <c r="L948" s="458">
        <v>859</v>
      </c>
      <c r="M948" s="454" t="s">
        <v>6327</v>
      </c>
      <c r="N948" s="459">
        <v>2539000</v>
      </c>
      <c r="O948" s="460">
        <v>22391197</v>
      </c>
      <c r="P948" s="462">
        <v>77243</v>
      </c>
      <c r="Q948" s="462">
        <v>63</v>
      </c>
      <c r="R948" s="462">
        <v>43911</v>
      </c>
      <c r="S948" s="463">
        <v>908</v>
      </c>
      <c r="T948" s="464">
        <v>5.4</v>
      </c>
      <c r="U948" s="465">
        <v>4903.2</v>
      </c>
      <c r="V948" s="465">
        <v>20340</v>
      </c>
      <c r="W948" s="466">
        <v>0</v>
      </c>
      <c r="X948" s="467">
        <v>1</v>
      </c>
      <c r="Y948" s="466">
        <v>37864.800000000003</v>
      </c>
      <c r="Z948" s="468" t="s">
        <v>516</v>
      </c>
      <c r="AA948" s="466">
        <v>136506.4</v>
      </c>
      <c r="AB948" s="466">
        <v>136506.4</v>
      </c>
      <c r="AC948" s="467">
        <v>0</v>
      </c>
      <c r="AD948" s="466">
        <v>0</v>
      </c>
      <c r="AE948" s="468" t="s">
        <v>516</v>
      </c>
      <c r="AF948" s="466">
        <v>2000</v>
      </c>
      <c r="AG948" s="466">
        <v>2000</v>
      </c>
      <c r="AH948" s="466">
        <v>27435.48</v>
      </c>
      <c r="AI948" s="466">
        <v>15140.03</v>
      </c>
      <c r="AJ948" s="469" t="s">
        <v>4101</v>
      </c>
      <c r="AK948" s="470" t="s">
        <v>1499</v>
      </c>
      <c r="AL948" s="471" t="s">
        <v>8296</v>
      </c>
      <c r="AM948" s="470" t="s">
        <v>8297</v>
      </c>
      <c r="AN948" s="470" t="s">
        <v>1385</v>
      </c>
      <c r="AO948" s="470" t="s">
        <v>13891</v>
      </c>
      <c r="AP948" s="470" t="s">
        <v>8298</v>
      </c>
      <c r="AQ948" s="470" t="s">
        <v>8293</v>
      </c>
      <c r="AR948" s="472" t="s">
        <v>515</v>
      </c>
      <c r="AS948" s="473" t="s">
        <v>1385</v>
      </c>
      <c r="AT948" s="472" t="s">
        <v>517</v>
      </c>
      <c r="AU948" s="472" t="s">
        <v>420</v>
      </c>
      <c r="AV948" s="472">
        <v>2020</v>
      </c>
      <c r="AW948" s="474" t="s">
        <v>15078</v>
      </c>
      <c r="AX948" s="475" t="s">
        <v>15079</v>
      </c>
      <c r="AY948" s="515">
        <v>1</v>
      </c>
      <c r="AZ948" s="474" t="s">
        <v>15079</v>
      </c>
      <c r="BA948" s="472" t="s">
        <v>517</v>
      </c>
      <c r="BB948" s="472" t="s">
        <v>1385</v>
      </c>
      <c r="BC948" s="472" t="s">
        <v>1385</v>
      </c>
      <c r="BD948" s="472" t="s">
        <v>1385</v>
      </c>
      <c r="BE948" s="472" t="s">
        <v>1385</v>
      </c>
      <c r="BF948" s="472">
        <v>37864.800000000003</v>
      </c>
      <c r="BG948" s="472">
        <v>0</v>
      </c>
      <c r="BH948" s="472" t="s">
        <v>1385</v>
      </c>
      <c r="BI948" s="510">
        <v>0</v>
      </c>
      <c r="BJ948" s="510">
        <v>0</v>
      </c>
      <c r="BK948" s="510">
        <v>0</v>
      </c>
      <c r="BL948" s="510">
        <v>22.16</v>
      </c>
      <c r="BM948" s="510">
        <v>0</v>
      </c>
      <c r="BN948" s="510">
        <v>5000</v>
      </c>
      <c r="BO948" s="510">
        <v>0</v>
      </c>
      <c r="BP948" s="510">
        <v>2000</v>
      </c>
      <c r="BQ948" s="510">
        <v>0</v>
      </c>
      <c r="BR948" s="510">
        <v>0</v>
      </c>
      <c r="BS948" s="510">
        <v>0</v>
      </c>
      <c r="BT948" s="510">
        <v>0</v>
      </c>
      <c r="BU948" s="510">
        <v>2500</v>
      </c>
      <c r="BV948" s="510">
        <v>2500</v>
      </c>
      <c r="BW948" s="510">
        <v>0</v>
      </c>
      <c r="BX948" s="510">
        <v>30000</v>
      </c>
      <c r="BY948" s="1011">
        <v>0</v>
      </c>
      <c r="BZ948" s="510">
        <v>0</v>
      </c>
      <c r="CA948" s="1011">
        <v>0</v>
      </c>
      <c r="CB948" s="510">
        <v>22000</v>
      </c>
      <c r="CC948" s="1011">
        <v>0</v>
      </c>
      <c r="CD948" s="510">
        <v>0</v>
      </c>
      <c r="CE948" s="1011">
        <v>0</v>
      </c>
      <c r="CF948" s="510">
        <v>46641.599999999999</v>
      </c>
      <c r="CG948" s="1011">
        <v>0</v>
      </c>
      <c r="CH948" s="510">
        <v>0</v>
      </c>
      <c r="CI948" s="1011">
        <v>0</v>
      </c>
    </row>
    <row r="949" spans="1:87" x14ac:dyDescent="0.2">
      <c r="A949" s="449">
        <v>55</v>
      </c>
      <c r="B949" s="453">
        <v>94374</v>
      </c>
      <c r="C949" s="454" t="s">
        <v>8299</v>
      </c>
      <c r="D949" s="454" t="s">
        <v>2950</v>
      </c>
      <c r="E949" s="454" t="s">
        <v>8300</v>
      </c>
      <c r="F949" s="454" t="s">
        <v>522</v>
      </c>
      <c r="G949" s="454" t="s">
        <v>13892</v>
      </c>
      <c r="H949" s="455">
        <v>59830984000180</v>
      </c>
      <c r="I949" s="462">
        <v>32458</v>
      </c>
      <c r="J949" s="457">
        <v>37586890</v>
      </c>
      <c r="K949" s="454" t="s">
        <v>8301</v>
      </c>
      <c r="L949" s="458">
        <v>1549</v>
      </c>
      <c r="M949" s="454" t="s">
        <v>3435</v>
      </c>
      <c r="N949" s="459">
        <v>2878990</v>
      </c>
      <c r="O949" s="460">
        <v>39863426</v>
      </c>
      <c r="P949" s="462">
        <v>80414</v>
      </c>
      <c r="Q949" s="462">
        <v>84</v>
      </c>
      <c r="R949" s="462">
        <v>43911</v>
      </c>
      <c r="S949" s="463">
        <v>1063</v>
      </c>
      <c r="T949" s="464">
        <v>5.4</v>
      </c>
      <c r="U949" s="465">
        <v>5740.2</v>
      </c>
      <c r="V949" s="465">
        <v>20340</v>
      </c>
      <c r="W949" s="466">
        <v>0</v>
      </c>
      <c r="X949" s="467">
        <v>1</v>
      </c>
      <c r="Y949" s="466">
        <v>39120.300000000003</v>
      </c>
      <c r="Z949" s="468" t="s">
        <v>516</v>
      </c>
      <c r="AA949" s="466">
        <v>160930.70000000001</v>
      </c>
      <c r="AB949" s="466">
        <v>160930.70000000001</v>
      </c>
      <c r="AC949" s="467">
        <v>0</v>
      </c>
      <c r="AD949" s="466">
        <v>0</v>
      </c>
      <c r="AE949" s="468" t="s">
        <v>516</v>
      </c>
      <c r="AF949" s="466">
        <v>2000</v>
      </c>
      <c r="AG949" s="466">
        <v>2000</v>
      </c>
      <c r="AH949" s="466">
        <v>8833.07</v>
      </c>
      <c r="AI949" s="466">
        <v>11816.6</v>
      </c>
      <c r="AJ949" s="469" t="s">
        <v>4024</v>
      </c>
      <c r="AK949" s="470" t="s">
        <v>12893</v>
      </c>
      <c r="AL949" s="471" t="s">
        <v>8302</v>
      </c>
      <c r="AM949" s="470" t="s">
        <v>8303</v>
      </c>
      <c r="AN949" s="470" t="s">
        <v>1385</v>
      </c>
      <c r="AO949" s="470" t="s">
        <v>8304</v>
      </c>
      <c r="AP949" s="470" t="s">
        <v>8305</v>
      </c>
      <c r="AQ949" s="470" t="s">
        <v>8299</v>
      </c>
      <c r="AR949" s="472" t="s">
        <v>515</v>
      </c>
      <c r="AS949" s="473" t="s">
        <v>1385</v>
      </c>
      <c r="AT949" s="472" t="s">
        <v>2950</v>
      </c>
      <c r="AU949" s="472" t="s">
        <v>420</v>
      </c>
      <c r="AV949" s="472">
        <v>2020</v>
      </c>
      <c r="AW949" s="474" t="s">
        <v>15078</v>
      </c>
      <c r="AX949" s="475" t="s">
        <v>15079</v>
      </c>
      <c r="AY949" s="515">
        <v>1</v>
      </c>
      <c r="AZ949" s="474" t="s">
        <v>15079</v>
      </c>
      <c r="BA949" s="472" t="s">
        <v>2950</v>
      </c>
      <c r="BB949" s="472" t="s">
        <v>1385</v>
      </c>
      <c r="BC949" s="472" t="s">
        <v>1385</v>
      </c>
      <c r="BD949" s="472" t="s">
        <v>1385</v>
      </c>
      <c r="BE949" s="472" t="s">
        <v>1385</v>
      </c>
      <c r="BF949" s="472">
        <v>39120.300000000003</v>
      </c>
      <c r="BG949" s="472">
        <v>0</v>
      </c>
      <c r="BH949" s="472" t="s">
        <v>1385</v>
      </c>
      <c r="BI949" s="510">
        <v>0</v>
      </c>
      <c r="BJ949" s="510">
        <v>0</v>
      </c>
      <c r="BK949" s="510">
        <v>0</v>
      </c>
      <c r="BL949" s="510">
        <v>0</v>
      </c>
      <c r="BM949" s="510">
        <v>0</v>
      </c>
      <c r="BN949" s="510">
        <v>1220</v>
      </c>
      <c r="BO949" s="510">
        <v>0</v>
      </c>
      <c r="BP949" s="510">
        <v>2000</v>
      </c>
      <c r="BQ949" s="510">
        <v>0</v>
      </c>
      <c r="BR949" s="510">
        <v>0</v>
      </c>
      <c r="BS949" s="510">
        <v>0</v>
      </c>
      <c r="BT949" s="510">
        <v>0</v>
      </c>
      <c r="BU949" s="510">
        <v>0</v>
      </c>
      <c r="BV949" s="510">
        <v>0</v>
      </c>
      <c r="BW949" s="510">
        <v>0</v>
      </c>
      <c r="BX949" s="510">
        <v>30000</v>
      </c>
      <c r="BY949" s="1011">
        <v>0</v>
      </c>
      <c r="BZ949" s="510">
        <v>0</v>
      </c>
      <c r="CA949" s="1011">
        <v>0</v>
      </c>
      <c r="CB949" s="510">
        <v>22000</v>
      </c>
      <c r="CC949" s="1011">
        <v>0</v>
      </c>
      <c r="CD949" s="510">
        <v>0</v>
      </c>
      <c r="CE949" s="1011">
        <v>0</v>
      </c>
      <c r="CF949" s="510">
        <v>69810.399999999994</v>
      </c>
      <c r="CG949" s="1011">
        <v>0</v>
      </c>
      <c r="CH949" s="510">
        <v>0</v>
      </c>
      <c r="CI949" s="1011">
        <v>0</v>
      </c>
    </row>
    <row r="950" spans="1:87" x14ac:dyDescent="0.2">
      <c r="A950" s="449">
        <v>25</v>
      </c>
      <c r="B950" s="453">
        <v>94382</v>
      </c>
      <c r="C950" s="454" t="s">
        <v>8306</v>
      </c>
      <c r="D950" s="454" t="s">
        <v>517</v>
      </c>
      <c r="E950" s="454" t="s">
        <v>8307</v>
      </c>
      <c r="F950" s="454" t="s">
        <v>522</v>
      </c>
      <c r="G950" s="454" t="s">
        <v>13893</v>
      </c>
      <c r="H950" s="455">
        <v>59584391000181</v>
      </c>
      <c r="I950" s="462">
        <v>32435</v>
      </c>
      <c r="J950" s="457">
        <v>37586548</v>
      </c>
      <c r="K950" s="454" t="s">
        <v>6334</v>
      </c>
      <c r="L950" s="458">
        <v>147</v>
      </c>
      <c r="M950" s="454" t="s">
        <v>6303</v>
      </c>
      <c r="N950" s="459">
        <v>2873250</v>
      </c>
      <c r="O950" s="460">
        <v>38514356</v>
      </c>
      <c r="P950" s="462">
        <v>80325</v>
      </c>
      <c r="Q950" s="462">
        <v>58</v>
      </c>
      <c r="R950" s="462">
        <v>44027</v>
      </c>
      <c r="S950" s="463">
        <v>1158</v>
      </c>
      <c r="T950" s="464">
        <v>5.4</v>
      </c>
      <c r="U950" s="465">
        <v>6253.2</v>
      </c>
      <c r="V950" s="465">
        <v>20340</v>
      </c>
      <c r="W950" s="466">
        <v>0</v>
      </c>
      <c r="X950" s="467">
        <v>1</v>
      </c>
      <c r="Y950" s="466">
        <v>39889.800000000003</v>
      </c>
      <c r="Z950" s="468" t="s">
        <v>516</v>
      </c>
      <c r="AA950" s="466">
        <v>144936.20000000001</v>
      </c>
      <c r="AB950" s="466">
        <v>144936.20000000001</v>
      </c>
      <c r="AC950" s="467">
        <v>0</v>
      </c>
      <c r="AD950" s="466">
        <v>0</v>
      </c>
      <c r="AE950" s="468" t="s">
        <v>516</v>
      </c>
      <c r="AF950" s="466">
        <v>1600</v>
      </c>
      <c r="AG950" s="466">
        <v>1600</v>
      </c>
      <c r="AH950" s="466">
        <v>19187.23</v>
      </c>
      <c r="AI950" s="466">
        <v>3546.76</v>
      </c>
      <c r="AJ950" s="469" t="s">
        <v>1438</v>
      </c>
      <c r="AK950" s="470" t="s">
        <v>12345</v>
      </c>
      <c r="AL950" s="471" t="s">
        <v>8308</v>
      </c>
      <c r="AM950" s="470" t="s">
        <v>13894</v>
      </c>
      <c r="AN950" s="470" t="s">
        <v>1385</v>
      </c>
      <c r="AO950" s="470" t="s">
        <v>13895</v>
      </c>
      <c r="AP950" s="470" t="s">
        <v>8309</v>
      </c>
      <c r="AQ950" s="470" t="s">
        <v>8306</v>
      </c>
      <c r="AR950" s="472" t="s">
        <v>515</v>
      </c>
      <c r="AS950" s="473" t="s">
        <v>1385</v>
      </c>
      <c r="AT950" s="472" t="s">
        <v>517</v>
      </c>
      <c r="AU950" s="472" t="s">
        <v>420</v>
      </c>
      <c r="AV950" s="472">
        <v>2020</v>
      </c>
      <c r="AW950" s="474" t="s">
        <v>15078</v>
      </c>
      <c r="AX950" s="475" t="s">
        <v>15079</v>
      </c>
      <c r="AY950" s="515">
        <v>1</v>
      </c>
      <c r="AZ950" s="474" t="s">
        <v>15079</v>
      </c>
      <c r="BA950" s="472" t="s">
        <v>517</v>
      </c>
      <c r="BB950" s="472" t="s">
        <v>1385</v>
      </c>
      <c r="BC950" s="472" t="s">
        <v>1385</v>
      </c>
      <c r="BD950" s="509" t="s">
        <v>1385</v>
      </c>
      <c r="BE950" s="472" t="s">
        <v>1385</v>
      </c>
      <c r="BF950" s="509">
        <v>39889.800000000003</v>
      </c>
      <c r="BG950" s="472">
        <v>0</v>
      </c>
      <c r="BH950" s="472" t="s">
        <v>1385</v>
      </c>
      <c r="BI950" s="510">
        <v>0</v>
      </c>
      <c r="BJ950" s="510">
        <v>0</v>
      </c>
      <c r="BK950" s="510">
        <v>0</v>
      </c>
      <c r="BL950" s="510">
        <v>0</v>
      </c>
      <c r="BM950" s="510">
        <v>0</v>
      </c>
      <c r="BN950" s="510">
        <v>0</v>
      </c>
      <c r="BO950" s="510">
        <v>400</v>
      </c>
      <c r="BP950" s="510">
        <v>1600</v>
      </c>
      <c r="BQ950" s="510">
        <v>0</v>
      </c>
      <c r="BR950" s="510">
        <v>0</v>
      </c>
      <c r="BS950" s="510">
        <v>0</v>
      </c>
      <c r="BT950" s="510">
        <v>0</v>
      </c>
      <c r="BU950" s="510">
        <v>2500</v>
      </c>
      <c r="BV950" s="510">
        <v>2500</v>
      </c>
      <c r="BW950" s="510">
        <v>0</v>
      </c>
      <c r="BX950" s="510">
        <v>30000</v>
      </c>
      <c r="BY950" s="1011">
        <v>0</v>
      </c>
      <c r="BZ950" s="510">
        <v>0</v>
      </c>
      <c r="CA950" s="1011">
        <v>0</v>
      </c>
      <c r="CB950" s="510">
        <v>22000</v>
      </c>
      <c r="CC950" s="1011">
        <v>0</v>
      </c>
      <c r="CD950" s="510">
        <v>0</v>
      </c>
      <c r="CE950" s="1011">
        <v>0</v>
      </c>
      <c r="CF950" s="510">
        <v>52646.400000000001</v>
      </c>
      <c r="CG950" s="1011">
        <v>0</v>
      </c>
      <c r="CH950" s="510">
        <v>0</v>
      </c>
      <c r="CI950" s="1011">
        <v>0</v>
      </c>
    </row>
    <row r="951" spans="1:87" x14ac:dyDescent="0.2">
      <c r="A951" s="449">
        <v>66</v>
      </c>
      <c r="B951" s="453">
        <v>94391</v>
      </c>
      <c r="C951" s="454" t="s">
        <v>8310</v>
      </c>
      <c r="D951" s="454" t="s">
        <v>517</v>
      </c>
      <c r="E951" s="454" t="s">
        <v>8311</v>
      </c>
      <c r="F951" s="454" t="s">
        <v>528</v>
      </c>
      <c r="G951" s="454" t="s">
        <v>13896</v>
      </c>
      <c r="H951" s="455">
        <v>52505328000163</v>
      </c>
      <c r="I951" s="462">
        <v>30426</v>
      </c>
      <c r="J951" s="457">
        <v>38090465</v>
      </c>
      <c r="K951" s="454" t="s">
        <v>8312</v>
      </c>
      <c r="L951" s="458">
        <v>148</v>
      </c>
      <c r="M951" s="454" t="s">
        <v>528</v>
      </c>
      <c r="N951" s="459">
        <v>2933140</v>
      </c>
      <c r="O951" s="460">
        <v>39760215</v>
      </c>
      <c r="P951" s="462" t="s">
        <v>1385</v>
      </c>
      <c r="Q951" s="462">
        <v>66</v>
      </c>
      <c r="R951" s="462">
        <v>43938</v>
      </c>
      <c r="S951" s="463">
        <v>634</v>
      </c>
      <c r="T951" s="464">
        <v>5.4</v>
      </c>
      <c r="U951" s="465">
        <v>3423.6</v>
      </c>
      <c r="V951" s="465">
        <v>17100</v>
      </c>
      <c r="W951" s="466">
        <v>0</v>
      </c>
      <c r="X951" s="467">
        <v>1</v>
      </c>
      <c r="Y951" s="466">
        <v>30785.4</v>
      </c>
      <c r="Z951" s="468" t="s">
        <v>514</v>
      </c>
      <c r="AA951" s="466">
        <v>0</v>
      </c>
      <c r="AB951" s="466">
        <v>0</v>
      </c>
      <c r="AC951" s="467">
        <v>0</v>
      </c>
      <c r="AD951" s="466">
        <v>0</v>
      </c>
      <c r="AE951" s="468" t="s">
        <v>516</v>
      </c>
      <c r="AF951" s="466">
        <v>0</v>
      </c>
      <c r="AG951" s="466">
        <v>0</v>
      </c>
      <c r="AH951" s="466">
        <v>5845.3</v>
      </c>
      <c r="AI951" s="466">
        <v>0</v>
      </c>
      <c r="AJ951" s="469" t="s">
        <v>1571</v>
      </c>
      <c r="AK951" s="470" t="s">
        <v>528</v>
      </c>
      <c r="AL951" s="471" t="s">
        <v>8313</v>
      </c>
      <c r="AM951" s="470" t="s">
        <v>8314</v>
      </c>
      <c r="AN951" s="470" t="s">
        <v>8315</v>
      </c>
      <c r="AO951" s="470" t="s">
        <v>13897</v>
      </c>
      <c r="AP951" s="470" t="s">
        <v>8316</v>
      </c>
      <c r="AQ951" s="470" t="s">
        <v>8310</v>
      </c>
      <c r="AR951" s="472" t="s">
        <v>515</v>
      </c>
      <c r="AS951" s="473" t="s">
        <v>1385</v>
      </c>
      <c r="AT951" s="472" t="s">
        <v>517</v>
      </c>
      <c r="AU951" s="472" t="s">
        <v>420</v>
      </c>
      <c r="AV951" s="472">
        <v>2020</v>
      </c>
      <c r="AW951" s="474" t="s">
        <v>15078</v>
      </c>
      <c r="AX951" s="475" t="s">
        <v>15079</v>
      </c>
      <c r="AY951" s="515">
        <v>1</v>
      </c>
      <c r="AZ951" s="474" t="s">
        <v>15079</v>
      </c>
      <c r="BA951" s="472" t="s">
        <v>1385</v>
      </c>
      <c r="BB951" s="472" t="s">
        <v>1385</v>
      </c>
      <c r="BC951" s="472" t="s">
        <v>1385</v>
      </c>
      <c r="BD951" s="472" t="s">
        <v>1385</v>
      </c>
      <c r="BE951" s="472" t="s">
        <v>1385</v>
      </c>
      <c r="BF951" s="472">
        <v>30785.4</v>
      </c>
      <c r="BG951" s="472">
        <v>0</v>
      </c>
      <c r="BH951" s="472" t="s">
        <v>1385</v>
      </c>
      <c r="BI951" s="510">
        <v>0</v>
      </c>
      <c r="BJ951" s="510">
        <v>0</v>
      </c>
      <c r="BK951" s="510">
        <v>0</v>
      </c>
      <c r="BL951" s="510">
        <v>0</v>
      </c>
      <c r="BM951" s="510">
        <v>0</v>
      </c>
      <c r="BN951" s="510">
        <v>0</v>
      </c>
      <c r="BO951" s="510">
        <v>0</v>
      </c>
      <c r="BP951" s="510">
        <v>0</v>
      </c>
      <c r="BQ951" s="510">
        <v>0</v>
      </c>
      <c r="BR951" s="510">
        <v>0</v>
      </c>
      <c r="BS951" s="510">
        <v>0</v>
      </c>
      <c r="BT951" s="510">
        <v>0</v>
      </c>
      <c r="BU951" s="510">
        <v>0</v>
      </c>
      <c r="BV951" s="510">
        <v>0</v>
      </c>
      <c r="BW951" s="510">
        <v>0</v>
      </c>
      <c r="BX951" s="510">
        <v>0</v>
      </c>
      <c r="BY951" s="1011">
        <v>0</v>
      </c>
      <c r="BZ951" s="510">
        <v>0</v>
      </c>
      <c r="CA951" s="1011">
        <v>0</v>
      </c>
      <c r="CB951" s="510">
        <v>0</v>
      </c>
      <c r="CC951" s="1011">
        <v>0</v>
      </c>
      <c r="CD951" s="510">
        <v>0</v>
      </c>
      <c r="CE951" s="1011">
        <v>0</v>
      </c>
      <c r="CF951" s="510">
        <v>0</v>
      </c>
      <c r="CG951" s="1011">
        <v>0</v>
      </c>
      <c r="CH951" s="510">
        <v>0</v>
      </c>
      <c r="CI951" s="1011">
        <v>0</v>
      </c>
    </row>
    <row r="952" spans="1:87" x14ac:dyDescent="0.2">
      <c r="A952" s="449">
        <v>69</v>
      </c>
      <c r="B952" s="453">
        <v>94404</v>
      </c>
      <c r="C952" s="454" t="s">
        <v>8317</v>
      </c>
      <c r="D952" s="454" t="s">
        <v>517</v>
      </c>
      <c r="E952" s="454" t="s">
        <v>8318</v>
      </c>
      <c r="F952" s="454" t="s">
        <v>528</v>
      </c>
      <c r="G952" s="454" t="s">
        <v>13898</v>
      </c>
      <c r="H952" s="455">
        <v>52446663000138</v>
      </c>
      <c r="I952" s="462">
        <v>30411</v>
      </c>
      <c r="J952" s="457">
        <v>37373110</v>
      </c>
      <c r="K952" s="454" t="s">
        <v>8319</v>
      </c>
      <c r="L952" s="458">
        <v>2653</v>
      </c>
      <c r="M952" s="454" t="s">
        <v>528</v>
      </c>
      <c r="N952" s="459">
        <v>2915100</v>
      </c>
      <c r="O952" s="460">
        <v>39753906</v>
      </c>
      <c r="P952" s="462">
        <v>263080</v>
      </c>
      <c r="Q952" s="462">
        <v>69</v>
      </c>
      <c r="R952" s="462">
        <v>43938</v>
      </c>
      <c r="S952" s="463">
        <v>1098</v>
      </c>
      <c r="T952" s="464">
        <v>5.4</v>
      </c>
      <c r="U952" s="465">
        <v>5929.2</v>
      </c>
      <c r="V952" s="465">
        <v>20340</v>
      </c>
      <c r="W952" s="466">
        <v>0</v>
      </c>
      <c r="X952" s="467">
        <v>1</v>
      </c>
      <c r="Y952" s="466">
        <v>39403.800000000003</v>
      </c>
      <c r="Z952" s="468" t="s">
        <v>516</v>
      </c>
      <c r="AA952" s="466">
        <v>144514.6</v>
      </c>
      <c r="AB952" s="466">
        <v>144514.6</v>
      </c>
      <c r="AC952" s="467">
        <v>0</v>
      </c>
      <c r="AD952" s="466">
        <v>0</v>
      </c>
      <c r="AE952" s="468" t="s">
        <v>516</v>
      </c>
      <c r="AF952" s="466">
        <v>0</v>
      </c>
      <c r="AG952" s="466">
        <v>0</v>
      </c>
      <c r="AH952" s="466">
        <v>21440.61</v>
      </c>
      <c r="AI952" s="466">
        <v>5993.84</v>
      </c>
      <c r="AJ952" s="469" t="s">
        <v>1571</v>
      </c>
      <c r="AK952" s="470" t="s">
        <v>528</v>
      </c>
      <c r="AL952" s="471" t="s">
        <v>8320</v>
      </c>
      <c r="AM952" s="470" t="s">
        <v>8321</v>
      </c>
      <c r="AN952" s="470" t="s">
        <v>8322</v>
      </c>
      <c r="AO952" s="470" t="s">
        <v>8323</v>
      </c>
      <c r="AP952" s="470" t="s">
        <v>5544</v>
      </c>
      <c r="AQ952" s="470" t="s">
        <v>8317</v>
      </c>
      <c r="AR952" s="472" t="s">
        <v>515</v>
      </c>
      <c r="AS952" s="473" t="s">
        <v>1385</v>
      </c>
      <c r="AT952" s="472" t="s">
        <v>517</v>
      </c>
      <c r="AU952" s="472" t="s">
        <v>420</v>
      </c>
      <c r="AV952" s="472">
        <v>2020</v>
      </c>
      <c r="AW952" s="474" t="s">
        <v>15078</v>
      </c>
      <c r="AX952" s="475" t="s">
        <v>15079</v>
      </c>
      <c r="AY952" s="515">
        <v>1</v>
      </c>
      <c r="AZ952" s="474" t="s">
        <v>15079</v>
      </c>
      <c r="BA952" s="472" t="s">
        <v>517</v>
      </c>
      <c r="BB952" s="472" t="s">
        <v>1385</v>
      </c>
      <c r="BC952" s="472" t="s">
        <v>1385</v>
      </c>
      <c r="BD952" s="472" t="s">
        <v>1385</v>
      </c>
      <c r="BE952" s="472" t="s">
        <v>1385</v>
      </c>
      <c r="BF952" s="472">
        <v>39403.800000000003</v>
      </c>
      <c r="BG952" s="472">
        <v>0</v>
      </c>
      <c r="BH952" s="472" t="s">
        <v>1385</v>
      </c>
      <c r="BI952" s="510">
        <v>0</v>
      </c>
      <c r="BJ952" s="510">
        <v>0</v>
      </c>
      <c r="BK952" s="510">
        <v>0</v>
      </c>
      <c r="BL952" s="510">
        <v>2230</v>
      </c>
      <c r="BM952" s="510">
        <v>0</v>
      </c>
      <c r="BN952" s="510">
        <v>5000</v>
      </c>
      <c r="BO952" s="510">
        <v>0</v>
      </c>
      <c r="BP952" s="510">
        <v>0</v>
      </c>
      <c r="BQ952" s="510">
        <v>0</v>
      </c>
      <c r="BR952" s="510">
        <v>0</v>
      </c>
      <c r="BS952" s="510">
        <v>0</v>
      </c>
      <c r="BT952" s="510">
        <v>0</v>
      </c>
      <c r="BU952" s="510">
        <v>2500</v>
      </c>
      <c r="BV952" s="510">
        <v>2500</v>
      </c>
      <c r="BW952" s="510">
        <v>0</v>
      </c>
      <c r="BX952" s="510">
        <v>30000</v>
      </c>
      <c r="BY952" s="1011">
        <v>0</v>
      </c>
      <c r="BZ952" s="510">
        <v>0</v>
      </c>
      <c r="CA952" s="1011">
        <v>0</v>
      </c>
      <c r="CB952" s="510">
        <v>22000</v>
      </c>
      <c r="CC952" s="1011">
        <v>0</v>
      </c>
      <c r="CD952" s="510">
        <v>0</v>
      </c>
      <c r="CE952" s="1011">
        <v>0</v>
      </c>
      <c r="CF952" s="510">
        <v>53110.8</v>
      </c>
      <c r="CG952" s="1011">
        <v>0</v>
      </c>
      <c r="CH952" s="510">
        <v>0</v>
      </c>
      <c r="CI952" s="1011">
        <v>0</v>
      </c>
    </row>
    <row r="953" spans="1:87" x14ac:dyDescent="0.2">
      <c r="A953" s="449">
        <v>47</v>
      </c>
      <c r="B953" s="453">
        <v>94412</v>
      </c>
      <c r="C953" s="454" t="s">
        <v>8324</v>
      </c>
      <c r="D953" s="454" t="s">
        <v>517</v>
      </c>
      <c r="E953" s="454" t="s">
        <v>8325</v>
      </c>
      <c r="F953" s="454" t="s">
        <v>528</v>
      </c>
      <c r="G953" s="454" t="s">
        <v>13899</v>
      </c>
      <c r="H953" s="455">
        <v>51582971000128</v>
      </c>
      <c r="I953" s="462">
        <v>29070</v>
      </c>
      <c r="J953" s="457">
        <v>37468430</v>
      </c>
      <c r="K953" s="454" t="s">
        <v>8326</v>
      </c>
      <c r="L953" s="458">
        <v>134</v>
      </c>
      <c r="M953" s="454" t="s">
        <v>8327</v>
      </c>
      <c r="N953" s="459">
        <v>5140040</v>
      </c>
      <c r="O953" s="460">
        <v>39047571</v>
      </c>
      <c r="P953" s="462">
        <v>217614</v>
      </c>
      <c r="Q953" s="462">
        <v>47</v>
      </c>
      <c r="R953" s="462">
        <v>43938</v>
      </c>
      <c r="S953" s="463">
        <v>633</v>
      </c>
      <c r="T953" s="464">
        <v>5.4</v>
      </c>
      <c r="U953" s="465">
        <v>3418.2</v>
      </c>
      <c r="V953" s="465">
        <v>17100</v>
      </c>
      <c r="W953" s="466">
        <v>0</v>
      </c>
      <c r="X953" s="467">
        <v>1</v>
      </c>
      <c r="Y953" s="466">
        <v>30777.3</v>
      </c>
      <c r="Z953" s="468" t="s">
        <v>516</v>
      </c>
      <c r="AA953" s="466">
        <v>123997.3</v>
      </c>
      <c r="AB953" s="466">
        <v>123997.3</v>
      </c>
      <c r="AC953" s="467">
        <v>0</v>
      </c>
      <c r="AD953" s="466">
        <v>0</v>
      </c>
      <c r="AE953" s="468" t="s">
        <v>516</v>
      </c>
      <c r="AF953" s="466">
        <v>0</v>
      </c>
      <c r="AG953" s="466">
        <v>0</v>
      </c>
      <c r="AH953" s="466">
        <v>21310.62</v>
      </c>
      <c r="AI953" s="466">
        <v>3923.82</v>
      </c>
      <c r="AJ953" s="469" t="s">
        <v>1571</v>
      </c>
      <c r="AK953" s="470" t="s">
        <v>528</v>
      </c>
      <c r="AL953" s="471" t="s">
        <v>8328</v>
      </c>
      <c r="AM953" s="470" t="s">
        <v>8329</v>
      </c>
      <c r="AN953" s="470" t="s">
        <v>1385</v>
      </c>
      <c r="AO953" s="470" t="s">
        <v>13900</v>
      </c>
      <c r="AP953" s="470" t="s">
        <v>8330</v>
      </c>
      <c r="AQ953" s="470" t="s">
        <v>8324</v>
      </c>
      <c r="AR953" s="472" t="s">
        <v>515</v>
      </c>
      <c r="AS953" s="473" t="s">
        <v>1385</v>
      </c>
      <c r="AT953" s="472" t="s">
        <v>517</v>
      </c>
      <c r="AU953" s="472" t="s">
        <v>420</v>
      </c>
      <c r="AV953" s="472">
        <v>2020</v>
      </c>
      <c r="AW953" s="474" t="s">
        <v>15078</v>
      </c>
      <c r="AX953" s="475" t="s">
        <v>15079</v>
      </c>
      <c r="AY953" s="515">
        <v>1</v>
      </c>
      <c r="AZ953" s="474" t="s">
        <v>15079</v>
      </c>
      <c r="BA953" s="472" t="s">
        <v>517</v>
      </c>
      <c r="BB953" s="472" t="s">
        <v>1385</v>
      </c>
      <c r="BC953" s="472" t="s">
        <v>1385</v>
      </c>
      <c r="BD953" s="472" t="s">
        <v>1385</v>
      </c>
      <c r="BE953" s="472" t="s">
        <v>1385</v>
      </c>
      <c r="BF953" s="472">
        <v>30777.3</v>
      </c>
      <c r="BG953" s="472">
        <v>0</v>
      </c>
      <c r="BH953" s="472" t="s">
        <v>1385</v>
      </c>
      <c r="BI953" s="510">
        <v>0</v>
      </c>
      <c r="BJ953" s="510">
        <v>0</v>
      </c>
      <c r="BK953" s="510">
        <v>0</v>
      </c>
      <c r="BL953" s="510">
        <v>0</v>
      </c>
      <c r="BM953" s="510">
        <v>0</v>
      </c>
      <c r="BN953" s="510">
        <v>3500</v>
      </c>
      <c r="BO953" s="510">
        <v>0</v>
      </c>
      <c r="BP953" s="510">
        <v>0</v>
      </c>
      <c r="BQ953" s="510">
        <v>0</v>
      </c>
      <c r="BR953" s="510">
        <v>0</v>
      </c>
      <c r="BS953" s="510">
        <v>0</v>
      </c>
      <c r="BT953" s="510">
        <v>0</v>
      </c>
      <c r="BU953" s="510">
        <v>2500</v>
      </c>
      <c r="BV953" s="510">
        <v>2500</v>
      </c>
      <c r="BW953" s="510">
        <v>0</v>
      </c>
      <c r="BX953" s="510">
        <v>30000</v>
      </c>
      <c r="BY953" s="1011">
        <v>0</v>
      </c>
      <c r="BZ953" s="510">
        <v>0</v>
      </c>
      <c r="CA953" s="1011">
        <v>0</v>
      </c>
      <c r="CB953" s="510">
        <v>22000</v>
      </c>
      <c r="CC953" s="1011">
        <v>0</v>
      </c>
      <c r="CD953" s="510">
        <v>0</v>
      </c>
      <c r="CE953" s="1011">
        <v>0</v>
      </c>
      <c r="CF953" s="510">
        <v>41220</v>
      </c>
      <c r="CG953" s="1011">
        <v>0</v>
      </c>
      <c r="CH953" s="510">
        <v>0</v>
      </c>
      <c r="CI953" s="1011">
        <v>0</v>
      </c>
    </row>
    <row r="954" spans="1:87" x14ac:dyDescent="0.2">
      <c r="A954" s="449">
        <v>63</v>
      </c>
      <c r="B954" s="453">
        <v>94421</v>
      </c>
      <c r="C954" s="454" t="s">
        <v>8331</v>
      </c>
      <c r="D954" s="454" t="s">
        <v>517</v>
      </c>
      <c r="E954" s="454" t="s">
        <v>8332</v>
      </c>
      <c r="F954" s="454" t="s">
        <v>528</v>
      </c>
      <c r="G954" s="454" t="s">
        <v>13901</v>
      </c>
      <c r="H954" s="455">
        <v>52030970000133</v>
      </c>
      <c r="I954" s="462">
        <v>30285</v>
      </c>
      <c r="J954" s="457">
        <v>37374850</v>
      </c>
      <c r="K954" s="454" t="s">
        <v>8333</v>
      </c>
      <c r="L954" s="458">
        <v>320</v>
      </c>
      <c r="M954" s="454" t="s">
        <v>8334</v>
      </c>
      <c r="N954" s="459">
        <v>2969100</v>
      </c>
      <c r="O954" s="460">
        <v>39754857</v>
      </c>
      <c r="P954" s="462">
        <v>265406</v>
      </c>
      <c r="Q954" s="462">
        <v>63</v>
      </c>
      <c r="R954" s="462">
        <v>43938</v>
      </c>
      <c r="S954" s="463">
        <v>933</v>
      </c>
      <c r="T954" s="464">
        <v>5.4</v>
      </c>
      <c r="U954" s="465">
        <v>5038.2</v>
      </c>
      <c r="V954" s="465">
        <v>20340</v>
      </c>
      <c r="W954" s="466">
        <v>0</v>
      </c>
      <c r="X954" s="467">
        <v>1</v>
      </c>
      <c r="Y954" s="466">
        <v>38067.300000000003</v>
      </c>
      <c r="Z954" s="468" t="s">
        <v>516</v>
      </c>
      <c r="AA954" s="466">
        <v>140888.5</v>
      </c>
      <c r="AB954" s="466">
        <v>140888.5</v>
      </c>
      <c r="AC954" s="467">
        <v>0</v>
      </c>
      <c r="AD954" s="466">
        <v>0</v>
      </c>
      <c r="AE954" s="468" t="s">
        <v>516</v>
      </c>
      <c r="AF954" s="466">
        <v>0</v>
      </c>
      <c r="AG954" s="466">
        <v>0</v>
      </c>
      <c r="AH954" s="466">
        <v>20285.57</v>
      </c>
      <c r="AI954" s="466">
        <v>5077.6000000000004</v>
      </c>
      <c r="AJ954" s="469" t="s">
        <v>1571</v>
      </c>
      <c r="AK954" s="470" t="s">
        <v>528</v>
      </c>
      <c r="AL954" s="471" t="s">
        <v>8335</v>
      </c>
      <c r="AM954" s="470" t="s">
        <v>8336</v>
      </c>
      <c r="AN954" s="470" t="s">
        <v>8337</v>
      </c>
      <c r="AO954" s="470" t="s">
        <v>13902</v>
      </c>
      <c r="AP954" s="470" t="s">
        <v>8338</v>
      </c>
      <c r="AQ954" s="470" t="s">
        <v>8331</v>
      </c>
      <c r="AR954" s="472" t="s">
        <v>515</v>
      </c>
      <c r="AS954" s="473" t="s">
        <v>1385</v>
      </c>
      <c r="AT954" s="472" t="s">
        <v>517</v>
      </c>
      <c r="AU954" s="472" t="s">
        <v>420</v>
      </c>
      <c r="AV954" s="472">
        <v>2020</v>
      </c>
      <c r="AW954" s="474" t="s">
        <v>15078</v>
      </c>
      <c r="AX954" s="475" t="s">
        <v>15079</v>
      </c>
      <c r="AY954" s="515">
        <v>1</v>
      </c>
      <c r="AZ954" s="474" t="s">
        <v>15079</v>
      </c>
      <c r="BA954" s="472" t="s">
        <v>517</v>
      </c>
      <c r="BB954" s="472" t="s">
        <v>1385</v>
      </c>
      <c r="BC954" s="472" t="s">
        <v>1385</v>
      </c>
      <c r="BD954" s="472" t="s">
        <v>1385</v>
      </c>
      <c r="BE954" s="472" t="s">
        <v>1385</v>
      </c>
      <c r="BF954" s="472">
        <v>38067.300000000003</v>
      </c>
      <c r="BG954" s="472">
        <v>0</v>
      </c>
      <c r="BH954" s="472" t="s">
        <v>1385</v>
      </c>
      <c r="BI954" s="510">
        <v>0</v>
      </c>
      <c r="BJ954" s="510">
        <v>0</v>
      </c>
      <c r="BK954" s="510">
        <v>0</v>
      </c>
      <c r="BL954" s="510">
        <v>3500</v>
      </c>
      <c r="BM954" s="510">
        <v>0</v>
      </c>
      <c r="BN954" s="510">
        <v>5000</v>
      </c>
      <c r="BO954" s="510">
        <v>0</v>
      </c>
      <c r="BP954" s="510">
        <v>0</v>
      </c>
      <c r="BQ954" s="510">
        <v>0</v>
      </c>
      <c r="BR954" s="510">
        <v>0</v>
      </c>
      <c r="BS954" s="510">
        <v>0</v>
      </c>
      <c r="BT954" s="510">
        <v>0</v>
      </c>
      <c r="BU954" s="510">
        <v>0</v>
      </c>
      <c r="BV954" s="510">
        <v>0</v>
      </c>
      <c r="BW954" s="510">
        <v>0</v>
      </c>
      <c r="BX954" s="510">
        <v>30000</v>
      </c>
      <c r="BY954" s="1011">
        <v>0</v>
      </c>
      <c r="BZ954" s="510">
        <v>0</v>
      </c>
      <c r="CA954" s="1011">
        <v>0</v>
      </c>
      <c r="CB954" s="510">
        <v>22000</v>
      </c>
      <c r="CC954" s="1011">
        <v>0</v>
      </c>
      <c r="CD954" s="510">
        <v>0</v>
      </c>
      <c r="CE954" s="1011">
        <v>0</v>
      </c>
      <c r="CF954" s="510">
        <v>50821.2</v>
      </c>
      <c r="CG954" s="1011">
        <v>0</v>
      </c>
      <c r="CH954" s="510">
        <v>0</v>
      </c>
      <c r="CI954" s="1011">
        <v>0</v>
      </c>
    </row>
    <row r="955" spans="1:87" x14ac:dyDescent="0.2">
      <c r="A955" s="449">
        <v>62</v>
      </c>
      <c r="B955" s="453">
        <v>94439</v>
      </c>
      <c r="C955" s="454" t="s">
        <v>8339</v>
      </c>
      <c r="D955" s="454" t="s">
        <v>517</v>
      </c>
      <c r="E955" s="454" t="s">
        <v>8340</v>
      </c>
      <c r="F955" s="454" t="s">
        <v>528</v>
      </c>
      <c r="G955" s="454" t="s">
        <v>13903</v>
      </c>
      <c r="H955" s="455">
        <v>52040839000157</v>
      </c>
      <c r="I955" s="462">
        <v>38659</v>
      </c>
      <c r="J955" s="457">
        <v>38089793</v>
      </c>
      <c r="K955" s="454" t="s">
        <v>8342</v>
      </c>
      <c r="L955" s="458" t="s">
        <v>1446</v>
      </c>
      <c r="M955" s="454" t="s">
        <v>2291</v>
      </c>
      <c r="N955" s="459">
        <v>2942000</v>
      </c>
      <c r="O955" s="460">
        <v>39720076</v>
      </c>
      <c r="P955" s="462">
        <v>279180</v>
      </c>
      <c r="Q955" s="462">
        <v>62</v>
      </c>
      <c r="R955" s="462">
        <v>43938</v>
      </c>
      <c r="S955" s="463">
        <v>1199</v>
      </c>
      <c r="T955" s="464">
        <v>5.4</v>
      </c>
      <c r="U955" s="465">
        <v>6474.6</v>
      </c>
      <c r="V955" s="465">
        <v>20340</v>
      </c>
      <c r="W955" s="466">
        <v>0</v>
      </c>
      <c r="X955" s="467">
        <v>1</v>
      </c>
      <c r="Y955" s="466">
        <v>40221.9</v>
      </c>
      <c r="Z955" s="468" t="s">
        <v>516</v>
      </c>
      <c r="AA955" s="466">
        <v>149728.29999999999</v>
      </c>
      <c r="AB955" s="466">
        <v>149728.29999999999</v>
      </c>
      <c r="AC955" s="467">
        <v>0</v>
      </c>
      <c r="AD955" s="466">
        <v>0</v>
      </c>
      <c r="AE955" s="468" t="s">
        <v>516</v>
      </c>
      <c r="AF955" s="466">
        <v>0</v>
      </c>
      <c r="AG955" s="466">
        <v>0</v>
      </c>
      <c r="AH955" s="466">
        <v>31665.599999999999</v>
      </c>
      <c r="AI955" s="466">
        <v>7353.14</v>
      </c>
      <c r="AJ955" s="469" t="s">
        <v>1571</v>
      </c>
      <c r="AK955" s="470" t="s">
        <v>528</v>
      </c>
      <c r="AL955" s="471" t="s">
        <v>8343</v>
      </c>
      <c r="AM955" s="470" t="s">
        <v>8344</v>
      </c>
      <c r="AN955" s="470" t="s">
        <v>8341</v>
      </c>
      <c r="AO955" s="470" t="s">
        <v>13904</v>
      </c>
      <c r="AP955" s="470" t="s">
        <v>8345</v>
      </c>
      <c r="AQ955" s="470" t="s">
        <v>8339</v>
      </c>
      <c r="AR955" s="472" t="s">
        <v>515</v>
      </c>
      <c r="AS955" s="473" t="s">
        <v>1385</v>
      </c>
      <c r="AT955" s="472" t="s">
        <v>517</v>
      </c>
      <c r="AU955" s="472" t="s">
        <v>420</v>
      </c>
      <c r="AV955" s="472">
        <v>2020</v>
      </c>
      <c r="AW955" s="474" t="s">
        <v>15078</v>
      </c>
      <c r="AX955" s="475" t="s">
        <v>15079</v>
      </c>
      <c r="AY955" s="515">
        <v>1</v>
      </c>
      <c r="AZ955" s="474" t="s">
        <v>15079</v>
      </c>
      <c r="BA955" s="472" t="s">
        <v>517</v>
      </c>
      <c r="BB955" s="472" t="s">
        <v>1385</v>
      </c>
      <c r="BC955" s="472" t="s">
        <v>1385</v>
      </c>
      <c r="BD955" s="472" t="s">
        <v>1385</v>
      </c>
      <c r="BE955" s="472" t="s">
        <v>1385</v>
      </c>
      <c r="BF955" s="472">
        <v>40221.9</v>
      </c>
      <c r="BG955" s="472">
        <v>0</v>
      </c>
      <c r="BH955" s="472" t="s">
        <v>1385</v>
      </c>
      <c r="BI955" s="510">
        <v>0</v>
      </c>
      <c r="BJ955" s="510">
        <v>0</v>
      </c>
      <c r="BK955" s="510">
        <v>0</v>
      </c>
      <c r="BL955" s="510">
        <v>0</v>
      </c>
      <c r="BM955" s="510">
        <v>0</v>
      </c>
      <c r="BN955" s="510">
        <v>5000</v>
      </c>
      <c r="BO955" s="510">
        <v>0</v>
      </c>
      <c r="BP955" s="510">
        <v>0</v>
      </c>
      <c r="BQ955" s="510">
        <v>0</v>
      </c>
      <c r="BR955" s="510">
        <v>0</v>
      </c>
      <c r="BS955" s="510">
        <v>0</v>
      </c>
      <c r="BT955" s="510">
        <v>0</v>
      </c>
      <c r="BU955" s="510">
        <v>0</v>
      </c>
      <c r="BV955" s="510">
        <v>0</v>
      </c>
      <c r="BW955" s="510">
        <v>0</v>
      </c>
      <c r="BX955" s="510">
        <v>30000</v>
      </c>
      <c r="BY955" s="1011">
        <v>0</v>
      </c>
      <c r="BZ955" s="510">
        <v>0</v>
      </c>
      <c r="CA955" s="1011">
        <v>0</v>
      </c>
      <c r="CB955" s="510">
        <v>22000</v>
      </c>
      <c r="CC955" s="1011">
        <v>0</v>
      </c>
      <c r="CD955" s="510">
        <v>0</v>
      </c>
      <c r="CE955" s="1011">
        <v>0</v>
      </c>
      <c r="CF955" s="510">
        <v>57506.400000000001</v>
      </c>
      <c r="CG955" s="1011">
        <v>0</v>
      </c>
      <c r="CH955" s="510">
        <v>0</v>
      </c>
      <c r="CI955" s="1011">
        <v>0</v>
      </c>
    </row>
    <row r="956" spans="1:87" x14ac:dyDescent="0.2">
      <c r="A956" s="449">
        <v>76</v>
      </c>
      <c r="B956" s="453">
        <v>94447</v>
      </c>
      <c r="C956" s="454" t="s">
        <v>8346</v>
      </c>
      <c r="D956" s="454" t="s">
        <v>517</v>
      </c>
      <c r="E956" s="454" t="s">
        <v>8347</v>
      </c>
      <c r="F956" s="454" t="s">
        <v>528</v>
      </c>
      <c r="G956" s="454" t="s">
        <v>13905</v>
      </c>
      <c r="H956" s="455">
        <v>50955327000195</v>
      </c>
      <c r="I956" s="462">
        <v>30208</v>
      </c>
      <c r="J956" s="457">
        <v>37587269</v>
      </c>
      <c r="K956" s="454" t="s">
        <v>8349</v>
      </c>
      <c r="L956" s="458">
        <v>28</v>
      </c>
      <c r="M956" s="454" t="s">
        <v>8350</v>
      </c>
      <c r="N956" s="459">
        <v>2982190</v>
      </c>
      <c r="O956" s="460">
        <v>39793633</v>
      </c>
      <c r="P956" s="462">
        <v>263306</v>
      </c>
      <c r="Q956" s="462">
        <v>76</v>
      </c>
      <c r="R956" s="462">
        <v>43938</v>
      </c>
      <c r="S956" s="463">
        <v>999</v>
      </c>
      <c r="T956" s="464">
        <v>5.4</v>
      </c>
      <c r="U956" s="465">
        <v>5394.6</v>
      </c>
      <c r="V956" s="465">
        <v>20340</v>
      </c>
      <c r="W956" s="466">
        <v>0</v>
      </c>
      <c r="X956" s="467">
        <v>1</v>
      </c>
      <c r="Y956" s="466">
        <v>38601.9</v>
      </c>
      <c r="Z956" s="468" t="s">
        <v>516</v>
      </c>
      <c r="AA956" s="466">
        <v>141823.1</v>
      </c>
      <c r="AB956" s="466">
        <v>141823.1</v>
      </c>
      <c r="AC956" s="467">
        <v>0</v>
      </c>
      <c r="AD956" s="466">
        <v>0</v>
      </c>
      <c r="AE956" s="468" t="s">
        <v>516</v>
      </c>
      <c r="AF956" s="466">
        <v>1600</v>
      </c>
      <c r="AG956" s="466">
        <v>1600</v>
      </c>
      <c r="AH956" s="466">
        <v>39345.9</v>
      </c>
      <c r="AI956" s="466">
        <v>26953.82</v>
      </c>
      <c r="AJ956" s="469" t="s">
        <v>1729</v>
      </c>
      <c r="AK956" s="470" t="s">
        <v>2936</v>
      </c>
      <c r="AL956" s="471" t="s">
        <v>8351</v>
      </c>
      <c r="AM956" s="470" t="s">
        <v>8352</v>
      </c>
      <c r="AN956" s="470" t="s">
        <v>8348</v>
      </c>
      <c r="AO956" s="470" t="s">
        <v>8353</v>
      </c>
      <c r="AP956" s="470" t="s">
        <v>8354</v>
      </c>
      <c r="AQ956" s="470" t="s">
        <v>8346</v>
      </c>
      <c r="AR956" s="472" t="s">
        <v>515</v>
      </c>
      <c r="AS956" s="473" t="s">
        <v>1385</v>
      </c>
      <c r="AT956" s="472" t="s">
        <v>517</v>
      </c>
      <c r="AU956" s="472" t="s">
        <v>420</v>
      </c>
      <c r="AV956" s="472">
        <v>2020</v>
      </c>
      <c r="AW956" s="474" t="s">
        <v>15078</v>
      </c>
      <c r="AX956" s="475" t="s">
        <v>15079</v>
      </c>
      <c r="AY956" s="515">
        <v>1</v>
      </c>
      <c r="AZ956" s="474" t="s">
        <v>15079</v>
      </c>
      <c r="BA956" s="472" t="s">
        <v>517</v>
      </c>
      <c r="BB956" s="472" t="s">
        <v>1385</v>
      </c>
      <c r="BC956" s="472" t="s">
        <v>1385</v>
      </c>
      <c r="BD956" s="472" t="s">
        <v>1385</v>
      </c>
      <c r="BE956" s="472" t="s">
        <v>1385</v>
      </c>
      <c r="BF956" s="472">
        <v>38601.9</v>
      </c>
      <c r="BG956" s="472">
        <v>0</v>
      </c>
      <c r="BH956" s="472" t="s">
        <v>1385</v>
      </c>
      <c r="BI956" s="510">
        <v>0</v>
      </c>
      <c r="BJ956" s="510">
        <v>4436.3</v>
      </c>
      <c r="BK956" s="510">
        <v>0</v>
      </c>
      <c r="BL956" s="510">
        <v>3500</v>
      </c>
      <c r="BM956" s="510">
        <v>0</v>
      </c>
      <c r="BN956" s="510">
        <v>5000</v>
      </c>
      <c r="BO956" s="510">
        <v>400</v>
      </c>
      <c r="BP956" s="510">
        <v>1600</v>
      </c>
      <c r="BQ956" s="510">
        <v>0</v>
      </c>
      <c r="BR956" s="510">
        <v>0</v>
      </c>
      <c r="BS956" s="510">
        <v>0</v>
      </c>
      <c r="BT956" s="510">
        <v>0</v>
      </c>
      <c r="BU956" s="510">
        <v>2500</v>
      </c>
      <c r="BV956" s="510">
        <v>2500</v>
      </c>
      <c r="BW956" s="510">
        <v>0</v>
      </c>
      <c r="BX956" s="510">
        <v>30000</v>
      </c>
      <c r="BY956" s="1011">
        <v>0</v>
      </c>
      <c r="BZ956" s="510">
        <v>0</v>
      </c>
      <c r="CA956" s="1011">
        <v>0</v>
      </c>
      <c r="CB956" s="510">
        <v>22000</v>
      </c>
      <c r="CC956" s="1011">
        <v>0</v>
      </c>
      <c r="CD956" s="510">
        <v>0</v>
      </c>
      <c r="CE956" s="1011">
        <v>0</v>
      </c>
      <c r="CF956" s="510">
        <v>50821.2</v>
      </c>
      <c r="CG956" s="1011">
        <v>0</v>
      </c>
      <c r="CH956" s="510">
        <v>0</v>
      </c>
      <c r="CI956" s="1011">
        <v>0</v>
      </c>
    </row>
    <row r="957" spans="1:87" x14ac:dyDescent="0.2">
      <c r="A957" s="449">
        <v>80</v>
      </c>
      <c r="B957" s="453">
        <v>94455</v>
      </c>
      <c r="C957" s="454" t="s">
        <v>8355</v>
      </c>
      <c r="D957" s="454" t="s">
        <v>517</v>
      </c>
      <c r="E957" s="454" t="s">
        <v>8356</v>
      </c>
      <c r="F957" s="454" t="s">
        <v>528</v>
      </c>
      <c r="G957" s="454" t="s">
        <v>8360</v>
      </c>
      <c r="H957" s="455">
        <v>43424696000196</v>
      </c>
      <c r="I957" s="462">
        <v>38659</v>
      </c>
      <c r="J957" s="457">
        <v>37468278</v>
      </c>
      <c r="K957" s="454" t="s">
        <v>8357</v>
      </c>
      <c r="L957" s="458">
        <v>6813</v>
      </c>
      <c r="M957" s="454" t="s">
        <v>2225</v>
      </c>
      <c r="N957" s="459">
        <v>2883000</v>
      </c>
      <c r="O957" s="460">
        <v>39412224</v>
      </c>
      <c r="P957" s="462">
        <v>265600</v>
      </c>
      <c r="Q957" s="462">
        <v>80</v>
      </c>
      <c r="R957" s="462">
        <v>43938</v>
      </c>
      <c r="S957" s="463">
        <v>1089</v>
      </c>
      <c r="T957" s="464">
        <v>5.4</v>
      </c>
      <c r="U957" s="465">
        <v>5880.6</v>
      </c>
      <c r="V957" s="465">
        <v>20340</v>
      </c>
      <c r="W957" s="466">
        <v>0</v>
      </c>
      <c r="X957" s="467">
        <v>1</v>
      </c>
      <c r="Y957" s="466">
        <v>45432.9</v>
      </c>
      <c r="Z957" s="468" t="s">
        <v>516</v>
      </c>
      <c r="AA957" s="466">
        <v>163085.70000000001</v>
      </c>
      <c r="AB957" s="466">
        <v>163085.70000000001</v>
      </c>
      <c r="AC957" s="467">
        <v>0</v>
      </c>
      <c r="AD957" s="466">
        <v>0</v>
      </c>
      <c r="AE957" s="468" t="s">
        <v>516</v>
      </c>
      <c r="AF957" s="466">
        <v>2000</v>
      </c>
      <c r="AG957" s="466">
        <v>2000</v>
      </c>
      <c r="AH957" s="466">
        <v>30817.4</v>
      </c>
      <c r="AI957" s="466">
        <v>3487.85</v>
      </c>
      <c r="AJ957" s="469" t="s">
        <v>1571</v>
      </c>
      <c r="AK957" s="470" t="s">
        <v>528</v>
      </c>
      <c r="AL957" s="471" t="s">
        <v>8358</v>
      </c>
      <c r="AM957" s="470" t="s">
        <v>8359</v>
      </c>
      <c r="AN957" s="470" t="s">
        <v>13906</v>
      </c>
      <c r="AO957" s="470" t="s">
        <v>8361</v>
      </c>
      <c r="AP957" s="470" t="s">
        <v>8362</v>
      </c>
      <c r="AQ957" s="470" t="s">
        <v>8355</v>
      </c>
      <c r="AR957" s="472" t="s">
        <v>515</v>
      </c>
      <c r="AS957" s="473" t="s">
        <v>1385</v>
      </c>
      <c r="AT957" s="472" t="s">
        <v>517</v>
      </c>
      <c r="AU957" s="472" t="s">
        <v>420</v>
      </c>
      <c r="AV957" s="472">
        <v>2020</v>
      </c>
      <c r="AW957" s="474" t="s">
        <v>15078</v>
      </c>
      <c r="AX957" s="475" t="s">
        <v>15079</v>
      </c>
      <c r="AY957" s="515">
        <v>1</v>
      </c>
      <c r="AZ957" s="474" t="s">
        <v>15079</v>
      </c>
      <c r="BA957" s="472" t="s">
        <v>517</v>
      </c>
      <c r="BB957" s="472" t="s">
        <v>516</v>
      </c>
      <c r="BC957" s="472">
        <v>3</v>
      </c>
      <c r="BD957" s="472">
        <v>4068</v>
      </c>
      <c r="BE957" s="472">
        <v>0</v>
      </c>
      <c r="BF957" s="472">
        <v>45432.9</v>
      </c>
      <c r="BG957" s="472">
        <v>0</v>
      </c>
      <c r="BH957" s="472" t="s">
        <v>1385</v>
      </c>
      <c r="BI957" s="510">
        <v>0</v>
      </c>
      <c r="BJ957" s="510">
        <v>0</v>
      </c>
      <c r="BK957" s="510">
        <v>0</v>
      </c>
      <c r="BL957" s="510">
        <v>0</v>
      </c>
      <c r="BM957" s="510">
        <v>0</v>
      </c>
      <c r="BN957" s="510">
        <v>5000</v>
      </c>
      <c r="BO957" s="510">
        <v>0</v>
      </c>
      <c r="BP957" s="510">
        <v>2000</v>
      </c>
      <c r="BQ957" s="510">
        <v>0</v>
      </c>
      <c r="BR957" s="510">
        <v>0</v>
      </c>
      <c r="BS957" s="510">
        <v>0</v>
      </c>
      <c r="BT957" s="510">
        <v>0</v>
      </c>
      <c r="BU957" s="510">
        <v>2500</v>
      </c>
      <c r="BV957" s="510">
        <v>2500</v>
      </c>
      <c r="BW957" s="510">
        <v>0</v>
      </c>
      <c r="BX957" s="510">
        <v>30000</v>
      </c>
      <c r="BY957" s="1011">
        <v>0</v>
      </c>
      <c r="BZ957" s="510">
        <v>0</v>
      </c>
      <c r="CA957" s="1011">
        <v>0</v>
      </c>
      <c r="CB957" s="510">
        <v>22000</v>
      </c>
      <c r="CC957" s="1011">
        <v>0</v>
      </c>
      <c r="CD957" s="510">
        <v>0</v>
      </c>
      <c r="CE957" s="1011">
        <v>0</v>
      </c>
      <c r="CF957" s="510">
        <v>65652.800000000003</v>
      </c>
      <c r="CG957" s="1011">
        <v>0</v>
      </c>
      <c r="CH957" s="510">
        <v>0</v>
      </c>
      <c r="CI957" s="1011">
        <v>0</v>
      </c>
    </row>
    <row r="958" spans="1:87" x14ac:dyDescent="0.2">
      <c r="A958" s="449">
        <v>61</v>
      </c>
      <c r="B958" s="453">
        <v>94463</v>
      </c>
      <c r="C958" s="454" t="s">
        <v>8363</v>
      </c>
      <c r="D958" s="454" t="s">
        <v>517</v>
      </c>
      <c r="E958" s="454" t="s">
        <v>8364</v>
      </c>
      <c r="F958" s="454" t="s">
        <v>528</v>
      </c>
      <c r="G958" s="454" t="s">
        <v>13907</v>
      </c>
      <c r="H958" s="455">
        <v>52034451000143</v>
      </c>
      <c r="I958" s="462">
        <v>38262</v>
      </c>
      <c r="J958" s="457">
        <v>37373277</v>
      </c>
      <c r="K958" s="454" t="s">
        <v>8365</v>
      </c>
      <c r="L958" s="458">
        <v>39</v>
      </c>
      <c r="M958" s="454" t="s">
        <v>2722</v>
      </c>
      <c r="N958" s="459">
        <v>2991100</v>
      </c>
      <c r="O958" s="460">
        <v>39413625</v>
      </c>
      <c r="P958" s="462">
        <v>270973</v>
      </c>
      <c r="Q958" s="462">
        <v>61</v>
      </c>
      <c r="R958" s="462">
        <v>43938</v>
      </c>
      <c r="S958" s="463">
        <v>1106</v>
      </c>
      <c r="T958" s="464">
        <v>5.4</v>
      </c>
      <c r="U958" s="465">
        <v>5972.4</v>
      </c>
      <c r="V958" s="465">
        <v>20340</v>
      </c>
      <c r="W958" s="466">
        <v>0</v>
      </c>
      <c r="X958" s="467">
        <v>1</v>
      </c>
      <c r="Y958" s="466">
        <v>39468.6</v>
      </c>
      <c r="Z958" s="468" t="s">
        <v>516</v>
      </c>
      <c r="AA958" s="466">
        <v>143791</v>
      </c>
      <c r="AB958" s="466">
        <v>143791</v>
      </c>
      <c r="AC958" s="467">
        <v>0</v>
      </c>
      <c r="AD958" s="466">
        <v>0</v>
      </c>
      <c r="AE958" s="468" t="s">
        <v>516</v>
      </c>
      <c r="AF958" s="466">
        <v>2000</v>
      </c>
      <c r="AG958" s="466">
        <v>2000</v>
      </c>
      <c r="AH958" s="466">
        <v>29949.02</v>
      </c>
      <c r="AI958" s="466">
        <v>16170.27</v>
      </c>
      <c r="AJ958" s="469" t="s">
        <v>1571</v>
      </c>
      <c r="AK958" s="470" t="s">
        <v>528</v>
      </c>
      <c r="AL958" s="471" t="s">
        <v>8366</v>
      </c>
      <c r="AM958" s="470" t="s">
        <v>8367</v>
      </c>
      <c r="AN958" s="470" t="s">
        <v>13908</v>
      </c>
      <c r="AO958" s="470" t="s">
        <v>13909</v>
      </c>
      <c r="AP958" s="470" t="s">
        <v>8368</v>
      </c>
      <c r="AQ958" s="470" t="s">
        <v>8363</v>
      </c>
      <c r="AR958" s="472" t="s">
        <v>515</v>
      </c>
      <c r="AS958" s="473" t="s">
        <v>1385</v>
      </c>
      <c r="AT958" s="472" t="s">
        <v>517</v>
      </c>
      <c r="AU958" s="472" t="s">
        <v>420</v>
      </c>
      <c r="AV958" s="472">
        <v>2020</v>
      </c>
      <c r="AW958" s="474" t="s">
        <v>15078</v>
      </c>
      <c r="AX958" s="475" t="s">
        <v>15079</v>
      </c>
      <c r="AY958" s="515">
        <v>1</v>
      </c>
      <c r="AZ958" s="474" t="s">
        <v>15079</v>
      </c>
      <c r="BA958" s="472" t="s">
        <v>517</v>
      </c>
      <c r="BB958" s="472" t="s">
        <v>1385</v>
      </c>
      <c r="BC958" s="472" t="s">
        <v>1385</v>
      </c>
      <c r="BD958" s="472" t="s">
        <v>1385</v>
      </c>
      <c r="BE958" s="472" t="s">
        <v>1385</v>
      </c>
      <c r="BF958" s="472">
        <v>39468.6</v>
      </c>
      <c r="BG958" s="472">
        <v>0</v>
      </c>
      <c r="BH958" s="472" t="s">
        <v>1385</v>
      </c>
      <c r="BI958" s="510">
        <v>0</v>
      </c>
      <c r="BJ958" s="510">
        <v>0</v>
      </c>
      <c r="BK958" s="510">
        <v>0</v>
      </c>
      <c r="BL958" s="510">
        <v>3500</v>
      </c>
      <c r="BM958" s="510">
        <v>0</v>
      </c>
      <c r="BN958" s="510">
        <v>5000</v>
      </c>
      <c r="BO958" s="510">
        <v>0</v>
      </c>
      <c r="BP958" s="510">
        <v>2000</v>
      </c>
      <c r="BQ958" s="510">
        <v>0</v>
      </c>
      <c r="BR958" s="510">
        <v>0</v>
      </c>
      <c r="BS958" s="510">
        <v>0</v>
      </c>
      <c r="BT958" s="510">
        <v>0</v>
      </c>
      <c r="BU958" s="510">
        <v>0</v>
      </c>
      <c r="BV958" s="510">
        <v>0</v>
      </c>
      <c r="BW958" s="510">
        <v>0</v>
      </c>
      <c r="BX958" s="510">
        <v>30000</v>
      </c>
      <c r="BY958" s="1011">
        <v>0</v>
      </c>
      <c r="BZ958" s="510">
        <v>0</v>
      </c>
      <c r="CA958" s="1011">
        <v>0</v>
      </c>
      <c r="CB958" s="510">
        <v>22000</v>
      </c>
      <c r="CC958" s="1011">
        <v>0</v>
      </c>
      <c r="CD958" s="510">
        <v>0</v>
      </c>
      <c r="CE958" s="1011">
        <v>0</v>
      </c>
      <c r="CF958" s="510">
        <v>52322.400000000001</v>
      </c>
      <c r="CG958" s="1011">
        <v>0</v>
      </c>
      <c r="CH958" s="510">
        <v>0</v>
      </c>
      <c r="CI958" s="1011">
        <v>0</v>
      </c>
    </row>
    <row r="959" spans="1:87" x14ac:dyDescent="0.2">
      <c r="A959" s="449">
        <v>64</v>
      </c>
      <c r="B959" s="453">
        <v>94471</v>
      </c>
      <c r="C959" s="454" t="s">
        <v>8369</v>
      </c>
      <c r="D959" s="454" t="s">
        <v>517</v>
      </c>
      <c r="E959" s="454" t="s">
        <v>8370</v>
      </c>
      <c r="F959" s="454" t="s">
        <v>528</v>
      </c>
      <c r="G959" s="454" t="s">
        <v>13910</v>
      </c>
      <c r="H959" s="455">
        <v>52034022000176</v>
      </c>
      <c r="I959" s="462">
        <v>36339</v>
      </c>
      <c r="J959" s="457">
        <v>37588460</v>
      </c>
      <c r="K959" s="454" t="s">
        <v>6375</v>
      </c>
      <c r="L959" s="458">
        <v>576</v>
      </c>
      <c r="M959" s="454" t="s">
        <v>4624</v>
      </c>
      <c r="N959" s="459">
        <v>2993000</v>
      </c>
      <c r="O959" s="460">
        <v>39411994</v>
      </c>
      <c r="P959" s="462">
        <v>218084</v>
      </c>
      <c r="Q959" s="462">
        <v>64</v>
      </c>
      <c r="R959" s="462">
        <v>43938</v>
      </c>
      <c r="S959" s="463">
        <v>865</v>
      </c>
      <c r="T959" s="464">
        <v>5.4</v>
      </c>
      <c r="U959" s="465">
        <v>4671</v>
      </c>
      <c r="V959" s="465">
        <v>18720</v>
      </c>
      <c r="W959" s="466">
        <v>0</v>
      </c>
      <c r="X959" s="467">
        <v>1</v>
      </c>
      <c r="Y959" s="466">
        <v>0</v>
      </c>
      <c r="Z959" s="468" t="s">
        <v>514</v>
      </c>
      <c r="AA959" s="466">
        <v>0</v>
      </c>
      <c r="AB959" s="466">
        <v>0</v>
      </c>
      <c r="AC959" s="467">
        <v>0</v>
      </c>
      <c r="AD959" s="466">
        <v>0</v>
      </c>
      <c r="AE959" s="468" t="s">
        <v>514</v>
      </c>
      <c r="AF959" s="466">
        <v>0</v>
      </c>
      <c r="AG959" s="466">
        <v>0</v>
      </c>
      <c r="AH959" s="466">
        <v>0</v>
      </c>
      <c r="AI959" s="466">
        <v>0</v>
      </c>
      <c r="AJ959" s="469" t="s">
        <v>1571</v>
      </c>
      <c r="AK959" s="470" t="s">
        <v>528</v>
      </c>
      <c r="AL959" s="471" t="s">
        <v>8371</v>
      </c>
      <c r="AM959" s="470" t="s">
        <v>8372</v>
      </c>
      <c r="AN959" s="470" t="s">
        <v>8373</v>
      </c>
      <c r="AO959" s="470" t="s">
        <v>13911</v>
      </c>
      <c r="AP959" s="470" t="s">
        <v>8374</v>
      </c>
      <c r="AQ959" s="470" t="s">
        <v>8369</v>
      </c>
      <c r="AR959" s="472" t="s">
        <v>515</v>
      </c>
      <c r="AS959" s="473" t="s">
        <v>1385</v>
      </c>
      <c r="AT959" s="472" t="s">
        <v>517</v>
      </c>
      <c r="AU959" s="472" t="s">
        <v>420</v>
      </c>
      <c r="AV959" s="472">
        <v>2020</v>
      </c>
      <c r="AW959" s="474" t="s">
        <v>15078</v>
      </c>
      <c r="AX959" s="475" t="s">
        <v>15079</v>
      </c>
      <c r="AY959" s="515">
        <v>1</v>
      </c>
      <c r="AZ959" s="474" t="s">
        <v>15079</v>
      </c>
      <c r="BA959" s="472" t="s">
        <v>1385</v>
      </c>
      <c r="BB959" s="472" t="s">
        <v>1385</v>
      </c>
      <c r="BC959" s="472" t="s">
        <v>1385</v>
      </c>
      <c r="BD959" s="472" t="s">
        <v>1385</v>
      </c>
      <c r="BE959" s="472" t="s">
        <v>1385</v>
      </c>
      <c r="BF959" s="472">
        <v>35086.5</v>
      </c>
      <c r="BG959" s="472">
        <v>0</v>
      </c>
      <c r="BH959" s="472" t="s">
        <v>516</v>
      </c>
      <c r="BI959" s="510">
        <v>0</v>
      </c>
      <c r="BJ959" s="510">
        <v>0</v>
      </c>
      <c r="BK959" s="510">
        <v>0</v>
      </c>
      <c r="BL959" s="510">
        <v>0</v>
      </c>
      <c r="BM959" s="510">
        <v>0</v>
      </c>
      <c r="BN959" s="510">
        <v>0</v>
      </c>
      <c r="BO959" s="510">
        <v>0</v>
      </c>
      <c r="BP959" s="510">
        <v>0</v>
      </c>
      <c r="BQ959" s="510">
        <v>0</v>
      </c>
      <c r="BR959" s="510">
        <v>0</v>
      </c>
      <c r="BS959" s="510">
        <v>0</v>
      </c>
      <c r="BT959" s="510">
        <v>0</v>
      </c>
      <c r="BU959" s="510">
        <v>0</v>
      </c>
      <c r="BV959" s="510">
        <v>0</v>
      </c>
      <c r="BW959" s="510">
        <v>0</v>
      </c>
      <c r="BX959" s="510">
        <v>0</v>
      </c>
      <c r="BY959" s="1011">
        <v>0</v>
      </c>
      <c r="BZ959" s="510">
        <v>0</v>
      </c>
      <c r="CA959" s="1011">
        <v>0</v>
      </c>
      <c r="CB959" s="510">
        <v>0</v>
      </c>
      <c r="CC959" s="1011">
        <v>0</v>
      </c>
      <c r="CD959" s="510">
        <v>0</v>
      </c>
      <c r="CE959" s="1011">
        <v>0</v>
      </c>
      <c r="CF959" s="510">
        <v>0</v>
      </c>
      <c r="CG959" s="1011">
        <v>0</v>
      </c>
      <c r="CH959" s="510">
        <v>0</v>
      </c>
      <c r="CI959" s="1011">
        <v>0</v>
      </c>
    </row>
    <row r="960" spans="1:87" x14ac:dyDescent="0.2">
      <c r="A960" s="449">
        <v>60</v>
      </c>
      <c r="B960" s="453">
        <v>94480</v>
      </c>
      <c r="C960" s="454" t="s">
        <v>8375</v>
      </c>
      <c r="D960" s="454" t="s">
        <v>517</v>
      </c>
      <c r="E960" s="454" t="s">
        <v>8376</v>
      </c>
      <c r="F960" s="454" t="s">
        <v>528</v>
      </c>
      <c r="G960" s="454" t="s">
        <v>13912</v>
      </c>
      <c r="H960" s="455">
        <v>52032828000125</v>
      </c>
      <c r="I960" s="462">
        <v>30293</v>
      </c>
      <c r="J960" s="457">
        <v>37374761</v>
      </c>
      <c r="K960" s="454" t="s">
        <v>6429</v>
      </c>
      <c r="L960" s="458">
        <v>160</v>
      </c>
      <c r="M960" s="454" t="s">
        <v>8378</v>
      </c>
      <c r="N960" s="459">
        <v>5201070</v>
      </c>
      <c r="O960" s="460">
        <v>39171328</v>
      </c>
      <c r="P960" s="462">
        <v>262067</v>
      </c>
      <c r="Q960" s="462">
        <v>60</v>
      </c>
      <c r="R960" s="462">
        <v>43938</v>
      </c>
      <c r="S960" s="463">
        <v>889</v>
      </c>
      <c r="T960" s="464">
        <v>5.4</v>
      </c>
      <c r="U960" s="465">
        <v>4800.6000000000004</v>
      </c>
      <c r="V960" s="465">
        <v>18720</v>
      </c>
      <c r="W960" s="466">
        <v>0</v>
      </c>
      <c r="X960" s="467">
        <v>1</v>
      </c>
      <c r="Y960" s="466">
        <v>35280.9</v>
      </c>
      <c r="Z960" s="468" t="s">
        <v>516</v>
      </c>
      <c r="AA960" s="466">
        <v>134625.29999999999</v>
      </c>
      <c r="AB960" s="466">
        <v>134625.29999999999</v>
      </c>
      <c r="AC960" s="467">
        <v>0</v>
      </c>
      <c r="AD960" s="466">
        <v>0</v>
      </c>
      <c r="AE960" s="468" t="s">
        <v>516</v>
      </c>
      <c r="AF960" s="466">
        <v>1200</v>
      </c>
      <c r="AG960" s="466">
        <v>1200</v>
      </c>
      <c r="AH960" s="466">
        <v>25119.439999999999</v>
      </c>
      <c r="AI960" s="466">
        <v>11947.36</v>
      </c>
      <c r="AJ960" s="469" t="s">
        <v>1571</v>
      </c>
      <c r="AK960" s="470" t="s">
        <v>528</v>
      </c>
      <c r="AL960" s="471" t="s">
        <v>8379</v>
      </c>
      <c r="AM960" s="470" t="s">
        <v>13913</v>
      </c>
      <c r="AN960" s="470" t="s">
        <v>8377</v>
      </c>
      <c r="AO960" s="470" t="s">
        <v>8380</v>
      </c>
      <c r="AP960" s="470" t="s">
        <v>8381</v>
      </c>
      <c r="AQ960" s="470" t="s">
        <v>8375</v>
      </c>
      <c r="AR960" s="472" t="s">
        <v>515</v>
      </c>
      <c r="AS960" s="473" t="s">
        <v>1385</v>
      </c>
      <c r="AT960" s="472" t="s">
        <v>517</v>
      </c>
      <c r="AU960" s="472" t="s">
        <v>420</v>
      </c>
      <c r="AV960" s="472">
        <v>2020</v>
      </c>
      <c r="AW960" s="474" t="s">
        <v>15078</v>
      </c>
      <c r="AX960" s="475" t="s">
        <v>15079</v>
      </c>
      <c r="AY960" s="515">
        <v>1</v>
      </c>
      <c r="AZ960" s="474" t="s">
        <v>15079</v>
      </c>
      <c r="BA960" s="472" t="s">
        <v>517</v>
      </c>
      <c r="BB960" s="472" t="s">
        <v>1385</v>
      </c>
      <c r="BC960" s="472" t="s">
        <v>1385</v>
      </c>
      <c r="BD960" s="472" t="s">
        <v>1385</v>
      </c>
      <c r="BE960" s="472" t="s">
        <v>1385</v>
      </c>
      <c r="BF960" s="472">
        <v>35280.9</v>
      </c>
      <c r="BG960" s="472">
        <v>0</v>
      </c>
      <c r="BH960" s="472" t="s">
        <v>1385</v>
      </c>
      <c r="BI960" s="510">
        <v>0</v>
      </c>
      <c r="BJ960" s="510">
        <v>0</v>
      </c>
      <c r="BK960" s="510">
        <v>0</v>
      </c>
      <c r="BL960" s="510">
        <v>3500</v>
      </c>
      <c r="BM960" s="510">
        <v>0</v>
      </c>
      <c r="BN960" s="510">
        <v>5000</v>
      </c>
      <c r="BO960" s="510">
        <v>800</v>
      </c>
      <c r="BP960" s="510">
        <v>1200</v>
      </c>
      <c r="BQ960" s="510">
        <v>0</v>
      </c>
      <c r="BR960" s="510">
        <v>0</v>
      </c>
      <c r="BS960" s="510">
        <v>0</v>
      </c>
      <c r="BT960" s="510">
        <v>0</v>
      </c>
      <c r="BU960" s="510">
        <v>0</v>
      </c>
      <c r="BV960" s="510">
        <v>0</v>
      </c>
      <c r="BW960" s="510">
        <v>0</v>
      </c>
      <c r="BX960" s="510">
        <v>30000</v>
      </c>
      <c r="BY960" s="1011">
        <v>0</v>
      </c>
      <c r="BZ960" s="510">
        <v>0</v>
      </c>
      <c r="CA960" s="1011">
        <v>0</v>
      </c>
      <c r="CB960" s="510">
        <v>22000</v>
      </c>
      <c r="CC960" s="1011">
        <v>0</v>
      </c>
      <c r="CD960" s="510">
        <v>0</v>
      </c>
      <c r="CE960" s="1011">
        <v>0</v>
      </c>
      <c r="CF960" s="510">
        <v>46544.4</v>
      </c>
      <c r="CG960" s="1011">
        <v>0</v>
      </c>
      <c r="CH960" s="510">
        <v>0</v>
      </c>
      <c r="CI960" s="1011">
        <v>0</v>
      </c>
    </row>
    <row r="961" spans="1:87" x14ac:dyDescent="0.2">
      <c r="A961" s="449">
        <v>36</v>
      </c>
      <c r="B961" s="453">
        <v>94498</v>
      </c>
      <c r="C961" s="454" t="s">
        <v>8382</v>
      </c>
      <c r="D961" s="454" t="s">
        <v>517</v>
      </c>
      <c r="E961" s="454" t="s">
        <v>8383</v>
      </c>
      <c r="F961" s="454" t="s">
        <v>528</v>
      </c>
      <c r="G961" s="454" t="s">
        <v>13914</v>
      </c>
      <c r="H961" s="455">
        <v>52026515000164</v>
      </c>
      <c r="I961" s="462">
        <v>38659</v>
      </c>
      <c r="J961" s="457">
        <v>37374630</v>
      </c>
      <c r="K961" s="454" t="s">
        <v>8384</v>
      </c>
      <c r="L961" s="458">
        <v>408</v>
      </c>
      <c r="M961" s="454" t="s">
        <v>2241</v>
      </c>
      <c r="N961" s="459">
        <v>5207050</v>
      </c>
      <c r="O961" s="460">
        <v>39170746</v>
      </c>
      <c r="P961" s="462">
        <v>237860</v>
      </c>
      <c r="Q961" s="462">
        <v>36</v>
      </c>
      <c r="R961" s="462">
        <v>43938</v>
      </c>
      <c r="S961" s="463">
        <v>999</v>
      </c>
      <c r="T961" s="464">
        <v>5.4</v>
      </c>
      <c r="U961" s="465">
        <v>5394.6</v>
      </c>
      <c r="V961" s="465">
        <v>20340</v>
      </c>
      <c r="W961" s="466">
        <v>0</v>
      </c>
      <c r="X961" s="467">
        <v>1</v>
      </c>
      <c r="Y961" s="466">
        <v>46229.4</v>
      </c>
      <c r="Z961" s="468" t="s">
        <v>516</v>
      </c>
      <c r="AA961" s="466">
        <v>163950.6</v>
      </c>
      <c r="AB961" s="466">
        <v>163950.6</v>
      </c>
      <c r="AC961" s="467">
        <v>0</v>
      </c>
      <c r="AD961" s="466">
        <v>0</v>
      </c>
      <c r="AE961" s="468" t="s">
        <v>516</v>
      </c>
      <c r="AF961" s="466">
        <v>2000</v>
      </c>
      <c r="AG961" s="466">
        <v>2000</v>
      </c>
      <c r="AH961" s="466">
        <v>43953.66</v>
      </c>
      <c r="AI961" s="466">
        <v>17311.34</v>
      </c>
      <c r="AJ961" s="469" t="s">
        <v>2242</v>
      </c>
      <c r="AK961" s="470" t="s">
        <v>2241</v>
      </c>
      <c r="AL961" s="471" t="s">
        <v>8385</v>
      </c>
      <c r="AM961" s="470" t="s">
        <v>8386</v>
      </c>
      <c r="AN961" s="470" t="s">
        <v>1385</v>
      </c>
      <c r="AO961" s="470" t="s">
        <v>13915</v>
      </c>
      <c r="AP961" s="470" t="s">
        <v>8387</v>
      </c>
      <c r="AQ961" s="470" t="s">
        <v>8382</v>
      </c>
      <c r="AR961" s="472" t="s">
        <v>515</v>
      </c>
      <c r="AS961" s="473" t="s">
        <v>1385</v>
      </c>
      <c r="AT961" s="472" t="s">
        <v>517</v>
      </c>
      <c r="AU961" s="472" t="s">
        <v>420</v>
      </c>
      <c r="AV961" s="472">
        <v>2020</v>
      </c>
      <c r="AW961" s="474" t="s">
        <v>15078</v>
      </c>
      <c r="AX961" s="475" t="s">
        <v>15079</v>
      </c>
      <c r="AY961" s="515">
        <v>1</v>
      </c>
      <c r="AZ961" s="474" t="s">
        <v>15079</v>
      </c>
      <c r="BA961" s="472" t="s">
        <v>517</v>
      </c>
      <c r="BB961" s="472" t="s">
        <v>516</v>
      </c>
      <c r="BC961" s="472">
        <v>4</v>
      </c>
      <c r="BD961" s="472">
        <v>5085</v>
      </c>
      <c r="BE961" s="472">
        <v>0</v>
      </c>
      <c r="BF961" s="472">
        <v>46229.4</v>
      </c>
      <c r="BG961" s="472">
        <v>0</v>
      </c>
      <c r="BH961" s="472" t="s">
        <v>1385</v>
      </c>
      <c r="BI961" s="510">
        <v>0</v>
      </c>
      <c r="BJ961" s="510">
        <v>3309.26</v>
      </c>
      <c r="BK961" s="510">
        <v>0</v>
      </c>
      <c r="BL961" s="510">
        <v>3500</v>
      </c>
      <c r="BM961" s="510">
        <v>0</v>
      </c>
      <c r="BN961" s="510">
        <v>5000</v>
      </c>
      <c r="BO961" s="510">
        <v>0</v>
      </c>
      <c r="BP961" s="510">
        <v>2000</v>
      </c>
      <c r="BQ961" s="510">
        <v>0</v>
      </c>
      <c r="BR961" s="510">
        <v>0</v>
      </c>
      <c r="BS961" s="510">
        <v>0</v>
      </c>
      <c r="BT961" s="510">
        <v>0</v>
      </c>
      <c r="BU961" s="510">
        <v>2500</v>
      </c>
      <c r="BV961" s="510">
        <v>2500</v>
      </c>
      <c r="BW961" s="510">
        <v>0</v>
      </c>
      <c r="BX961" s="510">
        <v>30000</v>
      </c>
      <c r="BY961" s="1011">
        <v>0</v>
      </c>
      <c r="BZ961" s="510">
        <v>0</v>
      </c>
      <c r="CA961" s="1011">
        <v>0</v>
      </c>
      <c r="CB961" s="510">
        <v>22000</v>
      </c>
      <c r="CC961" s="1011">
        <v>0</v>
      </c>
      <c r="CD961" s="510">
        <v>0</v>
      </c>
      <c r="CE961" s="1011">
        <v>0</v>
      </c>
      <c r="CF961" s="510">
        <v>65721.2</v>
      </c>
      <c r="CG961" s="1011">
        <v>0</v>
      </c>
      <c r="CH961" s="510">
        <v>0</v>
      </c>
      <c r="CI961" s="1011">
        <v>0</v>
      </c>
    </row>
    <row r="962" spans="1:87" x14ac:dyDescent="0.2">
      <c r="A962" s="449">
        <v>70</v>
      </c>
      <c r="B962" s="453">
        <v>94501</v>
      </c>
      <c r="C962" s="454" t="s">
        <v>8388</v>
      </c>
      <c r="D962" s="454" t="s">
        <v>517</v>
      </c>
      <c r="E962" s="454" t="s">
        <v>8389</v>
      </c>
      <c r="F962" s="454" t="s">
        <v>528</v>
      </c>
      <c r="G962" s="454" t="s">
        <v>13916</v>
      </c>
      <c r="H962" s="455">
        <v>43461847000186</v>
      </c>
      <c r="I962" s="462">
        <v>38619</v>
      </c>
      <c r="J962" s="457">
        <v>37374362</v>
      </c>
      <c r="K962" s="454" t="s">
        <v>8390</v>
      </c>
      <c r="L962" s="458">
        <v>80</v>
      </c>
      <c r="M962" s="454" t="s">
        <v>2867</v>
      </c>
      <c r="N962" s="459">
        <v>5271110</v>
      </c>
      <c r="O962" s="460">
        <v>39166203</v>
      </c>
      <c r="P962" s="462">
        <v>265562</v>
      </c>
      <c r="Q962" s="462">
        <v>70</v>
      </c>
      <c r="R962" s="462">
        <v>43938</v>
      </c>
      <c r="S962" s="463">
        <v>1083</v>
      </c>
      <c r="T962" s="464">
        <v>5.4</v>
      </c>
      <c r="U962" s="465">
        <v>5848.2</v>
      </c>
      <c r="V962" s="465">
        <v>20340</v>
      </c>
      <c r="W962" s="466">
        <v>0</v>
      </c>
      <c r="X962" s="467">
        <v>1</v>
      </c>
      <c r="Y962" s="466">
        <v>39282.300000000003</v>
      </c>
      <c r="Z962" s="468" t="s">
        <v>516</v>
      </c>
      <c r="AA962" s="466">
        <v>144285.1</v>
      </c>
      <c r="AB962" s="466">
        <v>144285.1</v>
      </c>
      <c r="AC962" s="467">
        <v>0</v>
      </c>
      <c r="AD962" s="466">
        <v>0</v>
      </c>
      <c r="AE962" s="468" t="s">
        <v>516</v>
      </c>
      <c r="AF962" s="466">
        <v>0</v>
      </c>
      <c r="AG962" s="466">
        <v>0</v>
      </c>
      <c r="AH962" s="466">
        <v>16768.55</v>
      </c>
      <c r="AI962" s="466">
        <v>7900.28</v>
      </c>
      <c r="AJ962" s="469" t="s">
        <v>3502</v>
      </c>
      <c r="AK962" s="470" t="s">
        <v>2241</v>
      </c>
      <c r="AL962" s="471" t="s">
        <v>8391</v>
      </c>
      <c r="AM962" s="470" t="s">
        <v>8392</v>
      </c>
      <c r="AN962" s="470" t="s">
        <v>1385</v>
      </c>
      <c r="AO962" s="470" t="s">
        <v>13917</v>
      </c>
      <c r="AP962" s="470" t="s">
        <v>8393</v>
      </c>
      <c r="AQ962" s="470" t="s">
        <v>8388</v>
      </c>
      <c r="AR962" s="472" t="s">
        <v>515</v>
      </c>
      <c r="AS962" s="473" t="s">
        <v>1385</v>
      </c>
      <c r="AT962" s="472" t="s">
        <v>517</v>
      </c>
      <c r="AU962" s="472" t="s">
        <v>420</v>
      </c>
      <c r="AV962" s="472">
        <v>2020</v>
      </c>
      <c r="AW962" s="474" t="s">
        <v>15078</v>
      </c>
      <c r="AX962" s="475" t="s">
        <v>15079</v>
      </c>
      <c r="AY962" s="515">
        <v>1</v>
      </c>
      <c r="AZ962" s="474" t="s">
        <v>15079</v>
      </c>
      <c r="BA962" s="472" t="s">
        <v>517</v>
      </c>
      <c r="BB962" s="472" t="s">
        <v>1385</v>
      </c>
      <c r="BC962" s="472" t="s">
        <v>1385</v>
      </c>
      <c r="BD962" s="472" t="s">
        <v>1385</v>
      </c>
      <c r="BE962" s="472" t="s">
        <v>1385</v>
      </c>
      <c r="BF962" s="472">
        <v>39282.300000000003</v>
      </c>
      <c r="BG962" s="472">
        <v>0</v>
      </c>
      <c r="BH962" s="472" t="s">
        <v>1385</v>
      </c>
      <c r="BI962" s="510">
        <v>0</v>
      </c>
      <c r="BJ962" s="510">
        <v>0</v>
      </c>
      <c r="BK962" s="510">
        <v>0</v>
      </c>
      <c r="BL962" s="510">
        <v>7.16</v>
      </c>
      <c r="BM962" s="510">
        <v>0</v>
      </c>
      <c r="BN962" s="510">
        <v>5000</v>
      </c>
      <c r="BO962" s="510">
        <v>0</v>
      </c>
      <c r="BP962" s="510">
        <v>0</v>
      </c>
      <c r="BQ962" s="510">
        <v>0</v>
      </c>
      <c r="BR962" s="510">
        <v>0</v>
      </c>
      <c r="BS962" s="510">
        <v>0</v>
      </c>
      <c r="BT962" s="510">
        <v>0</v>
      </c>
      <c r="BU962" s="510">
        <v>0</v>
      </c>
      <c r="BV962" s="510">
        <v>0</v>
      </c>
      <c r="BW962" s="510">
        <v>0</v>
      </c>
      <c r="BX962" s="510">
        <v>30000</v>
      </c>
      <c r="BY962" s="1011">
        <v>0</v>
      </c>
      <c r="BZ962" s="510">
        <v>0</v>
      </c>
      <c r="CA962" s="1011">
        <v>0</v>
      </c>
      <c r="CB962" s="510">
        <v>22000</v>
      </c>
      <c r="CC962" s="1011">
        <v>0</v>
      </c>
      <c r="CD962" s="510">
        <v>0</v>
      </c>
      <c r="CE962" s="1011">
        <v>0</v>
      </c>
      <c r="CF962" s="510">
        <v>53002.8</v>
      </c>
      <c r="CG962" s="1011">
        <v>0</v>
      </c>
      <c r="CH962" s="510">
        <v>0</v>
      </c>
      <c r="CI962" s="1011">
        <v>0</v>
      </c>
    </row>
    <row r="963" spans="1:87" x14ac:dyDescent="0.2">
      <c r="A963" s="449">
        <v>50</v>
      </c>
      <c r="B963" s="453">
        <v>94510</v>
      </c>
      <c r="C963" s="454" t="s">
        <v>8394</v>
      </c>
      <c r="D963" s="454" t="s">
        <v>517</v>
      </c>
      <c r="E963" s="454" t="s">
        <v>8395</v>
      </c>
      <c r="F963" s="454" t="s">
        <v>528</v>
      </c>
      <c r="G963" s="454" t="s">
        <v>13918</v>
      </c>
      <c r="H963" s="455">
        <v>51685386000153</v>
      </c>
      <c r="I963" s="462">
        <v>29095</v>
      </c>
      <c r="J963" s="457">
        <v>37468405</v>
      </c>
      <c r="K963" s="454" t="s">
        <v>8396</v>
      </c>
      <c r="L963" s="458">
        <v>384</v>
      </c>
      <c r="M963" s="454" t="s">
        <v>1728</v>
      </c>
      <c r="N963" s="459">
        <v>5181280</v>
      </c>
      <c r="O963" s="460">
        <v>39412436</v>
      </c>
      <c r="P963" s="462">
        <v>300147</v>
      </c>
      <c r="Q963" s="462">
        <v>50</v>
      </c>
      <c r="R963" s="462">
        <v>43938</v>
      </c>
      <c r="S963" s="463">
        <v>679</v>
      </c>
      <c r="T963" s="464">
        <v>5.4</v>
      </c>
      <c r="U963" s="465">
        <v>3666.6</v>
      </c>
      <c r="V963" s="465">
        <v>17100</v>
      </c>
      <c r="W963" s="466">
        <v>0</v>
      </c>
      <c r="X963" s="467">
        <v>1</v>
      </c>
      <c r="Y963" s="466">
        <v>31149.9</v>
      </c>
      <c r="Z963" s="468" t="s">
        <v>516</v>
      </c>
      <c r="AA963" s="466">
        <v>124650.7</v>
      </c>
      <c r="AB963" s="466">
        <v>124650.7</v>
      </c>
      <c r="AC963" s="467">
        <v>0</v>
      </c>
      <c r="AD963" s="466">
        <v>0</v>
      </c>
      <c r="AE963" s="468" t="s">
        <v>516</v>
      </c>
      <c r="AF963" s="466">
        <v>2000</v>
      </c>
      <c r="AG963" s="466">
        <v>2000</v>
      </c>
      <c r="AH963" s="466">
        <v>32787.85</v>
      </c>
      <c r="AI963" s="466">
        <v>9620.18</v>
      </c>
      <c r="AJ963" s="469" t="s">
        <v>1729</v>
      </c>
      <c r="AK963" s="470" t="s">
        <v>2936</v>
      </c>
      <c r="AL963" s="471" t="s">
        <v>8397</v>
      </c>
      <c r="AM963" s="470" t="s">
        <v>13919</v>
      </c>
      <c r="AN963" s="470" t="s">
        <v>8398</v>
      </c>
      <c r="AO963" s="470" t="s">
        <v>13920</v>
      </c>
      <c r="AP963" s="470" t="s">
        <v>8399</v>
      </c>
      <c r="AQ963" s="470" t="s">
        <v>8394</v>
      </c>
      <c r="AR963" s="472" t="s">
        <v>515</v>
      </c>
      <c r="AS963" s="473" t="s">
        <v>1385</v>
      </c>
      <c r="AT963" s="472" t="s">
        <v>517</v>
      </c>
      <c r="AU963" s="472" t="s">
        <v>420</v>
      </c>
      <c r="AV963" s="472">
        <v>2020</v>
      </c>
      <c r="AW963" s="474" t="s">
        <v>15078</v>
      </c>
      <c r="AX963" s="475" t="s">
        <v>15079</v>
      </c>
      <c r="AY963" s="515">
        <v>1</v>
      </c>
      <c r="AZ963" s="474" t="s">
        <v>15079</v>
      </c>
      <c r="BA963" s="472" t="s">
        <v>517</v>
      </c>
      <c r="BB963" s="472" t="s">
        <v>1385</v>
      </c>
      <c r="BC963" s="472" t="s">
        <v>1385</v>
      </c>
      <c r="BD963" s="472" t="s">
        <v>1385</v>
      </c>
      <c r="BE963" s="472" t="s">
        <v>1385</v>
      </c>
      <c r="BF963" s="472">
        <v>31149.9</v>
      </c>
      <c r="BG963" s="472">
        <v>0</v>
      </c>
      <c r="BH963" s="472" t="s">
        <v>1385</v>
      </c>
      <c r="BI963" s="510">
        <v>0</v>
      </c>
      <c r="BJ963" s="510">
        <v>806.9</v>
      </c>
      <c r="BK963" s="510">
        <v>0</v>
      </c>
      <c r="BL963" s="510">
        <v>3500</v>
      </c>
      <c r="BM963" s="510">
        <v>0</v>
      </c>
      <c r="BN963" s="510">
        <v>3500</v>
      </c>
      <c r="BO963" s="510">
        <v>0</v>
      </c>
      <c r="BP963" s="510">
        <v>2000</v>
      </c>
      <c r="BQ963" s="510">
        <v>0</v>
      </c>
      <c r="BR963" s="510">
        <v>0</v>
      </c>
      <c r="BS963" s="510">
        <v>0</v>
      </c>
      <c r="BT963" s="510">
        <v>0</v>
      </c>
      <c r="BU963" s="510">
        <v>0</v>
      </c>
      <c r="BV963" s="510">
        <v>0</v>
      </c>
      <c r="BW963" s="510">
        <v>0</v>
      </c>
      <c r="BX963" s="510">
        <v>30000</v>
      </c>
      <c r="BY963" s="1011">
        <v>0</v>
      </c>
      <c r="BZ963" s="510">
        <v>0</v>
      </c>
      <c r="CA963" s="1011">
        <v>0</v>
      </c>
      <c r="CB963" s="510">
        <v>22000</v>
      </c>
      <c r="CC963" s="1011">
        <v>0</v>
      </c>
      <c r="CD963" s="510">
        <v>0</v>
      </c>
      <c r="CE963" s="1011">
        <v>0</v>
      </c>
      <c r="CF963" s="510">
        <v>41500.800000000003</v>
      </c>
      <c r="CG963" s="1011">
        <v>0</v>
      </c>
      <c r="CH963" s="510">
        <v>0</v>
      </c>
      <c r="CI963" s="1011">
        <v>0</v>
      </c>
    </row>
    <row r="964" spans="1:87" x14ac:dyDescent="0.2">
      <c r="A964" s="449">
        <v>49</v>
      </c>
      <c r="B964" s="453">
        <v>94528</v>
      </c>
      <c r="C964" s="454" t="s">
        <v>8400</v>
      </c>
      <c r="D964" s="454" t="s">
        <v>517</v>
      </c>
      <c r="E964" s="454" t="s">
        <v>8401</v>
      </c>
      <c r="F964" s="454" t="s">
        <v>528</v>
      </c>
      <c r="G964" s="454" t="s">
        <v>13921</v>
      </c>
      <c r="H964" s="455">
        <v>52945425000177</v>
      </c>
      <c r="I964" s="462">
        <v>30602</v>
      </c>
      <c r="J964" s="457">
        <v>37373323</v>
      </c>
      <c r="K964" s="454" t="s">
        <v>1586</v>
      </c>
      <c r="L964" s="458">
        <v>253</v>
      </c>
      <c r="M964" s="454" t="s">
        <v>1587</v>
      </c>
      <c r="N964" s="459">
        <v>5158000</v>
      </c>
      <c r="O964" s="460">
        <v>39040688</v>
      </c>
      <c r="P964" s="462">
        <v>262377</v>
      </c>
      <c r="Q964" s="462">
        <v>49</v>
      </c>
      <c r="R964" s="462">
        <v>43938</v>
      </c>
      <c r="S964" s="463">
        <v>683</v>
      </c>
      <c r="T964" s="464">
        <v>5.4</v>
      </c>
      <c r="U964" s="465">
        <v>3688.2</v>
      </c>
      <c r="V964" s="465">
        <v>17100</v>
      </c>
      <c r="W964" s="466">
        <v>0</v>
      </c>
      <c r="X964" s="467">
        <v>1</v>
      </c>
      <c r="Y964" s="466">
        <v>31182.3</v>
      </c>
      <c r="Z964" s="468" t="s">
        <v>516</v>
      </c>
      <c r="AA964" s="466">
        <v>125369.9</v>
      </c>
      <c r="AB964" s="466">
        <v>125369.9</v>
      </c>
      <c r="AC964" s="467">
        <v>0</v>
      </c>
      <c r="AD964" s="466">
        <v>0</v>
      </c>
      <c r="AE964" s="468" t="s">
        <v>516</v>
      </c>
      <c r="AF964" s="466">
        <v>1000</v>
      </c>
      <c r="AG964" s="466">
        <v>1000</v>
      </c>
      <c r="AH964" s="466">
        <v>17762.13</v>
      </c>
      <c r="AI964" s="466">
        <v>6396.68</v>
      </c>
      <c r="AJ964" s="469" t="s">
        <v>1729</v>
      </c>
      <c r="AK964" s="470" t="s">
        <v>2936</v>
      </c>
      <c r="AL964" s="471" t="s">
        <v>8402</v>
      </c>
      <c r="AM964" s="470" t="s">
        <v>8403</v>
      </c>
      <c r="AN964" s="470" t="s">
        <v>8404</v>
      </c>
      <c r="AO964" s="470" t="s">
        <v>13922</v>
      </c>
      <c r="AP964" s="470" t="s">
        <v>8405</v>
      </c>
      <c r="AQ964" s="470" t="s">
        <v>8400</v>
      </c>
      <c r="AR964" s="472" t="s">
        <v>515</v>
      </c>
      <c r="AS964" s="473" t="s">
        <v>1385</v>
      </c>
      <c r="AT964" s="472" t="s">
        <v>517</v>
      </c>
      <c r="AU964" s="472" t="s">
        <v>420</v>
      </c>
      <c r="AV964" s="472">
        <v>2020</v>
      </c>
      <c r="AW964" s="474" t="s">
        <v>15078</v>
      </c>
      <c r="AX964" s="475" t="s">
        <v>15079</v>
      </c>
      <c r="AY964" s="515">
        <v>1</v>
      </c>
      <c r="AZ964" s="474" t="s">
        <v>15079</v>
      </c>
      <c r="BA964" s="472" t="s">
        <v>517</v>
      </c>
      <c r="BB964" s="472" t="s">
        <v>1385</v>
      </c>
      <c r="BC964" s="472" t="s">
        <v>1385</v>
      </c>
      <c r="BD964" s="472" t="s">
        <v>1385</v>
      </c>
      <c r="BE964" s="472" t="s">
        <v>1385</v>
      </c>
      <c r="BF964" s="472">
        <v>31182.3</v>
      </c>
      <c r="BG964" s="472">
        <v>0</v>
      </c>
      <c r="BH964" s="472" t="s">
        <v>1385</v>
      </c>
      <c r="BI964" s="510">
        <v>0</v>
      </c>
      <c r="BJ964" s="510">
        <v>574.01</v>
      </c>
      <c r="BK964" s="510">
        <v>0</v>
      </c>
      <c r="BL964" s="510">
        <v>2765.9</v>
      </c>
      <c r="BM964" s="510">
        <v>0</v>
      </c>
      <c r="BN964" s="510">
        <v>2700</v>
      </c>
      <c r="BO964" s="510">
        <v>1000</v>
      </c>
      <c r="BP964" s="510">
        <v>1000</v>
      </c>
      <c r="BQ964" s="510">
        <v>0</v>
      </c>
      <c r="BR964" s="510">
        <v>0</v>
      </c>
      <c r="BS964" s="510">
        <v>0</v>
      </c>
      <c r="BT964" s="510">
        <v>0</v>
      </c>
      <c r="BU964" s="510">
        <v>0</v>
      </c>
      <c r="BV964" s="510">
        <v>0</v>
      </c>
      <c r="BW964" s="510">
        <v>0</v>
      </c>
      <c r="BX964" s="510">
        <v>30000</v>
      </c>
      <c r="BY964" s="1011">
        <v>0</v>
      </c>
      <c r="BZ964" s="510">
        <v>0</v>
      </c>
      <c r="CA964" s="1011">
        <v>0</v>
      </c>
      <c r="CB964" s="510">
        <v>22000</v>
      </c>
      <c r="CC964" s="1011">
        <v>0</v>
      </c>
      <c r="CD964" s="510">
        <v>0</v>
      </c>
      <c r="CE964" s="1011">
        <v>0</v>
      </c>
      <c r="CF964" s="510">
        <v>41187.599999999999</v>
      </c>
      <c r="CG964" s="1011">
        <v>0</v>
      </c>
      <c r="CH964" s="510">
        <v>0</v>
      </c>
      <c r="CI964" s="1011">
        <v>0</v>
      </c>
    </row>
    <row r="965" spans="1:87" x14ac:dyDescent="0.2">
      <c r="A965" s="449">
        <v>52</v>
      </c>
      <c r="B965" s="453">
        <v>94536</v>
      </c>
      <c r="C965" s="454" t="s">
        <v>8406</v>
      </c>
      <c r="D965" s="454" t="s">
        <v>517</v>
      </c>
      <c r="E965" s="454" t="s">
        <v>8407</v>
      </c>
      <c r="F965" s="454" t="s">
        <v>528</v>
      </c>
      <c r="G965" s="454" t="s">
        <v>13923</v>
      </c>
      <c r="H965" s="455">
        <v>51689198000101</v>
      </c>
      <c r="I965" s="462">
        <v>29101</v>
      </c>
      <c r="J965" s="457">
        <v>37374710</v>
      </c>
      <c r="K965" s="454" t="s">
        <v>8408</v>
      </c>
      <c r="L965" s="458">
        <v>438</v>
      </c>
      <c r="M965" s="454" t="s">
        <v>6408</v>
      </c>
      <c r="N965" s="459">
        <v>5135000</v>
      </c>
      <c r="O965" s="460">
        <v>39040863</v>
      </c>
      <c r="P965" s="462">
        <v>261869</v>
      </c>
      <c r="Q965" s="462">
        <v>52</v>
      </c>
      <c r="R965" s="462">
        <v>43938</v>
      </c>
      <c r="S965" s="463">
        <v>924</v>
      </c>
      <c r="T965" s="464">
        <v>5.4</v>
      </c>
      <c r="U965" s="465">
        <v>4989.6000000000004</v>
      </c>
      <c r="V965" s="465">
        <v>20340</v>
      </c>
      <c r="W965" s="466">
        <v>0</v>
      </c>
      <c r="X965" s="467">
        <v>1</v>
      </c>
      <c r="Y965" s="466">
        <v>37994.400000000001</v>
      </c>
      <c r="Z965" s="468" t="s">
        <v>516</v>
      </c>
      <c r="AA965" s="466">
        <v>136592.79999999999</v>
      </c>
      <c r="AB965" s="466">
        <v>136592.79999999999</v>
      </c>
      <c r="AC965" s="467">
        <v>0</v>
      </c>
      <c r="AD965" s="466">
        <v>0</v>
      </c>
      <c r="AE965" s="468" t="s">
        <v>516</v>
      </c>
      <c r="AF965" s="466">
        <v>2000</v>
      </c>
      <c r="AG965" s="466">
        <v>2000</v>
      </c>
      <c r="AH965" s="466">
        <v>11345.8</v>
      </c>
      <c r="AI965" s="466">
        <v>8015.4</v>
      </c>
      <c r="AJ965" s="469" t="s">
        <v>1729</v>
      </c>
      <c r="AK965" s="470" t="s">
        <v>2936</v>
      </c>
      <c r="AL965" s="471" t="s">
        <v>8409</v>
      </c>
      <c r="AM965" s="470" t="s">
        <v>8410</v>
      </c>
      <c r="AN965" s="470" t="s">
        <v>8411</v>
      </c>
      <c r="AO965" s="470" t="s">
        <v>8412</v>
      </c>
      <c r="AP965" s="470" t="s">
        <v>8413</v>
      </c>
      <c r="AQ965" s="470" t="s">
        <v>8406</v>
      </c>
      <c r="AR965" s="472" t="s">
        <v>515</v>
      </c>
      <c r="AS965" s="473" t="s">
        <v>1385</v>
      </c>
      <c r="AT965" s="472" t="s">
        <v>517</v>
      </c>
      <c r="AU965" s="472" t="s">
        <v>420</v>
      </c>
      <c r="AV965" s="472">
        <v>2020</v>
      </c>
      <c r="AW965" s="474" t="s">
        <v>15078</v>
      </c>
      <c r="AX965" s="475" t="s">
        <v>15079</v>
      </c>
      <c r="AY965" s="515">
        <v>1</v>
      </c>
      <c r="AZ965" s="474" t="s">
        <v>15079</v>
      </c>
      <c r="BA965" s="472" t="s">
        <v>517</v>
      </c>
      <c r="BB965" s="472" t="s">
        <v>1385</v>
      </c>
      <c r="BC965" s="472" t="s">
        <v>1385</v>
      </c>
      <c r="BD965" s="472" t="s">
        <v>1385</v>
      </c>
      <c r="BE965" s="472" t="s">
        <v>1385</v>
      </c>
      <c r="BF965" s="472">
        <v>37994.400000000001</v>
      </c>
      <c r="BG965" s="472">
        <v>0</v>
      </c>
      <c r="BH965" s="472" t="s">
        <v>1385</v>
      </c>
      <c r="BI965" s="510">
        <v>0</v>
      </c>
      <c r="BJ965" s="510">
        <v>0</v>
      </c>
      <c r="BK965" s="510">
        <v>0</v>
      </c>
      <c r="BL965" s="510">
        <v>0</v>
      </c>
      <c r="BM965" s="510">
        <v>0</v>
      </c>
      <c r="BN965" s="510">
        <v>5000</v>
      </c>
      <c r="BO965" s="510">
        <v>0</v>
      </c>
      <c r="BP965" s="510">
        <v>2000</v>
      </c>
      <c r="BQ965" s="510">
        <v>0</v>
      </c>
      <c r="BR965" s="510">
        <v>0</v>
      </c>
      <c r="BS965" s="510">
        <v>0</v>
      </c>
      <c r="BT965" s="510">
        <v>0</v>
      </c>
      <c r="BU965" s="510">
        <v>0</v>
      </c>
      <c r="BV965" s="510">
        <v>0</v>
      </c>
      <c r="BW965" s="510">
        <v>0</v>
      </c>
      <c r="BX965" s="510">
        <v>30000</v>
      </c>
      <c r="BY965" s="1011">
        <v>0</v>
      </c>
      <c r="BZ965" s="510">
        <v>0</v>
      </c>
      <c r="CA965" s="1011">
        <v>0</v>
      </c>
      <c r="CB965" s="510">
        <v>22000</v>
      </c>
      <c r="CC965" s="1011">
        <v>0</v>
      </c>
      <c r="CD965" s="510">
        <v>0</v>
      </c>
      <c r="CE965" s="1011">
        <v>0</v>
      </c>
      <c r="CF965" s="510">
        <v>46598.400000000001</v>
      </c>
      <c r="CG965" s="1011">
        <v>0</v>
      </c>
      <c r="CH965" s="510">
        <v>0</v>
      </c>
      <c r="CI965" s="1011">
        <v>0</v>
      </c>
    </row>
    <row r="966" spans="1:87" x14ac:dyDescent="0.2">
      <c r="A966" s="449">
        <v>78</v>
      </c>
      <c r="B966" s="453">
        <v>94544</v>
      </c>
      <c r="C966" s="454" t="s">
        <v>8414</v>
      </c>
      <c r="D966" s="454" t="s">
        <v>517</v>
      </c>
      <c r="E966" s="454" t="s">
        <v>8415</v>
      </c>
      <c r="F966" s="454" t="s">
        <v>528</v>
      </c>
      <c r="G966" s="454" t="s">
        <v>13924</v>
      </c>
      <c r="H966" s="455">
        <v>47332614000134</v>
      </c>
      <c r="I966" s="462">
        <v>29846</v>
      </c>
      <c r="J966" s="457">
        <v>37588427</v>
      </c>
      <c r="K966" s="454" t="s">
        <v>8416</v>
      </c>
      <c r="L966" s="458">
        <v>241</v>
      </c>
      <c r="M966" s="454" t="s">
        <v>8417</v>
      </c>
      <c r="N966" s="459">
        <v>5136270</v>
      </c>
      <c r="O966" s="460">
        <v>39067250</v>
      </c>
      <c r="P966" s="462">
        <v>271414</v>
      </c>
      <c r="Q966" s="462">
        <v>78</v>
      </c>
      <c r="R966" s="462">
        <v>43938</v>
      </c>
      <c r="S966" s="463">
        <v>638</v>
      </c>
      <c r="T966" s="464">
        <v>5.4</v>
      </c>
      <c r="U966" s="465">
        <v>3445.2</v>
      </c>
      <c r="V966" s="465">
        <v>17100</v>
      </c>
      <c r="W966" s="466">
        <v>0</v>
      </c>
      <c r="X966" s="467">
        <v>1</v>
      </c>
      <c r="Y966" s="466">
        <v>30817.8</v>
      </c>
      <c r="Z966" s="468" t="s">
        <v>516</v>
      </c>
      <c r="AA966" s="466">
        <v>124951.8</v>
      </c>
      <c r="AB966" s="466">
        <v>124951.8</v>
      </c>
      <c r="AC966" s="467">
        <v>0</v>
      </c>
      <c r="AD966" s="466">
        <v>0</v>
      </c>
      <c r="AE966" s="468" t="s">
        <v>516</v>
      </c>
      <c r="AF966" s="466">
        <v>600</v>
      </c>
      <c r="AG966" s="466">
        <v>600</v>
      </c>
      <c r="AH966" s="466">
        <v>16731.09</v>
      </c>
      <c r="AI966" s="466">
        <v>4935.8900000000003</v>
      </c>
      <c r="AJ966" s="469" t="s">
        <v>1729</v>
      </c>
      <c r="AK966" s="470" t="s">
        <v>2936</v>
      </c>
      <c r="AL966" s="471" t="s">
        <v>8418</v>
      </c>
      <c r="AM966" s="470" t="s">
        <v>8419</v>
      </c>
      <c r="AN966" s="470" t="s">
        <v>8420</v>
      </c>
      <c r="AO966" s="470" t="s">
        <v>13925</v>
      </c>
      <c r="AP966" s="470" t="s">
        <v>8421</v>
      </c>
      <c r="AQ966" s="470" t="s">
        <v>8414</v>
      </c>
      <c r="AR966" s="472" t="s">
        <v>515</v>
      </c>
      <c r="AS966" s="473" t="s">
        <v>1385</v>
      </c>
      <c r="AT966" s="472" t="s">
        <v>517</v>
      </c>
      <c r="AU966" s="472" t="s">
        <v>420</v>
      </c>
      <c r="AV966" s="472">
        <v>2020</v>
      </c>
      <c r="AW966" s="474" t="s">
        <v>15078</v>
      </c>
      <c r="AX966" s="475" t="s">
        <v>15079</v>
      </c>
      <c r="AY966" s="515">
        <v>1</v>
      </c>
      <c r="AZ966" s="474" t="s">
        <v>15079</v>
      </c>
      <c r="BA966" s="472" t="s">
        <v>517</v>
      </c>
      <c r="BB966" s="472" t="s">
        <v>1385</v>
      </c>
      <c r="BC966" s="472" t="s">
        <v>1385</v>
      </c>
      <c r="BD966" s="472" t="s">
        <v>1385</v>
      </c>
      <c r="BE966" s="472" t="s">
        <v>1385</v>
      </c>
      <c r="BF966" s="472">
        <v>30817.8</v>
      </c>
      <c r="BG966" s="472">
        <v>0</v>
      </c>
      <c r="BH966" s="472" t="s">
        <v>1385</v>
      </c>
      <c r="BI966" s="510">
        <v>0</v>
      </c>
      <c r="BJ966" s="510">
        <v>0</v>
      </c>
      <c r="BK966" s="510">
        <v>0</v>
      </c>
      <c r="BL966" s="510">
        <v>252.8</v>
      </c>
      <c r="BM966" s="510">
        <v>0</v>
      </c>
      <c r="BN966" s="510">
        <v>3500</v>
      </c>
      <c r="BO966" s="510">
        <v>1400</v>
      </c>
      <c r="BP966" s="510">
        <v>600</v>
      </c>
      <c r="BQ966" s="510">
        <v>0</v>
      </c>
      <c r="BR966" s="510">
        <v>0</v>
      </c>
      <c r="BS966" s="510">
        <v>0</v>
      </c>
      <c r="BT966" s="510">
        <v>0</v>
      </c>
      <c r="BU966" s="510">
        <v>0</v>
      </c>
      <c r="BV966" s="510">
        <v>0</v>
      </c>
      <c r="BW966" s="510">
        <v>0</v>
      </c>
      <c r="BX966" s="510">
        <v>30000</v>
      </c>
      <c r="BY966" s="1011">
        <v>0</v>
      </c>
      <c r="BZ966" s="510">
        <v>0</v>
      </c>
      <c r="CA966" s="1011">
        <v>0</v>
      </c>
      <c r="CB966" s="510">
        <v>22000</v>
      </c>
      <c r="CC966" s="1011">
        <v>0</v>
      </c>
      <c r="CD966" s="510">
        <v>0</v>
      </c>
      <c r="CE966" s="1011">
        <v>0</v>
      </c>
      <c r="CF966" s="510">
        <v>40734</v>
      </c>
      <c r="CG966" s="1011">
        <v>0</v>
      </c>
      <c r="CH966" s="510">
        <v>0</v>
      </c>
      <c r="CI966" s="1011">
        <v>0</v>
      </c>
    </row>
    <row r="967" spans="1:87" x14ac:dyDescent="0.2">
      <c r="A967" s="449">
        <v>32</v>
      </c>
      <c r="B967" s="453">
        <v>94552</v>
      </c>
      <c r="C967" s="454" t="s">
        <v>8422</v>
      </c>
      <c r="D967" s="454" t="s">
        <v>517</v>
      </c>
      <c r="E967" s="454" t="s">
        <v>8423</v>
      </c>
      <c r="F967" s="454" t="s">
        <v>528</v>
      </c>
      <c r="G967" s="454" t="s">
        <v>13926</v>
      </c>
      <c r="H967" s="455">
        <v>52031234000108</v>
      </c>
      <c r="I967" s="462">
        <v>30283</v>
      </c>
      <c r="J967" s="457">
        <v>37375300</v>
      </c>
      <c r="K967" s="454" t="s">
        <v>8424</v>
      </c>
      <c r="L967" s="458">
        <v>110</v>
      </c>
      <c r="M967" s="454" t="s">
        <v>8425</v>
      </c>
      <c r="N967" s="459">
        <v>5125090</v>
      </c>
      <c r="O967" s="460">
        <v>39044173</v>
      </c>
      <c r="P967" s="462">
        <v>273239</v>
      </c>
      <c r="Q967" s="462">
        <v>32</v>
      </c>
      <c r="R967" s="462">
        <v>43938</v>
      </c>
      <c r="S967" s="463">
        <v>630</v>
      </c>
      <c r="T967" s="464">
        <v>5.4</v>
      </c>
      <c r="U967" s="465">
        <v>3402</v>
      </c>
      <c r="V967" s="465">
        <v>17100</v>
      </c>
      <c r="W967" s="466">
        <v>0</v>
      </c>
      <c r="X967" s="467">
        <v>1</v>
      </c>
      <c r="Y967" s="466">
        <v>30753</v>
      </c>
      <c r="Z967" s="468" t="s">
        <v>516</v>
      </c>
      <c r="AA967" s="466">
        <v>123357.4</v>
      </c>
      <c r="AB967" s="466">
        <v>123357.4</v>
      </c>
      <c r="AC967" s="467">
        <v>0</v>
      </c>
      <c r="AD967" s="466">
        <v>0</v>
      </c>
      <c r="AE967" s="468" t="s">
        <v>516</v>
      </c>
      <c r="AF967" s="466">
        <v>0</v>
      </c>
      <c r="AG967" s="466">
        <v>0</v>
      </c>
      <c r="AH967" s="466">
        <v>27923.68</v>
      </c>
      <c r="AI967" s="466">
        <v>10157.36</v>
      </c>
      <c r="AJ967" s="469" t="s">
        <v>1729</v>
      </c>
      <c r="AK967" s="470" t="s">
        <v>1423</v>
      </c>
      <c r="AL967" s="471" t="s">
        <v>8426</v>
      </c>
      <c r="AM967" s="470" t="s">
        <v>13927</v>
      </c>
      <c r="AN967" s="470" t="s">
        <v>8427</v>
      </c>
      <c r="AO967" s="470" t="s">
        <v>8428</v>
      </c>
      <c r="AP967" s="470" t="s">
        <v>8429</v>
      </c>
      <c r="AQ967" s="470" t="s">
        <v>8422</v>
      </c>
      <c r="AR967" s="472" t="s">
        <v>515</v>
      </c>
      <c r="AS967" s="473" t="s">
        <v>1385</v>
      </c>
      <c r="AT967" s="472" t="s">
        <v>517</v>
      </c>
      <c r="AU967" s="472" t="s">
        <v>420</v>
      </c>
      <c r="AV967" s="472">
        <v>2020</v>
      </c>
      <c r="AW967" s="474" t="s">
        <v>15078</v>
      </c>
      <c r="AX967" s="475" t="s">
        <v>15079</v>
      </c>
      <c r="AY967" s="515">
        <v>1</v>
      </c>
      <c r="AZ967" s="474" t="s">
        <v>15079</v>
      </c>
      <c r="BA967" s="472" t="s">
        <v>517</v>
      </c>
      <c r="BB967" s="472" t="s">
        <v>1385</v>
      </c>
      <c r="BC967" s="472" t="s">
        <v>1385</v>
      </c>
      <c r="BD967" s="472" t="s">
        <v>1385</v>
      </c>
      <c r="BE967" s="472" t="s">
        <v>1385</v>
      </c>
      <c r="BF967" s="509">
        <v>30753</v>
      </c>
      <c r="BG967" s="472">
        <v>0</v>
      </c>
      <c r="BH967" s="472" t="s">
        <v>1385</v>
      </c>
      <c r="BI967" s="510">
        <v>0</v>
      </c>
      <c r="BJ967" s="510">
        <v>954.2</v>
      </c>
      <c r="BK967" s="510">
        <v>0</v>
      </c>
      <c r="BL967" s="510">
        <v>0</v>
      </c>
      <c r="BM967" s="510">
        <v>0</v>
      </c>
      <c r="BN967" s="510">
        <v>3500</v>
      </c>
      <c r="BO967" s="510">
        <v>0</v>
      </c>
      <c r="BP967" s="510">
        <v>0</v>
      </c>
      <c r="BQ967" s="510">
        <v>0</v>
      </c>
      <c r="BR967" s="510">
        <v>0</v>
      </c>
      <c r="BS967" s="510">
        <v>0</v>
      </c>
      <c r="BT967" s="510">
        <v>0</v>
      </c>
      <c r="BU967" s="510">
        <v>2500</v>
      </c>
      <c r="BV967" s="510">
        <v>2500</v>
      </c>
      <c r="BW967" s="510">
        <v>0</v>
      </c>
      <c r="BX967" s="510">
        <v>30000</v>
      </c>
      <c r="BY967" s="1011">
        <v>0</v>
      </c>
      <c r="BZ967" s="510">
        <v>0</v>
      </c>
      <c r="CA967" s="1011">
        <v>0</v>
      </c>
      <c r="CB967" s="510">
        <v>22000</v>
      </c>
      <c r="CC967" s="1011">
        <v>0</v>
      </c>
      <c r="CD967" s="510">
        <v>0</v>
      </c>
      <c r="CE967" s="1011">
        <v>0</v>
      </c>
      <c r="CF967" s="510">
        <v>40604.400000000001</v>
      </c>
      <c r="CG967" s="1011">
        <v>0</v>
      </c>
      <c r="CH967" s="510">
        <v>0</v>
      </c>
      <c r="CI967" s="1011">
        <v>0</v>
      </c>
    </row>
    <row r="968" spans="1:87" x14ac:dyDescent="0.2">
      <c r="A968" s="449">
        <v>45</v>
      </c>
      <c r="B968" s="453">
        <v>94561</v>
      </c>
      <c r="C968" s="454" t="s">
        <v>8430</v>
      </c>
      <c r="D968" s="454" t="s">
        <v>517</v>
      </c>
      <c r="E968" s="454" t="s">
        <v>8431</v>
      </c>
      <c r="F968" s="454" t="s">
        <v>528</v>
      </c>
      <c r="G968" s="454" t="s">
        <v>13928</v>
      </c>
      <c r="H968" s="455">
        <v>43190685000199</v>
      </c>
      <c r="I968" s="462">
        <v>29300</v>
      </c>
      <c r="J968" s="457">
        <v>37374877</v>
      </c>
      <c r="K968" s="454" t="s">
        <v>8433</v>
      </c>
      <c r="L968" s="458">
        <v>191</v>
      </c>
      <c r="M968" s="454" t="s">
        <v>8425</v>
      </c>
      <c r="N968" s="459">
        <v>5121060</v>
      </c>
      <c r="O968" s="460">
        <v>36415264</v>
      </c>
      <c r="P968" s="462">
        <v>262415</v>
      </c>
      <c r="Q968" s="462">
        <v>45</v>
      </c>
      <c r="R968" s="462">
        <v>43938</v>
      </c>
      <c r="S968" s="463">
        <v>588</v>
      </c>
      <c r="T968" s="464">
        <v>5.4</v>
      </c>
      <c r="U968" s="465">
        <v>3175.2</v>
      </c>
      <c r="V968" s="465">
        <v>17100</v>
      </c>
      <c r="W968" s="466">
        <v>0</v>
      </c>
      <c r="X968" s="467">
        <v>1</v>
      </c>
      <c r="Y968" s="466">
        <v>38107.800000000003</v>
      </c>
      <c r="Z968" s="468" t="s">
        <v>516</v>
      </c>
      <c r="AA968" s="466">
        <v>130733.8</v>
      </c>
      <c r="AB968" s="466">
        <v>130733.8</v>
      </c>
      <c r="AC968" s="467">
        <v>0</v>
      </c>
      <c r="AD968" s="466">
        <v>0</v>
      </c>
      <c r="AE968" s="468" t="s">
        <v>516</v>
      </c>
      <c r="AF968" s="466">
        <v>0</v>
      </c>
      <c r="AG968" s="466">
        <v>0</v>
      </c>
      <c r="AH968" s="466">
        <v>30766.46</v>
      </c>
      <c r="AI968" s="466">
        <v>5292.31</v>
      </c>
      <c r="AJ968" s="469" t="s">
        <v>1729</v>
      </c>
      <c r="AK968" s="470" t="s">
        <v>2868</v>
      </c>
      <c r="AL968" s="471" t="s">
        <v>8434</v>
      </c>
      <c r="AM968" s="470" t="s">
        <v>8435</v>
      </c>
      <c r="AN968" s="470" t="s">
        <v>8432</v>
      </c>
      <c r="AO968" s="470" t="s">
        <v>13929</v>
      </c>
      <c r="AP968" s="470" t="s">
        <v>8436</v>
      </c>
      <c r="AQ968" s="470" t="s">
        <v>8430</v>
      </c>
      <c r="AR968" s="472" t="s">
        <v>515</v>
      </c>
      <c r="AS968" s="473" t="s">
        <v>1385</v>
      </c>
      <c r="AT968" s="472" t="s">
        <v>517</v>
      </c>
      <c r="AU968" s="472" t="s">
        <v>420</v>
      </c>
      <c r="AV968" s="472">
        <v>2020</v>
      </c>
      <c r="AW968" s="474" t="s">
        <v>15078</v>
      </c>
      <c r="AX968" s="475" t="s">
        <v>15079</v>
      </c>
      <c r="AY968" s="515">
        <v>1</v>
      </c>
      <c r="AZ968" s="474" t="s">
        <v>15079</v>
      </c>
      <c r="BA968" s="472" t="s">
        <v>517</v>
      </c>
      <c r="BB968" s="472" t="s">
        <v>516</v>
      </c>
      <c r="BC968" s="472">
        <v>17</v>
      </c>
      <c r="BD968" s="472">
        <v>5130</v>
      </c>
      <c r="BE968" s="472">
        <v>0</v>
      </c>
      <c r="BF968" s="472">
        <v>38107.800000000003</v>
      </c>
      <c r="BG968" s="472">
        <v>0</v>
      </c>
      <c r="BH968" s="472" t="s">
        <v>1385</v>
      </c>
      <c r="BI968" s="510">
        <v>0</v>
      </c>
      <c r="BJ968" s="510">
        <v>0</v>
      </c>
      <c r="BK968" s="510">
        <v>0</v>
      </c>
      <c r="BL968" s="510">
        <v>0</v>
      </c>
      <c r="BM968" s="510">
        <v>0</v>
      </c>
      <c r="BN968" s="510">
        <v>3500</v>
      </c>
      <c r="BO968" s="510">
        <v>0</v>
      </c>
      <c r="BP968" s="510">
        <v>0</v>
      </c>
      <c r="BQ968" s="510">
        <v>0</v>
      </c>
      <c r="BR968" s="510">
        <v>0</v>
      </c>
      <c r="BS968" s="510">
        <v>0</v>
      </c>
      <c r="BT968" s="510">
        <v>0</v>
      </c>
      <c r="BU968" s="510">
        <v>0</v>
      </c>
      <c r="BV968" s="510">
        <v>0</v>
      </c>
      <c r="BW968" s="510">
        <v>0</v>
      </c>
      <c r="BX968" s="510">
        <v>30000</v>
      </c>
      <c r="BY968" s="1011">
        <v>0</v>
      </c>
      <c r="BZ968" s="510">
        <v>0</v>
      </c>
      <c r="CA968" s="1011">
        <v>0</v>
      </c>
      <c r="CB968" s="510">
        <v>22000</v>
      </c>
      <c r="CC968" s="1011">
        <v>0</v>
      </c>
      <c r="CD968" s="510">
        <v>0</v>
      </c>
      <c r="CE968" s="1011">
        <v>0</v>
      </c>
      <c r="CF968" s="510">
        <v>40626</v>
      </c>
      <c r="CG968" s="1011">
        <v>0</v>
      </c>
      <c r="CH968" s="510">
        <v>0</v>
      </c>
      <c r="CI968" s="1011">
        <v>0</v>
      </c>
    </row>
    <row r="969" spans="1:87" x14ac:dyDescent="0.2">
      <c r="A969" s="449">
        <v>56</v>
      </c>
      <c r="B969" s="453">
        <v>94579</v>
      </c>
      <c r="C969" s="454" t="s">
        <v>8437</v>
      </c>
      <c r="D969" s="454" t="s">
        <v>517</v>
      </c>
      <c r="E969" s="454" t="s">
        <v>8438</v>
      </c>
      <c r="F969" s="454" t="s">
        <v>528</v>
      </c>
      <c r="G969" s="454" t="s">
        <v>13930</v>
      </c>
      <c r="H969" s="455">
        <v>52029535000199</v>
      </c>
      <c r="I969" s="462">
        <v>30279</v>
      </c>
      <c r="J969" s="457">
        <v>37587218</v>
      </c>
      <c r="K969" s="454" t="s">
        <v>6422</v>
      </c>
      <c r="L969" s="458">
        <v>644</v>
      </c>
      <c r="M969" s="454" t="s">
        <v>2936</v>
      </c>
      <c r="N969" s="459">
        <v>5116001</v>
      </c>
      <c r="O969" s="460">
        <v>36251792</v>
      </c>
      <c r="P969" s="462">
        <v>261850</v>
      </c>
      <c r="Q969" s="462">
        <v>56</v>
      </c>
      <c r="R969" s="462">
        <v>43938</v>
      </c>
      <c r="S969" s="463">
        <v>777</v>
      </c>
      <c r="T969" s="464">
        <v>5.4</v>
      </c>
      <c r="U969" s="465">
        <v>4195.8</v>
      </c>
      <c r="V969" s="465">
        <v>18720</v>
      </c>
      <c r="W969" s="466">
        <v>0</v>
      </c>
      <c r="X969" s="467">
        <v>1</v>
      </c>
      <c r="Y969" s="466">
        <v>34373.699999999997</v>
      </c>
      <c r="Z969" s="468" t="s">
        <v>514</v>
      </c>
      <c r="AA969" s="466">
        <v>127873.9</v>
      </c>
      <c r="AB969" s="466">
        <v>127873.9</v>
      </c>
      <c r="AC969" s="467">
        <v>0</v>
      </c>
      <c r="AD969" s="466">
        <v>0</v>
      </c>
      <c r="AE969" s="468" t="s">
        <v>516</v>
      </c>
      <c r="AF969" s="466">
        <v>2000</v>
      </c>
      <c r="AG969" s="466">
        <v>2000</v>
      </c>
      <c r="AH969" s="466">
        <v>566.6</v>
      </c>
      <c r="AI969" s="466">
        <v>5893.14</v>
      </c>
      <c r="AJ969" s="469" t="s">
        <v>1729</v>
      </c>
      <c r="AK969" s="470" t="s">
        <v>2936</v>
      </c>
      <c r="AL969" s="471" t="s">
        <v>8439</v>
      </c>
      <c r="AM969" s="470" t="s">
        <v>8440</v>
      </c>
      <c r="AN969" s="470" t="s">
        <v>8441</v>
      </c>
      <c r="AO969" s="470" t="s">
        <v>13931</v>
      </c>
      <c r="AP969" s="470" t="s">
        <v>8442</v>
      </c>
      <c r="AQ969" s="470" t="s">
        <v>8437</v>
      </c>
      <c r="AR969" s="472" t="s">
        <v>515</v>
      </c>
      <c r="AS969" s="473" t="s">
        <v>1385</v>
      </c>
      <c r="AT969" s="472" t="s">
        <v>517</v>
      </c>
      <c r="AU969" s="472" t="s">
        <v>420</v>
      </c>
      <c r="AV969" s="472">
        <v>2020</v>
      </c>
      <c r="AW969" s="474" t="s">
        <v>15078</v>
      </c>
      <c r="AX969" s="475" t="s">
        <v>15079</v>
      </c>
      <c r="AY969" s="515">
        <v>1</v>
      </c>
      <c r="AZ969" s="474" t="s">
        <v>15079</v>
      </c>
      <c r="BA969" s="472" t="s">
        <v>517</v>
      </c>
      <c r="BB969" s="472" t="s">
        <v>1385</v>
      </c>
      <c r="BC969" s="472" t="s">
        <v>1385</v>
      </c>
      <c r="BD969" s="472" t="s">
        <v>1385</v>
      </c>
      <c r="BE969" s="472" t="s">
        <v>1385</v>
      </c>
      <c r="BF969" s="472">
        <v>34373.699999999997</v>
      </c>
      <c r="BG969" s="472">
        <v>0</v>
      </c>
      <c r="BH969" s="472" t="s">
        <v>1385</v>
      </c>
      <c r="BI969" s="510">
        <v>0</v>
      </c>
      <c r="BJ969" s="510">
        <v>0.4</v>
      </c>
      <c r="BK969" s="510">
        <v>0</v>
      </c>
      <c r="BL969" s="510">
        <v>0</v>
      </c>
      <c r="BM969" s="510">
        <v>0</v>
      </c>
      <c r="BN969" s="510">
        <v>5000</v>
      </c>
      <c r="BO969" s="510">
        <v>0</v>
      </c>
      <c r="BP969" s="510">
        <v>2000</v>
      </c>
      <c r="BQ969" s="510">
        <v>0</v>
      </c>
      <c r="BR969" s="510">
        <v>0</v>
      </c>
      <c r="BS969" s="510">
        <v>0</v>
      </c>
      <c r="BT969" s="510">
        <v>0</v>
      </c>
      <c r="BU969" s="510">
        <v>2500</v>
      </c>
      <c r="BV969" s="510">
        <v>2500</v>
      </c>
      <c r="BW969" s="510">
        <v>0</v>
      </c>
      <c r="BX969" s="510">
        <v>30000</v>
      </c>
      <c r="BY969" s="1011">
        <v>0</v>
      </c>
      <c r="BZ969" s="510">
        <v>0</v>
      </c>
      <c r="CA969" s="1011">
        <v>0</v>
      </c>
      <c r="CB969" s="510">
        <v>22000</v>
      </c>
      <c r="CC969" s="1011">
        <v>0</v>
      </c>
      <c r="CD969" s="510">
        <v>0</v>
      </c>
      <c r="CE969" s="1011">
        <v>0</v>
      </c>
      <c r="CF969" s="510">
        <v>41500.800000000003</v>
      </c>
      <c r="CG969" s="1011">
        <v>0</v>
      </c>
      <c r="CH969" s="510">
        <v>0</v>
      </c>
      <c r="CI969" s="1011">
        <v>0</v>
      </c>
    </row>
    <row r="970" spans="1:87" x14ac:dyDescent="0.2">
      <c r="A970" s="449">
        <v>48</v>
      </c>
      <c r="B970" s="453">
        <v>94587</v>
      </c>
      <c r="C970" s="454" t="s">
        <v>8443</v>
      </c>
      <c r="D970" s="454" t="s">
        <v>517</v>
      </c>
      <c r="E970" s="454" t="s">
        <v>8444</v>
      </c>
      <c r="F970" s="454" t="s">
        <v>528</v>
      </c>
      <c r="G970" s="454" t="s">
        <v>13932</v>
      </c>
      <c r="H970" s="455">
        <v>50994565000100</v>
      </c>
      <c r="I970" s="462">
        <v>30224</v>
      </c>
      <c r="J970" s="457">
        <v>37372467</v>
      </c>
      <c r="K970" s="454" t="s">
        <v>8445</v>
      </c>
      <c r="L970" s="458">
        <v>132</v>
      </c>
      <c r="M970" s="454" t="s">
        <v>8446</v>
      </c>
      <c r="N970" s="459">
        <v>5128030</v>
      </c>
      <c r="O970" s="460">
        <v>39046042</v>
      </c>
      <c r="P970" s="462">
        <v>217649</v>
      </c>
      <c r="Q970" s="462">
        <v>48</v>
      </c>
      <c r="R970" s="462">
        <v>43938</v>
      </c>
      <c r="S970" s="463">
        <v>573</v>
      </c>
      <c r="T970" s="464">
        <v>5.4</v>
      </c>
      <c r="U970" s="465">
        <v>3094.2</v>
      </c>
      <c r="V970" s="465">
        <v>17100</v>
      </c>
      <c r="W970" s="466">
        <v>0</v>
      </c>
      <c r="X970" s="467">
        <v>1</v>
      </c>
      <c r="Y970" s="466">
        <v>30291.3</v>
      </c>
      <c r="Z970" s="468" t="s">
        <v>516</v>
      </c>
      <c r="AA970" s="466">
        <v>123014.5</v>
      </c>
      <c r="AB970" s="466">
        <v>123014.5</v>
      </c>
      <c r="AC970" s="467">
        <v>0</v>
      </c>
      <c r="AD970" s="466">
        <v>0</v>
      </c>
      <c r="AE970" s="468" t="s">
        <v>516</v>
      </c>
      <c r="AF970" s="466">
        <v>0</v>
      </c>
      <c r="AG970" s="466">
        <v>0</v>
      </c>
      <c r="AH970" s="466">
        <v>16813.16</v>
      </c>
      <c r="AI970" s="466">
        <v>9190.2999999999993</v>
      </c>
      <c r="AJ970" s="469" t="s">
        <v>1729</v>
      </c>
      <c r="AK970" s="470" t="s">
        <v>2936</v>
      </c>
      <c r="AL970" s="471" t="s">
        <v>8447</v>
      </c>
      <c r="AM970" s="470" t="s">
        <v>8448</v>
      </c>
      <c r="AN970" s="470" t="s">
        <v>8449</v>
      </c>
      <c r="AO970" s="470" t="s">
        <v>13933</v>
      </c>
      <c r="AP970" s="470" t="s">
        <v>8450</v>
      </c>
      <c r="AQ970" s="470" t="s">
        <v>8443</v>
      </c>
      <c r="AR970" s="472" t="s">
        <v>515</v>
      </c>
      <c r="AS970" s="473" t="s">
        <v>1385</v>
      </c>
      <c r="AT970" s="472" t="s">
        <v>517</v>
      </c>
      <c r="AU970" s="472" t="s">
        <v>420</v>
      </c>
      <c r="AV970" s="472">
        <v>2020</v>
      </c>
      <c r="AW970" s="474" t="s">
        <v>15078</v>
      </c>
      <c r="AX970" s="475" t="s">
        <v>15079</v>
      </c>
      <c r="AY970" s="515">
        <v>1</v>
      </c>
      <c r="AZ970" s="474" t="s">
        <v>15079</v>
      </c>
      <c r="BA970" s="472" t="s">
        <v>517</v>
      </c>
      <c r="BB970" s="472" t="s">
        <v>1385</v>
      </c>
      <c r="BC970" s="472" t="s">
        <v>1385</v>
      </c>
      <c r="BD970" s="472" t="s">
        <v>1385</v>
      </c>
      <c r="BE970" s="472" t="s">
        <v>1385</v>
      </c>
      <c r="BF970" s="472">
        <v>30291.3</v>
      </c>
      <c r="BG970" s="472">
        <v>0</v>
      </c>
      <c r="BH970" s="472" t="s">
        <v>1385</v>
      </c>
      <c r="BI970" s="510">
        <v>0</v>
      </c>
      <c r="BJ970" s="510">
        <v>17415.599999999999</v>
      </c>
      <c r="BK970" s="510">
        <v>0</v>
      </c>
      <c r="BL970" s="510">
        <v>0</v>
      </c>
      <c r="BM970" s="510">
        <v>0</v>
      </c>
      <c r="BN970" s="510">
        <v>3500</v>
      </c>
      <c r="BO970" s="510">
        <v>0</v>
      </c>
      <c r="BP970" s="510">
        <v>0</v>
      </c>
      <c r="BQ970" s="510">
        <v>0</v>
      </c>
      <c r="BR970" s="510">
        <v>0</v>
      </c>
      <c r="BS970" s="510">
        <v>0</v>
      </c>
      <c r="BT970" s="510">
        <v>0</v>
      </c>
      <c r="BU970" s="510">
        <v>0</v>
      </c>
      <c r="BV970" s="510">
        <v>0</v>
      </c>
      <c r="BW970" s="510">
        <v>0</v>
      </c>
      <c r="BX970" s="510">
        <v>30000</v>
      </c>
      <c r="BY970" s="1011">
        <v>0</v>
      </c>
      <c r="BZ970" s="510">
        <v>0</v>
      </c>
      <c r="CA970" s="1011">
        <v>0</v>
      </c>
      <c r="CB970" s="510">
        <v>22000</v>
      </c>
      <c r="CC970" s="1011">
        <v>0</v>
      </c>
      <c r="CD970" s="510">
        <v>0</v>
      </c>
      <c r="CE970" s="1011">
        <v>0</v>
      </c>
      <c r="CF970" s="510">
        <v>40723.199999999997</v>
      </c>
      <c r="CG970" s="1011">
        <v>0</v>
      </c>
      <c r="CH970" s="510">
        <v>0</v>
      </c>
      <c r="CI970" s="1011">
        <v>0</v>
      </c>
    </row>
    <row r="971" spans="1:87" x14ac:dyDescent="0.2">
      <c r="A971" s="449">
        <v>79</v>
      </c>
      <c r="B971" s="453">
        <v>94595</v>
      </c>
      <c r="C971" s="454" t="s">
        <v>8451</v>
      </c>
      <c r="D971" s="454" t="s">
        <v>517</v>
      </c>
      <c r="E971" s="454" t="s">
        <v>8452</v>
      </c>
      <c r="F971" s="454" t="s">
        <v>528</v>
      </c>
      <c r="G971" s="454" t="s">
        <v>13934</v>
      </c>
      <c r="H971" s="455">
        <v>43102359000182</v>
      </c>
      <c r="I971" s="462">
        <v>29290</v>
      </c>
      <c r="J971" s="457">
        <v>37468162</v>
      </c>
      <c r="K971" s="454" t="s">
        <v>8453</v>
      </c>
      <c r="L971" s="458">
        <v>141</v>
      </c>
      <c r="M971" s="454" t="s">
        <v>8454</v>
      </c>
      <c r="N971" s="459">
        <v>5138100</v>
      </c>
      <c r="O971" s="460">
        <v>39046039</v>
      </c>
      <c r="P971" s="462">
        <v>263705</v>
      </c>
      <c r="Q971" s="462">
        <v>79</v>
      </c>
      <c r="R971" s="462">
        <v>43938</v>
      </c>
      <c r="S971" s="463">
        <v>1065</v>
      </c>
      <c r="T971" s="464">
        <v>5.4</v>
      </c>
      <c r="U971" s="465">
        <v>5751</v>
      </c>
      <c r="V971" s="465">
        <v>20340</v>
      </c>
      <c r="W971" s="466">
        <v>0</v>
      </c>
      <c r="X971" s="467">
        <v>1</v>
      </c>
      <c r="Y971" s="466">
        <v>39136.5</v>
      </c>
      <c r="Z971" s="468" t="s">
        <v>516</v>
      </c>
      <c r="AA971" s="466">
        <v>142033.29999999999</v>
      </c>
      <c r="AB971" s="466">
        <v>142033.29999999999</v>
      </c>
      <c r="AC971" s="467">
        <v>0</v>
      </c>
      <c r="AD971" s="466">
        <v>0</v>
      </c>
      <c r="AE971" s="468" t="s">
        <v>516</v>
      </c>
      <c r="AF971" s="466">
        <v>0</v>
      </c>
      <c r="AG971" s="466">
        <v>0</v>
      </c>
      <c r="AH971" s="466">
        <v>21093.11</v>
      </c>
      <c r="AI971" s="466">
        <v>12880.22</v>
      </c>
      <c r="AJ971" s="469" t="s">
        <v>1422</v>
      </c>
      <c r="AK971" s="470" t="s">
        <v>1423</v>
      </c>
      <c r="AL971" s="471" t="s">
        <v>8455</v>
      </c>
      <c r="AM971" s="470" t="s">
        <v>13935</v>
      </c>
      <c r="AN971" s="470" t="s">
        <v>13936</v>
      </c>
      <c r="AO971" s="470" t="s">
        <v>13937</v>
      </c>
      <c r="AP971" s="470" t="s">
        <v>8456</v>
      </c>
      <c r="AQ971" s="470" t="s">
        <v>8451</v>
      </c>
      <c r="AR971" s="472" t="s">
        <v>515</v>
      </c>
      <c r="AS971" s="473" t="s">
        <v>1385</v>
      </c>
      <c r="AT971" s="472" t="s">
        <v>517</v>
      </c>
      <c r="AU971" s="472" t="s">
        <v>420</v>
      </c>
      <c r="AV971" s="472">
        <v>2020</v>
      </c>
      <c r="AW971" s="474" t="s">
        <v>15078</v>
      </c>
      <c r="AX971" s="475" t="s">
        <v>15079</v>
      </c>
      <c r="AY971" s="515">
        <v>1</v>
      </c>
      <c r="AZ971" s="474" t="s">
        <v>15079</v>
      </c>
      <c r="BA971" s="472" t="s">
        <v>517</v>
      </c>
      <c r="BB971" s="472" t="s">
        <v>1385</v>
      </c>
      <c r="BC971" s="472" t="s">
        <v>1385</v>
      </c>
      <c r="BD971" s="472" t="s">
        <v>1385</v>
      </c>
      <c r="BE971" s="472" t="s">
        <v>1385</v>
      </c>
      <c r="BF971" s="472">
        <v>39136.5</v>
      </c>
      <c r="BG971" s="472">
        <v>0</v>
      </c>
      <c r="BH971" s="472" t="s">
        <v>1385</v>
      </c>
      <c r="BI971" s="510">
        <v>0</v>
      </c>
      <c r="BJ971" s="510">
        <v>0</v>
      </c>
      <c r="BK971" s="510">
        <v>0</v>
      </c>
      <c r="BL971" s="510">
        <v>0</v>
      </c>
      <c r="BM971" s="510">
        <v>0</v>
      </c>
      <c r="BN971" s="510">
        <v>5000</v>
      </c>
      <c r="BO971" s="510">
        <v>0</v>
      </c>
      <c r="BP971" s="510">
        <v>0</v>
      </c>
      <c r="BQ971" s="510">
        <v>0</v>
      </c>
      <c r="BR971" s="510">
        <v>0</v>
      </c>
      <c r="BS971" s="510">
        <v>0</v>
      </c>
      <c r="BT971" s="510">
        <v>0</v>
      </c>
      <c r="BU971" s="510">
        <v>2500</v>
      </c>
      <c r="BV971" s="510">
        <v>2500</v>
      </c>
      <c r="BW971" s="510">
        <v>0</v>
      </c>
      <c r="BX971" s="510">
        <v>30000</v>
      </c>
      <c r="BY971" s="1011">
        <v>0</v>
      </c>
      <c r="BZ971" s="510">
        <v>0</v>
      </c>
      <c r="CA971" s="1011">
        <v>0</v>
      </c>
      <c r="CB971" s="510">
        <v>22000</v>
      </c>
      <c r="CC971" s="1011">
        <v>0</v>
      </c>
      <c r="CD971" s="510">
        <v>0</v>
      </c>
      <c r="CE971" s="1011">
        <v>0</v>
      </c>
      <c r="CF971" s="510">
        <v>50896.800000000003</v>
      </c>
      <c r="CG971" s="1011">
        <v>0</v>
      </c>
      <c r="CH971" s="510">
        <v>0</v>
      </c>
      <c r="CI971" s="1011">
        <v>0</v>
      </c>
    </row>
    <row r="972" spans="1:87" x14ac:dyDescent="0.2">
      <c r="A972" s="449">
        <v>87</v>
      </c>
      <c r="B972" s="453">
        <v>94609</v>
      </c>
      <c r="C972" s="454" t="s">
        <v>8457</v>
      </c>
      <c r="D972" s="454" t="s">
        <v>2253</v>
      </c>
      <c r="E972" s="454" t="s">
        <v>8458</v>
      </c>
      <c r="F972" s="454" t="s">
        <v>528</v>
      </c>
      <c r="G972" s="454" t="s">
        <v>13938</v>
      </c>
      <c r="H972" s="455">
        <v>56565518000127</v>
      </c>
      <c r="I972" s="462">
        <v>31700</v>
      </c>
      <c r="J972" s="457">
        <v>37373234</v>
      </c>
      <c r="K972" s="454" t="s">
        <v>2179</v>
      </c>
      <c r="L972" s="458">
        <v>81</v>
      </c>
      <c r="M972" s="454" t="s">
        <v>1728</v>
      </c>
      <c r="N972" s="459">
        <v>5186150</v>
      </c>
      <c r="O972" s="460">
        <v>39412988</v>
      </c>
      <c r="P972" s="462">
        <v>218220</v>
      </c>
      <c r="Q972" s="462">
        <v>87</v>
      </c>
      <c r="R972" s="462">
        <v>43938</v>
      </c>
      <c r="S972" s="463">
        <v>1180</v>
      </c>
      <c r="T972" s="464">
        <v>5.4</v>
      </c>
      <c r="U972" s="465">
        <v>6372</v>
      </c>
      <c r="V972" s="465">
        <v>20340</v>
      </c>
      <c r="W972" s="466">
        <v>0</v>
      </c>
      <c r="X972" s="467">
        <v>1</v>
      </c>
      <c r="Y972" s="466">
        <v>49221</v>
      </c>
      <c r="Z972" s="468" t="s">
        <v>516</v>
      </c>
      <c r="AA972" s="466">
        <v>171978.6</v>
      </c>
      <c r="AB972" s="466">
        <v>171978.6</v>
      </c>
      <c r="AC972" s="467">
        <v>0</v>
      </c>
      <c r="AD972" s="466">
        <v>0</v>
      </c>
      <c r="AE972" s="468" t="s">
        <v>516</v>
      </c>
      <c r="AF972" s="466">
        <v>2000</v>
      </c>
      <c r="AG972" s="466">
        <v>2000</v>
      </c>
      <c r="AH972" s="466">
        <v>15682.87</v>
      </c>
      <c r="AI972" s="466">
        <v>86.47</v>
      </c>
      <c r="AJ972" s="469" t="s">
        <v>2242</v>
      </c>
      <c r="AK972" s="470" t="s">
        <v>2241</v>
      </c>
      <c r="AL972" s="471" t="s">
        <v>8459</v>
      </c>
      <c r="AM972" s="470" t="s">
        <v>8460</v>
      </c>
      <c r="AN972" s="470" t="s">
        <v>8461</v>
      </c>
      <c r="AO972" s="470" t="s">
        <v>13939</v>
      </c>
      <c r="AP972" s="470" t="s">
        <v>8462</v>
      </c>
      <c r="AQ972" s="470" t="s">
        <v>8457</v>
      </c>
      <c r="AR972" s="472" t="s">
        <v>515</v>
      </c>
      <c r="AS972" s="473" t="s">
        <v>1385</v>
      </c>
      <c r="AT972" s="472" t="s">
        <v>2253</v>
      </c>
      <c r="AU972" s="472" t="s">
        <v>420</v>
      </c>
      <c r="AV972" s="472">
        <v>2020</v>
      </c>
      <c r="AW972" s="474" t="s">
        <v>15078</v>
      </c>
      <c r="AX972" s="475" t="s">
        <v>15079</v>
      </c>
      <c r="AY972" s="515">
        <v>1</v>
      </c>
      <c r="AZ972" s="474" t="s">
        <v>15079</v>
      </c>
      <c r="BA972" s="472" t="s">
        <v>2253</v>
      </c>
      <c r="BB972" s="472" t="s">
        <v>516</v>
      </c>
      <c r="BC972" s="472">
        <v>8</v>
      </c>
      <c r="BD972" s="472">
        <v>6102</v>
      </c>
      <c r="BE972" s="472">
        <v>0</v>
      </c>
      <c r="BF972" s="472">
        <v>49221</v>
      </c>
      <c r="BG972" s="472">
        <v>0</v>
      </c>
      <c r="BH972" s="472" t="s">
        <v>1385</v>
      </c>
      <c r="BI972" s="510">
        <v>0</v>
      </c>
      <c r="BJ972" s="510">
        <v>0</v>
      </c>
      <c r="BK972" s="510">
        <v>0</v>
      </c>
      <c r="BL972" s="510">
        <v>0</v>
      </c>
      <c r="BM972" s="510">
        <v>0</v>
      </c>
      <c r="BN972" s="510">
        <v>5000</v>
      </c>
      <c r="BO972" s="510">
        <v>0</v>
      </c>
      <c r="BP972" s="510">
        <v>2000</v>
      </c>
      <c r="BQ972" s="510">
        <v>0</v>
      </c>
      <c r="BR972" s="510">
        <v>0</v>
      </c>
      <c r="BS972" s="510">
        <v>0</v>
      </c>
      <c r="BT972" s="510">
        <v>0</v>
      </c>
      <c r="BU972" s="510">
        <v>2500</v>
      </c>
      <c r="BV972" s="510">
        <v>2500</v>
      </c>
      <c r="BW972" s="510">
        <v>0</v>
      </c>
      <c r="BX972" s="510">
        <v>30000</v>
      </c>
      <c r="BY972" s="1011">
        <v>0</v>
      </c>
      <c r="BZ972" s="510">
        <v>0</v>
      </c>
      <c r="CA972" s="1011">
        <v>0</v>
      </c>
      <c r="CB972" s="510">
        <v>22000</v>
      </c>
      <c r="CC972" s="1011">
        <v>0</v>
      </c>
      <c r="CD972" s="510">
        <v>0</v>
      </c>
      <c r="CE972" s="1011">
        <v>0</v>
      </c>
      <c r="CF972" s="510">
        <v>70757.600000000006</v>
      </c>
      <c r="CG972" s="1011">
        <v>0</v>
      </c>
      <c r="CH972" s="510">
        <v>0</v>
      </c>
      <c r="CI972" s="1011">
        <v>0</v>
      </c>
    </row>
    <row r="973" spans="1:87" x14ac:dyDescent="0.2">
      <c r="A973" s="449">
        <v>35</v>
      </c>
      <c r="B973" s="453">
        <v>94617</v>
      </c>
      <c r="C973" s="454" t="s">
        <v>8463</v>
      </c>
      <c r="D973" s="454" t="s">
        <v>517</v>
      </c>
      <c r="E973" s="454" t="s">
        <v>8464</v>
      </c>
      <c r="F973" s="454" t="s">
        <v>524</v>
      </c>
      <c r="G973" s="454" t="s">
        <v>13940</v>
      </c>
      <c r="H973" s="455">
        <v>51688448000180</v>
      </c>
      <c r="I973" s="462">
        <v>29087</v>
      </c>
      <c r="J973" s="457">
        <v>37497995</v>
      </c>
      <c r="K973" s="454" t="s">
        <v>8466</v>
      </c>
      <c r="L973" s="458">
        <v>50</v>
      </c>
      <c r="M973" s="454" t="s">
        <v>6506</v>
      </c>
      <c r="N973" s="459">
        <v>4109010</v>
      </c>
      <c r="O973" s="460">
        <v>55730413</v>
      </c>
      <c r="P973" s="462">
        <v>200606</v>
      </c>
      <c r="Q973" s="462">
        <v>40</v>
      </c>
      <c r="R973" s="462">
        <v>43906</v>
      </c>
      <c r="S973" s="463">
        <v>593</v>
      </c>
      <c r="T973" s="464">
        <v>5.4</v>
      </c>
      <c r="U973" s="465">
        <v>3202.2</v>
      </c>
      <c r="V973" s="465">
        <v>17100</v>
      </c>
      <c r="W973" s="466">
        <v>0</v>
      </c>
      <c r="X973" s="467">
        <v>1</v>
      </c>
      <c r="Y973" s="466">
        <v>30453.3</v>
      </c>
      <c r="Z973" s="468" t="s">
        <v>516</v>
      </c>
      <c r="AA973" s="466">
        <v>140605.70000000001</v>
      </c>
      <c r="AB973" s="466">
        <v>140605.70000000001</v>
      </c>
      <c r="AC973" s="467">
        <v>0</v>
      </c>
      <c r="AD973" s="466">
        <v>0</v>
      </c>
      <c r="AE973" s="468" t="s">
        <v>516</v>
      </c>
      <c r="AF973" s="466">
        <v>1400</v>
      </c>
      <c r="AG973" s="466">
        <v>1400</v>
      </c>
      <c r="AH973" s="466">
        <v>398.54</v>
      </c>
      <c r="AI973" s="466">
        <v>10905.85</v>
      </c>
      <c r="AJ973" s="469" t="s">
        <v>6526</v>
      </c>
      <c r="AK973" s="470" t="s">
        <v>6527</v>
      </c>
      <c r="AL973" s="471" t="s">
        <v>8467</v>
      </c>
      <c r="AM973" s="470" t="s">
        <v>15123</v>
      </c>
      <c r="AN973" s="470" t="s">
        <v>8465</v>
      </c>
      <c r="AO973" s="470" t="s">
        <v>13941</v>
      </c>
      <c r="AP973" s="470" t="s">
        <v>8468</v>
      </c>
      <c r="AQ973" s="470" t="s">
        <v>8463</v>
      </c>
      <c r="AR973" s="472" t="s">
        <v>515</v>
      </c>
      <c r="AS973" s="473" t="s">
        <v>1385</v>
      </c>
      <c r="AT973" s="472" t="s">
        <v>517</v>
      </c>
      <c r="AU973" s="472" t="s">
        <v>420</v>
      </c>
      <c r="AV973" s="472">
        <v>2020</v>
      </c>
      <c r="AW973" s="474" t="s">
        <v>15078</v>
      </c>
      <c r="AX973" s="475" t="s">
        <v>15079</v>
      </c>
      <c r="AY973" s="515">
        <v>1</v>
      </c>
      <c r="AZ973" s="474" t="s">
        <v>15079</v>
      </c>
      <c r="BA973" s="472" t="s">
        <v>517</v>
      </c>
      <c r="BB973" s="472" t="s">
        <v>1385</v>
      </c>
      <c r="BC973" s="472" t="s">
        <v>1385</v>
      </c>
      <c r="BD973" s="472" t="s">
        <v>1385</v>
      </c>
      <c r="BE973" s="472" t="s">
        <v>1385</v>
      </c>
      <c r="BF973" s="472">
        <v>30453.3</v>
      </c>
      <c r="BG973" s="472">
        <v>0</v>
      </c>
      <c r="BH973" s="472" t="s">
        <v>1385</v>
      </c>
      <c r="BI973" s="510">
        <v>0</v>
      </c>
      <c r="BJ973" s="510">
        <v>0</v>
      </c>
      <c r="BK973" s="510">
        <v>0</v>
      </c>
      <c r="BL973" s="510">
        <v>0</v>
      </c>
      <c r="BM973" s="510">
        <v>0</v>
      </c>
      <c r="BN973" s="510">
        <v>3500</v>
      </c>
      <c r="BO973" s="510">
        <v>600</v>
      </c>
      <c r="BP973" s="510">
        <v>1400</v>
      </c>
      <c r="BQ973" s="510">
        <v>0</v>
      </c>
      <c r="BR973" s="510">
        <v>0</v>
      </c>
      <c r="BS973" s="510">
        <v>0</v>
      </c>
      <c r="BT973" s="510">
        <v>0</v>
      </c>
      <c r="BU973" s="510">
        <v>2500</v>
      </c>
      <c r="BV973" s="510">
        <v>2500</v>
      </c>
      <c r="BW973" s="510">
        <v>0</v>
      </c>
      <c r="BX973" s="510">
        <v>30000</v>
      </c>
      <c r="BY973" s="1011">
        <v>0</v>
      </c>
      <c r="BZ973" s="510">
        <v>0</v>
      </c>
      <c r="CA973" s="1011">
        <v>0</v>
      </c>
      <c r="CB973" s="510">
        <v>22000</v>
      </c>
      <c r="CC973" s="1011">
        <v>0</v>
      </c>
      <c r="CD973" s="510">
        <v>0</v>
      </c>
      <c r="CE973" s="1011">
        <v>0</v>
      </c>
      <c r="CF973" s="510">
        <v>57552.4</v>
      </c>
      <c r="CG973" s="1011">
        <v>0</v>
      </c>
      <c r="CH973" s="510">
        <v>0</v>
      </c>
      <c r="CI973" s="1011">
        <v>0</v>
      </c>
    </row>
    <row r="974" spans="1:87" x14ac:dyDescent="0.2">
      <c r="A974" s="449">
        <v>31</v>
      </c>
      <c r="B974" s="453">
        <v>94625</v>
      </c>
      <c r="C974" s="454" t="s">
        <v>8469</v>
      </c>
      <c r="D974" s="454" t="s">
        <v>517</v>
      </c>
      <c r="E974" s="454" t="s">
        <v>8470</v>
      </c>
      <c r="F974" s="454" t="s">
        <v>524</v>
      </c>
      <c r="G974" s="454" t="s">
        <v>13942</v>
      </c>
      <c r="H974" s="455">
        <v>45587649000199</v>
      </c>
      <c r="I974" s="462">
        <v>32173</v>
      </c>
      <c r="J974" s="457">
        <v>37497952</v>
      </c>
      <c r="K974" s="454" t="s">
        <v>8472</v>
      </c>
      <c r="L974" s="458">
        <v>35</v>
      </c>
      <c r="M974" s="454" t="s">
        <v>8473</v>
      </c>
      <c r="N974" s="459">
        <v>1514020</v>
      </c>
      <c r="O974" s="460">
        <v>32776112</v>
      </c>
      <c r="P974" s="462">
        <v>203575</v>
      </c>
      <c r="Q974" s="462">
        <v>36</v>
      </c>
      <c r="R974" s="462">
        <v>43906</v>
      </c>
      <c r="S974" s="463">
        <v>1097</v>
      </c>
      <c r="T974" s="464">
        <v>5.4</v>
      </c>
      <c r="U974" s="465">
        <v>5923.8</v>
      </c>
      <c r="V974" s="465">
        <v>20340</v>
      </c>
      <c r="W974" s="466">
        <v>0</v>
      </c>
      <c r="X974" s="467">
        <v>1</v>
      </c>
      <c r="Y974" s="466">
        <v>39395.699999999997</v>
      </c>
      <c r="Z974" s="468" t="s">
        <v>516</v>
      </c>
      <c r="AA974" s="466">
        <v>142335.70000000001</v>
      </c>
      <c r="AB974" s="466">
        <v>142335.70000000001</v>
      </c>
      <c r="AC974" s="467">
        <v>0</v>
      </c>
      <c r="AD974" s="466">
        <v>0</v>
      </c>
      <c r="AE974" s="468" t="s">
        <v>516</v>
      </c>
      <c r="AF974" s="466">
        <v>2000</v>
      </c>
      <c r="AG974" s="466">
        <v>2000</v>
      </c>
      <c r="AH974" s="466">
        <v>18807.45</v>
      </c>
      <c r="AI974" s="466">
        <v>19443.150000000001</v>
      </c>
      <c r="AJ974" s="469" t="s">
        <v>6593</v>
      </c>
      <c r="AK974" s="470" t="s">
        <v>6594</v>
      </c>
      <c r="AL974" s="471" t="s">
        <v>8474</v>
      </c>
      <c r="AM974" s="470" t="s">
        <v>15116</v>
      </c>
      <c r="AN974" s="470" t="s">
        <v>8471</v>
      </c>
      <c r="AO974" s="470" t="s">
        <v>13943</v>
      </c>
      <c r="AP974" s="470" t="s">
        <v>8475</v>
      </c>
      <c r="AQ974" s="470" t="s">
        <v>8469</v>
      </c>
      <c r="AR974" s="472" t="s">
        <v>515</v>
      </c>
      <c r="AS974" s="473" t="s">
        <v>1385</v>
      </c>
      <c r="AT974" s="472" t="s">
        <v>517</v>
      </c>
      <c r="AU974" s="472" t="s">
        <v>420</v>
      </c>
      <c r="AV974" s="472">
        <v>2020</v>
      </c>
      <c r="AW974" s="474" t="s">
        <v>15078</v>
      </c>
      <c r="AX974" s="475" t="s">
        <v>15079</v>
      </c>
      <c r="AY974" s="515">
        <v>1</v>
      </c>
      <c r="AZ974" s="474" t="s">
        <v>15079</v>
      </c>
      <c r="BA974" s="472" t="s">
        <v>517</v>
      </c>
      <c r="BB974" s="472" t="s">
        <v>1385</v>
      </c>
      <c r="BC974" s="472" t="s">
        <v>1385</v>
      </c>
      <c r="BD974" s="472" t="s">
        <v>1385</v>
      </c>
      <c r="BE974" s="472" t="s">
        <v>1385</v>
      </c>
      <c r="BF974" s="472">
        <v>39395.699999999997</v>
      </c>
      <c r="BG974" s="472">
        <v>0</v>
      </c>
      <c r="BH974" s="472" t="s">
        <v>1385</v>
      </c>
      <c r="BI974" s="510">
        <v>0</v>
      </c>
      <c r="BJ974" s="510">
        <v>0</v>
      </c>
      <c r="BK974" s="510">
        <v>0</v>
      </c>
      <c r="BL974" s="510">
        <v>3500</v>
      </c>
      <c r="BM974" s="510">
        <v>0</v>
      </c>
      <c r="BN974" s="510">
        <v>5000</v>
      </c>
      <c r="BO974" s="510">
        <v>0</v>
      </c>
      <c r="BP974" s="510">
        <v>2000</v>
      </c>
      <c r="BQ974" s="510">
        <v>0</v>
      </c>
      <c r="BR974" s="510">
        <v>0</v>
      </c>
      <c r="BS974" s="510">
        <v>0</v>
      </c>
      <c r="BT974" s="510">
        <v>0</v>
      </c>
      <c r="BU974" s="510">
        <v>0</v>
      </c>
      <c r="BV974" s="510">
        <v>0</v>
      </c>
      <c r="BW974" s="510">
        <v>0</v>
      </c>
      <c r="BX974" s="510">
        <v>30000</v>
      </c>
      <c r="BY974" s="1011">
        <v>0</v>
      </c>
      <c r="BZ974" s="510">
        <v>0</v>
      </c>
      <c r="CA974" s="1011">
        <v>0</v>
      </c>
      <c r="CB974" s="510">
        <v>22000</v>
      </c>
      <c r="CC974" s="1011">
        <v>0</v>
      </c>
      <c r="CD974" s="510">
        <v>0</v>
      </c>
      <c r="CE974" s="1011">
        <v>0</v>
      </c>
      <c r="CF974" s="510">
        <v>50940</v>
      </c>
      <c r="CG974" s="1011">
        <v>0</v>
      </c>
      <c r="CH974" s="510">
        <v>0</v>
      </c>
      <c r="CI974" s="1011">
        <v>0</v>
      </c>
    </row>
    <row r="975" spans="1:87" x14ac:dyDescent="0.2">
      <c r="A975" s="449">
        <v>32</v>
      </c>
      <c r="B975" s="453">
        <v>94633</v>
      </c>
      <c r="C975" s="454" t="s">
        <v>8476</v>
      </c>
      <c r="D975" s="454" t="s">
        <v>517</v>
      </c>
      <c r="E975" s="454" t="s">
        <v>8477</v>
      </c>
      <c r="F975" s="454" t="s">
        <v>524</v>
      </c>
      <c r="G975" s="454" t="s">
        <v>13944</v>
      </c>
      <c r="H975" s="455">
        <v>52003357000127</v>
      </c>
      <c r="I975" s="462">
        <v>29242</v>
      </c>
      <c r="J975" s="457">
        <v>37501151</v>
      </c>
      <c r="K975" s="454" t="s">
        <v>8478</v>
      </c>
      <c r="L975" s="458">
        <v>480</v>
      </c>
      <c r="M975" s="454" t="s">
        <v>4023</v>
      </c>
      <c r="N975" s="459">
        <v>1321010</v>
      </c>
      <c r="O975" s="460">
        <v>32415519</v>
      </c>
      <c r="P975" s="462">
        <v>210172</v>
      </c>
      <c r="Q975" s="462">
        <v>37</v>
      </c>
      <c r="R975" s="462">
        <v>43906</v>
      </c>
      <c r="S975" s="463">
        <v>1057</v>
      </c>
      <c r="T975" s="464">
        <v>5.4</v>
      </c>
      <c r="U975" s="465">
        <v>5707.8</v>
      </c>
      <c r="V975" s="465">
        <v>20340</v>
      </c>
      <c r="W975" s="466">
        <v>0</v>
      </c>
      <c r="X975" s="467">
        <v>1</v>
      </c>
      <c r="Y975" s="466">
        <v>39071.699999999997</v>
      </c>
      <c r="Z975" s="468" t="s">
        <v>516</v>
      </c>
      <c r="AA975" s="466">
        <v>142800.1</v>
      </c>
      <c r="AB975" s="466">
        <v>142800.1</v>
      </c>
      <c r="AC975" s="467">
        <v>0</v>
      </c>
      <c r="AD975" s="466">
        <v>0</v>
      </c>
      <c r="AE975" s="468" t="s">
        <v>516</v>
      </c>
      <c r="AF975" s="466">
        <v>0</v>
      </c>
      <c r="AG975" s="466">
        <v>0</v>
      </c>
      <c r="AH975" s="466">
        <v>14497.04</v>
      </c>
      <c r="AI975" s="466">
        <v>11837.15</v>
      </c>
      <c r="AJ975" s="469" t="s">
        <v>6533</v>
      </c>
      <c r="AK975" s="470" t="s">
        <v>8479</v>
      </c>
      <c r="AL975" s="471" t="s">
        <v>8480</v>
      </c>
      <c r="AM975" s="470" t="s">
        <v>15117</v>
      </c>
      <c r="AN975" s="470" t="s">
        <v>8481</v>
      </c>
      <c r="AO975" s="470" t="s">
        <v>13945</v>
      </c>
      <c r="AP975" s="470" t="s">
        <v>8482</v>
      </c>
      <c r="AQ975" s="470" t="s">
        <v>8476</v>
      </c>
      <c r="AR975" s="472" t="s">
        <v>515</v>
      </c>
      <c r="AS975" s="473" t="s">
        <v>1385</v>
      </c>
      <c r="AT975" s="472" t="s">
        <v>517</v>
      </c>
      <c r="AU975" s="472" t="s">
        <v>420</v>
      </c>
      <c r="AV975" s="472">
        <v>2020</v>
      </c>
      <c r="AW975" s="474" t="s">
        <v>15078</v>
      </c>
      <c r="AX975" s="475" t="s">
        <v>15079</v>
      </c>
      <c r="AY975" s="515">
        <v>1</v>
      </c>
      <c r="AZ975" s="474" t="s">
        <v>15079</v>
      </c>
      <c r="BA975" s="472" t="s">
        <v>517</v>
      </c>
      <c r="BB975" s="472" t="s">
        <v>1385</v>
      </c>
      <c r="BC975" s="472" t="s">
        <v>1385</v>
      </c>
      <c r="BD975" s="472" t="s">
        <v>1385</v>
      </c>
      <c r="BE975" s="472" t="s">
        <v>1385</v>
      </c>
      <c r="BF975" s="472">
        <v>39071.699999999997</v>
      </c>
      <c r="BG975" s="472">
        <v>0</v>
      </c>
      <c r="BH975" s="472" t="s">
        <v>1385</v>
      </c>
      <c r="BI975" s="510">
        <v>0</v>
      </c>
      <c r="BJ975" s="510">
        <v>0</v>
      </c>
      <c r="BK975" s="510">
        <v>0</v>
      </c>
      <c r="BL975" s="510">
        <v>0</v>
      </c>
      <c r="BM975" s="510">
        <v>0</v>
      </c>
      <c r="BN975" s="510">
        <v>5000</v>
      </c>
      <c r="BO975" s="510">
        <v>0</v>
      </c>
      <c r="BP975" s="510">
        <v>0</v>
      </c>
      <c r="BQ975" s="510">
        <v>0</v>
      </c>
      <c r="BR975" s="510">
        <v>0</v>
      </c>
      <c r="BS975" s="510">
        <v>0</v>
      </c>
      <c r="BT975" s="510">
        <v>0</v>
      </c>
      <c r="BU975" s="510">
        <v>0</v>
      </c>
      <c r="BV975" s="510">
        <v>0</v>
      </c>
      <c r="BW975" s="510">
        <v>0</v>
      </c>
      <c r="BX975" s="510">
        <v>30000</v>
      </c>
      <c r="BY975" s="1011">
        <v>0</v>
      </c>
      <c r="BZ975" s="510">
        <v>0</v>
      </c>
      <c r="CA975" s="1011">
        <v>0</v>
      </c>
      <c r="CB975" s="510">
        <v>22000</v>
      </c>
      <c r="CC975" s="1011">
        <v>0</v>
      </c>
      <c r="CD975" s="510">
        <v>0</v>
      </c>
      <c r="CE975" s="1011">
        <v>0</v>
      </c>
      <c r="CF975" s="510">
        <v>51728.4</v>
      </c>
      <c r="CG975" s="1011">
        <v>0</v>
      </c>
      <c r="CH975" s="510">
        <v>0</v>
      </c>
      <c r="CI975" s="1011">
        <v>0</v>
      </c>
    </row>
    <row r="976" spans="1:87" x14ac:dyDescent="0.2">
      <c r="A976" s="449">
        <v>54</v>
      </c>
      <c r="B976" s="453">
        <v>94641</v>
      </c>
      <c r="C976" s="454" t="s">
        <v>8483</v>
      </c>
      <c r="D976" s="454" t="s">
        <v>517</v>
      </c>
      <c r="E976" s="454" t="s">
        <v>8484</v>
      </c>
      <c r="F976" s="454" t="s">
        <v>527</v>
      </c>
      <c r="G976" s="454" t="s">
        <v>13946</v>
      </c>
      <c r="H976" s="455">
        <v>52581253000108</v>
      </c>
      <c r="I976" s="462">
        <v>30464</v>
      </c>
      <c r="J976" s="457">
        <v>37554638</v>
      </c>
      <c r="K976" s="454" t="s">
        <v>8485</v>
      </c>
      <c r="L976" s="458">
        <v>285</v>
      </c>
      <c r="M976" s="454" t="s">
        <v>6585</v>
      </c>
      <c r="N976" s="459">
        <v>3034070</v>
      </c>
      <c r="O976" s="460">
        <v>33264575</v>
      </c>
      <c r="P976" s="462">
        <v>203753</v>
      </c>
      <c r="Q976" s="462">
        <v>102</v>
      </c>
      <c r="R976" s="462">
        <v>43917</v>
      </c>
      <c r="S976" s="463">
        <v>562</v>
      </c>
      <c r="T976" s="464">
        <v>5.4</v>
      </c>
      <c r="U976" s="465">
        <v>3034.8</v>
      </c>
      <c r="V976" s="465">
        <v>17100</v>
      </c>
      <c r="W976" s="466">
        <v>0</v>
      </c>
      <c r="X976" s="467">
        <v>1</v>
      </c>
      <c r="Y976" s="466">
        <v>37897.199999999997</v>
      </c>
      <c r="Z976" s="468" t="s">
        <v>516</v>
      </c>
      <c r="AA976" s="466">
        <v>151334.39999999999</v>
      </c>
      <c r="AB976" s="466">
        <v>151334.39999999999</v>
      </c>
      <c r="AC976" s="467">
        <v>0</v>
      </c>
      <c r="AD976" s="466">
        <v>0</v>
      </c>
      <c r="AE976" s="468" t="s">
        <v>516</v>
      </c>
      <c r="AF976" s="466">
        <v>0</v>
      </c>
      <c r="AG976" s="466">
        <v>0</v>
      </c>
      <c r="AH976" s="466">
        <v>21574.1</v>
      </c>
      <c r="AI976" s="466">
        <v>11484.82</v>
      </c>
      <c r="AJ976" s="469" t="s">
        <v>4526</v>
      </c>
      <c r="AK976" s="470" t="s">
        <v>4527</v>
      </c>
      <c r="AL976" s="471" t="s">
        <v>8486</v>
      </c>
      <c r="AM976" s="470" t="s">
        <v>8487</v>
      </c>
      <c r="AN976" s="470" t="s">
        <v>13946</v>
      </c>
      <c r="AO976" s="470" t="s">
        <v>13947</v>
      </c>
      <c r="AP976" s="470" t="s">
        <v>8488</v>
      </c>
      <c r="AQ976" s="470" t="s">
        <v>8483</v>
      </c>
      <c r="AR976" s="472" t="s">
        <v>515</v>
      </c>
      <c r="AS976" s="473" t="s">
        <v>1385</v>
      </c>
      <c r="AT976" s="472" t="s">
        <v>517</v>
      </c>
      <c r="AU976" s="472" t="s">
        <v>420</v>
      </c>
      <c r="AV976" s="472">
        <v>2020</v>
      </c>
      <c r="AW976" s="474" t="s">
        <v>15078</v>
      </c>
      <c r="AX976" s="475" t="s">
        <v>15079</v>
      </c>
      <c r="AY976" s="515">
        <v>1</v>
      </c>
      <c r="AZ976" s="474" t="s">
        <v>15079</v>
      </c>
      <c r="BA976" s="472" t="s">
        <v>517</v>
      </c>
      <c r="BB976" s="472" t="s">
        <v>516</v>
      </c>
      <c r="BC976" s="472">
        <v>10</v>
      </c>
      <c r="BD976" s="472">
        <v>5130</v>
      </c>
      <c r="BE976" s="472">
        <v>0</v>
      </c>
      <c r="BF976" s="472">
        <v>37897.199999999997</v>
      </c>
      <c r="BG976" s="472">
        <v>0</v>
      </c>
      <c r="BH976" s="472" t="s">
        <v>1385</v>
      </c>
      <c r="BI976" s="510">
        <v>0</v>
      </c>
      <c r="BJ976" s="510">
        <v>0</v>
      </c>
      <c r="BK976" s="510">
        <v>0</v>
      </c>
      <c r="BL976" s="510">
        <v>3500</v>
      </c>
      <c r="BM976" s="510">
        <v>0</v>
      </c>
      <c r="BN976" s="510">
        <v>3500</v>
      </c>
      <c r="BO976" s="510">
        <v>0</v>
      </c>
      <c r="BP976" s="510">
        <v>0</v>
      </c>
      <c r="BQ976" s="510">
        <v>0</v>
      </c>
      <c r="BR976" s="510">
        <v>0</v>
      </c>
      <c r="BS976" s="510">
        <v>0</v>
      </c>
      <c r="BT976" s="510">
        <v>0</v>
      </c>
      <c r="BU976" s="510">
        <v>2500</v>
      </c>
      <c r="BV976" s="510">
        <v>2500</v>
      </c>
      <c r="BW976" s="510">
        <v>0</v>
      </c>
      <c r="BX976" s="510">
        <v>30000</v>
      </c>
      <c r="BY976" s="1011">
        <v>0</v>
      </c>
      <c r="BZ976" s="510">
        <v>0</v>
      </c>
      <c r="CA976" s="1011">
        <v>0</v>
      </c>
      <c r="CB976" s="510">
        <v>22000</v>
      </c>
      <c r="CC976" s="1011">
        <v>0</v>
      </c>
      <c r="CD976" s="510">
        <v>0</v>
      </c>
      <c r="CE976" s="1011">
        <v>0</v>
      </c>
      <c r="CF976" s="510">
        <v>61437.2</v>
      </c>
      <c r="CG976" s="1011">
        <v>0</v>
      </c>
      <c r="CH976" s="510">
        <v>0</v>
      </c>
      <c r="CI976" s="1011">
        <v>0</v>
      </c>
    </row>
    <row r="977" spans="1:87" x14ac:dyDescent="0.2">
      <c r="A977" s="449">
        <v>65</v>
      </c>
      <c r="B977" s="453">
        <v>94668</v>
      </c>
      <c r="C977" s="454" t="s">
        <v>8489</v>
      </c>
      <c r="D977" s="454" t="s">
        <v>2253</v>
      </c>
      <c r="E977" s="454" t="s">
        <v>8490</v>
      </c>
      <c r="F977" s="454" t="s">
        <v>525</v>
      </c>
      <c r="G977" s="454" t="s">
        <v>13948</v>
      </c>
      <c r="H977" s="455">
        <v>52991239000174</v>
      </c>
      <c r="I977" s="462">
        <v>30602</v>
      </c>
      <c r="J977" s="457">
        <v>37387120</v>
      </c>
      <c r="K977" s="454" t="s">
        <v>8491</v>
      </c>
      <c r="L977" s="458">
        <v>777</v>
      </c>
      <c r="M977" s="454" t="s">
        <v>2323</v>
      </c>
      <c r="N977" s="459">
        <v>2011000</v>
      </c>
      <c r="O977" s="460">
        <v>22210710</v>
      </c>
      <c r="P977" s="462">
        <v>333185</v>
      </c>
      <c r="Q977" s="462">
        <v>65</v>
      </c>
      <c r="R977" s="462">
        <v>43950</v>
      </c>
      <c r="S977" s="463">
        <v>1527</v>
      </c>
      <c r="T977" s="464">
        <v>5.4</v>
      </c>
      <c r="U977" s="465">
        <v>8245.7999999999993</v>
      </c>
      <c r="V977" s="465">
        <v>23580</v>
      </c>
      <c r="W977" s="466">
        <v>0</v>
      </c>
      <c r="X977" s="467">
        <v>1</v>
      </c>
      <c r="Y977" s="466">
        <v>47738.7</v>
      </c>
      <c r="Z977" s="468" t="s">
        <v>516</v>
      </c>
      <c r="AA977" s="466">
        <v>157633.9</v>
      </c>
      <c r="AB977" s="466">
        <v>157633.9</v>
      </c>
      <c r="AC977" s="467">
        <v>0</v>
      </c>
      <c r="AD977" s="466">
        <v>0</v>
      </c>
      <c r="AE977" s="468" t="s">
        <v>516</v>
      </c>
      <c r="AF977" s="466">
        <v>0</v>
      </c>
      <c r="AG977" s="466">
        <v>0</v>
      </c>
      <c r="AH977" s="466">
        <v>30679.96</v>
      </c>
      <c r="AI977" s="466">
        <v>4047.74</v>
      </c>
      <c r="AJ977" s="469" t="s">
        <v>13949</v>
      </c>
      <c r="AK977" s="470" t="s">
        <v>13950</v>
      </c>
      <c r="AL977" s="471" t="s">
        <v>8492</v>
      </c>
      <c r="AM977" s="470" t="s">
        <v>8493</v>
      </c>
      <c r="AN977" s="470" t="s">
        <v>8494</v>
      </c>
      <c r="AO977" s="470" t="s">
        <v>8495</v>
      </c>
      <c r="AP977" s="470" t="s">
        <v>8496</v>
      </c>
      <c r="AQ977" s="470" t="s">
        <v>8489</v>
      </c>
      <c r="AR977" s="472" t="s">
        <v>515</v>
      </c>
      <c r="AS977" s="473" t="s">
        <v>1385</v>
      </c>
      <c r="AT977" s="472" t="s">
        <v>2253</v>
      </c>
      <c r="AU977" s="472" t="s">
        <v>420</v>
      </c>
      <c r="AV977" s="472">
        <v>2020</v>
      </c>
      <c r="AW977" s="474" t="s">
        <v>15078</v>
      </c>
      <c r="AX977" s="475" t="s">
        <v>15079</v>
      </c>
      <c r="AY977" s="515">
        <v>1</v>
      </c>
      <c r="AZ977" s="474" t="s">
        <v>15079</v>
      </c>
      <c r="BA977" s="472" t="s">
        <v>2253</v>
      </c>
      <c r="BB977" s="472" t="s">
        <v>1385</v>
      </c>
      <c r="BC977" s="472" t="s">
        <v>1385</v>
      </c>
      <c r="BD977" s="472" t="s">
        <v>1385</v>
      </c>
      <c r="BE977" s="472" t="s">
        <v>1385</v>
      </c>
      <c r="BF977" s="472">
        <v>47738.7</v>
      </c>
      <c r="BG977" s="472">
        <v>0</v>
      </c>
      <c r="BH977" s="472" t="s">
        <v>1385</v>
      </c>
      <c r="BI977" s="510">
        <v>0</v>
      </c>
      <c r="BJ977" s="510">
        <v>0</v>
      </c>
      <c r="BK977" s="510">
        <v>0</v>
      </c>
      <c r="BL977" s="510">
        <v>3500</v>
      </c>
      <c r="BM977" s="510">
        <v>0</v>
      </c>
      <c r="BN977" s="510">
        <v>6000</v>
      </c>
      <c r="BO977" s="510">
        <v>0</v>
      </c>
      <c r="BP977" s="510">
        <v>0</v>
      </c>
      <c r="BQ977" s="510">
        <v>0</v>
      </c>
      <c r="BR977" s="510">
        <v>0</v>
      </c>
      <c r="BS977" s="510">
        <v>0</v>
      </c>
      <c r="BT977" s="510">
        <v>0</v>
      </c>
      <c r="BU977" s="510">
        <v>2500</v>
      </c>
      <c r="BV977" s="510">
        <v>2500</v>
      </c>
      <c r="BW977" s="510">
        <v>0</v>
      </c>
      <c r="BX977" s="510">
        <v>30000</v>
      </c>
      <c r="BY977" s="1011">
        <v>0</v>
      </c>
      <c r="BZ977" s="510">
        <v>0</v>
      </c>
      <c r="CA977" s="1011">
        <v>0</v>
      </c>
      <c r="CB977" s="510">
        <v>22000</v>
      </c>
      <c r="CC977" s="1011">
        <v>0</v>
      </c>
      <c r="CD977" s="510">
        <v>0</v>
      </c>
      <c r="CE977" s="1011">
        <v>0</v>
      </c>
      <c r="CF977" s="510">
        <v>57895.199999999997</v>
      </c>
      <c r="CG977" s="1011">
        <v>0</v>
      </c>
      <c r="CH977" s="510">
        <v>0</v>
      </c>
      <c r="CI977" s="1011">
        <v>0</v>
      </c>
    </row>
    <row r="978" spans="1:87" x14ac:dyDescent="0.2">
      <c r="A978" s="449">
        <v>28</v>
      </c>
      <c r="B978" s="453">
        <v>94676</v>
      </c>
      <c r="C978" s="454" t="s">
        <v>8497</v>
      </c>
      <c r="D978" s="454" t="s">
        <v>517</v>
      </c>
      <c r="E978" s="454" t="s">
        <v>8498</v>
      </c>
      <c r="F978" s="454" t="s">
        <v>525</v>
      </c>
      <c r="G978" s="454" t="s">
        <v>13951</v>
      </c>
      <c r="H978" s="455">
        <v>54488606000147</v>
      </c>
      <c r="I978" s="462">
        <v>30656</v>
      </c>
      <c r="J978" s="457">
        <v>37387090</v>
      </c>
      <c r="K978" s="454" t="s">
        <v>8500</v>
      </c>
      <c r="L978" s="458">
        <v>165</v>
      </c>
      <c r="M978" s="454" t="s">
        <v>8501</v>
      </c>
      <c r="N978" s="459">
        <v>2408030</v>
      </c>
      <c r="O978" s="460">
        <v>29738586</v>
      </c>
      <c r="P978" s="462">
        <v>327819</v>
      </c>
      <c r="Q978" s="462">
        <v>28</v>
      </c>
      <c r="R978" s="462">
        <v>43950</v>
      </c>
      <c r="S978" s="463">
        <v>427</v>
      </c>
      <c r="T978" s="464">
        <v>5.4</v>
      </c>
      <c r="U978" s="465">
        <v>2305.8000000000002</v>
      </c>
      <c r="V978" s="465">
        <v>15480</v>
      </c>
      <c r="W978" s="466">
        <v>0</v>
      </c>
      <c r="X978" s="467">
        <v>1</v>
      </c>
      <c r="Y978" s="466">
        <v>26678.7</v>
      </c>
      <c r="Z978" s="468" t="s">
        <v>516</v>
      </c>
      <c r="AA978" s="466">
        <v>131015.5</v>
      </c>
      <c r="AB978" s="466">
        <v>131015.5</v>
      </c>
      <c r="AC978" s="467">
        <v>0</v>
      </c>
      <c r="AD978" s="466">
        <v>0</v>
      </c>
      <c r="AE978" s="468" t="s">
        <v>516</v>
      </c>
      <c r="AF978" s="466">
        <v>1200</v>
      </c>
      <c r="AG978" s="466">
        <v>1200</v>
      </c>
      <c r="AH978" s="466">
        <v>19665.78</v>
      </c>
      <c r="AI978" s="466">
        <v>6287.97</v>
      </c>
      <c r="AJ978" s="469" t="s">
        <v>1448</v>
      </c>
      <c r="AK978" s="470" t="s">
        <v>1449</v>
      </c>
      <c r="AL978" s="471" t="s">
        <v>8502</v>
      </c>
      <c r="AM978" s="470" t="s">
        <v>8503</v>
      </c>
      <c r="AN978" s="470" t="s">
        <v>8499</v>
      </c>
      <c r="AO978" s="470" t="s">
        <v>8504</v>
      </c>
      <c r="AP978" s="470" t="s">
        <v>8505</v>
      </c>
      <c r="AQ978" s="470" t="s">
        <v>8497</v>
      </c>
      <c r="AR978" s="472" t="s">
        <v>515</v>
      </c>
      <c r="AS978" s="473" t="s">
        <v>1385</v>
      </c>
      <c r="AT978" s="472" t="s">
        <v>517</v>
      </c>
      <c r="AU978" s="472" t="s">
        <v>420</v>
      </c>
      <c r="AV978" s="472">
        <v>2020</v>
      </c>
      <c r="AW978" s="474" t="s">
        <v>15078</v>
      </c>
      <c r="AX978" s="475" t="s">
        <v>15079</v>
      </c>
      <c r="AY978" s="515">
        <v>1</v>
      </c>
      <c r="AZ978" s="474" t="s">
        <v>15079</v>
      </c>
      <c r="BA978" s="472" t="s">
        <v>517</v>
      </c>
      <c r="BB978" s="472" t="s">
        <v>1385</v>
      </c>
      <c r="BC978" s="472" t="s">
        <v>1385</v>
      </c>
      <c r="BD978" s="472" t="s">
        <v>1385</v>
      </c>
      <c r="BE978" s="472" t="s">
        <v>1385</v>
      </c>
      <c r="BF978" s="472">
        <v>26678.7</v>
      </c>
      <c r="BG978" s="472">
        <v>0</v>
      </c>
      <c r="BH978" s="472" t="s">
        <v>1385</v>
      </c>
      <c r="BI978" s="510">
        <v>0</v>
      </c>
      <c r="BJ978" s="510">
        <v>0</v>
      </c>
      <c r="BK978" s="510">
        <v>0</v>
      </c>
      <c r="BL978" s="510">
        <v>3500</v>
      </c>
      <c r="BM978" s="510">
        <v>0</v>
      </c>
      <c r="BN978" s="510">
        <v>2000</v>
      </c>
      <c r="BO978" s="510">
        <v>800</v>
      </c>
      <c r="BP978" s="510">
        <v>1200</v>
      </c>
      <c r="BQ978" s="510">
        <v>0</v>
      </c>
      <c r="BR978" s="510">
        <v>0</v>
      </c>
      <c r="BS978" s="510">
        <v>0</v>
      </c>
      <c r="BT978" s="510">
        <v>0</v>
      </c>
      <c r="BU978" s="510">
        <v>2500</v>
      </c>
      <c r="BV978" s="510">
        <v>2500</v>
      </c>
      <c r="BW978" s="510">
        <v>0</v>
      </c>
      <c r="BX978" s="510">
        <v>30000</v>
      </c>
      <c r="BY978" s="1011">
        <v>0</v>
      </c>
      <c r="BZ978" s="510">
        <v>0</v>
      </c>
      <c r="CA978" s="1011">
        <v>0</v>
      </c>
      <c r="CB978" s="510">
        <v>22000</v>
      </c>
      <c r="CC978" s="1011">
        <v>0</v>
      </c>
      <c r="CD978" s="510">
        <v>0</v>
      </c>
      <c r="CE978" s="1011">
        <v>0</v>
      </c>
      <c r="CF978" s="510">
        <v>51536.800000000003</v>
      </c>
      <c r="CG978" s="1011">
        <v>0</v>
      </c>
      <c r="CH978" s="510">
        <v>0</v>
      </c>
      <c r="CI978" s="1011">
        <v>0</v>
      </c>
    </row>
    <row r="979" spans="1:87" x14ac:dyDescent="0.2">
      <c r="A979" s="449">
        <v>46</v>
      </c>
      <c r="B979" s="453">
        <v>94684</v>
      </c>
      <c r="C979" s="454" t="s">
        <v>8506</v>
      </c>
      <c r="D979" s="454" t="s">
        <v>517</v>
      </c>
      <c r="E979" s="454" t="s">
        <v>8507</v>
      </c>
      <c r="F979" s="454" t="s">
        <v>525</v>
      </c>
      <c r="G979" s="454" t="s">
        <v>13952</v>
      </c>
      <c r="H979" s="455">
        <v>51573293000137</v>
      </c>
      <c r="I979" s="462">
        <v>29011</v>
      </c>
      <c r="J979" s="457">
        <v>37380583</v>
      </c>
      <c r="K979" s="454" t="s">
        <v>8509</v>
      </c>
      <c r="L979" s="458">
        <v>98</v>
      </c>
      <c r="M979" s="454" t="s">
        <v>1740</v>
      </c>
      <c r="N979" s="459">
        <v>2440010</v>
      </c>
      <c r="O979" s="460">
        <v>22311020</v>
      </c>
      <c r="P979" s="462">
        <v>330836</v>
      </c>
      <c r="Q979" s="462">
        <v>46</v>
      </c>
      <c r="R979" s="462">
        <v>43950</v>
      </c>
      <c r="S979" s="463">
        <v>842</v>
      </c>
      <c r="T979" s="464">
        <v>5.4</v>
      </c>
      <c r="U979" s="465">
        <v>4546.8</v>
      </c>
      <c r="V979" s="465">
        <v>18720</v>
      </c>
      <c r="W979" s="466">
        <v>0</v>
      </c>
      <c r="X979" s="467">
        <v>1</v>
      </c>
      <c r="Y979" s="466">
        <v>34900.199999999997</v>
      </c>
      <c r="Z979" s="468" t="s">
        <v>516</v>
      </c>
      <c r="AA979" s="466">
        <v>151235.4</v>
      </c>
      <c r="AB979" s="466">
        <v>151235.4</v>
      </c>
      <c r="AC979" s="467">
        <v>0</v>
      </c>
      <c r="AD979" s="466">
        <v>0</v>
      </c>
      <c r="AE979" s="468" t="s">
        <v>516</v>
      </c>
      <c r="AF979" s="466">
        <v>1600</v>
      </c>
      <c r="AG979" s="466">
        <v>1600</v>
      </c>
      <c r="AH979" s="466">
        <v>18862.95</v>
      </c>
      <c r="AI979" s="466">
        <v>8158.12</v>
      </c>
      <c r="AJ979" s="469" t="s">
        <v>1448</v>
      </c>
      <c r="AK979" s="470" t="s">
        <v>1449</v>
      </c>
      <c r="AL979" s="471" t="s">
        <v>8510</v>
      </c>
      <c r="AM979" s="470" t="s">
        <v>8511</v>
      </c>
      <c r="AN979" s="470" t="s">
        <v>8508</v>
      </c>
      <c r="AO979" s="470" t="s">
        <v>13953</v>
      </c>
      <c r="AP979" s="470" t="s">
        <v>8512</v>
      </c>
      <c r="AQ979" s="470" t="s">
        <v>8506</v>
      </c>
      <c r="AR979" s="472" t="s">
        <v>515</v>
      </c>
      <c r="AS979" s="473" t="s">
        <v>1385</v>
      </c>
      <c r="AT979" s="472" t="s">
        <v>517</v>
      </c>
      <c r="AU979" s="472" t="s">
        <v>420</v>
      </c>
      <c r="AV979" s="472">
        <v>2020</v>
      </c>
      <c r="AW979" s="474" t="s">
        <v>15078</v>
      </c>
      <c r="AX979" s="475" t="s">
        <v>15079</v>
      </c>
      <c r="AY979" s="515">
        <v>1</v>
      </c>
      <c r="AZ979" s="474" t="s">
        <v>15079</v>
      </c>
      <c r="BA979" s="472" t="s">
        <v>517</v>
      </c>
      <c r="BB979" s="472" t="s">
        <v>1385</v>
      </c>
      <c r="BC979" s="472" t="s">
        <v>1385</v>
      </c>
      <c r="BD979" s="472" t="s">
        <v>1385</v>
      </c>
      <c r="BE979" s="472" t="s">
        <v>1385</v>
      </c>
      <c r="BF979" s="472">
        <v>34900.199999999997</v>
      </c>
      <c r="BG979" s="472">
        <v>0</v>
      </c>
      <c r="BH979" s="472" t="s">
        <v>1385</v>
      </c>
      <c r="BI979" s="510">
        <v>0</v>
      </c>
      <c r="BJ979" s="510">
        <v>0</v>
      </c>
      <c r="BK979" s="510">
        <v>0</v>
      </c>
      <c r="BL979" s="510">
        <v>0.9</v>
      </c>
      <c r="BM979" s="510">
        <v>0</v>
      </c>
      <c r="BN979" s="510">
        <v>5000</v>
      </c>
      <c r="BO979" s="510">
        <v>400</v>
      </c>
      <c r="BP979" s="510">
        <v>1600</v>
      </c>
      <c r="BQ979" s="510">
        <v>0</v>
      </c>
      <c r="BR979" s="510">
        <v>0</v>
      </c>
      <c r="BS979" s="510">
        <v>0</v>
      </c>
      <c r="BT979" s="510">
        <v>0</v>
      </c>
      <c r="BU979" s="510">
        <v>2500</v>
      </c>
      <c r="BV979" s="510">
        <v>2500</v>
      </c>
      <c r="BW979" s="510">
        <v>0</v>
      </c>
      <c r="BX979" s="510">
        <v>30000</v>
      </c>
      <c r="BY979" s="1011">
        <v>0</v>
      </c>
      <c r="BZ979" s="510">
        <v>0</v>
      </c>
      <c r="CA979" s="1011">
        <v>0</v>
      </c>
      <c r="CB979" s="510">
        <v>22000</v>
      </c>
      <c r="CC979" s="1011">
        <v>0</v>
      </c>
      <c r="CD979" s="510">
        <v>0</v>
      </c>
      <c r="CE979" s="1011">
        <v>0</v>
      </c>
      <c r="CF979" s="510">
        <v>63935.199999999997</v>
      </c>
      <c r="CG979" s="1011">
        <v>0</v>
      </c>
      <c r="CH979" s="510">
        <v>0</v>
      </c>
      <c r="CI979" s="1011">
        <v>0</v>
      </c>
    </row>
    <row r="980" spans="1:87" x14ac:dyDescent="0.2">
      <c r="A980" s="449">
        <v>40</v>
      </c>
      <c r="B980" s="453">
        <v>94692</v>
      </c>
      <c r="C980" s="454" t="s">
        <v>8513</v>
      </c>
      <c r="D980" s="454" t="s">
        <v>517</v>
      </c>
      <c r="E980" s="454" t="s">
        <v>8514</v>
      </c>
      <c r="F980" s="454" t="s">
        <v>522</v>
      </c>
      <c r="G980" s="454" t="s">
        <v>13954</v>
      </c>
      <c r="H980" s="455">
        <v>53500963000110</v>
      </c>
      <c r="I980" s="462">
        <v>30749</v>
      </c>
      <c r="J980" s="457">
        <v>37587765</v>
      </c>
      <c r="K980" s="454" t="s">
        <v>8515</v>
      </c>
      <c r="L980" s="458">
        <v>259</v>
      </c>
      <c r="M980" s="454" t="s">
        <v>6341</v>
      </c>
      <c r="N980" s="459">
        <v>2473010</v>
      </c>
      <c r="O980" s="460">
        <v>39813334</v>
      </c>
      <c r="P980" s="462">
        <v>79998</v>
      </c>
      <c r="Q980" s="462">
        <v>73</v>
      </c>
      <c r="R980" s="462">
        <v>43911</v>
      </c>
      <c r="S980" s="463">
        <v>880</v>
      </c>
      <c r="T980" s="464">
        <v>5.4</v>
      </c>
      <c r="U980" s="465">
        <v>4752</v>
      </c>
      <c r="V980" s="465">
        <v>18720</v>
      </c>
      <c r="W980" s="466">
        <v>0</v>
      </c>
      <c r="X980" s="467">
        <v>1</v>
      </c>
      <c r="Y980" s="466">
        <v>35208</v>
      </c>
      <c r="Z980" s="468" t="s">
        <v>516</v>
      </c>
      <c r="AA980" s="466">
        <v>133493.20000000001</v>
      </c>
      <c r="AB980" s="466">
        <v>133493.20000000001</v>
      </c>
      <c r="AC980" s="467">
        <v>0</v>
      </c>
      <c r="AD980" s="466">
        <v>0</v>
      </c>
      <c r="AE980" s="468" t="s">
        <v>516</v>
      </c>
      <c r="AF980" s="466">
        <v>2000</v>
      </c>
      <c r="AG980" s="466">
        <v>2000</v>
      </c>
      <c r="AH980" s="466">
        <v>8429.67</v>
      </c>
      <c r="AI980" s="466">
        <v>7412.12</v>
      </c>
      <c r="AJ980" s="469" t="s">
        <v>4101</v>
      </c>
      <c r="AK980" s="470" t="s">
        <v>1499</v>
      </c>
      <c r="AL980" s="471" t="s">
        <v>8516</v>
      </c>
      <c r="AM980" s="470" t="s">
        <v>8517</v>
      </c>
      <c r="AN980" s="470" t="s">
        <v>1385</v>
      </c>
      <c r="AO980" s="470" t="s">
        <v>13955</v>
      </c>
      <c r="AP980" s="470" t="s">
        <v>6674</v>
      </c>
      <c r="AQ980" s="470" t="s">
        <v>8513</v>
      </c>
      <c r="AR980" s="472" t="s">
        <v>515</v>
      </c>
      <c r="AS980" s="473" t="s">
        <v>1385</v>
      </c>
      <c r="AT980" s="472" t="s">
        <v>517</v>
      </c>
      <c r="AU980" s="472" t="s">
        <v>420</v>
      </c>
      <c r="AV980" s="472">
        <v>2020</v>
      </c>
      <c r="AW980" s="474" t="s">
        <v>15078</v>
      </c>
      <c r="AX980" s="475" t="s">
        <v>15079</v>
      </c>
      <c r="AY980" s="515">
        <v>1</v>
      </c>
      <c r="AZ980" s="474" t="s">
        <v>15079</v>
      </c>
      <c r="BA980" s="472" t="s">
        <v>517</v>
      </c>
      <c r="BB980" s="472" t="s">
        <v>1385</v>
      </c>
      <c r="BC980" s="472" t="s">
        <v>1385</v>
      </c>
      <c r="BD980" s="472" t="s">
        <v>1385</v>
      </c>
      <c r="BE980" s="472" t="s">
        <v>1385</v>
      </c>
      <c r="BF980" s="472">
        <v>35208</v>
      </c>
      <c r="BG980" s="472">
        <v>0</v>
      </c>
      <c r="BH980" s="472" t="s">
        <v>1385</v>
      </c>
      <c r="BI980" s="510">
        <v>0</v>
      </c>
      <c r="BJ980" s="510">
        <v>0</v>
      </c>
      <c r="BK980" s="510">
        <v>0</v>
      </c>
      <c r="BL980" s="510">
        <v>0</v>
      </c>
      <c r="BM980" s="510">
        <v>0</v>
      </c>
      <c r="BN980" s="510">
        <v>5000</v>
      </c>
      <c r="BO980" s="510">
        <v>0</v>
      </c>
      <c r="BP980" s="510">
        <v>2000</v>
      </c>
      <c r="BQ980" s="510">
        <v>0</v>
      </c>
      <c r="BR980" s="510">
        <v>0</v>
      </c>
      <c r="BS980" s="510">
        <v>0</v>
      </c>
      <c r="BT980" s="510">
        <v>0</v>
      </c>
      <c r="BU980" s="510">
        <v>0</v>
      </c>
      <c r="BV980" s="510">
        <v>0</v>
      </c>
      <c r="BW980" s="510">
        <v>0</v>
      </c>
      <c r="BX980" s="510">
        <v>30000</v>
      </c>
      <c r="BY980" s="1011">
        <v>0</v>
      </c>
      <c r="BZ980" s="510">
        <v>0</v>
      </c>
      <c r="CA980" s="1011">
        <v>0</v>
      </c>
      <c r="CB980" s="510">
        <v>22000</v>
      </c>
      <c r="CC980" s="1011">
        <v>0</v>
      </c>
      <c r="CD980" s="510">
        <v>0</v>
      </c>
      <c r="CE980" s="1011">
        <v>0</v>
      </c>
      <c r="CF980" s="510">
        <v>46285.2</v>
      </c>
      <c r="CG980" s="1011">
        <v>0</v>
      </c>
      <c r="CH980" s="510">
        <v>0</v>
      </c>
      <c r="CI980" s="1011">
        <v>0</v>
      </c>
    </row>
    <row r="981" spans="1:87" x14ac:dyDescent="0.2">
      <c r="A981" s="449">
        <v>37</v>
      </c>
      <c r="B981" s="453">
        <v>94706</v>
      </c>
      <c r="C981" s="454" t="s">
        <v>8518</v>
      </c>
      <c r="D981" s="454" t="s">
        <v>517</v>
      </c>
      <c r="E981" s="454" t="s">
        <v>8519</v>
      </c>
      <c r="F981" s="454" t="s">
        <v>525</v>
      </c>
      <c r="G981" s="454" t="s">
        <v>13956</v>
      </c>
      <c r="H981" s="455">
        <v>51710853000158</v>
      </c>
      <c r="I981" s="462">
        <v>29117</v>
      </c>
      <c r="J981" s="457">
        <v>37605429</v>
      </c>
      <c r="K981" s="454" t="s">
        <v>8521</v>
      </c>
      <c r="L981" s="458">
        <v>40</v>
      </c>
      <c r="M981" s="454" t="s">
        <v>8522</v>
      </c>
      <c r="N981" s="459">
        <v>2422200</v>
      </c>
      <c r="O981" s="460">
        <v>22313788</v>
      </c>
      <c r="P981" s="462">
        <v>328335</v>
      </c>
      <c r="Q981" s="462">
        <v>37</v>
      </c>
      <c r="R981" s="462">
        <v>43950</v>
      </c>
      <c r="S981" s="463">
        <v>644</v>
      </c>
      <c r="T981" s="464">
        <v>5.4</v>
      </c>
      <c r="U981" s="465">
        <v>3477.6</v>
      </c>
      <c r="V981" s="465">
        <v>17100</v>
      </c>
      <c r="W981" s="466">
        <v>0</v>
      </c>
      <c r="X981" s="467">
        <v>1</v>
      </c>
      <c r="Y981" s="466">
        <v>30866.400000000001</v>
      </c>
      <c r="Z981" s="468" t="s">
        <v>516</v>
      </c>
      <c r="AA981" s="466">
        <v>125513.60000000001</v>
      </c>
      <c r="AB981" s="466">
        <v>125513.60000000001</v>
      </c>
      <c r="AC981" s="467">
        <v>0</v>
      </c>
      <c r="AD981" s="466">
        <v>0</v>
      </c>
      <c r="AE981" s="468" t="s">
        <v>516</v>
      </c>
      <c r="AF981" s="466">
        <v>400</v>
      </c>
      <c r="AG981" s="466">
        <v>400</v>
      </c>
      <c r="AH981" s="466">
        <v>28689.25</v>
      </c>
      <c r="AI981" s="466">
        <v>14662.97</v>
      </c>
      <c r="AJ981" s="469" t="s">
        <v>1448</v>
      </c>
      <c r="AK981" s="470" t="s">
        <v>1449</v>
      </c>
      <c r="AL981" s="471" t="s">
        <v>8523</v>
      </c>
      <c r="AM981" s="470" t="s">
        <v>8524</v>
      </c>
      <c r="AN981" s="470" t="s">
        <v>8520</v>
      </c>
      <c r="AO981" s="470" t="s">
        <v>13957</v>
      </c>
      <c r="AP981" s="470" t="s">
        <v>8525</v>
      </c>
      <c r="AQ981" s="470" t="s">
        <v>8518</v>
      </c>
      <c r="AR981" s="472" t="s">
        <v>515</v>
      </c>
      <c r="AS981" s="473" t="s">
        <v>1385</v>
      </c>
      <c r="AT981" s="472" t="s">
        <v>517</v>
      </c>
      <c r="AU981" s="472" t="s">
        <v>420</v>
      </c>
      <c r="AV981" s="472">
        <v>2020</v>
      </c>
      <c r="AW981" s="474" t="s">
        <v>15078</v>
      </c>
      <c r="AX981" s="475" t="s">
        <v>15079</v>
      </c>
      <c r="AY981" s="515">
        <v>1</v>
      </c>
      <c r="AZ981" s="474" t="s">
        <v>15079</v>
      </c>
      <c r="BA981" s="472" t="s">
        <v>517</v>
      </c>
      <c r="BB981" s="472" t="s">
        <v>1385</v>
      </c>
      <c r="BC981" s="472" t="s">
        <v>1385</v>
      </c>
      <c r="BD981" s="472" t="s">
        <v>1385</v>
      </c>
      <c r="BE981" s="472" t="s">
        <v>1385</v>
      </c>
      <c r="BF981" s="472">
        <v>30866.400000000001</v>
      </c>
      <c r="BG981" s="472">
        <v>0</v>
      </c>
      <c r="BH981" s="472" t="s">
        <v>1385</v>
      </c>
      <c r="BI981" s="510">
        <v>0</v>
      </c>
      <c r="BJ981" s="510">
        <v>0</v>
      </c>
      <c r="BK981" s="510">
        <v>0</v>
      </c>
      <c r="BL981" s="510">
        <v>0</v>
      </c>
      <c r="BM981" s="510">
        <v>0</v>
      </c>
      <c r="BN981" s="510">
        <v>3500</v>
      </c>
      <c r="BO981" s="510">
        <v>1600</v>
      </c>
      <c r="BP981" s="510">
        <v>400</v>
      </c>
      <c r="BQ981" s="510">
        <v>0</v>
      </c>
      <c r="BR981" s="510">
        <v>0</v>
      </c>
      <c r="BS981" s="510">
        <v>0</v>
      </c>
      <c r="BT981" s="510">
        <v>0</v>
      </c>
      <c r="BU981" s="510">
        <v>2500</v>
      </c>
      <c r="BV981" s="510">
        <v>2500</v>
      </c>
      <c r="BW981" s="510">
        <v>0</v>
      </c>
      <c r="BX981" s="510">
        <v>30000</v>
      </c>
      <c r="BY981" s="1011">
        <v>0</v>
      </c>
      <c r="BZ981" s="510">
        <v>0</v>
      </c>
      <c r="CA981" s="1011">
        <v>0</v>
      </c>
      <c r="CB981" s="510">
        <v>22000</v>
      </c>
      <c r="CC981" s="1011">
        <v>0</v>
      </c>
      <c r="CD981" s="510">
        <v>0</v>
      </c>
      <c r="CE981" s="1011">
        <v>0</v>
      </c>
      <c r="CF981" s="510">
        <v>41047.199999999997</v>
      </c>
      <c r="CG981" s="1011">
        <v>0</v>
      </c>
      <c r="CH981" s="510">
        <v>0</v>
      </c>
      <c r="CI981" s="1011">
        <v>0</v>
      </c>
    </row>
    <row r="982" spans="1:87" x14ac:dyDescent="0.2">
      <c r="A982" s="449">
        <v>51</v>
      </c>
      <c r="B982" s="453">
        <v>94714</v>
      </c>
      <c r="C982" s="454" t="s">
        <v>8526</v>
      </c>
      <c r="D982" s="454" t="s">
        <v>517</v>
      </c>
      <c r="E982" s="454" t="s">
        <v>8527</v>
      </c>
      <c r="F982" s="454" t="s">
        <v>525</v>
      </c>
      <c r="G982" s="454" t="s">
        <v>13958</v>
      </c>
      <c r="H982" s="455">
        <v>43220045000184</v>
      </c>
      <c r="I982" s="462">
        <v>29276</v>
      </c>
      <c r="J982" s="457">
        <v>37382632</v>
      </c>
      <c r="K982" s="454" t="s">
        <v>8529</v>
      </c>
      <c r="L982" s="458">
        <v>165</v>
      </c>
      <c r="M982" s="454" t="s">
        <v>8530</v>
      </c>
      <c r="N982" s="459">
        <v>2375000</v>
      </c>
      <c r="O982" s="460">
        <v>29915068</v>
      </c>
      <c r="P982" s="462">
        <v>332669</v>
      </c>
      <c r="Q982" s="462">
        <v>51</v>
      </c>
      <c r="R982" s="462">
        <v>43950</v>
      </c>
      <c r="S982" s="463">
        <v>770</v>
      </c>
      <c r="T982" s="464">
        <v>5.4</v>
      </c>
      <c r="U982" s="465">
        <v>4158</v>
      </c>
      <c r="V982" s="465">
        <v>18720</v>
      </c>
      <c r="W982" s="466">
        <v>0</v>
      </c>
      <c r="X982" s="467">
        <v>1</v>
      </c>
      <c r="Y982" s="466">
        <v>34317</v>
      </c>
      <c r="Z982" s="468" t="s">
        <v>516</v>
      </c>
      <c r="AA982" s="466">
        <v>131932.6</v>
      </c>
      <c r="AB982" s="466">
        <v>131932.6</v>
      </c>
      <c r="AC982" s="467">
        <v>0</v>
      </c>
      <c r="AD982" s="466">
        <v>0</v>
      </c>
      <c r="AE982" s="468" t="s">
        <v>516</v>
      </c>
      <c r="AF982" s="466">
        <v>2000</v>
      </c>
      <c r="AG982" s="466">
        <v>2000</v>
      </c>
      <c r="AH982" s="466">
        <v>50944.05</v>
      </c>
      <c r="AI982" s="466">
        <v>11790.45</v>
      </c>
      <c r="AJ982" s="469" t="s">
        <v>1448</v>
      </c>
      <c r="AK982" s="470" t="s">
        <v>1449</v>
      </c>
      <c r="AL982" s="471" t="s">
        <v>8531</v>
      </c>
      <c r="AM982" s="470" t="s">
        <v>8532</v>
      </c>
      <c r="AN982" s="470" t="s">
        <v>8528</v>
      </c>
      <c r="AO982" s="470" t="s">
        <v>8533</v>
      </c>
      <c r="AP982" s="470" t="s">
        <v>8534</v>
      </c>
      <c r="AQ982" s="470" t="s">
        <v>8526</v>
      </c>
      <c r="AR982" s="472" t="s">
        <v>515</v>
      </c>
      <c r="AS982" s="473" t="s">
        <v>1385</v>
      </c>
      <c r="AT982" s="472" t="s">
        <v>517</v>
      </c>
      <c r="AU982" s="472" t="s">
        <v>420</v>
      </c>
      <c r="AV982" s="472">
        <v>2020</v>
      </c>
      <c r="AW982" s="474" t="s">
        <v>15078</v>
      </c>
      <c r="AX982" s="475" t="s">
        <v>15079</v>
      </c>
      <c r="AY982" s="515">
        <v>1</v>
      </c>
      <c r="AZ982" s="474" t="s">
        <v>15079</v>
      </c>
      <c r="BA982" s="472" t="s">
        <v>517</v>
      </c>
      <c r="BB982" s="472" t="s">
        <v>1385</v>
      </c>
      <c r="BC982" s="472" t="s">
        <v>1385</v>
      </c>
      <c r="BD982" s="472" t="s">
        <v>1385</v>
      </c>
      <c r="BE982" s="472" t="s">
        <v>1385</v>
      </c>
      <c r="BF982" s="472">
        <v>34317</v>
      </c>
      <c r="BG982" s="472">
        <v>0</v>
      </c>
      <c r="BH982" s="472" t="s">
        <v>1385</v>
      </c>
      <c r="BI982" s="510">
        <v>0</v>
      </c>
      <c r="BJ982" s="510">
        <v>0</v>
      </c>
      <c r="BK982" s="510">
        <v>0</v>
      </c>
      <c r="BL982" s="510">
        <v>1180</v>
      </c>
      <c r="BM982" s="510">
        <v>0</v>
      </c>
      <c r="BN982" s="510">
        <v>5000</v>
      </c>
      <c r="BO982" s="510">
        <v>0</v>
      </c>
      <c r="BP982" s="510">
        <v>2000</v>
      </c>
      <c r="BQ982" s="510">
        <v>0</v>
      </c>
      <c r="BR982" s="510">
        <v>0</v>
      </c>
      <c r="BS982" s="510">
        <v>0</v>
      </c>
      <c r="BT982" s="510">
        <v>0</v>
      </c>
      <c r="BU982" s="510">
        <v>0</v>
      </c>
      <c r="BV982" s="510">
        <v>0</v>
      </c>
      <c r="BW982" s="510">
        <v>0</v>
      </c>
      <c r="BX982" s="510">
        <v>30000</v>
      </c>
      <c r="BY982" s="1011">
        <v>0</v>
      </c>
      <c r="BZ982" s="510">
        <v>0</v>
      </c>
      <c r="CA982" s="1011">
        <v>0</v>
      </c>
      <c r="CB982" s="510">
        <v>22000</v>
      </c>
      <c r="CC982" s="1011">
        <v>0</v>
      </c>
      <c r="CD982" s="510">
        <v>0</v>
      </c>
      <c r="CE982" s="1011">
        <v>0</v>
      </c>
      <c r="CF982" s="510">
        <v>45615.6</v>
      </c>
      <c r="CG982" s="1011">
        <v>0</v>
      </c>
      <c r="CH982" s="510">
        <v>0</v>
      </c>
      <c r="CI982" s="1011">
        <v>0</v>
      </c>
    </row>
    <row r="983" spans="1:87" x14ac:dyDescent="0.2">
      <c r="A983" s="449">
        <v>43</v>
      </c>
      <c r="B983" s="453">
        <v>94722</v>
      </c>
      <c r="C983" s="454" t="s">
        <v>8535</v>
      </c>
      <c r="D983" s="454" t="s">
        <v>517</v>
      </c>
      <c r="E983" s="454" t="s">
        <v>8536</v>
      </c>
      <c r="F983" s="454" t="s">
        <v>525</v>
      </c>
      <c r="G983" s="454" t="s">
        <v>13959</v>
      </c>
      <c r="H983" s="455">
        <v>43458678000125</v>
      </c>
      <c r="I983" s="462">
        <v>29133</v>
      </c>
      <c r="J983" s="457">
        <v>37382241</v>
      </c>
      <c r="K983" s="454" t="s">
        <v>8537</v>
      </c>
      <c r="L983" s="458">
        <v>239</v>
      </c>
      <c r="M983" s="454" t="s">
        <v>8538</v>
      </c>
      <c r="N983" s="459">
        <v>2355060</v>
      </c>
      <c r="O983" s="460">
        <v>22038575</v>
      </c>
      <c r="P983" s="462">
        <v>330720</v>
      </c>
      <c r="Q983" s="462">
        <v>43</v>
      </c>
      <c r="R983" s="462">
        <v>43950</v>
      </c>
      <c r="S983" s="463">
        <v>553</v>
      </c>
      <c r="T983" s="464">
        <v>5.4</v>
      </c>
      <c r="U983" s="465">
        <v>2986.2</v>
      </c>
      <c r="V983" s="465">
        <v>17100</v>
      </c>
      <c r="W983" s="466">
        <v>0</v>
      </c>
      <c r="X983" s="467">
        <v>1</v>
      </c>
      <c r="Y983" s="466">
        <v>37824.300000000003</v>
      </c>
      <c r="Z983" s="468" t="s">
        <v>516</v>
      </c>
      <c r="AA983" s="466">
        <v>140429.1</v>
      </c>
      <c r="AB983" s="466">
        <v>140429.1</v>
      </c>
      <c r="AC983" s="467">
        <v>0</v>
      </c>
      <c r="AD983" s="466">
        <v>0</v>
      </c>
      <c r="AE983" s="468" t="s">
        <v>516</v>
      </c>
      <c r="AF983" s="466">
        <v>0</v>
      </c>
      <c r="AG983" s="466">
        <v>0</v>
      </c>
      <c r="AH983" s="466">
        <v>39602.25</v>
      </c>
      <c r="AI983" s="466">
        <v>1326.86</v>
      </c>
      <c r="AJ983" s="469" t="s">
        <v>1448</v>
      </c>
      <c r="AK983" s="470" t="s">
        <v>1449</v>
      </c>
      <c r="AL983" s="471" t="s">
        <v>8539</v>
      </c>
      <c r="AM983" s="470" t="s">
        <v>8540</v>
      </c>
      <c r="AN983" s="470" t="s">
        <v>8541</v>
      </c>
      <c r="AO983" s="470" t="s">
        <v>8542</v>
      </c>
      <c r="AP983" s="470" t="s">
        <v>8543</v>
      </c>
      <c r="AQ983" s="470" t="s">
        <v>8535</v>
      </c>
      <c r="AR983" s="472" t="s">
        <v>515</v>
      </c>
      <c r="AS983" s="473" t="s">
        <v>1385</v>
      </c>
      <c r="AT983" s="472" t="s">
        <v>517</v>
      </c>
      <c r="AU983" s="472" t="s">
        <v>420</v>
      </c>
      <c r="AV983" s="472">
        <v>2020</v>
      </c>
      <c r="AW983" s="474" t="s">
        <v>15078</v>
      </c>
      <c r="AX983" s="475" t="s">
        <v>15079</v>
      </c>
      <c r="AY983" s="515">
        <v>1</v>
      </c>
      <c r="AZ983" s="474" t="s">
        <v>15079</v>
      </c>
      <c r="BA983" s="472" t="s">
        <v>517</v>
      </c>
      <c r="BB983" s="472" t="s">
        <v>516</v>
      </c>
      <c r="BC983" s="472">
        <v>8</v>
      </c>
      <c r="BD983" s="472">
        <v>5130</v>
      </c>
      <c r="BE983" s="472">
        <v>0</v>
      </c>
      <c r="BF983" s="472">
        <v>37824.300000000003</v>
      </c>
      <c r="BG983" s="472">
        <v>0</v>
      </c>
      <c r="BH983" s="472" t="s">
        <v>1385</v>
      </c>
      <c r="BI983" s="510">
        <v>0</v>
      </c>
      <c r="BJ983" s="510">
        <v>0</v>
      </c>
      <c r="BK983" s="510">
        <v>0</v>
      </c>
      <c r="BL983" s="510">
        <v>2600</v>
      </c>
      <c r="BM983" s="510">
        <v>0</v>
      </c>
      <c r="BN983" s="510">
        <v>3500</v>
      </c>
      <c r="BO983" s="510">
        <v>0</v>
      </c>
      <c r="BP983" s="510">
        <v>0</v>
      </c>
      <c r="BQ983" s="510">
        <v>0</v>
      </c>
      <c r="BR983" s="510">
        <v>0</v>
      </c>
      <c r="BS983" s="510">
        <v>0</v>
      </c>
      <c r="BT983" s="510">
        <v>0</v>
      </c>
      <c r="BU983" s="510">
        <v>0</v>
      </c>
      <c r="BV983" s="510">
        <v>0</v>
      </c>
      <c r="BW983" s="510">
        <v>0</v>
      </c>
      <c r="BX983" s="510">
        <v>30000</v>
      </c>
      <c r="BY983" s="1011">
        <v>0</v>
      </c>
      <c r="BZ983" s="510">
        <v>0</v>
      </c>
      <c r="CA983" s="1011">
        <v>0</v>
      </c>
      <c r="CB983" s="510">
        <v>22000</v>
      </c>
      <c r="CC983" s="1011">
        <v>0</v>
      </c>
      <c r="CD983" s="510">
        <v>0</v>
      </c>
      <c r="CE983" s="1011">
        <v>0</v>
      </c>
      <c r="CF983" s="510">
        <v>50604.800000000003</v>
      </c>
      <c r="CG983" s="1011">
        <v>0</v>
      </c>
      <c r="CH983" s="510">
        <v>0</v>
      </c>
      <c r="CI983" s="1011">
        <v>0</v>
      </c>
    </row>
    <row r="984" spans="1:87" x14ac:dyDescent="0.2">
      <c r="A984" s="449">
        <v>35</v>
      </c>
      <c r="B984" s="453">
        <v>94731</v>
      </c>
      <c r="C984" s="454" t="s">
        <v>8544</v>
      </c>
      <c r="D984" s="454" t="s">
        <v>517</v>
      </c>
      <c r="E984" s="454" t="s">
        <v>8545</v>
      </c>
      <c r="F984" s="454" t="s">
        <v>525</v>
      </c>
      <c r="G984" s="454" t="s">
        <v>13960</v>
      </c>
      <c r="H984" s="455">
        <v>49083884000184</v>
      </c>
      <c r="I984" s="462">
        <v>29336</v>
      </c>
      <c r="J984" s="457">
        <v>37382578</v>
      </c>
      <c r="K984" s="454" t="s">
        <v>8547</v>
      </c>
      <c r="L984" s="458">
        <v>2167</v>
      </c>
      <c r="M984" s="454" t="s">
        <v>8548</v>
      </c>
      <c r="N984" s="459">
        <v>2350002</v>
      </c>
      <c r="O984" s="460">
        <v>22046339</v>
      </c>
      <c r="P984" s="462">
        <v>328254</v>
      </c>
      <c r="Q984" s="462">
        <v>35</v>
      </c>
      <c r="R984" s="462">
        <v>43950</v>
      </c>
      <c r="S984" s="463">
        <v>775</v>
      </c>
      <c r="T984" s="464">
        <v>5.4</v>
      </c>
      <c r="U984" s="465">
        <v>4185</v>
      </c>
      <c r="V984" s="465">
        <v>18720</v>
      </c>
      <c r="W984" s="466">
        <v>0</v>
      </c>
      <c r="X984" s="467">
        <v>1</v>
      </c>
      <c r="Y984" s="466">
        <v>39973.5</v>
      </c>
      <c r="Z984" s="468" t="s">
        <v>516</v>
      </c>
      <c r="AA984" s="466">
        <v>154425.9</v>
      </c>
      <c r="AB984" s="466">
        <v>154425.9</v>
      </c>
      <c r="AC984" s="467">
        <v>0</v>
      </c>
      <c r="AD984" s="466">
        <v>0</v>
      </c>
      <c r="AE984" s="468" t="s">
        <v>516</v>
      </c>
      <c r="AF984" s="466">
        <v>0</v>
      </c>
      <c r="AG984" s="466">
        <v>0</v>
      </c>
      <c r="AH984" s="466">
        <v>23051.59</v>
      </c>
      <c r="AI984" s="466">
        <v>13442.3</v>
      </c>
      <c r="AJ984" s="469" t="s">
        <v>1448</v>
      </c>
      <c r="AK984" s="470" t="s">
        <v>1449</v>
      </c>
      <c r="AL984" s="471" t="s">
        <v>8549</v>
      </c>
      <c r="AM984" s="470" t="s">
        <v>8550</v>
      </c>
      <c r="AN984" s="470" t="s">
        <v>8546</v>
      </c>
      <c r="AO984" s="470" t="s">
        <v>8551</v>
      </c>
      <c r="AP984" s="470" t="s">
        <v>8552</v>
      </c>
      <c r="AQ984" s="470" t="s">
        <v>8544</v>
      </c>
      <c r="AR984" s="472" t="s">
        <v>515</v>
      </c>
      <c r="AS984" s="473" t="s">
        <v>1385</v>
      </c>
      <c r="AT984" s="472" t="s">
        <v>517</v>
      </c>
      <c r="AU984" s="472" t="s">
        <v>420</v>
      </c>
      <c r="AV984" s="472">
        <v>2020</v>
      </c>
      <c r="AW984" s="474" t="s">
        <v>15078</v>
      </c>
      <c r="AX984" s="475" t="s">
        <v>15079</v>
      </c>
      <c r="AY984" s="515">
        <v>1</v>
      </c>
      <c r="AZ984" s="474" t="s">
        <v>15079</v>
      </c>
      <c r="BA984" s="472" t="s">
        <v>517</v>
      </c>
      <c r="BB984" s="472" t="s">
        <v>516</v>
      </c>
      <c r="BC984" s="472">
        <v>3</v>
      </c>
      <c r="BD984" s="472">
        <v>3744</v>
      </c>
      <c r="BE984" s="472">
        <v>0</v>
      </c>
      <c r="BF984" s="472">
        <v>39973.5</v>
      </c>
      <c r="BG984" s="472">
        <v>0</v>
      </c>
      <c r="BH984" s="472" t="s">
        <v>1385</v>
      </c>
      <c r="BI984" s="510">
        <v>0</v>
      </c>
      <c r="BJ984" s="510">
        <v>0</v>
      </c>
      <c r="BK984" s="510">
        <v>0</v>
      </c>
      <c r="BL984" s="510">
        <v>3500</v>
      </c>
      <c r="BM984" s="510">
        <v>0</v>
      </c>
      <c r="BN984" s="510">
        <v>3400</v>
      </c>
      <c r="BO984" s="510">
        <v>0</v>
      </c>
      <c r="BP984" s="510">
        <v>0</v>
      </c>
      <c r="BQ984" s="510">
        <v>0</v>
      </c>
      <c r="BR984" s="510">
        <v>0</v>
      </c>
      <c r="BS984" s="510">
        <v>0</v>
      </c>
      <c r="BT984" s="510">
        <v>0</v>
      </c>
      <c r="BU984" s="510">
        <v>2500</v>
      </c>
      <c r="BV984" s="510">
        <v>2500</v>
      </c>
      <c r="BW984" s="510">
        <v>0</v>
      </c>
      <c r="BX984" s="510">
        <v>30000</v>
      </c>
      <c r="BY984" s="1011">
        <v>0</v>
      </c>
      <c r="BZ984" s="510">
        <v>0</v>
      </c>
      <c r="CA984" s="1011">
        <v>0</v>
      </c>
      <c r="CB984" s="510">
        <v>22000</v>
      </c>
      <c r="CC984" s="1011">
        <v>0</v>
      </c>
      <c r="CD984" s="510">
        <v>0</v>
      </c>
      <c r="CE984" s="1011">
        <v>0</v>
      </c>
      <c r="CF984" s="510">
        <v>62452.4</v>
      </c>
      <c r="CG984" s="1011">
        <v>0</v>
      </c>
      <c r="CH984" s="510">
        <v>0</v>
      </c>
      <c r="CI984" s="1011">
        <v>0</v>
      </c>
    </row>
    <row r="985" spans="1:87" x14ac:dyDescent="0.2">
      <c r="A985" s="449">
        <v>48</v>
      </c>
      <c r="B985" s="453">
        <v>94749</v>
      </c>
      <c r="C985" s="454" t="s">
        <v>8553</v>
      </c>
      <c r="D985" s="454" t="s">
        <v>517</v>
      </c>
      <c r="E985" s="454" t="s">
        <v>8554</v>
      </c>
      <c r="F985" s="454" t="s">
        <v>525</v>
      </c>
      <c r="G985" s="454" t="s">
        <v>13961</v>
      </c>
      <c r="H985" s="455">
        <v>53254686000103</v>
      </c>
      <c r="I985" s="462">
        <v>30578</v>
      </c>
      <c r="J985" s="457">
        <v>37380540</v>
      </c>
      <c r="K985" s="454" t="s">
        <v>8555</v>
      </c>
      <c r="L985" s="458">
        <v>126</v>
      </c>
      <c r="M985" s="454" t="s">
        <v>6848</v>
      </c>
      <c r="N985" s="459">
        <v>2311240</v>
      </c>
      <c r="O985" s="460">
        <v>22615400</v>
      </c>
      <c r="P985" s="462">
        <v>332146</v>
      </c>
      <c r="Q985" s="462">
        <v>48</v>
      </c>
      <c r="R985" s="462">
        <v>43950</v>
      </c>
      <c r="S985" s="463">
        <v>762</v>
      </c>
      <c r="T985" s="464">
        <v>5.4</v>
      </c>
      <c r="U985" s="465">
        <v>4114.8</v>
      </c>
      <c r="V985" s="465">
        <v>18720</v>
      </c>
      <c r="W985" s="466">
        <v>0</v>
      </c>
      <c r="X985" s="467">
        <v>1</v>
      </c>
      <c r="Y985" s="466">
        <v>0</v>
      </c>
      <c r="Z985" s="468" t="s">
        <v>514</v>
      </c>
      <c r="AA985" s="466">
        <v>0</v>
      </c>
      <c r="AB985" s="466">
        <v>0</v>
      </c>
      <c r="AC985" s="467">
        <v>0</v>
      </c>
      <c r="AD985" s="466">
        <v>0</v>
      </c>
      <c r="AE985" s="468" t="s">
        <v>514</v>
      </c>
      <c r="AF985" s="466">
        <v>0</v>
      </c>
      <c r="AG985" s="466">
        <v>0</v>
      </c>
      <c r="AH985" s="466">
        <v>590.57000000000005</v>
      </c>
      <c r="AI985" s="466">
        <v>2382.52</v>
      </c>
      <c r="AJ985" s="469" t="s">
        <v>1448</v>
      </c>
      <c r="AK985" s="470" t="s">
        <v>1449</v>
      </c>
      <c r="AL985" s="471" t="s">
        <v>8556</v>
      </c>
      <c r="AM985" s="470" t="s">
        <v>8557</v>
      </c>
      <c r="AN985" s="470" t="s">
        <v>8558</v>
      </c>
      <c r="AO985" s="470" t="s">
        <v>8559</v>
      </c>
      <c r="AP985" s="470" t="s">
        <v>8560</v>
      </c>
      <c r="AQ985" s="470" t="s">
        <v>8553</v>
      </c>
      <c r="AR985" s="472" t="s">
        <v>515</v>
      </c>
      <c r="AS985" s="473" t="s">
        <v>1385</v>
      </c>
      <c r="AT985" s="472" t="s">
        <v>517</v>
      </c>
      <c r="AU985" s="472" t="s">
        <v>420</v>
      </c>
      <c r="AV985" s="472">
        <v>2020</v>
      </c>
      <c r="AW985" s="474" t="s">
        <v>15078</v>
      </c>
      <c r="AX985" s="475" t="s">
        <v>15079</v>
      </c>
      <c r="AY985" s="515">
        <v>1</v>
      </c>
      <c r="AZ985" s="474" t="s">
        <v>15079</v>
      </c>
      <c r="BA985" s="472" t="s">
        <v>1385</v>
      </c>
      <c r="BB985" s="472" t="s">
        <v>516</v>
      </c>
      <c r="BC985" s="472">
        <v>3</v>
      </c>
      <c r="BD985" s="472">
        <v>3744</v>
      </c>
      <c r="BE985" s="472">
        <v>0</v>
      </c>
      <c r="BF985" s="472">
        <v>39868.199999999997</v>
      </c>
      <c r="BG985" s="472">
        <v>0</v>
      </c>
      <c r="BH985" s="472" t="s">
        <v>516</v>
      </c>
      <c r="BI985" s="510">
        <v>0</v>
      </c>
      <c r="BJ985" s="510">
        <v>0</v>
      </c>
      <c r="BK985" s="510">
        <v>0</v>
      </c>
      <c r="BL985" s="510">
        <v>0</v>
      </c>
      <c r="BM985" s="510">
        <v>0</v>
      </c>
      <c r="BN985" s="510">
        <v>0</v>
      </c>
      <c r="BO985" s="510">
        <v>0</v>
      </c>
      <c r="BP985" s="510">
        <v>0</v>
      </c>
      <c r="BQ985" s="510">
        <v>0</v>
      </c>
      <c r="BR985" s="510">
        <v>0</v>
      </c>
      <c r="BS985" s="510">
        <v>0</v>
      </c>
      <c r="BT985" s="510">
        <v>0</v>
      </c>
      <c r="BU985" s="510">
        <v>0</v>
      </c>
      <c r="BV985" s="510">
        <v>0</v>
      </c>
      <c r="BW985" s="510">
        <v>0</v>
      </c>
      <c r="BX985" s="510">
        <v>0</v>
      </c>
      <c r="BY985" s="1011">
        <v>0</v>
      </c>
      <c r="BZ985" s="510">
        <v>0</v>
      </c>
      <c r="CA985" s="1011">
        <v>0</v>
      </c>
      <c r="CB985" s="510">
        <v>0</v>
      </c>
      <c r="CC985" s="1011">
        <v>0</v>
      </c>
      <c r="CD985" s="510">
        <v>0</v>
      </c>
      <c r="CE985" s="1011">
        <v>0</v>
      </c>
      <c r="CF985" s="510">
        <v>0</v>
      </c>
      <c r="CG985" s="1011">
        <v>0</v>
      </c>
      <c r="CH985" s="510">
        <v>0</v>
      </c>
      <c r="CI985" s="1011">
        <v>0</v>
      </c>
    </row>
    <row r="986" spans="1:87" x14ac:dyDescent="0.2">
      <c r="A986" s="449">
        <v>59</v>
      </c>
      <c r="B986" s="453">
        <v>94757</v>
      </c>
      <c r="C986" s="454" t="s">
        <v>8561</v>
      </c>
      <c r="D986" s="454" t="s">
        <v>517</v>
      </c>
      <c r="E986" s="454" t="s">
        <v>8562</v>
      </c>
      <c r="F986" s="454" t="s">
        <v>525</v>
      </c>
      <c r="G986" s="454" t="s">
        <v>13962</v>
      </c>
      <c r="H986" s="455">
        <v>50862580000102</v>
      </c>
      <c r="I986" s="462">
        <v>30145</v>
      </c>
      <c r="J986" s="457">
        <v>37382616</v>
      </c>
      <c r="K986" s="454" t="s">
        <v>8563</v>
      </c>
      <c r="L986" s="458">
        <v>120</v>
      </c>
      <c r="M986" s="454" t="s">
        <v>2021</v>
      </c>
      <c r="N986" s="459">
        <v>2320170</v>
      </c>
      <c r="O986" s="460">
        <v>29522679</v>
      </c>
      <c r="P986" s="462">
        <v>332995</v>
      </c>
      <c r="Q986" s="462">
        <v>59</v>
      </c>
      <c r="R986" s="462">
        <v>43950</v>
      </c>
      <c r="S986" s="463">
        <v>917</v>
      </c>
      <c r="T986" s="464">
        <v>5.4</v>
      </c>
      <c r="U986" s="465">
        <v>4951.8</v>
      </c>
      <c r="V986" s="465">
        <v>20340</v>
      </c>
      <c r="W986" s="466">
        <v>0</v>
      </c>
      <c r="X986" s="467">
        <v>1</v>
      </c>
      <c r="Y986" s="466">
        <v>37937.699999999997</v>
      </c>
      <c r="Z986" s="468" t="s">
        <v>516</v>
      </c>
      <c r="AA986" s="466">
        <v>140359.29999999999</v>
      </c>
      <c r="AB986" s="466">
        <v>140359.29999999999</v>
      </c>
      <c r="AC986" s="467">
        <v>0</v>
      </c>
      <c r="AD986" s="466">
        <v>0</v>
      </c>
      <c r="AE986" s="468" t="s">
        <v>516</v>
      </c>
      <c r="AF986" s="466">
        <v>2000</v>
      </c>
      <c r="AG986" s="466">
        <v>2000</v>
      </c>
      <c r="AH986" s="466">
        <v>24650.91</v>
      </c>
      <c r="AI986" s="466">
        <v>6630.55</v>
      </c>
      <c r="AJ986" s="469" t="s">
        <v>1448</v>
      </c>
      <c r="AK986" s="470" t="s">
        <v>1536</v>
      </c>
      <c r="AL986" s="471" t="s">
        <v>8564</v>
      </c>
      <c r="AM986" s="470" t="s">
        <v>8565</v>
      </c>
      <c r="AN986" s="470" t="s">
        <v>8566</v>
      </c>
      <c r="AO986" s="470" t="s">
        <v>13963</v>
      </c>
      <c r="AP986" s="470" t="s">
        <v>8567</v>
      </c>
      <c r="AQ986" s="470" t="s">
        <v>8561</v>
      </c>
      <c r="AR986" s="472" t="s">
        <v>515</v>
      </c>
      <c r="AS986" s="473" t="s">
        <v>1385</v>
      </c>
      <c r="AT986" s="472" t="s">
        <v>517</v>
      </c>
      <c r="AU986" s="472" t="s">
        <v>420</v>
      </c>
      <c r="AV986" s="472">
        <v>2020</v>
      </c>
      <c r="AW986" s="474" t="s">
        <v>15078</v>
      </c>
      <c r="AX986" s="475" t="s">
        <v>15079</v>
      </c>
      <c r="AY986" s="515">
        <v>1</v>
      </c>
      <c r="AZ986" s="474" t="s">
        <v>15079</v>
      </c>
      <c r="BA986" s="472" t="s">
        <v>517</v>
      </c>
      <c r="BB986" s="472" t="s">
        <v>1385</v>
      </c>
      <c r="BC986" s="472" t="s">
        <v>1385</v>
      </c>
      <c r="BD986" s="472" t="s">
        <v>1385</v>
      </c>
      <c r="BE986" s="472" t="s">
        <v>1385</v>
      </c>
      <c r="BF986" s="472">
        <v>37937.699999999997</v>
      </c>
      <c r="BG986" s="472">
        <v>0</v>
      </c>
      <c r="BH986" s="472" t="s">
        <v>1385</v>
      </c>
      <c r="BI986" s="510">
        <v>0</v>
      </c>
      <c r="BJ986" s="510">
        <v>0</v>
      </c>
      <c r="BK986" s="510">
        <v>0</v>
      </c>
      <c r="BL986" s="510">
        <v>1097.73</v>
      </c>
      <c r="BM986" s="510">
        <v>0</v>
      </c>
      <c r="BN986" s="510">
        <v>5000</v>
      </c>
      <c r="BO986" s="510">
        <v>0</v>
      </c>
      <c r="BP986" s="510">
        <v>2000</v>
      </c>
      <c r="BQ986" s="510">
        <v>0</v>
      </c>
      <c r="BR986" s="510">
        <v>0</v>
      </c>
      <c r="BS986" s="510">
        <v>0</v>
      </c>
      <c r="BT986" s="510">
        <v>0</v>
      </c>
      <c r="BU986" s="510">
        <v>2500</v>
      </c>
      <c r="BV986" s="510">
        <v>2500</v>
      </c>
      <c r="BW986" s="510">
        <v>0</v>
      </c>
      <c r="BX986" s="510">
        <v>30000</v>
      </c>
      <c r="BY986" s="1011">
        <v>0</v>
      </c>
      <c r="BZ986" s="510">
        <v>0</v>
      </c>
      <c r="CA986" s="1011">
        <v>0</v>
      </c>
      <c r="CB986" s="510">
        <v>22000</v>
      </c>
      <c r="CC986" s="1011">
        <v>0</v>
      </c>
      <c r="CD986" s="510">
        <v>0</v>
      </c>
      <c r="CE986" s="1011">
        <v>0</v>
      </c>
      <c r="CF986" s="510">
        <v>50421.599999999999</v>
      </c>
      <c r="CG986" s="1011">
        <v>0</v>
      </c>
      <c r="CH986" s="510">
        <v>0</v>
      </c>
      <c r="CI986" s="1011">
        <v>0</v>
      </c>
    </row>
    <row r="987" spans="1:87" x14ac:dyDescent="0.2">
      <c r="A987" s="449">
        <v>49</v>
      </c>
      <c r="B987" s="453">
        <v>94765</v>
      </c>
      <c r="C987" s="454" t="s">
        <v>8568</v>
      </c>
      <c r="D987" s="454" t="s">
        <v>517</v>
      </c>
      <c r="E987" s="454" t="s">
        <v>8569</v>
      </c>
      <c r="F987" s="454" t="s">
        <v>525</v>
      </c>
      <c r="G987" s="454" t="s">
        <v>13964</v>
      </c>
      <c r="H987" s="455">
        <v>55219745000138</v>
      </c>
      <c r="I987" s="462">
        <v>31373</v>
      </c>
      <c r="J987" s="457">
        <v>37380516</v>
      </c>
      <c r="K987" s="454" t="s">
        <v>8570</v>
      </c>
      <c r="L987" s="458">
        <v>275</v>
      </c>
      <c r="M987" s="454" t="s">
        <v>8571</v>
      </c>
      <c r="N987" s="459">
        <v>2301090</v>
      </c>
      <c r="O987" s="460">
        <v>29784000</v>
      </c>
      <c r="P987" s="462">
        <v>332499</v>
      </c>
      <c r="Q987" s="462">
        <v>49</v>
      </c>
      <c r="R987" s="462">
        <v>43950</v>
      </c>
      <c r="S987" s="463">
        <v>681</v>
      </c>
      <c r="T987" s="464">
        <v>5.4</v>
      </c>
      <c r="U987" s="465">
        <v>3677.4</v>
      </c>
      <c r="V987" s="465">
        <v>17100</v>
      </c>
      <c r="W987" s="466">
        <v>0</v>
      </c>
      <c r="X987" s="467">
        <v>1</v>
      </c>
      <c r="Y987" s="466">
        <v>38861.1</v>
      </c>
      <c r="Z987" s="468" t="s">
        <v>516</v>
      </c>
      <c r="AA987" s="466">
        <v>147373.5</v>
      </c>
      <c r="AB987" s="466">
        <v>147373.5</v>
      </c>
      <c r="AC987" s="467">
        <v>0</v>
      </c>
      <c r="AD987" s="466">
        <v>0</v>
      </c>
      <c r="AE987" s="468" t="s">
        <v>516</v>
      </c>
      <c r="AF987" s="466">
        <v>2000</v>
      </c>
      <c r="AG987" s="466">
        <v>2000</v>
      </c>
      <c r="AH987" s="466">
        <v>22377.69</v>
      </c>
      <c r="AI987" s="466">
        <v>0</v>
      </c>
      <c r="AJ987" s="469" t="s">
        <v>1448</v>
      </c>
      <c r="AK987" s="470" t="s">
        <v>1449</v>
      </c>
      <c r="AL987" s="471" t="s">
        <v>8572</v>
      </c>
      <c r="AM987" s="470" t="s">
        <v>8573</v>
      </c>
      <c r="AN987" s="470" t="s">
        <v>8574</v>
      </c>
      <c r="AO987" s="470" t="s">
        <v>8575</v>
      </c>
      <c r="AP987" s="470" t="s">
        <v>8576</v>
      </c>
      <c r="AQ987" s="470" t="s">
        <v>8568</v>
      </c>
      <c r="AR987" s="472" t="s">
        <v>515</v>
      </c>
      <c r="AS987" s="473" t="s">
        <v>1385</v>
      </c>
      <c r="AT987" s="472" t="s">
        <v>517</v>
      </c>
      <c r="AU987" s="472" t="s">
        <v>420</v>
      </c>
      <c r="AV987" s="472">
        <v>2020</v>
      </c>
      <c r="AW987" s="474" t="s">
        <v>15078</v>
      </c>
      <c r="AX987" s="475" t="s">
        <v>15079</v>
      </c>
      <c r="AY987" s="515">
        <v>1</v>
      </c>
      <c r="AZ987" s="474" t="s">
        <v>15079</v>
      </c>
      <c r="BA987" s="472" t="s">
        <v>517</v>
      </c>
      <c r="BB987" s="472" t="s">
        <v>516</v>
      </c>
      <c r="BC987" s="472">
        <v>6</v>
      </c>
      <c r="BD987" s="472">
        <v>5130</v>
      </c>
      <c r="BE987" s="472">
        <v>0</v>
      </c>
      <c r="BF987" s="472">
        <v>38861.1</v>
      </c>
      <c r="BG987" s="472">
        <v>0</v>
      </c>
      <c r="BH987" s="472" t="s">
        <v>1385</v>
      </c>
      <c r="BI987" s="510">
        <v>0</v>
      </c>
      <c r="BJ987" s="510">
        <v>0</v>
      </c>
      <c r="BK987" s="510">
        <v>0</v>
      </c>
      <c r="BL987" s="510">
        <v>0</v>
      </c>
      <c r="BM987" s="510">
        <v>0</v>
      </c>
      <c r="BN987" s="510">
        <v>0</v>
      </c>
      <c r="BO987" s="510">
        <v>0</v>
      </c>
      <c r="BP987" s="510">
        <v>2000</v>
      </c>
      <c r="BQ987" s="510">
        <v>0</v>
      </c>
      <c r="BR987" s="510">
        <v>0</v>
      </c>
      <c r="BS987" s="510">
        <v>0</v>
      </c>
      <c r="BT987" s="510">
        <v>0</v>
      </c>
      <c r="BU987" s="510">
        <v>0</v>
      </c>
      <c r="BV987" s="510">
        <v>0</v>
      </c>
      <c r="BW987" s="510">
        <v>0</v>
      </c>
      <c r="BX987" s="510">
        <v>30000</v>
      </c>
      <c r="BY987" s="1011">
        <v>0</v>
      </c>
      <c r="BZ987" s="510">
        <v>0</v>
      </c>
      <c r="CA987" s="1011">
        <v>0</v>
      </c>
      <c r="CB987" s="510">
        <v>22000</v>
      </c>
      <c r="CC987" s="1011">
        <v>0</v>
      </c>
      <c r="CD987" s="510">
        <v>0</v>
      </c>
      <c r="CE987" s="1011">
        <v>0</v>
      </c>
      <c r="CF987" s="510">
        <v>56512.4</v>
      </c>
      <c r="CG987" s="1011">
        <v>0</v>
      </c>
      <c r="CH987" s="510">
        <v>0</v>
      </c>
      <c r="CI987" s="1011">
        <v>0</v>
      </c>
    </row>
    <row r="988" spans="1:87" x14ac:dyDescent="0.2">
      <c r="A988" s="449">
        <v>53</v>
      </c>
      <c r="B988" s="453">
        <v>94773</v>
      </c>
      <c r="C988" s="454" t="s">
        <v>8577</v>
      </c>
      <c r="D988" s="454" t="s">
        <v>517</v>
      </c>
      <c r="E988" s="454" t="s">
        <v>8578</v>
      </c>
      <c r="F988" s="454" t="s">
        <v>525</v>
      </c>
      <c r="G988" s="454" t="s">
        <v>13965</v>
      </c>
      <c r="H988" s="455">
        <v>53283149000191</v>
      </c>
      <c r="I988" s="462">
        <v>30720</v>
      </c>
      <c r="J988" s="457">
        <v>37380443</v>
      </c>
      <c r="K988" s="454" t="s">
        <v>8580</v>
      </c>
      <c r="L988" s="458">
        <v>893</v>
      </c>
      <c r="M988" s="454" t="s">
        <v>4525</v>
      </c>
      <c r="N988" s="459">
        <v>2151001</v>
      </c>
      <c r="O988" s="460">
        <v>29094880</v>
      </c>
      <c r="P988" s="462">
        <v>332715</v>
      </c>
      <c r="Q988" s="462">
        <v>53</v>
      </c>
      <c r="R988" s="462">
        <v>43950</v>
      </c>
      <c r="S988" s="463">
        <v>370</v>
      </c>
      <c r="T988" s="464">
        <v>5.4</v>
      </c>
      <c r="U988" s="465">
        <v>1998</v>
      </c>
      <c r="V988" s="465">
        <v>15480</v>
      </c>
      <c r="W988" s="466">
        <v>0</v>
      </c>
      <c r="X988" s="467">
        <v>1</v>
      </c>
      <c r="Y988" s="466">
        <v>33183</v>
      </c>
      <c r="Z988" s="468" t="s">
        <v>516</v>
      </c>
      <c r="AA988" s="466">
        <v>134567.4</v>
      </c>
      <c r="AB988" s="466">
        <v>134567.4</v>
      </c>
      <c r="AC988" s="467">
        <v>0</v>
      </c>
      <c r="AD988" s="466">
        <v>0</v>
      </c>
      <c r="AE988" s="468" t="s">
        <v>516</v>
      </c>
      <c r="AF988" s="466">
        <v>0</v>
      </c>
      <c r="AG988" s="466">
        <v>0</v>
      </c>
      <c r="AH988" s="466">
        <v>35585.550000000003</v>
      </c>
      <c r="AI988" s="466">
        <v>1518.76</v>
      </c>
      <c r="AJ988" s="469" t="s">
        <v>8581</v>
      </c>
      <c r="AK988" s="470" t="s">
        <v>4525</v>
      </c>
      <c r="AL988" s="471" t="s">
        <v>8582</v>
      </c>
      <c r="AM988" s="470" t="s">
        <v>8583</v>
      </c>
      <c r="AN988" s="470" t="s">
        <v>8579</v>
      </c>
      <c r="AO988" s="470" t="s">
        <v>8584</v>
      </c>
      <c r="AP988" s="470" t="s">
        <v>8585</v>
      </c>
      <c r="AQ988" s="470" t="s">
        <v>8577</v>
      </c>
      <c r="AR988" s="472" t="s">
        <v>515</v>
      </c>
      <c r="AS988" s="473" t="s">
        <v>1385</v>
      </c>
      <c r="AT988" s="472" t="s">
        <v>517</v>
      </c>
      <c r="AU988" s="472" t="s">
        <v>420</v>
      </c>
      <c r="AV988" s="472">
        <v>2020</v>
      </c>
      <c r="AW988" s="474" t="s">
        <v>15078</v>
      </c>
      <c r="AX988" s="475" t="s">
        <v>15079</v>
      </c>
      <c r="AY988" s="515">
        <v>1</v>
      </c>
      <c r="AZ988" s="474" t="s">
        <v>15079</v>
      </c>
      <c r="BA988" s="472" t="s">
        <v>517</v>
      </c>
      <c r="BB988" s="472" t="s">
        <v>516</v>
      </c>
      <c r="BC988" s="472">
        <v>6</v>
      </c>
      <c r="BD988" s="472">
        <v>4644</v>
      </c>
      <c r="BE988" s="472">
        <v>0</v>
      </c>
      <c r="BF988" s="472">
        <v>33183</v>
      </c>
      <c r="BG988" s="472">
        <v>0</v>
      </c>
      <c r="BH988" s="472" t="s">
        <v>1385</v>
      </c>
      <c r="BI988" s="510">
        <v>0</v>
      </c>
      <c r="BJ988" s="510">
        <v>0</v>
      </c>
      <c r="BK988" s="510">
        <v>0</v>
      </c>
      <c r="BL988" s="510">
        <v>3500</v>
      </c>
      <c r="BM988" s="510">
        <v>0</v>
      </c>
      <c r="BN988" s="510">
        <v>3500</v>
      </c>
      <c r="BO988" s="510">
        <v>0</v>
      </c>
      <c r="BP988" s="510">
        <v>0</v>
      </c>
      <c r="BQ988" s="510">
        <v>0</v>
      </c>
      <c r="BR988" s="510">
        <v>0</v>
      </c>
      <c r="BS988" s="510">
        <v>0</v>
      </c>
      <c r="BT988" s="510">
        <v>0</v>
      </c>
      <c r="BU988" s="510">
        <v>2500</v>
      </c>
      <c r="BV988" s="510">
        <v>2500</v>
      </c>
      <c r="BW988" s="510">
        <v>0</v>
      </c>
      <c r="BX988" s="510">
        <v>30000</v>
      </c>
      <c r="BY988" s="1011">
        <v>0</v>
      </c>
      <c r="BZ988" s="510">
        <v>0</v>
      </c>
      <c r="CA988" s="1011">
        <v>0</v>
      </c>
      <c r="CB988" s="510">
        <v>22000</v>
      </c>
      <c r="CC988" s="1011">
        <v>0</v>
      </c>
      <c r="CD988" s="510">
        <v>0</v>
      </c>
      <c r="CE988" s="1011">
        <v>0</v>
      </c>
      <c r="CF988" s="510">
        <v>49384.4</v>
      </c>
      <c r="CG988" s="1011">
        <v>0</v>
      </c>
      <c r="CH988" s="510">
        <v>0</v>
      </c>
      <c r="CI988" s="1011">
        <v>0</v>
      </c>
    </row>
    <row r="989" spans="1:87" x14ac:dyDescent="0.2">
      <c r="A989" s="449">
        <v>60</v>
      </c>
      <c r="B989" s="453">
        <v>94781</v>
      </c>
      <c r="C989" s="454" t="s">
        <v>8586</v>
      </c>
      <c r="D989" s="454" t="s">
        <v>517</v>
      </c>
      <c r="E989" s="454" t="s">
        <v>8587</v>
      </c>
      <c r="F989" s="454" t="s">
        <v>525</v>
      </c>
      <c r="G989" s="454" t="s">
        <v>13966</v>
      </c>
      <c r="H989" s="455">
        <v>57276867000191</v>
      </c>
      <c r="I989" s="462">
        <v>31973</v>
      </c>
      <c r="J989" s="457">
        <v>37382594</v>
      </c>
      <c r="K989" s="454" t="s">
        <v>8589</v>
      </c>
      <c r="L989" s="458">
        <v>1385</v>
      </c>
      <c r="M989" s="454" t="s">
        <v>4525</v>
      </c>
      <c r="N989" s="459">
        <v>2072001</v>
      </c>
      <c r="O989" s="460">
        <v>29016464</v>
      </c>
      <c r="P989" s="462">
        <v>333002</v>
      </c>
      <c r="Q989" s="462">
        <v>60</v>
      </c>
      <c r="R989" s="462">
        <v>43950</v>
      </c>
      <c r="S989" s="463">
        <v>671</v>
      </c>
      <c r="T989" s="464">
        <v>5.4</v>
      </c>
      <c r="U989" s="465">
        <v>3623.4</v>
      </c>
      <c r="V989" s="465">
        <v>17100</v>
      </c>
      <c r="W989" s="466">
        <v>0</v>
      </c>
      <c r="X989" s="467">
        <v>1</v>
      </c>
      <c r="Y989" s="466">
        <v>31085.1</v>
      </c>
      <c r="Z989" s="468" t="s">
        <v>516</v>
      </c>
      <c r="AA989" s="466">
        <v>124380.7</v>
      </c>
      <c r="AB989" s="466">
        <v>124380.7</v>
      </c>
      <c r="AC989" s="467">
        <v>0</v>
      </c>
      <c r="AD989" s="466">
        <v>0</v>
      </c>
      <c r="AE989" s="468" t="s">
        <v>516</v>
      </c>
      <c r="AF989" s="466">
        <v>0</v>
      </c>
      <c r="AG989" s="466">
        <v>0</v>
      </c>
      <c r="AH989" s="466">
        <v>44601.13</v>
      </c>
      <c r="AI989" s="466">
        <v>0</v>
      </c>
      <c r="AJ989" s="469" t="s">
        <v>1448</v>
      </c>
      <c r="AK989" s="470" t="s">
        <v>1449</v>
      </c>
      <c r="AL989" s="471" t="s">
        <v>8590</v>
      </c>
      <c r="AM989" s="470" t="s">
        <v>8591</v>
      </c>
      <c r="AN989" s="470" t="s">
        <v>8588</v>
      </c>
      <c r="AO989" s="470" t="s">
        <v>8592</v>
      </c>
      <c r="AP989" s="470" t="s">
        <v>8593</v>
      </c>
      <c r="AQ989" s="470" t="s">
        <v>8586</v>
      </c>
      <c r="AR989" s="472" t="s">
        <v>515</v>
      </c>
      <c r="AS989" s="473" t="s">
        <v>1385</v>
      </c>
      <c r="AT989" s="472" t="s">
        <v>517</v>
      </c>
      <c r="AU989" s="472" t="s">
        <v>420</v>
      </c>
      <c r="AV989" s="472">
        <v>2020</v>
      </c>
      <c r="AW989" s="474" t="s">
        <v>15078</v>
      </c>
      <c r="AX989" s="475" t="s">
        <v>15079</v>
      </c>
      <c r="AY989" s="515">
        <v>1</v>
      </c>
      <c r="AZ989" s="474" t="s">
        <v>15079</v>
      </c>
      <c r="BA989" s="472" t="s">
        <v>517</v>
      </c>
      <c r="BB989" s="472" t="s">
        <v>1385</v>
      </c>
      <c r="BC989" s="472" t="s">
        <v>1385</v>
      </c>
      <c r="BD989" s="472" t="s">
        <v>1385</v>
      </c>
      <c r="BE989" s="472" t="s">
        <v>1385</v>
      </c>
      <c r="BF989" s="472">
        <v>31085.1</v>
      </c>
      <c r="BG989" s="472">
        <v>0</v>
      </c>
      <c r="BH989" s="472" t="s">
        <v>1385</v>
      </c>
      <c r="BI989" s="510">
        <v>0</v>
      </c>
      <c r="BJ989" s="510">
        <v>0</v>
      </c>
      <c r="BK989" s="510">
        <v>0</v>
      </c>
      <c r="BL989" s="510">
        <v>0.05</v>
      </c>
      <c r="BM989" s="510">
        <v>0</v>
      </c>
      <c r="BN989" s="510">
        <v>3500</v>
      </c>
      <c r="BO989" s="510">
        <v>0</v>
      </c>
      <c r="BP989" s="510">
        <v>0</v>
      </c>
      <c r="BQ989" s="510">
        <v>0</v>
      </c>
      <c r="BR989" s="510">
        <v>0</v>
      </c>
      <c r="BS989" s="510">
        <v>0</v>
      </c>
      <c r="BT989" s="510">
        <v>0</v>
      </c>
      <c r="BU989" s="510">
        <v>0</v>
      </c>
      <c r="BV989" s="510">
        <v>0</v>
      </c>
      <c r="BW989" s="510">
        <v>0</v>
      </c>
      <c r="BX989" s="510">
        <v>30000</v>
      </c>
      <c r="BY989" s="1011">
        <v>0</v>
      </c>
      <c r="BZ989" s="510">
        <v>0</v>
      </c>
      <c r="CA989" s="1011">
        <v>0</v>
      </c>
      <c r="CB989" s="510">
        <v>22000</v>
      </c>
      <c r="CC989" s="1011">
        <v>0</v>
      </c>
      <c r="CD989" s="510">
        <v>0</v>
      </c>
      <c r="CE989" s="1011">
        <v>0</v>
      </c>
      <c r="CF989" s="510">
        <v>41295.599999999999</v>
      </c>
      <c r="CG989" s="1011">
        <v>0</v>
      </c>
      <c r="CH989" s="510">
        <v>0</v>
      </c>
      <c r="CI989" s="1011">
        <v>0</v>
      </c>
    </row>
    <row r="990" spans="1:87" x14ac:dyDescent="0.2">
      <c r="A990" s="449">
        <v>38</v>
      </c>
      <c r="B990" s="453">
        <v>94790</v>
      </c>
      <c r="C990" s="454" t="s">
        <v>8594</v>
      </c>
      <c r="D990" s="454" t="s">
        <v>517</v>
      </c>
      <c r="E990" s="454" t="s">
        <v>8595</v>
      </c>
      <c r="F990" s="454" t="s">
        <v>525</v>
      </c>
      <c r="G990" s="454" t="s">
        <v>13967</v>
      </c>
      <c r="H990" s="455">
        <v>52578747000125</v>
      </c>
      <c r="I990" s="462">
        <v>30420</v>
      </c>
      <c r="J990" s="457">
        <v>37382365</v>
      </c>
      <c r="K990" s="454" t="s">
        <v>8597</v>
      </c>
      <c r="L990" s="458">
        <v>106</v>
      </c>
      <c r="M990" s="454" t="s">
        <v>8598</v>
      </c>
      <c r="N990" s="459">
        <v>2077080</v>
      </c>
      <c r="O990" s="460">
        <v>29096687</v>
      </c>
      <c r="P990" s="462">
        <v>328378</v>
      </c>
      <c r="Q990" s="462">
        <v>38</v>
      </c>
      <c r="R990" s="462">
        <v>43950</v>
      </c>
      <c r="S990" s="463">
        <v>742</v>
      </c>
      <c r="T990" s="464">
        <v>5.4</v>
      </c>
      <c r="U990" s="465">
        <v>4006.8</v>
      </c>
      <c r="V990" s="465">
        <v>18720</v>
      </c>
      <c r="W990" s="466">
        <v>0</v>
      </c>
      <c r="X990" s="467">
        <v>1</v>
      </c>
      <c r="Y990" s="466">
        <v>42514.2</v>
      </c>
      <c r="Z990" s="468" t="s">
        <v>516</v>
      </c>
      <c r="AA990" s="466">
        <v>155767.79999999999</v>
      </c>
      <c r="AB990" s="466">
        <v>155767.79999999999</v>
      </c>
      <c r="AC990" s="467">
        <v>0</v>
      </c>
      <c r="AD990" s="466">
        <v>0</v>
      </c>
      <c r="AE990" s="468" t="s">
        <v>516</v>
      </c>
      <c r="AF990" s="466">
        <v>0</v>
      </c>
      <c r="AG990" s="466">
        <v>0</v>
      </c>
      <c r="AH990" s="466">
        <v>24300.560000000001</v>
      </c>
      <c r="AI990" s="466">
        <v>8.56</v>
      </c>
      <c r="AJ990" s="469" t="s">
        <v>1448</v>
      </c>
      <c r="AK990" s="470" t="s">
        <v>1449</v>
      </c>
      <c r="AL990" s="471" t="s">
        <v>8599</v>
      </c>
      <c r="AM990" s="470" t="s">
        <v>8600</v>
      </c>
      <c r="AN990" s="470" t="s">
        <v>8596</v>
      </c>
      <c r="AO990" s="470" t="s">
        <v>8601</v>
      </c>
      <c r="AP990" s="470" t="s">
        <v>8602</v>
      </c>
      <c r="AQ990" s="470" t="s">
        <v>8594</v>
      </c>
      <c r="AR990" s="472" t="s">
        <v>515</v>
      </c>
      <c r="AS990" s="473" t="s">
        <v>1385</v>
      </c>
      <c r="AT990" s="472" t="s">
        <v>517</v>
      </c>
      <c r="AU990" s="472" t="s">
        <v>420</v>
      </c>
      <c r="AV990" s="472">
        <v>2020</v>
      </c>
      <c r="AW990" s="474" t="s">
        <v>15078</v>
      </c>
      <c r="AX990" s="475" t="s">
        <v>15079</v>
      </c>
      <c r="AY990" s="515">
        <v>1</v>
      </c>
      <c r="AZ990" s="474" t="s">
        <v>15079</v>
      </c>
      <c r="BA990" s="472" t="s">
        <v>517</v>
      </c>
      <c r="BB990" s="472" t="s">
        <v>516</v>
      </c>
      <c r="BC990" s="472">
        <v>5</v>
      </c>
      <c r="BD990" s="472">
        <v>5616</v>
      </c>
      <c r="BE990" s="472">
        <v>0</v>
      </c>
      <c r="BF990" s="472">
        <v>42514.2</v>
      </c>
      <c r="BG990" s="472">
        <v>0</v>
      </c>
      <c r="BH990" s="472" t="s">
        <v>1385</v>
      </c>
      <c r="BI990" s="510">
        <v>0</v>
      </c>
      <c r="BJ990" s="510">
        <v>0</v>
      </c>
      <c r="BK990" s="510">
        <v>0</v>
      </c>
      <c r="BL990" s="510">
        <v>0</v>
      </c>
      <c r="BM990" s="510">
        <v>0</v>
      </c>
      <c r="BN990" s="510">
        <v>0</v>
      </c>
      <c r="BO990" s="510">
        <v>0</v>
      </c>
      <c r="BP990" s="510">
        <v>0</v>
      </c>
      <c r="BQ990" s="510">
        <v>0</v>
      </c>
      <c r="BR990" s="510">
        <v>0</v>
      </c>
      <c r="BS990" s="510">
        <v>0</v>
      </c>
      <c r="BT990" s="510">
        <v>0</v>
      </c>
      <c r="BU990" s="510">
        <v>0</v>
      </c>
      <c r="BV990" s="510">
        <v>0</v>
      </c>
      <c r="BW990" s="510">
        <v>0</v>
      </c>
      <c r="BX990" s="510">
        <v>30000</v>
      </c>
      <c r="BY990" s="1011">
        <v>0</v>
      </c>
      <c r="BZ990" s="510">
        <v>0</v>
      </c>
      <c r="CA990" s="1011">
        <v>0</v>
      </c>
      <c r="CB990" s="510">
        <v>22000</v>
      </c>
      <c r="CC990" s="1011">
        <v>0</v>
      </c>
      <c r="CD990" s="510">
        <v>0</v>
      </c>
      <c r="CE990" s="1011">
        <v>0</v>
      </c>
      <c r="CF990" s="510">
        <v>61253.599999999999</v>
      </c>
      <c r="CG990" s="1011">
        <v>0</v>
      </c>
      <c r="CH990" s="510">
        <v>0</v>
      </c>
      <c r="CI990" s="1011">
        <v>0</v>
      </c>
    </row>
    <row r="991" spans="1:87" x14ac:dyDescent="0.2">
      <c r="A991" s="449">
        <v>31</v>
      </c>
      <c r="B991" s="453">
        <v>94803</v>
      </c>
      <c r="C991" s="454" t="s">
        <v>8603</v>
      </c>
      <c r="D991" s="454" t="s">
        <v>517</v>
      </c>
      <c r="E991" s="454" t="s">
        <v>8604</v>
      </c>
      <c r="F991" s="454" t="s">
        <v>525</v>
      </c>
      <c r="G991" s="454" t="s">
        <v>13968</v>
      </c>
      <c r="H991" s="455">
        <v>45871134000116</v>
      </c>
      <c r="I991" s="462">
        <v>29727</v>
      </c>
      <c r="J991" s="457">
        <v>37387081</v>
      </c>
      <c r="K991" s="454" t="s">
        <v>8606</v>
      </c>
      <c r="L991" s="458">
        <v>184</v>
      </c>
      <c r="M991" s="454" t="s">
        <v>8607</v>
      </c>
      <c r="N991" s="459">
        <v>2166100</v>
      </c>
      <c r="O991" s="460">
        <v>29541721</v>
      </c>
      <c r="P991" s="462">
        <v>327940</v>
      </c>
      <c r="Q991" s="462">
        <v>31</v>
      </c>
      <c r="R991" s="462">
        <v>43950</v>
      </c>
      <c r="S991" s="463">
        <v>763</v>
      </c>
      <c r="T991" s="464">
        <v>5.4</v>
      </c>
      <c r="U991" s="465">
        <v>4120.2</v>
      </c>
      <c r="V991" s="465">
        <v>18720</v>
      </c>
      <c r="W991" s="466">
        <v>0</v>
      </c>
      <c r="X991" s="467">
        <v>1</v>
      </c>
      <c r="Y991" s="466">
        <v>42684.3</v>
      </c>
      <c r="Z991" s="468" t="s">
        <v>516</v>
      </c>
      <c r="AA991" s="466">
        <v>158385.1</v>
      </c>
      <c r="AB991" s="466">
        <v>158385.1</v>
      </c>
      <c r="AC991" s="467">
        <v>0</v>
      </c>
      <c r="AD991" s="466">
        <v>0</v>
      </c>
      <c r="AE991" s="468" t="s">
        <v>516</v>
      </c>
      <c r="AF991" s="466">
        <v>1000</v>
      </c>
      <c r="AG991" s="466">
        <v>1000</v>
      </c>
      <c r="AH991" s="466">
        <v>27812.84</v>
      </c>
      <c r="AI991" s="466">
        <v>6501.07</v>
      </c>
      <c r="AJ991" s="469" t="s">
        <v>6782</v>
      </c>
      <c r="AK991" s="470" t="s">
        <v>6783</v>
      </c>
      <c r="AL991" s="471" t="s">
        <v>8608</v>
      </c>
      <c r="AM991" s="470" t="s">
        <v>13969</v>
      </c>
      <c r="AN991" s="470" t="s">
        <v>8605</v>
      </c>
      <c r="AO991" s="470" t="s">
        <v>13970</v>
      </c>
      <c r="AP991" s="470" t="s">
        <v>8609</v>
      </c>
      <c r="AQ991" s="470" t="s">
        <v>8603</v>
      </c>
      <c r="AR991" s="472" t="s">
        <v>515</v>
      </c>
      <c r="AS991" s="473" t="s">
        <v>1385</v>
      </c>
      <c r="AT991" s="472" t="s">
        <v>517</v>
      </c>
      <c r="AU991" s="472" t="s">
        <v>420</v>
      </c>
      <c r="AV991" s="472">
        <v>2020</v>
      </c>
      <c r="AW991" s="474" t="s">
        <v>15078</v>
      </c>
      <c r="AX991" s="475" t="s">
        <v>15079</v>
      </c>
      <c r="AY991" s="515">
        <v>1</v>
      </c>
      <c r="AZ991" s="474" t="s">
        <v>15079</v>
      </c>
      <c r="BA991" s="472" t="s">
        <v>517</v>
      </c>
      <c r="BB991" s="472" t="s">
        <v>516</v>
      </c>
      <c r="BC991" s="472">
        <v>9</v>
      </c>
      <c r="BD991" s="472">
        <v>5616</v>
      </c>
      <c r="BE991" s="472">
        <v>0</v>
      </c>
      <c r="BF991" s="472">
        <v>42684.3</v>
      </c>
      <c r="BG991" s="472">
        <v>0</v>
      </c>
      <c r="BH991" s="472" t="s">
        <v>1385</v>
      </c>
      <c r="BI991" s="510">
        <v>0</v>
      </c>
      <c r="BJ991" s="510">
        <v>0</v>
      </c>
      <c r="BK991" s="510">
        <v>0</v>
      </c>
      <c r="BL991" s="510">
        <v>3022.32</v>
      </c>
      <c r="BM991" s="510">
        <v>0</v>
      </c>
      <c r="BN991" s="510">
        <v>5000</v>
      </c>
      <c r="BO991" s="510">
        <v>1000</v>
      </c>
      <c r="BP991" s="510">
        <v>1000</v>
      </c>
      <c r="BQ991" s="510">
        <v>0</v>
      </c>
      <c r="BR991" s="510">
        <v>0</v>
      </c>
      <c r="BS991" s="510">
        <v>0</v>
      </c>
      <c r="BT991" s="510">
        <v>0</v>
      </c>
      <c r="BU991" s="510">
        <v>2500</v>
      </c>
      <c r="BV991" s="510">
        <v>2500</v>
      </c>
      <c r="BW991" s="510">
        <v>0</v>
      </c>
      <c r="BX991" s="510">
        <v>30000</v>
      </c>
      <c r="BY991" s="1011">
        <v>0</v>
      </c>
      <c r="BZ991" s="510">
        <v>0</v>
      </c>
      <c r="CA991" s="1011">
        <v>0</v>
      </c>
      <c r="CB991" s="510">
        <v>22000</v>
      </c>
      <c r="CC991" s="1011">
        <v>0</v>
      </c>
      <c r="CD991" s="510">
        <v>0</v>
      </c>
      <c r="CE991" s="1011">
        <v>0</v>
      </c>
      <c r="CF991" s="510">
        <v>62700.800000000003</v>
      </c>
      <c r="CG991" s="1011">
        <v>0</v>
      </c>
      <c r="CH991" s="510">
        <v>0</v>
      </c>
      <c r="CI991" s="1011">
        <v>0</v>
      </c>
    </row>
    <row r="992" spans="1:87" x14ac:dyDescent="0.2">
      <c r="A992" s="449">
        <v>58</v>
      </c>
      <c r="B992" s="453">
        <v>94811</v>
      </c>
      <c r="C992" s="454" t="s">
        <v>15203</v>
      </c>
      <c r="D992" s="454" t="s">
        <v>517</v>
      </c>
      <c r="E992" s="454" t="s">
        <v>15204</v>
      </c>
      <c r="F992" s="454" t="s">
        <v>525</v>
      </c>
      <c r="G992" s="454" t="s">
        <v>15205</v>
      </c>
      <c r="H992" s="455">
        <v>52029105000177</v>
      </c>
      <c r="I992" s="462">
        <v>30265</v>
      </c>
      <c r="J992" s="457">
        <v>37386972</v>
      </c>
      <c r="K992" s="454" t="s">
        <v>15206</v>
      </c>
      <c r="L992" s="458" t="s">
        <v>1446</v>
      </c>
      <c r="M992" s="454" t="s">
        <v>2594</v>
      </c>
      <c r="N992" s="459">
        <v>2180020</v>
      </c>
      <c r="O992" s="460">
        <v>29546525</v>
      </c>
      <c r="P992" s="462">
        <v>346694</v>
      </c>
      <c r="Q992" s="462">
        <v>58</v>
      </c>
      <c r="R992" s="462">
        <v>44014</v>
      </c>
      <c r="S992" s="463">
        <v>1270</v>
      </c>
      <c r="T992" s="464">
        <v>5.4</v>
      </c>
      <c r="U992" s="465">
        <v>6858</v>
      </c>
      <c r="V992" s="465">
        <v>21960</v>
      </c>
      <c r="W992" s="466">
        <v>0</v>
      </c>
      <c r="X992" s="467">
        <v>1</v>
      </c>
      <c r="Y992" s="466">
        <v>43227</v>
      </c>
      <c r="Z992" s="468" t="s">
        <v>514</v>
      </c>
      <c r="AA992" s="466">
        <v>0</v>
      </c>
      <c r="AB992" s="466">
        <v>0</v>
      </c>
      <c r="AC992" s="467">
        <v>0</v>
      </c>
      <c r="AD992" s="466">
        <v>0</v>
      </c>
      <c r="AE992" s="468" t="s">
        <v>516</v>
      </c>
      <c r="AF992" s="466">
        <v>0</v>
      </c>
      <c r="AG992" s="466">
        <v>0</v>
      </c>
      <c r="AH992" s="466">
        <v>81828.58</v>
      </c>
      <c r="AI992" s="466">
        <v>26779.01</v>
      </c>
      <c r="AJ992" s="469" t="s">
        <v>6782</v>
      </c>
      <c r="AK992" s="470" t="s">
        <v>6783</v>
      </c>
      <c r="AL992" s="471" t="s">
        <v>15207</v>
      </c>
      <c r="AM992" s="470" t="s">
        <v>15208</v>
      </c>
      <c r="AN992" s="470" t="s">
        <v>15209</v>
      </c>
      <c r="AO992" s="470" t="s">
        <v>15210</v>
      </c>
      <c r="AP992" s="470" t="s">
        <v>15211</v>
      </c>
      <c r="AQ992" s="470" t="s">
        <v>15203</v>
      </c>
      <c r="AR992" s="472" t="s">
        <v>515</v>
      </c>
      <c r="AS992" s="473" t="s">
        <v>1385</v>
      </c>
      <c r="AT992" s="472" t="s">
        <v>517</v>
      </c>
      <c r="AU992" s="472" t="s">
        <v>420</v>
      </c>
      <c r="AV992" s="472">
        <v>2020</v>
      </c>
      <c r="AW992" s="474" t="s">
        <v>15078</v>
      </c>
      <c r="AX992" s="475" t="s">
        <v>15079</v>
      </c>
      <c r="AY992" s="515">
        <v>1</v>
      </c>
      <c r="AZ992" s="474" t="s">
        <v>15079</v>
      </c>
      <c r="BA992" s="472" t="s">
        <v>1385</v>
      </c>
      <c r="BB992" s="472" t="s">
        <v>1385</v>
      </c>
      <c r="BC992" s="472" t="s">
        <v>1385</v>
      </c>
      <c r="BD992" s="472" t="s">
        <v>1385</v>
      </c>
      <c r="BE992" s="472" t="s">
        <v>1385</v>
      </c>
      <c r="BF992" s="472">
        <v>43227</v>
      </c>
      <c r="BG992" s="472">
        <v>0</v>
      </c>
      <c r="BH992" s="472" t="s">
        <v>1385</v>
      </c>
      <c r="BI992" s="510">
        <v>0</v>
      </c>
      <c r="BJ992" s="510">
        <v>43696.800000000003</v>
      </c>
      <c r="BK992" s="510">
        <v>0</v>
      </c>
      <c r="BL992" s="510">
        <v>0</v>
      </c>
      <c r="BM992" s="510">
        <v>0</v>
      </c>
      <c r="BN992" s="510">
        <v>0</v>
      </c>
      <c r="BO992" s="510">
        <v>0</v>
      </c>
      <c r="BP992" s="510">
        <v>0</v>
      </c>
      <c r="BQ992" s="510">
        <v>0</v>
      </c>
      <c r="BR992" s="510">
        <v>0</v>
      </c>
      <c r="BS992" s="510">
        <v>0</v>
      </c>
      <c r="BT992" s="510">
        <v>0</v>
      </c>
      <c r="BU992" s="510">
        <v>0</v>
      </c>
      <c r="BV992" s="510">
        <v>0</v>
      </c>
      <c r="BW992" s="510">
        <v>0</v>
      </c>
      <c r="BX992" s="510">
        <v>0</v>
      </c>
      <c r="BY992" s="1011">
        <v>0</v>
      </c>
      <c r="BZ992" s="510">
        <v>0</v>
      </c>
      <c r="CA992" s="1011">
        <v>0</v>
      </c>
      <c r="CB992" s="510">
        <v>0</v>
      </c>
      <c r="CC992" s="1011">
        <v>0</v>
      </c>
      <c r="CD992" s="510">
        <v>0</v>
      </c>
      <c r="CE992" s="1011">
        <v>0</v>
      </c>
      <c r="CF992" s="510">
        <v>72247.199999999997</v>
      </c>
      <c r="CG992" s="1011">
        <v>0</v>
      </c>
      <c r="CH992" s="510">
        <v>0</v>
      </c>
      <c r="CI992" s="1011">
        <v>0</v>
      </c>
    </row>
    <row r="993" spans="1:87" x14ac:dyDescent="0.2">
      <c r="A993" s="449">
        <v>42</v>
      </c>
      <c r="B993" s="453">
        <v>94820</v>
      </c>
      <c r="C993" s="454" t="s">
        <v>8610</v>
      </c>
      <c r="D993" s="454" t="s">
        <v>517</v>
      </c>
      <c r="E993" s="454" t="s">
        <v>8611</v>
      </c>
      <c r="F993" s="454" t="s">
        <v>525</v>
      </c>
      <c r="G993" s="454" t="s">
        <v>13971</v>
      </c>
      <c r="H993" s="455">
        <v>66065418000195</v>
      </c>
      <c r="I993" s="462">
        <v>32443</v>
      </c>
      <c r="J993" s="457">
        <v>37382292</v>
      </c>
      <c r="K993" s="454" t="s">
        <v>8612</v>
      </c>
      <c r="L993" s="458">
        <v>386</v>
      </c>
      <c r="M993" s="454" t="s">
        <v>2375</v>
      </c>
      <c r="N993" s="459">
        <v>2131080</v>
      </c>
      <c r="O993" s="460">
        <v>29540862</v>
      </c>
      <c r="P993" s="462">
        <v>330712</v>
      </c>
      <c r="Q993" s="462">
        <v>42</v>
      </c>
      <c r="R993" s="462">
        <v>43950</v>
      </c>
      <c r="S993" s="463">
        <v>790</v>
      </c>
      <c r="T993" s="464">
        <v>5.4</v>
      </c>
      <c r="U993" s="465">
        <v>4266</v>
      </c>
      <c r="V993" s="465">
        <v>18720</v>
      </c>
      <c r="W993" s="466">
        <v>0</v>
      </c>
      <c r="X993" s="467">
        <v>1</v>
      </c>
      <c r="Y993" s="466">
        <v>40095</v>
      </c>
      <c r="Z993" s="468" t="s">
        <v>516</v>
      </c>
      <c r="AA993" s="466">
        <v>150727.79999999999</v>
      </c>
      <c r="AB993" s="466">
        <v>150727.79999999999</v>
      </c>
      <c r="AC993" s="467">
        <v>0</v>
      </c>
      <c r="AD993" s="466">
        <v>0</v>
      </c>
      <c r="AE993" s="468" t="s">
        <v>516</v>
      </c>
      <c r="AF993" s="466">
        <v>2000</v>
      </c>
      <c r="AG993" s="466">
        <v>2000</v>
      </c>
      <c r="AH993" s="466">
        <v>26926.27</v>
      </c>
      <c r="AI993" s="466">
        <v>10692</v>
      </c>
      <c r="AJ993" s="469" t="s">
        <v>3935</v>
      </c>
      <c r="AK993" s="470" t="s">
        <v>3936</v>
      </c>
      <c r="AL993" s="471" t="s">
        <v>8613</v>
      </c>
      <c r="AM993" s="470" t="s">
        <v>8614</v>
      </c>
      <c r="AN993" s="470" t="s">
        <v>8615</v>
      </c>
      <c r="AO993" s="470" t="s">
        <v>8616</v>
      </c>
      <c r="AP993" s="470" t="s">
        <v>8617</v>
      </c>
      <c r="AQ993" s="470" t="s">
        <v>8610</v>
      </c>
      <c r="AR993" s="472" t="s">
        <v>515</v>
      </c>
      <c r="AS993" s="473" t="s">
        <v>1385</v>
      </c>
      <c r="AT993" s="472" t="s">
        <v>517</v>
      </c>
      <c r="AU993" s="472" t="s">
        <v>420</v>
      </c>
      <c r="AV993" s="472">
        <v>2020</v>
      </c>
      <c r="AW993" s="474" t="s">
        <v>15078</v>
      </c>
      <c r="AX993" s="475" t="s">
        <v>15079</v>
      </c>
      <c r="AY993" s="515">
        <v>1</v>
      </c>
      <c r="AZ993" s="474" t="s">
        <v>15079</v>
      </c>
      <c r="BA993" s="472" t="s">
        <v>517</v>
      </c>
      <c r="BB993" s="472" t="s">
        <v>516</v>
      </c>
      <c r="BC993" s="472">
        <v>3</v>
      </c>
      <c r="BD993" s="472">
        <v>3744</v>
      </c>
      <c r="BE993" s="472">
        <v>0</v>
      </c>
      <c r="BF993" s="472">
        <v>40095</v>
      </c>
      <c r="BG993" s="472">
        <v>0</v>
      </c>
      <c r="BH993" s="472" t="s">
        <v>1385</v>
      </c>
      <c r="BI993" s="510">
        <v>0</v>
      </c>
      <c r="BJ993" s="510">
        <v>0</v>
      </c>
      <c r="BK993" s="510">
        <v>0</v>
      </c>
      <c r="BL993" s="510">
        <v>0</v>
      </c>
      <c r="BM993" s="510">
        <v>0</v>
      </c>
      <c r="BN993" s="510">
        <v>5000</v>
      </c>
      <c r="BO993" s="510">
        <v>0</v>
      </c>
      <c r="BP993" s="510">
        <v>2000</v>
      </c>
      <c r="BQ993" s="510">
        <v>0</v>
      </c>
      <c r="BR993" s="510">
        <v>0</v>
      </c>
      <c r="BS993" s="510">
        <v>0</v>
      </c>
      <c r="BT993" s="510">
        <v>0</v>
      </c>
      <c r="BU993" s="510">
        <v>2500</v>
      </c>
      <c r="BV993" s="510">
        <v>2500</v>
      </c>
      <c r="BW993" s="510">
        <v>0</v>
      </c>
      <c r="BX993" s="510">
        <v>30000</v>
      </c>
      <c r="BY993" s="1011">
        <v>0</v>
      </c>
      <c r="BZ993" s="510">
        <v>0</v>
      </c>
      <c r="CA993" s="1011">
        <v>0</v>
      </c>
      <c r="CB993" s="510">
        <v>22000</v>
      </c>
      <c r="CC993" s="1011">
        <v>0</v>
      </c>
      <c r="CD993" s="510">
        <v>0</v>
      </c>
      <c r="CE993" s="1011">
        <v>0</v>
      </c>
      <c r="CF993" s="510">
        <v>58632.800000000003</v>
      </c>
      <c r="CG993" s="1011">
        <v>0</v>
      </c>
      <c r="CH993" s="510">
        <v>0</v>
      </c>
      <c r="CI993" s="1011">
        <v>0</v>
      </c>
    </row>
    <row r="994" spans="1:87" x14ac:dyDescent="0.2">
      <c r="A994" s="449">
        <v>55</v>
      </c>
      <c r="B994" s="453">
        <v>94838</v>
      </c>
      <c r="C994" s="454" t="s">
        <v>8618</v>
      </c>
      <c r="D994" s="454" t="s">
        <v>517</v>
      </c>
      <c r="E994" s="454" t="s">
        <v>8619</v>
      </c>
      <c r="F994" s="454" t="s">
        <v>525</v>
      </c>
      <c r="G994" s="454" t="s">
        <v>13972</v>
      </c>
      <c r="H994" s="455">
        <v>59580605000141</v>
      </c>
      <c r="I994" s="462">
        <v>32434</v>
      </c>
      <c r="J994" s="457">
        <v>37387022</v>
      </c>
      <c r="K994" s="454" t="s">
        <v>6798</v>
      </c>
      <c r="L994" s="458" t="s">
        <v>1446</v>
      </c>
      <c r="M994" s="454" t="s">
        <v>8620</v>
      </c>
      <c r="N994" s="459">
        <v>2132000</v>
      </c>
      <c r="O994" s="460">
        <v>29341029</v>
      </c>
      <c r="P994" s="462">
        <v>332898</v>
      </c>
      <c r="Q994" s="462">
        <v>55</v>
      </c>
      <c r="R994" s="462">
        <v>43950</v>
      </c>
      <c r="S994" s="463">
        <v>650</v>
      </c>
      <c r="T994" s="464">
        <v>5.4</v>
      </c>
      <c r="U994" s="465">
        <v>3510</v>
      </c>
      <c r="V994" s="465">
        <v>17100</v>
      </c>
      <c r="W994" s="466">
        <v>0</v>
      </c>
      <c r="X994" s="467">
        <v>1</v>
      </c>
      <c r="Y994" s="466">
        <v>30915</v>
      </c>
      <c r="Z994" s="468" t="s">
        <v>516</v>
      </c>
      <c r="AA994" s="466">
        <v>142479.79999999999</v>
      </c>
      <c r="AB994" s="466">
        <v>142479.79999999999</v>
      </c>
      <c r="AC994" s="467">
        <v>0</v>
      </c>
      <c r="AD994" s="466">
        <v>0</v>
      </c>
      <c r="AE994" s="468" t="s">
        <v>516</v>
      </c>
      <c r="AF994" s="466">
        <v>2000</v>
      </c>
      <c r="AG994" s="466">
        <v>2000</v>
      </c>
      <c r="AH994" s="466">
        <v>16350.51</v>
      </c>
      <c r="AI994" s="466">
        <v>9372.9599999999991</v>
      </c>
      <c r="AJ994" s="469" t="s">
        <v>3935</v>
      </c>
      <c r="AK994" s="470" t="s">
        <v>3936</v>
      </c>
      <c r="AL994" s="471" t="s">
        <v>8621</v>
      </c>
      <c r="AM994" s="470" t="s">
        <v>8622</v>
      </c>
      <c r="AN994" s="470" t="s">
        <v>8623</v>
      </c>
      <c r="AO994" s="470" t="s">
        <v>8624</v>
      </c>
      <c r="AP994" s="470" t="s">
        <v>6661</v>
      </c>
      <c r="AQ994" s="470" t="s">
        <v>8618</v>
      </c>
      <c r="AR994" s="472" t="s">
        <v>515</v>
      </c>
      <c r="AS994" s="473" t="s">
        <v>1385</v>
      </c>
      <c r="AT994" s="472" t="s">
        <v>517</v>
      </c>
      <c r="AU994" s="472" t="s">
        <v>420</v>
      </c>
      <c r="AV994" s="472">
        <v>2020</v>
      </c>
      <c r="AW994" s="474" t="s">
        <v>15078</v>
      </c>
      <c r="AX994" s="475" t="s">
        <v>15079</v>
      </c>
      <c r="AY994" s="515">
        <v>1</v>
      </c>
      <c r="AZ994" s="474" t="s">
        <v>15079</v>
      </c>
      <c r="BA994" s="472" t="s">
        <v>517</v>
      </c>
      <c r="BB994" s="472" t="s">
        <v>1385</v>
      </c>
      <c r="BC994" s="472" t="s">
        <v>1385</v>
      </c>
      <c r="BD994" s="472" t="s">
        <v>1385</v>
      </c>
      <c r="BE994" s="472" t="s">
        <v>1385</v>
      </c>
      <c r="BF994" s="472">
        <v>30915</v>
      </c>
      <c r="BG994" s="472">
        <v>0</v>
      </c>
      <c r="BH994" s="472" t="s">
        <v>1385</v>
      </c>
      <c r="BI994" s="510">
        <v>0</v>
      </c>
      <c r="BJ994" s="510">
        <v>0</v>
      </c>
      <c r="BK994" s="510">
        <v>0</v>
      </c>
      <c r="BL994" s="510">
        <v>3500</v>
      </c>
      <c r="BM994" s="510">
        <v>0</v>
      </c>
      <c r="BN994" s="510">
        <v>3500</v>
      </c>
      <c r="BO994" s="510">
        <v>0</v>
      </c>
      <c r="BP994" s="510">
        <v>2000</v>
      </c>
      <c r="BQ994" s="510">
        <v>0</v>
      </c>
      <c r="BR994" s="510">
        <v>0</v>
      </c>
      <c r="BS994" s="510">
        <v>0</v>
      </c>
      <c r="BT994" s="510">
        <v>0</v>
      </c>
      <c r="BU994" s="510">
        <v>2500</v>
      </c>
      <c r="BV994" s="510">
        <v>2500</v>
      </c>
      <c r="BW994" s="510">
        <v>0</v>
      </c>
      <c r="BX994" s="510">
        <v>30000</v>
      </c>
      <c r="BY994" s="1011">
        <v>0</v>
      </c>
      <c r="BZ994" s="510">
        <v>0</v>
      </c>
      <c r="CA994" s="1011">
        <v>0</v>
      </c>
      <c r="CB994" s="510">
        <v>22000</v>
      </c>
      <c r="CC994" s="1011">
        <v>0</v>
      </c>
      <c r="CD994" s="510">
        <v>0</v>
      </c>
      <c r="CE994" s="1011">
        <v>0</v>
      </c>
      <c r="CF994" s="510">
        <v>59564.800000000003</v>
      </c>
      <c r="CG994" s="1011">
        <v>0</v>
      </c>
      <c r="CH994" s="510">
        <v>0</v>
      </c>
      <c r="CI994" s="1011">
        <v>0</v>
      </c>
    </row>
    <row r="995" spans="1:87" x14ac:dyDescent="0.2">
      <c r="A995" s="449">
        <v>62</v>
      </c>
      <c r="B995" s="453">
        <v>94846</v>
      </c>
      <c r="C995" s="454" t="s">
        <v>8625</v>
      </c>
      <c r="D995" s="454" t="s">
        <v>517</v>
      </c>
      <c r="E995" s="454" t="s">
        <v>8626</v>
      </c>
      <c r="F995" s="454" t="s">
        <v>525</v>
      </c>
      <c r="G995" s="454" t="s">
        <v>13973</v>
      </c>
      <c r="H995" s="455">
        <v>52038452000166</v>
      </c>
      <c r="I995" s="462">
        <v>30299</v>
      </c>
      <c r="J995" s="457">
        <v>37382772</v>
      </c>
      <c r="K995" s="454" t="s">
        <v>8627</v>
      </c>
      <c r="L995" s="458">
        <v>7</v>
      </c>
      <c r="M995" s="454" t="s">
        <v>1447</v>
      </c>
      <c r="N995" s="459">
        <v>2083000</v>
      </c>
      <c r="O995" s="460">
        <v>29544645</v>
      </c>
      <c r="P995" s="462">
        <v>333061</v>
      </c>
      <c r="Q995" s="462">
        <v>62</v>
      </c>
      <c r="R995" s="462">
        <v>43950</v>
      </c>
      <c r="S995" s="463">
        <v>877</v>
      </c>
      <c r="T995" s="464">
        <v>5.4</v>
      </c>
      <c r="U995" s="465">
        <v>4735.8</v>
      </c>
      <c r="V995" s="465">
        <v>18720</v>
      </c>
      <c r="W995" s="466">
        <v>0</v>
      </c>
      <c r="X995" s="467">
        <v>1</v>
      </c>
      <c r="Y995" s="466">
        <v>40799.699999999997</v>
      </c>
      <c r="Z995" s="468" t="s">
        <v>516</v>
      </c>
      <c r="AA995" s="466">
        <v>156597.70000000001</v>
      </c>
      <c r="AB995" s="466">
        <v>156597.70000000001</v>
      </c>
      <c r="AC995" s="467">
        <v>0</v>
      </c>
      <c r="AD995" s="466">
        <v>0</v>
      </c>
      <c r="AE995" s="468" t="s">
        <v>516</v>
      </c>
      <c r="AF995" s="466">
        <v>1000</v>
      </c>
      <c r="AG995" s="466">
        <v>1000</v>
      </c>
      <c r="AH995" s="466">
        <v>83765.399999999994</v>
      </c>
      <c r="AI995" s="466">
        <v>5641</v>
      </c>
      <c r="AJ995" s="469" t="s">
        <v>3935</v>
      </c>
      <c r="AK995" s="470" t="s">
        <v>3936</v>
      </c>
      <c r="AL995" s="471" t="s">
        <v>8628</v>
      </c>
      <c r="AM995" s="470" t="s">
        <v>8629</v>
      </c>
      <c r="AN995" s="470" t="s">
        <v>8630</v>
      </c>
      <c r="AO995" s="470" t="s">
        <v>13974</v>
      </c>
      <c r="AP995" s="470" t="s">
        <v>6669</v>
      </c>
      <c r="AQ995" s="470" t="s">
        <v>8625</v>
      </c>
      <c r="AR995" s="472" t="s">
        <v>515</v>
      </c>
      <c r="AS995" s="473" t="s">
        <v>1385</v>
      </c>
      <c r="AT995" s="472" t="s">
        <v>517</v>
      </c>
      <c r="AU995" s="472" t="s">
        <v>420</v>
      </c>
      <c r="AV995" s="472">
        <v>2020</v>
      </c>
      <c r="AW995" s="474" t="s">
        <v>15078</v>
      </c>
      <c r="AX995" s="475" t="s">
        <v>15079</v>
      </c>
      <c r="AY995" s="515">
        <v>1</v>
      </c>
      <c r="AZ995" s="474" t="s">
        <v>15079</v>
      </c>
      <c r="BA995" s="472" t="s">
        <v>517</v>
      </c>
      <c r="BB995" s="472" t="s">
        <v>516</v>
      </c>
      <c r="BC995" s="472">
        <v>3</v>
      </c>
      <c r="BD995" s="472">
        <v>3744</v>
      </c>
      <c r="BE995" s="472">
        <v>0</v>
      </c>
      <c r="BF995" s="472">
        <v>40799.699999999997</v>
      </c>
      <c r="BG995" s="472">
        <v>0</v>
      </c>
      <c r="BH995" s="472" t="s">
        <v>1385</v>
      </c>
      <c r="BI995" s="510">
        <v>0</v>
      </c>
      <c r="BJ995" s="510">
        <v>2545.1</v>
      </c>
      <c r="BK995" s="510">
        <v>0</v>
      </c>
      <c r="BL995" s="510">
        <v>3500</v>
      </c>
      <c r="BM995" s="510">
        <v>0</v>
      </c>
      <c r="BN995" s="510">
        <v>5000</v>
      </c>
      <c r="BO995" s="510">
        <v>1000</v>
      </c>
      <c r="BP995" s="510">
        <v>1000</v>
      </c>
      <c r="BQ995" s="510">
        <v>0</v>
      </c>
      <c r="BR995" s="510">
        <v>0</v>
      </c>
      <c r="BS995" s="510">
        <v>0</v>
      </c>
      <c r="BT995" s="510">
        <v>0</v>
      </c>
      <c r="BU995" s="510">
        <v>2500</v>
      </c>
      <c r="BV995" s="510">
        <v>2500</v>
      </c>
      <c r="BW995" s="510">
        <v>0</v>
      </c>
      <c r="BX995" s="510">
        <v>30000</v>
      </c>
      <c r="BY995" s="1011">
        <v>0</v>
      </c>
      <c r="BZ995" s="510">
        <v>0</v>
      </c>
      <c r="CA995" s="1011">
        <v>0</v>
      </c>
      <c r="CB995" s="510">
        <v>22000</v>
      </c>
      <c r="CC995" s="1011">
        <v>0</v>
      </c>
      <c r="CD995" s="510">
        <v>0</v>
      </c>
      <c r="CE995" s="1011">
        <v>0</v>
      </c>
      <c r="CF995" s="510">
        <v>62798</v>
      </c>
      <c r="CG995" s="1011">
        <v>0</v>
      </c>
      <c r="CH995" s="510">
        <v>0</v>
      </c>
      <c r="CI995" s="1011">
        <v>0</v>
      </c>
    </row>
    <row r="996" spans="1:87" x14ac:dyDescent="0.2">
      <c r="A996" s="449">
        <v>34</v>
      </c>
      <c r="B996" s="453">
        <v>94854</v>
      </c>
      <c r="C996" s="454" t="s">
        <v>8631</v>
      </c>
      <c r="D996" s="454" t="s">
        <v>517</v>
      </c>
      <c r="E996" s="454" t="s">
        <v>8632</v>
      </c>
      <c r="F996" s="454" t="s">
        <v>525</v>
      </c>
      <c r="G996" s="454" t="s">
        <v>13975</v>
      </c>
      <c r="H996" s="455">
        <v>60267655000152</v>
      </c>
      <c r="I996" s="462">
        <v>32609</v>
      </c>
      <c r="J996" s="457">
        <v>37605089</v>
      </c>
      <c r="K996" s="454" t="s">
        <v>6813</v>
      </c>
      <c r="L996" s="458">
        <v>74</v>
      </c>
      <c r="M996" s="454" t="s">
        <v>6814</v>
      </c>
      <c r="N996" s="459">
        <v>2139020</v>
      </c>
      <c r="O996" s="460">
        <v>29316873</v>
      </c>
      <c r="P996" s="462">
        <v>328165</v>
      </c>
      <c r="Q996" s="462">
        <v>34</v>
      </c>
      <c r="R996" s="462">
        <v>43950</v>
      </c>
      <c r="S996" s="463">
        <v>916</v>
      </c>
      <c r="T996" s="464">
        <v>5.4</v>
      </c>
      <c r="U996" s="465">
        <v>4946.3999999999996</v>
      </c>
      <c r="V996" s="465">
        <v>20340</v>
      </c>
      <c r="W996" s="466">
        <v>0</v>
      </c>
      <c r="X996" s="467">
        <v>1</v>
      </c>
      <c r="Y996" s="466">
        <v>37929.599999999999</v>
      </c>
      <c r="Z996" s="468" t="s">
        <v>516</v>
      </c>
      <c r="AA996" s="466">
        <v>136387.6</v>
      </c>
      <c r="AB996" s="466">
        <v>136387.6</v>
      </c>
      <c r="AC996" s="467">
        <v>0</v>
      </c>
      <c r="AD996" s="466">
        <v>0</v>
      </c>
      <c r="AE996" s="468" t="s">
        <v>516</v>
      </c>
      <c r="AF996" s="466">
        <v>2000</v>
      </c>
      <c r="AG996" s="466">
        <v>2000</v>
      </c>
      <c r="AH996" s="466">
        <v>23578.22</v>
      </c>
      <c r="AI996" s="466">
        <v>5149.08</v>
      </c>
      <c r="AJ996" s="469" t="s">
        <v>3935</v>
      </c>
      <c r="AK996" s="470" t="s">
        <v>3936</v>
      </c>
      <c r="AL996" s="471" t="s">
        <v>2984</v>
      </c>
      <c r="AM996" s="470" t="s">
        <v>8634</v>
      </c>
      <c r="AN996" s="470" t="s">
        <v>8633</v>
      </c>
      <c r="AO996" s="470" t="s">
        <v>8635</v>
      </c>
      <c r="AP996" s="470" t="s">
        <v>8636</v>
      </c>
      <c r="AQ996" s="470" t="s">
        <v>8631</v>
      </c>
      <c r="AR996" s="472" t="s">
        <v>515</v>
      </c>
      <c r="AS996" s="473" t="s">
        <v>1385</v>
      </c>
      <c r="AT996" s="472" t="s">
        <v>517</v>
      </c>
      <c r="AU996" s="472" t="s">
        <v>420</v>
      </c>
      <c r="AV996" s="472">
        <v>2020</v>
      </c>
      <c r="AW996" s="474" t="s">
        <v>15078</v>
      </c>
      <c r="AX996" s="475" t="s">
        <v>15079</v>
      </c>
      <c r="AY996" s="515">
        <v>1</v>
      </c>
      <c r="AZ996" s="474" t="s">
        <v>15079</v>
      </c>
      <c r="BA996" s="472" t="s">
        <v>517</v>
      </c>
      <c r="BB996" s="472" t="s">
        <v>1385</v>
      </c>
      <c r="BC996" s="472" t="s">
        <v>1385</v>
      </c>
      <c r="BD996" s="472" t="s">
        <v>1385</v>
      </c>
      <c r="BE996" s="472" t="s">
        <v>1385</v>
      </c>
      <c r="BF996" s="472">
        <v>37929.599999999999</v>
      </c>
      <c r="BG996" s="472">
        <v>0</v>
      </c>
      <c r="BH996" s="472" t="s">
        <v>1385</v>
      </c>
      <c r="BI996" s="510">
        <v>0</v>
      </c>
      <c r="BJ996" s="510">
        <v>0</v>
      </c>
      <c r="BK996" s="510">
        <v>0</v>
      </c>
      <c r="BL996" s="510">
        <v>0</v>
      </c>
      <c r="BM996" s="510">
        <v>0</v>
      </c>
      <c r="BN996" s="510">
        <v>5000</v>
      </c>
      <c r="BO996" s="510">
        <v>0</v>
      </c>
      <c r="BP996" s="510">
        <v>2000</v>
      </c>
      <c r="BQ996" s="510">
        <v>0</v>
      </c>
      <c r="BR996" s="510">
        <v>0</v>
      </c>
      <c r="BS996" s="510">
        <v>0</v>
      </c>
      <c r="BT996" s="510">
        <v>0</v>
      </c>
      <c r="BU996" s="510">
        <v>0</v>
      </c>
      <c r="BV996" s="510">
        <v>0</v>
      </c>
      <c r="BW996" s="510">
        <v>0</v>
      </c>
      <c r="BX996" s="510">
        <v>30000</v>
      </c>
      <c r="BY996" s="1011">
        <v>0</v>
      </c>
      <c r="BZ996" s="510">
        <v>0</v>
      </c>
      <c r="CA996" s="1011">
        <v>0</v>
      </c>
      <c r="CB996" s="510">
        <v>22000</v>
      </c>
      <c r="CC996" s="1011">
        <v>0</v>
      </c>
      <c r="CD996" s="510">
        <v>0</v>
      </c>
      <c r="CE996" s="1011">
        <v>0</v>
      </c>
      <c r="CF996" s="510">
        <v>46458</v>
      </c>
      <c r="CG996" s="1011">
        <v>0</v>
      </c>
      <c r="CH996" s="510">
        <v>0</v>
      </c>
      <c r="CI996" s="1011">
        <v>0</v>
      </c>
    </row>
    <row r="997" spans="1:87" x14ac:dyDescent="0.2">
      <c r="A997" s="449">
        <v>29</v>
      </c>
      <c r="B997" s="453">
        <v>94862</v>
      </c>
      <c r="C997" s="454" t="s">
        <v>8637</v>
      </c>
      <c r="D997" s="454" t="s">
        <v>517</v>
      </c>
      <c r="E997" s="454" t="s">
        <v>8638</v>
      </c>
      <c r="F997" s="454" t="s">
        <v>525</v>
      </c>
      <c r="G997" s="454" t="s">
        <v>13976</v>
      </c>
      <c r="H997" s="455">
        <v>59845156000116</v>
      </c>
      <c r="I997" s="462">
        <v>32463</v>
      </c>
      <c r="J997" s="457">
        <v>37382276</v>
      </c>
      <c r="K997" s="454" t="s">
        <v>8640</v>
      </c>
      <c r="L997" s="458">
        <v>1920</v>
      </c>
      <c r="M997" s="454" t="s">
        <v>6814</v>
      </c>
      <c r="N997" s="459">
        <v>2226001</v>
      </c>
      <c r="O997" s="460">
        <v>22125955</v>
      </c>
      <c r="P997" s="462">
        <v>327835</v>
      </c>
      <c r="Q997" s="462">
        <v>29</v>
      </c>
      <c r="R997" s="462">
        <v>43950</v>
      </c>
      <c r="S997" s="463">
        <v>710</v>
      </c>
      <c r="T997" s="464">
        <v>5.4</v>
      </c>
      <c r="U997" s="465">
        <v>3834</v>
      </c>
      <c r="V997" s="465">
        <v>18720</v>
      </c>
      <c r="W997" s="466">
        <v>0</v>
      </c>
      <c r="X997" s="467">
        <v>1</v>
      </c>
      <c r="Y997" s="466">
        <v>33831</v>
      </c>
      <c r="Z997" s="468" t="s">
        <v>516</v>
      </c>
      <c r="AA997" s="466">
        <v>152397.79999999999</v>
      </c>
      <c r="AB997" s="466">
        <v>152397.79999999999</v>
      </c>
      <c r="AC997" s="467">
        <v>0</v>
      </c>
      <c r="AD997" s="466">
        <v>0</v>
      </c>
      <c r="AE997" s="468" t="s">
        <v>516</v>
      </c>
      <c r="AF997" s="466">
        <v>2000</v>
      </c>
      <c r="AG997" s="466">
        <v>2000</v>
      </c>
      <c r="AH997" s="466">
        <v>13607.57</v>
      </c>
      <c r="AI997" s="466">
        <v>9670.2999999999993</v>
      </c>
      <c r="AJ997" s="469" t="s">
        <v>1535</v>
      </c>
      <c r="AK997" s="470" t="s">
        <v>1536</v>
      </c>
      <c r="AL997" s="471" t="s">
        <v>8641</v>
      </c>
      <c r="AM997" s="470" t="s">
        <v>8642</v>
      </c>
      <c r="AN997" s="470" t="s">
        <v>8639</v>
      </c>
      <c r="AO997" s="470" t="s">
        <v>8643</v>
      </c>
      <c r="AP997" s="470" t="s">
        <v>8644</v>
      </c>
      <c r="AQ997" s="470" t="s">
        <v>8637</v>
      </c>
      <c r="AR997" s="472" t="s">
        <v>515</v>
      </c>
      <c r="AS997" s="473" t="s">
        <v>1385</v>
      </c>
      <c r="AT997" s="472" t="s">
        <v>517</v>
      </c>
      <c r="AU997" s="472" t="s">
        <v>420</v>
      </c>
      <c r="AV997" s="472">
        <v>2020</v>
      </c>
      <c r="AW997" s="474" t="s">
        <v>15078</v>
      </c>
      <c r="AX997" s="475" t="s">
        <v>15079</v>
      </c>
      <c r="AY997" s="515">
        <v>1</v>
      </c>
      <c r="AZ997" s="474" t="s">
        <v>15079</v>
      </c>
      <c r="BA997" s="472" t="s">
        <v>517</v>
      </c>
      <c r="BB997" s="472" t="s">
        <v>1385</v>
      </c>
      <c r="BC997" s="472" t="s">
        <v>1385</v>
      </c>
      <c r="BD997" s="472" t="s">
        <v>1385</v>
      </c>
      <c r="BE997" s="472" t="s">
        <v>1385</v>
      </c>
      <c r="BF997" s="472">
        <v>33831</v>
      </c>
      <c r="BG997" s="472">
        <v>0</v>
      </c>
      <c r="BH997" s="472" t="s">
        <v>1385</v>
      </c>
      <c r="BI997" s="510">
        <v>0</v>
      </c>
      <c r="BJ997" s="510">
        <v>0</v>
      </c>
      <c r="BK997" s="510">
        <v>0</v>
      </c>
      <c r="BL997" s="510">
        <v>0</v>
      </c>
      <c r="BM997" s="510">
        <v>0</v>
      </c>
      <c r="BN997" s="510">
        <v>5000</v>
      </c>
      <c r="BO997" s="510">
        <v>0</v>
      </c>
      <c r="BP997" s="510">
        <v>2000</v>
      </c>
      <c r="BQ997" s="510">
        <v>0</v>
      </c>
      <c r="BR997" s="510">
        <v>0</v>
      </c>
      <c r="BS997" s="510">
        <v>0</v>
      </c>
      <c r="BT997" s="510">
        <v>0</v>
      </c>
      <c r="BU997" s="510">
        <v>0</v>
      </c>
      <c r="BV997" s="510">
        <v>0</v>
      </c>
      <c r="BW997" s="510">
        <v>0</v>
      </c>
      <c r="BX997" s="510">
        <v>30000</v>
      </c>
      <c r="BY997" s="1011">
        <v>0</v>
      </c>
      <c r="BZ997" s="510">
        <v>0</v>
      </c>
      <c r="CA997" s="1011">
        <v>0</v>
      </c>
      <c r="CB997" s="510">
        <v>22000</v>
      </c>
      <c r="CC997" s="1011">
        <v>0</v>
      </c>
      <c r="CD997" s="510">
        <v>0</v>
      </c>
      <c r="CE997" s="1011">
        <v>0</v>
      </c>
      <c r="CF997" s="510">
        <v>66566.8</v>
      </c>
      <c r="CG997" s="1011">
        <v>0</v>
      </c>
      <c r="CH997" s="510">
        <v>0</v>
      </c>
      <c r="CI997" s="1011">
        <v>0</v>
      </c>
    </row>
    <row r="998" spans="1:87" x14ac:dyDescent="0.2">
      <c r="A998" s="449">
        <v>44</v>
      </c>
      <c r="B998" s="453">
        <v>94871</v>
      </c>
      <c r="C998" s="454" t="s">
        <v>8645</v>
      </c>
      <c r="D998" s="454" t="s">
        <v>517</v>
      </c>
      <c r="E998" s="454" t="s">
        <v>8646</v>
      </c>
      <c r="F998" s="454" t="s">
        <v>525</v>
      </c>
      <c r="G998" s="454" t="s">
        <v>13977</v>
      </c>
      <c r="H998" s="455">
        <v>53023909000121</v>
      </c>
      <c r="I998" s="462">
        <v>30615</v>
      </c>
      <c r="J998" s="457">
        <v>37587501</v>
      </c>
      <c r="K998" s="454" t="s">
        <v>6831</v>
      </c>
      <c r="L998" s="458">
        <v>1289</v>
      </c>
      <c r="M998" s="454" t="s">
        <v>6832</v>
      </c>
      <c r="N998" s="459">
        <v>2229001</v>
      </c>
      <c r="O998" s="460">
        <v>22497219</v>
      </c>
      <c r="P998" s="462">
        <v>330747</v>
      </c>
      <c r="Q998" s="462">
        <v>44</v>
      </c>
      <c r="R998" s="462">
        <v>43950</v>
      </c>
      <c r="S998" s="463">
        <v>885</v>
      </c>
      <c r="T998" s="464">
        <v>5.4</v>
      </c>
      <c r="U998" s="465">
        <v>4779</v>
      </c>
      <c r="V998" s="465">
        <v>18720</v>
      </c>
      <c r="W998" s="466">
        <v>0</v>
      </c>
      <c r="X998" s="467">
        <v>1</v>
      </c>
      <c r="Y998" s="466">
        <v>40864.5</v>
      </c>
      <c r="Z998" s="468" t="s">
        <v>516</v>
      </c>
      <c r="AA998" s="466">
        <v>151907.70000000001</v>
      </c>
      <c r="AB998" s="466">
        <v>151907.70000000001</v>
      </c>
      <c r="AC998" s="467">
        <v>0</v>
      </c>
      <c r="AD998" s="466">
        <v>0</v>
      </c>
      <c r="AE998" s="468" t="s">
        <v>516</v>
      </c>
      <c r="AF998" s="466">
        <v>2000</v>
      </c>
      <c r="AG998" s="466">
        <v>2000</v>
      </c>
      <c r="AH998" s="466">
        <v>24491.54</v>
      </c>
      <c r="AI998" s="466">
        <v>13551.54</v>
      </c>
      <c r="AJ998" s="469" t="s">
        <v>1535</v>
      </c>
      <c r="AK998" s="470" t="s">
        <v>1536</v>
      </c>
      <c r="AL998" s="471" t="s">
        <v>8648</v>
      </c>
      <c r="AM998" s="470" t="s">
        <v>8649</v>
      </c>
      <c r="AN998" s="470" t="s">
        <v>8647</v>
      </c>
      <c r="AO998" s="470" t="s">
        <v>13978</v>
      </c>
      <c r="AP998" s="470" t="s">
        <v>8650</v>
      </c>
      <c r="AQ998" s="470" t="s">
        <v>8645</v>
      </c>
      <c r="AR998" s="472" t="s">
        <v>515</v>
      </c>
      <c r="AS998" s="473" t="s">
        <v>1385</v>
      </c>
      <c r="AT998" s="472" t="s">
        <v>517</v>
      </c>
      <c r="AU998" s="472" t="s">
        <v>420</v>
      </c>
      <c r="AV998" s="472">
        <v>2020</v>
      </c>
      <c r="AW998" s="474" t="s">
        <v>15078</v>
      </c>
      <c r="AX998" s="475" t="s">
        <v>15079</v>
      </c>
      <c r="AY998" s="515">
        <v>1</v>
      </c>
      <c r="AZ998" s="474" t="s">
        <v>15079</v>
      </c>
      <c r="BA998" s="472" t="s">
        <v>517</v>
      </c>
      <c r="BB998" s="472" t="s">
        <v>516</v>
      </c>
      <c r="BC998" s="472">
        <v>3</v>
      </c>
      <c r="BD998" s="472">
        <v>3744</v>
      </c>
      <c r="BE998" s="472">
        <v>0</v>
      </c>
      <c r="BF998" s="472">
        <v>40864.5</v>
      </c>
      <c r="BG998" s="472">
        <v>0</v>
      </c>
      <c r="BH998" s="472" t="s">
        <v>1385</v>
      </c>
      <c r="BI998" s="510">
        <v>0</v>
      </c>
      <c r="BJ998" s="510">
        <v>0</v>
      </c>
      <c r="BK998" s="510">
        <v>0</v>
      </c>
      <c r="BL998" s="510">
        <v>1345.64</v>
      </c>
      <c r="BM998" s="510">
        <v>0</v>
      </c>
      <c r="BN998" s="510">
        <v>5000</v>
      </c>
      <c r="BO998" s="510">
        <v>0</v>
      </c>
      <c r="BP998" s="510">
        <v>2000</v>
      </c>
      <c r="BQ998" s="510">
        <v>0</v>
      </c>
      <c r="BR998" s="510">
        <v>0</v>
      </c>
      <c r="BS998" s="510">
        <v>0</v>
      </c>
      <c r="BT998" s="510">
        <v>0</v>
      </c>
      <c r="BU998" s="510">
        <v>0</v>
      </c>
      <c r="BV998" s="510">
        <v>0</v>
      </c>
      <c r="BW998" s="510">
        <v>0</v>
      </c>
      <c r="BX998" s="510">
        <v>30000</v>
      </c>
      <c r="BY998" s="1011">
        <v>0</v>
      </c>
      <c r="BZ998" s="510">
        <v>0</v>
      </c>
      <c r="CA998" s="1011">
        <v>0</v>
      </c>
      <c r="CB998" s="510">
        <v>22000</v>
      </c>
      <c r="CC998" s="1011">
        <v>0</v>
      </c>
      <c r="CD998" s="510">
        <v>0</v>
      </c>
      <c r="CE998" s="1011">
        <v>0</v>
      </c>
      <c r="CF998" s="510">
        <v>59043.199999999997</v>
      </c>
      <c r="CG998" s="1011">
        <v>0</v>
      </c>
      <c r="CH998" s="510">
        <v>0</v>
      </c>
      <c r="CI998" s="1011">
        <v>0</v>
      </c>
    </row>
    <row r="999" spans="1:87" x14ac:dyDescent="0.2">
      <c r="A999" s="449">
        <v>30</v>
      </c>
      <c r="B999" s="453">
        <v>94889</v>
      </c>
      <c r="C999" s="454" t="s">
        <v>8651</v>
      </c>
      <c r="D999" s="454" t="s">
        <v>517</v>
      </c>
      <c r="E999" s="454" t="s">
        <v>8652</v>
      </c>
      <c r="F999" s="454" t="s">
        <v>525</v>
      </c>
      <c r="G999" s="454" t="s">
        <v>13979</v>
      </c>
      <c r="H999" s="455">
        <v>54530324000160</v>
      </c>
      <c r="I999" s="462">
        <v>31162</v>
      </c>
      <c r="J999" s="457">
        <v>37387073</v>
      </c>
      <c r="K999" s="454" t="s">
        <v>8654</v>
      </c>
      <c r="L999" s="458">
        <v>715</v>
      </c>
      <c r="M999" s="454" t="s">
        <v>8655</v>
      </c>
      <c r="N999" s="459">
        <v>2237000</v>
      </c>
      <c r="O999" s="460">
        <v>22494024</v>
      </c>
      <c r="P999" s="462">
        <v>327860</v>
      </c>
      <c r="Q999" s="462">
        <v>30</v>
      </c>
      <c r="R999" s="462">
        <v>43950</v>
      </c>
      <c r="S999" s="463">
        <v>404</v>
      </c>
      <c r="T999" s="464">
        <v>5.4</v>
      </c>
      <c r="U999" s="465">
        <v>2181.6</v>
      </c>
      <c r="V999" s="465">
        <v>15480</v>
      </c>
      <c r="W999" s="466">
        <v>0</v>
      </c>
      <c r="X999" s="467">
        <v>1</v>
      </c>
      <c r="Y999" s="466">
        <v>33458.400000000001</v>
      </c>
      <c r="Z999" s="468" t="s">
        <v>516</v>
      </c>
      <c r="AA999" s="466">
        <v>134767.20000000001</v>
      </c>
      <c r="AB999" s="466">
        <v>134767.20000000001</v>
      </c>
      <c r="AC999" s="467">
        <v>0</v>
      </c>
      <c r="AD999" s="466">
        <v>0</v>
      </c>
      <c r="AE999" s="468" t="s">
        <v>516</v>
      </c>
      <c r="AF999" s="466">
        <v>2000</v>
      </c>
      <c r="AG999" s="466">
        <v>2000</v>
      </c>
      <c r="AH999" s="466">
        <v>47234.01</v>
      </c>
      <c r="AI999" s="466">
        <v>11926.9</v>
      </c>
      <c r="AJ999" s="469" t="s">
        <v>1448</v>
      </c>
      <c r="AK999" s="470" t="s">
        <v>1449</v>
      </c>
      <c r="AL999" s="471" t="s">
        <v>8656</v>
      </c>
      <c r="AM999" s="470" t="s">
        <v>13980</v>
      </c>
      <c r="AN999" s="470" t="s">
        <v>8653</v>
      </c>
      <c r="AO999" s="470" t="s">
        <v>13981</v>
      </c>
      <c r="AP999" s="470" t="s">
        <v>8658</v>
      </c>
      <c r="AQ999" s="470" t="s">
        <v>8651</v>
      </c>
      <c r="AR999" s="472" t="s">
        <v>515</v>
      </c>
      <c r="AS999" s="473" t="s">
        <v>1385</v>
      </c>
      <c r="AT999" s="472" t="s">
        <v>517</v>
      </c>
      <c r="AU999" s="472" t="s">
        <v>420</v>
      </c>
      <c r="AV999" s="472">
        <v>2020</v>
      </c>
      <c r="AW999" s="474" t="s">
        <v>15078</v>
      </c>
      <c r="AX999" s="475" t="s">
        <v>15079</v>
      </c>
      <c r="AY999" s="515">
        <v>1</v>
      </c>
      <c r="AZ999" s="474" t="s">
        <v>15079</v>
      </c>
      <c r="BA999" s="472" t="s">
        <v>517</v>
      </c>
      <c r="BB999" s="472" t="s">
        <v>516</v>
      </c>
      <c r="BC999" s="472">
        <v>5</v>
      </c>
      <c r="BD999" s="472">
        <v>4644</v>
      </c>
      <c r="BE999" s="472">
        <v>0</v>
      </c>
      <c r="BF999" s="472">
        <v>33458.400000000001</v>
      </c>
      <c r="BG999" s="472">
        <v>0</v>
      </c>
      <c r="BH999" s="472" t="s">
        <v>1385</v>
      </c>
      <c r="BI999" s="510">
        <v>0</v>
      </c>
      <c r="BJ999" s="510">
        <v>0</v>
      </c>
      <c r="BK999" s="510">
        <v>0</v>
      </c>
      <c r="BL999" s="510">
        <v>3500</v>
      </c>
      <c r="BM999" s="510">
        <v>0</v>
      </c>
      <c r="BN999" s="510">
        <v>3500</v>
      </c>
      <c r="BO999" s="510">
        <v>0</v>
      </c>
      <c r="BP999" s="510">
        <v>2000</v>
      </c>
      <c r="BQ999" s="510">
        <v>0</v>
      </c>
      <c r="BR999" s="510">
        <v>0</v>
      </c>
      <c r="BS999" s="510">
        <v>0</v>
      </c>
      <c r="BT999" s="510">
        <v>0</v>
      </c>
      <c r="BU999" s="510">
        <v>2500</v>
      </c>
      <c r="BV999" s="510">
        <v>2500</v>
      </c>
      <c r="BW999" s="510">
        <v>0</v>
      </c>
      <c r="BX999" s="510">
        <v>30000</v>
      </c>
      <c r="BY999" s="1011">
        <v>0</v>
      </c>
      <c r="BZ999" s="510">
        <v>0</v>
      </c>
      <c r="CA999" s="1011">
        <v>0</v>
      </c>
      <c r="CB999" s="510">
        <v>22000</v>
      </c>
      <c r="CC999" s="1011">
        <v>0</v>
      </c>
      <c r="CD999" s="510">
        <v>0</v>
      </c>
      <c r="CE999" s="1011">
        <v>0</v>
      </c>
      <c r="CF999" s="510">
        <v>49308.800000000003</v>
      </c>
      <c r="CG999" s="1011">
        <v>0</v>
      </c>
      <c r="CH999" s="510">
        <v>0</v>
      </c>
      <c r="CI999" s="1011">
        <v>0</v>
      </c>
    </row>
    <row r="1000" spans="1:87" x14ac:dyDescent="0.2">
      <c r="A1000" s="449">
        <v>52</v>
      </c>
      <c r="B1000" s="453">
        <v>94897</v>
      </c>
      <c r="C1000" s="454" t="s">
        <v>8659</v>
      </c>
      <c r="D1000" s="454" t="s">
        <v>517</v>
      </c>
      <c r="E1000" s="454" t="s">
        <v>8660</v>
      </c>
      <c r="F1000" s="454" t="s">
        <v>525</v>
      </c>
      <c r="G1000" s="454" t="s">
        <v>13982</v>
      </c>
      <c r="H1000" s="455">
        <v>52839537000143</v>
      </c>
      <c r="I1000" s="462">
        <v>30502</v>
      </c>
      <c r="J1000" s="457">
        <v>37380460</v>
      </c>
      <c r="K1000" s="454" t="s">
        <v>8662</v>
      </c>
      <c r="L1000" s="458">
        <v>242</v>
      </c>
      <c r="M1000" s="454" t="s">
        <v>3620</v>
      </c>
      <c r="N1000" s="459">
        <v>2276020</v>
      </c>
      <c r="O1000" s="460">
        <v>22493122</v>
      </c>
      <c r="P1000" s="462">
        <v>332685</v>
      </c>
      <c r="Q1000" s="462">
        <v>52</v>
      </c>
      <c r="R1000" s="462">
        <v>43950</v>
      </c>
      <c r="S1000" s="463">
        <v>1391</v>
      </c>
      <c r="T1000" s="464">
        <v>5.4</v>
      </c>
      <c r="U1000" s="465">
        <v>7511.4</v>
      </c>
      <c r="V1000" s="465">
        <v>21960</v>
      </c>
      <c r="W1000" s="466">
        <v>0</v>
      </c>
      <c r="X1000" s="467">
        <v>1</v>
      </c>
      <c r="Y1000" s="466">
        <v>50795.1</v>
      </c>
      <c r="Z1000" s="468" t="s">
        <v>516</v>
      </c>
      <c r="AA1000" s="466">
        <v>177221.1</v>
      </c>
      <c r="AB1000" s="466">
        <v>177221.1</v>
      </c>
      <c r="AC1000" s="467">
        <v>0</v>
      </c>
      <c r="AD1000" s="466">
        <v>0</v>
      </c>
      <c r="AE1000" s="468" t="s">
        <v>516</v>
      </c>
      <c r="AF1000" s="466">
        <v>2000</v>
      </c>
      <c r="AG1000" s="466">
        <v>2000</v>
      </c>
      <c r="AH1000" s="466">
        <v>42360.480000000003</v>
      </c>
      <c r="AI1000" s="466">
        <v>15555.47</v>
      </c>
      <c r="AJ1000" s="469" t="s">
        <v>1448</v>
      </c>
      <c r="AK1000" s="470" t="s">
        <v>1449</v>
      </c>
      <c r="AL1000" s="471" t="s">
        <v>8663</v>
      </c>
      <c r="AM1000" s="470" t="s">
        <v>8664</v>
      </c>
      <c r="AN1000" s="470" t="s">
        <v>8661</v>
      </c>
      <c r="AO1000" s="470" t="s">
        <v>8665</v>
      </c>
      <c r="AP1000" s="470" t="s">
        <v>8666</v>
      </c>
      <c r="AQ1000" s="470" t="s">
        <v>8659</v>
      </c>
      <c r="AR1000" s="472" t="s">
        <v>515</v>
      </c>
      <c r="AS1000" s="473" t="s">
        <v>1385</v>
      </c>
      <c r="AT1000" s="472" t="s">
        <v>517</v>
      </c>
      <c r="AU1000" s="472" t="s">
        <v>420</v>
      </c>
      <c r="AV1000" s="472">
        <v>2020</v>
      </c>
      <c r="AW1000" s="474" t="s">
        <v>15078</v>
      </c>
      <c r="AX1000" s="475" t="s">
        <v>15079</v>
      </c>
      <c r="AY1000" s="515">
        <v>1</v>
      </c>
      <c r="AZ1000" s="474" t="s">
        <v>15079</v>
      </c>
      <c r="BA1000" s="472" t="s">
        <v>517</v>
      </c>
      <c r="BB1000" s="472" t="s">
        <v>516</v>
      </c>
      <c r="BC1000" s="472">
        <v>3</v>
      </c>
      <c r="BD1000" s="472">
        <v>4392</v>
      </c>
      <c r="BE1000" s="472">
        <v>0</v>
      </c>
      <c r="BF1000" s="472">
        <v>50795.1</v>
      </c>
      <c r="BG1000" s="472">
        <v>0</v>
      </c>
      <c r="BH1000" s="472" t="s">
        <v>1385</v>
      </c>
      <c r="BI1000" s="510">
        <v>0</v>
      </c>
      <c r="BJ1000" s="510">
        <v>0</v>
      </c>
      <c r="BK1000" s="510">
        <v>0</v>
      </c>
      <c r="BL1000" s="510">
        <v>3500</v>
      </c>
      <c r="BM1000" s="510">
        <v>0</v>
      </c>
      <c r="BN1000" s="510">
        <v>4800</v>
      </c>
      <c r="BO1000" s="510">
        <v>0</v>
      </c>
      <c r="BP1000" s="510">
        <v>2000</v>
      </c>
      <c r="BQ1000" s="510">
        <v>0</v>
      </c>
      <c r="BR1000" s="510">
        <v>0</v>
      </c>
      <c r="BS1000" s="510">
        <v>0</v>
      </c>
      <c r="BT1000" s="510">
        <v>0</v>
      </c>
      <c r="BU1000" s="510">
        <v>0</v>
      </c>
      <c r="BV1000" s="510">
        <v>0</v>
      </c>
      <c r="BW1000" s="510">
        <v>0</v>
      </c>
      <c r="BX1000" s="510">
        <v>30000</v>
      </c>
      <c r="BY1000" s="1011">
        <v>0</v>
      </c>
      <c r="BZ1000" s="510">
        <v>0</v>
      </c>
      <c r="CA1000" s="1011">
        <v>0</v>
      </c>
      <c r="CB1000" s="510">
        <v>22000</v>
      </c>
      <c r="CC1000" s="1011">
        <v>0</v>
      </c>
      <c r="CD1000" s="510">
        <v>0</v>
      </c>
      <c r="CE1000" s="1011">
        <v>0</v>
      </c>
      <c r="CF1000" s="510">
        <v>74426</v>
      </c>
      <c r="CG1000" s="1011">
        <v>0</v>
      </c>
      <c r="CH1000" s="510">
        <v>0</v>
      </c>
      <c r="CI1000" s="1011">
        <v>0</v>
      </c>
    </row>
    <row r="1001" spans="1:87" x14ac:dyDescent="0.2">
      <c r="A1001" s="449">
        <v>33</v>
      </c>
      <c r="B1001" s="453">
        <v>94901</v>
      </c>
      <c r="C1001" s="454" t="s">
        <v>8667</v>
      </c>
      <c r="D1001" s="454" t="s">
        <v>517</v>
      </c>
      <c r="E1001" s="454" t="s">
        <v>8668</v>
      </c>
      <c r="F1001" s="454" t="s">
        <v>525</v>
      </c>
      <c r="G1001" s="454" t="s">
        <v>13983</v>
      </c>
      <c r="H1001" s="455">
        <v>52842929000161</v>
      </c>
      <c r="I1001" s="462">
        <v>30481</v>
      </c>
      <c r="J1001" s="457">
        <v>37387057</v>
      </c>
      <c r="K1001" s="454" t="s">
        <v>8670</v>
      </c>
      <c r="L1001" s="458">
        <v>131</v>
      </c>
      <c r="M1001" s="454" t="s">
        <v>1534</v>
      </c>
      <c r="N1001" s="459">
        <v>2256090</v>
      </c>
      <c r="O1001" s="460">
        <v>22429022</v>
      </c>
      <c r="P1001" s="462">
        <v>328092</v>
      </c>
      <c r="Q1001" s="462">
        <v>33</v>
      </c>
      <c r="R1001" s="462">
        <v>43950</v>
      </c>
      <c r="S1001" s="463">
        <v>721</v>
      </c>
      <c r="T1001" s="464">
        <v>5.4</v>
      </c>
      <c r="U1001" s="465">
        <v>3893.4</v>
      </c>
      <c r="V1001" s="465">
        <v>18720</v>
      </c>
      <c r="W1001" s="466">
        <v>0</v>
      </c>
      <c r="X1001" s="467">
        <v>1</v>
      </c>
      <c r="Y1001" s="466">
        <v>33920.1</v>
      </c>
      <c r="Z1001" s="468" t="s">
        <v>516</v>
      </c>
      <c r="AA1001" s="466">
        <v>131276.5</v>
      </c>
      <c r="AB1001" s="466">
        <v>131276.5</v>
      </c>
      <c r="AC1001" s="467">
        <v>0</v>
      </c>
      <c r="AD1001" s="466">
        <v>0</v>
      </c>
      <c r="AE1001" s="468" t="s">
        <v>516</v>
      </c>
      <c r="AF1001" s="466">
        <v>2000</v>
      </c>
      <c r="AG1001" s="466">
        <v>2000</v>
      </c>
      <c r="AH1001" s="466">
        <v>24573.53</v>
      </c>
      <c r="AI1001" s="466">
        <v>176.59</v>
      </c>
      <c r="AJ1001" s="469" t="s">
        <v>1448</v>
      </c>
      <c r="AK1001" s="470" t="s">
        <v>1449</v>
      </c>
      <c r="AL1001" s="471" t="s">
        <v>8671</v>
      </c>
      <c r="AM1001" s="470" t="s">
        <v>8672</v>
      </c>
      <c r="AN1001" s="470" t="s">
        <v>8669</v>
      </c>
      <c r="AO1001" s="470" t="s">
        <v>8673</v>
      </c>
      <c r="AP1001" s="470" t="s">
        <v>8674</v>
      </c>
      <c r="AQ1001" s="470" t="s">
        <v>8667</v>
      </c>
      <c r="AR1001" s="472" t="s">
        <v>515</v>
      </c>
      <c r="AS1001" s="473" t="s">
        <v>1385</v>
      </c>
      <c r="AT1001" s="472" t="s">
        <v>517</v>
      </c>
      <c r="AU1001" s="472" t="s">
        <v>420</v>
      </c>
      <c r="AV1001" s="472">
        <v>2020</v>
      </c>
      <c r="AW1001" s="474" t="s">
        <v>15078</v>
      </c>
      <c r="AX1001" s="475" t="s">
        <v>15079</v>
      </c>
      <c r="AY1001" s="515">
        <v>1</v>
      </c>
      <c r="AZ1001" s="474" t="s">
        <v>15079</v>
      </c>
      <c r="BA1001" s="472" t="s">
        <v>517</v>
      </c>
      <c r="BB1001" s="472" t="s">
        <v>1385</v>
      </c>
      <c r="BC1001" s="472" t="s">
        <v>1385</v>
      </c>
      <c r="BD1001" s="472" t="s">
        <v>1385</v>
      </c>
      <c r="BE1001" s="472" t="s">
        <v>1385</v>
      </c>
      <c r="BF1001" s="472">
        <v>33920.1</v>
      </c>
      <c r="BG1001" s="472">
        <v>0</v>
      </c>
      <c r="BH1001" s="472" t="s">
        <v>1385</v>
      </c>
      <c r="BI1001" s="510">
        <v>0</v>
      </c>
      <c r="BJ1001" s="510">
        <v>0</v>
      </c>
      <c r="BK1001" s="510">
        <v>0</v>
      </c>
      <c r="BL1001" s="510">
        <v>3500</v>
      </c>
      <c r="BM1001" s="510">
        <v>0</v>
      </c>
      <c r="BN1001" s="510">
        <v>5000</v>
      </c>
      <c r="BO1001" s="510">
        <v>0</v>
      </c>
      <c r="BP1001" s="510">
        <v>2000</v>
      </c>
      <c r="BQ1001" s="510">
        <v>0</v>
      </c>
      <c r="BR1001" s="510">
        <v>0</v>
      </c>
      <c r="BS1001" s="510">
        <v>0</v>
      </c>
      <c r="BT1001" s="510">
        <v>0</v>
      </c>
      <c r="BU1001" s="510">
        <v>2500</v>
      </c>
      <c r="BV1001" s="510">
        <v>2500</v>
      </c>
      <c r="BW1001" s="510">
        <v>0</v>
      </c>
      <c r="BX1001" s="510">
        <v>30000</v>
      </c>
      <c r="BY1001" s="1011">
        <v>0</v>
      </c>
      <c r="BZ1001" s="510">
        <v>0</v>
      </c>
      <c r="CA1001" s="1011">
        <v>0</v>
      </c>
      <c r="CB1001" s="510">
        <v>22000</v>
      </c>
      <c r="CC1001" s="1011">
        <v>0</v>
      </c>
      <c r="CD1001" s="510">
        <v>0</v>
      </c>
      <c r="CE1001" s="1011">
        <v>0</v>
      </c>
      <c r="CF1001" s="510">
        <v>45356.4</v>
      </c>
      <c r="CG1001" s="1011">
        <v>0</v>
      </c>
      <c r="CH1001" s="510">
        <v>0</v>
      </c>
      <c r="CI1001" s="1011">
        <v>0</v>
      </c>
    </row>
    <row r="1002" spans="1:87" x14ac:dyDescent="0.2">
      <c r="A1002" s="449">
        <v>45</v>
      </c>
      <c r="B1002" s="453">
        <v>94919</v>
      </c>
      <c r="C1002" s="454" t="s">
        <v>8675</v>
      </c>
      <c r="D1002" s="454" t="s">
        <v>517</v>
      </c>
      <c r="E1002" s="454" t="s">
        <v>8676</v>
      </c>
      <c r="F1002" s="454" t="s">
        <v>525</v>
      </c>
      <c r="G1002" s="454" t="s">
        <v>13984</v>
      </c>
      <c r="H1002" s="455">
        <v>54461306000174</v>
      </c>
      <c r="I1002" s="462">
        <v>30848</v>
      </c>
      <c r="J1002" s="457">
        <v>37382217</v>
      </c>
      <c r="K1002" s="454" t="s">
        <v>1533</v>
      </c>
      <c r="L1002" s="458">
        <v>212</v>
      </c>
      <c r="M1002" s="454" t="s">
        <v>1534</v>
      </c>
      <c r="N1002" s="459">
        <v>2258220</v>
      </c>
      <c r="O1002" s="460">
        <v>22491149</v>
      </c>
      <c r="P1002" s="462">
        <v>330801</v>
      </c>
      <c r="Q1002" s="462">
        <v>45</v>
      </c>
      <c r="R1002" s="462">
        <v>43950</v>
      </c>
      <c r="S1002" s="463">
        <v>766</v>
      </c>
      <c r="T1002" s="464">
        <v>5.4</v>
      </c>
      <c r="U1002" s="465">
        <v>4136.3999999999996</v>
      </c>
      <c r="V1002" s="465">
        <v>18720</v>
      </c>
      <c r="W1002" s="466">
        <v>0</v>
      </c>
      <c r="X1002" s="467">
        <v>1</v>
      </c>
      <c r="Y1002" s="466">
        <v>39900.6</v>
      </c>
      <c r="Z1002" s="468" t="s">
        <v>516</v>
      </c>
      <c r="AA1002" s="466">
        <v>153489</v>
      </c>
      <c r="AB1002" s="466">
        <v>153489</v>
      </c>
      <c r="AC1002" s="467">
        <v>0</v>
      </c>
      <c r="AD1002" s="466">
        <v>0</v>
      </c>
      <c r="AE1002" s="468" t="s">
        <v>516</v>
      </c>
      <c r="AF1002" s="466">
        <v>2000</v>
      </c>
      <c r="AG1002" s="466">
        <v>2000</v>
      </c>
      <c r="AH1002" s="466">
        <v>37321.360000000001</v>
      </c>
      <c r="AI1002" s="466">
        <v>19623.68</v>
      </c>
      <c r="AJ1002" s="469" t="s">
        <v>1448</v>
      </c>
      <c r="AK1002" s="470" t="s">
        <v>1449</v>
      </c>
      <c r="AL1002" s="471" t="s">
        <v>8677</v>
      </c>
      <c r="AM1002" s="470" t="s">
        <v>8678</v>
      </c>
      <c r="AN1002" s="470" t="s">
        <v>8679</v>
      </c>
      <c r="AO1002" s="470" t="s">
        <v>13985</v>
      </c>
      <c r="AP1002" s="470" t="s">
        <v>8680</v>
      </c>
      <c r="AQ1002" s="470" t="s">
        <v>8675</v>
      </c>
      <c r="AR1002" s="472" t="s">
        <v>515</v>
      </c>
      <c r="AS1002" s="473" t="s">
        <v>1385</v>
      </c>
      <c r="AT1002" s="472" t="s">
        <v>517</v>
      </c>
      <c r="AU1002" s="472" t="s">
        <v>420</v>
      </c>
      <c r="AV1002" s="472">
        <v>2020</v>
      </c>
      <c r="AW1002" s="474" t="s">
        <v>15078</v>
      </c>
      <c r="AX1002" s="475" t="s">
        <v>15079</v>
      </c>
      <c r="AY1002" s="515">
        <v>1</v>
      </c>
      <c r="AZ1002" s="474" t="s">
        <v>15079</v>
      </c>
      <c r="BA1002" s="472" t="s">
        <v>517</v>
      </c>
      <c r="BB1002" s="472" t="s">
        <v>516</v>
      </c>
      <c r="BC1002" s="472">
        <v>3</v>
      </c>
      <c r="BD1002" s="472">
        <v>3744</v>
      </c>
      <c r="BE1002" s="472">
        <v>0</v>
      </c>
      <c r="BF1002" s="472">
        <v>39900.6</v>
      </c>
      <c r="BG1002" s="472">
        <v>0</v>
      </c>
      <c r="BH1002" s="472" t="s">
        <v>1385</v>
      </c>
      <c r="BI1002" s="510">
        <v>0</v>
      </c>
      <c r="BJ1002" s="510">
        <v>0</v>
      </c>
      <c r="BK1002" s="510">
        <v>0</v>
      </c>
      <c r="BL1002" s="510">
        <v>1094.7</v>
      </c>
      <c r="BM1002" s="510">
        <v>0</v>
      </c>
      <c r="BN1002" s="510">
        <v>2800</v>
      </c>
      <c r="BO1002" s="510">
        <v>0</v>
      </c>
      <c r="BP1002" s="510">
        <v>2000</v>
      </c>
      <c r="BQ1002" s="510">
        <v>0</v>
      </c>
      <c r="BR1002" s="510">
        <v>0</v>
      </c>
      <c r="BS1002" s="510">
        <v>0</v>
      </c>
      <c r="BT1002" s="510">
        <v>0</v>
      </c>
      <c r="BU1002" s="510">
        <v>2500</v>
      </c>
      <c r="BV1002" s="510">
        <v>2500</v>
      </c>
      <c r="BW1002" s="510">
        <v>0</v>
      </c>
      <c r="BX1002" s="510">
        <v>30000</v>
      </c>
      <c r="BY1002" s="1011">
        <v>0</v>
      </c>
      <c r="BZ1002" s="510">
        <v>0</v>
      </c>
      <c r="CA1002" s="1011">
        <v>0</v>
      </c>
      <c r="CB1002" s="510">
        <v>22000</v>
      </c>
      <c r="CC1002" s="1011">
        <v>0</v>
      </c>
      <c r="CD1002" s="510">
        <v>0</v>
      </c>
      <c r="CE1002" s="1011">
        <v>0</v>
      </c>
      <c r="CF1002" s="510">
        <v>61588.4</v>
      </c>
      <c r="CG1002" s="1011">
        <v>0</v>
      </c>
      <c r="CH1002" s="510">
        <v>0</v>
      </c>
      <c r="CI1002" s="1011">
        <v>0</v>
      </c>
    </row>
    <row r="1003" spans="1:87" x14ac:dyDescent="0.2">
      <c r="A1003" s="449">
        <v>47</v>
      </c>
      <c r="B1003" s="453">
        <v>94927</v>
      </c>
      <c r="C1003" s="454" t="s">
        <v>8681</v>
      </c>
      <c r="D1003" s="454" t="s">
        <v>517</v>
      </c>
      <c r="E1003" s="454" t="s">
        <v>8682</v>
      </c>
      <c r="F1003" s="454" t="s">
        <v>525</v>
      </c>
      <c r="G1003" s="454" t="s">
        <v>13986</v>
      </c>
      <c r="H1003" s="455">
        <v>52635935000148</v>
      </c>
      <c r="I1003" s="462">
        <v>30491</v>
      </c>
      <c r="J1003" s="457">
        <v>37380486</v>
      </c>
      <c r="K1003" s="454" t="s">
        <v>8683</v>
      </c>
      <c r="L1003" s="458">
        <v>573</v>
      </c>
      <c r="M1003" s="454" t="s">
        <v>6858</v>
      </c>
      <c r="N1003" s="459">
        <v>2235000</v>
      </c>
      <c r="O1003" s="460">
        <v>22015241</v>
      </c>
      <c r="P1003" s="462">
        <v>330852</v>
      </c>
      <c r="Q1003" s="462">
        <v>47</v>
      </c>
      <c r="R1003" s="462">
        <v>43950</v>
      </c>
      <c r="S1003" s="463">
        <v>1017</v>
      </c>
      <c r="T1003" s="464">
        <v>5.4</v>
      </c>
      <c r="U1003" s="465">
        <v>5491.8</v>
      </c>
      <c r="V1003" s="465">
        <v>20340</v>
      </c>
      <c r="W1003" s="466">
        <v>0</v>
      </c>
      <c r="X1003" s="467">
        <v>1</v>
      </c>
      <c r="Y1003" s="466">
        <v>38747.699999999997</v>
      </c>
      <c r="Z1003" s="468" t="s">
        <v>516</v>
      </c>
      <c r="AA1003" s="466">
        <v>142810.9</v>
      </c>
      <c r="AB1003" s="466">
        <v>142810.9</v>
      </c>
      <c r="AC1003" s="467">
        <v>0</v>
      </c>
      <c r="AD1003" s="466">
        <v>0</v>
      </c>
      <c r="AE1003" s="468" t="s">
        <v>516</v>
      </c>
      <c r="AF1003" s="466">
        <v>2000</v>
      </c>
      <c r="AG1003" s="466">
        <v>2000</v>
      </c>
      <c r="AH1003" s="466">
        <v>57041.34</v>
      </c>
      <c r="AI1003" s="466">
        <v>16607.759999999998</v>
      </c>
      <c r="AJ1003" s="469" t="s">
        <v>8581</v>
      </c>
      <c r="AK1003" s="470" t="s">
        <v>4525</v>
      </c>
      <c r="AL1003" s="471" t="s">
        <v>8684</v>
      </c>
      <c r="AM1003" s="470" t="s">
        <v>8685</v>
      </c>
      <c r="AN1003" s="470" t="s">
        <v>8686</v>
      </c>
      <c r="AO1003" s="470" t="s">
        <v>8687</v>
      </c>
      <c r="AP1003" s="470" t="s">
        <v>8688</v>
      </c>
      <c r="AQ1003" s="470" t="s">
        <v>8681</v>
      </c>
      <c r="AR1003" s="472" t="s">
        <v>515</v>
      </c>
      <c r="AS1003" s="473" t="s">
        <v>1385</v>
      </c>
      <c r="AT1003" s="472" t="s">
        <v>517</v>
      </c>
      <c r="AU1003" s="472" t="s">
        <v>420</v>
      </c>
      <c r="AV1003" s="472">
        <v>2020</v>
      </c>
      <c r="AW1003" s="474" t="s">
        <v>15078</v>
      </c>
      <c r="AX1003" s="475" t="s">
        <v>15079</v>
      </c>
      <c r="AY1003" s="515">
        <v>1</v>
      </c>
      <c r="AZ1003" s="474" t="s">
        <v>15079</v>
      </c>
      <c r="BA1003" s="472" t="s">
        <v>517</v>
      </c>
      <c r="BB1003" s="472" t="s">
        <v>1385</v>
      </c>
      <c r="BC1003" s="472" t="s">
        <v>1385</v>
      </c>
      <c r="BD1003" s="472" t="s">
        <v>1385</v>
      </c>
      <c r="BE1003" s="472" t="s">
        <v>1385</v>
      </c>
      <c r="BF1003" s="472">
        <v>38747.699999999997</v>
      </c>
      <c r="BG1003" s="472">
        <v>0</v>
      </c>
      <c r="BH1003" s="472" t="s">
        <v>1385</v>
      </c>
      <c r="BI1003" s="510">
        <v>0</v>
      </c>
      <c r="BJ1003" s="510">
        <v>0</v>
      </c>
      <c r="BK1003" s="510">
        <v>0</v>
      </c>
      <c r="BL1003" s="510">
        <v>0</v>
      </c>
      <c r="BM1003" s="510">
        <v>0</v>
      </c>
      <c r="BN1003" s="510">
        <v>5000</v>
      </c>
      <c r="BO1003" s="510">
        <v>0</v>
      </c>
      <c r="BP1003" s="510">
        <v>2000</v>
      </c>
      <c r="BQ1003" s="510">
        <v>0</v>
      </c>
      <c r="BR1003" s="510">
        <v>0</v>
      </c>
      <c r="BS1003" s="510">
        <v>0</v>
      </c>
      <c r="BT1003" s="510">
        <v>0</v>
      </c>
      <c r="BU1003" s="510">
        <v>2500</v>
      </c>
      <c r="BV1003" s="510">
        <v>2500</v>
      </c>
      <c r="BW1003" s="510">
        <v>0</v>
      </c>
      <c r="BX1003" s="510">
        <v>30000</v>
      </c>
      <c r="BY1003" s="1011">
        <v>0</v>
      </c>
      <c r="BZ1003" s="510">
        <v>0</v>
      </c>
      <c r="CA1003" s="1011">
        <v>0</v>
      </c>
      <c r="CB1003" s="510">
        <v>22000</v>
      </c>
      <c r="CC1003" s="1011">
        <v>0</v>
      </c>
      <c r="CD1003" s="510">
        <v>0</v>
      </c>
      <c r="CE1003" s="1011">
        <v>0</v>
      </c>
      <c r="CF1003" s="510">
        <v>52063.199999999997</v>
      </c>
      <c r="CG1003" s="1011">
        <v>0</v>
      </c>
      <c r="CH1003" s="510">
        <v>0</v>
      </c>
      <c r="CI1003" s="1011">
        <v>0</v>
      </c>
    </row>
    <row r="1004" spans="1:87" x14ac:dyDescent="0.2">
      <c r="A1004" s="449">
        <v>36</v>
      </c>
      <c r="B1004" s="453">
        <v>94935</v>
      </c>
      <c r="C1004" s="454" t="s">
        <v>8689</v>
      </c>
      <c r="D1004" s="454" t="s">
        <v>517</v>
      </c>
      <c r="E1004" s="454" t="s">
        <v>8690</v>
      </c>
      <c r="F1004" s="454" t="s">
        <v>525</v>
      </c>
      <c r="G1004" s="454" t="s">
        <v>13987</v>
      </c>
      <c r="H1004" s="455">
        <v>59174177000157</v>
      </c>
      <c r="I1004" s="462">
        <v>32302</v>
      </c>
      <c r="J1004" s="457">
        <v>37587528</v>
      </c>
      <c r="K1004" s="454" t="s">
        <v>8692</v>
      </c>
      <c r="L1004" s="458">
        <v>1001</v>
      </c>
      <c r="M1004" s="454" t="s">
        <v>8693</v>
      </c>
      <c r="N1004" s="459">
        <v>2206000</v>
      </c>
      <c r="O1004" s="460">
        <v>22019788</v>
      </c>
      <c r="P1004" s="462">
        <v>328300</v>
      </c>
      <c r="Q1004" s="462">
        <v>36</v>
      </c>
      <c r="R1004" s="462">
        <v>43950</v>
      </c>
      <c r="S1004" s="463">
        <v>486</v>
      </c>
      <c r="T1004" s="464">
        <v>5.4</v>
      </c>
      <c r="U1004" s="465">
        <v>2624.4</v>
      </c>
      <c r="V1004" s="465">
        <v>15480</v>
      </c>
      <c r="W1004" s="466">
        <v>0</v>
      </c>
      <c r="X1004" s="467">
        <v>1</v>
      </c>
      <c r="Y1004" s="466">
        <v>27156.6</v>
      </c>
      <c r="Z1004" s="468" t="s">
        <v>516</v>
      </c>
      <c r="AA1004" s="466">
        <v>131417</v>
      </c>
      <c r="AB1004" s="466">
        <v>131417</v>
      </c>
      <c r="AC1004" s="467">
        <v>0</v>
      </c>
      <c r="AD1004" s="466">
        <v>0</v>
      </c>
      <c r="AE1004" s="468" t="s">
        <v>516</v>
      </c>
      <c r="AF1004" s="466">
        <v>0</v>
      </c>
      <c r="AG1004" s="466">
        <v>0</v>
      </c>
      <c r="AH1004" s="466">
        <v>20954.53</v>
      </c>
      <c r="AI1004" s="466">
        <v>1121.44</v>
      </c>
      <c r="AJ1004" s="469" t="s">
        <v>1535</v>
      </c>
      <c r="AK1004" s="470" t="s">
        <v>1536</v>
      </c>
      <c r="AL1004" s="471" t="s">
        <v>8694</v>
      </c>
      <c r="AM1004" s="470" t="s">
        <v>8695</v>
      </c>
      <c r="AN1004" s="470" t="s">
        <v>8691</v>
      </c>
      <c r="AO1004" s="470" t="s">
        <v>13988</v>
      </c>
      <c r="AP1004" s="470" t="s">
        <v>8696</v>
      </c>
      <c r="AQ1004" s="470" t="s">
        <v>8689</v>
      </c>
      <c r="AR1004" s="472" t="s">
        <v>515</v>
      </c>
      <c r="AS1004" s="473" t="s">
        <v>1385</v>
      </c>
      <c r="AT1004" s="472" t="s">
        <v>517</v>
      </c>
      <c r="AU1004" s="472" t="s">
        <v>420</v>
      </c>
      <c r="AV1004" s="472">
        <v>2020</v>
      </c>
      <c r="AW1004" s="474" t="s">
        <v>15078</v>
      </c>
      <c r="AX1004" s="475" t="s">
        <v>15079</v>
      </c>
      <c r="AY1004" s="515">
        <v>1</v>
      </c>
      <c r="AZ1004" s="474" t="s">
        <v>15079</v>
      </c>
      <c r="BA1004" s="472" t="s">
        <v>517</v>
      </c>
      <c r="BB1004" s="472" t="s">
        <v>1385</v>
      </c>
      <c r="BC1004" s="472" t="s">
        <v>1385</v>
      </c>
      <c r="BD1004" s="472" t="s">
        <v>1385</v>
      </c>
      <c r="BE1004" s="472" t="s">
        <v>1385</v>
      </c>
      <c r="BF1004" s="472">
        <v>27156.6</v>
      </c>
      <c r="BG1004" s="472">
        <v>0</v>
      </c>
      <c r="BH1004" s="472" t="s">
        <v>1385</v>
      </c>
      <c r="BI1004" s="510">
        <v>0</v>
      </c>
      <c r="BJ1004" s="510">
        <v>0</v>
      </c>
      <c r="BK1004" s="510">
        <v>0</v>
      </c>
      <c r="BL1004" s="510">
        <v>0</v>
      </c>
      <c r="BM1004" s="510">
        <v>0</v>
      </c>
      <c r="BN1004" s="510">
        <v>3500</v>
      </c>
      <c r="BO1004" s="510">
        <v>0</v>
      </c>
      <c r="BP1004" s="510">
        <v>0</v>
      </c>
      <c r="BQ1004" s="510">
        <v>0</v>
      </c>
      <c r="BR1004" s="510">
        <v>0</v>
      </c>
      <c r="BS1004" s="510">
        <v>0</v>
      </c>
      <c r="BT1004" s="510">
        <v>0</v>
      </c>
      <c r="BU1004" s="510">
        <v>2500</v>
      </c>
      <c r="BV1004" s="510">
        <v>2500</v>
      </c>
      <c r="BW1004" s="510">
        <v>0</v>
      </c>
      <c r="BX1004" s="510">
        <v>30000</v>
      </c>
      <c r="BY1004" s="1011">
        <v>0</v>
      </c>
      <c r="BZ1004" s="510">
        <v>0</v>
      </c>
      <c r="CA1004" s="1011">
        <v>0</v>
      </c>
      <c r="CB1004" s="510">
        <v>22000</v>
      </c>
      <c r="CC1004" s="1011">
        <v>0</v>
      </c>
      <c r="CD1004" s="510">
        <v>0</v>
      </c>
      <c r="CE1004" s="1011">
        <v>0</v>
      </c>
      <c r="CF1004" s="510">
        <v>52260.4</v>
      </c>
      <c r="CG1004" s="1011">
        <v>0</v>
      </c>
      <c r="CH1004" s="510">
        <v>0</v>
      </c>
      <c r="CI1004" s="1011">
        <v>0</v>
      </c>
    </row>
    <row r="1005" spans="1:87" x14ac:dyDescent="0.2">
      <c r="A1005" s="449">
        <v>57</v>
      </c>
      <c r="B1005" s="453">
        <v>94943</v>
      </c>
      <c r="C1005" s="454" t="s">
        <v>8697</v>
      </c>
      <c r="D1005" s="454" t="s">
        <v>517</v>
      </c>
      <c r="E1005" s="454" t="s">
        <v>8698</v>
      </c>
      <c r="F1005" s="454" t="s">
        <v>525</v>
      </c>
      <c r="G1005" s="454" t="s">
        <v>13989</v>
      </c>
      <c r="H1005" s="455">
        <v>52946217000192</v>
      </c>
      <c r="I1005" s="462">
        <v>30602</v>
      </c>
      <c r="J1005" s="457">
        <v>37387014</v>
      </c>
      <c r="K1005" s="454" t="s">
        <v>8700</v>
      </c>
      <c r="L1005" s="458">
        <v>242</v>
      </c>
      <c r="M1005" s="454" t="s">
        <v>8701</v>
      </c>
      <c r="N1005" s="459">
        <v>2247010</v>
      </c>
      <c r="O1005" s="460">
        <v>22129637</v>
      </c>
      <c r="P1005" s="462">
        <v>332944</v>
      </c>
      <c r="Q1005" s="462">
        <v>57</v>
      </c>
      <c r="R1005" s="462">
        <v>43950</v>
      </c>
      <c r="S1005" s="463">
        <v>543</v>
      </c>
      <c r="T1005" s="464">
        <v>5.4</v>
      </c>
      <c r="U1005" s="465">
        <v>2932.2</v>
      </c>
      <c r="V1005" s="465">
        <v>17100</v>
      </c>
      <c r="W1005" s="466">
        <v>0</v>
      </c>
      <c r="X1005" s="467">
        <v>1</v>
      </c>
      <c r="Y1005" s="466">
        <v>30048.3</v>
      </c>
      <c r="Z1005" s="468" t="s">
        <v>516</v>
      </c>
      <c r="AA1005" s="466">
        <v>122533.9</v>
      </c>
      <c r="AB1005" s="466">
        <v>122533.9</v>
      </c>
      <c r="AC1005" s="467">
        <v>0</v>
      </c>
      <c r="AD1005" s="466">
        <v>0</v>
      </c>
      <c r="AE1005" s="468" t="s">
        <v>516</v>
      </c>
      <c r="AF1005" s="466">
        <v>0</v>
      </c>
      <c r="AG1005" s="466">
        <v>0</v>
      </c>
      <c r="AH1005" s="466">
        <v>29302.74</v>
      </c>
      <c r="AI1005" s="466">
        <v>18248.14</v>
      </c>
      <c r="AJ1005" s="469" t="s">
        <v>1448</v>
      </c>
      <c r="AK1005" s="470" t="s">
        <v>1449</v>
      </c>
      <c r="AL1005" s="471" t="s">
        <v>8702</v>
      </c>
      <c r="AM1005" s="470" t="s">
        <v>8703</v>
      </c>
      <c r="AN1005" s="470" t="s">
        <v>8699</v>
      </c>
      <c r="AO1005" s="470" t="s">
        <v>8704</v>
      </c>
      <c r="AP1005" s="470" t="s">
        <v>8705</v>
      </c>
      <c r="AQ1005" s="470" t="s">
        <v>8697</v>
      </c>
      <c r="AR1005" s="472" t="s">
        <v>515</v>
      </c>
      <c r="AS1005" s="473" t="s">
        <v>1385</v>
      </c>
      <c r="AT1005" s="472" t="s">
        <v>517</v>
      </c>
      <c r="AU1005" s="472" t="s">
        <v>420</v>
      </c>
      <c r="AV1005" s="472">
        <v>2020</v>
      </c>
      <c r="AW1005" s="474" t="s">
        <v>15078</v>
      </c>
      <c r="AX1005" s="475" t="s">
        <v>15079</v>
      </c>
      <c r="AY1005" s="515">
        <v>1</v>
      </c>
      <c r="AZ1005" s="474" t="s">
        <v>15079</v>
      </c>
      <c r="BA1005" s="472" t="s">
        <v>517</v>
      </c>
      <c r="BB1005" s="472" t="s">
        <v>1385</v>
      </c>
      <c r="BC1005" s="472" t="s">
        <v>1385</v>
      </c>
      <c r="BD1005" s="472" t="s">
        <v>1385</v>
      </c>
      <c r="BE1005" s="472" t="s">
        <v>1385</v>
      </c>
      <c r="BF1005" s="472">
        <v>30048.3</v>
      </c>
      <c r="BG1005" s="472">
        <v>0</v>
      </c>
      <c r="BH1005" s="472" t="s">
        <v>1385</v>
      </c>
      <c r="BI1005" s="510">
        <v>0</v>
      </c>
      <c r="BJ1005" s="510">
        <v>0</v>
      </c>
      <c r="BK1005" s="510">
        <v>0</v>
      </c>
      <c r="BL1005" s="510">
        <v>3500</v>
      </c>
      <c r="BM1005" s="510">
        <v>0</v>
      </c>
      <c r="BN1005" s="510">
        <v>3500</v>
      </c>
      <c r="BO1005" s="510">
        <v>0</v>
      </c>
      <c r="BP1005" s="510">
        <v>0</v>
      </c>
      <c r="BQ1005" s="510">
        <v>0</v>
      </c>
      <c r="BR1005" s="510">
        <v>0</v>
      </c>
      <c r="BS1005" s="510">
        <v>0</v>
      </c>
      <c r="BT1005" s="510">
        <v>0</v>
      </c>
      <c r="BU1005" s="510">
        <v>0</v>
      </c>
      <c r="BV1005" s="510">
        <v>0</v>
      </c>
      <c r="BW1005" s="510">
        <v>0</v>
      </c>
      <c r="BX1005" s="510">
        <v>30000</v>
      </c>
      <c r="BY1005" s="1011">
        <v>0</v>
      </c>
      <c r="BZ1005" s="510">
        <v>0</v>
      </c>
      <c r="CA1005" s="1011">
        <v>0</v>
      </c>
      <c r="CB1005" s="510">
        <v>22000</v>
      </c>
      <c r="CC1005" s="1011">
        <v>0</v>
      </c>
      <c r="CD1005" s="510">
        <v>0</v>
      </c>
      <c r="CE1005" s="1011">
        <v>0</v>
      </c>
      <c r="CF1005" s="510">
        <v>40485.599999999999</v>
      </c>
      <c r="CG1005" s="1011">
        <v>0</v>
      </c>
      <c r="CH1005" s="510">
        <v>0</v>
      </c>
      <c r="CI1005" s="1011">
        <v>0</v>
      </c>
    </row>
    <row r="1006" spans="1:87" x14ac:dyDescent="0.2">
      <c r="A1006" s="449">
        <v>61</v>
      </c>
      <c r="B1006" s="453">
        <v>94951</v>
      </c>
      <c r="C1006" s="454" t="s">
        <v>8706</v>
      </c>
      <c r="D1006" s="454" t="s">
        <v>517</v>
      </c>
      <c r="E1006" s="454" t="s">
        <v>8707</v>
      </c>
      <c r="F1006" s="454" t="s">
        <v>525</v>
      </c>
      <c r="G1006" s="454" t="s">
        <v>13990</v>
      </c>
      <c r="H1006" s="455">
        <v>50537018000103</v>
      </c>
      <c r="I1006" s="462">
        <v>30103</v>
      </c>
      <c r="J1006" s="457">
        <v>37587544</v>
      </c>
      <c r="K1006" s="454" t="s">
        <v>8708</v>
      </c>
      <c r="L1006" s="458">
        <v>611</v>
      </c>
      <c r="M1006" s="454" t="s">
        <v>8709</v>
      </c>
      <c r="N1006" s="459">
        <v>2083000</v>
      </c>
      <c r="O1006" s="460">
        <v>29499251</v>
      </c>
      <c r="P1006" s="462">
        <v>333010</v>
      </c>
      <c r="Q1006" s="462">
        <v>61</v>
      </c>
      <c r="R1006" s="462">
        <v>43950</v>
      </c>
      <c r="S1006" s="463">
        <v>595</v>
      </c>
      <c r="T1006" s="464">
        <v>5.4</v>
      </c>
      <c r="U1006" s="465">
        <v>3213</v>
      </c>
      <c r="V1006" s="465">
        <v>17100</v>
      </c>
      <c r="W1006" s="466">
        <v>0</v>
      </c>
      <c r="X1006" s="467">
        <v>1</v>
      </c>
      <c r="Y1006" s="466">
        <v>30469.5</v>
      </c>
      <c r="Z1006" s="468" t="s">
        <v>516</v>
      </c>
      <c r="AA1006" s="466">
        <v>142029.9</v>
      </c>
      <c r="AB1006" s="466">
        <v>142029.9</v>
      </c>
      <c r="AC1006" s="467">
        <v>0</v>
      </c>
      <c r="AD1006" s="466">
        <v>0</v>
      </c>
      <c r="AE1006" s="468" t="s">
        <v>516</v>
      </c>
      <c r="AF1006" s="466">
        <v>1000</v>
      </c>
      <c r="AG1006" s="466">
        <v>1000</v>
      </c>
      <c r="AH1006" s="466">
        <v>21677.119999999999</v>
      </c>
      <c r="AI1006" s="466">
        <v>1</v>
      </c>
      <c r="AJ1006" s="469" t="s">
        <v>1448</v>
      </c>
      <c r="AK1006" s="470" t="s">
        <v>1449</v>
      </c>
      <c r="AL1006" s="471" t="s">
        <v>8710</v>
      </c>
      <c r="AM1006" s="470" t="s">
        <v>8711</v>
      </c>
      <c r="AN1006" s="470" t="s">
        <v>8712</v>
      </c>
      <c r="AO1006" s="470" t="s">
        <v>13991</v>
      </c>
      <c r="AP1006" s="470" t="s">
        <v>8713</v>
      </c>
      <c r="AQ1006" s="470" t="s">
        <v>8706</v>
      </c>
      <c r="AR1006" s="472" t="s">
        <v>515</v>
      </c>
      <c r="AS1006" s="473" t="s">
        <v>1385</v>
      </c>
      <c r="AT1006" s="472" t="s">
        <v>517</v>
      </c>
      <c r="AU1006" s="472" t="s">
        <v>420</v>
      </c>
      <c r="AV1006" s="472">
        <v>2020</v>
      </c>
      <c r="AW1006" s="474" t="s">
        <v>15078</v>
      </c>
      <c r="AX1006" s="475" t="s">
        <v>15079</v>
      </c>
      <c r="AY1006" s="515">
        <v>1</v>
      </c>
      <c r="AZ1006" s="474" t="s">
        <v>15079</v>
      </c>
      <c r="BA1006" s="472" t="s">
        <v>517</v>
      </c>
      <c r="BB1006" s="472" t="s">
        <v>1385</v>
      </c>
      <c r="BC1006" s="472" t="s">
        <v>1385</v>
      </c>
      <c r="BD1006" s="472" t="s">
        <v>1385</v>
      </c>
      <c r="BE1006" s="472" t="s">
        <v>1385</v>
      </c>
      <c r="BF1006" s="472">
        <v>30469.5</v>
      </c>
      <c r="BG1006" s="472">
        <v>0</v>
      </c>
      <c r="BH1006" s="472" t="s">
        <v>1385</v>
      </c>
      <c r="BI1006" s="510">
        <v>0</v>
      </c>
      <c r="BJ1006" s="510">
        <v>0</v>
      </c>
      <c r="BK1006" s="510">
        <v>0</v>
      </c>
      <c r="BL1006" s="510">
        <v>0</v>
      </c>
      <c r="BM1006" s="510">
        <v>0</v>
      </c>
      <c r="BN1006" s="510">
        <v>0</v>
      </c>
      <c r="BO1006" s="510">
        <v>1000</v>
      </c>
      <c r="BP1006" s="510">
        <v>1000</v>
      </c>
      <c r="BQ1006" s="510">
        <v>0</v>
      </c>
      <c r="BR1006" s="510">
        <v>0</v>
      </c>
      <c r="BS1006" s="510">
        <v>0</v>
      </c>
      <c r="BT1006" s="510">
        <v>0</v>
      </c>
      <c r="BU1006" s="510">
        <v>2500</v>
      </c>
      <c r="BV1006" s="510">
        <v>2500</v>
      </c>
      <c r="BW1006" s="510">
        <v>0</v>
      </c>
      <c r="BX1006" s="510">
        <v>30000</v>
      </c>
      <c r="BY1006" s="1011">
        <v>0</v>
      </c>
      <c r="BZ1006" s="510">
        <v>0</v>
      </c>
      <c r="CA1006" s="1011">
        <v>0</v>
      </c>
      <c r="CB1006" s="510">
        <v>22000</v>
      </c>
      <c r="CC1006" s="1011">
        <v>0</v>
      </c>
      <c r="CD1006" s="510">
        <v>0</v>
      </c>
      <c r="CE1006" s="1011">
        <v>0</v>
      </c>
      <c r="CF1006" s="510">
        <v>58560.4</v>
      </c>
      <c r="CG1006" s="1011">
        <v>0</v>
      </c>
      <c r="CH1006" s="510">
        <v>0</v>
      </c>
      <c r="CI1006" s="1011">
        <v>0</v>
      </c>
    </row>
    <row r="1007" spans="1:87" x14ac:dyDescent="0.2">
      <c r="A1007" s="449">
        <v>44</v>
      </c>
      <c r="B1007" s="453">
        <v>94960</v>
      </c>
      <c r="C1007" s="454" t="s">
        <v>8714</v>
      </c>
      <c r="D1007" s="454" t="s">
        <v>517</v>
      </c>
      <c r="E1007" s="454" t="s">
        <v>8715</v>
      </c>
      <c r="F1007" s="454" t="s">
        <v>524</v>
      </c>
      <c r="G1007" s="454" t="s">
        <v>13992</v>
      </c>
      <c r="H1007" s="455">
        <v>53835658000180</v>
      </c>
      <c r="I1007" s="462">
        <v>30999</v>
      </c>
      <c r="J1007" s="457">
        <v>37499912</v>
      </c>
      <c r="K1007" s="454" t="s">
        <v>8717</v>
      </c>
      <c r="L1007" s="458">
        <v>575</v>
      </c>
      <c r="M1007" s="454" t="s">
        <v>8718</v>
      </c>
      <c r="N1007" s="459">
        <v>4290090</v>
      </c>
      <c r="O1007" s="460">
        <v>50611447</v>
      </c>
      <c r="P1007" s="462">
        <v>204075</v>
      </c>
      <c r="Q1007" s="462">
        <v>49</v>
      </c>
      <c r="R1007" s="462">
        <v>43906</v>
      </c>
      <c r="S1007" s="463">
        <v>692</v>
      </c>
      <c r="T1007" s="464">
        <v>5.4</v>
      </c>
      <c r="U1007" s="465">
        <v>3736.8</v>
      </c>
      <c r="V1007" s="465">
        <v>17100</v>
      </c>
      <c r="W1007" s="466">
        <v>0</v>
      </c>
      <c r="X1007" s="467">
        <v>1</v>
      </c>
      <c r="Y1007" s="466">
        <v>31255.200000000001</v>
      </c>
      <c r="Z1007" s="468" t="s">
        <v>516</v>
      </c>
      <c r="AA1007" s="466">
        <v>124745.2</v>
      </c>
      <c r="AB1007" s="466">
        <v>124745.2</v>
      </c>
      <c r="AC1007" s="467">
        <v>0</v>
      </c>
      <c r="AD1007" s="466">
        <v>0</v>
      </c>
      <c r="AE1007" s="468" t="s">
        <v>516</v>
      </c>
      <c r="AF1007" s="466">
        <v>0</v>
      </c>
      <c r="AG1007" s="466">
        <v>0</v>
      </c>
      <c r="AH1007" s="466">
        <v>39242.550000000003</v>
      </c>
      <c r="AI1007" s="466">
        <v>12502.08</v>
      </c>
      <c r="AJ1007" s="469" t="s">
        <v>2511</v>
      </c>
      <c r="AK1007" s="470" t="s">
        <v>3193</v>
      </c>
      <c r="AL1007" s="471" t="s">
        <v>8719</v>
      </c>
      <c r="AM1007" s="470" t="s">
        <v>15131</v>
      </c>
      <c r="AN1007" s="470" t="s">
        <v>8716</v>
      </c>
      <c r="AO1007" s="470" t="s">
        <v>13993</v>
      </c>
      <c r="AP1007" s="470" t="s">
        <v>8720</v>
      </c>
      <c r="AQ1007" s="470" t="s">
        <v>8714</v>
      </c>
      <c r="AR1007" s="472" t="s">
        <v>515</v>
      </c>
      <c r="AS1007" s="473" t="s">
        <v>1385</v>
      </c>
      <c r="AT1007" s="472" t="s">
        <v>517</v>
      </c>
      <c r="AU1007" s="472" t="s">
        <v>420</v>
      </c>
      <c r="AV1007" s="472">
        <v>2020</v>
      </c>
      <c r="AW1007" s="474" t="s">
        <v>15078</v>
      </c>
      <c r="AX1007" s="475" t="s">
        <v>15079</v>
      </c>
      <c r="AY1007" s="515">
        <v>1</v>
      </c>
      <c r="AZ1007" s="474" t="s">
        <v>15079</v>
      </c>
      <c r="BA1007" s="472" t="s">
        <v>517</v>
      </c>
      <c r="BB1007" s="472" t="s">
        <v>1385</v>
      </c>
      <c r="BC1007" s="472" t="s">
        <v>1385</v>
      </c>
      <c r="BD1007" s="472" t="s">
        <v>1385</v>
      </c>
      <c r="BE1007" s="472" t="s">
        <v>1385</v>
      </c>
      <c r="BF1007" s="472">
        <v>31255.200000000001</v>
      </c>
      <c r="BG1007" s="472">
        <v>0</v>
      </c>
      <c r="BH1007" s="472" t="s">
        <v>1385</v>
      </c>
      <c r="BI1007" s="510">
        <v>0</v>
      </c>
      <c r="BJ1007" s="510">
        <v>0</v>
      </c>
      <c r="BK1007" s="510">
        <v>0</v>
      </c>
      <c r="BL1007" s="510">
        <v>3500</v>
      </c>
      <c r="BM1007" s="510">
        <v>0</v>
      </c>
      <c r="BN1007" s="510">
        <v>3500</v>
      </c>
      <c r="BO1007" s="510">
        <v>0</v>
      </c>
      <c r="BP1007" s="510">
        <v>0</v>
      </c>
      <c r="BQ1007" s="510">
        <v>0</v>
      </c>
      <c r="BR1007" s="510">
        <v>0</v>
      </c>
      <c r="BS1007" s="510">
        <v>0</v>
      </c>
      <c r="BT1007" s="510">
        <v>0</v>
      </c>
      <c r="BU1007" s="510">
        <v>0</v>
      </c>
      <c r="BV1007" s="510">
        <v>0</v>
      </c>
      <c r="BW1007" s="510">
        <v>0</v>
      </c>
      <c r="BX1007" s="510">
        <v>30000</v>
      </c>
      <c r="BY1007" s="1011">
        <v>0</v>
      </c>
      <c r="BZ1007" s="510">
        <v>0</v>
      </c>
      <c r="CA1007" s="1011">
        <v>0</v>
      </c>
      <c r="CB1007" s="510">
        <v>22000</v>
      </c>
      <c r="CC1007" s="1011">
        <v>0</v>
      </c>
      <c r="CD1007" s="510">
        <v>0</v>
      </c>
      <c r="CE1007" s="1011">
        <v>0</v>
      </c>
      <c r="CF1007" s="510">
        <v>41490</v>
      </c>
      <c r="CG1007" s="1011">
        <v>0</v>
      </c>
      <c r="CH1007" s="510">
        <v>0</v>
      </c>
      <c r="CI1007" s="1011">
        <v>0</v>
      </c>
    </row>
    <row r="1008" spans="1:87" x14ac:dyDescent="0.2">
      <c r="A1008" s="449">
        <v>34</v>
      </c>
      <c r="B1008" s="453">
        <v>94978</v>
      </c>
      <c r="C1008" s="454" t="s">
        <v>8721</v>
      </c>
      <c r="D1008" s="454" t="s">
        <v>517</v>
      </c>
      <c r="E1008" s="454" t="s">
        <v>8722</v>
      </c>
      <c r="F1008" s="454" t="s">
        <v>524</v>
      </c>
      <c r="G1008" s="454" t="s">
        <v>13994</v>
      </c>
      <c r="H1008" s="455">
        <v>44858025000104</v>
      </c>
      <c r="I1008" s="462">
        <v>29507</v>
      </c>
      <c r="J1008" s="457">
        <v>37500228</v>
      </c>
      <c r="K1008" s="454" t="s">
        <v>8724</v>
      </c>
      <c r="L1008" s="458">
        <v>136</v>
      </c>
      <c r="M1008" s="454" t="s">
        <v>8725</v>
      </c>
      <c r="N1008" s="459">
        <v>4163010</v>
      </c>
      <c r="O1008" s="460">
        <v>29473336</v>
      </c>
      <c r="P1008" s="462">
        <v>200177</v>
      </c>
      <c r="Q1008" s="462">
        <v>39</v>
      </c>
      <c r="R1008" s="462">
        <v>43906</v>
      </c>
      <c r="S1008" s="463">
        <v>944</v>
      </c>
      <c r="T1008" s="464">
        <v>5.4</v>
      </c>
      <c r="U1008" s="465">
        <v>5097.6000000000004</v>
      </c>
      <c r="V1008" s="465">
        <v>20340</v>
      </c>
      <c r="W1008" s="466">
        <v>0</v>
      </c>
      <c r="X1008" s="467">
        <v>1</v>
      </c>
      <c r="Y1008" s="466">
        <v>38156.400000000001</v>
      </c>
      <c r="Z1008" s="468" t="s">
        <v>516</v>
      </c>
      <c r="AA1008" s="466">
        <v>136387.6</v>
      </c>
      <c r="AB1008" s="466">
        <v>136387.6</v>
      </c>
      <c r="AC1008" s="467">
        <v>0</v>
      </c>
      <c r="AD1008" s="466">
        <v>0</v>
      </c>
      <c r="AE1008" s="468" t="s">
        <v>516</v>
      </c>
      <c r="AF1008" s="466">
        <v>0</v>
      </c>
      <c r="AG1008" s="466">
        <v>0</v>
      </c>
      <c r="AH1008" s="466">
        <v>32540.400000000001</v>
      </c>
      <c r="AI1008" s="466">
        <v>5921.08</v>
      </c>
      <c r="AJ1008" s="469" t="s">
        <v>8726</v>
      </c>
      <c r="AK1008" s="470" t="s">
        <v>2512</v>
      </c>
      <c r="AL1008" s="471" t="s">
        <v>8727</v>
      </c>
      <c r="AM1008" s="470" t="s">
        <v>15120</v>
      </c>
      <c r="AN1008" s="470" t="s">
        <v>8723</v>
      </c>
      <c r="AO1008" s="470" t="s">
        <v>13995</v>
      </c>
      <c r="AP1008" s="470" t="s">
        <v>8728</v>
      </c>
      <c r="AQ1008" s="470" t="s">
        <v>8721</v>
      </c>
      <c r="AR1008" s="472" t="s">
        <v>515</v>
      </c>
      <c r="AS1008" s="473" t="s">
        <v>1385</v>
      </c>
      <c r="AT1008" s="472" t="s">
        <v>517</v>
      </c>
      <c r="AU1008" s="472" t="s">
        <v>420</v>
      </c>
      <c r="AV1008" s="472">
        <v>2020</v>
      </c>
      <c r="AW1008" s="474" t="s">
        <v>15078</v>
      </c>
      <c r="AX1008" s="475" t="s">
        <v>15079</v>
      </c>
      <c r="AY1008" s="515">
        <v>1</v>
      </c>
      <c r="AZ1008" s="474" t="s">
        <v>15079</v>
      </c>
      <c r="BA1008" s="472" t="s">
        <v>517</v>
      </c>
      <c r="BB1008" s="472" t="s">
        <v>1385</v>
      </c>
      <c r="BC1008" s="472" t="s">
        <v>1385</v>
      </c>
      <c r="BD1008" s="472" t="s">
        <v>1385</v>
      </c>
      <c r="BE1008" s="472" t="s">
        <v>1385</v>
      </c>
      <c r="BF1008" s="472">
        <v>38156.400000000001</v>
      </c>
      <c r="BG1008" s="472">
        <v>0</v>
      </c>
      <c r="BH1008" s="472" t="s">
        <v>1385</v>
      </c>
      <c r="BI1008" s="510">
        <v>0</v>
      </c>
      <c r="BJ1008" s="510">
        <v>0</v>
      </c>
      <c r="BK1008" s="510">
        <v>0</v>
      </c>
      <c r="BL1008" s="510">
        <v>3500</v>
      </c>
      <c r="BM1008" s="510">
        <v>0</v>
      </c>
      <c r="BN1008" s="510">
        <v>5000</v>
      </c>
      <c r="BO1008" s="510">
        <v>0</v>
      </c>
      <c r="BP1008" s="510">
        <v>0</v>
      </c>
      <c r="BQ1008" s="510">
        <v>0</v>
      </c>
      <c r="BR1008" s="510">
        <v>0</v>
      </c>
      <c r="BS1008" s="510">
        <v>0</v>
      </c>
      <c r="BT1008" s="510">
        <v>0</v>
      </c>
      <c r="BU1008" s="510">
        <v>0</v>
      </c>
      <c r="BV1008" s="510">
        <v>0</v>
      </c>
      <c r="BW1008" s="510">
        <v>0</v>
      </c>
      <c r="BX1008" s="510">
        <v>30000</v>
      </c>
      <c r="BY1008" s="1011">
        <v>0</v>
      </c>
      <c r="BZ1008" s="510">
        <v>0</v>
      </c>
      <c r="CA1008" s="1011">
        <v>0</v>
      </c>
      <c r="CB1008" s="510">
        <v>22000</v>
      </c>
      <c r="CC1008" s="1011">
        <v>0</v>
      </c>
      <c r="CD1008" s="510">
        <v>0</v>
      </c>
      <c r="CE1008" s="1011">
        <v>0</v>
      </c>
      <c r="CF1008" s="510">
        <v>46231.199999999997</v>
      </c>
      <c r="CG1008" s="1011">
        <v>0</v>
      </c>
      <c r="CH1008" s="510">
        <v>0</v>
      </c>
      <c r="CI1008" s="1011">
        <v>0</v>
      </c>
    </row>
    <row r="1009" spans="1:87" x14ac:dyDescent="0.2">
      <c r="A1009" s="449">
        <v>57</v>
      </c>
      <c r="B1009" s="453">
        <v>94986</v>
      </c>
      <c r="C1009" s="454" t="s">
        <v>8729</v>
      </c>
      <c r="D1009" s="454" t="s">
        <v>517</v>
      </c>
      <c r="E1009" s="454" t="s">
        <v>8730</v>
      </c>
      <c r="F1009" s="454" t="s">
        <v>524</v>
      </c>
      <c r="G1009" s="454" t="s">
        <v>13996</v>
      </c>
      <c r="H1009" s="455">
        <v>45593878000116</v>
      </c>
      <c r="I1009" s="462">
        <v>29475</v>
      </c>
      <c r="J1009" s="457">
        <v>37499777</v>
      </c>
      <c r="K1009" s="454" t="s">
        <v>8732</v>
      </c>
      <c r="L1009" s="458">
        <v>266</v>
      </c>
      <c r="M1009" s="454" t="s">
        <v>8733</v>
      </c>
      <c r="N1009" s="459">
        <v>4294030</v>
      </c>
      <c r="O1009" s="460">
        <v>29470014</v>
      </c>
      <c r="P1009" s="462">
        <v>201106</v>
      </c>
      <c r="Q1009" s="462">
        <v>62</v>
      </c>
      <c r="R1009" s="462">
        <v>43906</v>
      </c>
      <c r="S1009" s="463">
        <v>693</v>
      </c>
      <c r="T1009" s="464">
        <v>5.4</v>
      </c>
      <c r="U1009" s="465">
        <v>3742.2</v>
      </c>
      <c r="V1009" s="465">
        <v>17100</v>
      </c>
      <c r="W1009" s="466">
        <v>0</v>
      </c>
      <c r="X1009" s="467">
        <v>1</v>
      </c>
      <c r="Y1009" s="466">
        <v>31263.3</v>
      </c>
      <c r="Z1009" s="468" t="s">
        <v>516</v>
      </c>
      <c r="AA1009" s="466">
        <v>124688.5</v>
      </c>
      <c r="AB1009" s="466">
        <v>124688.5</v>
      </c>
      <c r="AC1009" s="467">
        <v>0</v>
      </c>
      <c r="AD1009" s="466">
        <v>0</v>
      </c>
      <c r="AE1009" s="468" t="s">
        <v>516</v>
      </c>
      <c r="AF1009" s="466">
        <v>2000</v>
      </c>
      <c r="AG1009" s="466">
        <v>2000</v>
      </c>
      <c r="AH1009" s="466">
        <v>22029.07</v>
      </c>
      <c r="AI1009" s="466">
        <v>13547.6</v>
      </c>
      <c r="AJ1009" s="469" t="s">
        <v>1759</v>
      </c>
      <c r="AK1009" s="470" t="s">
        <v>1760</v>
      </c>
      <c r="AL1009" s="471" t="s">
        <v>8734</v>
      </c>
      <c r="AM1009" s="470" t="s">
        <v>15145</v>
      </c>
      <c r="AN1009" s="470" t="s">
        <v>8731</v>
      </c>
      <c r="AO1009" s="470" t="s">
        <v>13997</v>
      </c>
      <c r="AP1009" s="470" t="s">
        <v>8735</v>
      </c>
      <c r="AQ1009" s="470" t="s">
        <v>8729</v>
      </c>
      <c r="AR1009" s="472" t="s">
        <v>515</v>
      </c>
      <c r="AS1009" s="473" t="s">
        <v>1385</v>
      </c>
      <c r="AT1009" s="472" t="s">
        <v>517</v>
      </c>
      <c r="AU1009" s="472" t="s">
        <v>420</v>
      </c>
      <c r="AV1009" s="472">
        <v>2020</v>
      </c>
      <c r="AW1009" s="474" t="s">
        <v>15078</v>
      </c>
      <c r="AX1009" s="475" t="s">
        <v>15079</v>
      </c>
      <c r="AY1009" s="515">
        <v>1</v>
      </c>
      <c r="AZ1009" s="474" t="s">
        <v>15079</v>
      </c>
      <c r="BA1009" s="472" t="s">
        <v>517</v>
      </c>
      <c r="BB1009" s="472" t="s">
        <v>1385</v>
      </c>
      <c r="BC1009" s="472" t="s">
        <v>1385</v>
      </c>
      <c r="BD1009" s="472" t="s">
        <v>1385</v>
      </c>
      <c r="BE1009" s="472" t="s">
        <v>1385</v>
      </c>
      <c r="BF1009" s="472">
        <v>31263.3</v>
      </c>
      <c r="BG1009" s="472">
        <v>0</v>
      </c>
      <c r="BH1009" s="472" t="s">
        <v>1385</v>
      </c>
      <c r="BI1009" s="510">
        <v>0</v>
      </c>
      <c r="BJ1009" s="510">
        <v>0</v>
      </c>
      <c r="BK1009" s="510">
        <v>0</v>
      </c>
      <c r="BL1009" s="510">
        <v>2243.36</v>
      </c>
      <c r="BM1009" s="510">
        <v>0</v>
      </c>
      <c r="BN1009" s="510">
        <v>3500</v>
      </c>
      <c r="BO1009" s="510">
        <v>0</v>
      </c>
      <c r="BP1009" s="510">
        <v>2000</v>
      </c>
      <c r="BQ1009" s="510">
        <v>0</v>
      </c>
      <c r="BR1009" s="510">
        <v>0</v>
      </c>
      <c r="BS1009" s="510">
        <v>0</v>
      </c>
      <c r="BT1009" s="510">
        <v>0</v>
      </c>
      <c r="BU1009" s="510">
        <v>0</v>
      </c>
      <c r="BV1009" s="510">
        <v>0</v>
      </c>
      <c r="BW1009" s="510">
        <v>0</v>
      </c>
      <c r="BX1009" s="510">
        <v>30000</v>
      </c>
      <c r="BY1009" s="1011">
        <v>0</v>
      </c>
      <c r="BZ1009" s="510">
        <v>0</v>
      </c>
      <c r="CA1009" s="1011">
        <v>0</v>
      </c>
      <c r="CB1009" s="510">
        <v>22000</v>
      </c>
      <c r="CC1009" s="1011">
        <v>0</v>
      </c>
      <c r="CD1009" s="510">
        <v>0</v>
      </c>
      <c r="CE1009" s="1011">
        <v>0</v>
      </c>
      <c r="CF1009" s="510">
        <v>41425.199999999997</v>
      </c>
      <c r="CG1009" s="1011">
        <v>0</v>
      </c>
      <c r="CH1009" s="510">
        <v>0</v>
      </c>
      <c r="CI1009" s="1011">
        <v>0</v>
      </c>
    </row>
    <row r="1010" spans="1:87" x14ac:dyDescent="0.2">
      <c r="A1010" s="449">
        <v>50</v>
      </c>
      <c r="B1010" s="453">
        <v>94994</v>
      </c>
      <c r="C1010" s="454" t="s">
        <v>8736</v>
      </c>
      <c r="D1010" s="454" t="s">
        <v>517</v>
      </c>
      <c r="E1010" s="454" t="s">
        <v>8737</v>
      </c>
      <c r="F1010" s="454" t="s">
        <v>524</v>
      </c>
      <c r="G1010" s="454" t="s">
        <v>13998</v>
      </c>
      <c r="H1010" s="455">
        <v>43225325000185</v>
      </c>
      <c r="I1010" s="462">
        <v>29052</v>
      </c>
      <c r="J1010" s="457">
        <v>37499939</v>
      </c>
      <c r="K1010" s="454" t="s">
        <v>8739</v>
      </c>
      <c r="L1010" s="458">
        <v>72</v>
      </c>
      <c r="M1010" s="454" t="s">
        <v>6627</v>
      </c>
      <c r="N1010" s="459">
        <v>4177380</v>
      </c>
      <c r="O1010" s="460">
        <v>23355907</v>
      </c>
      <c r="P1010" s="462">
        <v>92293</v>
      </c>
      <c r="Q1010" s="462">
        <v>55</v>
      </c>
      <c r="R1010" s="462">
        <v>43906</v>
      </c>
      <c r="S1010" s="463">
        <v>1142</v>
      </c>
      <c r="T1010" s="464">
        <v>5.4</v>
      </c>
      <c r="U1010" s="465">
        <v>6166.8</v>
      </c>
      <c r="V1010" s="465">
        <v>20340</v>
      </c>
      <c r="W1010" s="466">
        <v>0</v>
      </c>
      <c r="X1010" s="467">
        <v>1</v>
      </c>
      <c r="Y1010" s="466">
        <v>39760.199999999997</v>
      </c>
      <c r="Z1010" s="468" t="s">
        <v>516</v>
      </c>
      <c r="AA1010" s="466">
        <v>144158.20000000001</v>
      </c>
      <c r="AB1010" s="466">
        <v>144158.20000000001</v>
      </c>
      <c r="AC1010" s="467">
        <v>0</v>
      </c>
      <c r="AD1010" s="466">
        <v>0</v>
      </c>
      <c r="AE1010" s="468" t="s">
        <v>516</v>
      </c>
      <c r="AF1010" s="466">
        <v>0</v>
      </c>
      <c r="AG1010" s="466">
        <v>0</v>
      </c>
      <c r="AH1010" s="466">
        <v>43979.68</v>
      </c>
      <c r="AI1010" s="466">
        <v>5301.36</v>
      </c>
      <c r="AJ1010" s="469" t="s">
        <v>2402</v>
      </c>
      <c r="AK1010" s="470" t="s">
        <v>2403</v>
      </c>
      <c r="AL1010" s="471" t="s">
        <v>8740</v>
      </c>
      <c r="AM1010" s="470" t="s">
        <v>15138</v>
      </c>
      <c r="AN1010" s="470" t="s">
        <v>8738</v>
      </c>
      <c r="AO1010" s="470" t="s">
        <v>13999</v>
      </c>
      <c r="AP1010" s="470" t="s">
        <v>8741</v>
      </c>
      <c r="AQ1010" s="470" t="s">
        <v>8736</v>
      </c>
      <c r="AR1010" s="472" t="s">
        <v>515</v>
      </c>
      <c r="AS1010" s="473" t="s">
        <v>1385</v>
      </c>
      <c r="AT1010" s="472" t="s">
        <v>517</v>
      </c>
      <c r="AU1010" s="472" t="s">
        <v>420</v>
      </c>
      <c r="AV1010" s="472">
        <v>2020</v>
      </c>
      <c r="AW1010" s="474" t="s">
        <v>15078</v>
      </c>
      <c r="AX1010" s="475" t="s">
        <v>15079</v>
      </c>
      <c r="AY1010" s="515">
        <v>1</v>
      </c>
      <c r="AZ1010" s="474" t="s">
        <v>15079</v>
      </c>
      <c r="BA1010" s="472" t="s">
        <v>517</v>
      </c>
      <c r="BB1010" s="472" t="s">
        <v>1385</v>
      </c>
      <c r="BC1010" s="472" t="s">
        <v>1385</v>
      </c>
      <c r="BD1010" s="472" t="s">
        <v>1385</v>
      </c>
      <c r="BE1010" s="472" t="s">
        <v>1385</v>
      </c>
      <c r="BF1010" s="472">
        <v>39760.199999999997</v>
      </c>
      <c r="BG1010" s="472">
        <v>0</v>
      </c>
      <c r="BH1010" s="472" t="s">
        <v>1385</v>
      </c>
      <c r="BI1010" s="510">
        <v>0</v>
      </c>
      <c r="BJ1010" s="510">
        <v>0</v>
      </c>
      <c r="BK1010" s="510">
        <v>0</v>
      </c>
      <c r="BL1010" s="510">
        <v>1127.8900000000001</v>
      </c>
      <c r="BM1010" s="510">
        <v>0</v>
      </c>
      <c r="BN1010" s="510">
        <v>5000</v>
      </c>
      <c r="BO1010" s="510">
        <v>0</v>
      </c>
      <c r="BP1010" s="510">
        <v>0</v>
      </c>
      <c r="BQ1010" s="510">
        <v>0</v>
      </c>
      <c r="BR1010" s="510">
        <v>0</v>
      </c>
      <c r="BS1010" s="510">
        <v>0</v>
      </c>
      <c r="BT1010" s="510">
        <v>0</v>
      </c>
      <c r="BU1010" s="510">
        <v>2500</v>
      </c>
      <c r="BV1010" s="510">
        <v>2500</v>
      </c>
      <c r="BW1010" s="510">
        <v>0</v>
      </c>
      <c r="BX1010" s="510">
        <v>30000</v>
      </c>
      <c r="BY1010" s="1011">
        <v>0</v>
      </c>
      <c r="BZ1010" s="510">
        <v>0</v>
      </c>
      <c r="CA1010" s="1011">
        <v>0</v>
      </c>
      <c r="CB1010" s="510">
        <v>22000</v>
      </c>
      <c r="CC1010" s="1011">
        <v>0</v>
      </c>
      <c r="CD1010" s="510">
        <v>0</v>
      </c>
      <c r="CE1010" s="1011">
        <v>0</v>
      </c>
      <c r="CF1010" s="510">
        <v>52398</v>
      </c>
      <c r="CG1010" s="1011">
        <v>0</v>
      </c>
      <c r="CH1010" s="510">
        <v>0</v>
      </c>
      <c r="CI1010" s="1011">
        <v>0</v>
      </c>
    </row>
    <row r="1011" spans="1:87" x14ac:dyDescent="0.2">
      <c r="A1011" s="449">
        <v>42</v>
      </c>
      <c r="B1011" s="453">
        <v>95001</v>
      </c>
      <c r="C1011" s="454" t="s">
        <v>8742</v>
      </c>
      <c r="D1011" s="454" t="s">
        <v>517</v>
      </c>
      <c r="E1011" s="454" t="s">
        <v>8743</v>
      </c>
      <c r="F1011" s="454" t="s">
        <v>524</v>
      </c>
      <c r="G1011" s="454" t="s">
        <v>14000</v>
      </c>
      <c r="H1011" s="455">
        <v>51582708000139</v>
      </c>
      <c r="I1011" s="462">
        <v>29031</v>
      </c>
      <c r="J1011" s="457">
        <v>37500309</v>
      </c>
      <c r="K1011" s="454" t="s">
        <v>8745</v>
      </c>
      <c r="L1011" s="458">
        <v>10</v>
      </c>
      <c r="M1011" s="454" t="s">
        <v>8746</v>
      </c>
      <c r="N1011" s="459">
        <v>4181050</v>
      </c>
      <c r="O1011" s="460">
        <v>29469248</v>
      </c>
      <c r="P1011" s="462">
        <v>201092</v>
      </c>
      <c r="Q1011" s="462">
        <v>47</v>
      </c>
      <c r="R1011" s="462">
        <v>43906</v>
      </c>
      <c r="S1011" s="463">
        <v>722</v>
      </c>
      <c r="T1011" s="464">
        <v>5.4</v>
      </c>
      <c r="U1011" s="465">
        <v>3898.8</v>
      </c>
      <c r="V1011" s="465">
        <v>18720</v>
      </c>
      <c r="W1011" s="466">
        <v>0</v>
      </c>
      <c r="X1011" s="467">
        <v>1</v>
      </c>
      <c r="Y1011" s="466">
        <v>33928.199999999997</v>
      </c>
      <c r="Z1011" s="468" t="s">
        <v>516</v>
      </c>
      <c r="AA1011" s="466">
        <v>130982.2</v>
      </c>
      <c r="AB1011" s="466">
        <v>130982.2</v>
      </c>
      <c r="AC1011" s="467">
        <v>0</v>
      </c>
      <c r="AD1011" s="466">
        <v>0</v>
      </c>
      <c r="AE1011" s="468" t="s">
        <v>516</v>
      </c>
      <c r="AF1011" s="466">
        <v>0</v>
      </c>
      <c r="AG1011" s="466">
        <v>0</v>
      </c>
      <c r="AH1011" s="466">
        <v>1386.4</v>
      </c>
      <c r="AI1011" s="466">
        <v>5305.5</v>
      </c>
      <c r="AJ1011" s="469" t="s">
        <v>2511</v>
      </c>
      <c r="AK1011" s="470" t="s">
        <v>2512</v>
      </c>
      <c r="AL1011" s="471" t="s">
        <v>8747</v>
      </c>
      <c r="AM1011" s="470" t="s">
        <v>15129</v>
      </c>
      <c r="AN1011" s="470" t="s">
        <v>8744</v>
      </c>
      <c r="AO1011" s="470" t="s">
        <v>8748</v>
      </c>
      <c r="AP1011" s="470" t="s">
        <v>8749</v>
      </c>
      <c r="AQ1011" s="470" t="s">
        <v>8742</v>
      </c>
      <c r="AR1011" s="472" t="s">
        <v>515</v>
      </c>
      <c r="AS1011" s="473" t="s">
        <v>1385</v>
      </c>
      <c r="AT1011" s="472" t="s">
        <v>517</v>
      </c>
      <c r="AU1011" s="472" t="s">
        <v>420</v>
      </c>
      <c r="AV1011" s="472">
        <v>2020</v>
      </c>
      <c r="AW1011" s="474" t="s">
        <v>15078</v>
      </c>
      <c r="AX1011" s="475" t="s">
        <v>15079</v>
      </c>
      <c r="AY1011" s="515">
        <v>1</v>
      </c>
      <c r="AZ1011" s="474" t="s">
        <v>15079</v>
      </c>
      <c r="BA1011" s="472" t="s">
        <v>517</v>
      </c>
      <c r="BB1011" s="472" t="s">
        <v>1385</v>
      </c>
      <c r="BC1011" s="472" t="s">
        <v>1385</v>
      </c>
      <c r="BD1011" s="472" t="s">
        <v>1385</v>
      </c>
      <c r="BE1011" s="472" t="s">
        <v>1385</v>
      </c>
      <c r="BF1011" s="472">
        <v>33928.199999999997</v>
      </c>
      <c r="BG1011" s="472">
        <v>0</v>
      </c>
      <c r="BH1011" s="472" t="s">
        <v>1385</v>
      </c>
      <c r="BI1011" s="510">
        <v>0</v>
      </c>
      <c r="BJ1011" s="510">
        <v>0</v>
      </c>
      <c r="BK1011" s="510">
        <v>0</v>
      </c>
      <c r="BL1011" s="510">
        <v>0</v>
      </c>
      <c r="BM1011" s="510">
        <v>0</v>
      </c>
      <c r="BN1011" s="510">
        <v>5000</v>
      </c>
      <c r="BO1011" s="510">
        <v>0</v>
      </c>
      <c r="BP1011" s="510">
        <v>0</v>
      </c>
      <c r="BQ1011" s="510">
        <v>0</v>
      </c>
      <c r="BR1011" s="510">
        <v>0</v>
      </c>
      <c r="BS1011" s="510">
        <v>0</v>
      </c>
      <c r="BT1011" s="510">
        <v>0</v>
      </c>
      <c r="BU1011" s="510">
        <v>2500</v>
      </c>
      <c r="BV1011" s="510">
        <v>2500</v>
      </c>
      <c r="BW1011" s="510">
        <v>0</v>
      </c>
      <c r="BX1011" s="510">
        <v>30000</v>
      </c>
      <c r="BY1011" s="1011">
        <v>0</v>
      </c>
      <c r="BZ1011" s="510">
        <v>0</v>
      </c>
      <c r="CA1011" s="1011">
        <v>0</v>
      </c>
      <c r="CB1011" s="510">
        <v>22000</v>
      </c>
      <c r="CC1011" s="1011">
        <v>0</v>
      </c>
      <c r="CD1011" s="510">
        <v>0</v>
      </c>
      <c r="CE1011" s="1011">
        <v>0</v>
      </c>
      <c r="CF1011" s="510">
        <v>45054</v>
      </c>
      <c r="CG1011" s="1011">
        <v>0</v>
      </c>
      <c r="CH1011" s="510">
        <v>0</v>
      </c>
      <c r="CI1011" s="1011">
        <v>0</v>
      </c>
    </row>
    <row r="1012" spans="1:87" x14ac:dyDescent="0.2">
      <c r="A1012" s="449">
        <v>30</v>
      </c>
      <c r="B1012" s="453">
        <v>95010</v>
      </c>
      <c r="C1012" s="454" t="s">
        <v>8750</v>
      </c>
      <c r="D1012" s="454" t="s">
        <v>517</v>
      </c>
      <c r="E1012" s="454" t="s">
        <v>8751</v>
      </c>
      <c r="F1012" s="454" t="s">
        <v>524</v>
      </c>
      <c r="G1012" s="454" t="s">
        <v>14001</v>
      </c>
      <c r="H1012" s="455">
        <v>51962371000195</v>
      </c>
      <c r="I1012" s="462">
        <v>29126</v>
      </c>
      <c r="J1012" s="457">
        <v>37497928</v>
      </c>
      <c r="K1012" s="454" t="s">
        <v>8753</v>
      </c>
      <c r="L1012" s="458">
        <v>422</v>
      </c>
      <c r="M1012" s="454" t="s">
        <v>8754</v>
      </c>
      <c r="N1012" s="459">
        <v>4191140</v>
      </c>
      <c r="O1012" s="460">
        <v>23319477</v>
      </c>
      <c r="P1012" s="462">
        <v>202153</v>
      </c>
      <c r="Q1012" s="462">
        <v>35</v>
      </c>
      <c r="R1012" s="462">
        <v>43906</v>
      </c>
      <c r="S1012" s="463">
        <v>748</v>
      </c>
      <c r="T1012" s="464">
        <v>5.4</v>
      </c>
      <c r="U1012" s="465">
        <v>4039.2</v>
      </c>
      <c r="V1012" s="465">
        <v>18720</v>
      </c>
      <c r="W1012" s="466">
        <v>0</v>
      </c>
      <c r="X1012" s="467">
        <v>1</v>
      </c>
      <c r="Y1012" s="466">
        <v>34138.800000000003</v>
      </c>
      <c r="Z1012" s="468" t="s">
        <v>516</v>
      </c>
      <c r="AA1012" s="466">
        <v>131354.79999999999</v>
      </c>
      <c r="AB1012" s="466">
        <v>131354.79999999999</v>
      </c>
      <c r="AC1012" s="467">
        <v>0</v>
      </c>
      <c r="AD1012" s="466">
        <v>0</v>
      </c>
      <c r="AE1012" s="468" t="s">
        <v>516</v>
      </c>
      <c r="AF1012" s="466">
        <v>0</v>
      </c>
      <c r="AG1012" s="466">
        <v>0</v>
      </c>
      <c r="AH1012" s="466">
        <v>3627.26</v>
      </c>
      <c r="AI1012" s="466">
        <v>2264.39</v>
      </c>
      <c r="AJ1012" s="469" t="s">
        <v>2511</v>
      </c>
      <c r="AK1012" s="470" t="s">
        <v>2512</v>
      </c>
      <c r="AL1012" s="471" t="s">
        <v>8755</v>
      </c>
      <c r="AM1012" s="470" t="s">
        <v>15115</v>
      </c>
      <c r="AN1012" s="470" t="s">
        <v>8752</v>
      </c>
      <c r="AO1012" s="470" t="s">
        <v>8756</v>
      </c>
      <c r="AP1012" s="470" t="s">
        <v>8757</v>
      </c>
      <c r="AQ1012" s="470" t="s">
        <v>8750</v>
      </c>
      <c r="AR1012" s="472" t="s">
        <v>515</v>
      </c>
      <c r="AS1012" s="473" t="s">
        <v>1385</v>
      </c>
      <c r="AT1012" s="472" t="s">
        <v>517</v>
      </c>
      <c r="AU1012" s="472" t="s">
        <v>420</v>
      </c>
      <c r="AV1012" s="472">
        <v>2020</v>
      </c>
      <c r="AW1012" s="474" t="s">
        <v>15078</v>
      </c>
      <c r="AX1012" s="475" t="s">
        <v>15079</v>
      </c>
      <c r="AY1012" s="515">
        <v>1</v>
      </c>
      <c r="AZ1012" s="474" t="s">
        <v>15079</v>
      </c>
      <c r="BA1012" s="472" t="s">
        <v>517</v>
      </c>
      <c r="BB1012" s="472" t="s">
        <v>1385</v>
      </c>
      <c r="BC1012" s="472" t="s">
        <v>1385</v>
      </c>
      <c r="BD1012" s="472" t="s">
        <v>1385</v>
      </c>
      <c r="BE1012" s="472" t="s">
        <v>1385</v>
      </c>
      <c r="BF1012" s="472">
        <v>34138.800000000003</v>
      </c>
      <c r="BG1012" s="472">
        <v>0</v>
      </c>
      <c r="BH1012" s="472" t="s">
        <v>1385</v>
      </c>
      <c r="BI1012" s="510">
        <v>0</v>
      </c>
      <c r="BJ1012" s="510">
        <v>0</v>
      </c>
      <c r="BK1012" s="510">
        <v>0</v>
      </c>
      <c r="BL1012" s="510">
        <v>0</v>
      </c>
      <c r="BM1012" s="510">
        <v>0</v>
      </c>
      <c r="BN1012" s="510">
        <v>5000</v>
      </c>
      <c r="BO1012" s="510">
        <v>0</v>
      </c>
      <c r="BP1012" s="510">
        <v>0</v>
      </c>
      <c r="BQ1012" s="510">
        <v>0</v>
      </c>
      <c r="BR1012" s="510">
        <v>0</v>
      </c>
      <c r="BS1012" s="510">
        <v>0</v>
      </c>
      <c r="BT1012" s="510">
        <v>0</v>
      </c>
      <c r="BU1012" s="510">
        <v>0</v>
      </c>
      <c r="BV1012" s="510">
        <v>0</v>
      </c>
      <c r="BW1012" s="510">
        <v>0</v>
      </c>
      <c r="BX1012" s="510">
        <v>30000</v>
      </c>
      <c r="BY1012" s="1011">
        <v>0</v>
      </c>
      <c r="BZ1012" s="510">
        <v>0</v>
      </c>
      <c r="CA1012" s="1011">
        <v>0</v>
      </c>
      <c r="CB1012" s="510">
        <v>22000</v>
      </c>
      <c r="CC1012" s="1011">
        <v>0</v>
      </c>
      <c r="CD1012" s="510">
        <v>0</v>
      </c>
      <c r="CE1012" s="1011">
        <v>0</v>
      </c>
      <c r="CF1012" s="510">
        <v>45216</v>
      </c>
      <c r="CG1012" s="1011">
        <v>0</v>
      </c>
      <c r="CH1012" s="510">
        <v>0</v>
      </c>
      <c r="CI1012" s="1011">
        <v>0</v>
      </c>
    </row>
    <row r="1013" spans="1:87" x14ac:dyDescent="0.2">
      <c r="A1013" s="449">
        <v>43</v>
      </c>
      <c r="B1013" s="453">
        <v>95028</v>
      </c>
      <c r="C1013" s="454" t="s">
        <v>8758</v>
      </c>
      <c r="D1013" s="454" t="s">
        <v>517</v>
      </c>
      <c r="E1013" s="454" t="s">
        <v>8759</v>
      </c>
      <c r="F1013" s="454" t="s">
        <v>524</v>
      </c>
      <c r="G1013" s="454" t="s">
        <v>14002</v>
      </c>
      <c r="H1013" s="455">
        <v>53053427000114</v>
      </c>
      <c r="I1013" s="462">
        <v>30630</v>
      </c>
      <c r="J1013" s="457">
        <v>37498665</v>
      </c>
      <c r="K1013" s="454" t="s">
        <v>8760</v>
      </c>
      <c r="L1013" s="458">
        <v>64</v>
      </c>
      <c r="M1013" s="454" t="s">
        <v>8761</v>
      </c>
      <c r="N1013" s="459">
        <v>4184065</v>
      </c>
      <c r="O1013" s="460">
        <v>23313132</v>
      </c>
      <c r="P1013" s="462">
        <v>203958</v>
      </c>
      <c r="Q1013" s="462">
        <v>48</v>
      </c>
      <c r="R1013" s="462">
        <v>43906</v>
      </c>
      <c r="S1013" s="463">
        <v>757</v>
      </c>
      <c r="T1013" s="464">
        <v>5.4</v>
      </c>
      <c r="U1013" s="465">
        <v>4087.8</v>
      </c>
      <c r="V1013" s="465">
        <v>18720</v>
      </c>
      <c r="W1013" s="466">
        <v>0</v>
      </c>
      <c r="X1013" s="467">
        <v>1</v>
      </c>
      <c r="Y1013" s="466">
        <v>34211.699999999997</v>
      </c>
      <c r="Z1013" s="468" t="s">
        <v>516</v>
      </c>
      <c r="AA1013" s="466">
        <v>132903.29999999999</v>
      </c>
      <c r="AB1013" s="466">
        <v>132903.29999999999</v>
      </c>
      <c r="AC1013" s="467">
        <v>0</v>
      </c>
      <c r="AD1013" s="466">
        <v>0</v>
      </c>
      <c r="AE1013" s="468" t="s">
        <v>516</v>
      </c>
      <c r="AF1013" s="466">
        <v>600</v>
      </c>
      <c r="AG1013" s="466">
        <v>600</v>
      </c>
      <c r="AH1013" s="466">
        <v>35623.26</v>
      </c>
      <c r="AI1013" s="466">
        <v>0</v>
      </c>
      <c r="AJ1013" s="469" t="s">
        <v>1759</v>
      </c>
      <c r="AK1013" s="470" t="s">
        <v>8762</v>
      </c>
      <c r="AL1013" s="471" t="s">
        <v>8763</v>
      </c>
      <c r="AM1013" s="470" t="s">
        <v>15130</v>
      </c>
      <c r="AN1013" s="470" t="s">
        <v>8764</v>
      </c>
      <c r="AO1013" s="470" t="s">
        <v>14003</v>
      </c>
      <c r="AP1013" s="470" t="s">
        <v>8765</v>
      </c>
      <c r="AQ1013" s="470" t="s">
        <v>8758</v>
      </c>
      <c r="AR1013" s="472" t="s">
        <v>515</v>
      </c>
      <c r="AS1013" s="473" t="s">
        <v>1385</v>
      </c>
      <c r="AT1013" s="472" t="s">
        <v>517</v>
      </c>
      <c r="AU1013" s="472" t="s">
        <v>420</v>
      </c>
      <c r="AV1013" s="472">
        <v>2020</v>
      </c>
      <c r="AW1013" s="474" t="s">
        <v>15078</v>
      </c>
      <c r="AX1013" s="475" t="s">
        <v>15079</v>
      </c>
      <c r="AY1013" s="515">
        <v>1</v>
      </c>
      <c r="AZ1013" s="474" t="s">
        <v>15079</v>
      </c>
      <c r="BA1013" s="472" t="s">
        <v>517</v>
      </c>
      <c r="BB1013" s="472" t="s">
        <v>1385</v>
      </c>
      <c r="BC1013" s="472" t="s">
        <v>1385</v>
      </c>
      <c r="BD1013" s="472" t="s">
        <v>1385</v>
      </c>
      <c r="BE1013" s="472" t="s">
        <v>1385</v>
      </c>
      <c r="BF1013" s="472">
        <v>34211.699999999997</v>
      </c>
      <c r="BG1013" s="472">
        <v>0</v>
      </c>
      <c r="BH1013" s="472" t="s">
        <v>1385</v>
      </c>
      <c r="BI1013" s="510">
        <v>0</v>
      </c>
      <c r="BJ1013" s="510">
        <v>0</v>
      </c>
      <c r="BK1013" s="510">
        <v>0</v>
      </c>
      <c r="BL1013" s="510">
        <v>872.9</v>
      </c>
      <c r="BM1013" s="510">
        <v>0</v>
      </c>
      <c r="BN1013" s="510">
        <v>5000</v>
      </c>
      <c r="BO1013" s="510">
        <v>1400</v>
      </c>
      <c r="BP1013" s="510">
        <v>600</v>
      </c>
      <c r="BQ1013" s="510">
        <v>0</v>
      </c>
      <c r="BR1013" s="510">
        <v>0</v>
      </c>
      <c r="BS1013" s="510">
        <v>0</v>
      </c>
      <c r="BT1013" s="510">
        <v>0</v>
      </c>
      <c r="BU1013" s="510">
        <v>2500</v>
      </c>
      <c r="BV1013" s="510">
        <v>2500</v>
      </c>
      <c r="BW1013" s="510">
        <v>0</v>
      </c>
      <c r="BX1013" s="510">
        <v>30000</v>
      </c>
      <c r="BY1013" s="1011">
        <v>0</v>
      </c>
      <c r="BZ1013" s="510">
        <v>0</v>
      </c>
      <c r="CA1013" s="1011">
        <v>0</v>
      </c>
      <c r="CB1013" s="510">
        <v>22000</v>
      </c>
      <c r="CC1013" s="1011">
        <v>0</v>
      </c>
      <c r="CD1013" s="510">
        <v>0</v>
      </c>
      <c r="CE1013" s="1011">
        <v>0</v>
      </c>
      <c r="CF1013" s="510">
        <v>45291.6</v>
      </c>
      <c r="CG1013" s="1011">
        <v>0</v>
      </c>
      <c r="CH1013" s="510">
        <v>0</v>
      </c>
      <c r="CI1013" s="1011">
        <v>0</v>
      </c>
    </row>
    <row r="1014" spans="1:87" x14ac:dyDescent="0.2">
      <c r="A1014" s="449">
        <v>45</v>
      </c>
      <c r="B1014" s="453">
        <v>95036</v>
      </c>
      <c r="C1014" s="454" t="s">
        <v>8766</v>
      </c>
      <c r="D1014" s="454" t="s">
        <v>517</v>
      </c>
      <c r="E1014" s="454" t="s">
        <v>8767</v>
      </c>
      <c r="F1014" s="454" t="s">
        <v>524</v>
      </c>
      <c r="G1014" s="454" t="s">
        <v>14004</v>
      </c>
      <c r="H1014" s="455">
        <v>52633625000194</v>
      </c>
      <c r="I1014" s="462">
        <v>30489</v>
      </c>
      <c r="J1014" s="457">
        <v>37499521</v>
      </c>
      <c r="K1014" s="454" t="s">
        <v>8769</v>
      </c>
      <c r="L1014" s="458">
        <v>600</v>
      </c>
      <c r="M1014" s="454" t="s">
        <v>8770</v>
      </c>
      <c r="N1014" s="459">
        <v>4186100</v>
      </c>
      <c r="O1014" s="460">
        <v>23350500</v>
      </c>
      <c r="P1014" s="462">
        <v>203591</v>
      </c>
      <c r="Q1014" s="462">
        <v>50</v>
      </c>
      <c r="R1014" s="462">
        <v>43906</v>
      </c>
      <c r="S1014" s="463">
        <v>736</v>
      </c>
      <c r="T1014" s="464">
        <v>5.4</v>
      </c>
      <c r="U1014" s="465">
        <v>3974.4</v>
      </c>
      <c r="V1014" s="465">
        <v>18720</v>
      </c>
      <c r="W1014" s="466">
        <v>0</v>
      </c>
      <c r="X1014" s="467">
        <v>1</v>
      </c>
      <c r="Y1014" s="466">
        <v>34041.599999999999</v>
      </c>
      <c r="Z1014" s="468" t="s">
        <v>516</v>
      </c>
      <c r="AA1014" s="466">
        <v>127596.4</v>
      </c>
      <c r="AB1014" s="466">
        <v>127596.4</v>
      </c>
      <c r="AC1014" s="467">
        <v>0</v>
      </c>
      <c r="AD1014" s="466">
        <v>0</v>
      </c>
      <c r="AE1014" s="468" t="s">
        <v>516</v>
      </c>
      <c r="AF1014" s="466">
        <v>2000</v>
      </c>
      <c r="AG1014" s="466">
        <v>2000</v>
      </c>
      <c r="AH1014" s="466">
        <v>35658.160000000003</v>
      </c>
      <c r="AI1014" s="466">
        <v>8883.1</v>
      </c>
      <c r="AJ1014" s="469" t="s">
        <v>2402</v>
      </c>
      <c r="AK1014" s="470" t="s">
        <v>2403</v>
      </c>
      <c r="AL1014" s="471" t="s">
        <v>8771</v>
      </c>
      <c r="AM1014" s="470" t="s">
        <v>15132</v>
      </c>
      <c r="AN1014" s="470" t="s">
        <v>8768</v>
      </c>
      <c r="AO1014" s="470" t="s">
        <v>8772</v>
      </c>
      <c r="AP1014" s="470" t="s">
        <v>8773</v>
      </c>
      <c r="AQ1014" s="470" t="s">
        <v>8766</v>
      </c>
      <c r="AR1014" s="472" t="s">
        <v>515</v>
      </c>
      <c r="AS1014" s="473" t="s">
        <v>1385</v>
      </c>
      <c r="AT1014" s="472" t="s">
        <v>517</v>
      </c>
      <c r="AU1014" s="472" t="s">
        <v>420</v>
      </c>
      <c r="AV1014" s="472">
        <v>2020</v>
      </c>
      <c r="AW1014" s="474" t="s">
        <v>15078</v>
      </c>
      <c r="AX1014" s="475" t="s">
        <v>15079</v>
      </c>
      <c r="AY1014" s="515">
        <v>1</v>
      </c>
      <c r="AZ1014" s="474" t="s">
        <v>15079</v>
      </c>
      <c r="BA1014" s="472" t="s">
        <v>517</v>
      </c>
      <c r="BB1014" s="472" t="s">
        <v>1385</v>
      </c>
      <c r="BC1014" s="472" t="s">
        <v>1385</v>
      </c>
      <c r="BD1014" s="472" t="s">
        <v>1385</v>
      </c>
      <c r="BE1014" s="472" t="s">
        <v>1385</v>
      </c>
      <c r="BF1014" s="472">
        <v>34041.599999999999</v>
      </c>
      <c r="BG1014" s="472">
        <v>0</v>
      </c>
      <c r="BH1014" s="472" t="s">
        <v>1385</v>
      </c>
      <c r="BI1014" s="510">
        <v>0</v>
      </c>
      <c r="BJ1014" s="510">
        <v>0</v>
      </c>
      <c r="BK1014" s="510">
        <v>0</v>
      </c>
      <c r="BL1014" s="510">
        <v>3500</v>
      </c>
      <c r="BM1014" s="510">
        <v>0</v>
      </c>
      <c r="BN1014" s="510">
        <v>4400</v>
      </c>
      <c r="BO1014" s="510">
        <v>0</v>
      </c>
      <c r="BP1014" s="510">
        <v>2000</v>
      </c>
      <c r="BQ1014" s="510">
        <v>0</v>
      </c>
      <c r="BR1014" s="510">
        <v>0</v>
      </c>
      <c r="BS1014" s="510">
        <v>0</v>
      </c>
      <c r="BT1014" s="510">
        <v>0</v>
      </c>
      <c r="BU1014" s="510">
        <v>2500</v>
      </c>
      <c r="BV1014" s="510">
        <v>2500</v>
      </c>
      <c r="BW1014" s="510">
        <v>0</v>
      </c>
      <c r="BX1014" s="510">
        <v>30000</v>
      </c>
      <c r="BY1014" s="1011">
        <v>0</v>
      </c>
      <c r="BZ1014" s="510">
        <v>0</v>
      </c>
      <c r="CA1014" s="1011">
        <v>0</v>
      </c>
      <c r="CB1014" s="510">
        <v>22000</v>
      </c>
      <c r="CC1014" s="1011">
        <v>0</v>
      </c>
      <c r="CD1014" s="510">
        <v>0</v>
      </c>
      <c r="CE1014" s="1011">
        <v>0</v>
      </c>
      <c r="CF1014" s="510">
        <v>41554.800000000003</v>
      </c>
      <c r="CG1014" s="1011">
        <v>0</v>
      </c>
      <c r="CH1014" s="510">
        <v>0</v>
      </c>
      <c r="CI1014" s="1011">
        <v>0</v>
      </c>
    </row>
    <row r="1015" spans="1:87" x14ac:dyDescent="0.2">
      <c r="A1015" s="449">
        <v>29</v>
      </c>
      <c r="B1015" s="453">
        <v>95044</v>
      </c>
      <c r="C1015" s="454" t="s">
        <v>8774</v>
      </c>
      <c r="D1015" s="454" t="s">
        <v>2950</v>
      </c>
      <c r="E1015" s="454" t="s">
        <v>8775</v>
      </c>
      <c r="F1015" s="454" t="s">
        <v>524</v>
      </c>
      <c r="G1015" s="454" t="s">
        <v>14005</v>
      </c>
      <c r="H1015" s="455">
        <v>52031374000178</v>
      </c>
      <c r="I1015" s="462">
        <v>30283</v>
      </c>
      <c r="J1015" s="457">
        <v>37498541</v>
      </c>
      <c r="K1015" s="454" t="s">
        <v>8777</v>
      </c>
      <c r="L1015" s="458">
        <v>2385</v>
      </c>
      <c r="M1015" s="454" t="s">
        <v>3245</v>
      </c>
      <c r="N1015" s="459">
        <v>4244000</v>
      </c>
      <c r="O1015" s="460">
        <v>29476723</v>
      </c>
      <c r="P1015" s="462">
        <v>200584</v>
      </c>
      <c r="Q1015" s="462">
        <v>63</v>
      </c>
      <c r="R1015" s="462">
        <v>43906</v>
      </c>
      <c r="S1015" s="463">
        <v>854</v>
      </c>
      <c r="T1015" s="464">
        <v>5.4</v>
      </c>
      <c r="U1015" s="465">
        <v>4611.6000000000004</v>
      </c>
      <c r="V1015" s="465">
        <v>18720</v>
      </c>
      <c r="W1015" s="466">
        <v>0</v>
      </c>
      <c r="X1015" s="467">
        <v>1</v>
      </c>
      <c r="Y1015" s="466">
        <v>40613.4</v>
      </c>
      <c r="Z1015" s="468" t="s">
        <v>516</v>
      </c>
      <c r="AA1015" s="466">
        <v>152045.4</v>
      </c>
      <c r="AB1015" s="466">
        <v>152045.4</v>
      </c>
      <c r="AC1015" s="467">
        <v>0</v>
      </c>
      <c r="AD1015" s="466">
        <v>0</v>
      </c>
      <c r="AE1015" s="468" t="s">
        <v>516</v>
      </c>
      <c r="AF1015" s="466">
        <v>0</v>
      </c>
      <c r="AG1015" s="466">
        <v>0</v>
      </c>
      <c r="AH1015" s="466">
        <v>60702.57</v>
      </c>
      <c r="AI1015" s="466">
        <v>12965.49</v>
      </c>
      <c r="AJ1015" s="469" t="s">
        <v>8778</v>
      </c>
      <c r="AK1015" s="470" t="s">
        <v>8779</v>
      </c>
      <c r="AL1015" s="471" t="s">
        <v>8780</v>
      </c>
      <c r="AM1015" s="470" t="s">
        <v>15114</v>
      </c>
      <c r="AN1015" s="470" t="s">
        <v>8776</v>
      </c>
      <c r="AO1015" s="470" t="s">
        <v>8781</v>
      </c>
      <c r="AP1015" s="470" t="s">
        <v>8782</v>
      </c>
      <c r="AQ1015" s="470" t="s">
        <v>8774</v>
      </c>
      <c r="AR1015" s="472" t="s">
        <v>515</v>
      </c>
      <c r="AS1015" s="473" t="s">
        <v>1385</v>
      </c>
      <c r="AT1015" s="472" t="s">
        <v>2950</v>
      </c>
      <c r="AU1015" s="472" t="s">
        <v>420</v>
      </c>
      <c r="AV1015" s="472">
        <v>2020</v>
      </c>
      <c r="AW1015" s="474" t="s">
        <v>15078</v>
      </c>
      <c r="AX1015" s="475" t="s">
        <v>15079</v>
      </c>
      <c r="AY1015" s="515">
        <v>1</v>
      </c>
      <c r="AZ1015" s="474" t="s">
        <v>15079</v>
      </c>
      <c r="BA1015" s="472" t="s">
        <v>2950</v>
      </c>
      <c r="BB1015" s="472" t="s">
        <v>516</v>
      </c>
      <c r="BC1015" s="472">
        <v>3</v>
      </c>
      <c r="BD1015" s="472">
        <v>3744</v>
      </c>
      <c r="BE1015" s="472">
        <v>0</v>
      </c>
      <c r="BF1015" s="472">
        <v>40613.4</v>
      </c>
      <c r="BG1015" s="472">
        <v>0</v>
      </c>
      <c r="BH1015" s="472" t="s">
        <v>1385</v>
      </c>
      <c r="BI1015" s="510">
        <v>0</v>
      </c>
      <c r="BJ1015" s="510">
        <v>0</v>
      </c>
      <c r="BK1015" s="510">
        <v>0</v>
      </c>
      <c r="BL1015" s="510">
        <v>0</v>
      </c>
      <c r="BM1015" s="510">
        <v>0</v>
      </c>
      <c r="BN1015" s="510">
        <v>5000</v>
      </c>
      <c r="BO1015" s="510">
        <v>0</v>
      </c>
      <c r="BP1015" s="510">
        <v>0</v>
      </c>
      <c r="BQ1015" s="510">
        <v>0</v>
      </c>
      <c r="BR1015" s="510">
        <v>0</v>
      </c>
      <c r="BS1015" s="510">
        <v>0</v>
      </c>
      <c r="BT1015" s="510">
        <v>0</v>
      </c>
      <c r="BU1015" s="510">
        <v>0</v>
      </c>
      <c r="BV1015" s="510">
        <v>0</v>
      </c>
      <c r="BW1015" s="510">
        <v>0</v>
      </c>
      <c r="BX1015" s="510">
        <v>30000</v>
      </c>
      <c r="BY1015" s="1011">
        <v>0</v>
      </c>
      <c r="BZ1015" s="510">
        <v>0</v>
      </c>
      <c r="CA1015" s="1011">
        <v>0</v>
      </c>
      <c r="CB1015" s="510">
        <v>22000</v>
      </c>
      <c r="CC1015" s="1011">
        <v>0</v>
      </c>
      <c r="CD1015" s="510">
        <v>0</v>
      </c>
      <c r="CE1015" s="1011">
        <v>0</v>
      </c>
      <c r="CF1015" s="510">
        <v>59432</v>
      </c>
      <c r="CG1015" s="1011">
        <v>0</v>
      </c>
      <c r="CH1015" s="510">
        <v>0</v>
      </c>
      <c r="CI1015" s="1011">
        <v>0</v>
      </c>
    </row>
    <row r="1016" spans="1:87" x14ac:dyDescent="0.2">
      <c r="A1016" s="449">
        <v>27</v>
      </c>
      <c r="B1016" s="453">
        <v>95052</v>
      </c>
      <c r="C1016" s="454" t="s">
        <v>8783</v>
      </c>
      <c r="D1016" s="454" t="s">
        <v>517</v>
      </c>
      <c r="E1016" s="454" t="s">
        <v>8784</v>
      </c>
      <c r="F1016" s="454" t="s">
        <v>524</v>
      </c>
      <c r="G1016" s="454" t="s">
        <v>14006</v>
      </c>
      <c r="H1016" s="455">
        <v>51561868000100</v>
      </c>
      <c r="I1016" s="462">
        <v>29046</v>
      </c>
      <c r="J1016" s="457">
        <v>37497898</v>
      </c>
      <c r="K1016" s="454" t="s">
        <v>8785</v>
      </c>
      <c r="L1016" s="458">
        <v>74</v>
      </c>
      <c r="M1016" s="454" t="s">
        <v>8786</v>
      </c>
      <c r="N1016" s="459">
        <v>4285040</v>
      </c>
      <c r="O1016" s="460">
        <v>22156053</v>
      </c>
      <c r="P1016" s="462">
        <v>209603</v>
      </c>
      <c r="Q1016" s="462">
        <v>33</v>
      </c>
      <c r="R1016" s="462">
        <v>43906</v>
      </c>
      <c r="S1016" s="463">
        <v>542</v>
      </c>
      <c r="T1016" s="464">
        <v>5.4</v>
      </c>
      <c r="U1016" s="465">
        <v>2926.8</v>
      </c>
      <c r="V1016" s="465">
        <v>17100</v>
      </c>
      <c r="W1016" s="466">
        <v>0</v>
      </c>
      <c r="X1016" s="467">
        <v>1</v>
      </c>
      <c r="Y1016" s="466">
        <v>30040.2</v>
      </c>
      <c r="Z1016" s="468" t="s">
        <v>516</v>
      </c>
      <c r="AA1016" s="466">
        <v>122126.2</v>
      </c>
      <c r="AB1016" s="466">
        <v>122126.2</v>
      </c>
      <c r="AC1016" s="467">
        <v>0</v>
      </c>
      <c r="AD1016" s="466">
        <v>0</v>
      </c>
      <c r="AE1016" s="468" t="s">
        <v>516</v>
      </c>
      <c r="AF1016" s="466">
        <v>2000</v>
      </c>
      <c r="AG1016" s="466">
        <v>2000</v>
      </c>
      <c r="AH1016" s="466">
        <v>55608.99</v>
      </c>
      <c r="AI1016" s="466">
        <v>10412.290000000001</v>
      </c>
      <c r="AJ1016" s="469" t="s">
        <v>1759</v>
      </c>
      <c r="AK1016" s="470" t="s">
        <v>1760</v>
      </c>
      <c r="AL1016" s="471" t="s">
        <v>8787</v>
      </c>
      <c r="AM1016" s="470" t="s">
        <v>15112</v>
      </c>
      <c r="AN1016" s="470" t="s">
        <v>14007</v>
      </c>
      <c r="AO1016" s="470" t="s">
        <v>8788</v>
      </c>
      <c r="AP1016" s="470" t="s">
        <v>8789</v>
      </c>
      <c r="AQ1016" s="470" t="s">
        <v>8783</v>
      </c>
      <c r="AR1016" s="472" t="s">
        <v>515</v>
      </c>
      <c r="AS1016" s="473" t="s">
        <v>1385</v>
      </c>
      <c r="AT1016" s="472" t="s">
        <v>517</v>
      </c>
      <c r="AU1016" s="472" t="s">
        <v>420</v>
      </c>
      <c r="AV1016" s="472">
        <v>2020</v>
      </c>
      <c r="AW1016" s="474" t="s">
        <v>15078</v>
      </c>
      <c r="AX1016" s="475" t="s">
        <v>15079</v>
      </c>
      <c r="AY1016" s="515">
        <v>1</v>
      </c>
      <c r="AZ1016" s="474" t="s">
        <v>15079</v>
      </c>
      <c r="BA1016" s="472" t="s">
        <v>517</v>
      </c>
      <c r="BB1016" s="472" t="s">
        <v>1385</v>
      </c>
      <c r="BC1016" s="472" t="s">
        <v>1385</v>
      </c>
      <c r="BD1016" s="472" t="s">
        <v>1385</v>
      </c>
      <c r="BE1016" s="472" t="s">
        <v>1385</v>
      </c>
      <c r="BF1016" s="472">
        <v>30040.2</v>
      </c>
      <c r="BG1016" s="472">
        <v>0</v>
      </c>
      <c r="BH1016" s="472" t="s">
        <v>1385</v>
      </c>
      <c r="BI1016" s="510">
        <v>0</v>
      </c>
      <c r="BJ1016" s="510">
        <v>0</v>
      </c>
      <c r="BK1016" s="510">
        <v>0</v>
      </c>
      <c r="BL1016" s="510">
        <v>0</v>
      </c>
      <c r="BM1016" s="510">
        <v>0</v>
      </c>
      <c r="BN1016" s="510">
        <v>3500</v>
      </c>
      <c r="BO1016" s="510">
        <v>0</v>
      </c>
      <c r="BP1016" s="510">
        <v>2000</v>
      </c>
      <c r="BQ1016" s="510">
        <v>0</v>
      </c>
      <c r="BR1016" s="510">
        <v>0</v>
      </c>
      <c r="BS1016" s="510">
        <v>0</v>
      </c>
      <c r="BT1016" s="510">
        <v>0</v>
      </c>
      <c r="BU1016" s="510">
        <v>0</v>
      </c>
      <c r="BV1016" s="510">
        <v>0</v>
      </c>
      <c r="BW1016" s="510">
        <v>0</v>
      </c>
      <c r="BX1016" s="510">
        <v>30000</v>
      </c>
      <c r="BY1016" s="1011">
        <v>0</v>
      </c>
      <c r="BZ1016" s="510">
        <v>0</v>
      </c>
      <c r="CA1016" s="1011">
        <v>0</v>
      </c>
      <c r="CB1016" s="510">
        <v>22000</v>
      </c>
      <c r="CC1016" s="1011">
        <v>0</v>
      </c>
      <c r="CD1016" s="510">
        <v>0</v>
      </c>
      <c r="CE1016" s="1011">
        <v>0</v>
      </c>
      <c r="CF1016" s="510">
        <v>40086</v>
      </c>
      <c r="CG1016" s="1011">
        <v>0</v>
      </c>
      <c r="CH1016" s="510">
        <v>0</v>
      </c>
      <c r="CI1016" s="1011">
        <v>0</v>
      </c>
    </row>
    <row r="1017" spans="1:87" x14ac:dyDescent="0.2">
      <c r="A1017" s="449">
        <v>37</v>
      </c>
      <c r="B1017" s="453">
        <v>95061</v>
      </c>
      <c r="C1017" s="454" t="s">
        <v>8790</v>
      </c>
      <c r="D1017" s="454" t="s">
        <v>517</v>
      </c>
      <c r="E1017" s="454" t="s">
        <v>8791</v>
      </c>
      <c r="F1017" s="454" t="s">
        <v>524</v>
      </c>
      <c r="G1017" s="454" t="s">
        <v>14008</v>
      </c>
      <c r="H1017" s="455">
        <v>51759371000192</v>
      </c>
      <c r="I1017" s="462">
        <v>29181</v>
      </c>
      <c r="J1017" s="457">
        <v>37500368</v>
      </c>
      <c r="K1017" s="454" t="s">
        <v>8793</v>
      </c>
      <c r="L1017" s="458">
        <v>357</v>
      </c>
      <c r="M1017" s="454" t="s">
        <v>6653</v>
      </c>
      <c r="N1017" s="459">
        <v>4224010</v>
      </c>
      <c r="O1017" s="460">
        <v>22734477</v>
      </c>
      <c r="P1017" s="462">
        <v>200657</v>
      </c>
      <c r="Q1017" s="462">
        <v>42</v>
      </c>
      <c r="R1017" s="462">
        <v>43906</v>
      </c>
      <c r="S1017" s="463">
        <v>928</v>
      </c>
      <c r="T1017" s="464">
        <v>5.4</v>
      </c>
      <c r="U1017" s="465">
        <v>5011.2</v>
      </c>
      <c r="V1017" s="465">
        <v>20340</v>
      </c>
      <c r="W1017" s="466">
        <v>0</v>
      </c>
      <c r="X1017" s="467">
        <v>1</v>
      </c>
      <c r="Y1017" s="466">
        <v>38026.800000000003</v>
      </c>
      <c r="Z1017" s="468" t="s">
        <v>516</v>
      </c>
      <c r="AA1017" s="466">
        <v>137035.6</v>
      </c>
      <c r="AB1017" s="466">
        <v>137035.6</v>
      </c>
      <c r="AC1017" s="467">
        <v>0</v>
      </c>
      <c r="AD1017" s="466">
        <v>0</v>
      </c>
      <c r="AE1017" s="468" t="s">
        <v>516</v>
      </c>
      <c r="AF1017" s="466">
        <v>0</v>
      </c>
      <c r="AG1017" s="466">
        <v>0</v>
      </c>
      <c r="AH1017" s="466">
        <v>43106.93</v>
      </c>
      <c r="AI1017" s="466">
        <v>5337.72</v>
      </c>
      <c r="AJ1017" s="469" t="s">
        <v>2402</v>
      </c>
      <c r="AK1017" s="470" t="s">
        <v>2403</v>
      </c>
      <c r="AL1017" s="471" t="s">
        <v>8794</v>
      </c>
      <c r="AM1017" s="470" t="s">
        <v>15125</v>
      </c>
      <c r="AN1017" s="470" t="s">
        <v>8792</v>
      </c>
      <c r="AO1017" s="470" t="s">
        <v>14009</v>
      </c>
      <c r="AP1017" s="470" t="s">
        <v>8795</v>
      </c>
      <c r="AQ1017" s="470" t="s">
        <v>8790</v>
      </c>
      <c r="AR1017" s="472" t="s">
        <v>515</v>
      </c>
      <c r="AS1017" s="473" t="s">
        <v>1385</v>
      </c>
      <c r="AT1017" s="472" t="s">
        <v>517</v>
      </c>
      <c r="AU1017" s="472" t="s">
        <v>420</v>
      </c>
      <c r="AV1017" s="472">
        <v>2020</v>
      </c>
      <c r="AW1017" s="474" t="s">
        <v>15078</v>
      </c>
      <c r="AX1017" s="475" t="s">
        <v>15079</v>
      </c>
      <c r="AY1017" s="515">
        <v>1</v>
      </c>
      <c r="AZ1017" s="474" t="s">
        <v>15079</v>
      </c>
      <c r="BA1017" s="472" t="s">
        <v>517</v>
      </c>
      <c r="BB1017" s="472" t="s">
        <v>1385</v>
      </c>
      <c r="BC1017" s="472" t="s">
        <v>1385</v>
      </c>
      <c r="BD1017" s="472" t="s">
        <v>1385</v>
      </c>
      <c r="BE1017" s="472" t="s">
        <v>1385</v>
      </c>
      <c r="BF1017" s="472">
        <v>38026.800000000003</v>
      </c>
      <c r="BG1017" s="472">
        <v>0</v>
      </c>
      <c r="BH1017" s="472" t="s">
        <v>1385</v>
      </c>
      <c r="BI1017" s="510">
        <v>0</v>
      </c>
      <c r="BJ1017" s="510">
        <v>0</v>
      </c>
      <c r="BK1017" s="510">
        <v>0</v>
      </c>
      <c r="BL1017" s="510">
        <v>3500</v>
      </c>
      <c r="BM1017" s="510">
        <v>0</v>
      </c>
      <c r="BN1017" s="510">
        <v>5000</v>
      </c>
      <c r="BO1017" s="510">
        <v>0</v>
      </c>
      <c r="BP1017" s="510">
        <v>0</v>
      </c>
      <c r="BQ1017" s="510">
        <v>0</v>
      </c>
      <c r="BR1017" s="510">
        <v>0</v>
      </c>
      <c r="BS1017" s="510">
        <v>0</v>
      </c>
      <c r="BT1017" s="510">
        <v>0</v>
      </c>
      <c r="BU1017" s="510">
        <v>0</v>
      </c>
      <c r="BV1017" s="510">
        <v>0</v>
      </c>
      <c r="BW1017" s="510">
        <v>0</v>
      </c>
      <c r="BX1017" s="510">
        <v>30000</v>
      </c>
      <c r="BY1017" s="1011">
        <v>0</v>
      </c>
      <c r="BZ1017" s="510">
        <v>0</v>
      </c>
      <c r="CA1017" s="1011">
        <v>0</v>
      </c>
      <c r="CB1017" s="510">
        <v>22000</v>
      </c>
      <c r="CC1017" s="1011">
        <v>0</v>
      </c>
      <c r="CD1017" s="510">
        <v>0</v>
      </c>
      <c r="CE1017" s="1011">
        <v>0</v>
      </c>
      <c r="CF1017" s="510">
        <v>47008.800000000003</v>
      </c>
      <c r="CG1017" s="1011">
        <v>0</v>
      </c>
      <c r="CH1017" s="510">
        <v>0</v>
      </c>
      <c r="CI1017" s="1011">
        <v>0</v>
      </c>
    </row>
    <row r="1018" spans="1:87" x14ac:dyDescent="0.2">
      <c r="A1018" s="449">
        <v>49</v>
      </c>
      <c r="B1018" s="453">
        <v>95079</v>
      </c>
      <c r="C1018" s="454" t="s">
        <v>8796</v>
      </c>
      <c r="D1018" s="454" t="s">
        <v>517</v>
      </c>
      <c r="E1018" s="454" t="s">
        <v>8797</v>
      </c>
      <c r="F1018" s="454" t="s">
        <v>527</v>
      </c>
      <c r="G1018" s="454" t="s">
        <v>14010</v>
      </c>
      <c r="H1018" s="455">
        <v>58101221000136</v>
      </c>
      <c r="I1018" s="462">
        <v>32023</v>
      </c>
      <c r="J1018" s="457">
        <v>37554891</v>
      </c>
      <c r="K1018" s="454" t="s">
        <v>1524</v>
      </c>
      <c r="L1018" s="458">
        <v>459</v>
      </c>
      <c r="M1018" s="454" t="s">
        <v>1525</v>
      </c>
      <c r="N1018" s="459">
        <v>3166000</v>
      </c>
      <c r="O1018" s="460">
        <v>26946315</v>
      </c>
      <c r="P1018" s="462">
        <v>201980</v>
      </c>
      <c r="Q1018" s="462">
        <v>97</v>
      </c>
      <c r="R1018" s="462">
        <v>43917</v>
      </c>
      <c r="S1018" s="463">
        <v>813</v>
      </c>
      <c r="T1018" s="464">
        <v>5.4</v>
      </c>
      <c r="U1018" s="465">
        <v>4390.2</v>
      </c>
      <c r="V1018" s="465">
        <v>18720</v>
      </c>
      <c r="W1018" s="466">
        <v>0</v>
      </c>
      <c r="X1018" s="467">
        <v>1</v>
      </c>
      <c r="Y1018" s="466">
        <v>34665.300000000003</v>
      </c>
      <c r="Z1018" s="468" t="s">
        <v>516</v>
      </c>
      <c r="AA1018" s="466">
        <v>132637.29999999999</v>
      </c>
      <c r="AB1018" s="466">
        <v>132637.29999999999</v>
      </c>
      <c r="AC1018" s="467">
        <v>0</v>
      </c>
      <c r="AD1018" s="466">
        <v>0</v>
      </c>
      <c r="AE1018" s="468" t="s">
        <v>516</v>
      </c>
      <c r="AF1018" s="466">
        <v>0</v>
      </c>
      <c r="AG1018" s="466">
        <v>0</v>
      </c>
      <c r="AH1018" s="466">
        <v>30410.080000000002</v>
      </c>
      <c r="AI1018" s="466">
        <v>12603.77</v>
      </c>
      <c r="AJ1018" s="469" t="s">
        <v>1526</v>
      </c>
      <c r="AK1018" s="470" t="s">
        <v>1527</v>
      </c>
      <c r="AL1018" s="471" t="s">
        <v>8798</v>
      </c>
      <c r="AM1018" s="470" t="s">
        <v>8799</v>
      </c>
      <c r="AN1018" s="470" t="s">
        <v>14010</v>
      </c>
      <c r="AO1018" s="470" t="s">
        <v>14011</v>
      </c>
      <c r="AP1018" s="470" t="s">
        <v>8800</v>
      </c>
      <c r="AQ1018" s="470" t="s">
        <v>8796</v>
      </c>
      <c r="AR1018" s="472" t="s">
        <v>515</v>
      </c>
      <c r="AS1018" s="473" t="s">
        <v>1385</v>
      </c>
      <c r="AT1018" s="472" t="s">
        <v>517</v>
      </c>
      <c r="AU1018" s="472" t="s">
        <v>420</v>
      </c>
      <c r="AV1018" s="472">
        <v>2020</v>
      </c>
      <c r="AW1018" s="474" t="s">
        <v>15078</v>
      </c>
      <c r="AX1018" s="475" t="s">
        <v>15079</v>
      </c>
      <c r="AY1018" s="515">
        <v>1</v>
      </c>
      <c r="AZ1018" s="474" t="s">
        <v>15079</v>
      </c>
      <c r="BA1018" s="472" t="s">
        <v>517</v>
      </c>
      <c r="BB1018" s="472" t="s">
        <v>1385</v>
      </c>
      <c r="BC1018" s="472" t="s">
        <v>1385</v>
      </c>
      <c r="BD1018" s="472" t="s">
        <v>1385</v>
      </c>
      <c r="BE1018" s="472" t="s">
        <v>1385</v>
      </c>
      <c r="BF1018" s="472">
        <v>34665.300000000003</v>
      </c>
      <c r="BG1018" s="472">
        <v>0</v>
      </c>
      <c r="BH1018" s="472" t="s">
        <v>1385</v>
      </c>
      <c r="BI1018" s="510">
        <v>0</v>
      </c>
      <c r="BJ1018" s="510">
        <v>15972.56</v>
      </c>
      <c r="BK1018" s="510">
        <v>0</v>
      </c>
      <c r="BL1018" s="510">
        <v>3500</v>
      </c>
      <c r="BM1018" s="510">
        <v>0</v>
      </c>
      <c r="BN1018" s="510">
        <v>5000</v>
      </c>
      <c r="BO1018" s="510">
        <v>0</v>
      </c>
      <c r="BP1018" s="510">
        <v>0</v>
      </c>
      <c r="BQ1018" s="510">
        <v>0</v>
      </c>
      <c r="BR1018" s="510">
        <v>0</v>
      </c>
      <c r="BS1018" s="510">
        <v>0</v>
      </c>
      <c r="BT1018" s="510">
        <v>0</v>
      </c>
      <c r="BU1018" s="510">
        <v>2500</v>
      </c>
      <c r="BV1018" s="510">
        <v>2500</v>
      </c>
      <c r="BW1018" s="510">
        <v>0</v>
      </c>
      <c r="BX1018" s="510">
        <v>30000</v>
      </c>
      <c r="BY1018" s="1011">
        <v>0</v>
      </c>
      <c r="BZ1018" s="510">
        <v>0</v>
      </c>
      <c r="CA1018" s="1011">
        <v>0</v>
      </c>
      <c r="CB1018" s="510">
        <v>22000</v>
      </c>
      <c r="CC1018" s="1011">
        <v>0</v>
      </c>
      <c r="CD1018" s="510">
        <v>0</v>
      </c>
      <c r="CE1018" s="1011">
        <v>0</v>
      </c>
      <c r="CF1018" s="510">
        <v>45972</v>
      </c>
      <c r="CG1018" s="1011">
        <v>0</v>
      </c>
      <c r="CH1018" s="510">
        <v>0</v>
      </c>
      <c r="CI1018" s="1011">
        <v>0</v>
      </c>
    </row>
    <row r="1019" spans="1:87" x14ac:dyDescent="0.2">
      <c r="A1019" s="449">
        <v>70</v>
      </c>
      <c r="B1019" s="453">
        <v>95087</v>
      </c>
      <c r="C1019" s="454" t="s">
        <v>8801</v>
      </c>
      <c r="D1019" s="454" t="s">
        <v>517</v>
      </c>
      <c r="E1019" s="454" t="s">
        <v>8802</v>
      </c>
      <c r="F1019" s="454" t="s">
        <v>527</v>
      </c>
      <c r="G1019" s="454" t="s">
        <v>14012</v>
      </c>
      <c r="H1019" s="455">
        <v>51544658000103</v>
      </c>
      <c r="I1019" s="462">
        <v>29025</v>
      </c>
      <c r="J1019" s="457">
        <v>37554972</v>
      </c>
      <c r="K1019" s="454" t="s">
        <v>8803</v>
      </c>
      <c r="L1019" s="458">
        <v>65</v>
      </c>
      <c r="M1019" s="454" t="s">
        <v>8804</v>
      </c>
      <c r="N1019" s="459">
        <v>3193060</v>
      </c>
      <c r="O1019" s="460">
        <v>29651943</v>
      </c>
      <c r="P1019" s="462">
        <v>196790</v>
      </c>
      <c r="Q1019" s="462">
        <v>119</v>
      </c>
      <c r="R1019" s="462">
        <v>43917</v>
      </c>
      <c r="S1019" s="463">
        <v>698</v>
      </c>
      <c r="T1019" s="464">
        <v>5.4</v>
      </c>
      <c r="U1019" s="465">
        <v>3769.2</v>
      </c>
      <c r="V1019" s="465">
        <v>17100</v>
      </c>
      <c r="W1019" s="466">
        <v>0</v>
      </c>
      <c r="X1019" s="467">
        <v>1</v>
      </c>
      <c r="Y1019" s="466">
        <v>0</v>
      </c>
      <c r="Z1019" s="468" t="s">
        <v>514</v>
      </c>
      <c r="AA1019" s="466">
        <v>0</v>
      </c>
      <c r="AB1019" s="466">
        <v>0</v>
      </c>
      <c r="AC1019" s="467">
        <v>0</v>
      </c>
      <c r="AD1019" s="466">
        <v>0</v>
      </c>
      <c r="AE1019" s="468" t="s">
        <v>516</v>
      </c>
      <c r="AF1019" s="466">
        <v>0</v>
      </c>
      <c r="AG1019" s="466">
        <v>0</v>
      </c>
      <c r="AH1019" s="466">
        <v>0</v>
      </c>
      <c r="AI1019" s="466">
        <v>0</v>
      </c>
      <c r="AJ1019" s="469" t="s">
        <v>1526</v>
      </c>
      <c r="AK1019" s="470" t="s">
        <v>1527</v>
      </c>
      <c r="AL1019" s="471" t="s">
        <v>8805</v>
      </c>
      <c r="AM1019" s="470" t="s">
        <v>8806</v>
      </c>
      <c r="AN1019" s="470" t="s">
        <v>14012</v>
      </c>
      <c r="AO1019" s="470" t="s">
        <v>14013</v>
      </c>
      <c r="AP1019" s="470" t="s">
        <v>8807</v>
      </c>
      <c r="AQ1019" s="470" t="s">
        <v>8801</v>
      </c>
      <c r="AR1019" s="472" t="s">
        <v>515</v>
      </c>
      <c r="AS1019" s="473" t="s">
        <v>1385</v>
      </c>
      <c r="AT1019" s="472" t="s">
        <v>517</v>
      </c>
      <c r="AU1019" s="472" t="s">
        <v>420</v>
      </c>
      <c r="AV1019" s="472">
        <v>2020</v>
      </c>
      <c r="AW1019" s="474" t="s">
        <v>15078</v>
      </c>
      <c r="AX1019" s="475" t="s">
        <v>15079</v>
      </c>
      <c r="AY1019" s="515">
        <v>1</v>
      </c>
      <c r="AZ1019" s="474" t="s">
        <v>15079</v>
      </c>
      <c r="BA1019" s="472" t="s">
        <v>1385</v>
      </c>
      <c r="BB1019" s="472" t="s">
        <v>1385</v>
      </c>
      <c r="BC1019" s="472" t="s">
        <v>1385</v>
      </c>
      <c r="BD1019" s="472" t="s">
        <v>1385</v>
      </c>
      <c r="BE1019" s="472" t="s">
        <v>1385</v>
      </c>
      <c r="BF1019" s="472">
        <v>31303.8</v>
      </c>
      <c r="BG1019" s="472">
        <v>0</v>
      </c>
      <c r="BH1019" s="472" t="s">
        <v>516</v>
      </c>
      <c r="BI1019" s="510">
        <v>0</v>
      </c>
      <c r="BJ1019" s="510">
        <v>0</v>
      </c>
      <c r="BK1019" s="510">
        <v>0</v>
      </c>
      <c r="BL1019" s="510">
        <v>0</v>
      </c>
      <c r="BM1019" s="510">
        <v>0</v>
      </c>
      <c r="BN1019" s="510">
        <v>0</v>
      </c>
      <c r="BO1019" s="510">
        <v>0</v>
      </c>
      <c r="BP1019" s="510">
        <v>0</v>
      </c>
      <c r="BQ1019" s="510">
        <v>0</v>
      </c>
      <c r="BR1019" s="510">
        <v>0</v>
      </c>
      <c r="BS1019" s="510">
        <v>0</v>
      </c>
      <c r="BT1019" s="510">
        <v>0</v>
      </c>
      <c r="BU1019" s="510">
        <v>0</v>
      </c>
      <c r="BV1019" s="510">
        <v>0</v>
      </c>
      <c r="BW1019" s="510">
        <v>0</v>
      </c>
      <c r="BX1019" s="510">
        <v>0</v>
      </c>
      <c r="BY1019" s="1011">
        <v>0</v>
      </c>
      <c r="BZ1019" s="510">
        <v>0</v>
      </c>
      <c r="CA1019" s="1011">
        <v>0</v>
      </c>
      <c r="CB1019" s="510">
        <v>0</v>
      </c>
      <c r="CC1019" s="1011">
        <v>0</v>
      </c>
      <c r="CD1019" s="510">
        <v>0</v>
      </c>
      <c r="CE1019" s="1011">
        <v>0</v>
      </c>
      <c r="CF1019" s="510">
        <v>0</v>
      </c>
      <c r="CG1019" s="1011">
        <v>0</v>
      </c>
      <c r="CH1019" s="510">
        <v>0</v>
      </c>
      <c r="CI1019" s="1011">
        <v>0</v>
      </c>
    </row>
    <row r="1020" spans="1:87" x14ac:dyDescent="0.2">
      <c r="A1020" s="449">
        <v>48</v>
      </c>
      <c r="B1020" s="453">
        <v>95095</v>
      </c>
      <c r="C1020" s="454" t="s">
        <v>8808</v>
      </c>
      <c r="D1020" s="454" t="s">
        <v>517</v>
      </c>
      <c r="E1020" s="454" t="s">
        <v>8809</v>
      </c>
      <c r="F1020" s="454" t="s">
        <v>527</v>
      </c>
      <c r="G1020" s="454" t="s">
        <v>14014</v>
      </c>
      <c r="H1020" s="455">
        <v>52631553000146</v>
      </c>
      <c r="I1020" s="462">
        <v>30497</v>
      </c>
      <c r="J1020" s="457">
        <v>37554697</v>
      </c>
      <c r="K1020" s="454" t="s">
        <v>8810</v>
      </c>
      <c r="L1020" s="458">
        <v>541</v>
      </c>
      <c r="M1020" s="454" t="s">
        <v>6690</v>
      </c>
      <c r="N1020" s="459">
        <v>3350010</v>
      </c>
      <c r="O1020" s="460">
        <v>29667839</v>
      </c>
      <c r="P1020" s="462">
        <v>196617</v>
      </c>
      <c r="Q1020" s="462">
        <v>96</v>
      </c>
      <c r="R1020" s="462">
        <v>43917</v>
      </c>
      <c r="S1020" s="463">
        <v>368</v>
      </c>
      <c r="T1020" s="464">
        <v>5.4</v>
      </c>
      <c r="U1020" s="465">
        <v>1987.2</v>
      </c>
      <c r="V1020" s="465">
        <v>15480</v>
      </c>
      <c r="W1020" s="466">
        <v>0</v>
      </c>
      <c r="X1020" s="467">
        <v>1</v>
      </c>
      <c r="Y1020" s="466">
        <v>33166.800000000003</v>
      </c>
      <c r="Z1020" s="468" t="s">
        <v>516</v>
      </c>
      <c r="AA1020" s="466">
        <v>134784</v>
      </c>
      <c r="AB1020" s="466">
        <v>134784</v>
      </c>
      <c r="AC1020" s="467">
        <v>0</v>
      </c>
      <c r="AD1020" s="466">
        <v>0</v>
      </c>
      <c r="AE1020" s="468" t="s">
        <v>516</v>
      </c>
      <c r="AF1020" s="466">
        <v>1400</v>
      </c>
      <c r="AG1020" s="466">
        <v>1400</v>
      </c>
      <c r="AH1020" s="466">
        <v>27133.33</v>
      </c>
      <c r="AI1020" s="466">
        <v>56293.87</v>
      </c>
      <c r="AJ1020" s="469" t="s">
        <v>3969</v>
      </c>
      <c r="AK1020" s="470" t="s">
        <v>6698</v>
      </c>
      <c r="AL1020" s="471" t="s">
        <v>8811</v>
      </c>
      <c r="AM1020" s="470" t="s">
        <v>8812</v>
      </c>
      <c r="AN1020" s="470" t="s">
        <v>14014</v>
      </c>
      <c r="AO1020" s="470" t="s">
        <v>14015</v>
      </c>
      <c r="AP1020" s="470" t="s">
        <v>8813</v>
      </c>
      <c r="AQ1020" s="470" t="s">
        <v>8808</v>
      </c>
      <c r="AR1020" s="472" t="s">
        <v>515</v>
      </c>
      <c r="AS1020" s="473" t="s">
        <v>1385</v>
      </c>
      <c r="AT1020" s="472" t="s">
        <v>517</v>
      </c>
      <c r="AU1020" s="472" t="s">
        <v>420</v>
      </c>
      <c r="AV1020" s="472">
        <v>2020</v>
      </c>
      <c r="AW1020" s="474" t="s">
        <v>15078</v>
      </c>
      <c r="AX1020" s="475" t="s">
        <v>15079</v>
      </c>
      <c r="AY1020" s="515">
        <v>1</v>
      </c>
      <c r="AZ1020" s="474" t="s">
        <v>15079</v>
      </c>
      <c r="BA1020" s="472" t="s">
        <v>517</v>
      </c>
      <c r="BB1020" s="472" t="s">
        <v>516</v>
      </c>
      <c r="BC1020" s="472">
        <v>10</v>
      </c>
      <c r="BD1020" s="472">
        <v>4644</v>
      </c>
      <c r="BE1020" s="472">
        <v>0</v>
      </c>
      <c r="BF1020" s="472">
        <v>33166.800000000003</v>
      </c>
      <c r="BG1020" s="472">
        <v>0</v>
      </c>
      <c r="BH1020" s="472" t="s">
        <v>1385</v>
      </c>
      <c r="BI1020" s="510">
        <v>0</v>
      </c>
      <c r="BJ1020" s="510">
        <v>0</v>
      </c>
      <c r="BK1020" s="510">
        <v>0</v>
      </c>
      <c r="BL1020" s="510">
        <v>0</v>
      </c>
      <c r="BM1020" s="510">
        <v>0</v>
      </c>
      <c r="BN1020" s="510">
        <v>3500</v>
      </c>
      <c r="BO1020" s="510">
        <v>600</v>
      </c>
      <c r="BP1020" s="510">
        <v>1400</v>
      </c>
      <c r="BQ1020" s="510">
        <v>0</v>
      </c>
      <c r="BR1020" s="510">
        <v>0</v>
      </c>
      <c r="BS1020" s="510">
        <v>0</v>
      </c>
      <c r="BT1020" s="510">
        <v>0</v>
      </c>
      <c r="BU1020" s="510">
        <v>2500</v>
      </c>
      <c r="BV1020" s="510">
        <v>2500</v>
      </c>
      <c r="BW1020" s="510">
        <v>0</v>
      </c>
      <c r="BX1020" s="510">
        <v>30000</v>
      </c>
      <c r="BY1020" s="1011">
        <v>0</v>
      </c>
      <c r="BZ1020" s="510">
        <v>0</v>
      </c>
      <c r="CA1020" s="1011">
        <v>0</v>
      </c>
      <c r="CB1020" s="510">
        <v>22000</v>
      </c>
      <c r="CC1020" s="1011">
        <v>0</v>
      </c>
      <c r="CD1020" s="510">
        <v>0</v>
      </c>
      <c r="CE1020" s="1011">
        <v>0</v>
      </c>
      <c r="CF1020" s="510">
        <v>49017.2</v>
      </c>
      <c r="CG1020" s="1011">
        <v>0</v>
      </c>
      <c r="CH1020" s="510">
        <v>0</v>
      </c>
      <c r="CI1020" s="1011">
        <v>0</v>
      </c>
    </row>
    <row r="1021" spans="1:87" x14ac:dyDescent="0.2">
      <c r="A1021" s="449">
        <v>64</v>
      </c>
      <c r="B1021" s="453">
        <v>95109</v>
      </c>
      <c r="C1021" s="454" t="s">
        <v>8814</v>
      </c>
      <c r="D1021" s="454" t="s">
        <v>517</v>
      </c>
      <c r="E1021" s="454" t="s">
        <v>8815</v>
      </c>
      <c r="F1021" s="454" t="s">
        <v>527</v>
      </c>
      <c r="G1021" s="454" t="s">
        <v>14016</v>
      </c>
      <c r="H1021" s="455">
        <v>52169323000107</v>
      </c>
      <c r="I1021" s="462">
        <v>30120</v>
      </c>
      <c r="J1021" s="457">
        <v>37587552</v>
      </c>
      <c r="K1021" s="454" t="s">
        <v>8816</v>
      </c>
      <c r="L1021" s="458">
        <v>5</v>
      </c>
      <c r="M1021" s="454" t="s">
        <v>6698</v>
      </c>
      <c r="N1021" s="459">
        <v>3351050</v>
      </c>
      <c r="O1021" s="460">
        <v>29657517</v>
      </c>
      <c r="P1021" s="462">
        <v>206990</v>
      </c>
      <c r="Q1021" s="462">
        <v>112</v>
      </c>
      <c r="R1021" s="462">
        <v>43917</v>
      </c>
      <c r="S1021" s="463">
        <v>448</v>
      </c>
      <c r="T1021" s="464">
        <v>5.4</v>
      </c>
      <c r="U1021" s="465">
        <v>2419.1999999999998</v>
      </c>
      <c r="V1021" s="465">
        <v>15480</v>
      </c>
      <c r="W1021" s="466">
        <v>0</v>
      </c>
      <c r="X1021" s="467">
        <v>1</v>
      </c>
      <c r="Y1021" s="466">
        <v>26848.799999999999</v>
      </c>
      <c r="Z1021" s="468" t="s">
        <v>516</v>
      </c>
      <c r="AA1021" s="466">
        <v>114614.8</v>
      </c>
      <c r="AB1021" s="466">
        <v>114614.8</v>
      </c>
      <c r="AC1021" s="467">
        <v>0</v>
      </c>
      <c r="AD1021" s="466">
        <v>0</v>
      </c>
      <c r="AE1021" s="468" t="s">
        <v>516</v>
      </c>
      <c r="AF1021" s="466">
        <v>2000</v>
      </c>
      <c r="AG1021" s="466">
        <v>2000</v>
      </c>
      <c r="AH1021" s="466">
        <v>22850.28</v>
      </c>
      <c r="AI1021" s="466">
        <v>1677.3</v>
      </c>
      <c r="AJ1021" s="469" t="s">
        <v>2614</v>
      </c>
      <c r="AK1021" s="470" t="s">
        <v>2615</v>
      </c>
      <c r="AL1021" s="471" t="s">
        <v>8817</v>
      </c>
      <c r="AM1021" s="470" t="s">
        <v>9123</v>
      </c>
      <c r="AN1021" s="470" t="s">
        <v>14016</v>
      </c>
      <c r="AO1021" s="470" t="s">
        <v>14017</v>
      </c>
      <c r="AP1021" s="470" t="s">
        <v>8818</v>
      </c>
      <c r="AQ1021" s="470" t="s">
        <v>8814</v>
      </c>
      <c r="AR1021" s="472" t="s">
        <v>515</v>
      </c>
      <c r="AS1021" s="473" t="s">
        <v>1385</v>
      </c>
      <c r="AT1021" s="472" t="s">
        <v>517</v>
      </c>
      <c r="AU1021" s="472" t="s">
        <v>420</v>
      </c>
      <c r="AV1021" s="472">
        <v>2020</v>
      </c>
      <c r="AW1021" s="474" t="s">
        <v>15078</v>
      </c>
      <c r="AX1021" s="475" t="s">
        <v>15079</v>
      </c>
      <c r="AY1021" s="515">
        <v>1</v>
      </c>
      <c r="AZ1021" s="474" t="s">
        <v>15079</v>
      </c>
      <c r="BA1021" s="472" t="s">
        <v>517</v>
      </c>
      <c r="BB1021" s="472" t="s">
        <v>1385</v>
      </c>
      <c r="BC1021" s="472" t="s">
        <v>1385</v>
      </c>
      <c r="BD1021" s="472" t="s">
        <v>1385</v>
      </c>
      <c r="BE1021" s="472" t="s">
        <v>1385</v>
      </c>
      <c r="BF1021" s="472">
        <v>26848.799999999999</v>
      </c>
      <c r="BG1021" s="472">
        <v>0</v>
      </c>
      <c r="BH1021" s="472" t="s">
        <v>1385</v>
      </c>
      <c r="BI1021" s="510">
        <v>0</v>
      </c>
      <c r="BJ1021" s="510">
        <v>83.4</v>
      </c>
      <c r="BK1021" s="510">
        <v>0</v>
      </c>
      <c r="BL1021" s="510">
        <v>3500</v>
      </c>
      <c r="BM1021" s="510">
        <v>0</v>
      </c>
      <c r="BN1021" s="510">
        <v>3500</v>
      </c>
      <c r="BO1021" s="510">
        <v>0</v>
      </c>
      <c r="BP1021" s="510">
        <v>2000</v>
      </c>
      <c r="BQ1021" s="510">
        <v>0</v>
      </c>
      <c r="BR1021" s="510">
        <v>0</v>
      </c>
      <c r="BS1021" s="510">
        <v>0</v>
      </c>
      <c r="BT1021" s="510">
        <v>0</v>
      </c>
      <c r="BU1021" s="510">
        <v>0</v>
      </c>
      <c r="BV1021" s="510">
        <v>0</v>
      </c>
      <c r="BW1021" s="510">
        <v>0</v>
      </c>
      <c r="BX1021" s="510">
        <v>30000</v>
      </c>
      <c r="BY1021" s="1011">
        <v>0</v>
      </c>
      <c r="BZ1021" s="510">
        <v>0</v>
      </c>
      <c r="CA1021" s="1011">
        <v>0</v>
      </c>
      <c r="CB1021" s="510">
        <v>22000</v>
      </c>
      <c r="CC1021" s="1011">
        <v>0</v>
      </c>
      <c r="CD1021" s="510">
        <v>0</v>
      </c>
      <c r="CE1021" s="1011">
        <v>0</v>
      </c>
      <c r="CF1021" s="510">
        <v>35766</v>
      </c>
      <c r="CG1021" s="1011">
        <v>0</v>
      </c>
      <c r="CH1021" s="510">
        <v>0</v>
      </c>
      <c r="CI1021" s="1011">
        <v>0</v>
      </c>
    </row>
    <row r="1022" spans="1:87" x14ac:dyDescent="0.2">
      <c r="A1022" s="449">
        <v>46</v>
      </c>
      <c r="B1022" s="453">
        <v>95117</v>
      </c>
      <c r="C1022" s="454" t="s">
        <v>8819</v>
      </c>
      <c r="D1022" s="454" t="s">
        <v>517</v>
      </c>
      <c r="E1022" s="454" t="s">
        <v>8820</v>
      </c>
      <c r="F1022" s="454" t="s">
        <v>518</v>
      </c>
      <c r="G1022" s="454" t="s">
        <v>14018</v>
      </c>
      <c r="H1022" s="455">
        <v>53634226000100</v>
      </c>
      <c r="I1022" s="462">
        <v>30849</v>
      </c>
      <c r="J1022" s="457">
        <v>37468758</v>
      </c>
      <c r="K1022" s="454" t="s">
        <v>8822</v>
      </c>
      <c r="L1022" s="458">
        <v>700</v>
      </c>
      <c r="M1022" s="454" t="s">
        <v>2615</v>
      </c>
      <c r="N1022" s="459">
        <v>3355000</v>
      </c>
      <c r="O1022" s="460">
        <v>26734196</v>
      </c>
      <c r="P1022" s="462">
        <v>50108</v>
      </c>
      <c r="Q1022" s="462">
        <v>91</v>
      </c>
      <c r="R1022" s="462">
        <v>43934</v>
      </c>
      <c r="S1022" s="463">
        <v>786</v>
      </c>
      <c r="T1022" s="464">
        <v>5.4</v>
      </c>
      <c r="U1022" s="465">
        <v>4244.3999999999996</v>
      </c>
      <c r="V1022" s="465">
        <v>18720</v>
      </c>
      <c r="W1022" s="466">
        <v>0</v>
      </c>
      <c r="X1022" s="467">
        <v>1</v>
      </c>
      <c r="Y1022" s="466">
        <v>34446.6</v>
      </c>
      <c r="Z1022" s="468" t="s">
        <v>516</v>
      </c>
      <c r="AA1022" s="466">
        <v>131608.6</v>
      </c>
      <c r="AB1022" s="466">
        <v>131608.6</v>
      </c>
      <c r="AC1022" s="467">
        <v>0</v>
      </c>
      <c r="AD1022" s="466">
        <v>0</v>
      </c>
      <c r="AE1022" s="468" t="s">
        <v>516</v>
      </c>
      <c r="AF1022" s="466">
        <v>0</v>
      </c>
      <c r="AG1022" s="466">
        <v>0</v>
      </c>
      <c r="AH1022" s="466">
        <v>24626.03</v>
      </c>
      <c r="AI1022" s="466">
        <v>4343.63</v>
      </c>
      <c r="AJ1022" s="469" t="s">
        <v>2614</v>
      </c>
      <c r="AK1022" s="470" t="s">
        <v>2615</v>
      </c>
      <c r="AL1022" s="471" t="s">
        <v>8823</v>
      </c>
      <c r="AM1022" s="470" t="s">
        <v>8824</v>
      </c>
      <c r="AN1022" s="470" t="s">
        <v>8821</v>
      </c>
      <c r="AO1022" s="470" t="s">
        <v>15032</v>
      </c>
      <c r="AP1022" s="470" t="s">
        <v>8825</v>
      </c>
      <c r="AQ1022" s="470" t="s">
        <v>8819</v>
      </c>
      <c r="AR1022" s="472" t="s">
        <v>515</v>
      </c>
      <c r="AS1022" s="473" t="s">
        <v>1385</v>
      </c>
      <c r="AT1022" s="472" t="s">
        <v>517</v>
      </c>
      <c r="AU1022" s="472" t="s">
        <v>420</v>
      </c>
      <c r="AV1022" s="472">
        <v>2020</v>
      </c>
      <c r="AW1022" s="474" t="s">
        <v>15078</v>
      </c>
      <c r="AX1022" s="475" t="s">
        <v>15079</v>
      </c>
      <c r="AY1022" s="515">
        <v>1</v>
      </c>
      <c r="AZ1022" s="474" t="s">
        <v>15079</v>
      </c>
      <c r="BA1022" s="472" t="s">
        <v>517</v>
      </c>
      <c r="BB1022" s="472" t="s">
        <v>1385</v>
      </c>
      <c r="BC1022" s="472" t="s">
        <v>1385</v>
      </c>
      <c r="BD1022" s="472" t="s">
        <v>1385</v>
      </c>
      <c r="BE1022" s="472" t="s">
        <v>1385</v>
      </c>
      <c r="BF1022" s="509">
        <v>34446.6</v>
      </c>
      <c r="BG1022" s="472">
        <v>0</v>
      </c>
      <c r="BH1022" s="472" t="s">
        <v>1385</v>
      </c>
      <c r="BI1022" s="510">
        <v>0</v>
      </c>
      <c r="BJ1022" s="510">
        <v>0</v>
      </c>
      <c r="BK1022" s="510">
        <v>0</v>
      </c>
      <c r="BL1022" s="510">
        <v>1195.31</v>
      </c>
      <c r="BM1022" s="510">
        <v>0</v>
      </c>
      <c r="BN1022" s="510">
        <v>5000</v>
      </c>
      <c r="BO1022" s="510">
        <v>0</v>
      </c>
      <c r="BP1022" s="510">
        <v>0</v>
      </c>
      <c r="BQ1022" s="510">
        <v>0</v>
      </c>
      <c r="BR1022" s="510">
        <v>0</v>
      </c>
      <c r="BS1022" s="510">
        <v>0</v>
      </c>
      <c r="BT1022" s="510">
        <v>0</v>
      </c>
      <c r="BU1022" s="510">
        <v>0</v>
      </c>
      <c r="BV1022" s="510">
        <v>0</v>
      </c>
      <c r="BW1022" s="510">
        <v>0</v>
      </c>
      <c r="BX1022" s="510">
        <v>30000</v>
      </c>
      <c r="BY1022" s="1011">
        <v>0</v>
      </c>
      <c r="BZ1022" s="510">
        <v>0</v>
      </c>
      <c r="CA1022" s="1011">
        <v>0</v>
      </c>
      <c r="CB1022" s="510">
        <v>22000</v>
      </c>
      <c r="CC1022" s="1011">
        <v>0</v>
      </c>
      <c r="CD1022" s="510">
        <v>0</v>
      </c>
      <c r="CE1022" s="1011">
        <v>0</v>
      </c>
      <c r="CF1022" s="510">
        <v>45162</v>
      </c>
      <c r="CG1022" s="1011">
        <v>0</v>
      </c>
      <c r="CH1022" s="510">
        <v>0</v>
      </c>
      <c r="CI1022" s="1011">
        <v>0</v>
      </c>
    </row>
    <row r="1023" spans="1:87" x14ac:dyDescent="0.2">
      <c r="A1023" s="449">
        <v>32</v>
      </c>
      <c r="B1023" s="453">
        <v>95125</v>
      </c>
      <c r="C1023" s="454" t="s">
        <v>8826</v>
      </c>
      <c r="D1023" s="454" t="s">
        <v>517</v>
      </c>
      <c r="E1023" s="454" t="s">
        <v>8827</v>
      </c>
      <c r="F1023" s="454" t="s">
        <v>518</v>
      </c>
      <c r="G1023" s="454" t="s">
        <v>14019</v>
      </c>
      <c r="H1023" s="455">
        <v>58105081000174</v>
      </c>
      <c r="I1023" s="462">
        <v>32037</v>
      </c>
      <c r="J1023" s="457">
        <v>37497669</v>
      </c>
      <c r="K1023" s="454" t="s">
        <v>8829</v>
      </c>
      <c r="L1023" s="458">
        <v>802</v>
      </c>
      <c r="M1023" s="454" t="s">
        <v>8830</v>
      </c>
      <c r="N1023" s="459">
        <v>3432000</v>
      </c>
      <c r="O1023" s="460">
        <v>22945906</v>
      </c>
      <c r="P1023" s="462">
        <v>49886</v>
      </c>
      <c r="Q1023" s="462">
        <v>77</v>
      </c>
      <c r="R1023" s="462">
        <v>43934</v>
      </c>
      <c r="S1023" s="463">
        <v>682</v>
      </c>
      <c r="T1023" s="464">
        <v>5.4</v>
      </c>
      <c r="U1023" s="465">
        <v>3682.8</v>
      </c>
      <c r="V1023" s="465">
        <v>17100</v>
      </c>
      <c r="W1023" s="466">
        <v>0</v>
      </c>
      <c r="X1023" s="467">
        <v>1</v>
      </c>
      <c r="Y1023" s="466">
        <v>0</v>
      </c>
      <c r="Z1023" s="468" t="s">
        <v>514</v>
      </c>
      <c r="AA1023" s="466">
        <v>0</v>
      </c>
      <c r="AB1023" s="466">
        <v>0</v>
      </c>
      <c r="AC1023" s="467">
        <v>0</v>
      </c>
      <c r="AD1023" s="466">
        <v>0</v>
      </c>
      <c r="AE1023" s="468" t="s">
        <v>514</v>
      </c>
      <c r="AF1023" s="466">
        <v>0</v>
      </c>
      <c r="AG1023" s="466">
        <v>0</v>
      </c>
      <c r="AH1023" s="466">
        <v>0</v>
      </c>
      <c r="AI1023" s="466">
        <v>0</v>
      </c>
      <c r="AJ1023" s="469" t="s">
        <v>5766</v>
      </c>
      <c r="AK1023" s="470" t="s">
        <v>2629</v>
      </c>
      <c r="AL1023" s="471" t="s">
        <v>8831</v>
      </c>
      <c r="AM1023" s="470" t="s">
        <v>8832</v>
      </c>
      <c r="AN1023" s="470" t="s">
        <v>8828</v>
      </c>
      <c r="AO1023" s="470" t="s">
        <v>15033</v>
      </c>
      <c r="AP1023" s="470" t="s">
        <v>8833</v>
      </c>
      <c r="AQ1023" s="470" t="s">
        <v>8826</v>
      </c>
      <c r="AR1023" s="472" t="s">
        <v>515</v>
      </c>
      <c r="AS1023" s="473" t="s">
        <v>1385</v>
      </c>
      <c r="AT1023" s="472" t="s">
        <v>517</v>
      </c>
      <c r="AU1023" s="472" t="s">
        <v>420</v>
      </c>
      <c r="AV1023" s="472">
        <v>2020</v>
      </c>
      <c r="AW1023" s="474" t="s">
        <v>15078</v>
      </c>
      <c r="AX1023" s="475" t="s">
        <v>15079</v>
      </c>
      <c r="AY1023" s="515">
        <v>1</v>
      </c>
      <c r="AZ1023" s="474" t="s">
        <v>15079</v>
      </c>
      <c r="BA1023" s="472" t="s">
        <v>1385</v>
      </c>
      <c r="BB1023" s="472" t="s">
        <v>1385</v>
      </c>
      <c r="BC1023" s="472" t="s">
        <v>1385</v>
      </c>
      <c r="BD1023" s="472" t="s">
        <v>1385</v>
      </c>
      <c r="BE1023" s="472" t="s">
        <v>1385</v>
      </c>
      <c r="BF1023" s="472">
        <v>31174.2</v>
      </c>
      <c r="BG1023" s="472">
        <v>0</v>
      </c>
      <c r="BH1023" s="472" t="s">
        <v>516</v>
      </c>
      <c r="BI1023" s="510">
        <v>0</v>
      </c>
      <c r="BJ1023" s="510">
        <v>0</v>
      </c>
      <c r="BK1023" s="510">
        <v>0</v>
      </c>
      <c r="BL1023" s="510">
        <v>0</v>
      </c>
      <c r="BM1023" s="510">
        <v>0</v>
      </c>
      <c r="BN1023" s="510">
        <v>0</v>
      </c>
      <c r="BO1023" s="510">
        <v>0</v>
      </c>
      <c r="BP1023" s="510">
        <v>0</v>
      </c>
      <c r="BQ1023" s="510">
        <v>0</v>
      </c>
      <c r="BR1023" s="510">
        <v>0</v>
      </c>
      <c r="BS1023" s="510">
        <v>0</v>
      </c>
      <c r="BT1023" s="510">
        <v>0</v>
      </c>
      <c r="BU1023" s="510">
        <v>0</v>
      </c>
      <c r="BV1023" s="510">
        <v>0</v>
      </c>
      <c r="BW1023" s="510">
        <v>0</v>
      </c>
      <c r="BX1023" s="510">
        <v>0</v>
      </c>
      <c r="BY1023" s="1011">
        <v>0</v>
      </c>
      <c r="BZ1023" s="510">
        <v>0</v>
      </c>
      <c r="CA1023" s="1011">
        <v>0</v>
      </c>
      <c r="CB1023" s="510">
        <v>0</v>
      </c>
      <c r="CC1023" s="1011">
        <v>0</v>
      </c>
      <c r="CD1023" s="510">
        <v>0</v>
      </c>
      <c r="CE1023" s="1011">
        <v>0</v>
      </c>
      <c r="CF1023" s="510">
        <v>0</v>
      </c>
      <c r="CG1023" s="1011">
        <v>0</v>
      </c>
      <c r="CH1023" s="510">
        <v>0</v>
      </c>
      <c r="CI1023" s="1011">
        <v>0</v>
      </c>
    </row>
    <row r="1024" spans="1:87" x14ac:dyDescent="0.2">
      <c r="A1024" s="449">
        <v>43</v>
      </c>
      <c r="B1024" s="453">
        <v>95133</v>
      </c>
      <c r="C1024" s="454" t="s">
        <v>8834</v>
      </c>
      <c r="D1024" s="454" t="s">
        <v>517</v>
      </c>
      <c r="E1024" s="454" t="s">
        <v>8835</v>
      </c>
      <c r="F1024" s="454" t="s">
        <v>518</v>
      </c>
      <c r="G1024" s="454" t="s">
        <v>14020</v>
      </c>
      <c r="H1024" s="455">
        <v>52635695000181</v>
      </c>
      <c r="I1024" s="462">
        <v>30489</v>
      </c>
      <c r="J1024" s="457">
        <v>37468537</v>
      </c>
      <c r="K1024" s="454" t="s">
        <v>8837</v>
      </c>
      <c r="L1024" s="458">
        <v>222</v>
      </c>
      <c r="M1024" s="454" t="s">
        <v>8838</v>
      </c>
      <c r="N1024" s="459">
        <v>3461000</v>
      </c>
      <c r="O1024" s="460">
        <v>20041121</v>
      </c>
      <c r="P1024" s="462">
        <v>50051</v>
      </c>
      <c r="Q1024" s="462">
        <v>88</v>
      </c>
      <c r="R1024" s="462">
        <v>43934</v>
      </c>
      <c r="S1024" s="463">
        <v>713</v>
      </c>
      <c r="T1024" s="464">
        <v>5.4</v>
      </c>
      <c r="U1024" s="465">
        <v>3850.2</v>
      </c>
      <c r="V1024" s="465">
        <v>18720</v>
      </c>
      <c r="W1024" s="466">
        <v>0</v>
      </c>
      <c r="X1024" s="467">
        <v>1</v>
      </c>
      <c r="Y1024" s="466">
        <v>33855.300000000003</v>
      </c>
      <c r="Z1024" s="468" t="s">
        <v>516</v>
      </c>
      <c r="AA1024" s="466">
        <v>128582.9</v>
      </c>
      <c r="AB1024" s="466">
        <v>128582.9</v>
      </c>
      <c r="AC1024" s="467">
        <v>0</v>
      </c>
      <c r="AD1024" s="466">
        <v>0</v>
      </c>
      <c r="AE1024" s="468" t="s">
        <v>516</v>
      </c>
      <c r="AF1024" s="466">
        <v>1000</v>
      </c>
      <c r="AG1024" s="466">
        <v>1000</v>
      </c>
      <c r="AH1024" s="466">
        <v>18306.21</v>
      </c>
      <c r="AI1024" s="466">
        <v>10281.39</v>
      </c>
      <c r="AJ1024" s="469" t="s">
        <v>8839</v>
      </c>
      <c r="AK1024" s="470" t="s">
        <v>1615</v>
      </c>
      <c r="AL1024" s="471" t="s">
        <v>8840</v>
      </c>
      <c r="AM1024" s="470" t="s">
        <v>14021</v>
      </c>
      <c r="AN1024" s="470" t="s">
        <v>8836</v>
      </c>
      <c r="AO1024" s="470" t="s">
        <v>8841</v>
      </c>
      <c r="AP1024" s="470" t="s">
        <v>8842</v>
      </c>
      <c r="AQ1024" s="470" t="s">
        <v>8834</v>
      </c>
      <c r="AR1024" s="472" t="s">
        <v>515</v>
      </c>
      <c r="AS1024" s="473" t="s">
        <v>1385</v>
      </c>
      <c r="AT1024" s="472" t="s">
        <v>517</v>
      </c>
      <c r="AU1024" s="472" t="s">
        <v>420</v>
      </c>
      <c r="AV1024" s="472">
        <v>2020</v>
      </c>
      <c r="AW1024" s="474" t="s">
        <v>15078</v>
      </c>
      <c r="AX1024" s="475" t="s">
        <v>15079</v>
      </c>
      <c r="AY1024" s="515">
        <v>1</v>
      </c>
      <c r="AZ1024" s="474" t="s">
        <v>15079</v>
      </c>
      <c r="BA1024" s="472" t="s">
        <v>517</v>
      </c>
      <c r="BB1024" s="472" t="s">
        <v>1385</v>
      </c>
      <c r="BC1024" s="472" t="s">
        <v>1385</v>
      </c>
      <c r="BD1024" s="472" t="s">
        <v>1385</v>
      </c>
      <c r="BE1024" s="472" t="s">
        <v>1385</v>
      </c>
      <c r="BF1024" s="472">
        <v>33855.300000000003</v>
      </c>
      <c r="BG1024" s="472">
        <v>0</v>
      </c>
      <c r="BH1024" s="472" t="s">
        <v>1385</v>
      </c>
      <c r="BI1024" s="510">
        <v>0</v>
      </c>
      <c r="BJ1024" s="510">
        <v>56.3</v>
      </c>
      <c r="BK1024" s="510">
        <v>0</v>
      </c>
      <c r="BL1024" s="510">
        <v>3500</v>
      </c>
      <c r="BM1024" s="510">
        <v>0</v>
      </c>
      <c r="BN1024" s="510">
        <v>4190</v>
      </c>
      <c r="BO1024" s="510">
        <v>1000</v>
      </c>
      <c r="BP1024" s="510">
        <v>1000</v>
      </c>
      <c r="BQ1024" s="510">
        <v>0</v>
      </c>
      <c r="BR1024" s="510">
        <v>0</v>
      </c>
      <c r="BS1024" s="510">
        <v>0</v>
      </c>
      <c r="BT1024" s="510">
        <v>0</v>
      </c>
      <c r="BU1024" s="510">
        <v>0</v>
      </c>
      <c r="BV1024" s="510">
        <v>0</v>
      </c>
      <c r="BW1024" s="510">
        <v>0</v>
      </c>
      <c r="BX1024" s="510">
        <v>30000</v>
      </c>
      <c r="BY1024" s="1011">
        <v>0</v>
      </c>
      <c r="BZ1024" s="510">
        <v>0</v>
      </c>
      <c r="CA1024" s="1011">
        <v>0</v>
      </c>
      <c r="CB1024" s="510">
        <v>22000</v>
      </c>
      <c r="CC1024" s="1011">
        <v>0</v>
      </c>
      <c r="CD1024" s="510">
        <v>0</v>
      </c>
      <c r="CE1024" s="1011">
        <v>0</v>
      </c>
      <c r="CF1024" s="510">
        <v>41727.599999999999</v>
      </c>
      <c r="CG1024" s="1011">
        <v>0</v>
      </c>
      <c r="CH1024" s="510">
        <v>0</v>
      </c>
      <c r="CI1024" s="1011">
        <v>0</v>
      </c>
    </row>
    <row r="1025" spans="1:87" x14ac:dyDescent="0.2">
      <c r="A1025" s="449">
        <v>52</v>
      </c>
      <c r="B1025" s="453">
        <v>95141</v>
      </c>
      <c r="C1025" s="454" t="s">
        <v>8843</v>
      </c>
      <c r="D1025" s="454" t="s">
        <v>517</v>
      </c>
      <c r="E1025" s="454" t="s">
        <v>8844</v>
      </c>
      <c r="F1025" s="454" t="s">
        <v>518</v>
      </c>
      <c r="G1025" s="454" t="s">
        <v>14022</v>
      </c>
      <c r="H1025" s="455">
        <v>52036092000163</v>
      </c>
      <c r="I1025" s="462">
        <v>30124</v>
      </c>
      <c r="J1025" s="457">
        <v>37469037</v>
      </c>
      <c r="K1025" s="454" t="s">
        <v>8846</v>
      </c>
      <c r="L1025" s="458">
        <v>59</v>
      </c>
      <c r="M1025" s="454" t="s">
        <v>8847</v>
      </c>
      <c r="N1025" s="459">
        <v>3384020</v>
      </c>
      <c r="O1025" s="460">
        <v>27245658</v>
      </c>
      <c r="P1025" s="462">
        <v>50183</v>
      </c>
      <c r="Q1025" s="462">
        <v>97</v>
      </c>
      <c r="R1025" s="462">
        <v>43934</v>
      </c>
      <c r="S1025" s="463">
        <v>580</v>
      </c>
      <c r="T1025" s="464">
        <v>5.4</v>
      </c>
      <c r="U1025" s="465">
        <v>3132</v>
      </c>
      <c r="V1025" s="465">
        <v>17100</v>
      </c>
      <c r="W1025" s="466">
        <v>0</v>
      </c>
      <c r="X1025" s="467">
        <v>1</v>
      </c>
      <c r="Y1025" s="466">
        <v>30348</v>
      </c>
      <c r="Z1025" s="468" t="s">
        <v>516</v>
      </c>
      <c r="AA1025" s="466">
        <v>123740.8</v>
      </c>
      <c r="AB1025" s="466">
        <v>123740.8</v>
      </c>
      <c r="AC1025" s="467">
        <v>0</v>
      </c>
      <c r="AD1025" s="466">
        <v>0</v>
      </c>
      <c r="AE1025" s="468" t="s">
        <v>516</v>
      </c>
      <c r="AF1025" s="466">
        <v>0</v>
      </c>
      <c r="AG1025" s="466">
        <v>0</v>
      </c>
      <c r="AH1025" s="466">
        <v>40460.019999999997</v>
      </c>
      <c r="AI1025" s="466">
        <v>2591.0500000000002</v>
      </c>
      <c r="AJ1025" s="469" t="s">
        <v>5766</v>
      </c>
      <c r="AK1025" s="470" t="s">
        <v>2615</v>
      </c>
      <c r="AL1025" s="471" t="s">
        <v>8848</v>
      </c>
      <c r="AM1025" s="470" t="s">
        <v>8849</v>
      </c>
      <c r="AN1025" s="470" t="s">
        <v>8845</v>
      </c>
      <c r="AO1025" s="470" t="s">
        <v>15034</v>
      </c>
      <c r="AP1025" s="470" t="s">
        <v>8850</v>
      </c>
      <c r="AQ1025" s="470" t="s">
        <v>8843</v>
      </c>
      <c r="AR1025" s="472" t="s">
        <v>515</v>
      </c>
      <c r="AS1025" s="473" t="s">
        <v>1385</v>
      </c>
      <c r="AT1025" s="472" t="s">
        <v>517</v>
      </c>
      <c r="AU1025" s="472" t="s">
        <v>420</v>
      </c>
      <c r="AV1025" s="472">
        <v>2020</v>
      </c>
      <c r="AW1025" s="474" t="s">
        <v>15078</v>
      </c>
      <c r="AX1025" s="475" t="s">
        <v>15079</v>
      </c>
      <c r="AY1025" s="515">
        <v>1</v>
      </c>
      <c r="AZ1025" s="474" t="s">
        <v>15079</v>
      </c>
      <c r="BA1025" s="472" t="s">
        <v>517</v>
      </c>
      <c r="BB1025" s="472" t="s">
        <v>1385</v>
      </c>
      <c r="BC1025" s="472" t="s">
        <v>1385</v>
      </c>
      <c r="BD1025" s="472" t="s">
        <v>1385</v>
      </c>
      <c r="BE1025" s="472" t="s">
        <v>1385</v>
      </c>
      <c r="BF1025" s="472">
        <v>30348</v>
      </c>
      <c r="BG1025" s="472">
        <v>0</v>
      </c>
      <c r="BH1025" s="472" t="s">
        <v>1385</v>
      </c>
      <c r="BI1025" s="510">
        <v>0</v>
      </c>
      <c r="BJ1025" s="510">
        <v>1558.4</v>
      </c>
      <c r="BK1025" s="510">
        <v>0</v>
      </c>
      <c r="BL1025" s="510">
        <v>3500</v>
      </c>
      <c r="BM1025" s="510">
        <v>0</v>
      </c>
      <c r="BN1025" s="510">
        <v>1600</v>
      </c>
      <c r="BO1025" s="510">
        <v>0</v>
      </c>
      <c r="BP1025" s="510">
        <v>0</v>
      </c>
      <c r="BQ1025" s="510">
        <v>0</v>
      </c>
      <c r="BR1025" s="510">
        <v>0</v>
      </c>
      <c r="BS1025" s="510">
        <v>0</v>
      </c>
      <c r="BT1025" s="510">
        <v>0</v>
      </c>
      <c r="BU1025" s="510">
        <v>2500</v>
      </c>
      <c r="BV1025" s="510">
        <v>2500</v>
      </c>
      <c r="BW1025" s="510">
        <v>0</v>
      </c>
      <c r="BX1025" s="510">
        <v>30000</v>
      </c>
      <c r="BY1025" s="1011">
        <v>0</v>
      </c>
      <c r="BZ1025" s="510">
        <v>0</v>
      </c>
      <c r="CA1025" s="1011">
        <v>0</v>
      </c>
      <c r="CB1025" s="510">
        <v>22000</v>
      </c>
      <c r="CC1025" s="1011">
        <v>0</v>
      </c>
      <c r="CD1025" s="510">
        <v>0</v>
      </c>
      <c r="CE1025" s="1011">
        <v>0</v>
      </c>
      <c r="CF1025" s="510">
        <v>41392.800000000003</v>
      </c>
      <c r="CG1025" s="1011">
        <v>0</v>
      </c>
      <c r="CH1025" s="510">
        <v>0</v>
      </c>
      <c r="CI1025" s="1011">
        <v>0</v>
      </c>
    </row>
    <row r="1026" spans="1:87" x14ac:dyDescent="0.2">
      <c r="A1026" s="449">
        <v>49</v>
      </c>
      <c r="B1026" s="453">
        <v>95150</v>
      </c>
      <c r="C1026" s="454" t="s">
        <v>8851</v>
      </c>
      <c r="D1026" s="454" t="s">
        <v>517</v>
      </c>
      <c r="E1026" s="454" t="s">
        <v>8852</v>
      </c>
      <c r="F1026" s="454" t="s">
        <v>518</v>
      </c>
      <c r="G1026" s="454" t="s">
        <v>14023</v>
      </c>
      <c r="H1026" s="455">
        <v>52991999000181</v>
      </c>
      <c r="I1026" s="462">
        <v>30557</v>
      </c>
      <c r="J1026" s="457">
        <v>37468812</v>
      </c>
      <c r="K1026" s="454" t="s">
        <v>8853</v>
      </c>
      <c r="L1026" s="458">
        <v>32</v>
      </c>
      <c r="M1026" s="454" t="s">
        <v>6729</v>
      </c>
      <c r="N1026" s="459">
        <v>3905090</v>
      </c>
      <c r="O1026" s="460">
        <v>22163864</v>
      </c>
      <c r="P1026" s="462">
        <v>50140</v>
      </c>
      <c r="Q1026" s="462">
        <v>94</v>
      </c>
      <c r="R1026" s="462">
        <v>43934</v>
      </c>
      <c r="S1026" s="463">
        <v>781</v>
      </c>
      <c r="T1026" s="464">
        <v>5.4</v>
      </c>
      <c r="U1026" s="465">
        <v>4217.3999999999996</v>
      </c>
      <c r="V1026" s="465">
        <v>18720</v>
      </c>
      <c r="W1026" s="466">
        <v>0</v>
      </c>
      <c r="X1026" s="467">
        <v>1</v>
      </c>
      <c r="Y1026" s="466">
        <v>34406.1</v>
      </c>
      <c r="Z1026" s="468" t="s">
        <v>516</v>
      </c>
      <c r="AA1026" s="466">
        <v>132978.5</v>
      </c>
      <c r="AB1026" s="466">
        <v>132978.5</v>
      </c>
      <c r="AC1026" s="467">
        <v>0</v>
      </c>
      <c r="AD1026" s="466">
        <v>0</v>
      </c>
      <c r="AE1026" s="468" t="s">
        <v>516</v>
      </c>
      <c r="AF1026" s="466">
        <v>1000</v>
      </c>
      <c r="AG1026" s="466">
        <v>1000</v>
      </c>
      <c r="AH1026" s="466">
        <v>20653.72</v>
      </c>
      <c r="AI1026" s="466">
        <v>18345.14</v>
      </c>
      <c r="AJ1026" s="469" t="s">
        <v>3909</v>
      </c>
      <c r="AK1026" s="470" t="s">
        <v>2629</v>
      </c>
      <c r="AL1026" s="471" t="s">
        <v>8854</v>
      </c>
      <c r="AM1026" s="470" t="s">
        <v>8855</v>
      </c>
      <c r="AN1026" s="470" t="s">
        <v>8856</v>
      </c>
      <c r="AO1026" s="470" t="s">
        <v>15035</v>
      </c>
      <c r="AP1026" s="470" t="s">
        <v>8857</v>
      </c>
      <c r="AQ1026" s="470" t="s">
        <v>8851</v>
      </c>
      <c r="AR1026" s="472" t="s">
        <v>515</v>
      </c>
      <c r="AS1026" s="473" t="s">
        <v>1385</v>
      </c>
      <c r="AT1026" s="472" t="s">
        <v>517</v>
      </c>
      <c r="AU1026" s="472" t="s">
        <v>420</v>
      </c>
      <c r="AV1026" s="472">
        <v>2020</v>
      </c>
      <c r="AW1026" s="474" t="s">
        <v>15078</v>
      </c>
      <c r="AX1026" s="475" t="s">
        <v>15079</v>
      </c>
      <c r="AY1026" s="515">
        <v>1</v>
      </c>
      <c r="AZ1026" s="474" t="s">
        <v>15079</v>
      </c>
      <c r="BA1026" s="472" t="s">
        <v>517</v>
      </c>
      <c r="BB1026" s="472" t="s">
        <v>1385</v>
      </c>
      <c r="BC1026" s="472" t="s">
        <v>1385</v>
      </c>
      <c r="BD1026" s="472" t="s">
        <v>1385</v>
      </c>
      <c r="BE1026" s="472" t="s">
        <v>1385</v>
      </c>
      <c r="BF1026" s="472">
        <v>34406.1</v>
      </c>
      <c r="BG1026" s="472">
        <v>0</v>
      </c>
      <c r="BH1026" s="472" t="s">
        <v>1385</v>
      </c>
      <c r="BI1026" s="510">
        <v>0</v>
      </c>
      <c r="BJ1026" s="510">
        <v>0</v>
      </c>
      <c r="BK1026" s="510">
        <v>0</v>
      </c>
      <c r="BL1026" s="510">
        <v>3500</v>
      </c>
      <c r="BM1026" s="510">
        <v>0</v>
      </c>
      <c r="BN1026" s="510">
        <v>5000</v>
      </c>
      <c r="BO1026" s="510">
        <v>1000</v>
      </c>
      <c r="BP1026" s="510">
        <v>1000</v>
      </c>
      <c r="BQ1026" s="510">
        <v>0</v>
      </c>
      <c r="BR1026" s="510">
        <v>0</v>
      </c>
      <c r="BS1026" s="510">
        <v>0</v>
      </c>
      <c r="BT1026" s="510">
        <v>0</v>
      </c>
      <c r="BU1026" s="510">
        <v>2500</v>
      </c>
      <c r="BV1026" s="510">
        <v>2500</v>
      </c>
      <c r="BW1026" s="510">
        <v>0</v>
      </c>
      <c r="BX1026" s="510">
        <v>30000</v>
      </c>
      <c r="BY1026" s="1011">
        <v>0</v>
      </c>
      <c r="BZ1026" s="510">
        <v>0</v>
      </c>
      <c r="CA1026" s="1011">
        <v>0</v>
      </c>
      <c r="CB1026" s="510">
        <v>22000</v>
      </c>
      <c r="CC1026" s="1011">
        <v>0</v>
      </c>
      <c r="CD1026" s="510">
        <v>0</v>
      </c>
      <c r="CE1026" s="1011">
        <v>0</v>
      </c>
      <c r="CF1026" s="510">
        <v>45572.4</v>
      </c>
      <c r="CG1026" s="1011">
        <v>0</v>
      </c>
      <c r="CH1026" s="510">
        <v>0</v>
      </c>
      <c r="CI1026" s="1011">
        <v>0</v>
      </c>
    </row>
    <row r="1027" spans="1:87" x14ac:dyDescent="0.2">
      <c r="A1027" s="449">
        <v>35</v>
      </c>
      <c r="B1027" s="453">
        <v>95168</v>
      </c>
      <c r="C1027" s="454" t="s">
        <v>8858</v>
      </c>
      <c r="D1027" s="454" t="s">
        <v>517</v>
      </c>
      <c r="E1027" s="454" t="s">
        <v>8859</v>
      </c>
      <c r="F1027" s="454" t="s">
        <v>513</v>
      </c>
      <c r="G1027" s="454" t="s">
        <v>14024</v>
      </c>
      <c r="H1027" s="455">
        <v>51684488000154</v>
      </c>
      <c r="I1027" s="462">
        <v>29088</v>
      </c>
      <c r="J1027" s="457">
        <v>37536818</v>
      </c>
      <c r="K1027" s="454" t="s">
        <v>6736</v>
      </c>
      <c r="L1027" s="458">
        <v>57</v>
      </c>
      <c r="M1027" s="454" t="s">
        <v>8860</v>
      </c>
      <c r="N1027" s="459">
        <v>3934000</v>
      </c>
      <c r="O1027" s="460">
        <v>27214255</v>
      </c>
      <c r="P1027" s="462">
        <v>149570</v>
      </c>
      <c r="Q1027" s="462">
        <v>35</v>
      </c>
      <c r="R1027" s="462">
        <v>43937</v>
      </c>
      <c r="S1027" s="463">
        <v>824</v>
      </c>
      <c r="T1027" s="464">
        <v>5.4</v>
      </c>
      <c r="U1027" s="465">
        <v>4449.6000000000004</v>
      </c>
      <c r="V1027" s="465">
        <v>18720</v>
      </c>
      <c r="W1027" s="466">
        <v>0</v>
      </c>
      <c r="X1027" s="467">
        <v>1</v>
      </c>
      <c r="Y1027" s="466">
        <v>34754.400000000001</v>
      </c>
      <c r="Z1027" s="468" t="s">
        <v>516</v>
      </c>
      <c r="AA1027" s="466">
        <v>132780.4</v>
      </c>
      <c r="AB1027" s="466">
        <v>132780.4</v>
      </c>
      <c r="AC1027" s="467">
        <v>0</v>
      </c>
      <c r="AD1027" s="466">
        <v>0</v>
      </c>
      <c r="AE1027" s="468" t="s">
        <v>516</v>
      </c>
      <c r="AF1027" s="466">
        <v>2000</v>
      </c>
      <c r="AG1027" s="466">
        <v>2000</v>
      </c>
      <c r="AH1027" s="466">
        <v>33275.46</v>
      </c>
      <c r="AI1027" s="466">
        <v>12807.45</v>
      </c>
      <c r="AJ1027" s="469" t="s">
        <v>1560</v>
      </c>
      <c r="AK1027" s="470" t="s">
        <v>1561</v>
      </c>
      <c r="AL1027" s="471" t="s">
        <v>8861</v>
      </c>
      <c r="AM1027" s="470" t="s">
        <v>8862</v>
      </c>
      <c r="AN1027" s="470" t="s">
        <v>8863</v>
      </c>
      <c r="AO1027" s="470" t="s">
        <v>8864</v>
      </c>
      <c r="AP1027" s="470" t="s">
        <v>8865</v>
      </c>
      <c r="AQ1027" s="470" t="s">
        <v>8858</v>
      </c>
      <c r="AR1027" s="472" t="s">
        <v>515</v>
      </c>
      <c r="AS1027" s="473" t="s">
        <v>1385</v>
      </c>
      <c r="AT1027" s="472" t="s">
        <v>517</v>
      </c>
      <c r="AU1027" s="472" t="s">
        <v>420</v>
      </c>
      <c r="AV1027" s="472">
        <v>2020</v>
      </c>
      <c r="AW1027" s="474" t="s">
        <v>15078</v>
      </c>
      <c r="AX1027" s="475" t="s">
        <v>15079</v>
      </c>
      <c r="AY1027" s="515">
        <v>1</v>
      </c>
      <c r="AZ1027" s="474" t="s">
        <v>15079</v>
      </c>
      <c r="BA1027" s="472" t="s">
        <v>517</v>
      </c>
      <c r="BB1027" s="472" t="s">
        <v>1385</v>
      </c>
      <c r="BC1027" s="472" t="s">
        <v>1385</v>
      </c>
      <c r="BD1027" s="472" t="s">
        <v>1385</v>
      </c>
      <c r="BE1027" s="472" t="s">
        <v>1385</v>
      </c>
      <c r="BF1027" s="472">
        <v>34754.400000000001</v>
      </c>
      <c r="BG1027" s="472">
        <v>0</v>
      </c>
      <c r="BH1027" s="472" t="s">
        <v>1385</v>
      </c>
      <c r="BI1027" s="510">
        <v>0</v>
      </c>
      <c r="BJ1027" s="510">
        <v>0</v>
      </c>
      <c r="BK1027" s="510">
        <v>0</v>
      </c>
      <c r="BL1027" s="510">
        <v>3500</v>
      </c>
      <c r="BM1027" s="510">
        <v>0</v>
      </c>
      <c r="BN1027" s="510">
        <v>5000</v>
      </c>
      <c r="BO1027" s="510">
        <v>0</v>
      </c>
      <c r="BP1027" s="510">
        <v>2000</v>
      </c>
      <c r="BQ1027" s="510">
        <v>0</v>
      </c>
      <c r="BR1027" s="510">
        <v>0</v>
      </c>
      <c r="BS1027" s="510">
        <v>0</v>
      </c>
      <c r="BT1027" s="510">
        <v>0</v>
      </c>
      <c r="BU1027" s="510">
        <v>2500</v>
      </c>
      <c r="BV1027" s="510">
        <v>2500</v>
      </c>
      <c r="BW1027" s="510">
        <v>0</v>
      </c>
      <c r="BX1027" s="510">
        <v>30000</v>
      </c>
      <c r="BY1027" s="1011">
        <v>0</v>
      </c>
      <c r="BZ1027" s="510">
        <v>0</v>
      </c>
      <c r="CA1027" s="1011">
        <v>0</v>
      </c>
      <c r="CB1027" s="510">
        <v>22000</v>
      </c>
      <c r="CC1027" s="1011">
        <v>0</v>
      </c>
      <c r="CD1027" s="510">
        <v>0</v>
      </c>
      <c r="CE1027" s="1011">
        <v>0</v>
      </c>
      <c r="CF1027" s="510">
        <v>46026</v>
      </c>
      <c r="CG1027" s="1011">
        <v>0</v>
      </c>
      <c r="CH1027" s="510">
        <v>0</v>
      </c>
      <c r="CI1027" s="1011">
        <v>0</v>
      </c>
    </row>
    <row r="1028" spans="1:87" x14ac:dyDescent="0.2">
      <c r="A1028" s="449">
        <v>63</v>
      </c>
      <c r="B1028" s="453">
        <v>95176</v>
      </c>
      <c r="C1028" s="454" t="s">
        <v>8866</v>
      </c>
      <c r="D1028" s="454" t="s">
        <v>517</v>
      </c>
      <c r="E1028" s="454" t="s">
        <v>8867</v>
      </c>
      <c r="F1028" s="454" t="s">
        <v>513</v>
      </c>
      <c r="G1028" s="454" t="s">
        <v>14025</v>
      </c>
      <c r="H1028" s="455">
        <v>45879202000193</v>
      </c>
      <c r="I1028" s="462">
        <v>29154</v>
      </c>
      <c r="J1028" s="457">
        <v>37537610</v>
      </c>
      <c r="K1028" s="454" t="s">
        <v>8868</v>
      </c>
      <c r="L1028" s="458">
        <v>54</v>
      </c>
      <c r="M1028" s="454" t="s">
        <v>8869</v>
      </c>
      <c r="N1028" s="459">
        <v>3947030</v>
      </c>
      <c r="O1028" s="460">
        <v>29194320</v>
      </c>
      <c r="P1028" s="462">
        <v>150480</v>
      </c>
      <c r="Q1028" s="462">
        <v>63</v>
      </c>
      <c r="R1028" s="462">
        <v>43937</v>
      </c>
      <c r="S1028" s="463">
        <v>665</v>
      </c>
      <c r="T1028" s="464">
        <v>5.4</v>
      </c>
      <c r="U1028" s="465">
        <v>3591</v>
      </c>
      <c r="V1028" s="465">
        <v>17100</v>
      </c>
      <c r="W1028" s="466">
        <v>0</v>
      </c>
      <c r="X1028" s="467">
        <v>1</v>
      </c>
      <c r="Y1028" s="466">
        <v>31036.5</v>
      </c>
      <c r="Z1028" s="468" t="s">
        <v>516</v>
      </c>
      <c r="AA1028" s="466">
        <v>124256.5</v>
      </c>
      <c r="AB1028" s="466">
        <v>124256.5</v>
      </c>
      <c r="AC1028" s="467">
        <v>0</v>
      </c>
      <c r="AD1028" s="466">
        <v>0</v>
      </c>
      <c r="AE1028" s="468" t="s">
        <v>516</v>
      </c>
      <c r="AF1028" s="466">
        <v>0</v>
      </c>
      <c r="AG1028" s="466">
        <v>0</v>
      </c>
      <c r="AH1028" s="466">
        <v>6008.27</v>
      </c>
      <c r="AI1028" s="466">
        <v>19030.490000000002</v>
      </c>
      <c r="AJ1028" s="469" t="s">
        <v>2030</v>
      </c>
      <c r="AK1028" s="470" t="s">
        <v>513</v>
      </c>
      <c r="AL1028" s="471" t="s">
        <v>8870</v>
      </c>
      <c r="AM1028" s="470" t="s">
        <v>14026</v>
      </c>
      <c r="AN1028" s="470" t="s">
        <v>1385</v>
      </c>
      <c r="AO1028" s="470" t="s">
        <v>8871</v>
      </c>
      <c r="AP1028" s="470" t="s">
        <v>8872</v>
      </c>
      <c r="AQ1028" s="470" t="s">
        <v>8866</v>
      </c>
      <c r="AR1028" s="472" t="s">
        <v>515</v>
      </c>
      <c r="AS1028" s="473" t="s">
        <v>1385</v>
      </c>
      <c r="AT1028" s="472" t="s">
        <v>517</v>
      </c>
      <c r="AU1028" s="472" t="s">
        <v>420</v>
      </c>
      <c r="AV1028" s="472">
        <v>2020</v>
      </c>
      <c r="AW1028" s="474" t="s">
        <v>15078</v>
      </c>
      <c r="AX1028" s="475" t="s">
        <v>15079</v>
      </c>
      <c r="AY1028" s="515">
        <v>1</v>
      </c>
      <c r="AZ1028" s="474" t="s">
        <v>15079</v>
      </c>
      <c r="BA1028" s="472" t="s">
        <v>517</v>
      </c>
      <c r="BB1028" s="472" t="s">
        <v>1385</v>
      </c>
      <c r="BC1028" s="472" t="s">
        <v>1385</v>
      </c>
      <c r="BD1028" s="472" t="s">
        <v>1385</v>
      </c>
      <c r="BE1028" s="472" t="s">
        <v>1385</v>
      </c>
      <c r="BF1028" s="472">
        <v>31036.5</v>
      </c>
      <c r="BG1028" s="472">
        <v>0</v>
      </c>
      <c r="BH1028" s="472" t="s">
        <v>1385</v>
      </c>
      <c r="BI1028" s="510">
        <v>0</v>
      </c>
      <c r="BJ1028" s="510">
        <v>0</v>
      </c>
      <c r="BK1028" s="510">
        <v>0</v>
      </c>
      <c r="BL1028" s="510">
        <v>0</v>
      </c>
      <c r="BM1028" s="510">
        <v>0</v>
      </c>
      <c r="BN1028" s="510">
        <v>0</v>
      </c>
      <c r="BO1028" s="510">
        <v>0</v>
      </c>
      <c r="BP1028" s="510">
        <v>0</v>
      </c>
      <c r="BQ1028" s="510">
        <v>0</v>
      </c>
      <c r="BR1028" s="510">
        <v>0</v>
      </c>
      <c r="BS1028" s="510">
        <v>0</v>
      </c>
      <c r="BT1028" s="510">
        <v>0</v>
      </c>
      <c r="BU1028" s="510">
        <v>0</v>
      </c>
      <c r="BV1028" s="510">
        <v>0</v>
      </c>
      <c r="BW1028" s="510">
        <v>0</v>
      </c>
      <c r="BX1028" s="510">
        <v>30000</v>
      </c>
      <c r="BY1028" s="1011">
        <v>0</v>
      </c>
      <c r="BZ1028" s="510">
        <v>0</v>
      </c>
      <c r="CA1028" s="1011">
        <v>0</v>
      </c>
      <c r="CB1028" s="510">
        <v>22000</v>
      </c>
      <c r="CC1028" s="1011">
        <v>0</v>
      </c>
      <c r="CD1028" s="510">
        <v>0</v>
      </c>
      <c r="CE1028" s="1011">
        <v>0</v>
      </c>
      <c r="CF1028" s="510">
        <v>41220</v>
      </c>
      <c r="CG1028" s="1011">
        <v>0</v>
      </c>
      <c r="CH1028" s="510">
        <v>0</v>
      </c>
      <c r="CI1028" s="1011">
        <v>0</v>
      </c>
    </row>
    <row r="1029" spans="1:87" x14ac:dyDescent="0.2">
      <c r="A1029" s="449">
        <v>51</v>
      </c>
      <c r="B1029" s="453">
        <v>95184</v>
      </c>
      <c r="C1029" s="454" t="s">
        <v>8873</v>
      </c>
      <c r="D1029" s="454" t="s">
        <v>517</v>
      </c>
      <c r="E1029" s="454" t="s">
        <v>8874</v>
      </c>
      <c r="F1029" s="454" t="s">
        <v>518</v>
      </c>
      <c r="G1029" s="454" t="s">
        <v>14027</v>
      </c>
      <c r="H1029" s="455">
        <v>53501235000123</v>
      </c>
      <c r="I1029" s="462">
        <v>30825</v>
      </c>
      <c r="J1029" s="457">
        <v>37468936</v>
      </c>
      <c r="K1029" s="454" t="s">
        <v>8876</v>
      </c>
      <c r="L1029" s="458">
        <v>125</v>
      </c>
      <c r="M1029" s="454" t="s">
        <v>8877</v>
      </c>
      <c r="N1029" s="459">
        <v>3451090</v>
      </c>
      <c r="O1029" s="460">
        <v>27833463</v>
      </c>
      <c r="P1029" s="462">
        <v>50167</v>
      </c>
      <c r="Q1029" s="462">
        <v>96</v>
      </c>
      <c r="R1029" s="462">
        <v>43934</v>
      </c>
      <c r="S1029" s="463">
        <v>743</v>
      </c>
      <c r="T1029" s="464">
        <v>5.4</v>
      </c>
      <c r="U1029" s="465">
        <v>4012.2</v>
      </c>
      <c r="V1029" s="465">
        <v>18720</v>
      </c>
      <c r="W1029" s="466">
        <v>0</v>
      </c>
      <c r="X1029" s="467">
        <v>1</v>
      </c>
      <c r="Y1029" s="466">
        <v>34098.300000000003</v>
      </c>
      <c r="Z1029" s="468" t="s">
        <v>516</v>
      </c>
      <c r="AA1029" s="466">
        <v>131217.1</v>
      </c>
      <c r="AB1029" s="466">
        <v>131217.1</v>
      </c>
      <c r="AC1029" s="467">
        <v>0</v>
      </c>
      <c r="AD1029" s="466">
        <v>0</v>
      </c>
      <c r="AE1029" s="468" t="s">
        <v>516</v>
      </c>
      <c r="AF1029" s="466">
        <v>0</v>
      </c>
      <c r="AG1029" s="466">
        <v>0</v>
      </c>
      <c r="AH1029" s="466">
        <v>11204.79</v>
      </c>
      <c r="AI1029" s="466">
        <v>12749.32</v>
      </c>
      <c r="AJ1029" s="469" t="s">
        <v>8839</v>
      </c>
      <c r="AK1029" s="470" t="s">
        <v>1615</v>
      </c>
      <c r="AL1029" s="471" t="s">
        <v>8878</v>
      </c>
      <c r="AM1029" s="470" t="s">
        <v>14028</v>
      </c>
      <c r="AN1029" s="470" t="s">
        <v>8875</v>
      </c>
      <c r="AO1029" s="470" t="s">
        <v>15036</v>
      </c>
      <c r="AP1029" s="470" t="s">
        <v>8879</v>
      </c>
      <c r="AQ1029" s="470" t="s">
        <v>8873</v>
      </c>
      <c r="AR1029" s="472" t="s">
        <v>515</v>
      </c>
      <c r="AS1029" s="473" t="s">
        <v>1385</v>
      </c>
      <c r="AT1029" s="472" t="s">
        <v>517</v>
      </c>
      <c r="AU1029" s="472" t="s">
        <v>420</v>
      </c>
      <c r="AV1029" s="472">
        <v>2020</v>
      </c>
      <c r="AW1029" s="474" t="s">
        <v>15078</v>
      </c>
      <c r="AX1029" s="475" t="s">
        <v>15079</v>
      </c>
      <c r="AY1029" s="515">
        <v>1</v>
      </c>
      <c r="AZ1029" s="474" t="s">
        <v>15079</v>
      </c>
      <c r="BA1029" s="472" t="s">
        <v>517</v>
      </c>
      <c r="BB1029" s="472" t="s">
        <v>1385</v>
      </c>
      <c r="BC1029" s="472" t="s">
        <v>1385</v>
      </c>
      <c r="BD1029" s="472" t="s">
        <v>1385</v>
      </c>
      <c r="BE1029" s="472" t="s">
        <v>1385</v>
      </c>
      <c r="BF1029" s="472">
        <v>34098.300000000003</v>
      </c>
      <c r="BG1029" s="472">
        <v>0</v>
      </c>
      <c r="BH1029" s="472" t="s">
        <v>1385</v>
      </c>
      <c r="BI1029" s="510">
        <v>0</v>
      </c>
      <c r="BJ1029" s="510">
        <v>0</v>
      </c>
      <c r="BK1029" s="510">
        <v>0</v>
      </c>
      <c r="BL1029" s="510">
        <v>3500</v>
      </c>
      <c r="BM1029" s="510">
        <v>0</v>
      </c>
      <c r="BN1029" s="510">
        <v>5000</v>
      </c>
      <c r="BO1029" s="510">
        <v>0</v>
      </c>
      <c r="BP1029" s="510">
        <v>0</v>
      </c>
      <c r="BQ1029" s="510">
        <v>0</v>
      </c>
      <c r="BR1029" s="510">
        <v>0</v>
      </c>
      <c r="BS1029" s="510">
        <v>0</v>
      </c>
      <c r="BT1029" s="510">
        <v>0</v>
      </c>
      <c r="BU1029" s="510">
        <v>2500</v>
      </c>
      <c r="BV1029" s="510">
        <v>2500</v>
      </c>
      <c r="BW1029" s="510">
        <v>0</v>
      </c>
      <c r="BX1029" s="510">
        <v>30000</v>
      </c>
      <c r="BY1029" s="1011">
        <v>0</v>
      </c>
      <c r="BZ1029" s="510">
        <v>0</v>
      </c>
      <c r="CA1029" s="1011">
        <v>0</v>
      </c>
      <c r="CB1029" s="510">
        <v>22000</v>
      </c>
      <c r="CC1029" s="1011">
        <v>0</v>
      </c>
      <c r="CD1029" s="510">
        <v>0</v>
      </c>
      <c r="CE1029" s="1011">
        <v>0</v>
      </c>
      <c r="CF1029" s="510">
        <v>45118.8</v>
      </c>
      <c r="CG1029" s="1011">
        <v>0</v>
      </c>
      <c r="CH1029" s="510">
        <v>0</v>
      </c>
      <c r="CI1029" s="1011">
        <v>0</v>
      </c>
    </row>
    <row r="1030" spans="1:87" x14ac:dyDescent="0.2">
      <c r="A1030" s="449">
        <v>41</v>
      </c>
      <c r="B1030" s="453">
        <v>95192</v>
      </c>
      <c r="C1030" s="454" t="s">
        <v>8880</v>
      </c>
      <c r="D1030" s="454" t="s">
        <v>517</v>
      </c>
      <c r="E1030" s="454" t="s">
        <v>8881</v>
      </c>
      <c r="F1030" s="454" t="s">
        <v>518</v>
      </c>
      <c r="G1030" s="454" t="s">
        <v>14029</v>
      </c>
      <c r="H1030" s="455">
        <v>50708726000151</v>
      </c>
      <c r="I1030" s="462">
        <v>30144</v>
      </c>
      <c r="J1030" s="457">
        <v>37468634</v>
      </c>
      <c r="K1030" s="454" t="s">
        <v>8883</v>
      </c>
      <c r="L1030" s="458">
        <v>466</v>
      </c>
      <c r="M1030" s="454" t="s">
        <v>8884</v>
      </c>
      <c r="N1030" s="459">
        <v>3444090</v>
      </c>
      <c r="O1030" s="460">
        <v>22954174</v>
      </c>
      <c r="P1030" s="462">
        <v>50027</v>
      </c>
      <c r="Q1030" s="462">
        <v>86</v>
      </c>
      <c r="R1030" s="462">
        <v>43934</v>
      </c>
      <c r="S1030" s="463">
        <v>439</v>
      </c>
      <c r="T1030" s="464">
        <v>5.4</v>
      </c>
      <c r="U1030" s="465">
        <v>2370.6</v>
      </c>
      <c r="V1030" s="465">
        <v>15480</v>
      </c>
      <c r="W1030" s="466">
        <v>0</v>
      </c>
      <c r="X1030" s="467">
        <v>1</v>
      </c>
      <c r="Y1030" s="466">
        <v>31419.9</v>
      </c>
      <c r="Z1030" s="468" t="s">
        <v>516</v>
      </c>
      <c r="AA1030" s="466">
        <v>131828.70000000001</v>
      </c>
      <c r="AB1030" s="466">
        <v>131828.70000000001</v>
      </c>
      <c r="AC1030" s="467">
        <v>0</v>
      </c>
      <c r="AD1030" s="466">
        <v>0</v>
      </c>
      <c r="AE1030" s="468" t="s">
        <v>516</v>
      </c>
      <c r="AF1030" s="466">
        <v>2000</v>
      </c>
      <c r="AG1030" s="466">
        <v>2000</v>
      </c>
      <c r="AH1030" s="466">
        <v>47707.85</v>
      </c>
      <c r="AI1030" s="466">
        <v>9365.56</v>
      </c>
      <c r="AJ1030" s="469" t="s">
        <v>5766</v>
      </c>
      <c r="AK1030" s="470" t="s">
        <v>2629</v>
      </c>
      <c r="AL1030" s="471" t="s">
        <v>8885</v>
      </c>
      <c r="AM1030" s="470" t="s">
        <v>14030</v>
      </c>
      <c r="AN1030" s="470" t="s">
        <v>8882</v>
      </c>
      <c r="AO1030" s="470" t="s">
        <v>15037</v>
      </c>
      <c r="AP1030" s="470" t="s">
        <v>8886</v>
      </c>
      <c r="AQ1030" s="470" t="s">
        <v>8880</v>
      </c>
      <c r="AR1030" s="472" t="s">
        <v>515</v>
      </c>
      <c r="AS1030" s="473" t="s">
        <v>1385</v>
      </c>
      <c r="AT1030" s="472" t="s">
        <v>517</v>
      </c>
      <c r="AU1030" s="472" t="s">
        <v>420</v>
      </c>
      <c r="AV1030" s="472">
        <v>2020</v>
      </c>
      <c r="AW1030" s="474" t="s">
        <v>15078</v>
      </c>
      <c r="AX1030" s="475" t="s">
        <v>15079</v>
      </c>
      <c r="AY1030" s="515">
        <v>1</v>
      </c>
      <c r="AZ1030" s="474" t="s">
        <v>15079</v>
      </c>
      <c r="BA1030" s="472" t="s">
        <v>517</v>
      </c>
      <c r="BB1030" s="472" t="s">
        <v>516</v>
      </c>
      <c r="BC1030" s="472">
        <v>1</v>
      </c>
      <c r="BD1030" s="472">
        <v>3096</v>
      </c>
      <c r="BE1030" s="472">
        <v>0</v>
      </c>
      <c r="BF1030" s="472">
        <v>31419.9</v>
      </c>
      <c r="BG1030" s="472">
        <v>0</v>
      </c>
      <c r="BH1030" s="472" t="s">
        <v>1385</v>
      </c>
      <c r="BI1030" s="510">
        <v>0</v>
      </c>
      <c r="BJ1030" s="510">
        <v>0</v>
      </c>
      <c r="BK1030" s="510">
        <v>0</v>
      </c>
      <c r="BL1030" s="510">
        <v>3500</v>
      </c>
      <c r="BM1030" s="510">
        <v>0</v>
      </c>
      <c r="BN1030" s="510">
        <v>3500</v>
      </c>
      <c r="BO1030" s="510">
        <v>0</v>
      </c>
      <c r="BP1030" s="510">
        <v>2000</v>
      </c>
      <c r="BQ1030" s="510">
        <v>0</v>
      </c>
      <c r="BR1030" s="510">
        <v>0</v>
      </c>
      <c r="BS1030" s="510">
        <v>0</v>
      </c>
      <c r="BT1030" s="510">
        <v>0</v>
      </c>
      <c r="BU1030" s="510">
        <v>2500</v>
      </c>
      <c r="BV1030" s="510">
        <v>2500</v>
      </c>
      <c r="BW1030" s="510">
        <v>0</v>
      </c>
      <c r="BX1030" s="510">
        <v>30000</v>
      </c>
      <c r="BY1030" s="1011">
        <v>0</v>
      </c>
      <c r="BZ1030" s="510">
        <v>0</v>
      </c>
      <c r="CA1030" s="1011">
        <v>0</v>
      </c>
      <c r="CB1030" s="510">
        <v>22000</v>
      </c>
      <c r="CC1030" s="1011">
        <v>0</v>
      </c>
      <c r="CD1030" s="510">
        <v>0</v>
      </c>
      <c r="CE1030" s="1011">
        <v>0</v>
      </c>
      <c r="CF1030" s="510">
        <v>48408.800000000003</v>
      </c>
      <c r="CG1030" s="1011">
        <v>0</v>
      </c>
      <c r="CH1030" s="510">
        <v>0</v>
      </c>
      <c r="CI1030" s="1011">
        <v>0</v>
      </c>
    </row>
    <row r="1031" spans="1:87" x14ac:dyDescent="0.2">
      <c r="A1031" s="449">
        <v>31</v>
      </c>
      <c r="B1031" s="453">
        <v>95206</v>
      </c>
      <c r="C1031" s="454" t="s">
        <v>8887</v>
      </c>
      <c r="D1031" s="454" t="s">
        <v>517</v>
      </c>
      <c r="E1031" s="454" t="s">
        <v>8888</v>
      </c>
      <c r="F1031" s="454" t="s">
        <v>529</v>
      </c>
      <c r="G1031" s="454" t="s">
        <v>14031</v>
      </c>
      <c r="H1031" s="455">
        <v>51157105000190</v>
      </c>
      <c r="I1031" s="462">
        <v>28249</v>
      </c>
      <c r="J1031" s="457">
        <v>37523074</v>
      </c>
      <c r="K1031" s="454" t="s">
        <v>8889</v>
      </c>
      <c r="L1031" s="458">
        <v>59</v>
      </c>
      <c r="M1031" s="454" t="s">
        <v>5590</v>
      </c>
      <c r="N1031" s="459">
        <v>4630010</v>
      </c>
      <c r="O1031" s="460">
        <v>50344777</v>
      </c>
      <c r="P1031" s="462">
        <v>563709</v>
      </c>
      <c r="Q1031" s="462">
        <v>53</v>
      </c>
      <c r="R1031" s="462">
        <v>43921</v>
      </c>
      <c r="S1031" s="463">
        <v>501</v>
      </c>
      <c r="T1031" s="464">
        <v>5.4</v>
      </c>
      <c r="U1031" s="465">
        <v>2705.4</v>
      </c>
      <c r="V1031" s="465">
        <v>17100</v>
      </c>
      <c r="W1031" s="466">
        <v>0</v>
      </c>
      <c r="X1031" s="467">
        <v>1</v>
      </c>
      <c r="Y1031" s="466">
        <v>29708.1</v>
      </c>
      <c r="Z1031" s="468" t="s">
        <v>516</v>
      </c>
      <c r="AA1031" s="466">
        <v>121383.7</v>
      </c>
      <c r="AB1031" s="466">
        <v>121383.7</v>
      </c>
      <c r="AC1031" s="467">
        <v>0</v>
      </c>
      <c r="AD1031" s="466">
        <v>0</v>
      </c>
      <c r="AE1031" s="468" t="s">
        <v>516</v>
      </c>
      <c r="AF1031" s="466">
        <v>0</v>
      </c>
      <c r="AG1031" s="466">
        <v>0</v>
      </c>
      <c r="AH1031" s="466">
        <v>9883.69</v>
      </c>
      <c r="AI1031" s="466">
        <v>12764.86</v>
      </c>
      <c r="AJ1031" s="469" t="s">
        <v>3879</v>
      </c>
      <c r="AK1031" s="470" t="s">
        <v>3864</v>
      </c>
      <c r="AL1031" s="471" t="s">
        <v>8890</v>
      </c>
      <c r="AM1031" s="470" t="s">
        <v>14032</v>
      </c>
      <c r="AN1031" s="470" t="s">
        <v>14031</v>
      </c>
      <c r="AO1031" s="470" t="s">
        <v>8891</v>
      </c>
      <c r="AP1031" s="470" t="s">
        <v>8892</v>
      </c>
      <c r="AQ1031" s="470" t="s">
        <v>8887</v>
      </c>
      <c r="AR1031" s="472" t="s">
        <v>515</v>
      </c>
      <c r="AS1031" s="473" t="s">
        <v>1385</v>
      </c>
      <c r="AT1031" s="472" t="s">
        <v>517</v>
      </c>
      <c r="AU1031" s="472" t="s">
        <v>420</v>
      </c>
      <c r="AV1031" s="472">
        <v>2020</v>
      </c>
      <c r="AW1031" s="474" t="s">
        <v>15078</v>
      </c>
      <c r="AX1031" s="475" t="s">
        <v>15079</v>
      </c>
      <c r="AY1031" s="515">
        <v>1</v>
      </c>
      <c r="AZ1031" s="474" t="s">
        <v>15079</v>
      </c>
      <c r="BA1031" s="472" t="s">
        <v>517</v>
      </c>
      <c r="BB1031" s="472" t="s">
        <v>1385</v>
      </c>
      <c r="BC1031" s="472" t="s">
        <v>1385</v>
      </c>
      <c r="BD1031" s="472" t="s">
        <v>1385</v>
      </c>
      <c r="BE1031" s="472" t="s">
        <v>1385</v>
      </c>
      <c r="BF1031" s="472">
        <v>29708.1</v>
      </c>
      <c r="BG1031" s="472">
        <v>0</v>
      </c>
      <c r="BH1031" s="472" t="s">
        <v>1385</v>
      </c>
      <c r="BI1031" s="510">
        <v>0</v>
      </c>
      <c r="BJ1031" s="510">
        <v>0</v>
      </c>
      <c r="BK1031" s="510">
        <v>0</v>
      </c>
      <c r="BL1031" s="510">
        <v>0</v>
      </c>
      <c r="BM1031" s="510">
        <v>0</v>
      </c>
      <c r="BN1031" s="510">
        <v>3500</v>
      </c>
      <c r="BO1031" s="510">
        <v>0</v>
      </c>
      <c r="BP1031" s="510">
        <v>0</v>
      </c>
      <c r="BQ1031" s="510">
        <v>0</v>
      </c>
      <c r="BR1031" s="510">
        <v>0</v>
      </c>
      <c r="BS1031" s="510">
        <v>0</v>
      </c>
      <c r="BT1031" s="510">
        <v>0</v>
      </c>
      <c r="BU1031" s="510">
        <v>0</v>
      </c>
      <c r="BV1031" s="510">
        <v>0</v>
      </c>
      <c r="BW1031" s="510">
        <v>0</v>
      </c>
      <c r="BX1031" s="510">
        <v>30000</v>
      </c>
      <c r="BY1031" s="1011">
        <v>0</v>
      </c>
      <c r="BZ1031" s="510">
        <v>0</v>
      </c>
      <c r="CA1031" s="1011">
        <v>0</v>
      </c>
      <c r="CB1031" s="510">
        <v>22000</v>
      </c>
      <c r="CC1031" s="1011">
        <v>0</v>
      </c>
      <c r="CD1031" s="510">
        <v>0</v>
      </c>
      <c r="CE1031" s="1011">
        <v>0</v>
      </c>
      <c r="CF1031" s="510">
        <v>39675.599999999999</v>
      </c>
      <c r="CG1031" s="1011">
        <v>0</v>
      </c>
      <c r="CH1031" s="510">
        <v>0</v>
      </c>
      <c r="CI1031" s="1011">
        <v>0</v>
      </c>
    </row>
    <row r="1032" spans="1:87" x14ac:dyDescent="0.2">
      <c r="A1032" s="449">
        <v>29</v>
      </c>
      <c r="B1032" s="453">
        <v>95214</v>
      </c>
      <c r="C1032" s="454" t="s">
        <v>8893</v>
      </c>
      <c r="D1032" s="454" t="s">
        <v>517</v>
      </c>
      <c r="E1032" s="454" t="s">
        <v>8894</v>
      </c>
      <c r="F1032" s="454" t="s">
        <v>529</v>
      </c>
      <c r="G1032" s="454" t="s">
        <v>14033</v>
      </c>
      <c r="H1032" s="455">
        <v>43761519000103</v>
      </c>
      <c r="I1032" s="462">
        <v>29034</v>
      </c>
      <c r="J1032" s="457">
        <v>37523031</v>
      </c>
      <c r="K1032" s="454" t="s">
        <v>8895</v>
      </c>
      <c r="L1032" s="458">
        <v>585</v>
      </c>
      <c r="M1032" s="454" t="s">
        <v>5590</v>
      </c>
      <c r="N1032" s="459">
        <v>4635022</v>
      </c>
      <c r="O1032" s="460">
        <v>50313215</v>
      </c>
      <c r="P1032" s="462">
        <v>563679</v>
      </c>
      <c r="Q1032" s="462">
        <v>51</v>
      </c>
      <c r="R1032" s="462">
        <v>43921</v>
      </c>
      <c r="S1032" s="463">
        <v>988</v>
      </c>
      <c r="T1032" s="464">
        <v>5.4</v>
      </c>
      <c r="U1032" s="465">
        <v>5335.2</v>
      </c>
      <c r="V1032" s="465">
        <v>20340</v>
      </c>
      <c r="W1032" s="466">
        <v>0</v>
      </c>
      <c r="X1032" s="467">
        <v>1</v>
      </c>
      <c r="Y1032" s="466">
        <v>38512.800000000003</v>
      </c>
      <c r="Z1032" s="468" t="s">
        <v>516</v>
      </c>
      <c r="AA1032" s="466">
        <v>136862.79999999999</v>
      </c>
      <c r="AB1032" s="466">
        <v>136862.79999999999</v>
      </c>
      <c r="AC1032" s="467">
        <v>0</v>
      </c>
      <c r="AD1032" s="466">
        <v>0</v>
      </c>
      <c r="AE1032" s="468" t="s">
        <v>516</v>
      </c>
      <c r="AF1032" s="466">
        <v>2000</v>
      </c>
      <c r="AG1032" s="466">
        <v>2000</v>
      </c>
      <c r="AH1032" s="466">
        <v>18940.16</v>
      </c>
      <c r="AI1032" s="466">
        <v>7096.04</v>
      </c>
      <c r="AJ1032" s="469" t="s">
        <v>5591</v>
      </c>
      <c r="AK1032" s="470" t="s">
        <v>5592</v>
      </c>
      <c r="AL1032" s="471" t="s">
        <v>8896</v>
      </c>
      <c r="AM1032" s="470" t="s">
        <v>14903</v>
      </c>
      <c r="AN1032" s="470" t="s">
        <v>14033</v>
      </c>
      <c r="AO1032" s="470" t="s">
        <v>1385</v>
      </c>
      <c r="AP1032" s="470" t="s">
        <v>8897</v>
      </c>
      <c r="AQ1032" s="470" t="s">
        <v>8893</v>
      </c>
      <c r="AR1032" s="472" t="s">
        <v>515</v>
      </c>
      <c r="AS1032" s="473" t="s">
        <v>1385</v>
      </c>
      <c r="AT1032" s="472" t="s">
        <v>517</v>
      </c>
      <c r="AU1032" s="472" t="s">
        <v>420</v>
      </c>
      <c r="AV1032" s="472">
        <v>2020</v>
      </c>
      <c r="AW1032" s="474" t="s">
        <v>15078</v>
      </c>
      <c r="AX1032" s="475" t="s">
        <v>15079</v>
      </c>
      <c r="AY1032" s="515">
        <v>1</v>
      </c>
      <c r="AZ1032" s="474" t="s">
        <v>15079</v>
      </c>
      <c r="BA1032" s="472" t="s">
        <v>517</v>
      </c>
      <c r="BB1032" s="472" t="s">
        <v>1385</v>
      </c>
      <c r="BC1032" s="472" t="s">
        <v>1385</v>
      </c>
      <c r="BD1032" s="472" t="s">
        <v>1385</v>
      </c>
      <c r="BE1032" s="472" t="s">
        <v>1385</v>
      </c>
      <c r="BF1032" s="472">
        <v>38512.800000000003</v>
      </c>
      <c r="BG1032" s="472">
        <v>0</v>
      </c>
      <c r="BH1032" s="472" t="s">
        <v>1385</v>
      </c>
      <c r="BI1032" s="510">
        <v>0</v>
      </c>
      <c r="BJ1032" s="510">
        <v>0</v>
      </c>
      <c r="BK1032" s="510">
        <v>0</v>
      </c>
      <c r="BL1032" s="510">
        <v>190</v>
      </c>
      <c r="BM1032" s="510">
        <v>0</v>
      </c>
      <c r="BN1032" s="510">
        <v>5000</v>
      </c>
      <c r="BO1032" s="510">
        <v>0</v>
      </c>
      <c r="BP1032" s="510">
        <v>2000</v>
      </c>
      <c r="BQ1032" s="510">
        <v>0</v>
      </c>
      <c r="BR1032" s="510">
        <v>0</v>
      </c>
      <c r="BS1032" s="510">
        <v>0</v>
      </c>
      <c r="BT1032" s="510">
        <v>0</v>
      </c>
      <c r="BU1032" s="510">
        <v>2500</v>
      </c>
      <c r="BV1032" s="510">
        <v>2500</v>
      </c>
      <c r="BW1032" s="510">
        <v>0</v>
      </c>
      <c r="BX1032" s="510">
        <v>30000</v>
      </c>
      <c r="BY1032" s="1011">
        <v>0</v>
      </c>
      <c r="BZ1032" s="510">
        <v>0</v>
      </c>
      <c r="CA1032" s="1011">
        <v>0</v>
      </c>
      <c r="CB1032" s="510">
        <v>22000</v>
      </c>
      <c r="CC1032" s="1011">
        <v>0</v>
      </c>
      <c r="CD1032" s="510">
        <v>0</v>
      </c>
      <c r="CE1032" s="1011">
        <v>0</v>
      </c>
      <c r="CF1032" s="510">
        <v>46350</v>
      </c>
      <c r="CG1032" s="1011">
        <v>0</v>
      </c>
      <c r="CH1032" s="510">
        <v>0</v>
      </c>
      <c r="CI1032" s="1011">
        <v>0</v>
      </c>
    </row>
    <row r="1033" spans="1:87" x14ac:dyDescent="0.2">
      <c r="A1033" s="449">
        <v>28</v>
      </c>
      <c r="B1033" s="453">
        <v>95222</v>
      </c>
      <c r="C1033" s="454" t="s">
        <v>8898</v>
      </c>
      <c r="D1033" s="454" t="s">
        <v>517</v>
      </c>
      <c r="E1033" s="454" t="s">
        <v>8899</v>
      </c>
      <c r="F1033" s="454" t="s">
        <v>529</v>
      </c>
      <c r="G1033" s="454" t="s">
        <v>14034</v>
      </c>
      <c r="H1033" s="455">
        <v>44877744000164</v>
      </c>
      <c r="I1033" s="462">
        <v>29488</v>
      </c>
      <c r="J1033" s="457">
        <v>37523473</v>
      </c>
      <c r="K1033" s="454" t="s">
        <v>8900</v>
      </c>
      <c r="L1033" s="458">
        <v>142</v>
      </c>
      <c r="M1033" s="454" t="s">
        <v>3864</v>
      </c>
      <c r="N1033" s="459">
        <v>4351050</v>
      </c>
      <c r="O1033" s="460">
        <v>50310803</v>
      </c>
      <c r="P1033" s="462">
        <v>563652</v>
      </c>
      <c r="Q1033" s="462">
        <v>50</v>
      </c>
      <c r="R1033" s="462">
        <v>43921</v>
      </c>
      <c r="S1033" s="463">
        <v>658</v>
      </c>
      <c r="T1033" s="464">
        <v>5.4</v>
      </c>
      <c r="U1033" s="465">
        <v>3553.2</v>
      </c>
      <c r="V1033" s="465">
        <v>17100</v>
      </c>
      <c r="W1033" s="466">
        <v>0</v>
      </c>
      <c r="X1033" s="467">
        <v>1</v>
      </c>
      <c r="Y1033" s="466">
        <v>30979.8</v>
      </c>
      <c r="Z1033" s="468" t="s">
        <v>516</v>
      </c>
      <c r="AA1033" s="466">
        <v>124113.4</v>
      </c>
      <c r="AB1033" s="466">
        <v>124113.4</v>
      </c>
      <c r="AC1033" s="467">
        <v>0</v>
      </c>
      <c r="AD1033" s="466">
        <v>0</v>
      </c>
      <c r="AE1033" s="468" t="s">
        <v>516</v>
      </c>
      <c r="AF1033" s="466">
        <v>0</v>
      </c>
      <c r="AG1033" s="466">
        <v>0</v>
      </c>
      <c r="AH1033" s="466">
        <v>28403.48</v>
      </c>
      <c r="AI1033" s="466">
        <v>13310.39</v>
      </c>
      <c r="AJ1033" s="469" t="s">
        <v>6899</v>
      </c>
      <c r="AK1033" s="470" t="s">
        <v>6900</v>
      </c>
      <c r="AL1033" s="471" t="s">
        <v>8901</v>
      </c>
      <c r="AM1033" s="470" t="s">
        <v>14035</v>
      </c>
      <c r="AN1033" s="470" t="s">
        <v>14034</v>
      </c>
      <c r="AO1033" s="470" t="s">
        <v>14036</v>
      </c>
      <c r="AP1033" s="470" t="s">
        <v>8902</v>
      </c>
      <c r="AQ1033" s="470" t="s">
        <v>8898</v>
      </c>
      <c r="AR1033" s="472" t="s">
        <v>515</v>
      </c>
      <c r="AS1033" s="473" t="s">
        <v>1385</v>
      </c>
      <c r="AT1033" s="472" t="s">
        <v>517</v>
      </c>
      <c r="AU1033" s="472" t="s">
        <v>420</v>
      </c>
      <c r="AV1033" s="472">
        <v>2020</v>
      </c>
      <c r="AW1033" s="474" t="s">
        <v>15078</v>
      </c>
      <c r="AX1033" s="475" t="s">
        <v>15079</v>
      </c>
      <c r="AY1033" s="515">
        <v>1</v>
      </c>
      <c r="AZ1033" s="474" t="s">
        <v>15079</v>
      </c>
      <c r="BA1033" s="472" t="s">
        <v>517</v>
      </c>
      <c r="BB1033" s="472" t="s">
        <v>1385</v>
      </c>
      <c r="BC1033" s="472" t="s">
        <v>1385</v>
      </c>
      <c r="BD1033" s="472" t="s">
        <v>1385</v>
      </c>
      <c r="BE1033" s="472" t="s">
        <v>1385</v>
      </c>
      <c r="BF1033" s="472">
        <v>30979.8</v>
      </c>
      <c r="BG1033" s="472">
        <v>0</v>
      </c>
      <c r="BH1033" s="472" t="s">
        <v>1385</v>
      </c>
      <c r="BI1033" s="510">
        <v>0</v>
      </c>
      <c r="BJ1033" s="510">
        <v>0</v>
      </c>
      <c r="BK1033" s="510">
        <v>0</v>
      </c>
      <c r="BL1033" s="510">
        <v>1969.98</v>
      </c>
      <c r="BM1033" s="510">
        <v>0</v>
      </c>
      <c r="BN1033" s="510">
        <v>2180</v>
      </c>
      <c r="BO1033" s="510">
        <v>0</v>
      </c>
      <c r="BP1033" s="510">
        <v>0</v>
      </c>
      <c r="BQ1033" s="510">
        <v>0</v>
      </c>
      <c r="BR1033" s="510">
        <v>0</v>
      </c>
      <c r="BS1033" s="510">
        <v>0</v>
      </c>
      <c r="BT1033" s="510">
        <v>0</v>
      </c>
      <c r="BU1033" s="510">
        <v>2500</v>
      </c>
      <c r="BV1033" s="510">
        <v>2500</v>
      </c>
      <c r="BW1033" s="510">
        <v>0</v>
      </c>
      <c r="BX1033" s="510">
        <v>30000</v>
      </c>
      <c r="BY1033" s="1011">
        <v>0</v>
      </c>
      <c r="BZ1033" s="510">
        <v>0</v>
      </c>
      <c r="CA1033" s="1011">
        <v>0</v>
      </c>
      <c r="CB1033" s="510">
        <v>22000</v>
      </c>
      <c r="CC1033" s="1011">
        <v>0</v>
      </c>
      <c r="CD1033" s="510">
        <v>0</v>
      </c>
      <c r="CE1033" s="1011">
        <v>0</v>
      </c>
      <c r="CF1033" s="510">
        <v>41133.599999999999</v>
      </c>
      <c r="CG1033" s="1011">
        <v>0</v>
      </c>
      <c r="CH1033" s="510">
        <v>0</v>
      </c>
      <c r="CI1033" s="1011">
        <v>0</v>
      </c>
    </row>
    <row r="1034" spans="1:87" x14ac:dyDescent="0.2">
      <c r="A1034" s="449">
        <v>46</v>
      </c>
      <c r="B1034" s="453">
        <v>95231</v>
      </c>
      <c r="C1034" s="454" t="s">
        <v>8903</v>
      </c>
      <c r="D1034" s="454" t="s">
        <v>517</v>
      </c>
      <c r="E1034" s="454" t="s">
        <v>8904</v>
      </c>
      <c r="F1034" s="454" t="s">
        <v>529</v>
      </c>
      <c r="G1034" s="454" t="s">
        <v>14037</v>
      </c>
      <c r="H1034" s="455">
        <v>51959302000122</v>
      </c>
      <c r="I1034" s="462">
        <v>29209</v>
      </c>
      <c r="J1034" s="457">
        <v>37525875</v>
      </c>
      <c r="K1034" s="454" t="s">
        <v>8905</v>
      </c>
      <c r="L1034" s="458">
        <v>253</v>
      </c>
      <c r="M1034" s="454" t="s">
        <v>3864</v>
      </c>
      <c r="N1034" s="459">
        <v>4387270</v>
      </c>
      <c r="O1034" s="460">
        <v>56712200</v>
      </c>
      <c r="P1034" s="462">
        <v>563881</v>
      </c>
      <c r="Q1034" s="462">
        <v>71</v>
      </c>
      <c r="R1034" s="462">
        <v>43921</v>
      </c>
      <c r="S1034" s="463">
        <v>726</v>
      </c>
      <c r="T1034" s="464">
        <v>5.4</v>
      </c>
      <c r="U1034" s="465">
        <v>3920.4</v>
      </c>
      <c r="V1034" s="465">
        <v>18720</v>
      </c>
      <c r="W1034" s="466">
        <v>0</v>
      </c>
      <c r="X1034" s="467">
        <v>1</v>
      </c>
      <c r="Y1034" s="466">
        <v>33960.6</v>
      </c>
      <c r="Z1034" s="468" t="s">
        <v>516</v>
      </c>
      <c r="AA1034" s="466">
        <v>131122.6</v>
      </c>
      <c r="AB1034" s="466">
        <v>131122.6</v>
      </c>
      <c r="AC1034" s="467">
        <v>0</v>
      </c>
      <c r="AD1034" s="466">
        <v>0</v>
      </c>
      <c r="AE1034" s="468" t="s">
        <v>516</v>
      </c>
      <c r="AF1034" s="466">
        <v>0</v>
      </c>
      <c r="AG1034" s="466">
        <v>0</v>
      </c>
      <c r="AH1034" s="466">
        <v>17312.32</v>
      </c>
      <c r="AI1034" s="466">
        <v>6489.82</v>
      </c>
      <c r="AJ1034" s="469" t="s">
        <v>1790</v>
      </c>
      <c r="AK1034" s="470" t="s">
        <v>1791</v>
      </c>
      <c r="AL1034" s="471" t="s">
        <v>8906</v>
      </c>
      <c r="AM1034" s="470" t="s">
        <v>14038</v>
      </c>
      <c r="AN1034" s="470" t="s">
        <v>14037</v>
      </c>
      <c r="AO1034" s="470" t="s">
        <v>8907</v>
      </c>
      <c r="AP1034" s="470" t="s">
        <v>8908</v>
      </c>
      <c r="AQ1034" s="470" t="s">
        <v>8903</v>
      </c>
      <c r="AR1034" s="472" t="s">
        <v>515</v>
      </c>
      <c r="AS1034" s="473" t="s">
        <v>1385</v>
      </c>
      <c r="AT1034" s="472" t="s">
        <v>517</v>
      </c>
      <c r="AU1034" s="472" t="s">
        <v>420</v>
      </c>
      <c r="AV1034" s="472">
        <v>2020</v>
      </c>
      <c r="AW1034" s="474" t="s">
        <v>15078</v>
      </c>
      <c r="AX1034" s="475" t="s">
        <v>15079</v>
      </c>
      <c r="AY1034" s="515">
        <v>1</v>
      </c>
      <c r="AZ1034" s="474" t="s">
        <v>15079</v>
      </c>
      <c r="BA1034" s="472" t="s">
        <v>517</v>
      </c>
      <c r="BB1034" s="472" t="s">
        <v>1385</v>
      </c>
      <c r="BC1034" s="472" t="s">
        <v>1385</v>
      </c>
      <c r="BD1034" s="472" t="s">
        <v>1385</v>
      </c>
      <c r="BE1034" s="472" t="s">
        <v>1385</v>
      </c>
      <c r="BF1034" s="472">
        <v>33960.6</v>
      </c>
      <c r="BG1034" s="472">
        <v>0</v>
      </c>
      <c r="BH1034" s="472" t="s">
        <v>1385</v>
      </c>
      <c r="BI1034" s="510">
        <v>0</v>
      </c>
      <c r="BJ1034" s="510">
        <v>0</v>
      </c>
      <c r="BK1034" s="510">
        <v>0</v>
      </c>
      <c r="BL1034" s="510">
        <v>1000</v>
      </c>
      <c r="BM1034" s="510">
        <v>0</v>
      </c>
      <c r="BN1034" s="510">
        <v>5000</v>
      </c>
      <c r="BO1034" s="510">
        <v>0</v>
      </c>
      <c r="BP1034" s="510">
        <v>0</v>
      </c>
      <c r="BQ1034" s="510">
        <v>0</v>
      </c>
      <c r="BR1034" s="510">
        <v>0</v>
      </c>
      <c r="BS1034" s="510">
        <v>0</v>
      </c>
      <c r="BT1034" s="510">
        <v>0</v>
      </c>
      <c r="BU1034" s="510">
        <v>2500</v>
      </c>
      <c r="BV1034" s="510">
        <v>2500</v>
      </c>
      <c r="BW1034" s="510">
        <v>0</v>
      </c>
      <c r="BX1034" s="510">
        <v>30000</v>
      </c>
      <c r="BY1034" s="1011">
        <v>0</v>
      </c>
      <c r="BZ1034" s="510">
        <v>0</v>
      </c>
      <c r="CA1034" s="1011">
        <v>0</v>
      </c>
      <c r="CB1034" s="510">
        <v>22000</v>
      </c>
      <c r="CC1034" s="1011">
        <v>0</v>
      </c>
      <c r="CD1034" s="510">
        <v>0</v>
      </c>
      <c r="CE1034" s="1011">
        <v>0</v>
      </c>
      <c r="CF1034" s="510">
        <v>45162</v>
      </c>
      <c r="CG1034" s="1011">
        <v>0</v>
      </c>
      <c r="CH1034" s="510">
        <v>0</v>
      </c>
      <c r="CI1034" s="1011">
        <v>0</v>
      </c>
    </row>
    <row r="1035" spans="1:87" x14ac:dyDescent="0.2">
      <c r="A1035" s="449">
        <v>36</v>
      </c>
      <c r="B1035" s="453">
        <v>95249</v>
      </c>
      <c r="C1035" s="454" t="s">
        <v>8909</v>
      </c>
      <c r="D1035" s="454" t="s">
        <v>517</v>
      </c>
      <c r="E1035" s="454" t="s">
        <v>8910</v>
      </c>
      <c r="F1035" s="454" t="s">
        <v>529</v>
      </c>
      <c r="G1035" s="454" t="s">
        <v>14039</v>
      </c>
      <c r="H1035" s="455">
        <v>44901825000152</v>
      </c>
      <c r="I1035" s="462">
        <v>29521</v>
      </c>
      <c r="J1035" s="457">
        <v>37523880</v>
      </c>
      <c r="K1035" s="454" t="s">
        <v>8911</v>
      </c>
      <c r="L1035" s="458">
        <v>299</v>
      </c>
      <c r="M1035" s="454" t="s">
        <v>1789</v>
      </c>
      <c r="N1035" s="459">
        <v>4412090</v>
      </c>
      <c r="O1035" s="460">
        <v>56213511</v>
      </c>
      <c r="P1035" s="462">
        <v>563784</v>
      </c>
      <c r="Q1035" s="462">
        <v>60</v>
      </c>
      <c r="R1035" s="462">
        <v>43921</v>
      </c>
      <c r="S1035" s="463">
        <v>749</v>
      </c>
      <c r="T1035" s="464">
        <v>5.4</v>
      </c>
      <c r="U1035" s="465">
        <v>4044.6</v>
      </c>
      <c r="V1035" s="465">
        <v>18720</v>
      </c>
      <c r="W1035" s="466">
        <v>0</v>
      </c>
      <c r="X1035" s="467">
        <v>1</v>
      </c>
      <c r="Y1035" s="466">
        <v>34146.9</v>
      </c>
      <c r="Z1035" s="468" t="s">
        <v>516</v>
      </c>
      <c r="AA1035" s="466">
        <v>131719.29999999999</v>
      </c>
      <c r="AB1035" s="466">
        <v>131719.29999999999</v>
      </c>
      <c r="AC1035" s="467">
        <v>0</v>
      </c>
      <c r="AD1035" s="466">
        <v>0</v>
      </c>
      <c r="AE1035" s="468" t="s">
        <v>516</v>
      </c>
      <c r="AF1035" s="466">
        <v>2000</v>
      </c>
      <c r="AG1035" s="466">
        <v>2000</v>
      </c>
      <c r="AH1035" s="466">
        <v>48573.27</v>
      </c>
      <c r="AI1035" s="466">
        <v>4552.92</v>
      </c>
      <c r="AJ1035" s="469" t="s">
        <v>1790</v>
      </c>
      <c r="AK1035" s="470" t="s">
        <v>1791</v>
      </c>
      <c r="AL1035" s="471" t="s">
        <v>8912</v>
      </c>
      <c r="AM1035" s="470" t="s">
        <v>8913</v>
      </c>
      <c r="AN1035" s="470" t="s">
        <v>14039</v>
      </c>
      <c r="AO1035" s="470" t="s">
        <v>8914</v>
      </c>
      <c r="AP1035" s="470" t="s">
        <v>8915</v>
      </c>
      <c r="AQ1035" s="470" t="s">
        <v>8909</v>
      </c>
      <c r="AR1035" s="472" t="s">
        <v>515</v>
      </c>
      <c r="AS1035" s="473" t="s">
        <v>1385</v>
      </c>
      <c r="AT1035" s="472" t="s">
        <v>517</v>
      </c>
      <c r="AU1035" s="472" t="s">
        <v>420</v>
      </c>
      <c r="AV1035" s="472">
        <v>2020</v>
      </c>
      <c r="AW1035" s="474" t="s">
        <v>15078</v>
      </c>
      <c r="AX1035" s="475" t="s">
        <v>15079</v>
      </c>
      <c r="AY1035" s="515">
        <v>1</v>
      </c>
      <c r="AZ1035" s="474" t="s">
        <v>15079</v>
      </c>
      <c r="BA1035" s="472" t="s">
        <v>517</v>
      </c>
      <c r="BB1035" s="472" t="s">
        <v>1385</v>
      </c>
      <c r="BC1035" s="472" t="s">
        <v>1385</v>
      </c>
      <c r="BD1035" s="472" t="s">
        <v>1385</v>
      </c>
      <c r="BE1035" s="472" t="s">
        <v>1385</v>
      </c>
      <c r="BF1035" s="472">
        <v>34146.9</v>
      </c>
      <c r="BG1035" s="472">
        <v>0</v>
      </c>
      <c r="BH1035" s="472" t="s">
        <v>1385</v>
      </c>
      <c r="BI1035" s="510">
        <v>0</v>
      </c>
      <c r="BJ1035" s="510">
        <v>0</v>
      </c>
      <c r="BK1035" s="510">
        <v>0</v>
      </c>
      <c r="BL1035" s="510">
        <v>0</v>
      </c>
      <c r="BM1035" s="510">
        <v>0</v>
      </c>
      <c r="BN1035" s="510">
        <v>5000</v>
      </c>
      <c r="BO1035" s="510">
        <v>0</v>
      </c>
      <c r="BP1035" s="510">
        <v>2000</v>
      </c>
      <c r="BQ1035" s="510">
        <v>0</v>
      </c>
      <c r="BR1035" s="510">
        <v>0</v>
      </c>
      <c r="BS1035" s="510">
        <v>0</v>
      </c>
      <c r="BT1035" s="510">
        <v>0</v>
      </c>
      <c r="BU1035" s="510">
        <v>0</v>
      </c>
      <c r="BV1035" s="510">
        <v>0</v>
      </c>
      <c r="BW1035" s="510">
        <v>0</v>
      </c>
      <c r="BX1035" s="510">
        <v>30000</v>
      </c>
      <c r="BY1035" s="1011">
        <v>0</v>
      </c>
      <c r="BZ1035" s="510">
        <v>0</v>
      </c>
      <c r="CA1035" s="1011">
        <v>0</v>
      </c>
      <c r="CB1035" s="510">
        <v>22000</v>
      </c>
      <c r="CC1035" s="1011">
        <v>0</v>
      </c>
      <c r="CD1035" s="510">
        <v>0</v>
      </c>
      <c r="CE1035" s="1011">
        <v>0</v>
      </c>
      <c r="CF1035" s="510">
        <v>45572.4</v>
      </c>
      <c r="CG1035" s="1011">
        <v>0</v>
      </c>
      <c r="CH1035" s="510">
        <v>0</v>
      </c>
      <c r="CI1035" s="1011">
        <v>0</v>
      </c>
    </row>
    <row r="1036" spans="1:87" x14ac:dyDescent="0.2">
      <c r="A1036" s="449">
        <v>26</v>
      </c>
      <c r="B1036" s="453">
        <v>95257</v>
      </c>
      <c r="C1036" s="454" t="s">
        <v>8916</v>
      </c>
      <c r="D1036" s="454" t="s">
        <v>517</v>
      </c>
      <c r="E1036" s="454" t="s">
        <v>8917</v>
      </c>
      <c r="F1036" s="454" t="s">
        <v>529</v>
      </c>
      <c r="G1036" s="454" t="s">
        <v>14040</v>
      </c>
      <c r="H1036" s="455">
        <v>51947497000190</v>
      </c>
      <c r="I1036" s="462">
        <v>29206</v>
      </c>
      <c r="J1036" s="457">
        <v>37523317</v>
      </c>
      <c r="K1036" s="454" t="s">
        <v>6977</v>
      </c>
      <c r="L1036" s="458">
        <v>7</v>
      </c>
      <c r="M1036" s="454" t="s">
        <v>1789</v>
      </c>
      <c r="N1036" s="459">
        <v>4419140</v>
      </c>
      <c r="O1036" s="460">
        <v>56215086</v>
      </c>
      <c r="P1036" s="462">
        <v>563636</v>
      </c>
      <c r="Q1036" s="462">
        <v>48</v>
      </c>
      <c r="R1036" s="462">
        <v>43921</v>
      </c>
      <c r="S1036" s="463">
        <v>1214</v>
      </c>
      <c r="T1036" s="464">
        <v>5.4</v>
      </c>
      <c r="U1036" s="465">
        <v>6555.6</v>
      </c>
      <c r="V1036" s="465">
        <v>21960</v>
      </c>
      <c r="W1036" s="466">
        <v>0</v>
      </c>
      <c r="X1036" s="467">
        <v>1</v>
      </c>
      <c r="Y1036" s="466">
        <v>42773.4</v>
      </c>
      <c r="Z1036" s="468" t="s">
        <v>516</v>
      </c>
      <c r="AA1036" s="466">
        <v>148294.6</v>
      </c>
      <c r="AB1036" s="466">
        <v>148294.6</v>
      </c>
      <c r="AC1036" s="467">
        <v>0</v>
      </c>
      <c r="AD1036" s="466">
        <v>0</v>
      </c>
      <c r="AE1036" s="468" t="s">
        <v>516</v>
      </c>
      <c r="AF1036" s="466">
        <v>0</v>
      </c>
      <c r="AG1036" s="466">
        <v>0</v>
      </c>
      <c r="AH1036" s="466">
        <v>23263.34</v>
      </c>
      <c r="AI1036" s="466">
        <v>9006.98</v>
      </c>
      <c r="AJ1036" s="469" t="s">
        <v>1790</v>
      </c>
      <c r="AK1036" s="470" t="s">
        <v>1791</v>
      </c>
      <c r="AL1036" s="471" t="s">
        <v>8918</v>
      </c>
      <c r="AM1036" s="470" t="s">
        <v>14041</v>
      </c>
      <c r="AN1036" s="470" t="s">
        <v>14040</v>
      </c>
      <c r="AO1036" s="470" t="s">
        <v>8919</v>
      </c>
      <c r="AP1036" s="470" t="s">
        <v>8920</v>
      </c>
      <c r="AQ1036" s="470" t="s">
        <v>8916</v>
      </c>
      <c r="AR1036" s="472" t="s">
        <v>515</v>
      </c>
      <c r="AS1036" s="473" t="s">
        <v>1385</v>
      </c>
      <c r="AT1036" s="472" t="s">
        <v>517</v>
      </c>
      <c r="AU1036" s="472" t="s">
        <v>420</v>
      </c>
      <c r="AV1036" s="472">
        <v>2020</v>
      </c>
      <c r="AW1036" s="474" t="s">
        <v>15078</v>
      </c>
      <c r="AX1036" s="475" t="s">
        <v>15079</v>
      </c>
      <c r="AY1036" s="515">
        <v>1</v>
      </c>
      <c r="AZ1036" s="474" t="s">
        <v>15079</v>
      </c>
      <c r="BA1036" s="472" t="s">
        <v>517</v>
      </c>
      <c r="BB1036" s="472" t="s">
        <v>1385</v>
      </c>
      <c r="BC1036" s="472" t="s">
        <v>1385</v>
      </c>
      <c r="BD1036" s="472" t="s">
        <v>1385</v>
      </c>
      <c r="BE1036" s="472" t="s">
        <v>1385</v>
      </c>
      <c r="BF1036" s="472">
        <v>42773.4</v>
      </c>
      <c r="BG1036" s="472">
        <v>0</v>
      </c>
      <c r="BH1036" s="472" t="s">
        <v>1385</v>
      </c>
      <c r="BI1036" s="510">
        <v>0</v>
      </c>
      <c r="BJ1036" s="510">
        <v>0</v>
      </c>
      <c r="BK1036" s="510">
        <v>0</v>
      </c>
      <c r="BL1036" s="510">
        <v>1234</v>
      </c>
      <c r="BM1036" s="510">
        <v>0</v>
      </c>
      <c r="BN1036" s="510">
        <v>6000</v>
      </c>
      <c r="BO1036" s="510">
        <v>0</v>
      </c>
      <c r="BP1036" s="510">
        <v>0</v>
      </c>
      <c r="BQ1036" s="510">
        <v>0</v>
      </c>
      <c r="BR1036" s="510">
        <v>0</v>
      </c>
      <c r="BS1036" s="510">
        <v>0</v>
      </c>
      <c r="BT1036" s="510">
        <v>0</v>
      </c>
      <c r="BU1036" s="510">
        <v>0</v>
      </c>
      <c r="BV1036" s="510">
        <v>0</v>
      </c>
      <c r="BW1036" s="510">
        <v>0</v>
      </c>
      <c r="BX1036" s="510">
        <v>30000</v>
      </c>
      <c r="BY1036" s="1011">
        <v>0</v>
      </c>
      <c r="BZ1036" s="510">
        <v>0</v>
      </c>
      <c r="CA1036" s="1011">
        <v>0</v>
      </c>
      <c r="CB1036" s="510">
        <v>22000</v>
      </c>
      <c r="CC1036" s="1011">
        <v>0</v>
      </c>
      <c r="CD1036" s="510">
        <v>0</v>
      </c>
      <c r="CE1036" s="1011">
        <v>0</v>
      </c>
      <c r="CF1036" s="510">
        <v>53521.2</v>
      </c>
      <c r="CG1036" s="1011">
        <v>0</v>
      </c>
      <c r="CH1036" s="510">
        <v>0</v>
      </c>
      <c r="CI1036" s="1011">
        <v>0</v>
      </c>
    </row>
    <row r="1037" spans="1:87" x14ac:dyDescent="0.2">
      <c r="A1037" s="449">
        <v>27</v>
      </c>
      <c r="B1037" s="453">
        <v>95265</v>
      </c>
      <c r="C1037" s="454" t="s">
        <v>8921</v>
      </c>
      <c r="D1037" s="454" t="s">
        <v>517</v>
      </c>
      <c r="E1037" s="454" t="s">
        <v>8922</v>
      </c>
      <c r="F1037" s="454" t="s">
        <v>529</v>
      </c>
      <c r="G1037" s="454" t="s">
        <v>14042</v>
      </c>
      <c r="H1037" s="455">
        <v>43220607000190</v>
      </c>
      <c r="I1037" s="462">
        <v>29334</v>
      </c>
      <c r="J1037" s="457">
        <v>37523112</v>
      </c>
      <c r="K1037" s="454" t="s">
        <v>8923</v>
      </c>
      <c r="L1037" s="458">
        <v>12</v>
      </c>
      <c r="M1037" s="454" t="s">
        <v>3864</v>
      </c>
      <c r="N1037" s="459">
        <v>4323010</v>
      </c>
      <c r="O1037" s="460">
        <v>55880005</v>
      </c>
      <c r="P1037" s="462">
        <v>563644</v>
      </c>
      <c r="Q1037" s="462">
        <v>49</v>
      </c>
      <c r="R1037" s="462">
        <v>43921</v>
      </c>
      <c r="S1037" s="463">
        <v>1010</v>
      </c>
      <c r="T1037" s="464">
        <v>5.4</v>
      </c>
      <c r="U1037" s="465">
        <v>5454</v>
      </c>
      <c r="V1037" s="465">
        <v>20340</v>
      </c>
      <c r="W1037" s="466">
        <v>0</v>
      </c>
      <c r="X1037" s="467">
        <v>1</v>
      </c>
      <c r="Y1037" s="466">
        <v>38691</v>
      </c>
      <c r="Z1037" s="468" t="s">
        <v>516</v>
      </c>
      <c r="AA1037" s="466">
        <v>138202.6</v>
      </c>
      <c r="AB1037" s="466">
        <v>138202.6</v>
      </c>
      <c r="AC1037" s="467">
        <v>0</v>
      </c>
      <c r="AD1037" s="466">
        <v>0</v>
      </c>
      <c r="AE1037" s="468" t="s">
        <v>516</v>
      </c>
      <c r="AF1037" s="466">
        <v>1400</v>
      </c>
      <c r="AG1037" s="466">
        <v>1400</v>
      </c>
      <c r="AH1037" s="466">
        <v>40508.980000000003</v>
      </c>
      <c r="AI1037" s="466">
        <v>23079.91</v>
      </c>
      <c r="AJ1037" s="469" t="s">
        <v>3879</v>
      </c>
      <c r="AK1037" s="470" t="s">
        <v>3864</v>
      </c>
      <c r="AL1037" s="471" t="s">
        <v>8924</v>
      </c>
      <c r="AM1037" s="470" t="s">
        <v>8925</v>
      </c>
      <c r="AN1037" s="470" t="s">
        <v>14042</v>
      </c>
      <c r="AO1037" s="470" t="s">
        <v>8926</v>
      </c>
      <c r="AP1037" s="470" t="s">
        <v>3878</v>
      </c>
      <c r="AQ1037" s="470" t="s">
        <v>8921</v>
      </c>
      <c r="AR1037" s="472" t="s">
        <v>515</v>
      </c>
      <c r="AS1037" s="473" t="s">
        <v>1385</v>
      </c>
      <c r="AT1037" s="472" t="s">
        <v>517</v>
      </c>
      <c r="AU1037" s="472" t="s">
        <v>420</v>
      </c>
      <c r="AV1037" s="472">
        <v>2020</v>
      </c>
      <c r="AW1037" s="474" t="s">
        <v>15078</v>
      </c>
      <c r="AX1037" s="475" t="s">
        <v>15079</v>
      </c>
      <c r="AY1037" s="515">
        <v>1</v>
      </c>
      <c r="AZ1037" s="474" t="s">
        <v>15079</v>
      </c>
      <c r="BA1037" s="472" t="s">
        <v>517</v>
      </c>
      <c r="BB1037" s="472" t="s">
        <v>1385</v>
      </c>
      <c r="BC1037" s="472" t="s">
        <v>1385</v>
      </c>
      <c r="BD1037" s="472" t="s">
        <v>1385</v>
      </c>
      <c r="BE1037" s="472" t="s">
        <v>1385</v>
      </c>
      <c r="BF1037" s="472">
        <v>38691</v>
      </c>
      <c r="BG1037" s="472">
        <v>0</v>
      </c>
      <c r="BH1037" s="472" t="s">
        <v>1385</v>
      </c>
      <c r="BI1037" s="510">
        <v>0</v>
      </c>
      <c r="BJ1037" s="510">
        <v>0</v>
      </c>
      <c r="BK1037" s="510">
        <v>0</v>
      </c>
      <c r="BL1037" s="510">
        <v>0</v>
      </c>
      <c r="BM1037" s="510">
        <v>0</v>
      </c>
      <c r="BN1037" s="510">
        <v>5000</v>
      </c>
      <c r="BO1037" s="510">
        <v>600</v>
      </c>
      <c r="BP1037" s="510">
        <v>1400</v>
      </c>
      <c r="BQ1037" s="510">
        <v>0</v>
      </c>
      <c r="BR1037" s="510">
        <v>0</v>
      </c>
      <c r="BS1037" s="510">
        <v>0</v>
      </c>
      <c r="BT1037" s="510">
        <v>0</v>
      </c>
      <c r="BU1037" s="510">
        <v>2500</v>
      </c>
      <c r="BV1037" s="510">
        <v>2500</v>
      </c>
      <c r="BW1037" s="510">
        <v>0</v>
      </c>
      <c r="BX1037" s="510">
        <v>30000</v>
      </c>
      <c r="BY1037" s="1011">
        <v>0</v>
      </c>
      <c r="BZ1037" s="510">
        <v>0</v>
      </c>
      <c r="CA1037" s="1011">
        <v>0</v>
      </c>
      <c r="CB1037" s="510">
        <v>22000</v>
      </c>
      <c r="CC1037" s="1011">
        <v>0</v>
      </c>
      <c r="CD1037" s="510">
        <v>0</v>
      </c>
      <c r="CE1037" s="1011">
        <v>0</v>
      </c>
      <c r="CF1037" s="510">
        <v>46911.6</v>
      </c>
      <c r="CG1037" s="1011">
        <v>0</v>
      </c>
      <c r="CH1037" s="510">
        <v>0</v>
      </c>
      <c r="CI1037" s="1011">
        <v>0</v>
      </c>
    </row>
    <row r="1038" spans="1:87" x14ac:dyDescent="0.2">
      <c r="A1038" s="449">
        <v>30</v>
      </c>
      <c r="B1038" s="453">
        <v>95273</v>
      </c>
      <c r="C1038" s="454" t="s">
        <v>8927</v>
      </c>
      <c r="D1038" s="454" t="s">
        <v>517</v>
      </c>
      <c r="E1038" s="454" t="s">
        <v>8928</v>
      </c>
      <c r="F1038" s="454" t="s">
        <v>529</v>
      </c>
      <c r="G1038" s="454" t="s">
        <v>14043</v>
      </c>
      <c r="H1038" s="455">
        <v>43568062000107</v>
      </c>
      <c r="I1038" s="462">
        <v>29380</v>
      </c>
      <c r="J1038" s="457">
        <v>37523058</v>
      </c>
      <c r="K1038" s="454" t="s">
        <v>3863</v>
      </c>
      <c r="L1038" s="458">
        <v>2013</v>
      </c>
      <c r="M1038" s="454" t="s">
        <v>3864</v>
      </c>
      <c r="N1038" s="459">
        <v>4308000</v>
      </c>
      <c r="O1038" s="460">
        <v>55881788</v>
      </c>
      <c r="P1038" s="462">
        <v>563687</v>
      </c>
      <c r="Q1038" s="462">
        <v>52</v>
      </c>
      <c r="R1038" s="462">
        <v>43921</v>
      </c>
      <c r="S1038" s="463">
        <v>1127</v>
      </c>
      <c r="T1038" s="464">
        <v>5.4</v>
      </c>
      <c r="U1038" s="465">
        <v>6085.8</v>
      </c>
      <c r="V1038" s="465">
        <v>20340</v>
      </c>
      <c r="W1038" s="466">
        <v>0</v>
      </c>
      <c r="X1038" s="467">
        <v>1</v>
      </c>
      <c r="Y1038" s="466">
        <v>39638.699999999997</v>
      </c>
      <c r="Z1038" s="468" t="s">
        <v>516</v>
      </c>
      <c r="AA1038" s="466">
        <v>145425.5</v>
      </c>
      <c r="AB1038" s="466">
        <v>145425.5</v>
      </c>
      <c r="AC1038" s="467">
        <v>0</v>
      </c>
      <c r="AD1038" s="466">
        <v>0</v>
      </c>
      <c r="AE1038" s="468" t="s">
        <v>516</v>
      </c>
      <c r="AF1038" s="466">
        <v>1000</v>
      </c>
      <c r="AG1038" s="466">
        <v>1000</v>
      </c>
      <c r="AH1038" s="466">
        <v>28544.18</v>
      </c>
      <c r="AI1038" s="466">
        <v>7409.69</v>
      </c>
      <c r="AJ1038" s="469" t="s">
        <v>3879</v>
      </c>
      <c r="AK1038" s="470" t="s">
        <v>3864</v>
      </c>
      <c r="AL1038" s="471" t="s">
        <v>8929</v>
      </c>
      <c r="AM1038" s="470" t="s">
        <v>8930</v>
      </c>
      <c r="AN1038" s="470" t="s">
        <v>14043</v>
      </c>
      <c r="AO1038" s="470" t="s">
        <v>8931</v>
      </c>
      <c r="AP1038" s="470" t="s">
        <v>8932</v>
      </c>
      <c r="AQ1038" s="470" t="s">
        <v>8927</v>
      </c>
      <c r="AR1038" s="472" t="s">
        <v>515</v>
      </c>
      <c r="AS1038" s="473" t="s">
        <v>1385</v>
      </c>
      <c r="AT1038" s="472" t="s">
        <v>517</v>
      </c>
      <c r="AU1038" s="472" t="s">
        <v>420</v>
      </c>
      <c r="AV1038" s="472">
        <v>2020</v>
      </c>
      <c r="AW1038" s="474" t="s">
        <v>15078</v>
      </c>
      <c r="AX1038" s="475" t="s">
        <v>15079</v>
      </c>
      <c r="AY1038" s="515">
        <v>1</v>
      </c>
      <c r="AZ1038" s="474" t="s">
        <v>15079</v>
      </c>
      <c r="BA1038" s="472" t="s">
        <v>517</v>
      </c>
      <c r="BB1038" s="472" t="s">
        <v>1385</v>
      </c>
      <c r="BC1038" s="472" t="s">
        <v>1385</v>
      </c>
      <c r="BD1038" s="472" t="s">
        <v>1385</v>
      </c>
      <c r="BE1038" s="472" t="s">
        <v>1385</v>
      </c>
      <c r="BF1038" s="472">
        <v>39638.699999999997</v>
      </c>
      <c r="BG1038" s="472">
        <v>0</v>
      </c>
      <c r="BH1038" s="472" t="s">
        <v>1385</v>
      </c>
      <c r="BI1038" s="510">
        <v>0</v>
      </c>
      <c r="BJ1038" s="510">
        <v>0</v>
      </c>
      <c r="BK1038" s="510">
        <v>0</v>
      </c>
      <c r="BL1038" s="510">
        <v>0</v>
      </c>
      <c r="BM1038" s="510">
        <v>0</v>
      </c>
      <c r="BN1038" s="510">
        <v>5000</v>
      </c>
      <c r="BO1038" s="510">
        <v>1000</v>
      </c>
      <c r="BP1038" s="510">
        <v>1000</v>
      </c>
      <c r="BQ1038" s="510">
        <v>0</v>
      </c>
      <c r="BR1038" s="510">
        <v>0</v>
      </c>
      <c r="BS1038" s="510">
        <v>0</v>
      </c>
      <c r="BT1038" s="510">
        <v>0</v>
      </c>
      <c r="BU1038" s="510">
        <v>0</v>
      </c>
      <c r="BV1038" s="510">
        <v>0</v>
      </c>
      <c r="BW1038" s="510">
        <v>0</v>
      </c>
      <c r="BX1038" s="510">
        <v>30000</v>
      </c>
      <c r="BY1038" s="1011">
        <v>0</v>
      </c>
      <c r="BZ1038" s="510">
        <v>0</v>
      </c>
      <c r="CA1038" s="1011">
        <v>0</v>
      </c>
      <c r="CB1038" s="510">
        <v>22000</v>
      </c>
      <c r="CC1038" s="1011">
        <v>0</v>
      </c>
      <c r="CD1038" s="510">
        <v>0</v>
      </c>
      <c r="CE1038" s="1011">
        <v>0</v>
      </c>
      <c r="CF1038" s="510">
        <v>52786.8</v>
      </c>
      <c r="CG1038" s="1011">
        <v>0</v>
      </c>
      <c r="CH1038" s="510">
        <v>0</v>
      </c>
      <c r="CI1038" s="1011">
        <v>0</v>
      </c>
    </row>
    <row r="1039" spans="1:87" x14ac:dyDescent="0.2">
      <c r="A1039" s="449">
        <v>48</v>
      </c>
      <c r="B1039" s="453">
        <v>95281</v>
      </c>
      <c r="C1039" s="454" t="s">
        <v>8933</v>
      </c>
      <c r="D1039" s="454" t="s">
        <v>517</v>
      </c>
      <c r="E1039" s="454" t="s">
        <v>8934</v>
      </c>
      <c r="F1039" s="454" t="s">
        <v>529</v>
      </c>
      <c r="G1039" s="454" t="s">
        <v>14044</v>
      </c>
      <c r="H1039" s="455">
        <v>44973675000192</v>
      </c>
      <c r="I1039" s="462">
        <v>29529</v>
      </c>
      <c r="J1039" s="457">
        <v>37522787</v>
      </c>
      <c r="K1039" s="454" t="s">
        <v>8935</v>
      </c>
      <c r="L1039" s="458">
        <v>1371</v>
      </c>
      <c r="M1039" s="454" t="s">
        <v>3864</v>
      </c>
      <c r="N1039" s="459">
        <v>4313001</v>
      </c>
      <c r="O1039" s="460">
        <v>50116874</v>
      </c>
      <c r="P1039" s="462">
        <v>563911</v>
      </c>
      <c r="Q1039" s="462">
        <v>73</v>
      </c>
      <c r="R1039" s="462">
        <v>43921</v>
      </c>
      <c r="S1039" s="463">
        <v>763</v>
      </c>
      <c r="T1039" s="464">
        <v>5.4</v>
      </c>
      <c r="U1039" s="465">
        <v>4120.2</v>
      </c>
      <c r="V1039" s="465">
        <v>18720</v>
      </c>
      <c r="W1039" s="466">
        <v>0</v>
      </c>
      <c r="X1039" s="467">
        <v>1</v>
      </c>
      <c r="Y1039" s="466">
        <v>34260.300000000003</v>
      </c>
      <c r="Z1039" s="468" t="s">
        <v>516</v>
      </c>
      <c r="AA1039" s="466">
        <v>132135.1</v>
      </c>
      <c r="AB1039" s="466">
        <v>132135.1</v>
      </c>
      <c r="AC1039" s="467">
        <v>0</v>
      </c>
      <c r="AD1039" s="466">
        <v>0</v>
      </c>
      <c r="AE1039" s="468" t="s">
        <v>516</v>
      </c>
      <c r="AF1039" s="466">
        <v>0</v>
      </c>
      <c r="AG1039" s="466">
        <v>0</v>
      </c>
      <c r="AH1039" s="466">
        <v>3171.61</v>
      </c>
      <c r="AI1039" s="466">
        <v>8233.16</v>
      </c>
      <c r="AJ1039" s="469" t="s">
        <v>3879</v>
      </c>
      <c r="AK1039" s="470" t="s">
        <v>3864</v>
      </c>
      <c r="AL1039" s="471" t="s">
        <v>8936</v>
      </c>
      <c r="AM1039" s="470" t="s">
        <v>8937</v>
      </c>
      <c r="AN1039" s="470" t="s">
        <v>14044</v>
      </c>
      <c r="AO1039" s="470" t="s">
        <v>8938</v>
      </c>
      <c r="AP1039" s="470" t="s">
        <v>8939</v>
      </c>
      <c r="AQ1039" s="470" t="s">
        <v>8933</v>
      </c>
      <c r="AR1039" s="472" t="s">
        <v>515</v>
      </c>
      <c r="AS1039" s="473" t="s">
        <v>1385</v>
      </c>
      <c r="AT1039" s="472" t="s">
        <v>517</v>
      </c>
      <c r="AU1039" s="472" t="s">
        <v>420</v>
      </c>
      <c r="AV1039" s="472">
        <v>2020</v>
      </c>
      <c r="AW1039" s="474" t="s">
        <v>15078</v>
      </c>
      <c r="AX1039" s="475" t="s">
        <v>15079</v>
      </c>
      <c r="AY1039" s="515">
        <v>1</v>
      </c>
      <c r="AZ1039" s="474" t="s">
        <v>15079</v>
      </c>
      <c r="BA1039" s="472" t="s">
        <v>517</v>
      </c>
      <c r="BB1039" s="472" t="s">
        <v>1385</v>
      </c>
      <c r="BC1039" s="472" t="s">
        <v>1385</v>
      </c>
      <c r="BD1039" s="472" t="s">
        <v>1385</v>
      </c>
      <c r="BE1039" s="472" t="s">
        <v>1385</v>
      </c>
      <c r="BF1039" s="472">
        <v>34260.300000000003</v>
      </c>
      <c r="BG1039" s="472">
        <v>0</v>
      </c>
      <c r="BH1039" s="472" t="s">
        <v>1385</v>
      </c>
      <c r="BI1039" s="510">
        <v>0</v>
      </c>
      <c r="BJ1039" s="510">
        <v>0</v>
      </c>
      <c r="BK1039" s="510">
        <v>0</v>
      </c>
      <c r="BL1039" s="510">
        <v>487.5</v>
      </c>
      <c r="BM1039" s="510">
        <v>0</v>
      </c>
      <c r="BN1039" s="510">
        <v>4200</v>
      </c>
      <c r="BO1039" s="510">
        <v>0</v>
      </c>
      <c r="BP1039" s="510">
        <v>0</v>
      </c>
      <c r="BQ1039" s="510">
        <v>0</v>
      </c>
      <c r="BR1039" s="510">
        <v>0</v>
      </c>
      <c r="BS1039" s="510">
        <v>0</v>
      </c>
      <c r="BT1039" s="510">
        <v>0</v>
      </c>
      <c r="BU1039" s="510">
        <v>0</v>
      </c>
      <c r="BV1039" s="510">
        <v>0</v>
      </c>
      <c r="BW1039" s="510">
        <v>0</v>
      </c>
      <c r="BX1039" s="510">
        <v>30000</v>
      </c>
      <c r="BY1039" s="1011">
        <v>0</v>
      </c>
      <c r="BZ1039" s="510">
        <v>0</v>
      </c>
      <c r="CA1039" s="1011">
        <v>0</v>
      </c>
      <c r="CB1039" s="510">
        <v>22000</v>
      </c>
      <c r="CC1039" s="1011">
        <v>0</v>
      </c>
      <c r="CD1039" s="510">
        <v>0</v>
      </c>
      <c r="CE1039" s="1011">
        <v>0</v>
      </c>
      <c r="CF1039" s="510">
        <v>45874.8</v>
      </c>
      <c r="CG1039" s="1011">
        <v>0</v>
      </c>
      <c r="CH1039" s="510">
        <v>0</v>
      </c>
      <c r="CI1039" s="1011">
        <v>0</v>
      </c>
    </row>
    <row r="1040" spans="1:87" x14ac:dyDescent="0.2">
      <c r="A1040" s="449">
        <v>41</v>
      </c>
      <c r="B1040" s="453">
        <v>95290</v>
      </c>
      <c r="C1040" s="454" t="s">
        <v>8940</v>
      </c>
      <c r="D1040" s="454" t="s">
        <v>517</v>
      </c>
      <c r="E1040" s="454" t="s">
        <v>8941</v>
      </c>
      <c r="F1040" s="454" t="s">
        <v>524</v>
      </c>
      <c r="G1040" s="454" t="s">
        <v>14045</v>
      </c>
      <c r="H1040" s="455">
        <v>50958578000123</v>
      </c>
      <c r="I1040" s="462">
        <v>30197</v>
      </c>
      <c r="J1040" s="457">
        <v>37500287</v>
      </c>
      <c r="K1040" s="454" t="s">
        <v>8942</v>
      </c>
      <c r="L1040" s="458">
        <v>1473</v>
      </c>
      <c r="M1040" s="454" t="s">
        <v>6933</v>
      </c>
      <c r="N1040" s="459">
        <v>4077003</v>
      </c>
      <c r="O1040" s="460">
        <v>50443772</v>
      </c>
      <c r="P1040" s="462">
        <v>204202</v>
      </c>
      <c r="Q1040" s="462">
        <v>46</v>
      </c>
      <c r="R1040" s="462">
        <v>43906</v>
      </c>
      <c r="S1040" s="463">
        <v>480</v>
      </c>
      <c r="T1040" s="464">
        <v>5.4</v>
      </c>
      <c r="U1040" s="465">
        <v>2592</v>
      </c>
      <c r="V1040" s="465">
        <v>15480</v>
      </c>
      <c r="W1040" s="466">
        <v>0</v>
      </c>
      <c r="X1040" s="467">
        <v>1</v>
      </c>
      <c r="Y1040" s="466">
        <v>31752</v>
      </c>
      <c r="Z1040" s="468" t="s">
        <v>516</v>
      </c>
      <c r="AA1040" s="466">
        <v>132571.20000000001</v>
      </c>
      <c r="AB1040" s="466">
        <v>132571.20000000001</v>
      </c>
      <c r="AC1040" s="467">
        <v>0</v>
      </c>
      <c r="AD1040" s="466">
        <v>0</v>
      </c>
      <c r="AE1040" s="468" t="s">
        <v>516</v>
      </c>
      <c r="AF1040" s="466">
        <v>0</v>
      </c>
      <c r="AG1040" s="466">
        <v>0</v>
      </c>
      <c r="AH1040" s="466">
        <v>27061.68</v>
      </c>
      <c r="AI1040" s="466">
        <v>6676.83</v>
      </c>
      <c r="AJ1040" s="469" t="s">
        <v>6925</v>
      </c>
      <c r="AK1040" s="470" t="s">
        <v>6926</v>
      </c>
      <c r="AL1040" s="471" t="s">
        <v>8943</v>
      </c>
      <c r="AM1040" s="470" t="s">
        <v>15128</v>
      </c>
      <c r="AN1040" s="470" t="s">
        <v>8944</v>
      </c>
      <c r="AO1040" s="470" t="s">
        <v>14046</v>
      </c>
      <c r="AP1040" s="470" t="s">
        <v>8945</v>
      </c>
      <c r="AQ1040" s="470" t="s">
        <v>8940</v>
      </c>
      <c r="AR1040" s="472" t="s">
        <v>515</v>
      </c>
      <c r="AS1040" s="473" t="s">
        <v>1385</v>
      </c>
      <c r="AT1040" s="472" t="s">
        <v>517</v>
      </c>
      <c r="AU1040" s="472" t="s">
        <v>420</v>
      </c>
      <c r="AV1040" s="472">
        <v>2020</v>
      </c>
      <c r="AW1040" s="474" t="s">
        <v>15078</v>
      </c>
      <c r="AX1040" s="475" t="s">
        <v>15079</v>
      </c>
      <c r="AY1040" s="515">
        <v>1</v>
      </c>
      <c r="AZ1040" s="474" t="s">
        <v>15079</v>
      </c>
      <c r="BA1040" s="472" t="s">
        <v>517</v>
      </c>
      <c r="BB1040" s="472" t="s">
        <v>516</v>
      </c>
      <c r="BC1040" s="472">
        <v>3</v>
      </c>
      <c r="BD1040" s="472">
        <v>3096</v>
      </c>
      <c r="BE1040" s="472">
        <v>0</v>
      </c>
      <c r="BF1040" s="472">
        <v>31752</v>
      </c>
      <c r="BG1040" s="472">
        <v>0</v>
      </c>
      <c r="BH1040" s="472" t="s">
        <v>1385</v>
      </c>
      <c r="BI1040" s="510">
        <v>0</v>
      </c>
      <c r="BJ1040" s="510">
        <v>0</v>
      </c>
      <c r="BK1040" s="510">
        <v>0</v>
      </c>
      <c r="BL1040" s="510">
        <v>0</v>
      </c>
      <c r="BM1040" s="510">
        <v>0</v>
      </c>
      <c r="BN1040" s="510">
        <v>3500</v>
      </c>
      <c r="BO1040" s="510">
        <v>0</v>
      </c>
      <c r="BP1040" s="510">
        <v>0</v>
      </c>
      <c r="BQ1040" s="510">
        <v>0</v>
      </c>
      <c r="BR1040" s="510">
        <v>0</v>
      </c>
      <c r="BS1040" s="510">
        <v>0</v>
      </c>
      <c r="BT1040" s="510">
        <v>0</v>
      </c>
      <c r="BU1040" s="510">
        <v>2500</v>
      </c>
      <c r="BV1040" s="510">
        <v>2500</v>
      </c>
      <c r="BW1040" s="510">
        <v>0</v>
      </c>
      <c r="BX1040" s="510">
        <v>30000</v>
      </c>
      <c r="BY1040" s="1011">
        <v>0</v>
      </c>
      <c r="BZ1040" s="510">
        <v>0</v>
      </c>
      <c r="CA1040" s="1011">
        <v>0</v>
      </c>
      <c r="CB1040" s="510">
        <v>22000</v>
      </c>
      <c r="CC1040" s="1011">
        <v>0</v>
      </c>
      <c r="CD1040" s="510">
        <v>0</v>
      </c>
      <c r="CE1040" s="1011">
        <v>0</v>
      </c>
      <c r="CF1040" s="510">
        <v>48819.199999999997</v>
      </c>
      <c r="CG1040" s="1011">
        <v>0</v>
      </c>
      <c r="CH1040" s="510">
        <v>0</v>
      </c>
      <c r="CI1040" s="1011">
        <v>0</v>
      </c>
    </row>
    <row r="1041" spans="1:87" x14ac:dyDescent="0.2">
      <c r="A1041" s="449">
        <v>47</v>
      </c>
      <c r="B1041" s="453">
        <v>95303</v>
      </c>
      <c r="C1041" s="454" t="s">
        <v>8946</v>
      </c>
      <c r="D1041" s="454" t="s">
        <v>517</v>
      </c>
      <c r="E1041" s="454" t="s">
        <v>8947</v>
      </c>
      <c r="F1041" s="454" t="s">
        <v>524</v>
      </c>
      <c r="G1041" s="454" t="s">
        <v>14047</v>
      </c>
      <c r="H1041" s="455">
        <v>45707429000151</v>
      </c>
      <c r="I1041" s="462">
        <v>29545</v>
      </c>
      <c r="J1041" s="457">
        <v>37500678</v>
      </c>
      <c r="K1041" s="454" t="s">
        <v>8948</v>
      </c>
      <c r="L1041" s="458">
        <v>254</v>
      </c>
      <c r="M1041" s="454" t="s">
        <v>8949</v>
      </c>
      <c r="N1041" s="459">
        <v>4115090</v>
      </c>
      <c r="O1041" s="460">
        <v>55733877</v>
      </c>
      <c r="P1041" s="462">
        <v>211063</v>
      </c>
      <c r="Q1041" s="462">
        <v>52</v>
      </c>
      <c r="R1041" s="462">
        <v>43906</v>
      </c>
      <c r="S1041" s="463">
        <v>512</v>
      </c>
      <c r="T1041" s="464">
        <v>5.4</v>
      </c>
      <c r="U1041" s="465">
        <v>2764.8</v>
      </c>
      <c r="V1041" s="465">
        <v>17100</v>
      </c>
      <c r="W1041" s="466">
        <v>0</v>
      </c>
      <c r="X1041" s="467">
        <v>1</v>
      </c>
      <c r="Y1041" s="466">
        <v>36209.699999999997</v>
      </c>
      <c r="Z1041" s="468" t="s">
        <v>516</v>
      </c>
      <c r="AA1041" s="466">
        <v>141402.9</v>
      </c>
      <c r="AB1041" s="466">
        <v>141402.9</v>
      </c>
      <c r="AC1041" s="467">
        <v>0</v>
      </c>
      <c r="AD1041" s="466">
        <v>0</v>
      </c>
      <c r="AE1041" s="468" t="s">
        <v>516</v>
      </c>
      <c r="AF1041" s="466">
        <v>0</v>
      </c>
      <c r="AG1041" s="466">
        <v>0</v>
      </c>
      <c r="AH1041" s="466">
        <v>34554.370000000003</v>
      </c>
      <c r="AI1041" s="466">
        <v>9655.92</v>
      </c>
      <c r="AJ1041" s="469" t="s">
        <v>2402</v>
      </c>
      <c r="AK1041" s="470" t="s">
        <v>2403</v>
      </c>
      <c r="AL1041" s="471" t="s">
        <v>8950</v>
      </c>
      <c r="AM1041" s="470" t="s">
        <v>15134</v>
      </c>
      <c r="AN1041" s="470" t="s">
        <v>14048</v>
      </c>
      <c r="AO1041" s="470" t="s">
        <v>14049</v>
      </c>
      <c r="AP1041" s="470" t="s">
        <v>8951</v>
      </c>
      <c r="AQ1041" s="470" t="s">
        <v>8946</v>
      </c>
      <c r="AR1041" s="472" t="s">
        <v>515</v>
      </c>
      <c r="AS1041" s="473" t="s">
        <v>1385</v>
      </c>
      <c r="AT1041" s="472" t="s">
        <v>517</v>
      </c>
      <c r="AU1041" s="472" t="s">
        <v>420</v>
      </c>
      <c r="AV1041" s="472">
        <v>2020</v>
      </c>
      <c r="AW1041" s="474" t="s">
        <v>15078</v>
      </c>
      <c r="AX1041" s="475" t="s">
        <v>15079</v>
      </c>
      <c r="AY1041" s="515">
        <v>1</v>
      </c>
      <c r="AZ1041" s="474" t="s">
        <v>15079</v>
      </c>
      <c r="BA1041" s="472" t="s">
        <v>517</v>
      </c>
      <c r="BB1041" s="472" t="s">
        <v>516</v>
      </c>
      <c r="BC1041" s="472">
        <v>4</v>
      </c>
      <c r="BD1041" s="472">
        <v>4275</v>
      </c>
      <c r="BE1041" s="472">
        <v>0</v>
      </c>
      <c r="BF1041" s="472">
        <v>36209.699999999997</v>
      </c>
      <c r="BG1041" s="472">
        <v>0</v>
      </c>
      <c r="BH1041" s="472" t="s">
        <v>1385</v>
      </c>
      <c r="BI1041" s="510">
        <v>0</v>
      </c>
      <c r="BJ1041" s="510">
        <v>0</v>
      </c>
      <c r="BK1041" s="510">
        <v>0</v>
      </c>
      <c r="BL1041" s="510">
        <v>3500</v>
      </c>
      <c r="BM1041" s="510">
        <v>0</v>
      </c>
      <c r="BN1041" s="510">
        <v>3500</v>
      </c>
      <c r="BO1041" s="510">
        <v>0</v>
      </c>
      <c r="BP1041" s="510">
        <v>0</v>
      </c>
      <c r="BQ1041" s="510">
        <v>0</v>
      </c>
      <c r="BR1041" s="510">
        <v>0</v>
      </c>
      <c r="BS1041" s="510">
        <v>0</v>
      </c>
      <c r="BT1041" s="510">
        <v>0</v>
      </c>
      <c r="BU1041" s="510">
        <v>2500</v>
      </c>
      <c r="BV1041" s="510">
        <v>2500</v>
      </c>
      <c r="BW1041" s="510">
        <v>0</v>
      </c>
      <c r="BX1041" s="510">
        <v>30000</v>
      </c>
      <c r="BY1041" s="1011">
        <v>0</v>
      </c>
      <c r="BZ1041" s="510">
        <v>0</v>
      </c>
      <c r="CA1041" s="1011">
        <v>0</v>
      </c>
      <c r="CB1041" s="510">
        <v>22000</v>
      </c>
      <c r="CC1041" s="1011">
        <v>0</v>
      </c>
      <c r="CD1041" s="510">
        <v>0</v>
      </c>
      <c r="CE1041" s="1011">
        <v>0</v>
      </c>
      <c r="CF1041" s="510">
        <v>53193.2</v>
      </c>
      <c r="CG1041" s="1011">
        <v>0</v>
      </c>
      <c r="CH1041" s="510">
        <v>0</v>
      </c>
      <c r="CI1041" s="1011">
        <v>0</v>
      </c>
    </row>
    <row r="1042" spans="1:87" x14ac:dyDescent="0.2">
      <c r="A1042" s="449">
        <v>40</v>
      </c>
      <c r="B1042" s="453">
        <v>95311</v>
      </c>
      <c r="C1042" s="454" t="s">
        <v>8952</v>
      </c>
      <c r="D1042" s="454" t="s">
        <v>517</v>
      </c>
      <c r="E1042" s="454" t="s">
        <v>8953</v>
      </c>
      <c r="F1042" s="454" t="s">
        <v>524</v>
      </c>
      <c r="G1042" s="454" t="s">
        <v>14050</v>
      </c>
      <c r="H1042" s="455">
        <v>51206944000150</v>
      </c>
      <c r="I1042" s="462">
        <v>27549</v>
      </c>
      <c r="J1042" s="457">
        <v>37500260</v>
      </c>
      <c r="K1042" s="454" t="s">
        <v>8955</v>
      </c>
      <c r="L1042" s="458">
        <v>30</v>
      </c>
      <c r="M1042" s="454" t="s">
        <v>8956</v>
      </c>
      <c r="N1042" s="459">
        <v>4140000</v>
      </c>
      <c r="O1042" s="460">
        <v>22759920</v>
      </c>
      <c r="P1042" s="462">
        <v>204555</v>
      </c>
      <c r="Q1042" s="462">
        <v>45</v>
      </c>
      <c r="R1042" s="462">
        <v>43906</v>
      </c>
      <c r="S1042" s="463">
        <v>473</v>
      </c>
      <c r="T1042" s="464">
        <v>5.4</v>
      </c>
      <c r="U1042" s="465">
        <v>2554.1999999999998</v>
      </c>
      <c r="V1042" s="465">
        <v>15480</v>
      </c>
      <c r="W1042" s="466">
        <v>0</v>
      </c>
      <c r="X1042" s="467">
        <v>1</v>
      </c>
      <c r="Y1042" s="466">
        <v>31695.3</v>
      </c>
      <c r="Z1042" s="468" t="s">
        <v>516</v>
      </c>
      <c r="AA1042" s="466">
        <v>132931.29999999999</v>
      </c>
      <c r="AB1042" s="466">
        <v>132931.29999999999</v>
      </c>
      <c r="AC1042" s="467">
        <v>0</v>
      </c>
      <c r="AD1042" s="466">
        <v>0</v>
      </c>
      <c r="AE1042" s="468" t="s">
        <v>516</v>
      </c>
      <c r="AF1042" s="466">
        <v>1000</v>
      </c>
      <c r="AG1042" s="466">
        <v>1000</v>
      </c>
      <c r="AH1042" s="466">
        <v>30366.720000000001</v>
      </c>
      <c r="AI1042" s="466">
        <v>6971.25</v>
      </c>
      <c r="AJ1042" s="469" t="s">
        <v>6518</v>
      </c>
      <c r="AK1042" s="470" t="s">
        <v>6519</v>
      </c>
      <c r="AL1042" s="471" t="s">
        <v>8957</v>
      </c>
      <c r="AM1042" s="470" t="s">
        <v>15127</v>
      </c>
      <c r="AN1042" s="470" t="s">
        <v>8954</v>
      </c>
      <c r="AO1042" s="470" t="s">
        <v>14051</v>
      </c>
      <c r="AP1042" s="470" t="s">
        <v>8958</v>
      </c>
      <c r="AQ1042" s="470" t="s">
        <v>8952</v>
      </c>
      <c r="AR1042" s="472" t="s">
        <v>515</v>
      </c>
      <c r="AS1042" s="473" t="s">
        <v>1385</v>
      </c>
      <c r="AT1042" s="472" t="s">
        <v>517</v>
      </c>
      <c r="AU1042" s="472" t="s">
        <v>420</v>
      </c>
      <c r="AV1042" s="472">
        <v>2020</v>
      </c>
      <c r="AW1042" s="474" t="s">
        <v>15078</v>
      </c>
      <c r="AX1042" s="475" t="s">
        <v>15079</v>
      </c>
      <c r="AY1042" s="515">
        <v>1</v>
      </c>
      <c r="AZ1042" s="474" t="s">
        <v>15079</v>
      </c>
      <c r="BA1042" s="472" t="s">
        <v>517</v>
      </c>
      <c r="BB1042" s="472" t="s">
        <v>516</v>
      </c>
      <c r="BC1042" s="472">
        <v>3</v>
      </c>
      <c r="BD1042" s="472">
        <v>3096</v>
      </c>
      <c r="BE1042" s="472">
        <v>0</v>
      </c>
      <c r="BF1042" s="472">
        <v>31695.3</v>
      </c>
      <c r="BG1042" s="472">
        <v>0</v>
      </c>
      <c r="BH1042" s="472" t="s">
        <v>1385</v>
      </c>
      <c r="BI1042" s="510">
        <v>0</v>
      </c>
      <c r="BJ1042" s="510">
        <v>0</v>
      </c>
      <c r="BK1042" s="510">
        <v>0</v>
      </c>
      <c r="BL1042" s="510">
        <v>0</v>
      </c>
      <c r="BM1042" s="510">
        <v>0</v>
      </c>
      <c r="BN1042" s="510">
        <v>3500</v>
      </c>
      <c r="BO1042" s="510">
        <v>1000</v>
      </c>
      <c r="BP1042" s="510">
        <v>1000</v>
      </c>
      <c r="BQ1042" s="510">
        <v>0</v>
      </c>
      <c r="BR1042" s="510">
        <v>0</v>
      </c>
      <c r="BS1042" s="510">
        <v>0</v>
      </c>
      <c r="BT1042" s="510">
        <v>0</v>
      </c>
      <c r="BU1042" s="510">
        <v>0</v>
      </c>
      <c r="BV1042" s="510">
        <v>0</v>
      </c>
      <c r="BW1042" s="510">
        <v>0</v>
      </c>
      <c r="BX1042" s="510">
        <v>30000</v>
      </c>
      <c r="BY1042" s="1011">
        <v>0</v>
      </c>
      <c r="BZ1042" s="510">
        <v>0</v>
      </c>
      <c r="CA1042" s="1011">
        <v>0</v>
      </c>
      <c r="CB1042" s="510">
        <v>22000</v>
      </c>
      <c r="CC1042" s="1011">
        <v>0</v>
      </c>
      <c r="CD1042" s="510">
        <v>0</v>
      </c>
      <c r="CE1042" s="1011">
        <v>0</v>
      </c>
      <c r="CF1042" s="510">
        <v>48236</v>
      </c>
      <c r="CG1042" s="1011">
        <v>0</v>
      </c>
      <c r="CH1042" s="510">
        <v>0</v>
      </c>
      <c r="CI1042" s="1011">
        <v>0</v>
      </c>
    </row>
    <row r="1043" spans="1:87" x14ac:dyDescent="0.2">
      <c r="A1043" s="449">
        <v>39</v>
      </c>
      <c r="B1043" s="453">
        <v>95320</v>
      </c>
      <c r="C1043" s="454" t="s">
        <v>8959</v>
      </c>
      <c r="D1043" s="454" t="s">
        <v>517</v>
      </c>
      <c r="E1043" s="454" t="s">
        <v>8960</v>
      </c>
      <c r="F1043" s="454" t="s">
        <v>524</v>
      </c>
      <c r="G1043" s="454" t="s">
        <v>14052</v>
      </c>
      <c r="H1043" s="455">
        <v>51600039000180</v>
      </c>
      <c r="I1043" s="462">
        <v>29084</v>
      </c>
      <c r="J1043" s="457">
        <v>37500236</v>
      </c>
      <c r="K1043" s="454" t="s">
        <v>2338</v>
      </c>
      <c r="L1043" s="458">
        <v>478</v>
      </c>
      <c r="M1043" s="454" t="s">
        <v>2339</v>
      </c>
      <c r="N1043" s="459">
        <v>3152150</v>
      </c>
      <c r="O1043" s="460">
        <v>23411196</v>
      </c>
      <c r="P1043" s="462">
        <v>200703</v>
      </c>
      <c r="Q1043" s="462">
        <v>44</v>
      </c>
      <c r="R1043" s="462">
        <v>43906</v>
      </c>
      <c r="S1043" s="463">
        <v>434</v>
      </c>
      <c r="T1043" s="464">
        <v>5.4</v>
      </c>
      <c r="U1043" s="465">
        <v>2343.6</v>
      </c>
      <c r="V1043" s="465">
        <v>15480</v>
      </c>
      <c r="W1043" s="466">
        <v>0</v>
      </c>
      <c r="X1043" s="467">
        <v>1</v>
      </c>
      <c r="Y1043" s="466">
        <v>26735.4</v>
      </c>
      <c r="Z1043" s="468" t="s">
        <v>516</v>
      </c>
      <c r="AA1043" s="466">
        <v>114425.8</v>
      </c>
      <c r="AB1043" s="466">
        <v>114425.8</v>
      </c>
      <c r="AC1043" s="467">
        <v>0</v>
      </c>
      <c r="AD1043" s="466">
        <v>0</v>
      </c>
      <c r="AE1043" s="468" t="s">
        <v>516</v>
      </c>
      <c r="AF1043" s="466">
        <v>2000</v>
      </c>
      <c r="AG1043" s="466">
        <v>2000</v>
      </c>
      <c r="AH1043" s="466">
        <v>17646.919999999998</v>
      </c>
      <c r="AI1043" s="466">
        <v>1401.79</v>
      </c>
      <c r="AJ1043" s="469" t="s">
        <v>2136</v>
      </c>
      <c r="AK1043" s="470" t="s">
        <v>2340</v>
      </c>
      <c r="AL1043" s="471" t="s">
        <v>8962</v>
      </c>
      <c r="AM1043" s="470" t="s">
        <v>15126</v>
      </c>
      <c r="AN1043" s="470" t="s">
        <v>8961</v>
      </c>
      <c r="AO1043" s="470" t="s">
        <v>8963</v>
      </c>
      <c r="AP1043" s="470" t="s">
        <v>8964</v>
      </c>
      <c r="AQ1043" s="470" t="s">
        <v>8959</v>
      </c>
      <c r="AR1043" s="472" t="s">
        <v>515</v>
      </c>
      <c r="AS1043" s="473" t="s">
        <v>1385</v>
      </c>
      <c r="AT1043" s="472" t="s">
        <v>517</v>
      </c>
      <c r="AU1043" s="472" t="s">
        <v>420</v>
      </c>
      <c r="AV1043" s="472">
        <v>2020</v>
      </c>
      <c r="AW1043" s="474" t="s">
        <v>15078</v>
      </c>
      <c r="AX1043" s="475" t="s">
        <v>15079</v>
      </c>
      <c r="AY1043" s="515">
        <v>1</v>
      </c>
      <c r="AZ1043" s="474" t="s">
        <v>15079</v>
      </c>
      <c r="BA1043" s="472" t="s">
        <v>517</v>
      </c>
      <c r="BB1043" s="472" t="s">
        <v>1385</v>
      </c>
      <c r="BC1043" s="472" t="s">
        <v>1385</v>
      </c>
      <c r="BD1043" s="472" t="s">
        <v>1385</v>
      </c>
      <c r="BE1043" s="472" t="s">
        <v>1385</v>
      </c>
      <c r="BF1043" s="472">
        <v>26735.4</v>
      </c>
      <c r="BG1043" s="472">
        <v>0</v>
      </c>
      <c r="BH1043" s="472" t="s">
        <v>1385</v>
      </c>
      <c r="BI1043" s="510">
        <v>0</v>
      </c>
      <c r="BJ1043" s="510">
        <v>0</v>
      </c>
      <c r="BK1043" s="510">
        <v>0</v>
      </c>
      <c r="BL1043" s="510">
        <v>0</v>
      </c>
      <c r="BM1043" s="510">
        <v>0</v>
      </c>
      <c r="BN1043" s="510">
        <v>3500</v>
      </c>
      <c r="BO1043" s="510">
        <v>0</v>
      </c>
      <c r="BP1043" s="510">
        <v>2000</v>
      </c>
      <c r="BQ1043" s="510">
        <v>0</v>
      </c>
      <c r="BR1043" s="510">
        <v>0</v>
      </c>
      <c r="BS1043" s="510">
        <v>0</v>
      </c>
      <c r="BT1043" s="510">
        <v>0</v>
      </c>
      <c r="BU1043" s="510">
        <v>2500</v>
      </c>
      <c r="BV1043" s="510">
        <v>2500</v>
      </c>
      <c r="BW1043" s="510">
        <v>0</v>
      </c>
      <c r="BX1043" s="510">
        <v>30000</v>
      </c>
      <c r="BY1043" s="1011">
        <v>0</v>
      </c>
      <c r="BZ1043" s="510">
        <v>0</v>
      </c>
      <c r="CA1043" s="1011">
        <v>0</v>
      </c>
      <c r="CB1043" s="510">
        <v>22000</v>
      </c>
      <c r="CC1043" s="1011">
        <v>0</v>
      </c>
      <c r="CD1043" s="510">
        <v>0</v>
      </c>
      <c r="CE1043" s="1011">
        <v>0</v>
      </c>
      <c r="CF1043" s="510">
        <v>35690.400000000001</v>
      </c>
      <c r="CG1043" s="1011">
        <v>0</v>
      </c>
      <c r="CH1043" s="510">
        <v>0</v>
      </c>
      <c r="CI1043" s="1011">
        <v>0</v>
      </c>
    </row>
    <row r="1044" spans="1:87" x14ac:dyDescent="0.2">
      <c r="A1044" s="449">
        <v>56</v>
      </c>
      <c r="B1044" s="453">
        <v>95338</v>
      </c>
      <c r="C1044" s="454" t="s">
        <v>8965</v>
      </c>
      <c r="D1044" s="454" t="s">
        <v>517</v>
      </c>
      <c r="E1044" s="454" t="s">
        <v>8966</v>
      </c>
      <c r="F1044" s="454" t="s">
        <v>524</v>
      </c>
      <c r="G1044" s="454" t="s">
        <v>14053</v>
      </c>
      <c r="H1044" s="455">
        <v>52633229000167</v>
      </c>
      <c r="I1044" s="462">
        <v>30488</v>
      </c>
      <c r="J1044" s="457">
        <v>37499890</v>
      </c>
      <c r="K1044" s="454" t="s">
        <v>8968</v>
      </c>
      <c r="L1044" s="458">
        <v>177</v>
      </c>
      <c r="M1044" s="454" t="s">
        <v>8969</v>
      </c>
      <c r="N1044" s="459">
        <v>3143050</v>
      </c>
      <c r="O1044" s="460">
        <v>23413992</v>
      </c>
      <c r="P1044" s="462">
        <v>204903</v>
      </c>
      <c r="Q1044" s="462">
        <v>61</v>
      </c>
      <c r="R1044" s="462">
        <v>43906</v>
      </c>
      <c r="S1044" s="463">
        <v>324</v>
      </c>
      <c r="T1044" s="464">
        <v>5.4</v>
      </c>
      <c r="U1044" s="465">
        <v>1749.6</v>
      </c>
      <c r="V1044" s="465">
        <v>15480</v>
      </c>
      <c r="W1044" s="466">
        <v>0</v>
      </c>
      <c r="X1044" s="467">
        <v>1</v>
      </c>
      <c r="Y1044" s="466">
        <v>25844.400000000001</v>
      </c>
      <c r="Z1044" s="468" t="s">
        <v>516</v>
      </c>
      <c r="AA1044" s="466">
        <v>112141.6</v>
      </c>
      <c r="AB1044" s="466">
        <v>112141.6</v>
      </c>
      <c r="AC1044" s="467">
        <v>0</v>
      </c>
      <c r="AD1044" s="466">
        <v>0</v>
      </c>
      <c r="AE1044" s="468" t="s">
        <v>516</v>
      </c>
      <c r="AF1044" s="466">
        <v>0</v>
      </c>
      <c r="AG1044" s="466">
        <v>0</v>
      </c>
      <c r="AH1044" s="466">
        <v>28314.28</v>
      </c>
      <c r="AI1044" s="466">
        <v>3624.08</v>
      </c>
      <c r="AJ1044" s="469" t="s">
        <v>2136</v>
      </c>
      <c r="AK1044" s="470" t="s">
        <v>2340</v>
      </c>
      <c r="AL1044" s="471" t="s">
        <v>8970</v>
      </c>
      <c r="AM1044" s="470" t="s">
        <v>15144</v>
      </c>
      <c r="AN1044" s="470" t="s">
        <v>8967</v>
      </c>
      <c r="AO1044" s="470" t="s">
        <v>14054</v>
      </c>
      <c r="AP1044" s="470" t="s">
        <v>8971</v>
      </c>
      <c r="AQ1044" s="470" t="s">
        <v>8965</v>
      </c>
      <c r="AR1044" s="472" t="s">
        <v>515</v>
      </c>
      <c r="AS1044" s="473" t="s">
        <v>1385</v>
      </c>
      <c r="AT1044" s="472" t="s">
        <v>517</v>
      </c>
      <c r="AU1044" s="472" t="s">
        <v>420</v>
      </c>
      <c r="AV1044" s="472">
        <v>2020</v>
      </c>
      <c r="AW1044" s="474" t="s">
        <v>15078</v>
      </c>
      <c r="AX1044" s="475" t="s">
        <v>15079</v>
      </c>
      <c r="AY1044" s="515">
        <v>1</v>
      </c>
      <c r="AZ1044" s="474" t="s">
        <v>15079</v>
      </c>
      <c r="BA1044" s="472" t="s">
        <v>517</v>
      </c>
      <c r="BB1044" s="472" t="s">
        <v>1385</v>
      </c>
      <c r="BC1044" s="472" t="s">
        <v>1385</v>
      </c>
      <c r="BD1044" s="472" t="s">
        <v>1385</v>
      </c>
      <c r="BE1044" s="472" t="s">
        <v>1385</v>
      </c>
      <c r="BF1044" s="472">
        <v>25844.400000000001</v>
      </c>
      <c r="BG1044" s="472">
        <v>0</v>
      </c>
      <c r="BH1044" s="472" t="s">
        <v>1385</v>
      </c>
      <c r="BI1044" s="510">
        <v>0</v>
      </c>
      <c r="BJ1044" s="510">
        <v>0</v>
      </c>
      <c r="BK1044" s="510">
        <v>0</v>
      </c>
      <c r="BL1044" s="510">
        <v>3500</v>
      </c>
      <c r="BM1044" s="510">
        <v>0</v>
      </c>
      <c r="BN1044" s="510">
        <v>3500</v>
      </c>
      <c r="BO1044" s="510">
        <v>0</v>
      </c>
      <c r="BP1044" s="510">
        <v>0</v>
      </c>
      <c r="BQ1044" s="510">
        <v>0</v>
      </c>
      <c r="BR1044" s="510">
        <v>0</v>
      </c>
      <c r="BS1044" s="510">
        <v>0</v>
      </c>
      <c r="BT1044" s="510">
        <v>0</v>
      </c>
      <c r="BU1044" s="510">
        <v>0</v>
      </c>
      <c r="BV1044" s="510">
        <v>0</v>
      </c>
      <c r="BW1044" s="510">
        <v>0</v>
      </c>
      <c r="BX1044" s="510">
        <v>30000</v>
      </c>
      <c r="BY1044" s="1011">
        <v>0</v>
      </c>
      <c r="BZ1044" s="510">
        <v>0</v>
      </c>
      <c r="CA1044" s="1011">
        <v>0</v>
      </c>
      <c r="CB1044" s="510">
        <v>22000</v>
      </c>
      <c r="CC1044" s="1011">
        <v>0</v>
      </c>
      <c r="CD1044" s="510">
        <v>0</v>
      </c>
      <c r="CE1044" s="1011">
        <v>0</v>
      </c>
      <c r="CF1044" s="510">
        <v>34297.199999999997</v>
      </c>
      <c r="CG1044" s="1011">
        <v>0</v>
      </c>
      <c r="CH1044" s="510">
        <v>0</v>
      </c>
      <c r="CI1044" s="1011">
        <v>0</v>
      </c>
    </row>
    <row r="1045" spans="1:87" x14ac:dyDescent="0.2">
      <c r="A1045" s="449">
        <v>54</v>
      </c>
      <c r="B1045" s="453">
        <v>95346</v>
      </c>
      <c r="C1045" s="454" t="s">
        <v>8972</v>
      </c>
      <c r="D1045" s="454" t="s">
        <v>517</v>
      </c>
      <c r="E1045" s="454" t="s">
        <v>8973</v>
      </c>
      <c r="F1045" s="454" t="s">
        <v>524</v>
      </c>
      <c r="G1045" s="454" t="s">
        <v>14055</v>
      </c>
      <c r="H1045" s="455">
        <v>50958743000147</v>
      </c>
      <c r="I1045" s="462">
        <v>30197</v>
      </c>
      <c r="J1045" s="457">
        <v>37499807</v>
      </c>
      <c r="K1045" s="454" t="s">
        <v>8974</v>
      </c>
      <c r="L1045" s="458">
        <v>222</v>
      </c>
      <c r="M1045" s="454" t="s">
        <v>6994</v>
      </c>
      <c r="N1045" s="459">
        <v>3147020</v>
      </c>
      <c r="O1045" s="460">
        <v>29170052</v>
      </c>
      <c r="P1045" s="462">
        <v>201076</v>
      </c>
      <c r="Q1045" s="462">
        <v>59</v>
      </c>
      <c r="R1045" s="462">
        <v>43906</v>
      </c>
      <c r="S1045" s="463">
        <v>927</v>
      </c>
      <c r="T1045" s="464">
        <v>5.4</v>
      </c>
      <c r="U1045" s="465">
        <v>5005.8</v>
      </c>
      <c r="V1045" s="465">
        <v>20340</v>
      </c>
      <c r="W1045" s="466">
        <v>0</v>
      </c>
      <c r="X1045" s="467">
        <v>1</v>
      </c>
      <c r="Y1045" s="466">
        <v>38018.699999999997</v>
      </c>
      <c r="Z1045" s="468" t="s">
        <v>516</v>
      </c>
      <c r="AA1045" s="466">
        <v>137178.70000000001</v>
      </c>
      <c r="AB1045" s="466">
        <v>137178.70000000001</v>
      </c>
      <c r="AC1045" s="467">
        <v>0</v>
      </c>
      <c r="AD1045" s="466">
        <v>0</v>
      </c>
      <c r="AE1045" s="468" t="s">
        <v>516</v>
      </c>
      <c r="AF1045" s="466">
        <v>0</v>
      </c>
      <c r="AG1045" s="466">
        <v>0</v>
      </c>
      <c r="AH1045" s="466">
        <v>64565.1</v>
      </c>
      <c r="AI1045" s="466">
        <v>14781.32</v>
      </c>
      <c r="AJ1045" s="469" t="s">
        <v>6995</v>
      </c>
      <c r="AK1045" s="470" t="s">
        <v>6996</v>
      </c>
      <c r="AL1045" s="471" t="s">
        <v>8975</v>
      </c>
      <c r="AM1045" s="470" t="s">
        <v>15142</v>
      </c>
      <c r="AN1045" s="470" t="s">
        <v>14056</v>
      </c>
      <c r="AO1045" s="470" t="s">
        <v>14057</v>
      </c>
      <c r="AP1045" s="470" t="s">
        <v>8976</v>
      </c>
      <c r="AQ1045" s="470" t="s">
        <v>8972</v>
      </c>
      <c r="AR1045" s="472" t="s">
        <v>515</v>
      </c>
      <c r="AS1045" s="473" t="s">
        <v>1385</v>
      </c>
      <c r="AT1045" s="472" t="s">
        <v>517</v>
      </c>
      <c r="AU1045" s="472" t="s">
        <v>420</v>
      </c>
      <c r="AV1045" s="472">
        <v>2020</v>
      </c>
      <c r="AW1045" s="474" t="s">
        <v>15078</v>
      </c>
      <c r="AX1045" s="475" t="s">
        <v>15079</v>
      </c>
      <c r="AY1045" s="515">
        <v>1</v>
      </c>
      <c r="AZ1045" s="474" t="s">
        <v>15079</v>
      </c>
      <c r="BA1045" s="472" t="s">
        <v>517</v>
      </c>
      <c r="BB1045" s="472" t="s">
        <v>1385</v>
      </c>
      <c r="BC1045" s="472" t="s">
        <v>1385</v>
      </c>
      <c r="BD1045" s="472" t="s">
        <v>1385</v>
      </c>
      <c r="BE1045" s="472" t="s">
        <v>1385</v>
      </c>
      <c r="BF1045" s="472">
        <v>38018.699999999997</v>
      </c>
      <c r="BG1045" s="472">
        <v>0</v>
      </c>
      <c r="BH1045" s="472" t="s">
        <v>1385</v>
      </c>
      <c r="BI1045" s="510">
        <v>0</v>
      </c>
      <c r="BJ1045" s="510">
        <v>0</v>
      </c>
      <c r="BK1045" s="510">
        <v>0</v>
      </c>
      <c r="BL1045" s="510">
        <v>1349.2</v>
      </c>
      <c r="BM1045" s="510">
        <v>0</v>
      </c>
      <c r="BN1045" s="510">
        <v>5000</v>
      </c>
      <c r="BO1045" s="510">
        <v>0</v>
      </c>
      <c r="BP1045" s="510">
        <v>0</v>
      </c>
      <c r="BQ1045" s="510">
        <v>0</v>
      </c>
      <c r="BR1045" s="510">
        <v>0</v>
      </c>
      <c r="BS1045" s="510">
        <v>0</v>
      </c>
      <c r="BT1045" s="510">
        <v>0</v>
      </c>
      <c r="BU1045" s="510">
        <v>0</v>
      </c>
      <c r="BV1045" s="510">
        <v>0</v>
      </c>
      <c r="BW1045" s="510">
        <v>0</v>
      </c>
      <c r="BX1045" s="510">
        <v>30000</v>
      </c>
      <c r="BY1045" s="1011">
        <v>0</v>
      </c>
      <c r="BZ1045" s="510">
        <v>0</v>
      </c>
      <c r="CA1045" s="1011">
        <v>0</v>
      </c>
      <c r="CB1045" s="510">
        <v>22000</v>
      </c>
      <c r="CC1045" s="1011">
        <v>0</v>
      </c>
      <c r="CD1045" s="510">
        <v>0</v>
      </c>
      <c r="CE1045" s="1011">
        <v>0</v>
      </c>
      <c r="CF1045" s="510">
        <v>47160</v>
      </c>
      <c r="CG1045" s="1011">
        <v>0</v>
      </c>
      <c r="CH1045" s="510">
        <v>0</v>
      </c>
      <c r="CI1045" s="1011">
        <v>0</v>
      </c>
    </row>
    <row r="1046" spans="1:87" x14ac:dyDescent="0.2">
      <c r="A1046" s="449">
        <v>51</v>
      </c>
      <c r="B1046" s="453">
        <v>95354</v>
      </c>
      <c r="C1046" s="454" t="s">
        <v>8977</v>
      </c>
      <c r="D1046" s="454" t="s">
        <v>517</v>
      </c>
      <c r="E1046" s="454" t="s">
        <v>8978</v>
      </c>
      <c r="F1046" s="454" t="s">
        <v>524</v>
      </c>
      <c r="G1046" s="454" t="s">
        <v>14058</v>
      </c>
      <c r="H1046" s="455">
        <v>43049535000160</v>
      </c>
      <c r="I1046" s="462">
        <v>29265</v>
      </c>
      <c r="J1046" s="457">
        <v>37499920</v>
      </c>
      <c r="K1046" s="454" t="s">
        <v>8980</v>
      </c>
      <c r="L1046" s="458">
        <v>317</v>
      </c>
      <c r="M1046" s="454" t="s">
        <v>8981</v>
      </c>
      <c r="N1046" s="459">
        <v>3215010</v>
      </c>
      <c r="O1046" s="460">
        <v>29171033</v>
      </c>
      <c r="P1046" s="462">
        <v>200916</v>
      </c>
      <c r="Q1046" s="462">
        <v>56</v>
      </c>
      <c r="R1046" s="462">
        <v>43906</v>
      </c>
      <c r="S1046" s="463">
        <v>457</v>
      </c>
      <c r="T1046" s="464">
        <v>5.4</v>
      </c>
      <c r="U1046" s="465">
        <v>2467.8000000000002</v>
      </c>
      <c r="V1046" s="465">
        <v>15480</v>
      </c>
      <c r="W1046" s="466">
        <v>0</v>
      </c>
      <c r="X1046" s="467">
        <v>1</v>
      </c>
      <c r="Y1046" s="466">
        <v>26921.7</v>
      </c>
      <c r="Z1046" s="468" t="s">
        <v>516</v>
      </c>
      <c r="AA1046" s="466">
        <v>114936.1</v>
      </c>
      <c r="AB1046" s="466">
        <v>114936.1</v>
      </c>
      <c r="AC1046" s="467">
        <v>0</v>
      </c>
      <c r="AD1046" s="466">
        <v>0</v>
      </c>
      <c r="AE1046" s="468" t="s">
        <v>516</v>
      </c>
      <c r="AF1046" s="466">
        <v>2000</v>
      </c>
      <c r="AG1046" s="466">
        <v>2000</v>
      </c>
      <c r="AH1046" s="466">
        <v>13103.04</v>
      </c>
      <c r="AI1046" s="466">
        <v>17100.810000000001</v>
      </c>
      <c r="AJ1046" s="469" t="s">
        <v>6995</v>
      </c>
      <c r="AK1046" s="470" t="s">
        <v>7009</v>
      </c>
      <c r="AL1046" s="471" t="s">
        <v>8982</v>
      </c>
      <c r="AM1046" s="470" t="s">
        <v>15139</v>
      </c>
      <c r="AN1046" s="470" t="s">
        <v>8979</v>
      </c>
      <c r="AO1046" s="470" t="s">
        <v>14059</v>
      </c>
      <c r="AP1046" s="470" t="s">
        <v>8983</v>
      </c>
      <c r="AQ1046" s="470" t="s">
        <v>8977</v>
      </c>
      <c r="AR1046" s="472" t="s">
        <v>515</v>
      </c>
      <c r="AS1046" s="473" t="s">
        <v>1385</v>
      </c>
      <c r="AT1046" s="472" t="s">
        <v>517</v>
      </c>
      <c r="AU1046" s="472" t="s">
        <v>420</v>
      </c>
      <c r="AV1046" s="472">
        <v>2020</v>
      </c>
      <c r="AW1046" s="474" t="s">
        <v>15078</v>
      </c>
      <c r="AX1046" s="475" t="s">
        <v>15079</v>
      </c>
      <c r="AY1046" s="515">
        <v>1</v>
      </c>
      <c r="AZ1046" s="474" t="s">
        <v>15079</v>
      </c>
      <c r="BA1046" s="472" t="s">
        <v>517</v>
      </c>
      <c r="BB1046" s="472" t="s">
        <v>1385</v>
      </c>
      <c r="BC1046" s="472" t="s">
        <v>1385</v>
      </c>
      <c r="BD1046" s="472" t="s">
        <v>1385</v>
      </c>
      <c r="BE1046" s="472" t="s">
        <v>1385</v>
      </c>
      <c r="BF1046" s="472">
        <v>26921.7</v>
      </c>
      <c r="BG1046" s="472">
        <v>0</v>
      </c>
      <c r="BH1046" s="472" t="s">
        <v>1385</v>
      </c>
      <c r="BI1046" s="510">
        <v>0</v>
      </c>
      <c r="BJ1046" s="510">
        <v>0</v>
      </c>
      <c r="BK1046" s="510">
        <v>0</v>
      </c>
      <c r="BL1046" s="510">
        <v>1930</v>
      </c>
      <c r="BM1046" s="510">
        <v>0</v>
      </c>
      <c r="BN1046" s="510">
        <v>3500</v>
      </c>
      <c r="BO1046" s="510">
        <v>0</v>
      </c>
      <c r="BP1046" s="510">
        <v>2000</v>
      </c>
      <c r="BQ1046" s="510">
        <v>0</v>
      </c>
      <c r="BR1046" s="510">
        <v>0</v>
      </c>
      <c r="BS1046" s="510">
        <v>0</v>
      </c>
      <c r="BT1046" s="510">
        <v>0</v>
      </c>
      <c r="BU1046" s="510">
        <v>2500</v>
      </c>
      <c r="BV1046" s="510">
        <v>2500</v>
      </c>
      <c r="BW1046" s="510">
        <v>0</v>
      </c>
      <c r="BX1046" s="510">
        <v>30000</v>
      </c>
      <c r="BY1046" s="1011">
        <v>0</v>
      </c>
      <c r="BZ1046" s="510">
        <v>0</v>
      </c>
      <c r="CA1046" s="1011">
        <v>0</v>
      </c>
      <c r="CB1046" s="510">
        <v>22000</v>
      </c>
      <c r="CC1046" s="1011">
        <v>0</v>
      </c>
      <c r="CD1046" s="510">
        <v>0</v>
      </c>
      <c r="CE1046" s="1011">
        <v>0</v>
      </c>
      <c r="CF1046" s="510">
        <v>36014.400000000001</v>
      </c>
      <c r="CG1046" s="1011">
        <v>0</v>
      </c>
      <c r="CH1046" s="510">
        <v>0</v>
      </c>
      <c r="CI1046" s="1011">
        <v>0</v>
      </c>
    </row>
    <row r="1047" spans="1:87" x14ac:dyDescent="0.2">
      <c r="A1047" s="449">
        <v>66</v>
      </c>
      <c r="B1047" s="453">
        <v>95362</v>
      </c>
      <c r="C1047" s="454" t="s">
        <v>8984</v>
      </c>
      <c r="D1047" s="454" t="s">
        <v>517</v>
      </c>
      <c r="E1047" s="454" t="s">
        <v>8985</v>
      </c>
      <c r="F1047" s="454" t="s">
        <v>527</v>
      </c>
      <c r="G1047" s="454" t="s">
        <v>14060</v>
      </c>
      <c r="H1047" s="455">
        <v>52835980000146</v>
      </c>
      <c r="I1047" s="462">
        <v>30557</v>
      </c>
      <c r="J1047" s="457">
        <v>37555251</v>
      </c>
      <c r="K1047" s="454" t="s">
        <v>8986</v>
      </c>
      <c r="L1047" s="458">
        <v>550</v>
      </c>
      <c r="M1047" s="454" t="s">
        <v>8987</v>
      </c>
      <c r="N1047" s="459">
        <v>3157010</v>
      </c>
      <c r="O1047" s="460">
        <v>29650431</v>
      </c>
      <c r="P1047" s="462">
        <v>217037</v>
      </c>
      <c r="Q1047" s="462">
        <v>114</v>
      </c>
      <c r="R1047" s="462">
        <v>43917</v>
      </c>
      <c r="S1047" s="463">
        <v>521</v>
      </c>
      <c r="T1047" s="464">
        <v>5.4</v>
      </c>
      <c r="U1047" s="465">
        <v>2813.4</v>
      </c>
      <c r="V1047" s="465">
        <v>17100</v>
      </c>
      <c r="W1047" s="466">
        <v>0</v>
      </c>
      <c r="X1047" s="467">
        <v>1</v>
      </c>
      <c r="Y1047" s="466">
        <v>29870.1</v>
      </c>
      <c r="Z1047" s="468" t="s">
        <v>516</v>
      </c>
      <c r="AA1047" s="466">
        <v>121815.7</v>
      </c>
      <c r="AB1047" s="466">
        <v>121815.7</v>
      </c>
      <c r="AC1047" s="467">
        <v>0</v>
      </c>
      <c r="AD1047" s="466">
        <v>0</v>
      </c>
      <c r="AE1047" s="468" t="s">
        <v>516</v>
      </c>
      <c r="AF1047" s="466">
        <v>0</v>
      </c>
      <c r="AG1047" s="466">
        <v>0</v>
      </c>
      <c r="AH1047" s="466">
        <v>28826.52</v>
      </c>
      <c r="AI1047" s="466">
        <v>11473.58</v>
      </c>
      <c r="AJ1047" s="469" t="s">
        <v>3969</v>
      </c>
      <c r="AK1047" s="470" t="s">
        <v>6698</v>
      </c>
      <c r="AL1047" s="471" t="s">
        <v>8988</v>
      </c>
      <c r="AM1047" s="470" t="s">
        <v>8989</v>
      </c>
      <c r="AN1047" s="470" t="s">
        <v>14060</v>
      </c>
      <c r="AO1047" s="470" t="s">
        <v>14061</v>
      </c>
      <c r="AP1047" s="470" t="s">
        <v>8990</v>
      </c>
      <c r="AQ1047" s="470" t="s">
        <v>8984</v>
      </c>
      <c r="AR1047" s="472" t="s">
        <v>515</v>
      </c>
      <c r="AS1047" s="473" t="s">
        <v>1385</v>
      </c>
      <c r="AT1047" s="472" t="s">
        <v>517</v>
      </c>
      <c r="AU1047" s="472" t="s">
        <v>420</v>
      </c>
      <c r="AV1047" s="472">
        <v>2020</v>
      </c>
      <c r="AW1047" s="474" t="s">
        <v>15078</v>
      </c>
      <c r="AX1047" s="475" t="s">
        <v>15079</v>
      </c>
      <c r="AY1047" s="515">
        <v>1</v>
      </c>
      <c r="AZ1047" s="474" t="s">
        <v>15079</v>
      </c>
      <c r="BA1047" s="472" t="s">
        <v>517</v>
      </c>
      <c r="BB1047" s="472" t="s">
        <v>1385</v>
      </c>
      <c r="BC1047" s="472" t="s">
        <v>1385</v>
      </c>
      <c r="BD1047" s="472" t="s">
        <v>1385</v>
      </c>
      <c r="BE1047" s="472" t="s">
        <v>1385</v>
      </c>
      <c r="BF1047" s="472">
        <v>29870.1</v>
      </c>
      <c r="BG1047" s="472">
        <v>0</v>
      </c>
      <c r="BH1047" s="472" t="s">
        <v>1385</v>
      </c>
      <c r="BI1047" s="510">
        <v>0</v>
      </c>
      <c r="BJ1047" s="510">
        <v>44.81</v>
      </c>
      <c r="BK1047" s="510">
        <v>0</v>
      </c>
      <c r="BL1047" s="510">
        <v>3500</v>
      </c>
      <c r="BM1047" s="510">
        <v>0</v>
      </c>
      <c r="BN1047" s="510">
        <v>3500</v>
      </c>
      <c r="BO1047" s="510">
        <v>0</v>
      </c>
      <c r="BP1047" s="510">
        <v>0</v>
      </c>
      <c r="BQ1047" s="510">
        <v>0</v>
      </c>
      <c r="BR1047" s="510">
        <v>0</v>
      </c>
      <c r="BS1047" s="510">
        <v>0</v>
      </c>
      <c r="BT1047" s="510">
        <v>0</v>
      </c>
      <c r="BU1047" s="510">
        <v>0</v>
      </c>
      <c r="BV1047" s="510">
        <v>0</v>
      </c>
      <c r="BW1047" s="510">
        <v>0</v>
      </c>
      <c r="BX1047" s="510">
        <v>30000</v>
      </c>
      <c r="BY1047" s="1011">
        <v>0</v>
      </c>
      <c r="BZ1047" s="510">
        <v>0</v>
      </c>
      <c r="CA1047" s="1011">
        <v>0</v>
      </c>
      <c r="CB1047" s="510">
        <v>22000</v>
      </c>
      <c r="CC1047" s="1011">
        <v>0</v>
      </c>
      <c r="CD1047" s="510">
        <v>0</v>
      </c>
      <c r="CE1047" s="1011">
        <v>0</v>
      </c>
      <c r="CF1047" s="510">
        <v>39945.599999999999</v>
      </c>
      <c r="CG1047" s="1011">
        <v>0</v>
      </c>
      <c r="CH1047" s="510">
        <v>0</v>
      </c>
      <c r="CI1047" s="1011">
        <v>0</v>
      </c>
    </row>
    <row r="1048" spans="1:87" x14ac:dyDescent="0.2">
      <c r="A1048" s="449">
        <v>33</v>
      </c>
      <c r="B1048" s="453">
        <v>95371</v>
      </c>
      <c r="C1048" s="454" t="s">
        <v>8991</v>
      </c>
      <c r="D1048" s="454" t="s">
        <v>517</v>
      </c>
      <c r="E1048" s="454" t="s">
        <v>8992</v>
      </c>
      <c r="F1048" s="454" t="s">
        <v>524</v>
      </c>
      <c r="G1048" s="454" t="s">
        <v>14062</v>
      </c>
      <c r="H1048" s="455">
        <v>56083595000140</v>
      </c>
      <c r="I1048" s="462">
        <v>31604</v>
      </c>
      <c r="J1048" s="457">
        <v>37497987</v>
      </c>
      <c r="K1048" s="454" t="s">
        <v>8994</v>
      </c>
      <c r="L1048" s="458">
        <v>268</v>
      </c>
      <c r="M1048" s="454" t="s">
        <v>1579</v>
      </c>
      <c r="N1048" s="459">
        <v>3261040</v>
      </c>
      <c r="O1048" s="460">
        <v>21544528</v>
      </c>
      <c r="P1048" s="462">
        <v>200380</v>
      </c>
      <c r="Q1048" s="462">
        <v>38</v>
      </c>
      <c r="R1048" s="462">
        <v>43906</v>
      </c>
      <c r="S1048" s="463">
        <v>842</v>
      </c>
      <c r="T1048" s="464">
        <v>5.4</v>
      </c>
      <c r="U1048" s="465">
        <v>4546.8</v>
      </c>
      <c r="V1048" s="465">
        <v>18720</v>
      </c>
      <c r="W1048" s="466">
        <v>0</v>
      </c>
      <c r="X1048" s="467">
        <v>1</v>
      </c>
      <c r="Y1048" s="466">
        <v>34900.199999999997</v>
      </c>
      <c r="Z1048" s="468" t="s">
        <v>516</v>
      </c>
      <c r="AA1048" s="466">
        <v>132440.20000000001</v>
      </c>
      <c r="AB1048" s="466">
        <v>132440.20000000001</v>
      </c>
      <c r="AC1048" s="467">
        <v>0</v>
      </c>
      <c r="AD1048" s="466">
        <v>0</v>
      </c>
      <c r="AE1048" s="468" t="s">
        <v>516</v>
      </c>
      <c r="AF1048" s="466">
        <v>0</v>
      </c>
      <c r="AG1048" s="466">
        <v>0</v>
      </c>
      <c r="AH1048" s="466">
        <v>18996.330000000002</v>
      </c>
      <c r="AI1048" s="466">
        <v>14068.3</v>
      </c>
      <c r="AJ1048" s="469" t="s">
        <v>6995</v>
      </c>
      <c r="AK1048" s="470" t="s">
        <v>7009</v>
      </c>
      <c r="AL1048" s="471" t="s">
        <v>8995</v>
      </c>
      <c r="AM1048" s="470" t="s">
        <v>15118</v>
      </c>
      <c r="AN1048" s="470" t="s">
        <v>8993</v>
      </c>
      <c r="AO1048" s="470" t="s">
        <v>8996</v>
      </c>
      <c r="AP1048" s="470" t="s">
        <v>8997</v>
      </c>
      <c r="AQ1048" s="470" t="s">
        <v>8991</v>
      </c>
      <c r="AR1048" s="472" t="s">
        <v>515</v>
      </c>
      <c r="AS1048" s="473" t="s">
        <v>1385</v>
      </c>
      <c r="AT1048" s="472" t="s">
        <v>517</v>
      </c>
      <c r="AU1048" s="472" t="s">
        <v>420</v>
      </c>
      <c r="AV1048" s="472">
        <v>2020</v>
      </c>
      <c r="AW1048" s="474" t="s">
        <v>15078</v>
      </c>
      <c r="AX1048" s="475" t="s">
        <v>15079</v>
      </c>
      <c r="AY1048" s="515">
        <v>1</v>
      </c>
      <c r="AZ1048" s="474" t="s">
        <v>15079</v>
      </c>
      <c r="BA1048" s="472" t="s">
        <v>517</v>
      </c>
      <c r="BB1048" s="472" t="s">
        <v>1385</v>
      </c>
      <c r="BC1048" s="472" t="s">
        <v>1385</v>
      </c>
      <c r="BD1048" s="472" t="s">
        <v>1385</v>
      </c>
      <c r="BE1048" s="472" t="s">
        <v>1385</v>
      </c>
      <c r="BF1048" s="472">
        <v>34900.199999999997</v>
      </c>
      <c r="BG1048" s="472">
        <v>0</v>
      </c>
      <c r="BH1048" s="472" t="s">
        <v>1385</v>
      </c>
      <c r="BI1048" s="510">
        <v>0</v>
      </c>
      <c r="BJ1048" s="510">
        <v>0</v>
      </c>
      <c r="BK1048" s="510">
        <v>0</v>
      </c>
      <c r="BL1048" s="510">
        <v>1425</v>
      </c>
      <c r="BM1048" s="510">
        <v>0</v>
      </c>
      <c r="BN1048" s="510">
        <v>5000</v>
      </c>
      <c r="BO1048" s="510">
        <v>0</v>
      </c>
      <c r="BP1048" s="510">
        <v>0</v>
      </c>
      <c r="BQ1048" s="510">
        <v>0</v>
      </c>
      <c r="BR1048" s="510">
        <v>0</v>
      </c>
      <c r="BS1048" s="510">
        <v>0</v>
      </c>
      <c r="BT1048" s="510">
        <v>0</v>
      </c>
      <c r="BU1048" s="510">
        <v>2500</v>
      </c>
      <c r="BV1048" s="510">
        <v>2500</v>
      </c>
      <c r="BW1048" s="510">
        <v>0</v>
      </c>
      <c r="BX1048" s="510">
        <v>30000</v>
      </c>
      <c r="BY1048" s="1011">
        <v>0</v>
      </c>
      <c r="BZ1048" s="510">
        <v>0</v>
      </c>
      <c r="CA1048" s="1011">
        <v>0</v>
      </c>
      <c r="CB1048" s="510">
        <v>22000</v>
      </c>
      <c r="CC1048" s="1011">
        <v>0</v>
      </c>
      <c r="CD1048" s="510">
        <v>0</v>
      </c>
      <c r="CE1048" s="1011">
        <v>0</v>
      </c>
      <c r="CF1048" s="510">
        <v>45540</v>
      </c>
      <c r="CG1048" s="1011">
        <v>0</v>
      </c>
      <c r="CH1048" s="510">
        <v>0</v>
      </c>
      <c r="CI1048" s="1011">
        <v>0</v>
      </c>
    </row>
    <row r="1049" spans="1:87" x14ac:dyDescent="0.2">
      <c r="A1049" s="449">
        <v>28</v>
      </c>
      <c r="B1049" s="453">
        <v>95389</v>
      </c>
      <c r="C1049" s="454" t="s">
        <v>8998</v>
      </c>
      <c r="D1049" s="454" t="s">
        <v>517</v>
      </c>
      <c r="E1049" s="454" t="s">
        <v>8999</v>
      </c>
      <c r="F1049" s="454" t="s">
        <v>524</v>
      </c>
      <c r="G1049" s="454" t="s">
        <v>14063</v>
      </c>
      <c r="H1049" s="455">
        <v>51718229000105</v>
      </c>
      <c r="I1049" s="462">
        <v>29131</v>
      </c>
      <c r="J1049" s="457">
        <v>37498037</v>
      </c>
      <c r="K1049" s="454" t="s">
        <v>1578</v>
      </c>
      <c r="L1049" s="458">
        <v>103</v>
      </c>
      <c r="M1049" s="454" t="s">
        <v>1579</v>
      </c>
      <c r="N1049" s="459">
        <v>3240040</v>
      </c>
      <c r="O1049" s="460">
        <v>61043281</v>
      </c>
      <c r="P1049" s="462">
        <v>201238</v>
      </c>
      <c r="Q1049" s="462">
        <v>34</v>
      </c>
      <c r="R1049" s="462">
        <v>43906</v>
      </c>
      <c r="S1049" s="463">
        <v>672</v>
      </c>
      <c r="T1049" s="464">
        <v>5.4</v>
      </c>
      <c r="U1049" s="465">
        <v>3628.8</v>
      </c>
      <c r="V1049" s="465">
        <v>17100</v>
      </c>
      <c r="W1049" s="466">
        <v>0</v>
      </c>
      <c r="X1049" s="467">
        <v>1</v>
      </c>
      <c r="Y1049" s="466">
        <v>31093.200000000001</v>
      </c>
      <c r="Z1049" s="468" t="s">
        <v>516</v>
      </c>
      <c r="AA1049" s="466">
        <v>124302.39999999999</v>
      </c>
      <c r="AB1049" s="466">
        <v>124302.39999999999</v>
      </c>
      <c r="AC1049" s="467">
        <v>0</v>
      </c>
      <c r="AD1049" s="466">
        <v>0</v>
      </c>
      <c r="AE1049" s="468" t="s">
        <v>516</v>
      </c>
      <c r="AF1049" s="466">
        <v>0</v>
      </c>
      <c r="AG1049" s="466">
        <v>0</v>
      </c>
      <c r="AH1049" s="466">
        <v>7081.89</v>
      </c>
      <c r="AI1049" s="466">
        <v>12437.28</v>
      </c>
      <c r="AJ1049" s="469" t="s">
        <v>6995</v>
      </c>
      <c r="AK1049" s="470" t="s">
        <v>7009</v>
      </c>
      <c r="AL1049" s="471" t="s">
        <v>5552</v>
      </c>
      <c r="AM1049" s="470" t="s">
        <v>15113</v>
      </c>
      <c r="AN1049" s="470" t="s">
        <v>9000</v>
      </c>
      <c r="AO1049" s="470" t="s">
        <v>14064</v>
      </c>
      <c r="AP1049" s="470" t="s">
        <v>9001</v>
      </c>
      <c r="AQ1049" s="470" t="s">
        <v>8998</v>
      </c>
      <c r="AR1049" s="472" t="s">
        <v>515</v>
      </c>
      <c r="AS1049" s="473" t="s">
        <v>1385</v>
      </c>
      <c r="AT1049" s="472" t="s">
        <v>517</v>
      </c>
      <c r="AU1049" s="472" t="s">
        <v>420</v>
      </c>
      <c r="AV1049" s="472">
        <v>2020</v>
      </c>
      <c r="AW1049" s="474" t="s">
        <v>15078</v>
      </c>
      <c r="AX1049" s="475" t="s">
        <v>15079</v>
      </c>
      <c r="AY1049" s="515">
        <v>1</v>
      </c>
      <c r="AZ1049" s="474" t="s">
        <v>15079</v>
      </c>
      <c r="BA1049" s="472" t="s">
        <v>517</v>
      </c>
      <c r="BB1049" s="472" t="s">
        <v>1385</v>
      </c>
      <c r="BC1049" s="472" t="s">
        <v>1385</v>
      </c>
      <c r="BD1049" s="472" t="s">
        <v>1385</v>
      </c>
      <c r="BE1049" s="472" t="s">
        <v>1385</v>
      </c>
      <c r="BF1049" s="509">
        <v>31093.200000000001</v>
      </c>
      <c r="BG1049" s="509">
        <v>0</v>
      </c>
      <c r="BH1049" s="472" t="s">
        <v>1385</v>
      </c>
      <c r="BI1049" s="510">
        <v>0</v>
      </c>
      <c r="BJ1049" s="510">
        <v>0</v>
      </c>
      <c r="BK1049" s="510">
        <v>0</v>
      </c>
      <c r="BL1049" s="510">
        <v>0</v>
      </c>
      <c r="BM1049" s="510">
        <v>0</v>
      </c>
      <c r="BN1049" s="510">
        <v>2990</v>
      </c>
      <c r="BO1049" s="510">
        <v>0</v>
      </c>
      <c r="BP1049" s="510">
        <v>0</v>
      </c>
      <c r="BQ1049" s="510">
        <v>0</v>
      </c>
      <c r="BR1049" s="510">
        <v>0</v>
      </c>
      <c r="BS1049" s="510">
        <v>0</v>
      </c>
      <c r="BT1049" s="510">
        <v>0</v>
      </c>
      <c r="BU1049" s="510">
        <v>2500</v>
      </c>
      <c r="BV1049" s="510">
        <v>2500</v>
      </c>
      <c r="BW1049" s="510">
        <v>0</v>
      </c>
      <c r="BX1049" s="510">
        <v>30000</v>
      </c>
      <c r="BY1049" s="1011">
        <v>0</v>
      </c>
      <c r="BZ1049" s="510">
        <v>0</v>
      </c>
      <c r="CA1049" s="1011">
        <v>0</v>
      </c>
      <c r="CB1049" s="510">
        <v>22000</v>
      </c>
      <c r="CC1049" s="1011">
        <v>0</v>
      </c>
      <c r="CD1049" s="510">
        <v>0</v>
      </c>
      <c r="CE1049" s="1011">
        <v>0</v>
      </c>
      <c r="CF1049" s="510">
        <v>41209.199999999997</v>
      </c>
      <c r="CG1049" s="1011">
        <v>0</v>
      </c>
      <c r="CH1049" s="510">
        <v>0</v>
      </c>
      <c r="CI1049" s="1011">
        <v>0</v>
      </c>
    </row>
    <row r="1050" spans="1:87" x14ac:dyDescent="0.2">
      <c r="A1050" s="449">
        <v>48</v>
      </c>
      <c r="B1050" s="453">
        <v>95397</v>
      </c>
      <c r="C1050" s="454" t="s">
        <v>9002</v>
      </c>
      <c r="D1050" s="454" t="s">
        <v>517</v>
      </c>
      <c r="E1050" s="454" t="s">
        <v>9003</v>
      </c>
      <c r="F1050" s="454" t="s">
        <v>524</v>
      </c>
      <c r="G1050" s="454" t="s">
        <v>14065</v>
      </c>
      <c r="H1050" s="455">
        <v>43561828000121</v>
      </c>
      <c r="I1050" s="462">
        <v>29321</v>
      </c>
      <c r="J1050" s="457">
        <v>37499971</v>
      </c>
      <c r="K1050" s="454" t="s">
        <v>9004</v>
      </c>
      <c r="L1050" s="458">
        <v>21</v>
      </c>
      <c r="M1050" s="454" t="s">
        <v>9005</v>
      </c>
      <c r="N1050" s="459">
        <v>3280110</v>
      </c>
      <c r="O1050" s="460">
        <v>62110825</v>
      </c>
      <c r="P1050" s="462">
        <v>197443</v>
      </c>
      <c r="Q1050" s="462">
        <v>53</v>
      </c>
      <c r="R1050" s="462">
        <v>43906</v>
      </c>
      <c r="S1050" s="463">
        <v>608</v>
      </c>
      <c r="T1050" s="464">
        <v>5.4</v>
      </c>
      <c r="U1050" s="465">
        <v>3283.2</v>
      </c>
      <c r="V1050" s="465">
        <v>17100</v>
      </c>
      <c r="W1050" s="466">
        <v>0</v>
      </c>
      <c r="X1050" s="467">
        <v>1</v>
      </c>
      <c r="Y1050" s="466">
        <v>30574.799999999999</v>
      </c>
      <c r="Z1050" s="468" t="s">
        <v>516</v>
      </c>
      <c r="AA1050" s="466">
        <v>123416.8</v>
      </c>
      <c r="AB1050" s="466">
        <v>123416.8</v>
      </c>
      <c r="AC1050" s="467">
        <v>0</v>
      </c>
      <c r="AD1050" s="466">
        <v>0</v>
      </c>
      <c r="AE1050" s="468" t="s">
        <v>516</v>
      </c>
      <c r="AF1050" s="466">
        <v>0</v>
      </c>
      <c r="AG1050" s="466">
        <v>0</v>
      </c>
      <c r="AH1050" s="466">
        <v>16483.29</v>
      </c>
      <c r="AI1050" s="466">
        <v>11333.88</v>
      </c>
      <c r="AJ1050" s="469" t="s">
        <v>3969</v>
      </c>
      <c r="AK1050" s="470" t="s">
        <v>7018</v>
      </c>
      <c r="AL1050" s="471" t="s">
        <v>9006</v>
      </c>
      <c r="AM1050" s="470" t="s">
        <v>15135</v>
      </c>
      <c r="AN1050" s="470" t="s">
        <v>9007</v>
      </c>
      <c r="AO1050" s="470" t="s">
        <v>9008</v>
      </c>
      <c r="AP1050" s="470" t="s">
        <v>9009</v>
      </c>
      <c r="AQ1050" s="470" t="s">
        <v>9002</v>
      </c>
      <c r="AR1050" s="472" t="s">
        <v>515</v>
      </c>
      <c r="AS1050" s="473" t="s">
        <v>1385</v>
      </c>
      <c r="AT1050" s="472" t="s">
        <v>517</v>
      </c>
      <c r="AU1050" s="472" t="s">
        <v>420</v>
      </c>
      <c r="AV1050" s="472">
        <v>2020</v>
      </c>
      <c r="AW1050" s="474" t="s">
        <v>15078</v>
      </c>
      <c r="AX1050" s="475" t="s">
        <v>15079</v>
      </c>
      <c r="AY1050" s="515">
        <v>1</v>
      </c>
      <c r="AZ1050" s="474" t="s">
        <v>15079</v>
      </c>
      <c r="BA1050" s="472" t="s">
        <v>517</v>
      </c>
      <c r="BB1050" s="472" t="s">
        <v>1385</v>
      </c>
      <c r="BC1050" s="472" t="s">
        <v>1385</v>
      </c>
      <c r="BD1050" s="472" t="s">
        <v>1385</v>
      </c>
      <c r="BE1050" s="472" t="s">
        <v>1385</v>
      </c>
      <c r="BF1050" s="509">
        <v>30574.799999999999</v>
      </c>
      <c r="BG1050" s="509">
        <v>0</v>
      </c>
      <c r="BH1050" s="472" t="s">
        <v>1385</v>
      </c>
      <c r="BI1050" s="510">
        <v>0</v>
      </c>
      <c r="BJ1050" s="510">
        <v>0</v>
      </c>
      <c r="BK1050" s="510">
        <v>0</v>
      </c>
      <c r="BL1050" s="510">
        <v>0</v>
      </c>
      <c r="BM1050" s="510">
        <v>0</v>
      </c>
      <c r="BN1050" s="510">
        <v>3500</v>
      </c>
      <c r="BO1050" s="510">
        <v>0</v>
      </c>
      <c r="BP1050" s="510">
        <v>0</v>
      </c>
      <c r="BQ1050" s="510">
        <v>0</v>
      </c>
      <c r="BR1050" s="510">
        <v>0</v>
      </c>
      <c r="BS1050" s="510">
        <v>0</v>
      </c>
      <c r="BT1050" s="510">
        <v>0</v>
      </c>
      <c r="BU1050" s="510">
        <v>0</v>
      </c>
      <c r="BV1050" s="510">
        <v>0</v>
      </c>
      <c r="BW1050" s="510">
        <v>0</v>
      </c>
      <c r="BX1050" s="510">
        <v>30000</v>
      </c>
      <c r="BY1050" s="1011">
        <v>0</v>
      </c>
      <c r="BZ1050" s="510">
        <v>0</v>
      </c>
      <c r="CA1050" s="1011">
        <v>0</v>
      </c>
      <c r="CB1050" s="510">
        <v>22000</v>
      </c>
      <c r="CC1050" s="1011">
        <v>0</v>
      </c>
      <c r="CD1050" s="510">
        <v>0</v>
      </c>
      <c r="CE1050" s="1011">
        <v>0</v>
      </c>
      <c r="CF1050" s="510">
        <v>40842</v>
      </c>
      <c r="CG1050" s="1011">
        <v>0</v>
      </c>
      <c r="CH1050" s="510">
        <v>0</v>
      </c>
      <c r="CI1050" s="1011">
        <v>0</v>
      </c>
    </row>
    <row r="1051" spans="1:87" x14ac:dyDescent="0.2">
      <c r="A1051" s="449">
        <v>53</v>
      </c>
      <c r="B1051" s="453">
        <v>95401</v>
      </c>
      <c r="C1051" s="454" t="s">
        <v>9010</v>
      </c>
      <c r="D1051" s="454" t="s">
        <v>517</v>
      </c>
      <c r="E1051" s="454" t="s">
        <v>9011</v>
      </c>
      <c r="F1051" s="454" t="s">
        <v>524</v>
      </c>
      <c r="G1051" s="454" t="s">
        <v>14066</v>
      </c>
      <c r="H1051" s="455">
        <v>51603835000177</v>
      </c>
      <c r="I1051" s="462">
        <v>29084</v>
      </c>
      <c r="J1051" s="457">
        <v>37499815</v>
      </c>
      <c r="K1051" s="454" t="s">
        <v>9013</v>
      </c>
      <c r="L1051" s="458">
        <v>980</v>
      </c>
      <c r="M1051" s="454" t="s">
        <v>9014</v>
      </c>
      <c r="N1051" s="459">
        <v>3286000</v>
      </c>
      <c r="O1051" s="460">
        <v>21540339</v>
      </c>
      <c r="P1051" s="462">
        <v>201033</v>
      </c>
      <c r="Q1051" s="462">
        <v>58</v>
      </c>
      <c r="R1051" s="462">
        <v>43906</v>
      </c>
      <c r="S1051" s="463">
        <v>821</v>
      </c>
      <c r="T1051" s="464">
        <v>5.4</v>
      </c>
      <c r="U1051" s="465">
        <v>4433.3999999999996</v>
      </c>
      <c r="V1051" s="465">
        <v>18720</v>
      </c>
      <c r="W1051" s="466">
        <v>0</v>
      </c>
      <c r="X1051" s="467">
        <v>1</v>
      </c>
      <c r="Y1051" s="466">
        <v>34730.1</v>
      </c>
      <c r="Z1051" s="468" t="s">
        <v>516</v>
      </c>
      <c r="AA1051" s="466">
        <v>132627.29999999999</v>
      </c>
      <c r="AB1051" s="466">
        <v>132627.29999999999</v>
      </c>
      <c r="AC1051" s="467">
        <v>0</v>
      </c>
      <c r="AD1051" s="466">
        <v>0</v>
      </c>
      <c r="AE1051" s="468" t="s">
        <v>516</v>
      </c>
      <c r="AF1051" s="466">
        <v>1200</v>
      </c>
      <c r="AG1051" s="466">
        <v>1200</v>
      </c>
      <c r="AH1051" s="466">
        <v>21852.240000000002</v>
      </c>
      <c r="AI1051" s="466">
        <v>0</v>
      </c>
      <c r="AJ1051" s="469" t="s">
        <v>5938</v>
      </c>
      <c r="AK1051" s="470" t="s">
        <v>9015</v>
      </c>
      <c r="AL1051" s="471" t="s">
        <v>9016</v>
      </c>
      <c r="AM1051" s="470" t="s">
        <v>15141</v>
      </c>
      <c r="AN1051" s="470" t="s">
        <v>9012</v>
      </c>
      <c r="AO1051" s="470" t="s">
        <v>14067</v>
      </c>
      <c r="AP1051" s="470" t="s">
        <v>9017</v>
      </c>
      <c r="AQ1051" s="470" t="s">
        <v>9010</v>
      </c>
      <c r="AR1051" s="472" t="s">
        <v>515</v>
      </c>
      <c r="AS1051" s="473" t="s">
        <v>1385</v>
      </c>
      <c r="AT1051" s="472" t="s">
        <v>517</v>
      </c>
      <c r="AU1051" s="472" t="s">
        <v>420</v>
      </c>
      <c r="AV1051" s="472">
        <v>2020</v>
      </c>
      <c r="AW1051" s="474" t="s">
        <v>15078</v>
      </c>
      <c r="AX1051" s="475" t="s">
        <v>15079</v>
      </c>
      <c r="AY1051" s="515">
        <v>1</v>
      </c>
      <c r="AZ1051" s="474" t="s">
        <v>15079</v>
      </c>
      <c r="BA1051" s="472" t="s">
        <v>517</v>
      </c>
      <c r="BB1051" s="472" t="s">
        <v>1385</v>
      </c>
      <c r="BC1051" s="472" t="s">
        <v>1385</v>
      </c>
      <c r="BD1051" s="472" t="s">
        <v>1385</v>
      </c>
      <c r="BE1051" s="472" t="s">
        <v>1385</v>
      </c>
      <c r="BF1051" s="472">
        <v>34730.1</v>
      </c>
      <c r="BG1051" s="472">
        <v>0</v>
      </c>
      <c r="BH1051" s="472" t="s">
        <v>1385</v>
      </c>
      <c r="BI1051" s="510">
        <v>0</v>
      </c>
      <c r="BJ1051" s="510">
        <v>0</v>
      </c>
      <c r="BK1051" s="510">
        <v>0</v>
      </c>
      <c r="BL1051" s="510">
        <v>1.8</v>
      </c>
      <c r="BM1051" s="510">
        <v>0</v>
      </c>
      <c r="BN1051" s="510">
        <v>5000</v>
      </c>
      <c r="BO1051" s="510">
        <v>800</v>
      </c>
      <c r="BP1051" s="510">
        <v>1200</v>
      </c>
      <c r="BQ1051" s="510">
        <v>0</v>
      </c>
      <c r="BR1051" s="510">
        <v>0</v>
      </c>
      <c r="BS1051" s="510">
        <v>0</v>
      </c>
      <c r="BT1051" s="510">
        <v>0</v>
      </c>
      <c r="BU1051" s="510">
        <v>2500</v>
      </c>
      <c r="BV1051" s="510">
        <v>2500</v>
      </c>
      <c r="BW1051" s="510">
        <v>0</v>
      </c>
      <c r="BX1051" s="510">
        <v>30000</v>
      </c>
      <c r="BY1051" s="1011">
        <v>0</v>
      </c>
      <c r="BZ1051" s="510">
        <v>0</v>
      </c>
      <c r="CA1051" s="1011">
        <v>0</v>
      </c>
      <c r="CB1051" s="510">
        <v>22000</v>
      </c>
      <c r="CC1051" s="1011">
        <v>0</v>
      </c>
      <c r="CD1051" s="510">
        <v>0</v>
      </c>
      <c r="CE1051" s="1011">
        <v>0</v>
      </c>
      <c r="CF1051" s="510">
        <v>45097.2</v>
      </c>
      <c r="CG1051" s="1011">
        <v>0</v>
      </c>
      <c r="CH1051" s="510">
        <v>0</v>
      </c>
      <c r="CI1051" s="1011">
        <v>0</v>
      </c>
    </row>
    <row r="1052" spans="1:87" x14ac:dyDescent="0.2">
      <c r="A1052" s="449">
        <v>49</v>
      </c>
      <c r="B1052" s="453">
        <v>95419</v>
      </c>
      <c r="C1052" s="454" t="s">
        <v>9018</v>
      </c>
      <c r="D1052" s="454" t="s">
        <v>517</v>
      </c>
      <c r="E1052" s="454" t="s">
        <v>9019</v>
      </c>
      <c r="F1052" s="454" t="s">
        <v>524</v>
      </c>
      <c r="G1052" s="454" t="s">
        <v>14068</v>
      </c>
      <c r="H1052" s="455">
        <v>51553261000170</v>
      </c>
      <c r="I1052" s="462">
        <v>29034</v>
      </c>
      <c r="J1052" s="457">
        <v>37498525</v>
      </c>
      <c r="K1052" s="454" t="s">
        <v>9021</v>
      </c>
      <c r="L1052" s="458">
        <v>234</v>
      </c>
      <c r="M1052" s="454" t="s">
        <v>1579</v>
      </c>
      <c r="N1052" s="459">
        <v>3266000</v>
      </c>
      <c r="O1052" s="460">
        <v>23010895</v>
      </c>
      <c r="P1052" s="462">
        <v>203990</v>
      </c>
      <c r="Q1052" s="462">
        <v>54</v>
      </c>
      <c r="R1052" s="462">
        <v>43906</v>
      </c>
      <c r="S1052" s="463">
        <v>555</v>
      </c>
      <c r="T1052" s="464">
        <v>5.4</v>
      </c>
      <c r="U1052" s="465">
        <v>2997</v>
      </c>
      <c r="V1052" s="465">
        <v>17100</v>
      </c>
      <c r="W1052" s="466">
        <v>0</v>
      </c>
      <c r="X1052" s="467">
        <v>1</v>
      </c>
      <c r="Y1052" s="466">
        <v>30145.5</v>
      </c>
      <c r="Z1052" s="468" t="s">
        <v>516</v>
      </c>
      <c r="AA1052" s="466">
        <v>122242.3</v>
      </c>
      <c r="AB1052" s="466">
        <v>122242.3</v>
      </c>
      <c r="AC1052" s="467">
        <v>0</v>
      </c>
      <c r="AD1052" s="466">
        <v>0</v>
      </c>
      <c r="AE1052" s="468" t="s">
        <v>516</v>
      </c>
      <c r="AF1052" s="466">
        <v>0</v>
      </c>
      <c r="AG1052" s="466">
        <v>0</v>
      </c>
      <c r="AH1052" s="466">
        <v>18838.419999999998</v>
      </c>
      <c r="AI1052" s="466">
        <v>9016.58</v>
      </c>
      <c r="AJ1052" s="469" t="s">
        <v>1580</v>
      </c>
      <c r="AK1052" s="470" t="s">
        <v>1581</v>
      </c>
      <c r="AL1052" s="471" t="s">
        <v>9022</v>
      </c>
      <c r="AM1052" s="470" t="s">
        <v>15136</v>
      </c>
      <c r="AN1052" s="470" t="s">
        <v>9020</v>
      </c>
      <c r="AO1052" s="470" t="s">
        <v>14069</v>
      </c>
      <c r="AP1052" s="470" t="s">
        <v>9023</v>
      </c>
      <c r="AQ1052" s="470" t="s">
        <v>9018</v>
      </c>
      <c r="AR1052" s="472" t="s">
        <v>515</v>
      </c>
      <c r="AS1052" s="473" t="s">
        <v>1385</v>
      </c>
      <c r="AT1052" s="472" t="s">
        <v>517</v>
      </c>
      <c r="AU1052" s="472" t="s">
        <v>420</v>
      </c>
      <c r="AV1052" s="472">
        <v>2020</v>
      </c>
      <c r="AW1052" s="474" t="s">
        <v>15078</v>
      </c>
      <c r="AX1052" s="475" t="s">
        <v>15079</v>
      </c>
      <c r="AY1052" s="515">
        <v>1</v>
      </c>
      <c r="AZ1052" s="474" t="s">
        <v>15079</v>
      </c>
      <c r="BA1052" s="472" t="s">
        <v>517</v>
      </c>
      <c r="BB1052" s="472" t="s">
        <v>1385</v>
      </c>
      <c r="BC1052" s="472" t="s">
        <v>1385</v>
      </c>
      <c r="BD1052" s="472" t="s">
        <v>1385</v>
      </c>
      <c r="BE1052" s="472" t="s">
        <v>1385</v>
      </c>
      <c r="BF1052" s="472">
        <v>30145.5</v>
      </c>
      <c r="BG1052" s="472">
        <v>0</v>
      </c>
      <c r="BH1052" s="472" t="s">
        <v>1385</v>
      </c>
      <c r="BI1052" s="510">
        <v>0</v>
      </c>
      <c r="BJ1052" s="510">
        <v>0</v>
      </c>
      <c r="BK1052" s="510">
        <v>0</v>
      </c>
      <c r="BL1052" s="510">
        <v>3500</v>
      </c>
      <c r="BM1052" s="510">
        <v>0</v>
      </c>
      <c r="BN1052" s="510">
        <v>0</v>
      </c>
      <c r="BO1052" s="510">
        <v>0</v>
      </c>
      <c r="BP1052" s="510">
        <v>0</v>
      </c>
      <c r="BQ1052" s="510">
        <v>0</v>
      </c>
      <c r="BR1052" s="510">
        <v>0</v>
      </c>
      <c r="BS1052" s="510">
        <v>0</v>
      </c>
      <c r="BT1052" s="510">
        <v>0</v>
      </c>
      <c r="BU1052" s="510">
        <v>2500</v>
      </c>
      <c r="BV1052" s="510">
        <v>2500</v>
      </c>
      <c r="BW1052" s="510">
        <v>0</v>
      </c>
      <c r="BX1052" s="510">
        <v>30000</v>
      </c>
      <c r="BY1052" s="1011">
        <v>0</v>
      </c>
      <c r="BZ1052" s="510">
        <v>0</v>
      </c>
      <c r="CA1052" s="1011">
        <v>0</v>
      </c>
      <c r="CB1052" s="510">
        <v>22000</v>
      </c>
      <c r="CC1052" s="1011">
        <v>0</v>
      </c>
      <c r="CD1052" s="510">
        <v>0</v>
      </c>
      <c r="CE1052" s="1011">
        <v>0</v>
      </c>
      <c r="CF1052" s="510">
        <v>40096.800000000003</v>
      </c>
      <c r="CG1052" s="1011">
        <v>0</v>
      </c>
      <c r="CH1052" s="510">
        <v>0</v>
      </c>
      <c r="CI1052" s="1011">
        <v>0</v>
      </c>
    </row>
    <row r="1053" spans="1:87" x14ac:dyDescent="0.2">
      <c r="A1053" s="449">
        <v>26</v>
      </c>
      <c r="B1053" s="453">
        <v>95427</v>
      </c>
      <c r="C1053" s="454" t="s">
        <v>9024</v>
      </c>
      <c r="D1053" s="454" t="s">
        <v>517</v>
      </c>
      <c r="E1053" s="454" t="s">
        <v>9025</v>
      </c>
      <c r="F1053" s="454" t="s">
        <v>524</v>
      </c>
      <c r="G1053" s="454" t="s">
        <v>14070</v>
      </c>
      <c r="H1053" s="455">
        <v>52575479000198</v>
      </c>
      <c r="I1053" s="462">
        <v>30446</v>
      </c>
      <c r="J1053" s="457">
        <v>37497855</v>
      </c>
      <c r="K1053" s="454" t="s">
        <v>9026</v>
      </c>
      <c r="L1053" s="458">
        <v>130</v>
      </c>
      <c r="M1053" s="454" t="s">
        <v>9027</v>
      </c>
      <c r="N1053" s="459">
        <v>3245010</v>
      </c>
      <c r="O1053" s="460">
        <v>62118250</v>
      </c>
      <c r="P1053" s="462">
        <v>200533</v>
      </c>
      <c r="Q1053" s="462">
        <v>32</v>
      </c>
      <c r="R1053" s="462">
        <v>43906</v>
      </c>
      <c r="S1053" s="463">
        <v>737</v>
      </c>
      <c r="T1053" s="464">
        <v>5.4</v>
      </c>
      <c r="U1053" s="465">
        <v>3979.8</v>
      </c>
      <c r="V1053" s="465">
        <v>18720</v>
      </c>
      <c r="W1053" s="466">
        <v>0</v>
      </c>
      <c r="X1053" s="467">
        <v>1</v>
      </c>
      <c r="Y1053" s="466">
        <v>34049.699999999997</v>
      </c>
      <c r="Z1053" s="468" t="s">
        <v>516</v>
      </c>
      <c r="AA1053" s="466">
        <v>131319.70000000001</v>
      </c>
      <c r="AB1053" s="466">
        <v>131319.70000000001</v>
      </c>
      <c r="AC1053" s="467">
        <v>0</v>
      </c>
      <c r="AD1053" s="466">
        <v>0</v>
      </c>
      <c r="AE1053" s="468" t="s">
        <v>516</v>
      </c>
      <c r="AF1053" s="466">
        <v>2000</v>
      </c>
      <c r="AG1053" s="466">
        <v>2000</v>
      </c>
      <c r="AH1053" s="466">
        <v>46031.89</v>
      </c>
      <c r="AI1053" s="466">
        <v>4731.16</v>
      </c>
      <c r="AJ1053" s="469" t="s">
        <v>6995</v>
      </c>
      <c r="AK1053" s="470" t="s">
        <v>7009</v>
      </c>
      <c r="AL1053" s="471" t="s">
        <v>2212</v>
      </c>
      <c r="AM1053" s="470" t="s">
        <v>15111</v>
      </c>
      <c r="AN1053" s="470" t="s">
        <v>9028</v>
      </c>
      <c r="AO1053" s="470" t="s">
        <v>14071</v>
      </c>
      <c r="AP1053" s="470" t="s">
        <v>9029</v>
      </c>
      <c r="AQ1053" s="470" t="s">
        <v>9024</v>
      </c>
      <c r="AR1053" s="472" t="s">
        <v>515</v>
      </c>
      <c r="AS1053" s="473" t="s">
        <v>1385</v>
      </c>
      <c r="AT1053" s="472" t="s">
        <v>517</v>
      </c>
      <c r="AU1053" s="472" t="s">
        <v>420</v>
      </c>
      <c r="AV1053" s="472">
        <v>2020</v>
      </c>
      <c r="AW1053" s="474" t="s">
        <v>15078</v>
      </c>
      <c r="AX1053" s="475" t="s">
        <v>15079</v>
      </c>
      <c r="AY1053" s="515">
        <v>1</v>
      </c>
      <c r="AZ1053" s="474" t="s">
        <v>15079</v>
      </c>
      <c r="BA1053" s="472" t="s">
        <v>517</v>
      </c>
      <c r="BB1053" s="472" t="s">
        <v>1385</v>
      </c>
      <c r="BC1053" s="472" t="s">
        <v>1385</v>
      </c>
      <c r="BD1053" s="472" t="s">
        <v>1385</v>
      </c>
      <c r="BE1053" s="472" t="s">
        <v>1385</v>
      </c>
      <c r="BF1053" s="472">
        <v>34049.699999999997</v>
      </c>
      <c r="BG1053" s="472">
        <v>0</v>
      </c>
      <c r="BH1053" s="472" t="s">
        <v>1385</v>
      </c>
      <c r="BI1053" s="510">
        <v>0</v>
      </c>
      <c r="BJ1053" s="510">
        <v>0</v>
      </c>
      <c r="BK1053" s="510">
        <v>0</v>
      </c>
      <c r="BL1053" s="510">
        <v>3500</v>
      </c>
      <c r="BM1053" s="510">
        <v>0</v>
      </c>
      <c r="BN1053" s="510">
        <v>5000</v>
      </c>
      <c r="BO1053" s="510">
        <v>0</v>
      </c>
      <c r="BP1053" s="510">
        <v>2000</v>
      </c>
      <c r="BQ1053" s="510">
        <v>0</v>
      </c>
      <c r="BR1053" s="510">
        <v>0</v>
      </c>
      <c r="BS1053" s="510">
        <v>0</v>
      </c>
      <c r="BT1053" s="510">
        <v>0</v>
      </c>
      <c r="BU1053" s="510">
        <v>2500</v>
      </c>
      <c r="BV1053" s="510">
        <v>2500</v>
      </c>
      <c r="BW1053" s="510">
        <v>0</v>
      </c>
      <c r="BX1053" s="510">
        <v>30000</v>
      </c>
      <c r="BY1053" s="1011">
        <v>0</v>
      </c>
      <c r="BZ1053" s="510">
        <v>0</v>
      </c>
      <c r="CA1053" s="1011">
        <v>0</v>
      </c>
      <c r="CB1053" s="510">
        <v>22000</v>
      </c>
      <c r="CC1053" s="1011">
        <v>0</v>
      </c>
      <c r="CD1053" s="510">
        <v>0</v>
      </c>
      <c r="CE1053" s="1011">
        <v>0</v>
      </c>
      <c r="CF1053" s="510">
        <v>45270</v>
      </c>
      <c r="CG1053" s="1011">
        <v>0</v>
      </c>
      <c r="CH1053" s="510">
        <v>0</v>
      </c>
      <c r="CI1053" s="1011">
        <v>0</v>
      </c>
    </row>
    <row r="1054" spans="1:87" x14ac:dyDescent="0.2">
      <c r="A1054" s="449">
        <v>25</v>
      </c>
      <c r="B1054" s="453">
        <v>95435</v>
      </c>
      <c r="C1054" s="454" t="s">
        <v>9030</v>
      </c>
      <c r="D1054" s="454" t="s">
        <v>517</v>
      </c>
      <c r="E1054" s="454" t="s">
        <v>9031</v>
      </c>
      <c r="F1054" s="454" t="s">
        <v>524</v>
      </c>
      <c r="G1054" s="454" t="s">
        <v>14072</v>
      </c>
      <c r="H1054" s="455">
        <v>45165776000108</v>
      </c>
      <c r="I1054" s="462">
        <v>29572</v>
      </c>
      <c r="J1054" s="457">
        <v>37500198</v>
      </c>
      <c r="K1054" s="454" t="s">
        <v>9032</v>
      </c>
      <c r="L1054" s="458">
        <v>78</v>
      </c>
      <c r="M1054" s="454" t="s">
        <v>1879</v>
      </c>
      <c r="N1054" s="459">
        <v>3256000</v>
      </c>
      <c r="O1054" s="460">
        <v>21431488</v>
      </c>
      <c r="P1054" s="462">
        <v>200509</v>
      </c>
      <c r="Q1054" s="462">
        <v>31</v>
      </c>
      <c r="R1054" s="462">
        <v>43906</v>
      </c>
      <c r="S1054" s="463">
        <v>1076</v>
      </c>
      <c r="T1054" s="464">
        <v>5.4</v>
      </c>
      <c r="U1054" s="465">
        <v>5810.4</v>
      </c>
      <c r="V1054" s="465">
        <v>20340</v>
      </c>
      <c r="W1054" s="466">
        <v>0</v>
      </c>
      <c r="X1054" s="467">
        <v>1</v>
      </c>
      <c r="Y1054" s="466">
        <v>39225.599999999999</v>
      </c>
      <c r="Z1054" s="468" t="s">
        <v>516</v>
      </c>
      <c r="AA1054" s="466">
        <v>143953.20000000001</v>
      </c>
      <c r="AB1054" s="466">
        <v>143953.20000000001</v>
      </c>
      <c r="AC1054" s="467">
        <v>0</v>
      </c>
      <c r="AD1054" s="466">
        <v>0</v>
      </c>
      <c r="AE1054" s="468" t="s">
        <v>516</v>
      </c>
      <c r="AF1054" s="466">
        <v>1800</v>
      </c>
      <c r="AG1054" s="466">
        <v>1800</v>
      </c>
      <c r="AH1054" s="466">
        <v>31830.06</v>
      </c>
      <c r="AI1054" s="466">
        <v>9586.6299999999992</v>
      </c>
      <c r="AJ1054" s="469" t="s">
        <v>6995</v>
      </c>
      <c r="AK1054" s="470" t="s">
        <v>7009</v>
      </c>
      <c r="AL1054" s="471" t="s">
        <v>9033</v>
      </c>
      <c r="AM1054" s="470" t="s">
        <v>15110</v>
      </c>
      <c r="AN1054" s="470" t="s">
        <v>14073</v>
      </c>
      <c r="AO1054" s="470" t="s">
        <v>14074</v>
      </c>
      <c r="AP1054" s="470" t="s">
        <v>9034</v>
      </c>
      <c r="AQ1054" s="470" t="s">
        <v>9030</v>
      </c>
      <c r="AR1054" s="472" t="s">
        <v>515</v>
      </c>
      <c r="AS1054" s="473" t="s">
        <v>1385</v>
      </c>
      <c r="AT1054" s="472" t="s">
        <v>517</v>
      </c>
      <c r="AU1054" s="472" t="s">
        <v>420</v>
      </c>
      <c r="AV1054" s="472">
        <v>2020</v>
      </c>
      <c r="AW1054" s="474" t="s">
        <v>15078</v>
      </c>
      <c r="AX1054" s="475" t="s">
        <v>15079</v>
      </c>
      <c r="AY1054" s="515">
        <v>1</v>
      </c>
      <c r="AZ1054" s="474" t="s">
        <v>15079</v>
      </c>
      <c r="BA1054" s="472" t="s">
        <v>517</v>
      </c>
      <c r="BB1054" s="472" t="s">
        <v>1385</v>
      </c>
      <c r="BC1054" s="472" t="s">
        <v>1385</v>
      </c>
      <c r="BD1054" s="472" t="s">
        <v>1385</v>
      </c>
      <c r="BE1054" s="472" t="s">
        <v>1385</v>
      </c>
      <c r="BF1054" s="472">
        <v>39225.599999999999</v>
      </c>
      <c r="BG1054" s="472">
        <v>0</v>
      </c>
      <c r="BH1054" s="472" t="s">
        <v>1385</v>
      </c>
      <c r="BI1054" s="510">
        <v>0</v>
      </c>
      <c r="BJ1054" s="510">
        <v>0</v>
      </c>
      <c r="BK1054" s="510">
        <v>0</v>
      </c>
      <c r="BL1054" s="510">
        <v>3500</v>
      </c>
      <c r="BM1054" s="510">
        <v>0</v>
      </c>
      <c r="BN1054" s="510">
        <v>4180</v>
      </c>
      <c r="BO1054" s="510">
        <v>200</v>
      </c>
      <c r="BP1054" s="510">
        <v>1800</v>
      </c>
      <c r="BQ1054" s="510">
        <v>0</v>
      </c>
      <c r="BR1054" s="510">
        <v>0</v>
      </c>
      <c r="BS1054" s="510">
        <v>0</v>
      </c>
      <c r="BT1054" s="510">
        <v>0</v>
      </c>
      <c r="BU1054" s="510">
        <v>2500</v>
      </c>
      <c r="BV1054" s="510">
        <v>2500</v>
      </c>
      <c r="BW1054" s="510">
        <v>0</v>
      </c>
      <c r="BX1054" s="510">
        <v>30000</v>
      </c>
      <c r="BY1054" s="1011">
        <v>0</v>
      </c>
      <c r="BZ1054" s="510">
        <v>0</v>
      </c>
      <c r="CA1054" s="1011">
        <v>0</v>
      </c>
      <c r="CB1054" s="510">
        <v>22000</v>
      </c>
      <c r="CC1054" s="1011">
        <v>0</v>
      </c>
      <c r="CD1054" s="510">
        <v>0</v>
      </c>
      <c r="CE1054" s="1011">
        <v>0</v>
      </c>
      <c r="CF1054" s="510">
        <v>52527.6</v>
      </c>
      <c r="CG1054" s="1011">
        <v>0</v>
      </c>
      <c r="CH1054" s="510">
        <v>0</v>
      </c>
      <c r="CI1054" s="1011">
        <v>0</v>
      </c>
    </row>
    <row r="1055" spans="1:87" x14ac:dyDescent="0.2">
      <c r="A1055" s="449">
        <v>56</v>
      </c>
      <c r="B1055" s="453">
        <v>95443</v>
      </c>
      <c r="C1055" s="454" t="s">
        <v>9035</v>
      </c>
      <c r="D1055" s="454" t="s">
        <v>517</v>
      </c>
      <c r="E1055" s="454" t="s">
        <v>9036</v>
      </c>
      <c r="F1055" s="454" t="s">
        <v>513</v>
      </c>
      <c r="G1055" s="454" t="s">
        <v>14075</v>
      </c>
      <c r="H1055" s="455">
        <v>51573087000127</v>
      </c>
      <c r="I1055" s="462">
        <v>29060</v>
      </c>
      <c r="J1055" s="457">
        <v>37532960</v>
      </c>
      <c r="K1055" s="454" t="s">
        <v>9037</v>
      </c>
      <c r="L1055" s="458">
        <v>349</v>
      </c>
      <c r="M1055" s="454" t="s">
        <v>9038</v>
      </c>
      <c r="N1055" s="459">
        <v>3389050</v>
      </c>
      <c r="O1055" s="460">
        <v>21543256</v>
      </c>
      <c r="P1055" s="462">
        <v>150145</v>
      </c>
      <c r="Q1055" s="462">
        <v>56</v>
      </c>
      <c r="R1055" s="462">
        <v>43937</v>
      </c>
      <c r="S1055" s="463">
        <v>562</v>
      </c>
      <c r="T1055" s="464">
        <v>5.4</v>
      </c>
      <c r="U1055" s="465">
        <v>3034.8</v>
      </c>
      <c r="V1055" s="465">
        <v>17100</v>
      </c>
      <c r="W1055" s="466">
        <v>0</v>
      </c>
      <c r="X1055" s="467">
        <v>1</v>
      </c>
      <c r="Y1055" s="466">
        <v>35332.199999999997</v>
      </c>
      <c r="Z1055" s="468" t="s">
        <v>516</v>
      </c>
      <c r="AA1055" s="466">
        <v>127602.2</v>
      </c>
      <c r="AB1055" s="466">
        <v>127602.2</v>
      </c>
      <c r="AC1055" s="467">
        <v>0</v>
      </c>
      <c r="AD1055" s="466">
        <v>0</v>
      </c>
      <c r="AE1055" s="468" t="s">
        <v>516</v>
      </c>
      <c r="AF1055" s="466">
        <v>1600</v>
      </c>
      <c r="AG1055" s="466">
        <v>1600</v>
      </c>
      <c r="AH1055" s="466">
        <v>25947.27</v>
      </c>
      <c r="AI1055" s="466">
        <v>16767.2</v>
      </c>
      <c r="AJ1055" s="469" t="s">
        <v>2614</v>
      </c>
      <c r="AK1055" s="470" t="s">
        <v>2615</v>
      </c>
      <c r="AL1055" s="471" t="s">
        <v>9039</v>
      </c>
      <c r="AM1055" s="470" t="s">
        <v>9040</v>
      </c>
      <c r="AN1055" s="470" t="s">
        <v>9041</v>
      </c>
      <c r="AO1055" s="470" t="s">
        <v>9042</v>
      </c>
      <c r="AP1055" s="470" t="s">
        <v>9043</v>
      </c>
      <c r="AQ1055" s="470" t="s">
        <v>9035</v>
      </c>
      <c r="AR1055" s="472" t="s">
        <v>515</v>
      </c>
      <c r="AS1055" s="473" t="s">
        <v>1385</v>
      </c>
      <c r="AT1055" s="472" t="s">
        <v>517</v>
      </c>
      <c r="AU1055" s="472" t="s">
        <v>420</v>
      </c>
      <c r="AV1055" s="472">
        <v>2020</v>
      </c>
      <c r="AW1055" s="474" t="s">
        <v>15078</v>
      </c>
      <c r="AX1055" s="475" t="s">
        <v>15079</v>
      </c>
      <c r="AY1055" s="515">
        <v>1</v>
      </c>
      <c r="AZ1055" s="474" t="s">
        <v>15079</v>
      </c>
      <c r="BA1055" s="472" t="s">
        <v>517</v>
      </c>
      <c r="BB1055" s="472" t="s">
        <v>516</v>
      </c>
      <c r="BC1055" s="472">
        <v>1</v>
      </c>
      <c r="BD1055" s="472">
        <v>3420</v>
      </c>
      <c r="BE1055" s="472">
        <v>0</v>
      </c>
      <c r="BF1055" s="472">
        <v>35332.199999999997</v>
      </c>
      <c r="BG1055" s="472">
        <v>0</v>
      </c>
      <c r="BH1055" s="472" t="s">
        <v>1385</v>
      </c>
      <c r="BI1055" s="510">
        <v>0</v>
      </c>
      <c r="BJ1055" s="510">
        <v>0</v>
      </c>
      <c r="BK1055" s="510">
        <v>0</v>
      </c>
      <c r="BL1055" s="510">
        <v>0</v>
      </c>
      <c r="BM1055" s="510">
        <v>0</v>
      </c>
      <c r="BN1055" s="510">
        <v>3500</v>
      </c>
      <c r="BO1055" s="510">
        <v>400</v>
      </c>
      <c r="BP1055" s="510">
        <v>1600</v>
      </c>
      <c r="BQ1055" s="510">
        <v>0</v>
      </c>
      <c r="BR1055" s="510">
        <v>0</v>
      </c>
      <c r="BS1055" s="510">
        <v>0</v>
      </c>
      <c r="BT1055" s="510">
        <v>0</v>
      </c>
      <c r="BU1055" s="510">
        <v>2500</v>
      </c>
      <c r="BV1055" s="510">
        <v>2500</v>
      </c>
      <c r="BW1055" s="510">
        <v>0</v>
      </c>
      <c r="BX1055" s="510">
        <v>30000</v>
      </c>
      <c r="BY1055" s="1011">
        <v>0</v>
      </c>
      <c r="BZ1055" s="510">
        <v>0</v>
      </c>
      <c r="CA1055" s="1011">
        <v>0</v>
      </c>
      <c r="CB1055" s="510">
        <v>22000</v>
      </c>
      <c r="CC1055" s="1011">
        <v>0</v>
      </c>
      <c r="CD1055" s="510">
        <v>0</v>
      </c>
      <c r="CE1055" s="1011">
        <v>0</v>
      </c>
      <c r="CF1055" s="510">
        <v>39870</v>
      </c>
      <c r="CG1055" s="1011">
        <v>0</v>
      </c>
      <c r="CH1055" s="510">
        <v>0</v>
      </c>
      <c r="CI1055" s="1011">
        <v>0</v>
      </c>
    </row>
    <row r="1056" spans="1:87" x14ac:dyDescent="0.2">
      <c r="A1056" s="449">
        <v>50</v>
      </c>
      <c r="B1056" s="453">
        <v>95460</v>
      </c>
      <c r="C1056" s="454" t="s">
        <v>9045</v>
      </c>
      <c r="D1056" s="454" t="s">
        <v>517</v>
      </c>
      <c r="E1056" s="454" t="s">
        <v>9046</v>
      </c>
      <c r="F1056" s="454" t="s">
        <v>513</v>
      </c>
      <c r="G1056" s="454" t="s">
        <v>14076</v>
      </c>
      <c r="H1056" s="455">
        <v>51739928000123</v>
      </c>
      <c r="I1056" s="462">
        <v>29153</v>
      </c>
      <c r="J1056" s="457">
        <v>37533061</v>
      </c>
      <c r="K1056" s="454" t="s">
        <v>9047</v>
      </c>
      <c r="L1056" s="458">
        <v>302</v>
      </c>
      <c r="M1056" s="454" t="s">
        <v>9048</v>
      </c>
      <c r="N1056" s="459">
        <v>3272000</v>
      </c>
      <c r="O1056" s="460">
        <v>27022558</v>
      </c>
      <c r="P1056" s="462">
        <v>149961</v>
      </c>
      <c r="Q1056" s="462">
        <v>50</v>
      </c>
      <c r="R1056" s="462">
        <v>43937</v>
      </c>
      <c r="S1056" s="463">
        <v>554</v>
      </c>
      <c r="T1056" s="464">
        <v>5.4</v>
      </c>
      <c r="U1056" s="465">
        <v>2991.6</v>
      </c>
      <c r="V1056" s="465">
        <v>17100</v>
      </c>
      <c r="W1056" s="466">
        <v>0</v>
      </c>
      <c r="X1056" s="467">
        <v>1</v>
      </c>
      <c r="Y1056" s="466">
        <v>30137.4</v>
      </c>
      <c r="Z1056" s="468" t="s">
        <v>516</v>
      </c>
      <c r="AA1056" s="466">
        <v>122958.6</v>
      </c>
      <c r="AB1056" s="466">
        <v>122958.6</v>
      </c>
      <c r="AC1056" s="467">
        <v>0</v>
      </c>
      <c r="AD1056" s="466">
        <v>0</v>
      </c>
      <c r="AE1056" s="468" t="s">
        <v>516</v>
      </c>
      <c r="AF1056" s="466">
        <v>1200</v>
      </c>
      <c r="AG1056" s="466">
        <v>1200</v>
      </c>
      <c r="AH1056" s="466">
        <v>25745.74</v>
      </c>
      <c r="AI1056" s="466">
        <v>9261.66</v>
      </c>
      <c r="AJ1056" s="469" t="s">
        <v>3969</v>
      </c>
      <c r="AK1056" s="470" t="s">
        <v>6698</v>
      </c>
      <c r="AL1056" s="471" t="s">
        <v>9049</v>
      </c>
      <c r="AM1056" s="470" t="s">
        <v>9050</v>
      </c>
      <c r="AN1056" s="470" t="s">
        <v>1385</v>
      </c>
      <c r="AO1056" s="470" t="s">
        <v>9051</v>
      </c>
      <c r="AP1056" s="470" t="s">
        <v>9052</v>
      </c>
      <c r="AQ1056" s="470" t="s">
        <v>9045</v>
      </c>
      <c r="AR1056" s="472" t="s">
        <v>515</v>
      </c>
      <c r="AS1056" s="473" t="s">
        <v>1385</v>
      </c>
      <c r="AT1056" s="472" t="s">
        <v>517</v>
      </c>
      <c r="AU1056" s="472" t="s">
        <v>420</v>
      </c>
      <c r="AV1056" s="472">
        <v>2020</v>
      </c>
      <c r="AW1056" s="474" t="s">
        <v>15078</v>
      </c>
      <c r="AX1056" s="475" t="s">
        <v>15079</v>
      </c>
      <c r="AY1056" s="515">
        <v>1</v>
      </c>
      <c r="AZ1056" s="474" t="s">
        <v>15079</v>
      </c>
      <c r="BA1056" s="472" t="s">
        <v>517</v>
      </c>
      <c r="BB1056" s="472" t="s">
        <v>1385</v>
      </c>
      <c r="BC1056" s="472" t="s">
        <v>1385</v>
      </c>
      <c r="BD1056" s="472" t="s">
        <v>1385</v>
      </c>
      <c r="BE1056" s="472" t="s">
        <v>1385</v>
      </c>
      <c r="BF1056" s="472">
        <v>30137.4</v>
      </c>
      <c r="BG1056" s="472">
        <v>0</v>
      </c>
      <c r="BH1056" s="472" t="s">
        <v>1385</v>
      </c>
      <c r="BI1056" s="510">
        <v>0</v>
      </c>
      <c r="BJ1056" s="510">
        <v>0</v>
      </c>
      <c r="BK1056" s="510">
        <v>0</v>
      </c>
      <c r="BL1056" s="510">
        <v>600.48</v>
      </c>
      <c r="BM1056" s="510">
        <v>0</v>
      </c>
      <c r="BN1056" s="510">
        <v>3500</v>
      </c>
      <c r="BO1056" s="510">
        <v>800</v>
      </c>
      <c r="BP1056" s="510">
        <v>1200</v>
      </c>
      <c r="BQ1056" s="510">
        <v>0</v>
      </c>
      <c r="BR1056" s="510">
        <v>0</v>
      </c>
      <c r="BS1056" s="510">
        <v>0</v>
      </c>
      <c r="BT1056" s="510">
        <v>0</v>
      </c>
      <c r="BU1056" s="510">
        <v>2500</v>
      </c>
      <c r="BV1056" s="510">
        <v>2500</v>
      </c>
      <c r="BW1056" s="510">
        <v>0</v>
      </c>
      <c r="BX1056" s="510">
        <v>30000</v>
      </c>
      <c r="BY1056" s="1011">
        <v>0</v>
      </c>
      <c r="BZ1056" s="510">
        <v>0</v>
      </c>
      <c r="CA1056" s="1011">
        <v>0</v>
      </c>
      <c r="CB1056" s="510">
        <v>22000</v>
      </c>
      <c r="CC1056" s="1011">
        <v>0</v>
      </c>
      <c r="CD1056" s="510">
        <v>0</v>
      </c>
      <c r="CE1056" s="1011">
        <v>0</v>
      </c>
      <c r="CF1056" s="510">
        <v>40021.199999999997</v>
      </c>
      <c r="CG1056" s="1011">
        <v>0</v>
      </c>
      <c r="CH1056" s="510">
        <v>0</v>
      </c>
      <c r="CI1056" s="1011">
        <v>0</v>
      </c>
    </row>
    <row r="1057" spans="1:87" x14ac:dyDescent="0.2">
      <c r="A1057" s="449">
        <v>53</v>
      </c>
      <c r="B1057" s="453">
        <v>95478</v>
      </c>
      <c r="C1057" s="454" t="s">
        <v>9053</v>
      </c>
      <c r="D1057" s="454" t="s">
        <v>517</v>
      </c>
      <c r="E1057" s="454" t="s">
        <v>9054</v>
      </c>
      <c r="F1057" s="454" t="s">
        <v>513</v>
      </c>
      <c r="G1057" s="454" t="s">
        <v>14077</v>
      </c>
      <c r="H1057" s="455">
        <v>51943603000168</v>
      </c>
      <c r="I1057" s="462">
        <v>29199</v>
      </c>
      <c r="J1057" s="457">
        <v>85723894</v>
      </c>
      <c r="K1057" s="454" t="s">
        <v>9055</v>
      </c>
      <c r="L1057" s="458">
        <v>224</v>
      </c>
      <c r="M1057" s="454" t="s">
        <v>9048</v>
      </c>
      <c r="N1057" s="459">
        <v>3918000</v>
      </c>
      <c r="O1057" s="460">
        <v>27020091</v>
      </c>
      <c r="P1057" s="462">
        <v>150099</v>
      </c>
      <c r="Q1057" s="462">
        <v>53</v>
      </c>
      <c r="R1057" s="462">
        <v>43937</v>
      </c>
      <c r="S1057" s="463">
        <v>747</v>
      </c>
      <c r="T1057" s="464">
        <v>5.4</v>
      </c>
      <c r="U1057" s="465">
        <v>4033.8</v>
      </c>
      <c r="V1057" s="465">
        <v>18720</v>
      </c>
      <c r="W1057" s="466">
        <v>0</v>
      </c>
      <c r="X1057" s="467">
        <v>1</v>
      </c>
      <c r="Y1057" s="466">
        <v>34130.699999999997</v>
      </c>
      <c r="Z1057" s="468" t="s">
        <v>516</v>
      </c>
      <c r="AA1057" s="466">
        <v>131832.70000000001</v>
      </c>
      <c r="AB1057" s="466">
        <v>131832.70000000001</v>
      </c>
      <c r="AC1057" s="467">
        <v>0</v>
      </c>
      <c r="AD1057" s="466">
        <v>0</v>
      </c>
      <c r="AE1057" s="468" t="s">
        <v>516</v>
      </c>
      <c r="AF1057" s="466">
        <v>0</v>
      </c>
      <c r="AG1057" s="466">
        <v>0</v>
      </c>
      <c r="AH1057" s="466">
        <v>56646.76</v>
      </c>
      <c r="AI1057" s="466">
        <v>18766.53</v>
      </c>
      <c r="AJ1057" s="469" t="s">
        <v>1972</v>
      </c>
      <c r="AK1057" s="470" t="s">
        <v>1973</v>
      </c>
      <c r="AL1057" s="471" t="s">
        <v>9056</v>
      </c>
      <c r="AM1057" s="470" t="s">
        <v>9057</v>
      </c>
      <c r="AN1057" s="470" t="s">
        <v>1385</v>
      </c>
      <c r="AO1057" s="470" t="s">
        <v>9058</v>
      </c>
      <c r="AP1057" s="470" t="s">
        <v>9059</v>
      </c>
      <c r="AQ1057" s="470" t="s">
        <v>9053</v>
      </c>
      <c r="AR1057" s="472" t="s">
        <v>515</v>
      </c>
      <c r="AS1057" s="473" t="s">
        <v>1385</v>
      </c>
      <c r="AT1057" s="472" t="s">
        <v>517</v>
      </c>
      <c r="AU1057" s="472" t="s">
        <v>420</v>
      </c>
      <c r="AV1057" s="472">
        <v>2020</v>
      </c>
      <c r="AW1057" s="474" t="s">
        <v>15078</v>
      </c>
      <c r="AX1057" s="475" t="s">
        <v>15079</v>
      </c>
      <c r="AY1057" s="515">
        <v>1</v>
      </c>
      <c r="AZ1057" s="474" t="s">
        <v>15079</v>
      </c>
      <c r="BA1057" s="472" t="s">
        <v>517</v>
      </c>
      <c r="BB1057" s="472" t="s">
        <v>1385</v>
      </c>
      <c r="BC1057" s="472" t="s">
        <v>1385</v>
      </c>
      <c r="BD1057" s="472" t="s">
        <v>1385</v>
      </c>
      <c r="BE1057" s="472" t="s">
        <v>1385</v>
      </c>
      <c r="BF1057" s="472">
        <v>34130.699999999997</v>
      </c>
      <c r="BG1057" s="472">
        <v>0</v>
      </c>
      <c r="BH1057" s="472" t="s">
        <v>1385</v>
      </c>
      <c r="BI1057" s="510">
        <v>0</v>
      </c>
      <c r="BJ1057" s="510">
        <v>0</v>
      </c>
      <c r="BK1057" s="510">
        <v>0</v>
      </c>
      <c r="BL1057" s="510">
        <v>1962.22</v>
      </c>
      <c r="BM1057" s="510">
        <v>0</v>
      </c>
      <c r="BN1057" s="510">
        <v>5000</v>
      </c>
      <c r="BO1057" s="510">
        <v>0</v>
      </c>
      <c r="BP1057" s="510">
        <v>0</v>
      </c>
      <c r="BQ1057" s="510">
        <v>0</v>
      </c>
      <c r="BR1057" s="510">
        <v>0</v>
      </c>
      <c r="BS1057" s="510">
        <v>0</v>
      </c>
      <c r="BT1057" s="510">
        <v>0</v>
      </c>
      <c r="BU1057" s="510">
        <v>0</v>
      </c>
      <c r="BV1057" s="510">
        <v>0</v>
      </c>
      <c r="BW1057" s="510">
        <v>0</v>
      </c>
      <c r="BX1057" s="510">
        <v>30000</v>
      </c>
      <c r="BY1057" s="1011">
        <v>0</v>
      </c>
      <c r="BZ1057" s="510">
        <v>0</v>
      </c>
      <c r="CA1057" s="1011">
        <v>0</v>
      </c>
      <c r="CB1057" s="510">
        <v>22000</v>
      </c>
      <c r="CC1057" s="1011">
        <v>0</v>
      </c>
      <c r="CD1057" s="510">
        <v>0</v>
      </c>
      <c r="CE1057" s="1011">
        <v>0</v>
      </c>
      <c r="CF1057" s="510">
        <v>45702</v>
      </c>
      <c r="CG1057" s="1011">
        <v>0</v>
      </c>
      <c r="CH1057" s="510">
        <v>0</v>
      </c>
      <c r="CI1057" s="1011">
        <v>0</v>
      </c>
    </row>
    <row r="1058" spans="1:87" x14ac:dyDescent="0.2">
      <c r="A1058" s="449">
        <v>39</v>
      </c>
      <c r="B1058" s="453">
        <v>95494</v>
      </c>
      <c r="C1058" s="454" t="s">
        <v>9060</v>
      </c>
      <c r="D1058" s="454" t="s">
        <v>517</v>
      </c>
      <c r="E1058" s="454" t="s">
        <v>9061</v>
      </c>
      <c r="F1058" s="454" t="s">
        <v>513</v>
      </c>
      <c r="G1058" s="454" t="s">
        <v>14078</v>
      </c>
      <c r="H1058" s="455">
        <v>50955525000159</v>
      </c>
      <c r="I1058" s="462">
        <v>30204</v>
      </c>
      <c r="J1058" s="457">
        <v>37531751</v>
      </c>
      <c r="K1058" s="454" t="s">
        <v>9062</v>
      </c>
      <c r="L1058" s="458">
        <v>659</v>
      </c>
      <c r="M1058" s="454" t="s">
        <v>7315</v>
      </c>
      <c r="N1058" s="459">
        <v>3983080</v>
      </c>
      <c r="O1058" s="460">
        <v>27020380</v>
      </c>
      <c r="P1058" s="462">
        <v>149365</v>
      </c>
      <c r="Q1058" s="462">
        <v>39</v>
      </c>
      <c r="R1058" s="462">
        <v>43937</v>
      </c>
      <c r="S1058" s="463">
        <v>975</v>
      </c>
      <c r="T1058" s="464">
        <v>5.4</v>
      </c>
      <c r="U1058" s="465">
        <v>5265</v>
      </c>
      <c r="V1058" s="465">
        <v>20340</v>
      </c>
      <c r="W1058" s="466">
        <v>0</v>
      </c>
      <c r="X1058" s="467">
        <v>1</v>
      </c>
      <c r="Y1058" s="466">
        <v>38407.5</v>
      </c>
      <c r="Z1058" s="468" t="s">
        <v>516</v>
      </c>
      <c r="AA1058" s="466">
        <v>136811.5</v>
      </c>
      <c r="AB1058" s="466">
        <v>136811.5</v>
      </c>
      <c r="AC1058" s="467">
        <v>0</v>
      </c>
      <c r="AD1058" s="466">
        <v>0</v>
      </c>
      <c r="AE1058" s="468" t="s">
        <v>516</v>
      </c>
      <c r="AF1058" s="466">
        <v>0</v>
      </c>
      <c r="AG1058" s="466">
        <v>0</v>
      </c>
      <c r="AH1058" s="466">
        <v>49467.37</v>
      </c>
      <c r="AI1058" s="466">
        <v>29626.59</v>
      </c>
      <c r="AJ1058" s="469" t="s">
        <v>6995</v>
      </c>
      <c r="AK1058" s="470" t="s">
        <v>6994</v>
      </c>
      <c r="AL1058" s="471" t="s">
        <v>9063</v>
      </c>
      <c r="AM1058" s="470" t="s">
        <v>9064</v>
      </c>
      <c r="AN1058" s="470" t="s">
        <v>1385</v>
      </c>
      <c r="AO1058" s="470" t="s">
        <v>9065</v>
      </c>
      <c r="AP1058" s="470" t="s">
        <v>9066</v>
      </c>
      <c r="AQ1058" s="470" t="s">
        <v>9060</v>
      </c>
      <c r="AR1058" s="472" t="s">
        <v>515</v>
      </c>
      <c r="AS1058" s="473" t="s">
        <v>1385</v>
      </c>
      <c r="AT1058" s="472" t="s">
        <v>517</v>
      </c>
      <c r="AU1058" s="472" t="s">
        <v>420</v>
      </c>
      <c r="AV1058" s="472">
        <v>2020</v>
      </c>
      <c r="AW1058" s="474" t="s">
        <v>15078</v>
      </c>
      <c r="AX1058" s="475" t="s">
        <v>15079</v>
      </c>
      <c r="AY1058" s="515">
        <v>1</v>
      </c>
      <c r="AZ1058" s="474" t="s">
        <v>15079</v>
      </c>
      <c r="BA1058" s="472" t="s">
        <v>517</v>
      </c>
      <c r="BB1058" s="472" t="s">
        <v>1385</v>
      </c>
      <c r="BC1058" s="472" t="s">
        <v>1385</v>
      </c>
      <c r="BD1058" s="472" t="s">
        <v>1385</v>
      </c>
      <c r="BE1058" s="472" t="s">
        <v>1385</v>
      </c>
      <c r="BF1058" s="472">
        <v>38407.5</v>
      </c>
      <c r="BG1058" s="472">
        <v>0</v>
      </c>
      <c r="BH1058" s="472" t="s">
        <v>1385</v>
      </c>
      <c r="BI1058" s="510">
        <v>0</v>
      </c>
      <c r="BJ1058" s="510">
        <v>0</v>
      </c>
      <c r="BK1058" s="510">
        <v>0</v>
      </c>
      <c r="BL1058" s="510">
        <v>450</v>
      </c>
      <c r="BM1058" s="510">
        <v>0</v>
      </c>
      <c r="BN1058" s="510">
        <v>5000</v>
      </c>
      <c r="BO1058" s="510">
        <v>0</v>
      </c>
      <c r="BP1058" s="510">
        <v>0</v>
      </c>
      <c r="BQ1058" s="510">
        <v>0</v>
      </c>
      <c r="BR1058" s="510">
        <v>0</v>
      </c>
      <c r="BS1058" s="510">
        <v>0</v>
      </c>
      <c r="BT1058" s="510">
        <v>0</v>
      </c>
      <c r="BU1058" s="510">
        <v>0</v>
      </c>
      <c r="BV1058" s="510">
        <v>0</v>
      </c>
      <c r="BW1058" s="510">
        <v>0</v>
      </c>
      <c r="BX1058" s="510">
        <v>30000</v>
      </c>
      <c r="BY1058" s="1011">
        <v>0</v>
      </c>
      <c r="BZ1058" s="510">
        <v>0</v>
      </c>
      <c r="CA1058" s="1011">
        <v>0</v>
      </c>
      <c r="CB1058" s="510">
        <v>22000</v>
      </c>
      <c r="CC1058" s="1011">
        <v>0</v>
      </c>
      <c r="CD1058" s="510">
        <v>0</v>
      </c>
      <c r="CE1058" s="1011">
        <v>0</v>
      </c>
      <c r="CF1058" s="510">
        <v>46404</v>
      </c>
      <c r="CG1058" s="1011">
        <v>0</v>
      </c>
      <c r="CH1058" s="510">
        <v>0</v>
      </c>
      <c r="CI1058" s="1011">
        <v>0</v>
      </c>
    </row>
    <row r="1059" spans="1:87" x14ac:dyDescent="0.2">
      <c r="A1059" s="449">
        <v>42</v>
      </c>
      <c r="B1059" s="453">
        <v>95508</v>
      </c>
      <c r="C1059" s="454" t="s">
        <v>9067</v>
      </c>
      <c r="D1059" s="454" t="s">
        <v>517</v>
      </c>
      <c r="E1059" s="454" t="s">
        <v>9068</v>
      </c>
      <c r="F1059" s="454" t="s">
        <v>513</v>
      </c>
      <c r="G1059" s="454" t="s">
        <v>14079</v>
      </c>
      <c r="H1059" s="455">
        <v>51605780000134</v>
      </c>
      <c r="I1059" s="462">
        <v>31413</v>
      </c>
      <c r="J1059" s="457">
        <v>37531638</v>
      </c>
      <c r="K1059" s="454" t="s">
        <v>9069</v>
      </c>
      <c r="L1059" s="458">
        <v>325</v>
      </c>
      <c r="M1059" s="454" t="s">
        <v>7044</v>
      </c>
      <c r="N1059" s="459">
        <v>3982190</v>
      </c>
      <c r="O1059" s="460">
        <v>27020429</v>
      </c>
      <c r="P1059" s="462">
        <v>149660</v>
      </c>
      <c r="Q1059" s="462">
        <v>42</v>
      </c>
      <c r="R1059" s="462">
        <v>43937</v>
      </c>
      <c r="S1059" s="463">
        <v>581</v>
      </c>
      <c r="T1059" s="464">
        <v>5.4</v>
      </c>
      <c r="U1059" s="465">
        <v>3137.4</v>
      </c>
      <c r="V1059" s="465">
        <v>17100</v>
      </c>
      <c r="W1059" s="466">
        <v>0</v>
      </c>
      <c r="X1059" s="467">
        <v>1</v>
      </c>
      <c r="Y1059" s="466">
        <v>30356.1</v>
      </c>
      <c r="Z1059" s="468" t="s">
        <v>516</v>
      </c>
      <c r="AA1059" s="466">
        <v>122366.5</v>
      </c>
      <c r="AB1059" s="466">
        <v>122366.5</v>
      </c>
      <c r="AC1059" s="467">
        <v>0</v>
      </c>
      <c r="AD1059" s="466">
        <v>0</v>
      </c>
      <c r="AE1059" s="468" t="s">
        <v>516</v>
      </c>
      <c r="AF1059" s="466">
        <v>0</v>
      </c>
      <c r="AG1059" s="466">
        <v>0</v>
      </c>
      <c r="AH1059" s="466">
        <v>632.89</v>
      </c>
      <c r="AI1059" s="466">
        <v>2729.42</v>
      </c>
      <c r="AJ1059" s="469" t="s">
        <v>6995</v>
      </c>
      <c r="AK1059" s="470" t="s">
        <v>6994</v>
      </c>
      <c r="AL1059" s="471" t="s">
        <v>9070</v>
      </c>
      <c r="AM1059" s="470" t="s">
        <v>14080</v>
      </c>
      <c r="AN1059" s="470" t="s">
        <v>1385</v>
      </c>
      <c r="AO1059" s="470" t="s">
        <v>9071</v>
      </c>
      <c r="AP1059" s="470" t="s">
        <v>9072</v>
      </c>
      <c r="AQ1059" s="470" t="s">
        <v>9067</v>
      </c>
      <c r="AR1059" s="472" t="s">
        <v>515</v>
      </c>
      <c r="AS1059" s="473" t="s">
        <v>1385</v>
      </c>
      <c r="AT1059" s="472" t="s">
        <v>517</v>
      </c>
      <c r="AU1059" s="472" t="s">
        <v>420</v>
      </c>
      <c r="AV1059" s="472">
        <v>2020</v>
      </c>
      <c r="AW1059" s="474" t="s">
        <v>15078</v>
      </c>
      <c r="AX1059" s="475" t="s">
        <v>15079</v>
      </c>
      <c r="AY1059" s="515">
        <v>1</v>
      </c>
      <c r="AZ1059" s="474" t="s">
        <v>15079</v>
      </c>
      <c r="BA1059" s="472" t="s">
        <v>517</v>
      </c>
      <c r="BB1059" s="472" t="s">
        <v>1385</v>
      </c>
      <c r="BC1059" s="472" t="s">
        <v>1385</v>
      </c>
      <c r="BD1059" s="472" t="s">
        <v>1385</v>
      </c>
      <c r="BE1059" s="472" t="s">
        <v>1385</v>
      </c>
      <c r="BF1059" s="472">
        <v>30356.1</v>
      </c>
      <c r="BG1059" s="472">
        <v>0</v>
      </c>
      <c r="BH1059" s="472" t="s">
        <v>1385</v>
      </c>
      <c r="BI1059" s="510">
        <v>0</v>
      </c>
      <c r="BJ1059" s="510">
        <v>0</v>
      </c>
      <c r="BK1059" s="510">
        <v>0</v>
      </c>
      <c r="BL1059" s="510">
        <v>0</v>
      </c>
      <c r="BM1059" s="510">
        <v>0</v>
      </c>
      <c r="BN1059" s="510">
        <v>3500</v>
      </c>
      <c r="BO1059" s="510">
        <v>0</v>
      </c>
      <c r="BP1059" s="510">
        <v>0</v>
      </c>
      <c r="BQ1059" s="510">
        <v>0</v>
      </c>
      <c r="BR1059" s="510">
        <v>0</v>
      </c>
      <c r="BS1059" s="510">
        <v>0</v>
      </c>
      <c r="BT1059" s="510">
        <v>0</v>
      </c>
      <c r="BU1059" s="510">
        <v>2500</v>
      </c>
      <c r="BV1059" s="510">
        <v>2500</v>
      </c>
      <c r="BW1059" s="510">
        <v>0</v>
      </c>
      <c r="BX1059" s="510">
        <v>30000</v>
      </c>
      <c r="BY1059" s="1011">
        <v>0</v>
      </c>
      <c r="BZ1059" s="510">
        <v>0</v>
      </c>
      <c r="CA1059" s="1011">
        <v>0</v>
      </c>
      <c r="CB1059" s="510">
        <v>22000</v>
      </c>
      <c r="CC1059" s="1011">
        <v>0</v>
      </c>
      <c r="CD1059" s="510">
        <v>0</v>
      </c>
      <c r="CE1059" s="1011">
        <v>0</v>
      </c>
      <c r="CF1059" s="510">
        <v>40010.400000000001</v>
      </c>
      <c r="CG1059" s="1011">
        <v>0</v>
      </c>
      <c r="CH1059" s="510">
        <v>0</v>
      </c>
      <c r="CI1059" s="1011">
        <v>0</v>
      </c>
    </row>
    <row r="1060" spans="1:87" x14ac:dyDescent="0.2">
      <c r="A1060" s="449">
        <v>58</v>
      </c>
      <c r="B1060" s="453">
        <v>95516</v>
      </c>
      <c r="C1060" s="454" t="s">
        <v>9073</v>
      </c>
      <c r="D1060" s="454" t="s">
        <v>517</v>
      </c>
      <c r="E1060" s="454" t="s">
        <v>9074</v>
      </c>
      <c r="F1060" s="454" t="s">
        <v>513</v>
      </c>
      <c r="G1060" s="454" t="s">
        <v>14081</v>
      </c>
      <c r="H1060" s="455">
        <v>51605798000136</v>
      </c>
      <c r="I1060" s="462">
        <v>29090</v>
      </c>
      <c r="J1060" s="457">
        <v>37532944</v>
      </c>
      <c r="K1060" s="454" t="s">
        <v>9075</v>
      </c>
      <c r="L1060" s="458">
        <v>86</v>
      </c>
      <c r="M1060" s="454" t="s">
        <v>9076</v>
      </c>
      <c r="N1060" s="459">
        <v>3978000</v>
      </c>
      <c r="O1060" s="460">
        <v>27038410</v>
      </c>
      <c r="P1060" s="462">
        <v>150196</v>
      </c>
      <c r="Q1060" s="462">
        <v>58</v>
      </c>
      <c r="R1060" s="462">
        <v>43937</v>
      </c>
      <c r="S1060" s="463">
        <v>789</v>
      </c>
      <c r="T1060" s="464">
        <v>5.4</v>
      </c>
      <c r="U1060" s="465">
        <v>4260.6000000000004</v>
      </c>
      <c r="V1060" s="465">
        <v>18720</v>
      </c>
      <c r="W1060" s="466">
        <v>0</v>
      </c>
      <c r="X1060" s="467">
        <v>1</v>
      </c>
      <c r="Y1060" s="466">
        <v>34470.9</v>
      </c>
      <c r="Z1060" s="468" t="s">
        <v>516</v>
      </c>
      <c r="AA1060" s="466">
        <v>131794.9</v>
      </c>
      <c r="AB1060" s="466">
        <v>131794.9</v>
      </c>
      <c r="AC1060" s="467">
        <v>0</v>
      </c>
      <c r="AD1060" s="466">
        <v>0</v>
      </c>
      <c r="AE1060" s="468" t="s">
        <v>516</v>
      </c>
      <c r="AF1060" s="466">
        <v>2000</v>
      </c>
      <c r="AG1060" s="466">
        <v>2000</v>
      </c>
      <c r="AH1060" s="466">
        <v>16182.84</v>
      </c>
      <c r="AI1060" s="466">
        <v>13980.79</v>
      </c>
      <c r="AJ1060" s="469" t="s">
        <v>1972</v>
      </c>
      <c r="AK1060" s="470" t="s">
        <v>1973</v>
      </c>
      <c r="AL1060" s="471" t="s">
        <v>9077</v>
      </c>
      <c r="AM1060" s="470" t="s">
        <v>9078</v>
      </c>
      <c r="AN1060" s="470" t="s">
        <v>1385</v>
      </c>
      <c r="AO1060" s="470" t="s">
        <v>9079</v>
      </c>
      <c r="AP1060" s="470" t="s">
        <v>9080</v>
      </c>
      <c r="AQ1060" s="470" t="s">
        <v>9073</v>
      </c>
      <c r="AR1060" s="472" t="s">
        <v>515</v>
      </c>
      <c r="AS1060" s="473" t="s">
        <v>1385</v>
      </c>
      <c r="AT1060" s="472" t="s">
        <v>517</v>
      </c>
      <c r="AU1060" s="472" t="s">
        <v>420</v>
      </c>
      <c r="AV1060" s="472">
        <v>2020</v>
      </c>
      <c r="AW1060" s="474" t="s">
        <v>15078</v>
      </c>
      <c r="AX1060" s="475" t="s">
        <v>15079</v>
      </c>
      <c r="AY1060" s="515">
        <v>1</v>
      </c>
      <c r="AZ1060" s="474" t="s">
        <v>15079</v>
      </c>
      <c r="BA1060" s="472" t="s">
        <v>517</v>
      </c>
      <c r="BB1060" s="472" t="s">
        <v>1385</v>
      </c>
      <c r="BC1060" s="472" t="s">
        <v>1385</v>
      </c>
      <c r="BD1060" s="472" t="s">
        <v>1385</v>
      </c>
      <c r="BE1060" s="472" t="s">
        <v>1385</v>
      </c>
      <c r="BF1060" s="472">
        <v>34470.9</v>
      </c>
      <c r="BG1060" s="472">
        <v>0</v>
      </c>
      <c r="BH1060" s="472" t="s">
        <v>1385</v>
      </c>
      <c r="BI1060" s="510">
        <v>0</v>
      </c>
      <c r="BJ1060" s="510">
        <v>0</v>
      </c>
      <c r="BK1060" s="510">
        <v>0</v>
      </c>
      <c r="BL1060" s="510">
        <v>2539</v>
      </c>
      <c r="BM1060" s="510">
        <v>0</v>
      </c>
      <c r="BN1060" s="510">
        <v>4360</v>
      </c>
      <c r="BO1060" s="510">
        <v>0</v>
      </c>
      <c r="BP1060" s="510">
        <v>2000</v>
      </c>
      <c r="BQ1060" s="510">
        <v>0</v>
      </c>
      <c r="BR1060" s="510">
        <v>0</v>
      </c>
      <c r="BS1060" s="510">
        <v>0</v>
      </c>
      <c r="BT1060" s="510">
        <v>0</v>
      </c>
      <c r="BU1060" s="510">
        <v>2500</v>
      </c>
      <c r="BV1060" s="510">
        <v>2500</v>
      </c>
      <c r="BW1060" s="510">
        <v>0</v>
      </c>
      <c r="BX1060" s="510">
        <v>30000</v>
      </c>
      <c r="BY1060" s="1011">
        <v>0</v>
      </c>
      <c r="BZ1060" s="510">
        <v>0</v>
      </c>
      <c r="CA1060" s="1011">
        <v>0</v>
      </c>
      <c r="CB1060" s="510">
        <v>22000</v>
      </c>
      <c r="CC1060" s="1011">
        <v>0</v>
      </c>
      <c r="CD1060" s="510">
        <v>0</v>
      </c>
      <c r="CE1060" s="1011">
        <v>0</v>
      </c>
      <c r="CF1060" s="510">
        <v>45324</v>
      </c>
      <c r="CG1060" s="1011">
        <v>0</v>
      </c>
      <c r="CH1060" s="510">
        <v>0</v>
      </c>
      <c r="CI1060" s="1011">
        <v>0</v>
      </c>
    </row>
    <row r="1061" spans="1:87" x14ac:dyDescent="0.2">
      <c r="A1061" s="449">
        <v>78</v>
      </c>
      <c r="B1061" s="453">
        <v>95524</v>
      </c>
      <c r="C1061" s="454" t="s">
        <v>9081</v>
      </c>
      <c r="D1061" s="454" t="s">
        <v>517</v>
      </c>
      <c r="E1061" s="454" t="s">
        <v>9082</v>
      </c>
      <c r="F1061" s="454" t="s">
        <v>513</v>
      </c>
      <c r="G1061" s="454" t="s">
        <v>14082</v>
      </c>
      <c r="H1061" s="455">
        <v>53587101000177</v>
      </c>
      <c r="I1061" s="462">
        <v>30845</v>
      </c>
      <c r="J1061" s="457">
        <v>37532405</v>
      </c>
      <c r="K1061" s="454" t="s">
        <v>9083</v>
      </c>
      <c r="L1061" s="458">
        <v>345</v>
      </c>
      <c r="M1061" s="454" t="s">
        <v>7145</v>
      </c>
      <c r="N1061" s="459">
        <v>3943090</v>
      </c>
      <c r="O1061" s="460">
        <v>27026333</v>
      </c>
      <c r="P1061" s="462">
        <v>150919</v>
      </c>
      <c r="Q1061" s="462">
        <v>78</v>
      </c>
      <c r="R1061" s="462">
        <v>43937</v>
      </c>
      <c r="S1061" s="463">
        <v>669</v>
      </c>
      <c r="T1061" s="464">
        <v>5.4</v>
      </c>
      <c r="U1061" s="465">
        <v>3612.6</v>
      </c>
      <c r="V1061" s="465">
        <v>17100</v>
      </c>
      <c r="W1061" s="466">
        <v>0</v>
      </c>
      <c r="X1061" s="467">
        <v>1</v>
      </c>
      <c r="Y1061" s="466">
        <v>31068.9</v>
      </c>
      <c r="Z1061" s="468" t="s">
        <v>516</v>
      </c>
      <c r="AA1061" s="466">
        <v>141756.1</v>
      </c>
      <c r="AB1061" s="466">
        <v>141756.1</v>
      </c>
      <c r="AC1061" s="467">
        <v>0</v>
      </c>
      <c r="AD1061" s="466">
        <v>0</v>
      </c>
      <c r="AE1061" s="468" t="s">
        <v>516</v>
      </c>
      <c r="AF1061" s="466">
        <v>1200</v>
      </c>
      <c r="AG1061" s="466">
        <v>1200</v>
      </c>
      <c r="AH1061" s="466">
        <v>16245.75</v>
      </c>
      <c r="AI1061" s="466">
        <v>4002.6</v>
      </c>
      <c r="AJ1061" s="469" t="s">
        <v>6985</v>
      </c>
      <c r="AK1061" s="470" t="s">
        <v>9084</v>
      </c>
      <c r="AL1061" s="471" t="s">
        <v>9085</v>
      </c>
      <c r="AM1061" s="470" t="s">
        <v>9086</v>
      </c>
      <c r="AN1061" s="470" t="s">
        <v>1385</v>
      </c>
      <c r="AO1061" s="470" t="s">
        <v>9087</v>
      </c>
      <c r="AP1061" s="470" t="s">
        <v>9088</v>
      </c>
      <c r="AQ1061" s="470" t="s">
        <v>9081</v>
      </c>
      <c r="AR1061" s="472" t="s">
        <v>515</v>
      </c>
      <c r="AS1061" s="473" t="s">
        <v>1385</v>
      </c>
      <c r="AT1061" s="472" t="s">
        <v>517</v>
      </c>
      <c r="AU1061" s="472" t="s">
        <v>420</v>
      </c>
      <c r="AV1061" s="472">
        <v>2020</v>
      </c>
      <c r="AW1061" s="474" t="s">
        <v>15078</v>
      </c>
      <c r="AX1061" s="475" t="s">
        <v>15079</v>
      </c>
      <c r="AY1061" s="515">
        <v>1</v>
      </c>
      <c r="AZ1061" s="474" t="s">
        <v>15079</v>
      </c>
      <c r="BA1061" s="472" t="s">
        <v>517</v>
      </c>
      <c r="BB1061" s="472" t="s">
        <v>1385</v>
      </c>
      <c r="BC1061" s="472" t="s">
        <v>1385</v>
      </c>
      <c r="BD1061" s="472" t="s">
        <v>1385</v>
      </c>
      <c r="BE1061" s="472" t="s">
        <v>1385</v>
      </c>
      <c r="BF1061" s="472">
        <v>31068.9</v>
      </c>
      <c r="BG1061" s="472">
        <v>0</v>
      </c>
      <c r="BH1061" s="472" t="s">
        <v>1385</v>
      </c>
      <c r="BI1061" s="510">
        <v>0</v>
      </c>
      <c r="BJ1061" s="510">
        <v>0</v>
      </c>
      <c r="BK1061" s="510">
        <v>0</v>
      </c>
      <c r="BL1061" s="510">
        <v>0</v>
      </c>
      <c r="BM1061" s="510">
        <v>0</v>
      </c>
      <c r="BN1061" s="510">
        <v>0</v>
      </c>
      <c r="BO1061" s="510">
        <v>800</v>
      </c>
      <c r="BP1061" s="510">
        <v>1200</v>
      </c>
      <c r="BQ1061" s="510">
        <v>0</v>
      </c>
      <c r="BR1061" s="510">
        <v>0</v>
      </c>
      <c r="BS1061" s="510">
        <v>0</v>
      </c>
      <c r="BT1061" s="510">
        <v>0</v>
      </c>
      <c r="BU1061" s="510">
        <v>2500</v>
      </c>
      <c r="BV1061" s="510">
        <v>2500</v>
      </c>
      <c r="BW1061" s="510">
        <v>0</v>
      </c>
      <c r="BX1061" s="510">
        <v>30000</v>
      </c>
      <c r="BY1061" s="1011">
        <v>0</v>
      </c>
      <c r="BZ1061" s="510">
        <v>0</v>
      </c>
      <c r="CA1061" s="1011">
        <v>0</v>
      </c>
      <c r="CB1061" s="510">
        <v>22000</v>
      </c>
      <c r="CC1061" s="1011">
        <v>0</v>
      </c>
      <c r="CD1061" s="510">
        <v>0</v>
      </c>
      <c r="CE1061" s="1011">
        <v>0</v>
      </c>
      <c r="CF1061" s="510">
        <v>57887.199999999997</v>
      </c>
      <c r="CG1061" s="1011">
        <v>0</v>
      </c>
      <c r="CH1061" s="510">
        <v>0</v>
      </c>
      <c r="CI1061" s="1011">
        <v>0</v>
      </c>
    </row>
    <row r="1062" spans="1:87" x14ac:dyDescent="0.2">
      <c r="A1062" s="449">
        <v>73</v>
      </c>
      <c r="B1062" s="453">
        <v>95532</v>
      </c>
      <c r="C1062" s="454" t="s">
        <v>9089</v>
      </c>
      <c r="D1062" s="454" t="s">
        <v>517</v>
      </c>
      <c r="E1062" s="454" t="s">
        <v>9090</v>
      </c>
      <c r="F1062" s="454" t="s">
        <v>513</v>
      </c>
      <c r="G1062" s="454" t="s">
        <v>14083</v>
      </c>
      <c r="H1062" s="455">
        <v>51545226000109</v>
      </c>
      <c r="I1062" s="462">
        <v>29025</v>
      </c>
      <c r="J1062" s="457">
        <v>37532545</v>
      </c>
      <c r="K1062" s="454" t="s">
        <v>9091</v>
      </c>
      <c r="L1062" s="458">
        <v>40</v>
      </c>
      <c r="M1062" s="454" t="s">
        <v>7052</v>
      </c>
      <c r="N1062" s="459">
        <v>3977180</v>
      </c>
      <c r="O1062" s="460">
        <v>20193629</v>
      </c>
      <c r="P1062" s="462">
        <v>150820</v>
      </c>
      <c r="Q1062" s="462">
        <v>73</v>
      </c>
      <c r="R1062" s="462">
        <v>43937</v>
      </c>
      <c r="S1062" s="463">
        <v>872</v>
      </c>
      <c r="T1062" s="464">
        <v>5.4</v>
      </c>
      <c r="U1062" s="465">
        <v>4708.8</v>
      </c>
      <c r="V1062" s="465">
        <v>18720</v>
      </c>
      <c r="W1062" s="466">
        <v>0</v>
      </c>
      <c r="X1062" s="467">
        <v>1</v>
      </c>
      <c r="Y1062" s="466">
        <v>35143.199999999997</v>
      </c>
      <c r="Z1062" s="468" t="s">
        <v>516</v>
      </c>
      <c r="AA1062" s="466">
        <v>132964</v>
      </c>
      <c r="AB1062" s="466">
        <v>132964</v>
      </c>
      <c r="AC1062" s="467">
        <v>0</v>
      </c>
      <c r="AD1062" s="466">
        <v>0</v>
      </c>
      <c r="AE1062" s="468" t="s">
        <v>516</v>
      </c>
      <c r="AF1062" s="466">
        <v>0</v>
      </c>
      <c r="AG1062" s="466">
        <v>0</v>
      </c>
      <c r="AH1062" s="466">
        <v>24218.07</v>
      </c>
      <c r="AI1062" s="466">
        <v>10085.700000000001</v>
      </c>
      <c r="AJ1062" s="469" t="s">
        <v>1972</v>
      </c>
      <c r="AK1062" s="470" t="s">
        <v>1973</v>
      </c>
      <c r="AL1062" s="471" t="s">
        <v>9092</v>
      </c>
      <c r="AM1062" s="470" t="s">
        <v>9093</v>
      </c>
      <c r="AN1062" s="470" t="s">
        <v>9094</v>
      </c>
      <c r="AO1062" s="470" t="s">
        <v>9095</v>
      </c>
      <c r="AP1062" s="470" t="s">
        <v>9096</v>
      </c>
      <c r="AQ1062" s="470" t="s">
        <v>9089</v>
      </c>
      <c r="AR1062" s="472" t="s">
        <v>515</v>
      </c>
      <c r="AS1062" s="473" t="s">
        <v>1385</v>
      </c>
      <c r="AT1062" s="472" t="s">
        <v>517</v>
      </c>
      <c r="AU1062" s="472" t="s">
        <v>420</v>
      </c>
      <c r="AV1062" s="472">
        <v>2020</v>
      </c>
      <c r="AW1062" s="474" t="s">
        <v>15078</v>
      </c>
      <c r="AX1062" s="475" t="s">
        <v>15079</v>
      </c>
      <c r="AY1062" s="515">
        <v>1</v>
      </c>
      <c r="AZ1062" s="474" t="s">
        <v>15079</v>
      </c>
      <c r="BA1062" s="472" t="s">
        <v>517</v>
      </c>
      <c r="BB1062" s="472" t="s">
        <v>1385</v>
      </c>
      <c r="BC1062" s="472" t="s">
        <v>1385</v>
      </c>
      <c r="BD1062" s="472" t="s">
        <v>1385</v>
      </c>
      <c r="BE1062" s="472" t="s">
        <v>1385</v>
      </c>
      <c r="BF1062" s="472">
        <v>35143.199999999997</v>
      </c>
      <c r="BG1062" s="472">
        <v>0</v>
      </c>
      <c r="BH1062" s="472" t="s">
        <v>1385</v>
      </c>
      <c r="BI1062" s="510">
        <v>0</v>
      </c>
      <c r="BJ1062" s="510">
        <v>0</v>
      </c>
      <c r="BK1062" s="510">
        <v>0</v>
      </c>
      <c r="BL1062" s="510">
        <v>3500</v>
      </c>
      <c r="BM1062" s="510">
        <v>0</v>
      </c>
      <c r="BN1062" s="510">
        <v>5000</v>
      </c>
      <c r="BO1062" s="510">
        <v>0</v>
      </c>
      <c r="BP1062" s="510">
        <v>0</v>
      </c>
      <c r="BQ1062" s="510">
        <v>0</v>
      </c>
      <c r="BR1062" s="510">
        <v>0</v>
      </c>
      <c r="BS1062" s="510">
        <v>0</v>
      </c>
      <c r="BT1062" s="510">
        <v>0</v>
      </c>
      <c r="BU1062" s="510">
        <v>0</v>
      </c>
      <c r="BV1062" s="510">
        <v>0</v>
      </c>
      <c r="BW1062" s="510">
        <v>0</v>
      </c>
      <c r="BX1062" s="510">
        <v>30000</v>
      </c>
      <c r="BY1062" s="1011">
        <v>0</v>
      </c>
      <c r="BZ1062" s="510">
        <v>0</v>
      </c>
      <c r="CA1062" s="1011">
        <v>0</v>
      </c>
      <c r="CB1062" s="510">
        <v>22000</v>
      </c>
      <c r="CC1062" s="1011">
        <v>0</v>
      </c>
      <c r="CD1062" s="510">
        <v>0</v>
      </c>
      <c r="CE1062" s="1011">
        <v>0</v>
      </c>
      <c r="CF1062" s="510">
        <v>45820.800000000003</v>
      </c>
      <c r="CG1062" s="1011">
        <v>0</v>
      </c>
      <c r="CH1062" s="510">
        <v>0</v>
      </c>
      <c r="CI1062" s="1011">
        <v>0</v>
      </c>
    </row>
    <row r="1063" spans="1:87" x14ac:dyDescent="0.2">
      <c r="A1063" s="449">
        <v>67</v>
      </c>
      <c r="B1063" s="453">
        <v>95541</v>
      </c>
      <c r="C1063" s="454" t="s">
        <v>9097</v>
      </c>
      <c r="D1063" s="454" t="s">
        <v>517</v>
      </c>
      <c r="E1063" s="454" t="s">
        <v>9098</v>
      </c>
      <c r="F1063" s="454" t="s">
        <v>513</v>
      </c>
      <c r="G1063" s="454" t="s">
        <v>14084</v>
      </c>
      <c r="H1063" s="455">
        <v>56319304000170</v>
      </c>
      <c r="I1063" s="462">
        <v>31670</v>
      </c>
      <c r="J1063" s="457">
        <v>37532324</v>
      </c>
      <c r="K1063" s="454" t="s">
        <v>9099</v>
      </c>
      <c r="L1063" s="458">
        <v>248</v>
      </c>
      <c r="M1063" s="454" t="s">
        <v>7052</v>
      </c>
      <c r="N1063" s="459">
        <v>3975110</v>
      </c>
      <c r="O1063" s="460">
        <v>20194786</v>
      </c>
      <c r="P1063" s="462">
        <v>150722</v>
      </c>
      <c r="Q1063" s="462">
        <v>67</v>
      </c>
      <c r="R1063" s="462">
        <v>43937</v>
      </c>
      <c r="S1063" s="463">
        <v>783</v>
      </c>
      <c r="T1063" s="464">
        <v>5.4</v>
      </c>
      <c r="U1063" s="465">
        <v>4228.2</v>
      </c>
      <c r="V1063" s="465">
        <v>18720</v>
      </c>
      <c r="W1063" s="466">
        <v>0</v>
      </c>
      <c r="X1063" s="467">
        <v>1</v>
      </c>
      <c r="Y1063" s="466">
        <v>34422.300000000003</v>
      </c>
      <c r="Z1063" s="468" t="s">
        <v>516</v>
      </c>
      <c r="AA1063" s="466">
        <v>132102.70000000001</v>
      </c>
      <c r="AB1063" s="466">
        <v>132102.70000000001</v>
      </c>
      <c r="AC1063" s="467">
        <v>0</v>
      </c>
      <c r="AD1063" s="466">
        <v>0</v>
      </c>
      <c r="AE1063" s="468" t="s">
        <v>516</v>
      </c>
      <c r="AF1063" s="466">
        <v>2000</v>
      </c>
      <c r="AG1063" s="466">
        <v>2000</v>
      </c>
      <c r="AH1063" s="466">
        <v>17544.14</v>
      </c>
      <c r="AI1063" s="466">
        <v>13780.74</v>
      </c>
      <c r="AJ1063" s="469" t="s">
        <v>3969</v>
      </c>
      <c r="AK1063" s="470" t="s">
        <v>6698</v>
      </c>
      <c r="AL1063" s="471" t="s">
        <v>9100</v>
      </c>
      <c r="AM1063" s="470" t="s">
        <v>9101</v>
      </c>
      <c r="AN1063" s="470" t="s">
        <v>1385</v>
      </c>
      <c r="AO1063" s="470" t="s">
        <v>9102</v>
      </c>
      <c r="AP1063" s="470" t="s">
        <v>9103</v>
      </c>
      <c r="AQ1063" s="470" t="s">
        <v>9097</v>
      </c>
      <c r="AR1063" s="472" t="s">
        <v>515</v>
      </c>
      <c r="AS1063" s="473" t="s">
        <v>1385</v>
      </c>
      <c r="AT1063" s="472" t="s">
        <v>517</v>
      </c>
      <c r="AU1063" s="472" t="s">
        <v>420</v>
      </c>
      <c r="AV1063" s="472">
        <v>2020</v>
      </c>
      <c r="AW1063" s="474" t="s">
        <v>15078</v>
      </c>
      <c r="AX1063" s="475" t="s">
        <v>15079</v>
      </c>
      <c r="AY1063" s="515">
        <v>1</v>
      </c>
      <c r="AZ1063" s="474" t="s">
        <v>15079</v>
      </c>
      <c r="BA1063" s="472" t="s">
        <v>517</v>
      </c>
      <c r="BB1063" s="472" t="s">
        <v>1385</v>
      </c>
      <c r="BC1063" s="472" t="s">
        <v>1385</v>
      </c>
      <c r="BD1063" s="472" t="s">
        <v>1385</v>
      </c>
      <c r="BE1063" s="472" t="s">
        <v>1385</v>
      </c>
      <c r="BF1063" s="472">
        <v>34422.300000000003</v>
      </c>
      <c r="BG1063" s="472">
        <v>0</v>
      </c>
      <c r="BH1063" s="472" t="s">
        <v>1385</v>
      </c>
      <c r="BI1063" s="510">
        <v>0</v>
      </c>
      <c r="BJ1063" s="510">
        <v>0</v>
      </c>
      <c r="BK1063" s="510">
        <v>0</v>
      </c>
      <c r="BL1063" s="510">
        <v>2370.5</v>
      </c>
      <c r="BM1063" s="510">
        <v>0</v>
      </c>
      <c r="BN1063" s="510">
        <v>5000</v>
      </c>
      <c r="BO1063" s="510">
        <v>0</v>
      </c>
      <c r="BP1063" s="510">
        <v>2000</v>
      </c>
      <c r="BQ1063" s="510">
        <v>0</v>
      </c>
      <c r="BR1063" s="510">
        <v>0</v>
      </c>
      <c r="BS1063" s="510">
        <v>0</v>
      </c>
      <c r="BT1063" s="510">
        <v>0</v>
      </c>
      <c r="BU1063" s="510">
        <v>2500</v>
      </c>
      <c r="BV1063" s="510">
        <v>2500</v>
      </c>
      <c r="BW1063" s="510">
        <v>0</v>
      </c>
      <c r="BX1063" s="510">
        <v>30000</v>
      </c>
      <c r="BY1063" s="1011">
        <v>0</v>
      </c>
      <c r="BZ1063" s="510">
        <v>0</v>
      </c>
      <c r="CA1063" s="1011">
        <v>0</v>
      </c>
      <c r="CB1063" s="510">
        <v>22000</v>
      </c>
      <c r="CC1063" s="1011">
        <v>0</v>
      </c>
      <c r="CD1063" s="510">
        <v>0</v>
      </c>
      <c r="CE1063" s="1011">
        <v>0</v>
      </c>
      <c r="CF1063" s="510">
        <v>45680.4</v>
      </c>
      <c r="CG1063" s="1011">
        <v>0</v>
      </c>
      <c r="CH1063" s="510">
        <v>0</v>
      </c>
      <c r="CI1063" s="1011">
        <v>0</v>
      </c>
    </row>
    <row r="1064" spans="1:87" x14ac:dyDescent="0.2">
      <c r="A1064" s="449">
        <v>47</v>
      </c>
      <c r="B1064" s="453">
        <v>95559</v>
      </c>
      <c r="C1064" s="454" t="s">
        <v>9104</v>
      </c>
      <c r="D1064" s="454" t="s">
        <v>517</v>
      </c>
      <c r="E1064" s="454" t="s">
        <v>9105</v>
      </c>
      <c r="F1064" s="454" t="s">
        <v>513</v>
      </c>
      <c r="G1064" s="454" t="s">
        <v>14085</v>
      </c>
      <c r="H1064" s="455">
        <v>51552685000110</v>
      </c>
      <c r="I1064" s="462">
        <v>29021</v>
      </c>
      <c r="J1064" s="457">
        <v>37532375</v>
      </c>
      <c r="K1064" s="454" t="s">
        <v>7073</v>
      </c>
      <c r="L1064" s="458">
        <v>224</v>
      </c>
      <c r="M1064" s="454" t="s">
        <v>2088</v>
      </c>
      <c r="N1064" s="459">
        <v>8370030</v>
      </c>
      <c r="O1064" s="460">
        <v>27513202</v>
      </c>
      <c r="P1064" s="462">
        <v>149716</v>
      </c>
      <c r="Q1064" s="462">
        <v>47</v>
      </c>
      <c r="R1064" s="462">
        <v>43937</v>
      </c>
      <c r="S1064" s="463">
        <v>1070</v>
      </c>
      <c r="T1064" s="464">
        <v>5.4</v>
      </c>
      <c r="U1064" s="465">
        <v>5778</v>
      </c>
      <c r="V1064" s="465">
        <v>20340</v>
      </c>
      <c r="W1064" s="466">
        <v>0</v>
      </c>
      <c r="X1064" s="467">
        <v>1</v>
      </c>
      <c r="Y1064" s="466">
        <v>39177</v>
      </c>
      <c r="Z1064" s="468" t="s">
        <v>516</v>
      </c>
      <c r="AA1064" s="466">
        <v>143402.20000000001</v>
      </c>
      <c r="AB1064" s="466">
        <v>143402.20000000001</v>
      </c>
      <c r="AC1064" s="467">
        <v>0</v>
      </c>
      <c r="AD1064" s="466">
        <v>0</v>
      </c>
      <c r="AE1064" s="468" t="s">
        <v>516</v>
      </c>
      <c r="AF1064" s="466">
        <v>2000</v>
      </c>
      <c r="AG1064" s="466">
        <v>2000</v>
      </c>
      <c r="AH1064" s="466">
        <v>26482.84</v>
      </c>
      <c r="AI1064" s="466">
        <v>9721.7000000000007</v>
      </c>
      <c r="AJ1064" s="469" t="s">
        <v>2030</v>
      </c>
      <c r="AK1064" s="470" t="s">
        <v>513</v>
      </c>
      <c r="AL1064" s="471" t="s">
        <v>9106</v>
      </c>
      <c r="AM1064" s="470" t="s">
        <v>9107</v>
      </c>
      <c r="AN1064" s="470" t="s">
        <v>9108</v>
      </c>
      <c r="AO1064" s="470" t="s">
        <v>9109</v>
      </c>
      <c r="AP1064" s="470" t="s">
        <v>9110</v>
      </c>
      <c r="AQ1064" s="470" t="s">
        <v>9104</v>
      </c>
      <c r="AR1064" s="472" t="s">
        <v>515</v>
      </c>
      <c r="AS1064" s="473" t="s">
        <v>1385</v>
      </c>
      <c r="AT1064" s="472" t="s">
        <v>517</v>
      </c>
      <c r="AU1064" s="472" t="s">
        <v>420</v>
      </c>
      <c r="AV1064" s="472">
        <v>2020</v>
      </c>
      <c r="AW1064" s="474" t="s">
        <v>15078</v>
      </c>
      <c r="AX1064" s="475" t="s">
        <v>15079</v>
      </c>
      <c r="AY1064" s="515">
        <v>1</v>
      </c>
      <c r="AZ1064" s="474" t="s">
        <v>15079</v>
      </c>
      <c r="BA1064" s="472" t="s">
        <v>517</v>
      </c>
      <c r="BB1064" s="472" t="s">
        <v>1385</v>
      </c>
      <c r="BC1064" s="472" t="s">
        <v>1385</v>
      </c>
      <c r="BD1064" s="472" t="s">
        <v>1385</v>
      </c>
      <c r="BE1064" s="472" t="s">
        <v>1385</v>
      </c>
      <c r="BF1064" s="472">
        <v>39177</v>
      </c>
      <c r="BG1064" s="472">
        <v>0</v>
      </c>
      <c r="BH1064" s="472" t="s">
        <v>1385</v>
      </c>
      <c r="BI1064" s="510">
        <v>0</v>
      </c>
      <c r="BJ1064" s="510">
        <v>0</v>
      </c>
      <c r="BK1064" s="510">
        <v>0</v>
      </c>
      <c r="BL1064" s="510">
        <v>1844.2</v>
      </c>
      <c r="BM1064" s="510">
        <v>0</v>
      </c>
      <c r="BN1064" s="510">
        <v>5000</v>
      </c>
      <c r="BO1064" s="510">
        <v>0</v>
      </c>
      <c r="BP1064" s="510">
        <v>2000</v>
      </c>
      <c r="BQ1064" s="510">
        <v>0</v>
      </c>
      <c r="BR1064" s="510">
        <v>0</v>
      </c>
      <c r="BS1064" s="510">
        <v>0</v>
      </c>
      <c r="BT1064" s="510">
        <v>0</v>
      </c>
      <c r="BU1064" s="510">
        <v>0</v>
      </c>
      <c r="BV1064" s="510">
        <v>0</v>
      </c>
      <c r="BW1064" s="510">
        <v>0</v>
      </c>
      <c r="BX1064" s="510">
        <v>30000</v>
      </c>
      <c r="BY1064" s="1011">
        <v>0</v>
      </c>
      <c r="BZ1064" s="510">
        <v>0</v>
      </c>
      <c r="CA1064" s="1011">
        <v>0</v>
      </c>
      <c r="CB1064" s="510">
        <v>22000</v>
      </c>
      <c r="CC1064" s="1011">
        <v>0</v>
      </c>
      <c r="CD1064" s="510">
        <v>0</v>
      </c>
      <c r="CE1064" s="1011">
        <v>0</v>
      </c>
      <c r="CF1064" s="510">
        <v>52225.2</v>
      </c>
      <c r="CG1064" s="1011">
        <v>0</v>
      </c>
      <c r="CH1064" s="510">
        <v>0</v>
      </c>
      <c r="CI1064" s="1011">
        <v>0</v>
      </c>
    </row>
    <row r="1065" spans="1:87" x14ac:dyDescent="0.2">
      <c r="A1065" s="449">
        <v>36</v>
      </c>
      <c r="B1065" s="453">
        <v>95567</v>
      </c>
      <c r="C1065" s="454" t="s">
        <v>9111</v>
      </c>
      <c r="D1065" s="454" t="s">
        <v>517</v>
      </c>
      <c r="E1065" s="454" t="s">
        <v>9112</v>
      </c>
      <c r="F1065" s="454" t="s">
        <v>513</v>
      </c>
      <c r="G1065" s="454" t="s">
        <v>14086</v>
      </c>
      <c r="H1065" s="455">
        <v>54581632000115</v>
      </c>
      <c r="I1065" s="462">
        <v>31226</v>
      </c>
      <c r="J1065" s="457">
        <v>37531832</v>
      </c>
      <c r="K1065" s="454" t="s">
        <v>9113</v>
      </c>
      <c r="L1065" s="458">
        <v>26</v>
      </c>
      <c r="M1065" s="454" t="s">
        <v>3821</v>
      </c>
      <c r="N1065" s="459">
        <v>8395330</v>
      </c>
      <c r="O1065" s="460">
        <v>27513507</v>
      </c>
      <c r="P1065" s="462">
        <v>149589</v>
      </c>
      <c r="Q1065" s="462">
        <v>36</v>
      </c>
      <c r="R1065" s="462">
        <v>43937</v>
      </c>
      <c r="S1065" s="463">
        <v>818</v>
      </c>
      <c r="T1065" s="464">
        <v>5.4</v>
      </c>
      <c r="U1065" s="465">
        <v>4417.2</v>
      </c>
      <c r="V1065" s="465">
        <v>18720</v>
      </c>
      <c r="W1065" s="466">
        <v>0</v>
      </c>
      <c r="X1065" s="467">
        <v>1</v>
      </c>
      <c r="Y1065" s="466">
        <v>34705.800000000003</v>
      </c>
      <c r="Z1065" s="468" t="s">
        <v>516</v>
      </c>
      <c r="AA1065" s="466">
        <v>133407.79999999999</v>
      </c>
      <c r="AB1065" s="466">
        <v>133407.79999999999</v>
      </c>
      <c r="AC1065" s="467">
        <v>0</v>
      </c>
      <c r="AD1065" s="466">
        <v>0</v>
      </c>
      <c r="AE1065" s="468" t="s">
        <v>516</v>
      </c>
      <c r="AF1065" s="466">
        <v>1000</v>
      </c>
      <c r="AG1065" s="466">
        <v>1000</v>
      </c>
      <c r="AH1065" s="466">
        <v>2210.79</v>
      </c>
      <c r="AI1065" s="466">
        <v>4627.4399999999996</v>
      </c>
      <c r="AJ1065" s="469" t="s">
        <v>1674</v>
      </c>
      <c r="AK1065" s="470" t="s">
        <v>518</v>
      </c>
      <c r="AL1065" s="471" t="s">
        <v>9114</v>
      </c>
      <c r="AM1065" s="470" t="s">
        <v>9115</v>
      </c>
      <c r="AN1065" s="470" t="s">
        <v>9116</v>
      </c>
      <c r="AO1065" s="470" t="s">
        <v>9117</v>
      </c>
      <c r="AP1065" s="470" t="s">
        <v>9118</v>
      </c>
      <c r="AQ1065" s="470" t="s">
        <v>9111</v>
      </c>
      <c r="AR1065" s="472" t="s">
        <v>515</v>
      </c>
      <c r="AS1065" s="473" t="s">
        <v>1385</v>
      </c>
      <c r="AT1065" s="472" t="s">
        <v>517</v>
      </c>
      <c r="AU1065" s="472" t="s">
        <v>420</v>
      </c>
      <c r="AV1065" s="472">
        <v>2020</v>
      </c>
      <c r="AW1065" s="474" t="s">
        <v>15078</v>
      </c>
      <c r="AX1065" s="475" t="s">
        <v>15079</v>
      </c>
      <c r="AY1065" s="515">
        <v>1</v>
      </c>
      <c r="AZ1065" s="474" t="s">
        <v>15079</v>
      </c>
      <c r="BA1065" s="472" t="s">
        <v>517</v>
      </c>
      <c r="BB1065" s="472" t="s">
        <v>1385</v>
      </c>
      <c r="BC1065" s="472" t="s">
        <v>1385</v>
      </c>
      <c r="BD1065" s="472" t="s">
        <v>1385</v>
      </c>
      <c r="BE1065" s="472" t="s">
        <v>1385</v>
      </c>
      <c r="BF1065" s="472">
        <v>34705.800000000003</v>
      </c>
      <c r="BG1065" s="472">
        <v>0</v>
      </c>
      <c r="BH1065" s="472" t="s">
        <v>1385</v>
      </c>
      <c r="BI1065" s="510">
        <v>0</v>
      </c>
      <c r="BJ1065" s="510">
        <v>0</v>
      </c>
      <c r="BK1065" s="510">
        <v>0</v>
      </c>
      <c r="BL1065" s="510">
        <v>0</v>
      </c>
      <c r="BM1065" s="510">
        <v>0</v>
      </c>
      <c r="BN1065" s="510">
        <v>5000</v>
      </c>
      <c r="BO1065" s="510">
        <v>1000</v>
      </c>
      <c r="BP1065" s="510">
        <v>1000</v>
      </c>
      <c r="BQ1065" s="510">
        <v>0</v>
      </c>
      <c r="BR1065" s="510">
        <v>0</v>
      </c>
      <c r="BS1065" s="510">
        <v>0</v>
      </c>
      <c r="BT1065" s="510">
        <v>0</v>
      </c>
      <c r="BU1065" s="510">
        <v>2500</v>
      </c>
      <c r="BV1065" s="510">
        <v>2500</v>
      </c>
      <c r="BW1065" s="510">
        <v>0</v>
      </c>
      <c r="BX1065" s="510">
        <v>30000</v>
      </c>
      <c r="BY1065" s="1011">
        <v>0</v>
      </c>
      <c r="BZ1065" s="510">
        <v>0</v>
      </c>
      <c r="CA1065" s="1011">
        <v>0</v>
      </c>
      <c r="CB1065" s="510">
        <v>22000</v>
      </c>
      <c r="CC1065" s="1011">
        <v>0</v>
      </c>
      <c r="CD1065" s="510">
        <v>0</v>
      </c>
      <c r="CE1065" s="1011">
        <v>0</v>
      </c>
      <c r="CF1065" s="510">
        <v>45702</v>
      </c>
      <c r="CG1065" s="1011">
        <v>0</v>
      </c>
      <c r="CH1065" s="510">
        <v>0</v>
      </c>
      <c r="CI1065" s="1011">
        <v>0</v>
      </c>
    </row>
    <row r="1066" spans="1:87" x14ac:dyDescent="0.2">
      <c r="A1066" s="449">
        <v>46</v>
      </c>
      <c r="B1066" s="453">
        <v>95575</v>
      </c>
      <c r="C1066" s="454" t="s">
        <v>9119</v>
      </c>
      <c r="D1066" s="454" t="s">
        <v>517</v>
      </c>
      <c r="E1066" s="454" t="s">
        <v>9120</v>
      </c>
      <c r="F1066" s="454" t="s">
        <v>513</v>
      </c>
      <c r="G1066" s="454" t="s">
        <v>14087</v>
      </c>
      <c r="H1066" s="455">
        <v>45875309000163</v>
      </c>
      <c r="I1066" s="462">
        <v>29720</v>
      </c>
      <c r="J1066" s="457">
        <v>37532740</v>
      </c>
      <c r="K1066" s="454" t="s">
        <v>9121</v>
      </c>
      <c r="L1066" s="458">
        <v>55</v>
      </c>
      <c r="M1066" s="454" t="s">
        <v>1559</v>
      </c>
      <c r="N1066" s="459">
        <v>8311080</v>
      </c>
      <c r="O1066" s="460">
        <v>20153201</v>
      </c>
      <c r="P1066" s="462">
        <v>149708</v>
      </c>
      <c r="Q1066" s="462">
        <v>46</v>
      </c>
      <c r="R1066" s="462">
        <v>43937</v>
      </c>
      <c r="S1066" s="463">
        <v>889</v>
      </c>
      <c r="T1066" s="464">
        <v>5.4</v>
      </c>
      <c r="U1066" s="465">
        <v>4800.6000000000004</v>
      </c>
      <c r="V1066" s="465">
        <v>18720</v>
      </c>
      <c r="W1066" s="466">
        <v>0</v>
      </c>
      <c r="X1066" s="467">
        <v>1</v>
      </c>
      <c r="Y1066" s="466">
        <v>35280.9</v>
      </c>
      <c r="Z1066" s="468" t="s">
        <v>516</v>
      </c>
      <c r="AA1066" s="466">
        <v>134160.1</v>
      </c>
      <c r="AB1066" s="466">
        <v>134160.1</v>
      </c>
      <c r="AC1066" s="467">
        <v>0</v>
      </c>
      <c r="AD1066" s="466">
        <v>0</v>
      </c>
      <c r="AE1066" s="468" t="s">
        <v>516</v>
      </c>
      <c r="AF1066" s="466">
        <v>2000</v>
      </c>
      <c r="AG1066" s="466">
        <v>2000</v>
      </c>
      <c r="AH1066" s="466">
        <v>21530.83</v>
      </c>
      <c r="AI1066" s="466">
        <v>5459.53</v>
      </c>
      <c r="AJ1066" s="469" t="s">
        <v>2030</v>
      </c>
      <c r="AK1066" s="470" t="s">
        <v>513</v>
      </c>
      <c r="AL1066" s="471" t="s">
        <v>9122</v>
      </c>
      <c r="AM1066" s="470" t="s">
        <v>14088</v>
      </c>
      <c r="AN1066" s="470" t="s">
        <v>1385</v>
      </c>
      <c r="AO1066" s="470" t="s">
        <v>9124</v>
      </c>
      <c r="AP1066" s="470" t="s">
        <v>9125</v>
      </c>
      <c r="AQ1066" s="470" t="s">
        <v>9119</v>
      </c>
      <c r="AR1066" s="472" t="s">
        <v>515</v>
      </c>
      <c r="AS1066" s="473" t="s">
        <v>1385</v>
      </c>
      <c r="AT1066" s="472" t="s">
        <v>517</v>
      </c>
      <c r="AU1066" s="472" t="s">
        <v>420</v>
      </c>
      <c r="AV1066" s="472">
        <v>2020</v>
      </c>
      <c r="AW1066" s="474" t="s">
        <v>15078</v>
      </c>
      <c r="AX1066" s="475" t="s">
        <v>15079</v>
      </c>
      <c r="AY1066" s="515">
        <v>1</v>
      </c>
      <c r="AZ1066" s="474" t="s">
        <v>15079</v>
      </c>
      <c r="BA1066" s="472" t="s">
        <v>517</v>
      </c>
      <c r="BB1066" s="472" t="s">
        <v>1385</v>
      </c>
      <c r="BC1066" s="472" t="s">
        <v>1385</v>
      </c>
      <c r="BD1066" s="472" t="s">
        <v>1385</v>
      </c>
      <c r="BE1066" s="472" t="s">
        <v>1385</v>
      </c>
      <c r="BF1066" s="472">
        <v>35280.9</v>
      </c>
      <c r="BG1066" s="472">
        <v>0</v>
      </c>
      <c r="BH1066" s="472" t="s">
        <v>1385</v>
      </c>
      <c r="BI1066" s="510">
        <v>0</v>
      </c>
      <c r="BJ1066" s="510">
        <v>0</v>
      </c>
      <c r="BK1066" s="510">
        <v>0</v>
      </c>
      <c r="BL1066" s="510">
        <v>0</v>
      </c>
      <c r="BM1066" s="510">
        <v>0</v>
      </c>
      <c r="BN1066" s="510">
        <v>5000</v>
      </c>
      <c r="BO1066" s="510">
        <v>0</v>
      </c>
      <c r="BP1066" s="510">
        <v>2000</v>
      </c>
      <c r="BQ1066" s="510">
        <v>0</v>
      </c>
      <c r="BR1066" s="510">
        <v>0</v>
      </c>
      <c r="BS1066" s="510">
        <v>0</v>
      </c>
      <c r="BT1066" s="510">
        <v>0</v>
      </c>
      <c r="BU1066" s="510">
        <v>0</v>
      </c>
      <c r="BV1066" s="510">
        <v>0</v>
      </c>
      <c r="BW1066" s="510">
        <v>0</v>
      </c>
      <c r="BX1066" s="510">
        <v>30000</v>
      </c>
      <c r="BY1066" s="1011">
        <v>0</v>
      </c>
      <c r="BZ1066" s="510">
        <v>0</v>
      </c>
      <c r="CA1066" s="1011">
        <v>0</v>
      </c>
      <c r="CB1066" s="510">
        <v>22000</v>
      </c>
      <c r="CC1066" s="1011">
        <v>0</v>
      </c>
      <c r="CD1066" s="510">
        <v>0</v>
      </c>
      <c r="CE1066" s="1011">
        <v>0</v>
      </c>
      <c r="CF1066" s="510">
        <v>46879.199999999997</v>
      </c>
      <c r="CG1066" s="1011">
        <v>0</v>
      </c>
      <c r="CH1066" s="510">
        <v>0</v>
      </c>
      <c r="CI1066" s="1011">
        <v>0</v>
      </c>
    </row>
    <row r="1067" spans="1:87" x14ac:dyDescent="0.2">
      <c r="A1067" s="449">
        <v>55</v>
      </c>
      <c r="B1067" s="453">
        <v>95583</v>
      </c>
      <c r="C1067" s="454" t="s">
        <v>9126</v>
      </c>
      <c r="D1067" s="454" t="s">
        <v>517</v>
      </c>
      <c r="E1067" s="454" t="s">
        <v>9127</v>
      </c>
      <c r="F1067" s="454" t="s">
        <v>513</v>
      </c>
      <c r="G1067" s="454" t="s">
        <v>14089</v>
      </c>
      <c r="H1067" s="455">
        <v>62463518000119</v>
      </c>
      <c r="I1067" s="462">
        <v>33108</v>
      </c>
      <c r="J1067" s="457">
        <v>37532987</v>
      </c>
      <c r="K1067" s="454" t="s">
        <v>7130</v>
      </c>
      <c r="L1067" s="458">
        <v>10</v>
      </c>
      <c r="M1067" s="454" t="s">
        <v>7052</v>
      </c>
      <c r="N1067" s="459">
        <v>3928130</v>
      </c>
      <c r="O1067" s="460">
        <v>27020885</v>
      </c>
      <c r="P1067" s="462">
        <v>150137</v>
      </c>
      <c r="Q1067" s="462">
        <v>55</v>
      </c>
      <c r="R1067" s="462">
        <v>43937</v>
      </c>
      <c r="S1067" s="463">
        <v>622</v>
      </c>
      <c r="T1067" s="464">
        <v>5.4</v>
      </c>
      <c r="U1067" s="465">
        <v>3358.8</v>
      </c>
      <c r="V1067" s="465">
        <v>17100</v>
      </c>
      <c r="W1067" s="466">
        <v>0</v>
      </c>
      <c r="X1067" s="467">
        <v>1</v>
      </c>
      <c r="Y1067" s="466">
        <v>30688.2</v>
      </c>
      <c r="Z1067" s="468" t="s">
        <v>516</v>
      </c>
      <c r="AA1067" s="466">
        <v>123757</v>
      </c>
      <c r="AB1067" s="466">
        <v>123757</v>
      </c>
      <c r="AC1067" s="467">
        <v>0</v>
      </c>
      <c r="AD1067" s="466">
        <v>0</v>
      </c>
      <c r="AE1067" s="468" t="s">
        <v>516</v>
      </c>
      <c r="AF1067" s="466">
        <v>0</v>
      </c>
      <c r="AG1067" s="466">
        <v>0</v>
      </c>
      <c r="AH1067" s="466">
        <v>16479.43</v>
      </c>
      <c r="AI1067" s="466">
        <v>5607.5</v>
      </c>
      <c r="AJ1067" s="469" t="s">
        <v>2030</v>
      </c>
      <c r="AK1067" s="470" t="s">
        <v>513</v>
      </c>
      <c r="AL1067" s="471" t="s">
        <v>9128</v>
      </c>
      <c r="AM1067" s="470" t="s">
        <v>14090</v>
      </c>
      <c r="AN1067" s="470" t="s">
        <v>9129</v>
      </c>
      <c r="AO1067" s="470" t="s">
        <v>9130</v>
      </c>
      <c r="AP1067" s="470" t="s">
        <v>9131</v>
      </c>
      <c r="AQ1067" s="470" t="s">
        <v>9126</v>
      </c>
      <c r="AR1067" s="472" t="s">
        <v>515</v>
      </c>
      <c r="AS1067" s="473" t="s">
        <v>1385</v>
      </c>
      <c r="AT1067" s="472" t="s">
        <v>517</v>
      </c>
      <c r="AU1067" s="472" t="s">
        <v>420</v>
      </c>
      <c r="AV1067" s="472">
        <v>2020</v>
      </c>
      <c r="AW1067" s="474" t="s">
        <v>15078</v>
      </c>
      <c r="AX1067" s="475" t="s">
        <v>15079</v>
      </c>
      <c r="AY1067" s="515">
        <v>1</v>
      </c>
      <c r="AZ1067" s="474" t="s">
        <v>15079</v>
      </c>
      <c r="BA1067" s="472" t="s">
        <v>517</v>
      </c>
      <c r="BB1067" s="472" t="s">
        <v>1385</v>
      </c>
      <c r="BC1067" s="472" t="s">
        <v>1385</v>
      </c>
      <c r="BD1067" s="472" t="s">
        <v>1385</v>
      </c>
      <c r="BE1067" s="472" t="s">
        <v>1385</v>
      </c>
      <c r="BF1067" s="472">
        <v>30688.2</v>
      </c>
      <c r="BG1067" s="472">
        <v>0</v>
      </c>
      <c r="BH1067" s="472" t="s">
        <v>1385</v>
      </c>
      <c r="BI1067" s="510">
        <v>0</v>
      </c>
      <c r="BJ1067" s="510">
        <v>0</v>
      </c>
      <c r="BK1067" s="510">
        <v>0</v>
      </c>
      <c r="BL1067" s="510">
        <v>659.78</v>
      </c>
      <c r="BM1067" s="510">
        <v>0</v>
      </c>
      <c r="BN1067" s="510">
        <v>3500</v>
      </c>
      <c r="BO1067" s="510">
        <v>0</v>
      </c>
      <c r="BP1067" s="510">
        <v>0</v>
      </c>
      <c r="BQ1067" s="510">
        <v>0</v>
      </c>
      <c r="BR1067" s="510">
        <v>0</v>
      </c>
      <c r="BS1067" s="510">
        <v>0</v>
      </c>
      <c r="BT1067" s="510">
        <v>0</v>
      </c>
      <c r="BU1067" s="510">
        <v>2500</v>
      </c>
      <c r="BV1067" s="510">
        <v>2500</v>
      </c>
      <c r="BW1067" s="510">
        <v>0</v>
      </c>
      <c r="BX1067" s="510">
        <v>30000</v>
      </c>
      <c r="BY1067" s="1011">
        <v>0</v>
      </c>
      <c r="BZ1067" s="510">
        <v>0</v>
      </c>
      <c r="CA1067" s="1011">
        <v>0</v>
      </c>
      <c r="CB1067" s="510">
        <v>22000</v>
      </c>
      <c r="CC1067" s="1011">
        <v>0</v>
      </c>
      <c r="CD1067" s="510">
        <v>0</v>
      </c>
      <c r="CE1067" s="1011">
        <v>0</v>
      </c>
      <c r="CF1067" s="510">
        <v>41068.800000000003</v>
      </c>
      <c r="CG1067" s="1011">
        <v>0</v>
      </c>
      <c r="CH1067" s="510">
        <v>0</v>
      </c>
      <c r="CI1067" s="1011">
        <v>0</v>
      </c>
    </row>
    <row r="1068" spans="1:87" x14ac:dyDescent="0.2">
      <c r="A1068" s="449">
        <v>59</v>
      </c>
      <c r="B1068" s="453">
        <v>95591</v>
      </c>
      <c r="C1068" s="454" t="s">
        <v>9132</v>
      </c>
      <c r="D1068" s="454" t="s">
        <v>517</v>
      </c>
      <c r="E1068" s="454" t="s">
        <v>9133</v>
      </c>
      <c r="F1068" s="454" t="s">
        <v>513</v>
      </c>
      <c r="G1068" s="454" t="s">
        <v>14091</v>
      </c>
      <c r="H1068" s="455">
        <v>58491705000139</v>
      </c>
      <c r="I1068" s="462">
        <v>32171</v>
      </c>
      <c r="J1068" s="457">
        <v>37532871</v>
      </c>
      <c r="K1068" s="454" t="s">
        <v>7124</v>
      </c>
      <c r="L1068" s="458">
        <v>300</v>
      </c>
      <c r="M1068" s="454" t="s">
        <v>7052</v>
      </c>
      <c r="N1068" s="459">
        <v>3928220</v>
      </c>
      <c r="O1068" s="460">
        <v>27020261</v>
      </c>
      <c r="P1068" s="462">
        <v>150226</v>
      </c>
      <c r="Q1068" s="462">
        <v>59</v>
      </c>
      <c r="R1068" s="462">
        <v>43937</v>
      </c>
      <c r="S1068" s="463">
        <v>532</v>
      </c>
      <c r="T1068" s="464">
        <v>5.4</v>
      </c>
      <c r="U1068" s="465">
        <v>2872.8</v>
      </c>
      <c r="V1068" s="465">
        <v>17100</v>
      </c>
      <c r="W1068" s="466">
        <v>0</v>
      </c>
      <c r="X1068" s="467">
        <v>1</v>
      </c>
      <c r="Y1068" s="466">
        <v>29959.200000000001</v>
      </c>
      <c r="Z1068" s="468" t="s">
        <v>516</v>
      </c>
      <c r="AA1068" s="466">
        <v>121710.39999999999</v>
      </c>
      <c r="AB1068" s="466">
        <v>121710.39999999999</v>
      </c>
      <c r="AC1068" s="467">
        <v>0</v>
      </c>
      <c r="AD1068" s="466">
        <v>0</v>
      </c>
      <c r="AE1068" s="468" t="s">
        <v>516</v>
      </c>
      <c r="AF1068" s="466">
        <v>0</v>
      </c>
      <c r="AG1068" s="466">
        <v>0</v>
      </c>
      <c r="AH1068" s="466">
        <v>31217.84</v>
      </c>
      <c r="AI1068" s="466">
        <v>4635.32</v>
      </c>
      <c r="AJ1068" s="469" t="s">
        <v>6995</v>
      </c>
      <c r="AK1068" s="470" t="s">
        <v>6994</v>
      </c>
      <c r="AL1068" s="471" t="s">
        <v>9134</v>
      </c>
      <c r="AM1068" s="470" t="s">
        <v>9135</v>
      </c>
      <c r="AN1068" s="470" t="s">
        <v>1385</v>
      </c>
      <c r="AO1068" s="470" t="s">
        <v>9136</v>
      </c>
      <c r="AP1068" s="470" t="s">
        <v>9137</v>
      </c>
      <c r="AQ1068" s="470" t="s">
        <v>9132</v>
      </c>
      <c r="AR1068" s="472" t="s">
        <v>515</v>
      </c>
      <c r="AS1068" s="473" t="s">
        <v>1385</v>
      </c>
      <c r="AT1068" s="472" t="s">
        <v>517</v>
      </c>
      <c r="AU1068" s="472" t="s">
        <v>420</v>
      </c>
      <c r="AV1068" s="472">
        <v>2020</v>
      </c>
      <c r="AW1068" s="474" t="s">
        <v>15078</v>
      </c>
      <c r="AX1068" s="475" t="s">
        <v>15079</v>
      </c>
      <c r="AY1068" s="515">
        <v>1</v>
      </c>
      <c r="AZ1068" s="474" t="s">
        <v>15079</v>
      </c>
      <c r="BA1068" s="472" t="s">
        <v>517</v>
      </c>
      <c r="BB1068" s="472" t="s">
        <v>1385</v>
      </c>
      <c r="BC1068" s="472" t="s">
        <v>1385</v>
      </c>
      <c r="BD1068" s="472" t="s">
        <v>1385</v>
      </c>
      <c r="BE1068" s="472" t="s">
        <v>1385</v>
      </c>
      <c r="BF1068" s="472">
        <v>29959.200000000001</v>
      </c>
      <c r="BG1068" s="472">
        <v>0</v>
      </c>
      <c r="BH1068" s="472" t="s">
        <v>1385</v>
      </c>
      <c r="BI1068" s="510">
        <v>0</v>
      </c>
      <c r="BJ1068" s="510">
        <v>0</v>
      </c>
      <c r="BK1068" s="510">
        <v>0</v>
      </c>
      <c r="BL1068" s="510">
        <v>0</v>
      </c>
      <c r="BM1068" s="510">
        <v>0</v>
      </c>
      <c r="BN1068" s="510">
        <v>3500</v>
      </c>
      <c r="BO1068" s="510">
        <v>0</v>
      </c>
      <c r="BP1068" s="510">
        <v>0</v>
      </c>
      <c r="BQ1068" s="510">
        <v>0</v>
      </c>
      <c r="BR1068" s="510">
        <v>0</v>
      </c>
      <c r="BS1068" s="510">
        <v>0</v>
      </c>
      <c r="BT1068" s="510">
        <v>0</v>
      </c>
      <c r="BU1068" s="510">
        <v>2500</v>
      </c>
      <c r="BV1068" s="510">
        <v>2500</v>
      </c>
      <c r="BW1068" s="510">
        <v>0</v>
      </c>
      <c r="BX1068" s="510">
        <v>30000</v>
      </c>
      <c r="BY1068" s="1011">
        <v>0</v>
      </c>
      <c r="BZ1068" s="510">
        <v>0</v>
      </c>
      <c r="CA1068" s="1011">
        <v>0</v>
      </c>
      <c r="CB1068" s="510">
        <v>22000</v>
      </c>
      <c r="CC1068" s="1011">
        <v>0</v>
      </c>
      <c r="CD1068" s="510">
        <v>0</v>
      </c>
      <c r="CE1068" s="1011">
        <v>0</v>
      </c>
      <c r="CF1068" s="510">
        <v>39751.199999999997</v>
      </c>
      <c r="CG1068" s="1011">
        <v>0</v>
      </c>
      <c r="CH1068" s="510">
        <v>0</v>
      </c>
      <c r="CI1068" s="1011">
        <v>0</v>
      </c>
    </row>
    <row r="1069" spans="1:87" x14ac:dyDescent="0.2">
      <c r="A1069" s="449">
        <v>77</v>
      </c>
      <c r="B1069" s="453">
        <v>95605</v>
      </c>
      <c r="C1069" s="454" t="s">
        <v>9138</v>
      </c>
      <c r="D1069" s="454" t="s">
        <v>517</v>
      </c>
      <c r="E1069" s="454" t="s">
        <v>9139</v>
      </c>
      <c r="F1069" s="454" t="s">
        <v>513</v>
      </c>
      <c r="G1069" s="454" t="s">
        <v>14092</v>
      </c>
      <c r="H1069" s="455">
        <v>54747712000106</v>
      </c>
      <c r="I1069" s="462">
        <v>31287</v>
      </c>
      <c r="J1069" s="457">
        <v>37536974</v>
      </c>
      <c r="K1069" s="454" t="s">
        <v>9140</v>
      </c>
      <c r="L1069" s="458" t="s">
        <v>1446</v>
      </c>
      <c r="M1069" s="454" t="s">
        <v>9141</v>
      </c>
      <c r="N1069" s="459">
        <v>3924120</v>
      </c>
      <c r="O1069" s="460">
        <v>27023629</v>
      </c>
      <c r="P1069" s="462">
        <v>150897</v>
      </c>
      <c r="Q1069" s="462">
        <v>77</v>
      </c>
      <c r="R1069" s="462">
        <v>43937</v>
      </c>
      <c r="S1069" s="463">
        <v>992</v>
      </c>
      <c r="T1069" s="464">
        <v>5.4</v>
      </c>
      <c r="U1069" s="465">
        <v>5356.8</v>
      </c>
      <c r="V1069" s="465">
        <v>20340</v>
      </c>
      <c r="W1069" s="466">
        <v>0</v>
      </c>
      <c r="X1069" s="467">
        <v>1</v>
      </c>
      <c r="Y1069" s="466">
        <v>38545.199999999997</v>
      </c>
      <c r="Z1069" s="468" t="s">
        <v>516</v>
      </c>
      <c r="AA1069" s="466">
        <v>141852.4</v>
      </c>
      <c r="AB1069" s="466">
        <v>141852.4</v>
      </c>
      <c r="AC1069" s="467">
        <v>0</v>
      </c>
      <c r="AD1069" s="466">
        <v>0</v>
      </c>
      <c r="AE1069" s="468" t="s">
        <v>516</v>
      </c>
      <c r="AF1069" s="466">
        <v>0</v>
      </c>
      <c r="AG1069" s="466">
        <v>0</v>
      </c>
      <c r="AH1069" s="466">
        <v>29177.55</v>
      </c>
      <c r="AI1069" s="466">
        <v>12360.1</v>
      </c>
      <c r="AJ1069" s="469" t="s">
        <v>1972</v>
      </c>
      <c r="AK1069" s="470" t="s">
        <v>1973</v>
      </c>
      <c r="AL1069" s="471" t="s">
        <v>9142</v>
      </c>
      <c r="AM1069" s="470" t="s">
        <v>14093</v>
      </c>
      <c r="AN1069" s="470" t="s">
        <v>1385</v>
      </c>
      <c r="AO1069" s="470" t="s">
        <v>9143</v>
      </c>
      <c r="AP1069" s="470" t="s">
        <v>9144</v>
      </c>
      <c r="AQ1069" s="470" t="s">
        <v>9138</v>
      </c>
      <c r="AR1069" s="472" t="s">
        <v>515</v>
      </c>
      <c r="AS1069" s="473" t="s">
        <v>1385</v>
      </c>
      <c r="AT1069" s="472" t="s">
        <v>517</v>
      </c>
      <c r="AU1069" s="472" t="s">
        <v>420</v>
      </c>
      <c r="AV1069" s="472">
        <v>2020</v>
      </c>
      <c r="AW1069" s="474" t="s">
        <v>15078</v>
      </c>
      <c r="AX1069" s="475" t="s">
        <v>15079</v>
      </c>
      <c r="AY1069" s="515">
        <v>1</v>
      </c>
      <c r="AZ1069" s="474" t="s">
        <v>15079</v>
      </c>
      <c r="BA1069" s="472" t="s">
        <v>517</v>
      </c>
      <c r="BB1069" s="472" t="s">
        <v>1385</v>
      </c>
      <c r="BC1069" s="472" t="s">
        <v>1385</v>
      </c>
      <c r="BD1069" s="472" t="s">
        <v>1385</v>
      </c>
      <c r="BE1069" s="472" t="s">
        <v>1385</v>
      </c>
      <c r="BF1069" s="472">
        <v>38545.199999999997</v>
      </c>
      <c r="BG1069" s="472">
        <v>0</v>
      </c>
      <c r="BH1069" s="472" t="s">
        <v>1385</v>
      </c>
      <c r="BI1069" s="510">
        <v>0</v>
      </c>
      <c r="BJ1069" s="510">
        <v>0</v>
      </c>
      <c r="BK1069" s="510">
        <v>0</v>
      </c>
      <c r="BL1069" s="510">
        <v>3500</v>
      </c>
      <c r="BM1069" s="510">
        <v>0</v>
      </c>
      <c r="BN1069" s="510">
        <v>5000</v>
      </c>
      <c r="BO1069" s="510">
        <v>0</v>
      </c>
      <c r="BP1069" s="510">
        <v>0</v>
      </c>
      <c r="BQ1069" s="510">
        <v>0</v>
      </c>
      <c r="BR1069" s="510">
        <v>0</v>
      </c>
      <c r="BS1069" s="510">
        <v>0</v>
      </c>
      <c r="BT1069" s="510">
        <v>0</v>
      </c>
      <c r="BU1069" s="510">
        <v>2500</v>
      </c>
      <c r="BV1069" s="510">
        <v>2500</v>
      </c>
      <c r="BW1069" s="510">
        <v>0</v>
      </c>
      <c r="BX1069" s="510">
        <v>30000</v>
      </c>
      <c r="BY1069" s="1011">
        <v>0</v>
      </c>
      <c r="BZ1069" s="510">
        <v>0</v>
      </c>
      <c r="CA1069" s="1011">
        <v>0</v>
      </c>
      <c r="CB1069" s="510">
        <v>22000</v>
      </c>
      <c r="CC1069" s="1011">
        <v>0</v>
      </c>
      <c r="CD1069" s="510">
        <v>0</v>
      </c>
      <c r="CE1069" s="1011">
        <v>0</v>
      </c>
      <c r="CF1069" s="510">
        <v>51307.199999999997</v>
      </c>
      <c r="CG1069" s="1011">
        <v>0</v>
      </c>
      <c r="CH1069" s="510">
        <v>0</v>
      </c>
      <c r="CI1069" s="1011">
        <v>0</v>
      </c>
    </row>
    <row r="1070" spans="1:87" x14ac:dyDescent="0.2">
      <c r="A1070" s="449">
        <v>69</v>
      </c>
      <c r="B1070" s="453">
        <v>95613</v>
      </c>
      <c r="C1070" s="454" t="s">
        <v>9145</v>
      </c>
      <c r="D1070" s="454" t="s">
        <v>517</v>
      </c>
      <c r="E1070" s="454" t="s">
        <v>9146</v>
      </c>
      <c r="F1070" s="454" t="s">
        <v>513</v>
      </c>
      <c r="G1070" s="454" t="s">
        <v>14094</v>
      </c>
      <c r="H1070" s="455">
        <v>55952584000197</v>
      </c>
      <c r="I1070" s="462">
        <v>31603</v>
      </c>
      <c r="J1070" s="457">
        <v>37532790</v>
      </c>
      <c r="K1070" s="454" t="s">
        <v>9147</v>
      </c>
      <c r="L1070" s="458">
        <v>583</v>
      </c>
      <c r="M1070" s="454" t="s">
        <v>7052</v>
      </c>
      <c r="N1070" s="459">
        <v>3928240</v>
      </c>
      <c r="O1070" s="460">
        <v>27047060</v>
      </c>
      <c r="P1070" s="462">
        <v>150781</v>
      </c>
      <c r="Q1070" s="462">
        <v>69</v>
      </c>
      <c r="R1070" s="462">
        <v>43937</v>
      </c>
      <c r="S1070" s="463">
        <v>898</v>
      </c>
      <c r="T1070" s="464">
        <v>5.4</v>
      </c>
      <c r="U1070" s="465">
        <v>4849.2</v>
      </c>
      <c r="V1070" s="465">
        <v>18720</v>
      </c>
      <c r="W1070" s="466">
        <v>0</v>
      </c>
      <c r="X1070" s="467">
        <v>1</v>
      </c>
      <c r="Y1070" s="466">
        <v>0</v>
      </c>
      <c r="Z1070" s="468" t="s">
        <v>514</v>
      </c>
      <c r="AA1070" s="466">
        <v>0</v>
      </c>
      <c r="AB1070" s="466">
        <v>0</v>
      </c>
      <c r="AC1070" s="467">
        <v>0</v>
      </c>
      <c r="AD1070" s="466">
        <v>0</v>
      </c>
      <c r="AE1070" s="468" t="s">
        <v>514</v>
      </c>
      <c r="AF1070" s="466">
        <v>0</v>
      </c>
      <c r="AG1070" s="466">
        <v>0</v>
      </c>
      <c r="AH1070" s="466">
        <v>0</v>
      </c>
      <c r="AI1070" s="466">
        <v>0</v>
      </c>
      <c r="AJ1070" s="469" t="s">
        <v>6985</v>
      </c>
      <c r="AK1070" s="470" t="s">
        <v>9084</v>
      </c>
      <c r="AL1070" s="471" t="s">
        <v>9148</v>
      </c>
      <c r="AM1070" s="470" t="s">
        <v>9149</v>
      </c>
      <c r="AN1070" s="470" t="s">
        <v>9150</v>
      </c>
      <c r="AO1070" s="470" t="s">
        <v>9151</v>
      </c>
      <c r="AP1070" s="470" t="s">
        <v>9152</v>
      </c>
      <c r="AQ1070" s="470" t="s">
        <v>9145</v>
      </c>
      <c r="AR1070" s="472" t="s">
        <v>515</v>
      </c>
      <c r="AS1070" s="473" t="s">
        <v>1385</v>
      </c>
      <c r="AT1070" s="472" t="s">
        <v>517</v>
      </c>
      <c r="AU1070" s="472" t="s">
        <v>420</v>
      </c>
      <c r="AV1070" s="472">
        <v>2020</v>
      </c>
      <c r="AW1070" s="474" t="s">
        <v>15078</v>
      </c>
      <c r="AX1070" s="475" t="s">
        <v>15079</v>
      </c>
      <c r="AY1070" s="515">
        <v>1</v>
      </c>
      <c r="AZ1070" s="474" t="s">
        <v>15079</v>
      </c>
      <c r="BA1070" s="472" t="s">
        <v>1385</v>
      </c>
      <c r="BB1070" s="472" t="s">
        <v>1385</v>
      </c>
      <c r="BC1070" s="472" t="s">
        <v>1385</v>
      </c>
      <c r="BD1070" s="472" t="s">
        <v>1385</v>
      </c>
      <c r="BE1070" s="472" t="s">
        <v>1385</v>
      </c>
      <c r="BF1070" s="472">
        <v>35353.800000000003</v>
      </c>
      <c r="BG1070" s="472">
        <v>0</v>
      </c>
      <c r="BH1070" s="472" t="s">
        <v>516</v>
      </c>
      <c r="BI1070" s="510">
        <v>0</v>
      </c>
      <c r="BJ1070" s="510">
        <v>0</v>
      </c>
      <c r="BK1070" s="510">
        <v>0</v>
      </c>
      <c r="BL1070" s="510">
        <v>0</v>
      </c>
      <c r="BM1070" s="510">
        <v>0</v>
      </c>
      <c r="BN1070" s="510">
        <v>0</v>
      </c>
      <c r="BO1070" s="510">
        <v>0</v>
      </c>
      <c r="BP1070" s="510">
        <v>0</v>
      </c>
      <c r="BQ1070" s="510">
        <v>0</v>
      </c>
      <c r="BR1070" s="510">
        <v>0</v>
      </c>
      <c r="BS1070" s="510">
        <v>0</v>
      </c>
      <c r="BT1070" s="510">
        <v>0</v>
      </c>
      <c r="BU1070" s="510">
        <v>0</v>
      </c>
      <c r="BV1070" s="510">
        <v>0</v>
      </c>
      <c r="BW1070" s="510">
        <v>0</v>
      </c>
      <c r="BX1070" s="510">
        <v>0</v>
      </c>
      <c r="BY1070" s="1011">
        <v>0</v>
      </c>
      <c r="BZ1070" s="510">
        <v>0</v>
      </c>
      <c r="CA1070" s="1011">
        <v>0</v>
      </c>
      <c r="CB1070" s="510">
        <v>0</v>
      </c>
      <c r="CC1070" s="1011">
        <v>0</v>
      </c>
      <c r="CD1070" s="510">
        <v>0</v>
      </c>
      <c r="CE1070" s="1011">
        <v>0</v>
      </c>
      <c r="CF1070" s="510">
        <v>0</v>
      </c>
      <c r="CG1070" s="1011">
        <v>0</v>
      </c>
      <c r="CH1070" s="510">
        <v>0</v>
      </c>
      <c r="CI1070" s="1011">
        <v>0</v>
      </c>
    </row>
    <row r="1071" spans="1:87" x14ac:dyDescent="0.2">
      <c r="A1071" s="449">
        <v>29</v>
      </c>
      <c r="B1071" s="453">
        <v>97047</v>
      </c>
      <c r="C1071" s="454" t="s">
        <v>9153</v>
      </c>
      <c r="D1071" s="454" t="s">
        <v>517</v>
      </c>
      <c r="E1071" s="454" t="s">
        <v>9154</v>
      </c>
      <c r="F1071" s="454" t="s">
        <v>519</v>
      </c>
      <c r="G1071" s="454" t="s">
        <v>14095</v>
      </c>
      <c r="H1071" s="455">
        <v>56275761000100</v>
      </c>
      <c r="I1071" s="462">
        <v>31657</v>
      </c>
      <c r="J1071" s="457">
        <v>37354876</v>
      </c>
      <c r="K1071" s="454" t="s">
        <v>3216</v>
      </c>
      <c r="L1071" s="458">
        <v>5895</v>
      </c>
      <c r="M1071" s="454" t="s">
        <v>2689</v>
      </c>
      <c r="N1071" s="459">
        <v>5564200</v>
      </c>
      <c r="O1071" s="460">
        <v>37829743</v>
      </c>
      <c r="P1071" s="462">
        <v>130748</v>
      </c>
      <c r="Q1071" s="462">
        <v>13</v>
      </c>
      <c r="R1071" s="462">
        <v>43881</v>
      </c>
      <c r="S1071" s="463">
        <v>340</v>
      </c>
      <c r="T1071" s="464">
        <v>5.4</v>
      </c>
      <c r="U1071" s="465">
        <v>1836</v>
      </c>
      <c r="V1071" s="465">
        <v>15480</v>
      </c>
      <c r="W1071" s="466">
        <v>0</v>
      </c>
      <c r="X1071" s="467">
        <v>1</v>
      </c>
      <c r="Y1071" s="466">
        <v>0</v>
      </c>
      <c r="Z1071" s="468" t="s">
        <v>514</v>
      </c>
      <c r="AA1071" s="466">
        <v>0</v>
      </c>
      <c r="AB1071" s="466">
        <v>0</v>
      </c>
      <c r="AC1071" s="467">
        <v>0</v>
      </c>
      <c r="AD1071" s="466">
        <v>0</v>
      </c>
      <c r="AE1071" s="468" t="s">
        <v>516</v>
      </c>
      <c r="AF1071" s="466">
        <v>0</v>
      </c>
      <c r="AG1071" s="466">
        <v>0</v>
      </c>
      <c r="AH1071" s="466">
        <v>6339.87</v>
      </c>
      <c r="AI1071" s="466">
        <v>12085.5</v>
      </c>
      <c r="AJ1071" s="469" t="s">
        <v>1940</v>
      </c>
      <c r="AK1071" s="470" t="s">
        <v>1941</v>
      </c>
      <c r="AL1071" s="471" t="s">
        <v>9156</v>
      </c>
      <c r="AM1071" s="470" t="s">
        <v>9157</v>
      </c>
      <c r="AN1071" s="470" t="s">
        <v>9155</v>
      </c>
      <c r="AO1071" s="470" t="s">
        <v>9158</v>
      </c>
      <c r="AP1071" s="470" t="s">
        <v>9159</v>
      </c>
      <c r="AQ1071" s="470" t="s">
        <v>9153</v>
      </c>
      <c r="AR1071" s="472" t="s">
        <v>515</v>
      </c>
      <c r="AS1071" s="473" t="s">
        <v>1385</v>
      </c>
      <c r="AT1071" s="472" t="s">
        <v>517</v>
      </c>
      <c r="AU1071" s="472" t="s">
        <v>420</v>
      </c>
      <c r="AV1071" s="472">
        <v>2020</v>
      </c>
      <c r="AW1071" s="474" t="s">
        <v>15078</v>
      </c>
      <c r="AX1071" s="475" t="s">
        <v>15079</v>
      </c>
      <c r="AY1071" s="515">
        <v>1</v>
      </c>
      <c r="AZ1071" s="474" t="s">
        <v>15079</v>
      </c>
      <c r="BA1071" s="472" t="s">
        <v>1385</v>
      </c>
      <c r="BB1071" s="472" t="s">
        <v>1385</v>
      </c>
      <c r="BC1071" s="472" t="s">
        <v>1385</v>
      </c>
      <c r="BD1071" s="472" t="s">
        <v>1385</v>
      </c>
      <c r="BE1071" s="472" t="s">
        <v>1385</v>
      </c>
      <c r="BF1071" s="472">
        <v>25974</v>
      </c>
      <c r="BG1071" s="472">
        <v>0</v>
      </c>
      <c r="BH1071" s="472" t="s">
        <v>516</v>
      </c>
      <c r="BI1071" s="510">
        <v>0</v>
      </c>
      <c r="BJ1071" s="510">
        <v>0</v>
      </c>
      <c r="BK1071" s="510">
        <v>0</v>
      </c>
      <c r="BL1071" s="510">
        <v>265</v>
      </c>
      <c r="BM1071" s="510">
        <v>0</v>
      </c>
      <c r="BN1071" s="510">
        <v>0</v>
      </c>
      <c r="BO1071" s="510">
        <v>0</v>
      </c>
      <c r="BP1071" s="510">
        <v>0</v>
      </c>
      <c r="BQ1071" s="510">
        <v>0</v>
      </c>
      <c r="BR1071" s="510">
        <v>0</v>
      </c>
      <c r="BS1071" s="510">
        <v>0</v>
      </c>
      <c r="BT1071" s="510">
        <v>0</v>
      </c>
      <c r="BU1071" s="510">
        <v>0</v>
      </c>
      <c r="BV1071" s="510">
        <v>0</v>
      </c>
      <c r="BW1071" s="510">
        <v>0</v>
      </c>
      <c r="BX1071" s="510">
        <v>0</v>
      </c>
      <c r="BY1071" s="1011">
        <v>0</v>
      </c>
      <c r="BZ1071" s="510">
        <v>0</v>
      </c>
      <c r="CA1071" s="1011">
        <v>0</v>
      </c>
      <c r="CB1071" s="510">
        <v>0</v>
      </c>
      <c r="CC1071" s="1011">
        <v>0</v>
      </c>
      <c r="CD1071" s="510">
        <v>0</v>
      </c>
      <c r="CE1071" s="1011">
        <v>0</v>
      </c>
      <c r="CF1071" s="510">
        <v>0</v>
      </c>
      <c r="CG1071" s="1011">
        <v>0</v>
      </c>
      <c r="CH1071" s="510">
        <v>0</v>
      </c>
      <c r="CI1071" s="1011">
        <v>0</v>
      </c>
    </row>
    <row r="1072" spans="1:87" x14ac:dyDescent="0.2">
      <c r="A1072" s="449">
        <v>48</v>
      </c>
      <c r="B1072" s="453">
        <v>97055</v>
      </c>
      <c r="C1072" s="454" t="s">
        <v>9160</v>
      </c>
      <c r="D1072" s="454" t="s">
        <v>517</v>
      </c>
      <c r="E1072" s="454" t="s">
        <v>9161</v>
      </c>
      <c r="F1072" s="454" t="s">
        <v>523</v>
      </c>
      <c r="G1072" s="454" t="s">
        <v>14096</v>
      </c>
      <c r="H1072" s="455">
        <v>58918376000160</v>
      </c>
      <c r="I1072" s="462">
        <v>32210</v>
      </c>
      <c r="J1072" s="457">
        <v>37620266</v>
      </c>
      <c r="K1072" s="454" t="s">
        <v>9162</v>
      </c>
      <c r="L1072" s="458">
        <v>60</v>
      </c>
      <c r="M1072" s="454" t="s">
        <v>523</v>
      </c>
      <c r="N1072" s="459">
        <v>8465050</v>
      </c>
      <c r="O1072" s="460">
        <v>25555752</v>
      </c>
      <c r="P1072" s="462">
        <v>262040</v>
      </c>
      <c r="Q1072" s="462">
        <v>48</v>
      </c>
      <c r="R1072" s="462">
        <v>43921</v>
      </c>
      <c r="S1072" s="463">
        <v>1105</v>
      </c>
      <c r="T1072" s="464">
        <v>5.4</v>
      </c>
      <c r="U1072" s="465">
        <v>5967</v>
      </c>
      <c r="V1072" s="465">
        <v>20340</v>
      </c>
      <c r="W1072" s="466">
        <v>0</v>
      </c>
      <c r="X1072" s="467">
        <v>1</v>
      </c>
      <c r="Y1072" s="466">
        <v>39460.5</v>
      </c>
      <c r="Z1072" s="468" t="s">
        <v>516</v>
      </c>
      <c r="AA1072" s="466">
        <v>143890.9</v>
      </c>
      <c r="AB1072" s="466">
        <v>143890.9</v>
      </c>
      <c r="AC1072" s="467">
        <v>0</v>
      </c>
      <c r="AD1072" s="466">
        <v>0</v>
      </c>
      <c r="AE1072" s="468" t="s">
        <v>516</v>
      </c>
      <c r="AF1072" s="466">
        <v>2000</v>
      </c>
      <c r="AG1072" s="466">
        <v>2000</v>
      </c>
      <c r="AH1072" s="466">
        <v>25085.38</v>
      </c>
      <c r="AI1072" s="466">
        <v>8875.59</v>
      </c>
      <c r="AJ1072" s="469" t="s">
        <v>1674</v>
      </c>
      <c r="AK1072" s="470" t="s">
        <v>518</v>
      </c>
      <c r="AL1072" s="471" t="s">
        <v>9163</v>
      </c>
      <c r="AM1072" s="470" t="s">
        <v>9164</v>
      </c>
      <c r="AN1072" s="470" t="s">
        <v>1385</v>
      </c>
      <c r="AO1072" s="470" t="s">
        <v>9165</v>
      </c>
      <c r="AP1072" s="470" t="s">
        <v>9166</v>
      </c>
      <c r="AQ1072" s="470" t="s">
        <v>9160</v>
      </c>
      <c r="AR1072" s="472" t="s">
        <v>515</v>
      </c>
      <c r="AS1072" s="473" t="s">
        <v>1385</v>
      </c>
      <c r="AT1072" s="472" t="s">
        <v>517</v>
      </c>
      <c r="AU1072" s="472" t="s">
        <v>420</v>
      </c>
      <c r="AV1072" s="472">
        <v>2020</v>
      </c>
      <c r="AW1072" s="474" t="s">
        <v>15078</v>
      </c>
      <c r="AX1072" s="475" t="s">
        <v>15079</v>
      </c>
      <c r="AY1072" s="515">
        <v>1</v>
      </c>
      <c r="AZ1072" s="474" t="s">
        <v>15079</v>
      </c>
      <c r="BA1072" s="472" t="s">
        <v>517</v>
      </c>
      <c r="BB1072" s="472" t="s">
        <v>1385</v>
      </c>
      <c r="BC1072" s="472" t="s">
        <v>1385</v>
      </c>
      <c r="BD1072" s="472" t="s">
        <v>1385</v>
      </c>
      <c r="BE1072" s="472" t="s">
        <v>1385</v>
      </c>
      <c r="BF1072" s="472">
        <v>39460.5</v>
      </c>
      <c r="BG1072" s="472">
        <v>0</v>
      </c>
      <c r="BH1072" s="472" t="s">
        <v>1385</v>
      </c>
      <c r="BI1072" s="510">
        <v>0</v>
      </c>
      <c r="BJ1072" s="510">
        <v>0</v>
      </c>
      <c r="BK1072" s="510">
        <v>0</v>
      </c>
      <c r="BL1072" s="510">
        <v>0</v>
      </c>
      <c r="BM1072" s="510">
        <v>0</v>
      </c>
      <c r="BN1072" s="510">
        <v>5000</v>
      </c>
      <c r="BO1072" s="510">
        <v>0</v>
      </c>
      <c r="BP1072" s="510">
        <v>2000</v>
      </c>
      <c r="BQ1072" s="510">
        <v>0</v>
      </c>
      <c r="BR1072" s="510">
        <v>0</v>
      </c>
      <c r="BS1072" s="510">
        <v>0</v>
      </c>
      <c r="BT1072" s="510">
        <v>0</v>
      </c>
      <c r="BU1072" s="510">
        <v>2500</v>
      </c>
      <c r="BV1072" s="510">
        <v>2500</v>
      </c>
      <c r="BW1072" s="510">
        <v>0</v>
      </c>
      <c r="BX1072" s="510">
        <v>30000</v>
      </c>
      <c r="BY1072" s="1011">
        <v>0</v>
      </c>
      <c r="BZ1072" s="510">
        <v>0</v>
      </c>
      <c r="CA1072" s="1011">
        <v>0</v>
      </c>
      <c r="CB1072" s="510">
        <v>22000</v>
      </c>
      <c r="CC1072" s="1011">
        <v>0</v>
      </c>
      <c r="CD1072" s="510">
        <v>0</v>
      </c>
      <c r="CE1072" s="1011">
        <v>0</v>
      </c>
      <c r="CF1072" s="510">
        <v>52430.400000000001</v>
      </c>
      <c r="CG1072" s="1011">
        <v>0</v>
      </c>
      <c r="CH1072" s="510">
        <v>0</v>
      </c>
      <c r="CI1072" s="1011">
        <v>0</v>
      </c>
    </row>
    <row r="1073" spans="1:87" x14ac:dyDescent="0.2">
      <c r="A1073" s="449">
        <v>34</v>
      </c>
      <c r="B1073" s="453">
        <v>97063</v>
      </c>
      <c r="C1073" s="454" t="s">
        <v>9167</v>
      </c>
      <c r="D1073" s="454" t="s">
        <v>517</v>
      </c>
      <c r="E1073" s="454" t="s">
        <v>9168</v>
      </c>
      <c r="F1073" s="454" t="s">
        <v>523</v>
      </c>
      <c r="G1073" s="454" t="s">
        <v>14097</v>
      </c>
      <c r="H1073" s="455">
        <v>58119553000148</v>
      </c>
      <c r="I1073" s="462">
        <v>31901</v>
      </c>
      <c r="J1073" s="457">
        <v>37615610</v>
      </c>
      <c r="K1073" s="454" t="s">
        <v>9169</v>
      </c>
      <c r="L1073" s="458">
        <v>186</v>
      </c>
      <c r="M1073" s="454" t="s">
        <v>5660</v>
      </c>
      <c r="N1073" s="459">
        <v>8474000</v>
      </c>
      <c r="O1073" s="460">
        <v>29649078</v>
      </c>
      <c r="P1073" s="462">
        <v>263772</v>
      </c>
      <c r="Q1073" s="462">
        <v>34</v>
      </c>
      <c r="R1073" s="462">
        <v>43921</v>
      </c>
      <c r="S1073" s="463">
        <v>488</v>
      </c>
      <c r="T1073" s="464">
        <v>5.4</v>
      </c>
      <c r="U1073" s="465">
        <v>2635.2</v>
      </c>
      <c r="V1073" s="465">
        <v>15480</v>
      </c>
      <c r="W1073" s="466">
        <v>0</v>
      </c>
      <c r="X1073" s="467">
        <v>1</v>
      </c>
      <c r="Y1073" s="466">
        <v>27172.799999999999</v>
      </c>
      <c r="Z1073" s="468" t="s">
        <v>516</v>
      </c>
      <c r="AA1073" s="466">
        <v>115403.2</v>
      </c>
      <c r="AB1073" s="466">
        <v>115403.2</v>
      </c>
      <c r="AC1073" s="467">
        <v>0</v>
      </c>
      <c r="AD1073" s="466">
        <v>0</v>
      </c>
      <c r="AE1073" s="468" t="s">
        <v>516</v>
      </c>
      <c r="AF1073" s="466">
        <v>0</v>
      </c>
      <c r="AG1073" s="466">
        <v>0</v>
      </c>
      <c r="AH1073" s="466">
        <v>26888.65</v>
      </c>
      <c r="AI1073" s="466">
        <v>4153.13</v>
      </c>
      <c r="AJ1073" s="469" t="s">
        <v>1674</v>
      </c>
      <c r="AK1073" s="470" t="s">
        <v>518</v>
      </c>
      <c r="AL1073" s="471" t="s">
        <v>9170</v>
      </c>
      <c r="AM1073" s="470" t="s">
        <v>9171</v>
      </c>
      <c r="AN1073" s="470" t="s">
        <v>1385</v>
      </c>
      <c r="AO1073" s="470" t="s">
        <v>9172</v>
      </c>
      <c r="AP1073" s="470" t="s">
        <v>9173</v>
      </c>
      <c r="AQ1073" s="470" t="s">
        <v>9167</v>
      </c>
      <c r="AR1073" s="472" t="s">
        <v>515</v>
      </c>
      <c r="AS1073" s="473" t="s">
        <v>1385</v>
      </c>
      <c r="AT1073" s="472" t="s">
        <v>517</v>
      </c>
      <c r="AU1073" s="472" t="s">
        <v>420</v>
      </c>
      <c r="AV1073" s="472">
        <v>2020</v>
      </c>
      <c r="AW1073" s="474" t="s">
        <v>15078</v>
      </c>
      <c r="AX1073" s="475" t="s">
        <v>15079</v>
      </c>
      <c r="AY1073" s="515">
        <v>1</v>
      </c>
      <c r="AZ1073" s="474" t="s">
        <v>15079</v>
      </c>
      <c r="BA1073" s="472" t="s">
        <v>517</v>
      </c>
      <c r="BB1073" s="472" t="s">
        <v>1385</v>
      </c>
      <c r="BC1073" s="472" t="s">
        <v>1385</v>
      </c>
      <c r="BD1073" s="472" t="s">
        <v>1385</v>
      </c>
      <c r="BE1073" s="472" t="s">
        <v>1385</v>
      </c>
      <c r="BF1073" s="472">
        <v>27172.799999999999</v>
      </c>
      <c r="BG1073" s="472">
        <v>0</v>
      </c>
      <c r="BH1073" s="472" t="s">
        <v>1385</v>
      </c>
      <c r="BI1073" s="510">
        <v>0</v>
      </c>
      <c r="BJ1073" s="510">
        <v>0</v>
      </c>
      <c r="BK1073" s="510">
        <v>0</v>
      </c>
      <c r="BL1073" s="510">
        <v>11.8</v>
      </c>
      <c r="BM1073" s="510">
        <v>0</v>
      </c>
      <c r="BN1073" s="510">
        <v>2050</v>
      </c>
      <c r="BO1073" s="510">
        <v>0</v>
      </c>
      <c r="BP1073" s="510">
        <v>0</v>
      </c>
      <c r="BQ1073" s="510">
        <v>0</v>
      </c>
      <c r="BR1073" s="510">
        <v>0</v>
      </c>
      <c r="BS1073" s="510">
        <v>0</v>
      </c>
      <c r="BT1073" s="510">
        <v>0</v>
      </c>
      <c r="BU1073" s="510">
        <v>0</v>
      </c>
      <c r="BV1073" s="510">
        <v>0</v>
      </c>
      <c r="BW1073" s="510">
        <v>0</v>
      </c>
      <c r="BX1073" s="510">
        <v>30000</v>
      </c>
      <c r="BY1073" s="1011">
        <v>0</v>
      </c>
      <c r="BZ1073" s="510">
        <v>0</v>
      </c>
      <c r="CA1073" s="1011">
        <v>0</v>
      </c>
      <c r="CB1073" s="510">
        <v>22000</v>
      </c>
      <c r="CC1073" s="1011">
        <v>0</v>
      </c>
      <c r="CD1073" s="510">
        <v>0</v>
      </c>
      <c r="CE1073" s="1011">
        <v>0</v>
      </c>
      <c r="CF1073" s="510">
        <v>36230.400000000001</v>
      </c>
      <c r="CG1073" s="1011">
        <v>0</v>
      </c>
      <c r="CH1073" s="510">
        <v>0</v>
      </c>
      <c r="CI1073" s="1011">
        <v>0</v>
      </c>
    </row>
    <row r="1074" spans="1:87" x14ac:dyDescent="0.2">
      <c r="A1074" s="449">
        <v>78</v>
      </c>
      <c r="B1074" s="453">
        <v>97071</v>
      </c>
      <c r="C1074" s="454" t="s">
        <v>9174</v>
      </c>
      <c r="D1074" s="454" t="s">
        <v>1390</v>
      </c>
      <c r="E1074" s="454" t="s">
        <v>9175</v>
      </c>
      <c r="F1074" s="454" t="s">
        <v>523</v>
      </c>
      <c r="G1074" s="454" t="s">
        <v>14098</v>
      </c>
      <c r="H1074" s="455">
        <v>57806747000159</v>
      </c>
      <c r="I1074" s="462">
        <v>31952</v>
      </c>
      <c r="J1074" s="457">
        <v>37615211</v>
      </c>
      <c r="K1074" s="454" t="s">
        <v>9177</v>
      </c>
      <c r="L1074" s="458">
        <v>390</v>
      </c>
      <c r="M1074" s="454" t="s">
        <v>1950</v>
      </c>
      <c r="N1074" s="459">
        <v>8470790</v>
      </c>
      <c r="O1074" s="460">
        <v>29648046</v>
      </c>
      <c r="P1074" s="462">
        <v>261397</v>
      </c>
      <c r="Q1074" s="462">
        <v>78</v>
      </c>
      <c r="R1074" s="462">
        <v>43921</v>
      </c>
      <c r="S1074" s="463">
        <v>291</v>
      </c>
      <c r="T1074" s="464">
        <v>3.6</v>
      </c>
      <c r="U1074" s="465">
        <v>1047.5999999999999</v>
      </c>
      <c r="V1074" s="465">
        <v>12240</v>
      </c>
      <c r="W1074" s="466">
        <v>0</v>
      </c>
      <c r="X1074" s="467">
        <v>1</v>
      </c>
      <c r="Y1074" s="466">
        <v>19931.400000000001</v>
      </c>
      <c r="Z1074" s="468" t="s">
        <v>516</v>
      </c>
      <c r="AA1074" s="466">
        <v>91506.6</v>
      </c>
      <c r="AB1074" s="466">
        <v>91506.6</v>
      </c>
      <c r="AC1074" s="467">
        <v>0</v>
      </c>
      <c r="AD1074" s="466">
        <v>0</v>
      </c>
      <c r="AE1074" s="468" t="s">
        <v>516</v>
      </c>
      <c r="AF1074" s="466">
        <v>0</v>
      </c>
      <c r="AG1074" s="466">
        <v>0</v>
      </c>
      <c r="AH1074" s="466">
        <v>20652.02</v>
      </c>
      <c r="AI1074" s="466">
        <v>3971.16</v>
      </c>
      <c r="AJ1074" s="469" t="s">
        <v>2050</v>
      </c>
      <c r="AK1074" s="470" t="s">
        <v>2051</v>
      </c>
      <c r="AL1074" s="471" t="s">
        <v>9178</v>
      </c>
      <c r="AM1074" s="470" t="s">
        <v>14099</v>
      </c>
      <c r="AN1074" s="470" t="s">
        <v>9176</v>
      </c>
      <c r="AO1074" s="470" t="s">
        <v>9180</v>
      </c>
      <c r="AP1074" s="470" t="s">
        <v>9181</v>
      </c>
      <c r="AQ1074" s="470" t="s">
        <v>9174</v>
      </c>
      <c r="AR1074" s="472" t="s">
        <v>515</v>
      </c>
      <c r="AS1074" s="473" t="s">
        <v>1385</v>
      </c>
      <c r="AT1074" s="472" t="s">
        <v>1390</v>
      </c>
      <c r="AU1074" s="472" t="s">
        <v>420</v>
      </c>
      <c r="AV1074" s="472">
        <v>2020</v>
      </c>
      <c r="AW1074" s="474" t="s">
        <v>15078</v>
      </c>
      <c r="AX1074" s="475" t="s">
        <v>15079</v>
      </c>
      <c r="AY1074" s="515">
        <v>1</v>
      </c>
      <c r="AZ1074" s="474" t="s">
        <v>15079</v>
      </c>
      <c r="BA1074" s="472" t="s">
        <v>1390</v>
      </c>
      <c r="BB1074" s="472" t="s">
        <v>1385</v>
      </c>
      <c r="BC1074" s="472" t="s">
        <v>1385</v>
      </c>
      <c r="BD1074" s="472" t="s">
        <v>1385</v>
      </c>
      <c r="BE1074" s="472" t="s">
        <v>1385</v>
      </c>
      <c r="BF1074" s="472">
        <v>19931.400000000001</v>
      </c>
      <c r="BG1074" s="472">
        <v>0</v>
      </c>
      <c r="BH1074" s="472" t="s">
        <v>1385</v>
      </c>
      <c r="BI1074" s="510">
        <v>0</v>
      </c>
      <c r="BJ1074" s="510">
        <v>0</v>
      </c>
      <c r="BK1074" s="510">
        <v>0</v>
      </c>
      <c r="BL1074" s="510">
        <v>0</v>
      </c>
      <c r="BM1074" s="510">
        <v>0</v>
      </c>
      <c r="BN1074" s="510">
        <v>3500</v>
      </c>
      <c r="BO1074" s="510">
        <v>0</v>
      </c>
      <c r="BP1074" s="510">
        <v>0</v>
      </c>
      <c r="BQ1074" s="510">
        <v>0</v>
      </c>
      <c r="BR1074" s="510">
        <v>0</v>
      </c>
      <c r="BS1074" s="510">
        <v>0</v>
      </c>
      <c r="BT1074" s="510">
        <v>0</v>
      </c>
      <c r="BU1074" s="510">
        <v>0</v>
      </c>
      <c r="BV1074" s="510">
        <v>0</v>
      </c>
      <c r="BW1074" s="510">
        <v>0</v>
      </c>
      <c r="BX1074" s="510">
        <v>30000</v>
      </c>
      <c r="BY1074" s="1011">
        <v>0</v>
      </c>
      <c r="BZ1074" s="510">
        <v>0</v>
      </c>
      <c r="CA1074" s="1011">
        <v>0</v>
      </c>
      <c r="CB1074" s="510">
        <v>0</v>
      </c>
      <c r="CC1074" s="1011">
        <v>0</v>
      </c>
      <c r="CD1074" s="510">
        <v>0</v>
      </c>
      <c r="CE1074" s="1011">
        <v>0</v>
      </c>
      <c r="CF1074" s="510">
        <v>41575.199999999997</v>
      </c>
      <c r="CG1074" s="1011">
        <v>0</v>
      </c>
      <c r="CH1074" s="510">
        <v>0</v>
      </c>
      <c r="CI1074" s="1011">
        <v>0</v>
      </c>
    </row>
    <row r="1075" spans="1:87" x14ac:dyDescent="0.2">
      <c r="A1075" s="449">
        <v>71</v>
      </c>
      <c r="B1075" s="453">
        <v>97080</v>
      </c>
      <c r="C1075" s="454" t="s">
        <v>9182</v>
      </c>
      <c r="D1075" s="454" t="s">
        <v>1390</v>
      </c>
      <c r="E1075" s="454" t="s">
        <v>9183</v>
      </c>
      <c r="F1075" s="454" t="s">
        <v>523</v>
      </c>
      <c r="G1075" s="454" t="s">
        <v>14100</v>
      </c>
      <c r="H1075" s="455">
        <v>58373549000101</v>
      </c>
      <c r="I1075" s="462">
        <v>32010</v>
      </c>
      <c r="J1075" s="457">
        <v>37615386</v>
      </c>
      <c r="K1075" s="454" t="s">
        <v>7829</v>
      </c>
      <c r="L1075" s="458">
        <v>55</v>
      </c>
      <c r="M1075" s="454" t="s">
        <v>1950</v>
      </c>
      <c r="N1075" s="459">
        <v>8471740</v>
      </c>
      <c r="O1075" s="460">
        <v>22820978</v>
      </c>
      <c r="P1075" s="462">
        <v>261478</v>
      </c>
      <c r="Q1075" s="462">
        <v>71</v>
      </c>
      <c r="R1075" s="462">
        <v>43921</v>
      </c>
      <c r="S1075" s="463">
        <v>306</v>
      </c>
      <c r="T1075" s="464">
        <v>3.6</v>
      </c>
      <c r="U1075" s="465">
        <v>1101.5999999999999</v>
      </c>
      <c r="V1075" s="465">
        <v>13680</v>
      </c>
      <c r="W1075" s="466">
        <v>0</v>
      </c>
      <c r="X1075" s="467">
        <v>1</v>
      </c>
      <c r="Y1075" s="466">
        <v>22172.400000000001</v>
      </c>
      <c r="Z1075" s="468" t="s">
        <v>516</v>
      </c>
      <c r="AA1075" s="466">
        <v>93733.2</v>
      </c>
      <c r="AB1075" s="466">
        <v>93733.2</v>
      </c>
      <c r="AC1075" s="467">
        <v>0</v>
      </c>
      <c r="AD1075" s="466">
        <v>0</v>
      </c>
      <c r="AE1075" s="468" t="s">
        <v>516</v>
      </c>
      <c r="AF1075" s="466">
        <v>0</v>
      </c>
      <c r="AG1075" s="466">
        <v>0</v>
      </c>
      <c r="AH1075" s="466">
        <v>25678.79</v>
      </c>
      <c r="AI1075" s="466">
        <v>0.67</v>
      </c>
      <c r="AJ1075" s="469" t="s">
        <v>2050</v>
      </c>
      <c r="AK1075" s="470" t="s">
        <v>2051</v>
      </c>
      <c r="AL1075" s="471" t="s">
        <v>9185</v>
      </c>
      <c r="AM1075" s="470" t="s">
        <v>9186</v>
      </c>
      <c r="AN1075" s="470" t="s">
        <v>9184</v>
      </c>
      <c r="AO1075" s="470" t="s">
        <v>9187</v>
      </c>
      <c r="AP1075" s="470" t="s">
        <v>9188</v>
      </c>
      <c r="AQ1075" s="470" t="s">
        <v>9182</v>
      </c>
      <c r="AR1075" s="472" t="s">
        <v>515</v>
      </c>
      <c r="AS1075" s="473" t="s">
        <v>1385</v>
      </c>
      <c r="AT1075" s="472" t="s">
        <v>1390</v>
      </c>
      <c r="AU1075" s="472" t="s">
        <v>420</v>
      </c>
      <c r="AV1075" s="472">
        <v>2020</v>
      </c>
      <c r="AW1075" s="474" t="s">
        <v>15078</v>
      </c>
      <c r="AX1075" s="475" t="s">
        <v>15079</v>
      </c>
      <c r="AY1075" s="515">
        <v>1</v>
      </c>
      <c r="AZ1075" s="474" t="s">
        <v>15079</v>
      </c>
      <c r="BA1075" s="472" t="s">
        <v>1390</v>
      </c>
      <c r="BB1075" s="472" t="s">
        <v>1385</v>
      </c>
      <c r="BC1075" s="472" t="s">
        <v>1385</v>
      </c>
      <c r="BD1075" s="472" t="s">
        <v>1385</v>
      </c>
      <c r="BE1075" s="472" t="s">
        <v>1385</v>
      </c>
      <c r="BF1075" s="472">
        <v>22172.400000000001</v>
      </c>
      <c r="BG1075" s="472">
        <v>0</v>
      </c>
      <c r="BH1075" s="472" t="s">
        <v>1385</v>
      </c>
      <c r="BI1075" s="510">
        <v>0</v>
      </c>
      <c r="BJ1075" s="510">
        <v>0</v>
      </c>
      <c r="BK1075" s="510">
        <v>0</v>
      </c>
      <c r="BL1075" s="510">
        <v>0</v>
      </c>
      <c r="BM1075" s="510">
        <v>0</v>
      </c>
      <c r="BN1075" s="510">
        <v>3500</v>
      </c>
      <c r="BO1075" s="510">
        <v>0</v>
      </c>
      <c r="BP1075" s="510">
        <v>0</v>
      </c>
      <c r="BQ1075" s="510">
        <v>0</v>
      </c>
      <c r="BR1075" s="510">
        <v>0</v>
      </c>
      <c r="BS1075" s="510">
        <v>0</v>
      </c>
      <c r="BT1075" s="510">
        <v>0</v>
      </c>
      <c r="BU1075" s="510">
        <v>0</v>
      </c>
      <c r="BV1075" s="510">
        <v>0</v>
      </c>
      <c r="BW1075" s="510">
        <v>0</v>
      </c>
      <c r="BX1075" s="510">
        <v>30000</v>
      </c>
      <c r="BY1075" s="1011">
        <v>0</v>
      </c>
      <c r="BZ1075" s="510">
        <v>0</v>
      </c>
      <c r="CA1075" s="1011">
        <v>0</v>
      </c>
      <c r="CB1075" s="510">
        <v>0</v>
      </c>
      <c r="CC1075" s="1011">
        <v>0</v>
      </c>
      <c r="CD1075" s="510">
        <v>0</v>
      </c>
      <c r="CE1075" s="1011">
        <v>0</v>
      </c>
      <c r="CF1075" s="510">
        <v>41560.800000000003</v>
      </c>
      <c r="CG1075" s="1011">
        <v>0</v>
      </c>
      <c r="CH1075" s="510">
        <v>0</v>
      </c>
      <c r="CI1075" s="1011">
        <v>0</v>
      </c>
    </row>
    <row r="1076" spans="1:87" x14ac:dyDescent="0.2">
      <c r="A1076" s="449">
        <v>91</v>
      </c>
      <c r="B1076" s="453">
        <v>97098</v>
      </c>
      <c r="C1076" s="454" t="s">
        <v>9189</v>
      </c>
      <c r="D1076" s="454" t="s">
        <v>1390</v>
      </c>
      <c r="E1076" s="454" t="s">
        <v>9190</v>
      </c>
      <c r="F1076" s="454" t="s">
        <v>523</v>
      </c>
      <c r="G1076" s="454" t="s">
        <v>14101</v>
      </c>
      <c r="H1076" s="455">
        <v>57746893000136</v>
      </c>
      <c r="I1076" s="462">
        <v>31952</v>
      </c>
      <c r="J1076" s="457">
        <v>36744565</v>
      </c>
      <c r="K1076" s="454" t="s">
        <v>9191</v>
      </c>
      <c r="L1076" s="458">
        <v>333</v>
      </c>
      <c r="M1076" s="454" t="s">
        <v>1394</v>
      </c>
      <c r="N1076" s="459">
        <v>8490000</v>
      </c>
      <c r="O1076" s="460">
        <v>25552124</v>
      </c>
      <c r="P1076" s="462">
        <v>261257</v>
      </c>
      <c r="Q1076" s="462">
        <v>91</v>
      </c>
      <c r="R1076" s="462">
        <v>43921</v>
      </c>
      <c r="S1076" s="463">
        <v>321</v>
      </c>
      <c r="T1076" s="464">
        <v>3.6</v>
      </c>
      <c r="U1076" s="465">
        <v>1155.5999999999999</v>
      </c>
      <c r="V1076" s="465">
        <v>13680</v>
      </c>
      <c r="W1076" s="466">
        <v>0</v>
      </c>
      <c r="X1076" s="467">
        <v>1</v>
      </c>
      <c r="Y1076" s="466">
        <v>22253.4</v>
      </c>
      <c r="Z1076" s="468" t="s">
        <v>516</v>
      </c>
      <c r="AA1076" s="466">
        <v>96787.8</v>
      </c>
      <c r="AB1076" s="466">
        <v>96787.8</v>
      </c>
      <c r="AC1076" s="467">
        <v>0</v>
      </c>
      <c r="AD1076" s="466">
        <v>0</v>
      </c>
      <c r="AE1076" s="468" t="s">
        <v>516</v>
      </c>
      <c r="AF1076" s="466">
        <v>0</v>
      </c>
      <c r="AG1076" s="466">
        <v>0</v>
      </c>
      <c r="AH1076" s="466">
        <v>16290.28</v>
      </c>
      <c r="AI1076" s="466">
        <v>3435.88</v>
      </c>
      <c r="AJ1076" s="469" t="s">
        <v>1674</v>
      </c>
      <c r="AK1076" s="470" t="s">
        <v>518</v>
      </c>
      <c r="AL1076" s="471" t="s">
        <v>9192</v>
      </c>
      <c r="AM1076" s="470" t="s">
        <v>14102</v>
      </c>
      <c r="AN1076" s="470" t="s">
        <v>1385</v>
      </c>
      <c r="AO1076" s="470" t="s">
        <v>14103</v>
      </c>
      <c r="AP1076" s="470" t="s">
        <v>9193</v>
      </c>
      <c r="AQ1076" s="470" t="s">
        <v>9189</v>
      </c>
      <c r="AR1076" s="472" t="s">
        <v>515</v>
      </c>
      <c r="AS1076" s="473" t="s">
        <v>1385</v>
      </c>
      <c r="AT1076" s="472" t="s">
        <v>1390</v>
      </c>
      <c r="AU1076" s="472" t="s">
        <v>420</v>
      </c>
      <c r="AV1076" s="472">
        <v>2020</v>
      </c>
      <c r="AW1076" s="474" t="s">
        <v>15078</v>
      </c>
      <c r="AX1076" s="475" t="s">
        <v>15079</v>
      </c>
      <c r="AY1076" s="515">
        <v>1</v>
      </c>
      <c r="AZ1076" s="474" t="s">
        <v>15079</v>
      </c>
      <c r="BA1076" s="472" t="s">
        <v>1390</v>
      </c>
      <c r="BB1076" s="472" t="s">
        <v>1385</v>
      </c>
      <c r="BC1076" s="472" t="s">
        <v>1385</v>
      </c>
      <c r="BD1076" s="472" t="s">
        <v>1385</v>
      </c>
      <c r="BE1076" s="472" t="s">
        <v>1385</v>
      </c>
      <c r="BF1076" s="472">
        <v>22253.4</v>
      </c>
      <c r="BG1076" s="472">
        <v>0</v>
      </c>
      <c r="BH1076" s="472" t="s">
        <v>1385</v>
      </c>
      <c r="BI1076" s="510">
        <v>0</v>
      </c>
      <c r="BJ1076" s="510">
        <v>0</v>
      </c>
      <c r="BK1076" s="510">
        <v>0</v>
      </c>
      <c r="BL1076" s="510">
        <v>0</v>
      </c>
      <c r="BM1076" s="510">
        <v>0</v>
      </c>
      <c r="BN1076" s="510">
        <v>3500</v>
      </c>
      <c r="BO1076" s="510">
        <v>0</v>
      </c>
      <c r="BP1076" s="510">
        <v>0</v>
      </c>
      <c r="BQ1076" s="510">
        <v>0</v>
      </c>
      <c r="BR1076" s="510">
        <v>0</v>
      </c>
      <c r="BS1076" s="510">
        <v>0</v>
      </c>
      <c r="BT1076" s="510">
        <v>0</v>
      </c>
      <c r="BU1076" s="510">
        <v>0</v>
      </c>
      <c r="BV1076" s="510">
        <v>0</v>
      </c>
      <c r="BW1076" s="510">
        <v>0</v>
      </c>
      <c r="BX1076" s="510">
        <v>30000</v>
      </c>
      <c r="BY1076" s="1011">
        <v>0</v>
      </c>
      <c r="BZ1076" s="510">
        <v>0</v>
      </c>
      <c r="CA1076" s="1011">
        <v>0</v>
      </c>
      <c r="CB1076" s="510">
        <v>0</v>
      </c>
      <c r="CC1076" s="1011">
        <v>0</v>
      </c>
      <c r="CD1076" s="510">
        <v>0</v>
      </c>
      <c r="CE1076" s="1011">
        <v>0</v>
      </c>
      <c r="CF1076" s="510">
        <v>44534.400000000001</v>
      </c>
      <c r="CG1076" s="1011">
        <v>0</v>
      </c>
      <c r="CH1076" s="510">
        <v>0</v>
      </c>
      <c r="CI1076" s="1011">
        <v>0</v>
      </c>
    </row>
    <row r="1077" spans="1:87" x14ac:dyDescent="0.2">
      <c r="A1077" s="449">
        <v>120</v>
      </c>
      <c r="B1077" s="453">
        <v>97101</v>
      </c>
      <c r="C1077" s="454" t="s">
        <v>9194</v>
      </c>
      <c r="D1077" s="454" t="s">
        <v>1390</v>
      </c>
      <c r="E1077" s="454" t="s">
        <v>9195</v>
      </c>
      <c r="F1077" s="454" t="s">
        <v>526</v>
      </c>
      <c r="G1077" s="454" t="s">
        <v>14104</v>
      </c>
      <c r="H1077" s="455">
        <v>56464555000149</v>
      </c>
      <c r="I1077" s="462">
        <v>31666</v>
      </c>
      <c r="J1077" s="457">
        <v>37476599</v>
      </c>
      <c r="K1077" s="454" t="s">
        <v>9196</v>
      </c>
      <c r="L1077" s="458">
        <v>287</v>
      </c>
      <c r="M1077" s="454" t="s">
        <v>9197</v>
      </c>
      <c r="N1077" s="459">
        <v>8130090</v>
      </c>
      <c r="O1077" s="460">
        <v>29633450</v>
      </c>
      <c r="P1077" s="462">
        <v>130144</v>
      </c>
      <c r="Q1077" s="462">
        <v>120</v>
      </c>
      <c r="R1077" s="462">
        <v>43928</v>
      </c>
      <c r="S1077" s="463">
        <v>390</v>
      </c>
      <c r="T1077" s="464">
        <v>3.6</v>
      </c>
      <c r="U1077" s="465">
        <v>1404</v>
      </c>
      <c r="V1077" s="465">
        <v>13680</v>
      </c>
      <c r="W1077" s="466">
        <v>0</v>
      </c>
      <c r="X1077" s="467">
        <v>1</v>
      </c>
      <c r="Y1077" s="466">
        <v>22626</v>
      </c>
      <c r="Z1077" s="468" t="s">
        <v>516</v>
      </c>
      <c r="AA1077" s="466">
        <v>97772.4</v>
      </c>
      <c r="AB1077" s="466">
        <v>97772.4</v>
      </c>
      <c r="AC1077" s="467">
        <v>0</v>
      </c>
      <c r="AD1077" s="466">
        <v>0</v>
      </c>
      <c r="AE1077" s="468" t="s">
        <v>516</v>
      </c>
      <c r="AF1077" s="466">
        <v>0</v>
      </c>
      <c r="AG1077" s="466">
        <v>0</v>
      </c>
      <c r="AH1077" s="466">
        <v>11673.56</v>
      </c>
      <c r="AI1077" s="466">
        <v>3.72</v>
      </c>
      <c r="AJ1077" s="469" t="s">
        <v>1410</v>
      </c>
      <c r="AK1077" s="470" t="s">
        <v>1411</v>
      </c>
      <c r="AL1077" s="471" t="s">
        <v>9198</v>
      </c>
      <c r="AM1077" s="470" t="s">
        <v>14105</v>
      </c>
      <c r="AN1077" s="470" t="s">
        <v>1385</v>
      </c>
      <c r="AO1077" s="470" t="s">
        <v>9199</v>
      </c>
      <c r="AP1077" s="470" t="s">
        <v>9200</v>
      </c>
      <c r="AQ1077" s="470" t="s">
        <v>9194</v>
      </c>
      <c r="AR1077" s="472" t="s">
        <v>515</v>
      </c>
      <c r="AS1077" s="473" t="s">
        <v>1385</v>
      </c>
      <c r="AT1077" s="472" t="s">
        <v>1390</v>
      </c>
      <c r="AU1077" s="472" t="s">
        <v>420</v>
      </c>
      <c r="AV1077" s="472">
        <v>2020</v>
      </c>
      <c r="AW1077" s="474" t="s">
        <v>15078</v>
      </c>
      <c r="AX1077" s="475" t="s">
        <v>15079</v>
      </c>
      <c r="AY1077" s="515">
        <v>1</v>
      </c>
      <c r="AZ1077" s="474" t="s">
        <v>15079</v>
      </c>
      <c r="BA1077" s="472" t="s">
        <v>1390</v>
      </c>
      <c r="BB1077" s="472" t="s">
        <v>1385</v>
      </c>
      <c r="BC1077" s="472" t="s">
        <v>1385</v>
      </c>
      <c r="BD1077" s="509" t="s">
        <v>1385</v>
      </c>
      <c r="BE1077" s="472" t="s">
        <v>1385</v>
      </c>
      <c r="BF1077" s="509">
        <v>22626</v>
      </c>
      <c r="BG1077" s="509">
        <v>0</v>
      </c>
      <c r="BH1077" s="472" t="s">
        <v>1385</v>
      </c>
      <c r="BI1077" s="510">
        <v>0</v>
      </c>
      <c r="BJ1077" s="510">
        <v>0</v>
      </c>
      <c r="BK1077" s="510">
        <v>0</v>
      </c>
      <c r="BL1077" s="510">
        <v>0</v>
      </c>
      <c r="BM1077" s="510">
        <v>0</v>
      </c>
      <c r="BN1077" s="510">
        <v>3500</v>
      </c>
      <c r="BO1077" s="510">
        <v>0</v>
      </c>
      <c r="BP1077" s="510">
        <v>0</v>
      </c>
      <c r="BQ1077" s="510">
        <v>0</v>
      </c>
      <c r="BR1077" s="510">
        <v>0</v>
      </c>
      <c r="BS1077" s="510">
        <v>0</v>
      </c>
      <c r="BT1077" s="510">
        <v>0</v>
      </c>
      <c r="BU1077" s="510">
        <v>0</v>
      </c>
      <c r="BV1077" s="510">
        <v>0</v>
      </c>
      <c r="BW1077" s="510">
        <v>0</v>
      </c>
      <c r="BX1077" s="510">
        <v>30000</v>
      </c>
      <c r="BY1077" s="1011">
        <v>0</v>
      </c>
      <c r="BZ1077" s="510">
        <v>0</v>
      </c>
      <c r="CA1077" s="1011">
        <v>0</v>
      </c>
      <c r="CB1077" s="510">
        <v>0</v>
      </c>
      <c r="CC1077" s="1011">
        <v>0</v>
      </c>
      <c r="CD1077" s="510">
        <v>0</v>
      </c>
      <c r="CE1077" s="1011">
        <v>0</v>
      </c>
      <c r="CF1077" s="510">
        <v>45146.400000000001</v>
      </c>
      <c r="CG1077" s="1011">
        <v>0</v>
      </c>
      <c r="CH1077" s="510">
        <v>0</v>
      </c>
      <c r="CI1077" s="1011">
        <v>0</v>
      </c>
    </row>
    <row r="1078" spans="1:87" x14ac:dyDescent="0.2">
      <c r="A1078" s="449">
        <v>75</v>
      </c>
      <c r="B1078" s="453">
        <v>97144</v>
      </c>
      <c r="C1078" s="454" t="s">
        <v>9201</v>
      </c>
      <c r="D1078" s="454" t="s">
        <v>1390</v>
      </c>
      <c r="E1078" s="454" t="s">
        <v>9202</v>
      </c>
      <c r="F1078" s="454" t="s">
        <v>519</v>
      </c>
      <c r="G1078" s="454" t="s">
        <v>14106</v>
      </c>
      <c r="H1078" s="455">
        <v>57654188000109</v>
      </c>
      <c r="I1078" s="462">
        <v>31947</v>
      </c>
      <c r="J1078" s="457">
        <v>37357336</v>
      </c>
      <c r="K1078" s="454" t="s">
        <v>9204</v>
      </c>
      <c r="L1078" s="458">
        <v>100</v>
      </c>
      <c r="M1078" s="454" t="s">
        <v>7155</v>
      </c>
      <c r="N1078" s="459">
        <v>5686050</v>
      </c>
      <c r="O1078" s="460">
        <v>37589427</v>
      </c>
      <c r="P1078" s="462">
        <v>127178</v>
      </c>
      <c r="Q1078" s="462">
        <v>61</v>
      </c>
      <c r="R1078" s="462">
        <v>43881</v>
      </c>
      <c r="S1078" s="463">
        <v>357</v>
      </c>
      <c r="T1078" s="464">
        <v>3.6</v>
      </c>
      <c r="U1078" s="465">
        <v>1285.2</v>
      </c>
      <c r="V1078" s="465">
        <v>13680</v>
      </c>
      <c r="W1078" s="466">
        <v>0</v>
      </c>
      <c r="X1078" s="467">
        <v>1</v>
      </c>
      <c r="Y1078" s="466">
        <v>0</v>
      </c>
      <c r="Z1078" s="468" t="s">
        <v>514</v>
      </c>
      <c r="AA1078" s="466">
        <v>0</v>
      </c>
      <c r="AB1078" s="466">
        <v>0</v>
      </c>
      <c r="AC1078" s="467">
        <v>0</v>
      </c>
      <c r="AD1078" s="466">
        <v>0</v>
      </c>
      <c r="AE1078" s="468" t="s">
        <v>516</v>
      </c>
      <c r="AF1078" s="466">
        <v>0</v>
      </c>
      <c r="AG1078" s="466">
        <v>0</v>
      </c>
      <c r="AH1078" s="466">
        <v>399.63</v>
      </c>
      <c r="AI1078" s="466">
        <v>2057.56</v>
      </c>
      <c r="AJ1078" s="469" t="s">
        <v>7521</v>
      </c>
      <c r="AK1078" s="470" t="s">
        <v>7522</v>
      </c>
      <c r="AL1078" s="471" t="s">
        <v>9205</v>
      </c>
      <c r="AM1078" s="470" t="s">
        <v>9206</v>
      </c>
      <c r="AN1078" s="470" t="s">
        <v>9203</v>
      </c>
      <c r="AO1078" s="470" t="s">
        <v>9207</v>
      </c>
      <c r="AP1078" s="470" t="s">
        <v>9208</v>
      </c>
      <c r="AQ1078" s="470" t="s">
        <v>9201</v>
      </c>
      <c r="AR1078" s="472" t="s">
        <v>515</v>
      </c>
      <c r="AS1078" s="473" t="s">
        <v>1385</v>
      </c>
      <c r="AT1078" s="472" t="s">
        <v>1390</v>
      </c>
      <c r="AU1078" s="472" t="s">
        <v>420</v>
      </c>
      <c r="AV1078" s="472">
        <v>2020</v>
      </c>
      <c r="AW1078" s="474" t="s">
        <v>15078</v>
      </c>
      <c r="AX1078" s="475" t="s">
        <v>15079</v>
      </c>
      <c r="AY1078" s="515">
        <v>1</v>
      </c>
      <c r="AZ1078" s="474" t="s">
        <v>15079</v>
      </c>
      <c r="BA1078" s="472" t="s">
        <v>1385</v>
      </c>
      <c r="BB1078" s="472" t="s">
        <v>1385</v>
      </c>
      <c r="BC1078" s="472" t="s">
        <v>1385</v>
      </c>
      <c r="BD1078" s="472" t="s">
        <v>1385</v>
      </c>
      <c r="BE1078" s="472" t="s">
        <v>1385</v>
      </c>
      <c r="BF1078" s="472">
        <v>22447.8</v>
      </c>
      <c r="BG1078" s="472">
        <v>0</v>
      </c>
      <c r="BH1078" s="472" t="s">
        <v>516</v>
      </c>
      <c r="BI1078" s="510">
        <v>0</v>
      </c>
      <c r="BJ1078" s="510">
        <v>0</v>
      </c>
      <c r="BK1078" s="510">
        <v>0</v>
      </c>
      <c r="BL1078" s="510">
        <v>0</v>
      </c>
      <c r="BM1078" s="510">
        <v>0</v>
      </c>
      <c r="BN1078" s="510">
        <v>0</v>
      </c>
      <c r="BO1078" s="510">
        <v>0</v>
      </c>
      <c r="BP1078" s="510">
        <v>0</v>
      </c>
      <c r="BQ1078" s="510">
        <v>0</v>
      </c>
      <c r="BR1078" s="510">
        <v>0</v>
      </c>
      <c r="BS1078" s="510">
        <v>0</v>
      </c>
      <c r="BT1078" s="510">
        <v>0</v>
      </c>
      <c r="BU1078" s="510">
        <v>0</v>
      </c>
      <c r="BV1078" s="510">
        <v>0</v>
      </c>
      <c r="BW1078" s="510">
        <v>0</v>
      </c>
      <c r="BX1078" s="510">
        <v>0</v>
      </c>
      <c r="BY1078" s="1011">
        <v>0</v>
      </c>
      <c r="BZ1078" s="510">
        <v>0</v>
      </c>
      <c r="CA1078" s="1011">
        <v>0</v>
      </c>
      <c r="CB1078" s="510">
        <v>0</v>
      </c>
      <c r="CC1078" s="1011">
        <v>0</v>
      </c>
      <c r="CD1078" s="510">
        <v>0</v>
      </c>
      <c r="CE1078" s="1011">
        <v>0</v>
      </c>
      <c r="CF1078" s="510">
        <v>0</v>
      </c>
      <c r="CG1078" s="1011">
        <v>0</v>
      </c>
      <c r="CH1078" s="510">
        <v>0</v>
      </c>
      <c r="CI1078" s="1011">
        <v>0</v>
      </c>
    </row>
    <row r="1079" spans="1:87" x14ac:dyDescent="0.2">
      <c r="A1079" s="449">
        <v>73</v>
      </c>
      <c r="B1079" s="453">
        <v>97152</v>
      </c>
      <c r="C1079" s="454" t="s">
        <v>9209</v>
      </c>
      <c r="D1079" s="454" t="s">
        <v>1390</v>
      </c>
      <c r="E1079" s="454" t="s">
        <v>9210</v>
      </c>
      <c r="F1079" s="454" t="s">
        <v>519</v>
      </c>
      <c r="G1079" s="454" t="s">
        <v>14107</v>
      </c>
      <c r="H1079" s="455">
        <v>58115957000163</v>
      </c>
      <c r="I1079" s="462">
        <v>32100</v>
      </c>
      <c r="J1079" s="457">
        <v>37357280</v>
      </c>
      <c r="K1079" s="454" t="s">
        <v>9212</v>
      </c>
      <c r="L1079" s="458">
        <v>36</v>
      </c>
      <c r="M1079" s="454" t="s">
        <v>9213</v>
      </c>
      <c r="N1079" s="459">
        <v>5398130</v>
      </c>
      <c r="O1079" s="460">
        <v>37828905</v>
      </c>
      <c r="P1079" s="462">
        <v>124195</v>
      </c>
      <c r="Q1079" s="462">
        <v>59</v>
      </c>
      <c r="R1079" s="462">
        <v>43881</v>
      </c>
      <c r="S1079" s="463">
        <v>312</v>
      </c>
      <c r="T1079" s="464">
        <v>3.6</v>
      </c>
      <c r="U1079" s="465">
        <v>1123.2</v>
      </c>
      <c r="V1079" s="465">
        <v>13680</v>
      </c>
      <c r="W1079" s="466">
        <v>0</v>
      </c>
      <c r="X1079" s="467">
        <v>1</v>
      </c>
      <c r="Y1079" s="466">
        <v>0</v>
      </c>
      <c r="Z1079" s="468" t="s">
        <v>514</v>
      </c>
      <c r="AA1079" s="466">
        <v>0</v>
      </c>
      <c r="AB1079" s="466">
        <v>0</v>
      </c>
      <c r="AC1079" s="467">
        <v>0</v>
      </c>
      <c r="AD1079" s="466">
        <v>0</v>
      </c>
      <c r="AE1079" s="468" t="s">
        <v>516</v>
      </c>
      <c r="AF1079" s="466">
        <v>0</v>
      </c>
      <c r="AG1079" s="466">
        <v>0</v>
      </c>
      <c r="AH1079" s="466">
        <v>709.33</v>
      </c>
      <c r="AI1079" s="466">
        <v>67.25</v>
      </c>
      <c r="AJ1079" s="469" t="s">
        <v>2690</v>
      </c>
      <c r="AK1079" s="470" t="s">
        <v>2691</v>
      </c>
      <c r="AL1079" s="471" t="s">
        <v>9214</v>
      </c>
      <c r="AM1079" s="470" t="s">
        <v>14108</v>
      </c>
      <c r="AN1079" s="470" t="s">
        <v>9211</v>
      </c>
      <c r="AO1079" s="470" t="s">
        <v>9215</v>
      </c>
      <c r="AP1079" s="470" t="s">
        <v>9216</v>
      </c>
      <c r="AQ1079" s="470" t="s">
        <v>9209</v>
      </c>
      <c r="AR1079" s="472" t="s">
        <v>515</v>
      </c>
      <c r="AS1079" s="473" t="s">
        <v>1385</v>
      </c>
      <c r="AT1079" s="472" t="s">
        <v>1390</v>
      </c>
      <c r="AU1079" s="472" t="s">
        <v>420</v>
      </c>
      <c r="AV1079" s="472">
        <v>2020</v>
      </c>
      <c r="AW1079" s="474" t="s">
        <v>15078</v>
      </c>
      <c r="AX1079" s="475" t="s">
        <v>15079</v>
      </c>
      <c r="AY1079" s="515">
        <v>1</v>
      </c>
      <c r="AZ1079" s="474" t="s">
        <v>15079</v>
      </c>
      <c r="BA1079" s="472" t="s">
        <v>1385</v>
      </c>
      <c r="BB1079" s="472" t="s">
        <v>1385</v>
      </c>
      <c r="BC1079" s="472" t="s">
        <v>1385</v>
      </c>
      <c r="BD1079" s="472" t="s">
        <v>1385</v>
      </c>
      <c r="BE1079" s="472" t="s">
        <v>1385</v>
      </c>
      <c r="BF1079" s="472">
        <v>22204.799999999999</v>
      </c>
      <c r="BG1079" s="472">
        <v>0</v>
      </c>
      <c r="BH1079" s="472" t="s">
        <v>516</v>
      </c>
      <c r="BI1079" s="510">
        <v>0</v>
      </c>
      <c r="BJ1079" s="510">
        <v>0</v>
      </c>
      <c r="BK1079" s="510">
        <v>0</v>
      </c>
      <c r="BL1079" s="510">
        <v>0</v>
      </c>
      <c r="BM1079" s="510">
        <v>0</v>
      </c>
      <c r="BN1079" s="510">
        <v>0</v>
      </c>
      <c r="BO1079" s="510">
        <v>0</v>
      </c>
      <c r="BP1079" s="510">
        <v>0</v>
      </c>
      <c r="BQ1079" s="510">
        <v>0</v>
      </c>
      <c r="BR1079" s="510">
        <v>0</v>
      </c>
      <c r="BS1079" s="510">
        <v>0</v>
      </c>
      <c r="BT1079" s="510">
        <v>0</v>
      </c>
      <c r="BU1079" s="510">
        <v>0</v>
      </c>
      <c r="BV1079" s="510">
        <v>0</v>
      </c>
      <c r="BW1079" s="510">
        <v>0</v>
      </c>
      <c r="BX1079" s="510">
        <v>0</v>
      </c>
      <c r="BY1079" s="1011">
        <v>0</v>
      </c>
      <c r="BZ1079" s="510">
        <v>0</v>
      </c>
      <c r="CA1079" s="1011">
        <v>0</v>
      </c>
      <c r="CB1079" s="510">
        <v>0</v>
      </c>
      <c r="CC1079" s="1011">
        <v>0</v>
      </c>
      <c r="CD1079" s="510">
        <v>0</v>
      </c>
      <c r="CE1079" s="1011">
        <v>0</v>
      </c>
      <c r="CF1079" s="510">
        <v>0</v>
      </c>
      <c r="CG1079" s="1011">
        <v>0</v>
      </c>
      <c r="CH1079" s="510">
        <v>0</v>
      </c>
      <c r="CI1079" s="1011">
        <v>0</v>
      </c>
    </row>
    <row r="1080" spans="1:87" x14ac:dyDescent="0.2">
      <c r="A1080" s="449">
        <v>161</v>
      </c>
      <c r="B1080" s="453">
        <v>97161</v>
      </c>
      <c r="C1080" s="454" t="s">
        <v>9217</v>
      </c>
      <c r="D1080" s="454" t="s">
        <v>1390</v>
      </c>
      <c r="E1080" s="454" t="s">
        <v>9218</v>
      </c>
      <c r="F1080" s="454" t="s">
        <v>520</v>
      </c>
      <c r="G1080" s="454" t="s">
        <v>14109</v>
      </c>
      <c r="H1080" s="455">
        <v>58123159000183</v>
      </c>
      <c r="I1080" s="462">
        <v>32050</v>
      </c>
      <c r="J1080" s="457">
        <v>37616013</v>
      </c>
      <c r="K1080" s="454" t="s">
        <v>9219</v>
      </c>
      <c r="L1080" s="458" t="s">
        <v>1446</v>
      </c>
      <c r="M1080" s="454" t="s">
        <v>9220</v>
      </c>
      <c r="N1080" s="459">
        <v>5790210</v>
      </c>
      <c r="O1080" s="460">
        <v>58417211</v>
      </c>
      <c r="P1080" s="462">
        <v>308040</v>
      </c>
      <c r="Q1080" s="462">
        <v>96</v>
      </c>
      <c r="R1080" s="462">
        <v>43969</v>
      </c>
      <c r="S1080" s="463">
        <v>398</v>
      </c>
      <c r="T1080" s="464">
        <v>3.6</v>
      </c>
      <c r="U1080" s="465">
        <v>1432.8</v>
      </c>
      <c r="V1080" s="465">
        <v>13680</v>
      </c>
      <c r="W1080" s="466">
        <v>0</v>
      </c>
      <c r="X1080" s="467">
        <v>1</v>
      </c>
      <c r="Y1080" s="466">
        <v>22669.200000000001</v>
      </c>
      <c r="Z1080" s="468" t="s">
        <v>516</v>
      </c>
      <c r="AA1080" s="466">
        <v>101113.2</v>
      </c>
      <c r="AB1080" s="466">
        <v>101113.2</v>
      </c>
      <c r="AC1080" s="467">
        <v>0</v>
      </c>
      <c r="AD1080" s="466">
        <v>0</v>
      </c>
      <c r="AE1080" s="468" t="s">
        <v>516</v>
      </c>
      <c r="AF1080" s="466">
        <v>0</v>
      </c>
      <c r="AG1080" s="466">
        <v>0</v>
      </c>
      <c r="AH1080" s="466">
        <v>21500.65</v>
      </c>
      <c r="AI1080" s="466">
        <v>0</v>
      </c>
      <c r="AJ1080" s="469" t="s">
        <v>1515</v>
      </c>
      <c r="AK1080" s="470" t="s">
        <v>1516</v>
      </c>
      <c r="AL1080" s="471" t="s">
        <v>9221</v>
      </c>
      <c r="AM1080" s="470" t="s">
        <v>9222</v>
      </c>
      <c r="AN1080" s="470" t="s">
        <v>9223</v>
      </c>
      <c r="AO1080" s="470" t="s">
        <v>9224</v>
      </c>
      <c r="AP1080" s="470" t="s">
        <v>9225</v>
      </c>
      <c r="AQ1080" s="470" t="s">
        <v>9217</v>
      </c>
      <c r="AR1080" s="472" t="s">
        <v>515</v>
      </c>
      <c r="AS1080" s="473" t="s">
        <v>1385</v>
      </c>
      <c r="AT1080" s="472" t="s">
        <v>1390</v>
      </c>
      <c r="AU1080" s="472" t="s">
        <v>420</v>
      </c>
      <c r="AV1080" s="472">
        <v>2020</v>
      </c>
      <c r="AW1080" s="474" t="s">
        <v>15078</v>
      </c>
      <c r="AX1080" s="475" t="s">
        <v>15079</v>
      </c>
      <c r="AY1080" s="515">
        <v>1</v>
      </c>
      <c r="AZ1080" s="474" t="s">
        <v>15079</v>
      </c>
      <c r="BA1080" s="472" t="s">
        <v>1390</v>
      </c>
      <c r="BB1080" s="472" t="s">
        <v>1385</v>
      </c>
      <c r="BC1080" s="472" t="s">
        <v>1385</v>
      </c>
      <c r="BD1080" s="472" t="s">
        <v>1385</v>
      </c>
      <c r="BE1080" s="472" t="s">
        <v>1385</v>
      </c>
      <c r="BF1080" s="472">
        <v>22669.200000000001</v>
      </c>
      <c r="BG1080" s="472">
        <v>0</v>
      </c>
      <c r="BH1080" s="472" t="s">
        <v>1385</v>
      </c>
      <c r="BI1080" s="510">
        <v>0</v>
      </c>
      <c r="BJ1080" s="510">
        <v>0</v>
      </c>
      <c r="BK1080" s="510">
        <v>0</v>
      </c>
      <c r="BL1080" s="510">
        <v>0</v>
      </c>
      <c r="BM1080" s="510">
        <v>0</v>
      </c>
      <c r="BN1080" s="510">
        <v>3500</v>
      </c>
      <c r="BO1080" s="510">
        <v>0</v>
      </c>
      <c r="BP1080" s="510">
        <v>0</v>
      </c>
      <c r="BQ1080" s="510">
        <v>0</v>
      </c>
      <c r="BR1080" s="510">
        <v>0</v>
      </c>
      <c r="BS1080" s="510">
        <v>0</v>
      </c>
      <c r="BT1080" s="510">
        <v>0</v>
      </c>
      <c r="BU1080" s="510">
        <v>0</v>
      </c>
      <c r="BV1080" s="510">
        <v>0</v>
      </c>
      <c r="BW1080" s="510">
        <v>0</v>
      </c>
      <c r="BX1080" s="510">
        <v>30000</v>
      </c>
      <c r="BY1080" s="1011">
        <v>0</v>
      </c>
      <c r="BZ1080" s="510">
        <v>0</v>
      </c>
      <c r="CA1080" s="1011">
        <v>0</v>
      </c>
      <c r="CB1080" s="510">
        <v>0</v>
      </c>
      <c r="CC1080" s="1011">
        <v>0</v>
      </c>
      <c r="CD1080" s="510">
        <v>0</v>
      </c>
      <c r="CE1080" s="1011">
        <v>0</v>
      </c>
      <c r="CF1080" s="510">
        <v>48444</v>
      </c>
      <c r="CG1080" s="1011">
        <v>0</v>
      </c>
      <c r="CH1080" s="510">
        <v>0</v>
      </c>
      <c r="CI1080" s="1011">
        <v>0</v>
      </c>
    </row>
    <row r="1081" spans="1:87" x14ac:dyDescent="0.2">
      <c r="A1081" s="449">
        <v>99</v>
      </c>
      <c r="B1081" s="453">
        <v>97691</v>
      </c>
      <c r="C1081" s="454" t="s">
        <v>9226</v>
      </c>
      <c r="D1081" s="454" t="s">
        <v>1390</v>
      </c>
      <c r="E1081" s="454" t="s">
        <v>9227</v>
      </c>
      <c r="F1081" s="454" t="s">
        <v>526</v>
      </c>
      <c r="G1081" s="454" t="s">
        <v>14110</v>
      </c>
      <c r="H1081" s="455">
        <v>58401795000120</v>
      </c>
      <c r="I1081" s="462">
        <v>32045</v>
      </c>
      <c r="J1081" s="457">
        <v>37476343</v>
      </c>
      <c r="K1081" s="454" t="s">
        <v>9228</v>
      </c>
      <c r="L1081" s="458">
        <v>489</v>
      </c>
      <c r="M1081" s="454" t="s">
        <v>9229</v>
      </c>
      <c r="N1081" s="459">
        <v>8245180</v>
      </c>
      <c r="O1081" s="460">
        <v>20517852</v>
      </c>
      <c r="P1081" s="462">
        <v>185852</v>
      </c>
      <c r="Q1081" s="462">
        <v>99</v>
      </c>
      <c r="R1081" s="462">
        <v>43928</v>
      </c>
      <c r="S1081" s="463">
        <v>330</v>
      </c>
      <c r="T1081" s="464">
        <v>3.6</v>
      </c>
      <c r="U1081" s="465">
        <v>1188</v>
      </c>
      <c r="V1081" s="465">
        <v>13680</v>
      </c>
      <c r="W1081" s="466">
        <v>0</v>
      </c>
      <c r="X1081" s="467">
        <v>1</v>
      </c>
      <c r="Y1081" s="466">
        <v>22302</v>
      </c>
      <c r="Z1081" s="468" t="s">
        <v>516</v>
      </c>
      <c r="AA1081" s="466">
        <v>97110</v>
      </c>
      <c r="AB1081" s="466">
        <v>97110</v>
      </c>
      <c r="AC1081" s="467">
        <v>0</v>
      </c>
      <c r="AD1081" s="466">
        <v>0</v>
      </c>
      <c r="AE1081" s="468" t="s">
        <v>516</v>
      </c>
      <c r="AF1081" s="466">
        <v>0</v>
      </c>
      <c r="AG1081" s="466">
        <v>0</v>
      </c>
      <c r="AH1081" s="466">
        <v>15424.14</v>
      </c>
      <c r="AI1081" s="466">
        <v>0</v>
      </c>
      <c r="AJ1081" s="469" t="s">
        <v>9230</v>
      </c>
      <c r="AK1081" s="470" t="s">
        <v>9231</v>
      </c>
      <c r="AL1081" s="471" t="s">
        <v>9232</v>
      </c>
      <c r="AM1081" s="470" t="s">
        <v>9233</v>
      </c>
      <c r="AN1081" s="470" t="s">
        <v>1385</v>
      </c>
      <c r="AO1081" s="470" t="s">
        <v>14111</v>
      </c>
      <c r="AP1081" s="470" t="s">
        <v>9234</v>
      </c>
      <c r="AQ1081" s="470" t="s">
        <v>9226</v>
      </c>
      <c r="AR1081" s="472" t="s">
        <v>515</v>
      </c>
      <c r="AS1081" s="473" t="s">
        <v>1385</v>
      </c>
      <c r="AT1081" s="472" t="s">
        <v>1390</v>
      </c>
      <c r="AU1081" s="472" t="s">
        <v>420</v>
      </c>
      <c r="AV1081" s="472">
        <v>2020</v>
      </c>
      <c r="AW1081" s="474" t="s">
        <v>15078</v>
      </c>
      <c r="AX1081" s="475" t="s">
        <v>15079</v>
      </c>
      <c r="AY1081" s="515">
        <v>1</v>
      </c>
      <c r="AZ1081" s="474" t="s">
        <v>15079</v>
      </c>
      <c r="BA1081" s="472" t="s">
        <v>1390</v>
      </c>
      <c r="BB1081" s="472" t="s">
        <v>1385</v>
      </c>
      <c r="BC1081" s="472" t="s">
        <v>1385</v>
      </c>
      <c r="BD1081" s="472" t="s">
        <v>1385</v>
      </c>
      <c r="BE1081" s="472" t="s">
        <v>1385</v>
      </c>
      <c r="BF1081" s="472">
        <v>22302</v>
      </c>
      <c r="BG1081" s="472">
        <v>0</v>
      </c>
      <c r="BH1081" s="472" t="s">
        <v>1385</v>
      </c>
      <c r="BI1081" s="510">
        <v>0</v>
      </c>
      <c r="BJ1081" s="510">
        <v>0</v>
      </c>
      <c r="BK1081" s="510">
        <v>0</v>
      </c>
      <c r="BL1081" s="510">
        <v>0</v>
      </c>
      <c r="BM1081" s="510">
        <v>0</v>
      </c>
      <c r="BN1081" s="510">
        <v>3500</v>
      </c>
      <c r="BO1081" s="510">
        <v>0</v>
      </c>
      <c r="BP1081" s="510">
        <v>0</v>
      </c>
      <c r="BQ1081" s="510">
        <v>0</v>
      </c>
      <c r="BR1081" s="510">
        <v>0</v>
      </c>
      <c r="BS1081" s="510">
        <v>0</v>
      </c>
      <c r="BT1081" s="510">
        <v>0</v>
      </c>
      <c r="BU1081" s="510">
        <v>0</v>
      </c>
      <c r="BV1081" s="510">
        <v>0</v>
      </c>
      <c r="BW1081" s="510">
        <v>0</v>
      </c>
      <c r="BX1081" s="510">
        <v>30000</v>
      </c>
      <c r="BY1081" s="1011">
        <v>0</v>
      </c>
      <c r="BZ1081" s="510">
        <v>0</v>
      </c>
      <c r="CA1081" s="1011">
        <v>0</v>
      </c>
      <c r="CB1081" s="510">
        <v>0</v>
      </c>
      <c r="CC1081" s="1011">
        <v>0</v>
      </c>
      <c r="CD1081" s="510">
        <v>0</v>
      </c>
      <c r="CE1081" s="1011">
        <v>0</v>
      </c>
      <c r="CF1081" s="510">
        <v>44808</v>
      </c>
      <c r="CG1081" s="1011">
        <v>0</v>
      </c>
      <c r="CH1081" s="510">
        <v>0</v>
      </c>
      <c r="CI1081" s="1011">
        <v>0</v>
      </c>
    </row>
    <row r="1082" spans="1:87" x14ac:dyDescent="0.2">
      <c r="A1082" s="449">
        <v>35</v>
      </c>
      <c r="B1082" s="453">
        <v>97705</v>
      </c>
      <c r="C1082" s="454" t="s">
        <v>9235</v>
      </c>
      <c r="D1082" s="454" t="s">
        <v>517</v>
      </c>
      <c r="E1082" s="454" t="s">
        <v>9236</v>
      </c>
      <c r="F1082" s="454" t="s">
        <v>523</v>
      </c>
      <c r="G1082" s="454" t="s">
        <v>14112</v>
      </c>
      <c r="H1082" s="455">
        <v>62273818000135</v>
      </c>
      <c r="I1082" s="462">
        <v>32965</v>
      </c>
      <c r="J1082" s="457">
        <v>37615645</v>
      </c>
      <c r="K1082" s="454" t="s">
        <v>9177</v>
      </c>
      <c r="L1082" s="458">
        <v>370</v>
      </c>
      <c r="M1082" s="454" t="s">
        <v>1950</v>
      </c>
      <c r="N1082" s="459">
        <v>8470790</v>
      </c>
      <c r="O1082" s="460">
        <v>29648045</v>
      </c>
      <c r="P1082" s="462">
        <v>264000</v>
      </c>
      <c r="Q1082" s="462">
        <v>35</v>
      </c>
      <c r="R1082" s="462">
        <v>43921</v>
      </c>
      <c r="S1082" s="463">
        <v>367</v>
      </c>
      <c r="T1082" s="464">
        <v>5.4</v>
      </c>
      <c r="U1082" s="465">
        <v>1981.8</v>
      </c>
      <c r="V1082" s="465">
        <v>15480</v>
      </c>
      <c r="W1082" s="466">
        <v>0</v>
      </c>
      <c r="X1082" s="467">
        <v>1</v>
      </c>
      <c r="Y1082" s="466">
        <v>0</v>
      </c>
      <c r="Z1082" s="468" t="s">
        <v>514</v>
      </c>
      <c r="AA1082" s="466">
        <v>0</v>
      </c>
      <c r="AB1082" s="466">
        <v>0</v>
      </c>
      <c r="AC1082" s="467">
        <v>0</v>
      </c>
      <c r="AD1082" s="466">
        <v>0</v>
      </c>
      <c r="AE1082" s="468" t="s">
        <v>516</v>
      </c>
      <c r="AF1082" s="466">
        <v>0</v>
      </c>
      <c r="AG1082" s="466">
        <v>0</v>
      </c>
      <c r="AH1082" s="466">
        <v>5.2</v>
      </c>
      <c r="AI1082" s="466">
        <v>0</v>
      </c>
      <c r="AJ1082" s="469" t="s">
        <v>1385</v>
      </c>
      <c r="AK1082" s="470" t="s">
        <v>12480</v>
      </c>
      <c r="AL1082" s="471" t="s">
        <v>1385</v>
      </c>
      <c r="AM1082" s="470" t="s">
        <v>9237</v>
      </c>
      <c r="AN1082" s="470" t="s">
        <v>1385</v>
      </c>
      <c r="AO1082" s="470" t="s">
        <v>9238</v>
      </c>
      <c r="AP1082" s="470" t="s">
        <v>9239</v>
      </c>
      <c r="AQ1082" s="470" t="s">
        <v>9235</v>
      </c>
      <c r="AR1082" s="472" t="s">
        <v>515</v>
      </c>
      <c r="AS1082" s="473" t="s">
        <v>1385</v>
      </c>
      <c r="AT1082" s="472" t="s">
        <v>517</v>
      </c>
      <c r="AU1082" s="472" t="s">
        <v>420</v>
      </c>
      <c r="AV1082" s="472">
        <v>2020</v>
      </c>
      <c r="AW1082" s="474" t="s">
        <v>15078</v>
      </c>
      <c r="AX1082" s="475" t="s">
        <v>15079</v>
      </c>
      <c r="AY1082" s="515">
        <v>1</v>
      </c>
      <c r="AZ1082" s="474" t="s">
        <v>15079</v>
      </c>
      <c r="BA1082" s="472" t="s">
        <v>1385</v>
      </c>
      <c r="BB1082" s="472" t="s">
        <v>1385</v>
      </c>
      <c r="BC1082" s="472" t="s">
        <v>1385</v>
      </c>
      <c r="BD1082" s="472" t="s">
        <v>1385</v>
      </c>
      <c r="BE1082" s="472" t="s">
        <v>1385</v>
      </c>
      <c r="BF1082" s="472">
        <v>26192.7</v>
      </c>
      <c r="BG1082" s="472">
        <v>0</v>
      </c>
      <c r="BH1082" s="472" t="s">
        <v>516</v>
      </c>
      <c r="BI1082" s="510">
        <v>0</v>
      </c>
      <c r="BJ1082" s="510">
        <v>0</v>
      </c>
      <c r="BK1082" s="510">
        <v>0</v>
      </c>
      <c r="BL1082" s="510">
        <v>0</v>
      </c>
      <c r="BM1082" s="510">
        <v>0</v>
      </c>
      <c r="BN1082" s="510">
        <v>0</v>
      </c>
      <c r="BO1082" s="510">
        <v>0</v>
      </c>
      <c r="BP1082" s="510">
        <v>0</v>
      </c>
      <c r="BQ1082" s="510">
        <v>0</v>
      </c>
      <c r="BR1082" s="510">
        <v>0</v>
      </c>
      <c r="BS1082" s="510">
        <v>0</v>
      </c>
      <c r="BT1082" s="510">
        <v>0</v>
      </c>
      <c r="BU1082" s="510">
        <v>0</v>
      </c>
      <c r="BV1082" s="510">
        <v>0</v>
      </c>
      <c r="BW1082" s="510">
        <v>0</v>
      </c>
      <c r="BX1082" s="510">
        <v>0</v>
      </c>
      <c r="BY1082" s="1011">
        <v>0</v>
      </c>
      <c r="BZ1082" s="510">
        <v>0</v>
      </c>
      <c r="CA1082" s="1011">
        <v>0</v>
      </c>
      <c r="CB1082" s="510">
        <v>0</v>
      </c>
      <c r="CC1082" s="1011">
        <v>0</v>
      </c>
      <c r="CD1082" s="510">
        <v>0</v>
      </c>
      <c r="CE1082" s="1011">
        <v>0</v>
      </c>
      <c r="CF1082" s="510">
        <v>0</v>
      </c>
      <c r="CG1082" s="1011">
        <v>0</v>
      </c>
      <c r="CH1082" s="510">
        <v>0</v>
      </c>
      <c r="CI1082" s="1011">
        <v>0</v>
      </c>
    </row>
    <row r="1083" spans="1:87" x14ac:dyDescent="0.2">
      <c r="A1083" s="449">
        <v>66</v>
      </c>
      <c r="B1083" s="453">
        <v>97713</v>
      </c>
      <c r="C1083" s="454" t="s">
        <v>9240</v>
      </c>
      <c r="D1083" s="454" t="s">
        <v>517</v>
      </c>
      <c r="E1083" s="454" t="s">
        <v>9241</v>
      </c>
      <c r="F1083" s="454" t="s">
        <v>526</v>
      </c>
      <c r="G1083" s="454" t="s">
        <v>14113</v>
      </c>
      <c r="H1083" s="455">
        <v>58113085000102</v>
      </c>
      <c r="I1083" s="462">
        <v>32051</v>
      </c>
      <c r="J1083" s="457">
        <v>37475398</v>
      </c>
      <c r="K1083" s="454" t="s">
        <v>3524</v>
      </c>
      <c r="L1083" s="458">
        <v>250</v>
      </c>
      <c r="M1083" s="454" t="s">
        <v>1838</v>
      </c>
      <c r="N1083" s="459">
        <v>8130110</v>
      </c>
      <c r="O1083" s="460">
        <v>29633402</v>
      </c>
      <c r="P1083" s="462">
        <v>121226</v>
      </c>
      <c r="Q1083" s="462">
        <v>66</v>
      </c>
      <c r="R1083" s="462">
        <v>43928</v>
      </c>
      <c r="S1083" s="463">
        <v>1235</v>
      </c>
      <c r="T1083" s="464">
        <v>5.4</v>
      </c>
      <c r="U1083" s="465">
        <v>6669</v>
      </c>
      <c r="V1083" s="465">
        <v>21960</v>
      </c>
      <c r="W1083" s="466">
        <v>0</v>
      </c>
      <c r="X1083" s="467">
        <v>1</v>
      </c>
      <c r="Y1083" s="466">
        <v>42943.5</v>
      </c>
      <c r="Z1083" s="468" t="s">
        <v>516</v>
      </c>
      <c r="AA1083" s="466">
        <v>148529.5</v>
      </c>
      <c r="AB1083" s="466">
        <v>148529.5</v>
      </c>
      <c r="AC1083" s="467">
        <v>0</v>
      </c>
      <c r="AD1083" s="466">
        <v>0</v>
      </c>
      <c r="AE1083" s="468" t="s">
        <v>516</v>
      </c>
      <c r="AF1083" s="466">
        <v>0</v>
      </c>
      <c r="AG1083" s="466">
        <v>0</v>
      </c>
      <c r="AH1083" s="466">
        <v>14229.29</v>
      </c>
      <c r="AI1083" s="466">
        <v>4065.26</v>
      </c>
      <c r="AJ1083" s="469" t="s">
        <v>1410</v>
      </c>
      <c r="AK1083" s="470" t="s">
        <v>1411</v>
      </c>
      <c r="AL1083" s="471" t="s">
        <v>9242</v>
      </c>
      <c r="AM1083" s="470" t="s">
        <v>9243</v>
      </c>
      <c r="AN1083" s="470" t="s">
        <v>1385</v>
      </c>
      <c r="AO1083" s="470" t="s">
        <v>14114</v>
      </c>
      <c r="AP1083" s="470" t="s">
        <v>9244</v>
      </c>
      <c r="AQ1083" s="470" t="s">
        <v>9240</v>
      </c>
      <c r="AR1083" s="472" t="s">
        <v>515</v>
      </c>
      <c r="AS1083" s="473" t="s">
        <v>1385</v>
      </c>
      <c r="AT1083" s="472" t="s">
        <v>517</v>
      </c>
      <c r="AU1083" s="472" t="s">
        <v>420</v>
      </c>
      <c r="AV1083" s="472">
        <v>2020</v>
      </c>
      <c r="AW1083" s="474" t="s">
        <v>15078</v>
      </c>
      <c r="AX1083" s="475" t="s">
        <v>15079</v>
      </c>
      <c r="AY1083" s="515">
        <v>1</v>
      </c>
      <c r="AZ1083" s="474" t="s">
        <v>15079</v>
      </c>
      <c r="BA1083" s="472" t="s">
        <v>517</v>
      </c>
      <c r="BB1083" s="472" t="s">
        <v>1385</v>
      </c>
      <c r="BC1083" s="472" t="s">
        <v>1385</v>
      </c>
      <c r="BD1083" s="472" t="s">
        <v>1385</v>
      </c>
      <c r="BE1083" s="472" t="s">
        <v>1385</v>
      </c>
      <c r="BF1083" s="472">
        <v>42943.5</v>
      </c>
      <c r="BG1083" s="472">
        <v>0</v>
      </c>
      <c r="BH1083" s="472" t="s">
        <v>1385</v>
      </c>
      <c r="BI1083" s="510">
        <v>0</v>
      </c>
      <c r="BJ1083" s="510">
        <v>6865.1</v>
      </c>
      <c r="BK1083" s="510">
        <v>0</v>
      </c>
      <c r="BL1083" s="510">
        <v>3500</v>
      </c>
      <c r="BM1083" s="510">
        <v>0</v>
      </c>
      <c r="BN1083" s="510">
        <v>0</v>
      </c>
      <c r="BO1083" s="510">
        <v>0</v>
      </c>
      <c r="BP1083" s="510">
        <v>0</v>
      </c>
      <c r="BQ1083" s="510">
        <v>0</v>
      </c>
      <c r="BR1083" s="510">
        <v>0</v>
      </c>
      <c r="BS1083" s="510">
        <v>0</v>
      </c>
      <c r="BT1083" s="510">
        <v>0</v>
      </c>
      <c r="BU1083" s="510">
        <v>2500</v>
      </c>
      <c r="BV1083" s="510">
        <v>2500</v>
      </c>
      <c r="BW1083" s="510">
        <v>0</v>
      </c>
      <c r="BX1083" s="510">
        <v>30000</v>
      </c>
      <c r="BY1083" s="1011">
        <v>0</v>
      </c>
      <c r="BZ1083" s="510">
        <v>0</v>
      </c>
      <c r="CA1083" s="1011">
        <v>0</v>
      </c>
      <c r="CB1083" s="510">
        <v>22000</v>
      </c>
      <c r="CC1083" s="1011">
        <v>0</v>
      </c>
      <c r="CD1083" s="510">
        <v>0</v>
      </c>
      <c r="CE1083" s="1011">
        <v>0</v>
      </c>
      <c r="CF1083" s="510">
        <v>53586</v>
      </c>
      <c r="CG1083" s="1011">
        <v>0</v>
      </c>
      <c r="CH1083" s="510">
        <v>0</v>
      </c>
      <c r="CI1083" s="1011">
        <v>0</v>
      </c>
    </row>
    <row r="1084" spans="1:87" x14ac:dyDescent="0.2">
      <c r="A1084" s="449">
        <v>47</v>
      </c>
      <c r="B1084" s="453">
        <v>97721</v>
      </c>
      <c r="C1084" s="454" t="s">
        <v>9245</v>
      </c>
      <c r="D1084" s="454" t="s">
        <v>517</v>
      </c>
      <c r="E1084" s="454" t="s">
        <v>9246</v>
      </c>
      <c r="F1084" s="454" t="s">
        <v>523</v>
      </c>
      <c r="G1084" s="454" t="s">
        <v>14115</v>
      </c>
      <c r="H1084" s="455">
        <v>58119439000118</v>
      </c>
      <c r="I1084" s="462">
        <v>32031</v>
      </c>
      <c r="J1084" s="457">
        <v>37615270</v>
      </c>
      <c r="K1084" s="454" t="s">
        <v>9248</v>
      </c>
      <c r="L1084" s="458">
        <v>2907</v>
      </c>
      <c r="M1084" s="454" t="s">
        <v>1950</v>
      </c>
      <c r="N1084" s="459">
        <v>3520005</v>
      </c>
      <c r="O1084" s="460">
        <v>22822126</v>
      </c>
      <c r="P1084" s="462">
        <v>264779</v>
      </c>
      <c r="Q1084" s="462">
        <v>47</v>
      </c>
      <c r="R1084" s="462">
        <v>43930</v>
      </c>
      <c r="S1084" s="463">
        <v>979</v>
      </c>
      <c r="T1084" s="464">
        <v>5.4</v>
      </c>
      <c r="U1084" s="465">
        <v>5286.6</v>
      </c>
      <c r="V1084" s="465">
        <v>20340</v>
      </c>
      <c r="W1084" s="466">
        <v>0</v>
      </c>
      <c r="X1084" s="467">
        <v>1</v>
      </c>
      <c r="Y1084" s="466">
        <v>38439.9</v>
      </c>
      <c r="Z1084" s="468" t="s">
        <v>516</v>
      </c>
      <c r="AA1084" s="466">
        <v>137351.5</v>
      </c>
      <c r="AB1084" s="466">
        <v>137351.5</v>
      </c>
      <c r="AC1084" s="467">
        <v>0</v>
      </c>
      <c r="AD1084" s="466">
        <v>0</v>
      </c>
      <c r="AE1084" s="468" t="s">
        <v>516</v>
      </c>
      <c r="AF1084" s="466">
        <v>2000</v>
      </c>
      <c r="AG1084" s="466">
        <v>2000</v>
      </c>
      <c r="AH1084" s="466">
        <v>40735.120000000003</v>
      </c>
      <c r="AI1084" s="466">
        <v>24029.72</v>
      </c>
      <c r="AJ1084" s="469" t="s">
        <v>1674</v>
      </c>
      <c r="AK1084" s="470" t="s">
        <v>518</v>
      </c>
      <c r="AL1084" s="471" t="s">
        <v>9249</v>
      </c>
      <c r="AM1084" s="470" t="s">
        <v>9250</v>
      </c>
      <c r="AN1084" s="470" t="s">
        <v>9247</v>
      </c>
      <c r="AO1084" s="470" t="s">
        <v>9251</v>
      </c>
      <c r="AP1084" s="470" t="s">
        <v>9252</v>
      </c>
      <c r="AQ1084" s="470" t="s">
        <v>9245</v>
      </c>
      <c r="AR1084" s="472" t="s">
        <v>515</v>
      </c>
      <c r="AS1084" s="473" t="s">
        <v>1385</v>
      </c>
      <c r="AT1084" s="472" t="s">
        <v>517</v>
      </c>
      <c r="AU1084" s="472" t="s">
        <v>420</v>
      </c>
      <c r="AV1084" s="472">
        <v>2020</v>
      </c>
      <c r="AW1084" s="474" t="s">
        <v>15078</v>
      </c>
      <c r="AX1084" s="475" t="s">
        <v>15079</v>
      </c>
      <c r="AY1084" s="515">
        <v>1</v>
      </c>
      <c r="AZ1084" s="474" t="s">
        <v>15079</v>
      </c>
      <c r="BA1084" s="472" t="s">
        <v>517</v>
      </c>
      <c r="BB1084" s="472" t="s">
        <v>1385</v>
      </c>
      <c r="BC1084" s="472" t="s">
        <v>1385</v>
      </c>
      <c r="BD1084" s="472" t="s">
        <v>1385</v>
      </c>
      <c r="BE1084" s="472" t="s">
        <v>1385</v>
      </c>
      <c r="BF1084" s="472">
        <v>38439.9</v>
      </c>
      <c r="BG1084" s="472">
        <v>0</v>
      </c>
      <c r="BH1084" s="472" t="s">
        <v>1385</v>
      </c>
      <c r="BI1084" s="510">
        <v>0</v>
      </c>
      <c r="BJ1084" s="510">
        <v>0</v>
      </c>
      <c r="BK1084" s="510">
        <v>0</v>
      </c>
      <c r="BL1084" s="510">
        <v>0</v>
      </c>
      <c r="BM1084" s="510">
        <v>0</v>
      </c>
      <c r="BN1084" s="510">
        <v>5000</v>
      </c>
      <c r="BO1084" s="510">
        <v>0</v>
      </c>
      <c r="BP1084" s="510">
        <v>2000</v>
      </c>
      <c r="BQ1084" s="510">
        <v>0</v>
      </c>
      <c r="BR1084" s="510">
        <v>0</v>
      </c>
      <c r="BS1084" s="510">
        <v>0</v>
      </c>
      <c r="BT1084" s="510">
        <v>0</v>
      </c>
      <c r="BU1084" s="510">
        <v>2500</v>
      </c>
      <c r="BV1084" s="510">
        <v>2500</v>
      </c>
      <c r="BW1084" s="510">
        <v>0</v>
      </c>
      <c r="BX1084" s="510">
        <v>30000</v>
      </c>
      <c r="BY1084" s="1011">
        <v>0</v>
      </c>
      <c r="BZ1084" s="510">
        <v>0</v>
      </c>
      <c r="CA1084" s="1011">
        <v>0</v>
      </c>
      <c r="CB1084" s="510">
        <v>22000</v>
      </c>
      <c r="CC1084" s="1011">
        <v>0</v>
      </c>
      <c r="CD1084" s="510">
        <v>0</v>
      </c>
      <c r="CE1084" s="1011">
        <v>0</v>
      </c>
      <c r="CF1084" s="510">
        <v>46911.6</v>
      </c>
      <c r="CG1084" s="1011">
        <v>0</v>
      </c>
      <c r="CH1084" s="510">
        <v>0</v>
      </c>
      <c r="CI1084" s="1011">
        <v>0</v>
      </c>
    </row>
    <row r="1085" spans="1:87" x14ac:dyDescent="0.2">
      <c r="A1085" s="449">
        <v>69</v>
      </c>
      <c r="B1085" s="453">
        <v>98515</v>
      </c>
      <c r="C1085" s="454" t="s">
        <v>9253</v>
      </c>
      <c r="D1085" s="454" t="s">
        <v>1390</v>
      </c>
      <c r="E1085" s="454" t="s">
        <v>9254</v>
      </c>
      <c r="F1085" s="454" t="s">
        <v>521</v>
      </c>
      <c r="G1085" s="454" t="s">
        <v>14116</v>
      </c>
      <c r="H1085" s="455">
        <v>59578880000120</v>
      </c>
      <c r="I1085" s="462">
        <v>32451</v>
      </c>
      <c r="J1085" s="457">
        <v>37550160</v>
      </c>
      <c r="K1085" s="454" t="s">
        <v>9255</v>
      </c>
      <c r="L1085" s="458" t="s">
        <v>1446</v>
      </c>
      <c r="M1085" s="454" t="s">
        <v>9256</v>
      </c>
      <c r="N1085" s="459">
        <v>4777020</v>
      </c>
      <c r="O1085" s="460">
        <v>56673744</v>
      </c>
      <c r="P1085" s="462">
        <v>97805</v>
      </c>
      <c r="Q1085" s="462">
        <v>42</v>
      </c>
      <c r="R1085" s="462">
        <v>43934</v>
      </c>
      <c r="S1085" s="463">
        <v>234</v>
      </c>
      <c r="T1085" s="464">
        <v>3.6</v>
      </c>
      <c r="U1085" s="465">
        <v>842.4</v>
      </c>
      <c r="V1085" s="465">
        <v>12240</v>
      </c>
      <c r="W1085" s="466">
        <v>0</v>
      </c>
      <c r="X1085" s="467">
        <v>1</v>
      </c>
      <c r="Y1085" s="466">
        <v>19623.599999999999</v>
      </c>
      <c r="Z1085" s="468" t="s">
        <v>516</v>
      </c>
      <c r="AA1085" s="466">
        <v>90846</v>
      </c>
      <c r="AB1085" s="466">
        <v>90846</v>
      </c>
      <c r="AC1085" s="467">
        <v>0</v>
      </c>
      <c r="AD1085" s="466">
        <v>0</v>
      </c>
      <c r="AE1085" s="468" t="s">
        <v>516</v>
      </c>
      <c r="AF1085" s="466">
        <v>0</v>
      </c>
      <c r="AG1085" s="466">
        <v>0</v>
      </c>
      <c r="AH1085" s="466">
        <v>18601.97</v>
      </c>
      <c r="AI1085" s="466">
        <v>2679.98</v>
      </c>
      <c r="AJ1085" s="469" t="s">
        <v>1481</v>
      </c>
      <c r="AK1085" s="470" t="s">
        <v>1632</v>
      </c>
      <c r="AL1085" s="471" t="s">
        <v>9257</v>
      </c>
      <c r="AM1085" s="470" t="s">
        <v>14919</v>
      </c>
      <c r="AN1085" s="470" t="s">
        <v>1385</v>
      </c>
      <c r="AO1085" s="470" t="s">
        <v>14920</v>
      </c>
      <c r="AP1085" s="470" t="s">
        <v>9259</v>
      </c>
      <c r="AQ1085" s="470" t="s">
        <v>9253</v>
      </c>
      <c r="AR1085" s="472" t="s">
        <v>515</v>
      </c>
      <c r="AS1085" s="473" t="s">
        <v>1385</v>
      </c>
      <c r="AT1085" s="472" t="s">
        <v>1390</v>
      </c>
      <c r="AU1085" s="472" t="s">
        <v>420</v>
      </c>
      <c r="AV1085" s="472">
        <v>2020</v>
      </c>
      <c r="AW1085" s="474" t="s">
        <v>15078</v>
      </c>
      <c r="AX1085" s="475" t="s">
        <v>15079</v>
      </c>
      <c r="AY1085" s="515">
        <v>1</v>
      </c>
      <c r="AZ1085" s="474" t="s">
        <v>15079</v>
      </c>
      <c r="BA1085" s="472" t="s">
        <v>1390</v>
      </c>
      <c r="BB1085" s="472" t="s">
        <v>1385</v>
      </c>
      <c r="BC1085" s="472" t="s">
        <v>1385</v>
      </c>
      <c r="BD1085" s="472" t="s">
        <v>1385</v>
      </c>
      <c r="BE1085" s="472" t="s">
        <v>1385</v>
      </c>
      <c r="BF1085" s="509">
        <v>19623.599999999999</v>
      </c>
      <c r="BG1085" s="509">
        <v>0</v>
      </c>
      <c r="BH1085" s="472" t="s">
        <v>1385</v>
      </c>
      <c r="BI1085" s="510">
        <v>0</v>
      </c>
      <c r="BJ1085" s="510">
        <v>0</v>
      </c>
      <c r="BK1085" s="510">
        <v>0</v>
      </c>
      <c r="BL1085" s="510">
        <v>0</v>
      </c>
      <c r="BM1085" s="510">
        <v>0</v>
      </c>
      <c r="BN1085" s="510">
        <v>3000</v>
      </c>
      <c r="BO1085" s="510">
        <v>0</v>
      </c>
      <c r="BP1085" s="510">
        <v>0</v>
      </c>
      <c r="BQ1085" s="510">
        <v>0</v>
      </c>
      <c r="BR1085" s="510">
        <v>0</v>
      </c>
      <c r="BS1085" s="510">
        <v>0</v>
      </c>
      <c r="BT1085" s="510">
        <v>0</v>
      </c>
      <c r="BU1085" s="510">
        <v>0</v>
      </c>
      <c r="BV1085" s="510">
        <v>0</v>
      </c>
      <c r="BW1085" s="510">
        <v>0</v>
      </c>
      <c r="BX1085" s="510">
        <v>30000</v>
      </c>
      <c r="BY1085" s="1011">
        <v>0</v>
      </c>
      <c r="BZ1085" s="510">
        <v>0</v>
      </c>
      <c r="CA1085" s="1011">
        <v>0</v>
      </c>
      <c r="CB1085" s="510">
        <v>0</v>
      </c>
      <c r="CC1085" s="1011">
        <v>0</v>
      </c>
      <c r="CD1085" s="510">
        <v>0</v>
      </c>
      <c r="CE1085" s="1011">
        <v>0</v>
      </c>
      <c r="CF1085" s="510">
        <v>41222.400000000001</v>
      </c>
      <c r="CG1085" s="1011">
        <v>0</v>
      </c>
      <c r="CH1085" s="510">
        <v>0</v>
      </c>
      <c r="CI1085" s="1011">
        <v>0</v>
      </c>
    </row>
    <row r="1086" spans="1:87" x14ac:dyDescent="0.2">
      <c r="A1086" s="449">
        <v>73</v>
      </c>
      <c r="B1086" s="453">
        <v>98604</v>
      </c>
      <c r="C1086" s="454" t="s">
        <v>9260</v>
      </c>
      <c r="D1086" s="454" t="s">
        <v>1390</v>
      </c>
      <c r="E1086" s="454" t="s">
        <v>9261</v>
      </c>
      <c r="F1086" s="454" t="s">
        <v>524</v>
      </c>
      <c r="G1086" s="454" t="s">
        <v>14117</v>
      </c>
      <c r="H1086" s="455">
        <v>58922675000178</v>
      </c>
      <c r="I1086" s="462">
        <v>32289</v>
      </c>
      <c r="J1086" s="457">
        <v>37498479</v>
      </c>
      <c r="K1086" s="454" t="s">
        <v>9263</v>
      </c>
      <c r="L1086" s="458">
        <v>45</v>
      </c>
      <c r="M1086" s="454" t="s">
        <v>1879</v>
      </c>
      <c r="N1086" s="459">
        <v>3256040</v>
      </c>
      <c r="O1086" s="460">
        <v>27034446</v>
      </c>
      <c r="P1086" s="462">
        <v>204059</v>
      </c>
      <c r="Q1086" s="462">
        <v>79</v>
      </c>
      <c r="R1086" s="462">
        <v>43906</v>
      </c>
      <c r="S1086" s="463">
        <v>336</v>
      </c>
      <c r="T1086" s="464">
        <v>3.6</v>
      </c>
      <c r="U1086" s="465">
        <v>1209.5999999999999</v>
      </c>
      <c r="V1086" s="465">
        <v>13680</v>
      </c>
      <c r="W1086" s="466">
        <v>0</v>
      </c>
      <c r="X1086" s="467">
        <v>1</v>
      </c>
      <c r="Y1086" s="466">
        <v>22334.400000000001</v>
      </c>
      <c r="Z1086" s="468" t="s">
        <v>516</v>
      </c>
      <c r="AA1086" s="466">
        <v>97192.8</v>
      </c>
      <c r="AB1086" s="466">
        <v>97192.8</v>
      </c>
      <c r="AC1086" s="467">
        <v>0</v>
      </c>
      <c r="AD1086" s="466">
        <v>0</v>
      </c>
      <c r="AE1086" s="468" t="s">
        <v>516</v>
      </c>
      <c r="AF1086" s="466">
        <v>0</v>
      </c>
      <c r="AG1086" s="466">
        <v>0</v>
      </c>
      <c r="AH1086" s="466">
        <v>11152.71</v>
      </c>
      <c r="AI1086" s="466">
        <v>2023.42</v>
      </c>
      <c r="AJ1086" s="469" t="s">
        <v>1580</v>
      </c>
      <c r="AK1086" s="470" t="s">
        <v>1581</v>
      </c>
      <c r="AL1086" s="471" t="s">
        <v>9264</v>
      </c>
      <c r="AM1086" s="470" t="s">
        <v>15159</v>
      </c>
      <c r="AN1086" s="470" t="s">
        <v>9262</v>
      </c>
      <c r="AO1086" s="470" t="s">
        <v>14118</v>
      </c>
      <c r="AP1086" s="470" t="s">
        <v>9265</v>
      </c>
      <c r="AQ1086" s="470" t="s">
        <v>9260</v>
      </c>
      <c r="AR1086" s="472" t="s">
        <v>515</v>
      </c>
      <c r="AS1086" s="473" t="s">
        <v>1385</v>
      </c>
      <c r="AT1086" s="472" t="s">
        <v>1390</v>
      </c>
      <c r="AU1086" s="472" t="s">
        <v>420</v>
      </c>
      <c r="AV1086" s="472">
        <v>2020</v>
      </c>
      <c r="AW1086" s="474" t="s">
        <v>15078</v>
      </c>
      <c r="AX1086" s="475" t="s">
        <v>15079</v>
      </c>
      <c r="AY1086" s="515">
        <v>1</v>
      </c>
      <c r="AZ1086" s="474" t="s">
        <v>15079</v>
      </c>
      <c r="BA1086" s="472" t="s">
        <v>1390</v>
      </c>
      <c r="BB1086" s="472" t="s">
        <v>1385</v>
      </c>
      <c r="BC1086" s="472" t="s">
        <v>1385</v>
      </c>
      <c r="BD1086" s="472" t="s">
        <v>1385</v>
      </c>
      <c r="BE1086" s="472" t="s">
        <v>1385</v>
      </c>
      <c r="BF1086" s="472">
        <v>22334.400000000001</v>
      </c>
      <c r="BG1086" s="472">
        <v>0</v>
      </c>
      <c r="BH1086" s="472" t="s">
        <v>1385</v>
      </c>
      <c r="BI1086" s="510">
        <v>0</v>
      </c>
      <c r="BJ1086" s="510">
        <v>0</v>
      </c>
      <c r="BK1086" s="510">
        <v>0</v>
      </c>
      <c r="BL1086" s="510">
        <v>0</v>
      </c>
      <c r="BM1086" s="510">
        <v>0</v>
      </c>
      <c r="BN1086" s="510">
        <v>3500</v>
      </c>
      <c r="BO1086" s="510">
        <v>0</v>
      </c>
      <c r="BP1086" s="510">
        <v>0</v>
      </c>
      <c r="BQ1086" s="510">
        <v>0</v>
      </c>
      <c r="BR1086" s="510">
        <v>0</v>
      </c>
      <c r="BS1086" s="510">
        <v>0</v>
      </c>
      <c r="BT1086" s="510">
        <v>0</v>
      </c>
      <c r="BU1086" s="510">
        <v>0</v>
      </c>
      <c r="BV1086" s="510">
        <v>0</v>
      </c>
      <c r="BW1086" s="510">
        <v>0</v>
      </c>
      <c r="BX1086" s="510">
        <v>30000</v>
      </c>
      <c r="BY1086" s="1011">
        <v>0</v>
      </c>
      <c r="BZ1086" s="510">
        <v>0</v>
      </c>
      <c r="CA1086" s="1011">
        <v>0</v>
      </c>
      <c r="CB1086" s="510">
        <v>0</v>
      </c>
      <c r="CC1086" s="1011">
        <v>0</v>
      </c>
      <c r="CD1086" s="510">
        <v>0</v>
      </c>
      <c r="CE1086" s="1011">
        <v>0</v>
      </c>
      <c r="CF1086" s="510">
        <v>44858.400000000001</v>
      </c>
      <c r="CG1086" s="1011">
        <v>0</v>
      </c>
      <c r="CH1086" s="510">
        <v>0</v>
      </c>
      <c r="CI1086" s="1011">
        <v>0</v>
      </c>
    </row>
    <row r="1087" spans="1:87" x14ac:dyDescent="0.2">
      <c r="A1087" s="449">
        <v>91</v>
      </c>
      <c r="B1087" s="453">
        <v>98884</v>
      </c>
      <c r="C1087" s="454" t="s">
        <v>9266</v>
      </c>
      <c r="D1087" s="454" t="s">
        <v>1390</v>
      </c>
      <c r="E1087" s="454" t="s">
        <v>9267</v>
      </c>
      <c r="F1087" s="454" t="s">
        <v>526</v>
      </c>
      <c r="G1087" s="454" t="s">
        <v>14119</v>
      </c>
      <c r="H1087" s="455">
        <v>8435870000103</v>
      </c>
      <c r="I1087" s="462">
        <v>35265</v>
      </c>
      <c r="J1087" s="457">
        <v>37567404</v>
      </c>
      <c r="K1087" s="454" t="s">
        <v>9268</v>
      </c>
      <c r="L1087" s="458" t="s">
        <v>1446</v>
      </c>
      <c r="M1087" s="454" t="s">
        <v>2799</v>
      </c>
      <c r="N1087" s="459">
        <v>8090310</v>
      </c>
      <c r="O1087" s="460">
        <v>25811818</v>
      </c>
      <c r="P1087" s="462">
        <v>143270</v>
      </c>
      <c r="Q1087" s="462">
        <v>91</v>
      </c>
      <c r="R1087" s="462">
        <v>43928</v>
      </c>
      <c r="S1087" s="463">
        <v>461</v>
      </c>
      <c r="T1087" s="464">
        <v>3.6</v>
      </c>
      <c r="U1087" s="465">
        <v>1659.6</v>
      </c>
      <c r="V1087" s="465">
        <v>15120</v>
      </c>
      <c r="W1087" s="466">
        <v>0</v>
      </c>
      <c r="X1087" s="467">
        <v>1</v>
      </c>
      <c r="Y1087" s="466">
        <v>25169.4</v>
      </c>
      <c r="Z1087" s="468" t="s">
        <v>516</v>
      </c>
      <c r="AA1087" s="466">
        <v>103822.2</v>
      </c>
      <c r="AB1087" s="466">
        <v>103822.2</v>
      </c>
      <c r="AC1087" s="467">
        <v>0</v>
      </c>
      <c r="AD1087" s="466">
        <v>0</v>
      </c>
      <c r="AE1087" s="468" t="s">
        <v>516</v>
      </c>
      <c r="AF1087" s="466">
        <v>0</v>
      </c>
      <c r="AG1087" s="466">
        <v>0</v>
      </c>
      <c r="AH1087" s="466">
        <v>16903.8</v>
      </c>
      <c r="AI1087" s="466">
        <v>3380.76</v>
      </c>
      <c r="AJ1087" s="469" t="s">
        <v>1839</v>
      </c>
      <c r="AK1087" s="470" t="s">
        <v>526</v>
      </c>
      <c r="AL1087" s="471" t="s">
        <v>9269</v>
      </c>
      <c r="AM1087" s="470" t="s">
        <v>14120</v>
      </c>
      <c r="AN1087" s="470" t="s">
        <v>1385</v>
      </c>
      <c r="AO1087" s="470" t="s">
        <v>14121</v>
      </c>
      <c r="AP1087" s="470" t="s">
        <v>9270</v>
      </c>
      <c r="AQ1087" s="470" t="s">
        <v>9266</v>
      </c>
      <c r="AR1087" s="472" t="s">
        <v>515</v>
      </c>
      <c r="AS1087" s="473" t="s">
        <v>1385</v>
      </c>
      <c r="AT1087" s="472" t="s">
        <v>1390</v>
      </c>
      <c r="AU1087" s="472" t="s">
        <v>420</v>
      </c>
      <c r="AV1087" s="472">
        <v>2020</v>
      </c>
      <c r="AW1087" s="474" t="s">
        <v>15078</v>
      </c>
      <c r="AX1087" s="475" t="s">
        <v>15079</v>
      </c>
      <c r="AY1087" s="515">
        <v>1</v>
      </c>
      <c r="AZ1087" s="474" t="s">
        <v>15079</v>
      </c>
      <c r="BA1087" s="472" t="s">
        <v>1390</v>
      </c>
      <c r="BB1087" s="472" t="s">
        <v>1385</v>
      </c>
      <c r="BC1087" s="472" t="s">
        <v>1385</v>
      </c>
      <c r="BD1087" s="472" t="s">
        <v>1385</v>
      </c>
      <c r="BE1087" s="472" t="s">
        <v>1385</v>
      </c>
      <c r="BF1087" s="472">
        <v>25169.4</v>
      </c>
      <c r="BG1087" s="472">
        <v>0</v>
      </c>
      <c r="BH1087" s="472" t="s">
        <v>1385</v>
      </c>
      <c r="BI1087" s="510">
        <v>0</v>
      </c>
      <c r="BJ1087" s="510">
        <v>0</v>
      </c>
      <c r="BK1087" s="510">
        <v>0</v>
      </c>
      <c r="BL1087" s="510">
        <v>0</v>
      </c>
      <c r="BM1087" s="510">
        <v>0</v>
      </c>
      <c r="BN1087" s="510">
        <v>4000</v>
      </c>
      <c r="BO1087" s="510">
        <v>0</v>
      </c>
      <c r="BP1087" s="510">
        <v>0</v>
      </c>
      <c r="BQ1087" s="510">
        <v>0</v>
      </c>
      <c r="BR1087" s="510">
        <v>0</v>
      </c>
      <c r="BS1087" s="510">
        <v>0</v>
      </c>
      <c r="BT1087" s="510">
        <v>0</v>
      </c>
      <c r="BU1087" s="510">
        <v>0</v>
      </c>
      <c r="BV1087" s="510">
        <v>0</v>
      </c>
      <c r="BW1087" s="510">
        <v>0</v>
      </c>
      <c r="BX1087" s="510">
        <v>30000</v>
      </c>
      <c r="BY1087" s="1011">
        <v>0</v>
      </c>
      <c r="BZ1087" s="510">
        <v>0</v>
      </c>
      <c r="CA1087" s="1011">
        <v>0</v>
      </c>
      <c r="CB1087" s="510">
        <v>0</v>
      </c>
      <c r="CC1087" s="1011">
        <v>0</v>
      </c>
      <c r="CD1087" s="510">
        <v>0</v>
      </c>
      <c r="CE1087" s="1011">
        <v>0</v>
      </c>
      <c r="CF1087" s="510">
        <v>48652.800000000003</v>
      </c>
      <c r="CG1087" s="1011">
        <v>0</v>
      </c>
      <c r="CH1087" s="510">
        <v>0</v>
      </c>
      <c r="CI1087" s="1011">
        <v>0</v>
      </c>
    </row>
    <row r="1088" spans="1:87" x14ac:dyDescent="0.2">
      <c r="A1088" s="449">
        <v>87</v>
      </c>
      <c r="B1088" s="453">
        <v>98931</v>
      </c>
      <c r="C1088" s="454" t="s">
        <v>9271</v>
      </c>
      <c r="D1088" s="454" t="s">
        <v>1390</v>
      </c>
      <c r="E1088" s="454" t="s">
        <v>9272</v>
      </c>
      <c r="F1088" s="454" t="s">
        <v>521</v>
      </c>
      <c r="G1088" s="454" t="s">
        <v>14122</v>
      </c>
      <c r="H1088" s="455">
        <v>59481184000100</v>
      </c>
      <c r="I1088" s="462">
        <v>32377</v>
      </c>
      <c r="J1088" s="457">
        <v>37550209</v>
      </c>
      <c r="K1088" s="454" t="s">
        <v>9273</v>
      </c>
      <c r="L1088" s="458" t="s">
        <v>1446</v>
      </c>
      <c r="M1088" s="454" t="s">
        <v>5178</v>
      </c>
      <c r="N1088" s="459">
        <v>4851120</v>
      </c>
      <c r="O1088" s="460">
        <v>55280296</v>
      </c>
      <c r="P1088" s="462">
        <v>89772</v>
      </c>
      <c r="Q1088" s="462">
        <v>43</v>
      </c>
      <c r="R1088" s="462">
        <v>43934</v>
      </c>
      <c r="S1088" s="463">
        <v>448</v>
      </c>
      <c r="T1088" s="464">
        <v>3.6</v>
      </c>
      <c r="U1088" s="465">
        <v>1612.8</v>
      </c>
      <c r="V1088" s="465">
        <v>15120</v>
      </c>
      <c r="W1088" s="466">
        <v>0</v>
      </c>
      <c r="X1088" s="467">
        <v>1</v>
      </c>
      <c r="Y1088" s="466">
        <v>25099.200000000001</v>
      </c>
      <c r="Z1088" s="468" t="s">
        <v>516</v>
      </c>
      <c r="AA1088" s="466">
        <v>103392</v>
      </c>
      <c r="AB1088" s="466">
        <v>103392</v>
      </c>
      <c r="AC1088" s="467">
        <v>0</v>
      </c>
      <c r="AD1088" s="466">
        <v>0</v>
      </c>
      <c r="AE1088" s="468" t="s">
        <v>516</v>
      </c>
      <c r="AF1088" s="466">
        <v>0</v>
      </c>
      <c r="AG1088" s="466">
        <v>0</v>
      </c>
      <c r="AH1088" s="466">
        <v>18359.37</v>
      </c>
      <c r="AI1088" s="466">
        <v>6693.12</v>
      </c>
      <c r="AJ1088" s="469" t="s">
        <v>1624</v>
      </c>
      <c r="AK1088" s="470" t="s">
        <v>1625</v>
      </c>
      <c r="AL1088" s="471" t="s">
        <v>9274</v>
      </c>
      <c r="AM1088" s="470" t="s">
        <v>14123</v>
      </c>
      <c r="AN1088" s="470" t="s">
        <v>1385</v>
      </c>
      <c r="AO1088" s="470" t="s">
        <v>14934</v>
      </c>
      <c r="AP1088" s="470" t="s">
        <v>9275</v>
      </c>
      <c r="AQ1088" s="470" t="s">
        <v>9271</v>
      </c>
      <c r="AR1088" s="472" t="s">
        <v>515</v>
      </c>
      <c r="AS1088" s="473" t="s">
        <v>1385</v>
      </c>
      <c r="AT1088" s="472" t="s">
        <v>1390</v>
      </c>
      <c r="AU1088" s="472" t="s">
        <v>420</v>
      </c>
      <c r="AV1088" s="472">
        <v>2020</v>
      </c>
      <c r="AW1088" s="474" t="s">
        <v>15078</v>
      </c>
      <c r="AX1088" s="475" t="s">
        <v>15079</v>
      </c>
      <c r="AY1088" s="515">
        <v>1</v>
      </c>
      <c r="AZ1088" s="474" t="s">
        <v>15079</v>
      </c>
      <c r="BA1088" s="472" t="s">
        <v>1390</v>
      </c>
      <c r="BB1088" s="472" t="s">
        <v>1385</v>
      </c>
      <c r="BC1088" s="472" t="s">
        <v>1385</v>
      </c>
      <c r="BD1088" s="472" t="s">
        <v>1385</v>
      </c>
      <c r="BE1088" s="472" t="s">
        <v>1385</v>
      </c>
      <c r="BF1088" s="472">
        <v>25099.200000000001</v>
      </c>
      <c r="BG1088" s="472">
        <v>0</v>
      </c>
      <c r="BH1088" s="472" t="s">
        <v>1385</v>
      </c>
      <c r="BI1088" s="510">
        <v>0</v>
      </c>
      <c r="BJ1088" s="510">
        <v>0</v>
      </c>
      <c r="BK1088" s="510">
        <v>0</v>
      </c>
      <c r="BL1088" s="510">
        <v>0</v>
      </c>
      <c r="BM1088" s="510">
        <v>0</v>
      </c>
      <c r="BN1088" s="510">
        <v>4000</v>
      </c>
      <c r="BO1088" s="510">
        <v>0</v>
      </c>
      <c r="BP1088" s="510">
        <v>0</v>
      </c>
      <c r="BQ1088" s="510">
        <v>0</v>
      </c>
      <c r="BR1088" s="510">
        <v>0</v>
      </c>
      <c r="BS1088" s="510">
        <v>0</v>
      </c>
      <c r="BT1088" s="510">
        <v>0</v>
      </c>
      <c r="BU1088" s="510">
        <v>0</v>
      </c>
      <c r="BV1088" s="510">
        <v>0</v>
      </c>
      <c r="BW1088" s="510">
        <v>0</v>
      </c>
      <c r="BX1088" s="510">
        <v>30000</v>
      </c>
      <c r="BY1088" s="1011">
        <v>0</v>
      </c>
      <c r="BZ1088" s="510">
        <v>0</v>
      </c>
      <c r="CA1088" s="1011">
        <v>0</v>
      </c>
      <c r="CB1088" s="510">
        <v>0</v>
      </c>
      <c r="CC1088" s="1011">
        <v>0</v>
      </c>
      <c r="CD1088" s="510">
        <v>0</v>
      </c>
      <c r="CE1088" s="1011">
        <v>0</v>
      </c>
      <c r="CF1088" s="510">
        <v>48292.800000000003</v>
      </c>
      <c r="CG1088" s="1011">
        <v>0</v>
      </c>
      <c r="CH1088" s="510">
        <v>0</v>
      </c>
      <c r="CI1088" s="1011">
        <v>0</v>
      </c>
    </row>
    <row r="1089" spans="1:87" x14ac:dyDescent="0.2">
      <c r="A1089" s="449">
        <v>64</v>
      </c>
      <c r="B1089" s="453">
        <v>98949</v>
      </c>
      <c r="C1089" s="454" t="s">
        <v>9276</v>
      </c>
      <c r="D1089" s="454" t="s">
        <v>1390</v>
      </c>
      <c r="E1089" s="454" t="s">
        <v>9277</v>
      </c>
      <c r="F1089" s="454" t="s">
        <v>529</v>
      </c>
      <c r="G1089" s="454" t="s">
        <v>14124</v>
      </c>
      <c r="H1089" s="455">
        <v>59574533000120</v>
      </c>
      <c r="I1089" s="462">
        <v>32442</v>
      </c>
      <c r="J1089" s="457">
        <v>37522574</v>
      </c>
      <c r="K1089" s="454" t="s">
        <v>9278</v>
      </c>
      <c r="L1089" s="458">
        <v>348</v>
      </c>
      <c r="M1089" s="454" t="s">
        <v>3864</v>
      </c>
      <c r="N1089" s="459">
        <v>4386000</v>
      </c>
      <c r="O1089" s="460">
        <v>55655927</v>
      </c>
      <c r="P1089" s="462">
        <v>563342</v>
      </c>
      <c r="Q1089" s="462">
        <v>29</v>
      </c>
      <c r="R1089" s="462">
        <v>43921</v>
      </c>
      <c r="S1089" s="463">
        <v>598</v>
      </c>
      <c r="T1089" s="464">
        <v>3.6</v>
      </c>
      <c r="U1089" s="465">
        <v>2152.8000000000002</v>
      </c>
      <c r="V1089" s="465">
        <v>16560</v>
      </c>
      <c r="W1089" s="466">
        <v>0</v>
      </c>
      <c r="X1089" s="467">
        <v>1</v>
      </c>
      <c r="Y1089" s="466">
        <v>28069.200000000001</v>
      </c>
      <c r="Z1089" s="468" t="s">
        <v>516</v>
      </c>
      <c r="AA1089" s="466">
        <v>110914.8</v>
      </c>
      <c r="AB1089" s="466">
        <v>110914.8</v>
      </c>
      <c r="AC1089" s="467">
        <v>0</v>
      </c>
      <c r="AD1089" s="466">
        <v>0</v>
      </c>
      <c r="AE1089" s="468" t="s">
        <v>516</v>
      </c>
      <c r="AF1089" s="466">
        <v>1400</v>
      </c>
      <c r="AG1089" s="466">
        <v>1400</v>
      </c>
      <c r="AH1089" s="466">
        <v>11977.49</v>
      </c>
      <c r="AI1089" s="466">
        <v>0.86</v>
      </c>
      <c r="AJ1089" s="469" t="s">
        <v>1790</v>
      </c>
      <c r="AK1089" s="470" t="s">
        <v>1791</v>
      </c>
      <c r="AL1089" s="471" t="s">
        <v>9279</v>
      </c>
      <c r="AM1089" s="470" t="s">
        <v>9280</v>
      </c>
      <c r="AN1089" s="470" t="s">
        <v>14124</v>
      </c>
      <c r="AO1089" s="470" t="s">
        <v>9281</v>
      </c>
      <c r="AP1089" s="470" t="s">
        <v>9282</v>
      </c>
      <c r="AQ1089" s="470" t="s">
        <v>9276</v>
      </c>
      <c r="AR1089" s="472" t="s">
        <v>515</v>
      </c>
      <c r="AS1089" s="473" t="s">
        <v>1385</v>
      </c>
      <c r="AT1089" s="472" t="s">
        <v>1390</v>
      </c>
      <c r="AU1089" s="472" t="s">
        <v>420</v>
      </c>
      <c r="AV1089" s="472">
        <v>2020</v>
      </c>
      <c r="AW1089" s="474" t="s">
        <v>15078</v>
      </c>
      <c r="AX1089" s="475" t="s">
        <v>15079</v>
      </c>
      <c r="AY1089" s="515">
        <v>1</v>
      </c>
      <c r="AZ1089" s="474" t="s">
        <v>15079</v>
      </c>
      <c r="BA1089" s="472" t="s">
        <v>1390</v>
      </c>
      <c r="BB1089" s="472" t="s">
        <v>1385</v>
      </c>
      <c r="BC1089" s="472" t="s">
        <v>1385</v>
      </c>
      <c r="BD1089" s="472" t="s">
        <v>1385</v>
      </c>
      <c r="BE1089" s="472" t="s">
        <v>1385</v>
      </c>
      <c r="BF1089" s="472">
        <v>28069.200000000001</v>
      </c>
      <c r="BG1089" s="472">
        <v>0</v>
      </c>
      <c r="BH1089" s="472" t="s">
        <v>1385</v>
      </c>
      <c r="BI1089" s="510">
        <v>0</v>
      </c>
      <c r="BJ1089" s="510">
        <v>0</v>
      </c>
      <c r="BK1089" s="510">
        <v>0</v>
      </c>
      <c r="BL1089" s="510">
        <v>0</v>
      </c>
      <c r="BM1089" s="510">
        <v>0</v>
      </c>
      <c r="BN1089" s="510">
        <v>5000</v>
      </c>
      <c r="BO1089" s="510">
        <v>600</v>
      </c>
      <c r="BP1089" s="510">
        <v>1400</v>
      </c>
      <c r="BQ1089" s="510">
        <v>0</v>
      </c>
      <c r="BR1089" s="510">
        <v>0</v>
      </c>
      <c r="BS1089" s="510">
        <v>0</v>
      </c>
      <c r="BT1089" s="510">
        <v>0</v>
      </c>
      <c r="BU1089" s="510">
        <v>0</v>
      </c>
      <c r="BV1089" s="510">
        <v>0</v>
      </c>
      <c r="BW1089" s="510">
        <v>0</v>
      </c>
      <c r="BX1089" s="510">
        <v>30000</v>
      </c>
      <c r="BY1089" s="1011">
        <v>0</v>
      </c>
      <c r="BZ1089" s="510">
        <v>0</v>
      </c>
      <c r="CA1089" s="1011">
        <v>0</v>
      </c>
      <c r="CB1089" s="510">
        <v>0</v>
      </c>
      <c r="CC1089" s="1011">
        <v>0</v>
      </c>
      <c r="CD1089" s="510">
        <v>0</v>
      </c>
      <c r="CE1089" s="1011">
        <v>0</v>
      </c>
      <c r="CF1089" s="510">
        <v>52245.599999999999</v>
      </c>
      <c r="CG1089" s="1011">
        <v>0</v>
      </c>
      <c r="CH1089" s="510">
        <v>0</v>
      </c>
      <c r="CI1089" s="1011">
        <v>0</v>
      </c>
    </row>
    <row r="1090" spans="1:87" x14ac:dyDescent="0.2">
      <c r="A1090" s="449">
        <v>63</v>
      </c>
      <c r="B1090" s="453">
        <v>98957</v>
      </c>
      <c r="C1090" s="454" t="s">
        <v>9283</v>
      </c>
      <c r="D1090" s="454" t="s">
        <v>1390</v>
      </c>
      <c r="E1090" s="454" t="s">
        <v>9284</v>
      </c>
      <c r="F1090" s="454" t="s">
        <v>522</v>
      </c>
      <c r="G1090" s="454" t="s">
        <v>14125</v>
      </c>
      <c r="H1090" s="455">
        <v>59398214000100</v>
      </c>
      <c r="I1090" s="462">
        <v>32366</v>
      </c>
      <c r="J1090" s="457">
        <v>37587013</v>
      </c>
      <c r="K1090" s="454" t="s">
        <v>9285</v>
      </c>
      <c r="L1090" s="458">
        <v>9</v>
      </c>
      <c r="M1090" s="454" t="s">
        <v>4407</v>
      </c>
      <c r="N1090" s="459">
        <v>2882030</v>
      </c>
      <c r="O1090" s="460">
        <v>38518885</v>
      </c>
      <c r="P1090" s="462">
        <v>73060</v>
      </c>
      <c r="Q1090" s="462">
        <v>8</v>
      </c>
      <c r="R1090" s="462">
        <v>44021</v>
      </c>
      <c r="S1090" s="463">
        <v>435</v>
      </c>
      <c r="T1090" s="464">
        <v>3.6</v>
      </c>
      <c r="U1090" s="465">
        <v>1566</v>
      </c>
      <c r="V1090" s="465">
        <v>15120</v>
      </c>
      <c r="W1090" s="466">
        <v>0</v>
      </c>
      <c r="X1090" s="467">
        <v>1</v>
      </c>
      <c r="Y1090" s="466">
        <v>25029</v>
      </c>
      <c r="Z1090" s="468" t="s">
        <v>516</v>
      </c>
      <c r="AA1090" s="466">
        <v>103494.6</v>
      </c>
      <c r="AB1090" s="466">
        <v>103494.6</v>
      </c>
      <c r="AC1090" s="467">
        <v>0</v>
      </c>
      <c r="AD1090" s="466">
        <v>0</v>
      </c>
      <c r="AE1090" s="468" t="s">
        <v>516</v>
      </c>
      <c r="AF1090" s="466">
        <v>0</v>
      </c>
      <c r="AG1090" s="466">
        <v>0</v>
      </c>
      <c r="AH1090" s="466">
        <v>15038.7</v>
      </c>
      <c r="AI1090" s="466">
        <v>5793.56</v>
      </c>
      <c r="AJ1090" s="469" t="s">
        <v>1403</v>
      </c>
      <c r="AK1090" s="470" t="s">
        <v>6341</v>
      </c>
      <c r="AL1090" s="471" t="s">
        <v>9286</v>
      </c>
      <c r="AM1090" s="470" t="s">
        <v>14126</v>
      </c>
      <c r="AN1090" s="470" t="s">
        <v>1385</v>
      </c>
      <c r="AO1090" s="470" t="s">
        <v>9287</v>
      </c>
      <c r="AP1090" s="470" t="s">
        <v>9288</v>
      </c>
      <c r="AQ1090" s="470" t="s">
        <v>9283</v>
      </c>
      <c r="AR1090" s="472" t="s">
        <v>515</v>
      </c>
      <c r="AS1090" s="473" t="s">
        <v>1385</v>
      </c>
      <c r="AT1090" s="472" t="s">
        <v>1390</v>
      </c>
      <c r="AU1090" s="472" t="s">
        <v>420</v>
      </c>
      <c r="AV1090" s="472">
        <v>2020</v>
      </c>
      <c r="AW1090" s="474" t="s">
        <v>15078</v>
      </c>
      <c r="AX1090" s="475" t="s">
        <v>15079</v>
      </c>
      <c r="AY1090" s="515">
        <v>1</v>
      </c>
      <c r="AZ1090" s="474" t="s">
        <v>15079</v>
      </c>
      <c r="BA1090" s="472" t="s">
        <v>1390</v>
      </c>
      <c r="BB1090" s="472" t="s">
        <v>1385</v>
      </c>
      <c r="BC1090" s="472" t="s">
        <v>1385</v>
      </c>
      <c r="BD1090" s="472" t="s">
        <v>1385</v>
      </c>
      <c r="BE1090" s="472" t="s">
        <v>1385</v>
      </c>
      <c r="BF1090" s="472">
        <v>25029</v>
      </c>
      <c r="BG1090" s="472">
        <v>0</v>
      </c>
      <c r="BH1090" s="472" t="s">
        <v>1385</v>
      </c>
      <c r="BI1090" s="510">
        <v>0</v>
      </c>
      <c r="BJ1090" s="510">
        <v>0</v>
      </c>
      <c r="BK1090" s="510">
        <v>0</v>
      </c>
      <c r="BL1090" s="510">
        <v>0</v>
      </c>
      <c r="BM1090" s="510">
        <v>0</v>
      </c>
      <c r="BN1090" s="510">
        <v>4000</v>
      </c>
      <c r="BO1090" s="510">
        <v>0</v>
      </c>
      <c r="BP1090" s="510">
        <v>0</v>
      </c>
      <c r="BQ1090" s="510">
        <v>0</v>
      </c>
      <c r="BR1090" s="510">
        <v>0</v>
      </c>
      <c r="BS1090" s="510">
        <v>0</v>
      </c>
      <c r="BT1090" s="510">
        <v>0</v>
      </c>
      <c r="BU1090" s="510">
        <v>0</v>
      </c>
      <c r="BV1090" s="510">
        <v>0</v>
      </c>
      <c r="BW1090" s="510">
        <v>0</v>
      </c>
      <c r="BX1090" s="510">
        <v>30000</v>
      </c>
      <c r="BY1090" s="1011">
        <v>0</v>
      </c>
      <c r="BZ1090" s="510">
        <v>0</v>
      </c>
      <c r="CA1090" s="1011">
        <v>0</v>
      </c>
      <c r="CB1090" s="510">
        <v>0</v>
      </c>
      <c r="CC1090" s="1011">
        <v>0</v>
      </c>
      <c r="CD1090" s="510">
        <v>0</v>
      </c>
      <c r="CE1090" s="1011">
        <v>0</v>
      </c>
      <c r="CF1090" s="510">
        <v>48465.599999999999</v>
      </c>
      <c r="CG1090" s="1011">
        <v>0</v>
      </c>
      <c r="CH1090" s="510">
        <v>0</v>
      </c>
      <c r="CI1090" s="1011">
        <v>0</v>
      </c>
    </row>
    <row r="1091" spans="1:87" x14ac:dyDescent="0.2">
      <c r="A1091" s="449">
        <v>82</v>
      </c>
      <c r="B1091" s="453">
        <v>98965</v>
      </c>
      <c r="C1091" s="454" t="s">
        <v>9289</v>
      </c>
      <c r="D1091" s="454" t="s">
        <v>1390</v>
      </c>
      <c r="E1091" s="454" t="s">
        <v>9290</v>
      </c>
      <c r="F1091" s="454" t="s">
        <v>522</v>
      </c>
      <c r="G1091" s="454" t="s">
        <v>14127</v>
      </c>
      <c r="H1091" s="455">
        <v>96294186000108</v>
      </c>
      <c r="I1091" s="462">
        <v>34236</v>
      </c>
      <c r="J1091" s="457">
        <v>37588818</v>
      </c>
      <c r="K1091" s="454" t="s">
        <v>9291</v>
      </c>
      <c r="L1091" s="458">
        <v>206</v>
      </c>
      <c r="M1091" s="454" t="s">
        <v>6341</v>
      </c>
      <c r="N1091" s="459">
        <v>2473040</v>
      </c>
      <c r="O1091" s="460">
        <v>39811612</v>
      </c>
      <c r="P1091" s="462">
        <v>75330</v>
      </c>
      <c r="Q1091" s="462">
        <v>27</v>
      </c>
      <c r="R1091" s="462">
        <v>43911</v>
      </c>
      <c r="S1091" s="463">
        <v>267</v>
      </c>
      <c r="T1091" s="464">
        <v>3.6</v>
      </c>
      <c r="U1091" s="465">
        <v>961.2</v>
      </c>
      <c r="V1091" s="465">
        <v>12240</v>
      </c>
      <c r="W1091" s="466">
        <v>0</v>
      </c>
      <c r="X1091" s="467">
        <v>1</v>
      </c>
      <c r="Y1091" s="466">
        <v>19801.8</v>
      </c>
      <c r="Z1091" s="468" t="s">
        <v>516</v>
      </c>
      <c r="AA1091" s="466">
        <v>91276.2</v>
      </c>
      <c r="AB1091" s="466">
        <v>91276.2</v>
      </c>
      <c r="AC1091" s="467">
        <v>0</v>
      </c>
      <c r="AD1091" s="466">
        <v>0</v>
      </c>
      <c r="AE1091" s="468" t="s">
        <v>516</v>
      </c>
      <c r="AF1091" s="466">
        <v>0</v>
      </c>
      <c r="AG1091" s="466">
        <v>0</v>
      </c>
      <c r="AH1091" s="466">
        <v>3229.7</v>
      </c>
      <c r="AI1091" s="466">
        <v>2534.6999999999998</v>
      </c>
      <c r="AJ1091" s="469" t="s">
        <v>1403</v>
      </c>
      <c r="AK1091" s="470" t="s">
        <v>6341</v>
      </c>
      <c r="AL1091" s="471" t="s">
        <v>9293</v>
      </c>
      <c r="AM1091" s="470" t="s">
        <v>9294</v>
      </c>
      <c r="AN1091" s="470" t="s">
        <v>1385</v>
      </c>
      <c r="AO1091" s="470" t="s">
        <v>14128</v>
      </c>
      <c r="AP1091" s="470" t="s">
        <v>9295</v>
      </c>
      <c r="AQ1091" s="470" t="s">
        <v>9289</v>
      </c>
      <c r="AR1091" s="472" t="s">
        <v>515</v>
      </c>
      <c r="AS1091" s="473" t="s">
        <v>1385</v>
      </c>
      <c r="AT1091" s="472" t="s">
        <v>1390</v>
      </c>
      <c r="AU1091" s="472" t="s">
        <v>420</v>
      </c>
      <c r="AV1091" s="472">
        <v>2020</v>
      </c>
      <c r="AW1091" s="474" t="s">
        <v>15078</v>
      </c>
      <c r="AX1091" s="475" t="s">
        <v>15079</v>
      </c>
      <c r="AY1091" s="515">
        <v>1</v>
      </c>
      <c r="AZ1091" s="474" t="s">
        <v>15079</v>
      </c>
      <c r="BA1091" s="472" t="s">
        <v>1390</v>
      </c>
      <c r="BB1091" s="472" t="s">
        <v>1385</v>
      </c>
      <c r="BC1091" s="472" t="s">
        <v>1385</v>
      </c>
      <c r="BD1091" s="472" t="s">
        <v>1385</v>
      </c>
      <c r="BE1091" s="472" t="s">
        <v>1385</v>
      </c>
      <c r="BF1091" s="472">
        <v>19801.8</v>
      </c>
      <c r="BG1091" s="472">
        <v>0</v>
      </c>
      <c r="BH1091" s="472" t="s">
        <v>1385</v>
      </c>
      <c r="BI1091" s="510">
        <v>0</v>
      </c>
      <c r="BJ1091" s="510">
        <v>0</v>
      </c>
      <c r="BK1091" s="510">
        <v>0</v>
      </c>
      <c r="BL1091" s="510">
        <v>0</v>
      </c>
      <c r="BM1091" s="510">
        <v>0</v>
      </c>
      <c r="BN1091" s="510">
        <v>3500</v>
      </c>
      <c r="BO1091" s="510">
        <v>0</v>
      </c>
      <c r="BP1091" s="510">
        <v>0</v>
      </c>
      <c r="BQ1091" s="510">
        <v>0</v>
      </c>
      <c r="BR1091" s="510">
        <v>0</v>
      </c>
      <c r="BS1091" s="510">
        <v>0</v>
      </c>
      <c r="BT1091" s="510">
        <v>0</v>
      </c>
      <c r="BU1091" s="510">
        <v>0</v>
      </c>
      <c r="BV1091" s="510">
        <v>0</v>
      </c>
      <c r="BW1091" s="510">
        <v>0</v>
      </c>
      <c r="BX1091" s="510">
        <v>30000</v>
      </c>
      <c r="BY1091" s="1011">
        <v>0</v>
      </c>
      <c r="BZ1091" s="510">
        <v>0</v>
      </c>
      <c r="CA1091" s="1011">
        <v>0</v>
      </c>
      <c r="CB1091" s="510">
        <v>0</v>
      </c>
      <c r="CC1091" s="1011">
        <v>0</v>
      </c>
      <c r="CD1091" s="510">
        <v>0</v>
      </c>
      <c r="CE1091" s="1011">
        <v>0</v>
      </c>
      <c r="CF1091" s="510">
        <v>41474.400000000001</v>
      </c>
      <c r="CG1091" s="1011">
        <v>0</v>
      </c>
      <c r="CH1091" s="510">
        <v>0</v>
      </c>
      <c r="CI1091" s="1011">
        <v>0</v>
      </c>
    </row>
    <row r="1092" spans="1:87" x14ac:dyDescent="0.2">
      <c r="A1092" s="449">
        <v>66</v>
      </c>
      <c r="B1092" s="453">
        <v>98973</v>
      </c>
      <c r="C1092" s="454" t="s">
        <v>9296</v>
      </c>
      <c r="D1092" s="454" t="s">
        <v>1390</v>
      </c>
      <c r="E1092" s="454" t="s">
        <v>9297</v>
      </c>
      <c r="F1092" s="454" t="s">
        <v>525</v>
      </c>
      <c r="G1092" s="454" t="s">
        <v>14129</v>
      </c>
      <c r="H1092" s="455">
        <v>60559309000148</v>
      </c>
      <c r="I1092" s="462">
        <v>32652</v>
      </c>
      <c r="J1092" s="457">
        <v>37387324</v>
      </c>
      <c r="K1092" s="454" t="s">
        <v>9299</v>
      </c>
      <c r="L1092" s="458">
        <v>934</v>
      </c>
      <c r="M1092" s="454" t="s">
        <v>9300</v>
      </c>
      <c r="N1092" s="459">
        <v>2345000</v>
      </c>
      <c r="O1092" s="460">
        <v>29961551</v>
      </c>
      <c r="P1092" s="462">
        <v>334270</v>
      </c>
      <c r="Q1092" s="462">
        <v>66</v>
      </c>
      <c r="R1092" s="462">
        <v>43950</v>
      </c>
      <c r="S1092" s="463">
        <v>442</v>
      </c>
      <c r="T1092" s="464">
        <v>3.6</v>
      </c>
      <c r="U1092" s="465">
        <v>1591.2</v>
      </c>
      <c r="V1092" s="465">
        <v>15120</v>
      </c>
      <c r="W1092" s="466">
        <v>0</v>
      </c>
      <c r="X1092" s="467">
        <v>1</v>
      </c>
      <c r="Y1092" s="466">
        <v>25066.799999999999</v>
      </c>
      <c r="Z1092" s="468" t="s">
        <v>516</v>
      </c>
      <c r="AA1092" s="466">
        <v>103647.6</v>
      </c>
      <c r="AB1092" s="466">
        <v>103647.6</v>
      </c>
      <c r="AC1092" s="467">
        <v>0</v>
      </c>
      <c r="AD1092" s="466">
        <v>0</v>
      </c>
      <c r="AE1092" s="468" t="s">
        <v>516</v>
      </c>
      <c r="AF1092" s="466">
        <v>0</v>
      </c>
      <c r="AG1092" s="466">
        <v>0</v>
      </c>
      <c r="AH1092" s="466">
        <v>22051.16</v>
      </c>
      <c r="AI1092" s="466">
        <v>9109.49</v>
      </c>
      <c r="AJ1092" s="469" t="s">
        <v>1448</v>
      </c>
      <c r="AK1092" s="470" t="s">
        <v>1449</v>
      </c>
      <c r="AL1092" s="471" t="s">
        <v>9301</v>
      </c>
      <c r="AM1092" s="470" t="s">
        <v>9302</v>
      </c>
      <c r="AN1092" s="470" t="s">
        <v>9298</v>
      </c>
      <c r="AO1092" s="470" t="s">
        <v>9303</v>
      </c>
      <c r="AP1092" s="470" t="s">
        <v>9304</v>
      </c>
      <c r="AQ1092" s="470" t="s">
        <v>9296</v>
      </c>
      <c r="AR1092" s="472" t="s">
        <v>515</v>
      </c>
      <c r="AS1092" s="473" t="s">
        <v>1385</v>
      </c>
      <c r="AT1092" s="472" t="s">
        <v>1390</v>
      </c>
      <c r="AU1092" s="472" t="s">
        <v>420</v>
      </c>
      <c r="AV1092" s="472">
        <v>2020</v>
      </c>
      <c r="AW1092" s="474" t="s">
        <v>15078</v>
      </c>
      <c r="AX1092" s="475" t="s">
        <v>15079</v>
      </c>
      <c r="AY1092" s="515">
        <v>1</v>
      </c>
      <c r="AZ1092" s="474" t="s">
        <v>15079</v>
      </c>
      <c r="BA1092" s="472" t="s">
        <v>1390</v>
      </c>
      <c r="BB1092" s="472" t="s">
        <v>1385</v>
      </c>
      <c r="BC1092" s="472" t="s">
        <v>1385</v>
      </c>
      <c r="BD1092" s="472" t="s">
        <v>1385</v>
      </c>
      <c r="BE1092" s="472" t="s">
        <v>1385</v>
      </c>
      <c r="BF1092" s="472">
        <v>25066.799999999999</v>
      </c>
      <c r="BG1092" s="472">
        <v>0</v>
      </c>
      <c r="BH1092" s="472" t="s">
        <v>1385</v>
      </c>
      <c r="BI1092" s="510">
        <v>0</v>
      </c>
      <c r="BJ1092" s="510">
        <v>0</v>
      </c>
      <c r="BK1092" s="510">
        <v>0</v>
      </c>
      <c r="BL1092" s="510">
        <v>0</v>
      </c>
      <c r="BM1092" s="510">
        <v>0</v>
      </c>
      <c r="BN1092" s="510">
        <v>4000</v>
      </c>
      <c r="BO1092" s="510">
        <v>0</v>
      </c>
      <c r="BP1092" s="510">
        <v>0</v>
      </c>
      <c r="BQ1092" s="510">
        <v>0</v>
      </c>
      <c r="BR1092" s="510">
        <v>0</v>
      </c>
      <c r="BS1092" s="510">
        <v>0</v>
      </c>
      <c r="BT1092" s="510">
        <v>0</v>
      </c>
      <c r="BU1092" s="510">
        <v>0</v>
      </c>
      <c r="BV1092" s="510">
        <v>0</v>
      </c>
      <c r="BW1092" s="510">
        <v>0</v>
      </c>
      <c r="BX1092" s="510">
        <v>30000</v>
      </c>
      <c r="BY1092" s="1011">
        <v>0</v>
      </c>
      <c r="BZ1092" s="510">
        <v>0</v>
      </c>
      <c r="CA1092" s="1011">
        <v>0</v>
      </c>
      <c r="CB1092" s="510">
        <v>0</v>
      </c>
      <c r="CC1092" s="1011">
        <v>0</v>
      </c>
      <c r="CD1092" s="510">
        <v>0</v>
      </c>
      <c r="CE1092" s="1011">
        <v>0</v>
      </c>
      <c r="CF1092" s="510">
        <v>48580.800000000003</v>
      </c>
      <c r="CG1092" s="1011">
        <v>0</v>
      </c>
      <c r="CH1092" s="510">
        <v>0</v>
      </c>
      <c r="CI1092" s="1011">
        <v>0</v>
      </c>
    </row>
    <row r="1093" spans="1:87" x14ac:dyDescent="0.2">
      <c r="A1093" s="449">
        <v>91</v>
      </c>
      <c r="B1093" s="453">
        <v>98981</v>
      </c>
      <c r="C1093" s="454" t="s">
        <v>9305</v>
      </c>
      <c r="D1093" s="454" t="s">
        <v>1390</v>
      </c>
      <c r="E1093" s="454" t="s">
        <v>9306</v>
      </c>
      <c r="F1093" s="454" t="s">
        <v>525</v>
      </c>
      <c r="G1093" s="454" t="s">
        <v>14130</v>
      </c>
      <c r="H1093" s="455">
        <v>59292169000105</v>
      </c>
      <c r="I1093" s="462">
        <v>32336</v>
      </c>
      <c r="J1093" s="457">
        <v>37410725</v>
      </c>
      <c r="K1093" s="454" t="s">
        <v>9308</v>
      </c>
      <c r="L1093" s="458">
        <v>45</v>
      </c>
      <c r="M1093" s="454" t="s">
        <v>6814</v>
      </c>
      <c r="N1093" s="459">
        <v>2141070</v>
      </c>
      <c r="O1093" s="460">
        <v>22012330</v>
      </c>
      <c r="P1093" s="462">
        <v>336141</v>
      </c>
      <c r="Q1093" s="462">
        <v>91</v>
      </c>
      <c r="R1093" s="462">
        <v>43950</v>
      </c>
      <c r="S1093" s="463">
        <v>398</v>
      </c>
      <c r="T1093" s="464">
        <v>3.6</v>
      </c>
      <c r="U1093" s="465">
        <v>1432.8</v>
      </c>
      <c r="V1093" s="465">
        <v>13680</v>
      </c>
      <c r="W1093" s="466">
        <v>0</v>
      </c>
      <c r="X1093" s="467">
        <v>1</v>
      </c>
      <c r="Y1093" s="466">
        <v>22669.200000000001</v>
      </c>
      <c r="Z1093" s="468" t="s">
        <v>516</v>
      </c>
      <c r="AA1093" s="466">
        <v>100854</v>
      </c>
      <c r="AB1093" s="466">
        <v>100854</v>
      </c>
      <c r="AC1093" s="467">
        <v>0</v>
      </c>
      <c r="AD1093" s="466">
        <v>0</v>
      </c>
      <c r="AE1093" s="468" t="s">
        <v>516</v>
      </c>
      <c r="AF1093" s="466">
        <v>0</v>
      </c>
      <c r="AG1093" s="466">
        <v>0</v>
      </c>
      <c r="AH1093" s="466">
        <v>24217.03</v>
      </c>
      <c r="AI1093" s="466">
        <v>4533.84</v>
      </c>
      <c r="AJ1093" s="469" t="s">
        <v>6815</v>
      </c>
      <c r="AK1093" s="470" t="s">
        <v>6814</v>
      </c>
      <c r="AL1093" s="471" t="s">
        <v>9309</v>
      </c>
      <c r="AM1093" s="470" t="s">
        <v>9310</v>
      </c>
      <c r="AN1093" s="470" t="s">
        <v>9307</v>
      </c>
      <c r="AO1093" s="470" t="s">
        <v>9311</v>
      </c>
      <c r="AP1093" s="470" t="s">
        <v>9312</v>
      </c>
      <c r="AQ1093" s="470" t="s">
        <v>9305</v>
      </c>
      <c r="AR1093" s="472" t="s">
        <v>515</v>
      </c>
      <c r="AS1093" s="473" t="s">
        <v>1385</v>
      </c>
      <c r="AT1093" s="472" t="s">
        <v>1390</v>
      </c>
      <c r="AU1093" s="472" t="s">
        <v>420</v>
      </c>
      <c r="AV1093" s="472">
        <v>2020</v>
      </c>
      <c r="AW1093" s="474" t="s">
        <v>15078</v>
      </c>
      <c r="AX1093" s="475" t="s">
        <v>15079</v>
      </c>
      <c r="AY1093" s="515">
        <v>1</v>
      </c>
      <c r="AZ1093" s="474" t="s">
        <v>15079</v>
      </c>
      <c r="BA1093" s="472" t="s">
        <v>1390</v>
      </c>
      <c r="BB1093" s="472" t="s">
        <v>1385</v>
      </c>
      <c r="BC1093" s="472" t="s">
        <v>1385</v>
      </c>
      <c r="BD1093" s="472" t="s">
        <v>1385</v>
      </c>
      <c r="BE1093" s="472" t="s">
        <v>1385</v>
      </c>
      <c r="BF1093" s="472">
        <v>22669.200000000001</v>
      </c>
      <c r="BG1093" s="472">
        <v>0</v>
      </c>
      <c r="BH1093" s="472" t="s">
        <v>1385</v>
      </c>
      <c r="BI1093" s="510">
        <v>0</v>
      </c>
      <c r="BJ1093" s="510">
        <v>0</v>
      </c>
      <c r="BK1093" s="510">
        <v>0</v>
      </c>
      <c r="BL1093" s="510">
        <v>0</v>
      </c>
      <c r="BM1093" s="510">
        <v>0</v>
      </c>
      <c r="BN1093" s="510">
        <v>3500</v>
      </c>
      <c r="BO1093" s="510">
        <v>0</v>
      </c>
      <c r="BP1093" s="510">
        <v>0</v>
      </c>
      <c r="BQ1093" s="510">
        <v>0</v>
      </c>
      <c r="BR1093" s="510">
        <v>0</v>
      </c>
      <c r="BS1093" s="510">
        <v>0</v>
      </c>
      <c r="BT1093" s="510">
        <v>0</v>
      </c>
      <c r="BU1093" s="510">
        <v>0</v>
      </c>
      <c r="BV1093" s="510">
        <v>0</v>
      </c>
      <c r="BW1093" s="510">
        <v>0</v>
      </c>
      <c r="BX1093" s="510">
        <v>30000</v>
      </c>
      <c r="BY1093" s="1011">
        <v>0</v>
      </c>
      <c r="BZ1093" s="510">
        <v>0</v>
      </c>
      <c r="CA1093" s="1011">
        <v>0</v>
      </c>
      <c r="CB1093" s="510">
        <v>0</v>
      </c>
      <c r="CC1093" s="1011">
        <v>0</v>
      </c>
      <c r="CD1093" s="510">
        <v>0</v>
      </c>
      <c r="CE1093" s="1011">
        <v>0</v>
      </c>
      <c r="CF1093" s="510">
        <v>48184.800000000003</v>
      </c>
      <c r="CG1093" s="1011">
        <v>0</v>
      </c>
      <c r="CH1093" s="510">
        <v>0</v>
      </c>
      <c r="CI1093" s="1011">
        <v>0</v>
      </c>
    </row>
    <row r="1094" spans="1:87" x14ac:dyDescent="0.2">
      <c r="A1094" s="449">
        <v>85</v>
      </c>
      <c r="B1094" s="453">
        <v>98990</v>
      </c>
      <c r="C1094" s="454" t="s">
        <v>9313</v>
      </c>
      <c r="D1094" s="454" t="s">
        <v>1390</v>
      </c>
      <c r="E1094" s="454" t="s">
        <v>9314</v>
      </c>
      <c r="F1094" s="454" t="s">
        <v>525</v>
      </c>
      <c r="G1094" s="454" t="s">
        <v>14131</v>
      </c>
      <c r="H1094" s="455">
        <v>59953927000199</v>
      </c>
      <c r="I1094" s="462">
        <v>32526</v>
      </c>
      <c r="J1094" s="457">
        <v>37387235</v>
      </c>
      <c r="K1094" s="454" t="s">
        <v>9316</v>
      </c>
      <c r="L1094" s="458">
        <v>153</v>
      </c>
      <c r="M1094" s="454" t="s">
        <v>8655</v>
      </c>
      <c r="N1094" s="459">
        <v>2238090</v>
      </c>
      <c r="O1094" s="460">
        <v>22497167</v>
      </c>
      <c r="P1094" s="462">
        <v>335528</v>
      </c>
      <c r="Q1094" s="462">
        <v>85</v>
      </c>
      <c r="R1094" s="462">
        <v>43950</v>
      </c>
      <c r="S1094" s="463">
        <v>426</v>
      </c>
      <c r="T1094" s="464">
        <v>3.6</v>
      </c>
      <c r="U1094" s="465">
        <v>1533.6</v>
      </c>
      <c r="V1094" s="465">
        <v>15120</v>
      </c>
      <c r="W1094" s="466">
        <v>0</v>
      </c>
      <c r="X1094" s="467">
        <v>1</v>
      </c>
      <c r="Y1094" s="466">
        <v>24980.400000000001</v>
      </c>
      <c r="Z1094" s="468" t="s">
        <v>516</v>
      </c>
      <c r="AA1094" s="466">
        <v>103503.6</v>
      </c>
      <c r="AB1094" s="466">
        <v>103503.6</v>
      </c>
      <c r="AC1094" s="467">
        <v>0</v>
      </c>
      <c r="AD1094" s="466">
        <v>0</v>
      </c>
      <c r="AE1094" s="468" t="s">
        <v>516</v>
      </c>
      <c r="AF1094" s="466">
        <v>0</v>
      </c>
      <c r="AG1094" s="466">
        <v>0</v>
      </c>
      <c r="AH1094" s="466">
        <v>21587.84</v>
      </c>
      <c r="AI1094" s="466">
        <v>0.17</v>
      </c>
      <c r="AJ1094" s="469" t="s">
        <v>1535</v>
      </c>
      <c r="AK1094" s="470" t="s">
        <v>1536</v>
      </c>
      <c r="AL1094" s="471" t="s">
        <v>9317</v>
      </c>
      <c r="AM1094" s="470" t="s">
        <v>8657</v>
      </c>
      <c r="AN1094" s="470" t="s">
        <v>9315</v>
      </c>
      <c r="AO1094" s="470" t="s">
        <v>9318</v>
      </c>
      <c r="AP1094" s="470" t="s">
        <v>9319</v>
      </c>
      <c r="AQ1094" s="470" t="s">
        <v>9313</v>
      </c>
      <c r="AR1094" s="472" t="s">
        <v>515</v>
      </c>
      <c r="AS1094" s="473" t="s">
        <v>1385</v>
      </c>
      <c r="AT1094" s="472" t="s">
        <v>1390</v>
      </c>
      <c r="AU1094" s="472" t="s">
        <v>420</v>
      </c>
      <c r="AV1094" s="472">
        <v>2020</v>
      </c>
      <c r="AW1094" s="474" t="s">
        <v>15078</v>
      </c>
      <c r="AX1094" s="475" t="s">
        <v>15079</v>
      </c>
      <c r="AY1094" s="515">
        <v>1</v>
      </c>
      <c r="AZ1094" s="474" t="s">
        <v>15079</v>
      </c>
      <c r="BA1094" s="472" t="s">
        <v>1390</v>
      </c>
      <c r="BB1094" s="472" t="s">
        <v>1385</v>
      </c>
      <c r="BC1094" s="472" t="s">
        <v>1385</v>
      </c>
      <c r="BD1094" s="472" t="s">
        <v>1385</v>
      </c>
      <c r="BE1094" s="472" t="s">
        <v>1385</v>
      </c>
      <c r="BF1094" s="472">
        <v>24980.400000000001</v>
      </c>
      <c r="BG1094" s="472">
        <v>0</v>
      </c>
      <c r="BH1094" s="472" t="s">
        <v>1385</v>
      </c>
      <c r="BI1094" s="510">
        <v>0</v>
      </c>
      <c r="BJ1094" s="510">
        <v>0</v>
      </c>
      <c r="BK1094" s="510">
        <v>0</v>
      </c>
      <c r="BL1094" s="510">
        <v>0</v>
      </c>
      <c r="BM1094" s="510">
        <v>0</v>
      </c>
      <c r="BN1094" s="510">
        <v>4000</v>
      </c>
      <c r="BO1094" s="510">
        <v>0</v>
      </c>
      <c r="BP1094" s="510">
        <v>0</v>
      </c>
      <c r="BQ1094" s="510">
        <v>0</v>
      </c>
      <c r="BR1094" s="510">
        <v>0</v>
      </c>
      <c r="BS1094" s="510">
        <v>0</v>
      </c>
      <c r="BT1094" s="510">
        <v>0</v>
      </c>
      <c r="BU1094" s="510">
        <v>0</v>
      </c>
      <c r="BV1094" s="510">
        <v>0</v>
      </c>
      <c r="BW1094" s="510">
        <v>0</v>
      </c>
      <c r="BX1094" s="510">
        <v>30000</v>
      </c>
      <c r="BY1094" s="1011">
        <v>0</v>
      </c>
      <c r="BZ1094" s="510">
        <v>0</v>
      </c>
      <c r="CA1094" s="1011">
        <v>0</v>
      </c>
      <c r="CB1094" s="510">
        <v>0</v>
      </c>
      <c r="CC1094" s="1011">
        <v>0</v>
      </c>
      <c r="CD1094" s="510">
        <v>0</v>
      </c>
      <c r="CE1094" s="1011">
        <v>0</v>
      </c>
      <c r="CF1094" s="510">
        <v>48523.199999999997</v>
      </c>
      <c r="CG1094" s="1011">
        <v>0</v>
      </c>
      <c r="CH1094" s="510">
        <v>0</v>
      </c>
      <c r="CI1094" s="1011">
        <v>0</v>
      </c>
    </row>
    <row r="1095" spans="1:87" x14ac:dyDescent="0.2">
      <c r="A1095" s="449">
        <v>96</v>
      </c>
      <c r="B1095" s="453">
        <v>99007</v>
      </c>
      <c r="C1095" s="454" t="s">
        <v>9320</v>
      </c>
      <c r="D1095" s="454" t="s">
        <v>1390</v>
      </c>
      <c r="E1095" s="454" t="s">
        <v>9321</v>
      </c>
      <c r="F1095" s="454" t="s">
        <v>528</v>
      </c>
      <c r="G1095" s="454" t="s">
        <v>14132</v>
      </c>
      <c r="H1095" s="455">
        <v>59841270000178</v>
      </c>
      <c r="I1095" s="462">
        <v>32491</v>
      </c>
      <c r="J1095" s="457">
        <v>37382552</v>
      </c>
      <c r="K1095" s="454" t="s">
        <v>9322</v>
      </c>
      <c r="L1095" s="458">
        <v>95</v>
      </c>
      <c r="M1095" s="454" t="s">
        <v>9323</v>
      </c>
      <c r="N1095" s="459">
        <v>5135370</v>
      </c>
      <c r="O1095" s="460">
        <v>39067055</v>
      </c>
      <c r="P1095" s="462">
        <v>210903</v>
      </c>
      <c r="Q1095" s="462">
        <v>96</v>
      </c>
      <c r="R1095" s="462">
        <v>43938</v>
      </c>
      <c r="S1095" s="463">
        <v>193</v>
      </c>
      <c r="T1095" s="464">
        <v>3.6</v>
      </c>
      <c r="U1095" s="465">
        <v>694.8</v>
      </c>
      <c r="V1095" s="465">
        <v>10800</v>
      </c>
      <c r="W1095" s="466">
        <v>0</v>
      </c>
      <c r="X1095" s="467">
        <v>1</v>
      </c>
      <c r="Y1095" s="466">
        <v>17242.2</v>
      </c>
      <c r="Z1095" s="468" t="s">
        <v>516</v>
      </c>
      <c r="AA1095" s="466">
        <v>85087.8</v>
      </c>
      <c r="AB1095" s="466">
        <v>85087.8</v>
      </c>
      <c r="AC1095" s="467">
        <v>0</v>
      </c>
      <c r="AD1095" s="466">
        <v>0</v>
      </c>
      <c r="AE1095" s="468" t="s">
        <v>516</v>
      </c>
      <c r="AF1095" s="466">
        <v>0</v>
      </c>
      <c r="AG1095" s="466">
        <v>0</v>
      </c>
      <c r="AH1095" s="466">
        <v>7080.47</v>
      </c>
      <c r="AI1095" s="466">
        <v>2299.2199999999998</v>
      </c>
      <c r="AJ1095" s="469" t="s">
        <v>1729</v>
      </c>
      <c r="AK1095" s="470" t="s">
        <v>2936</v>
      </c>
      <c r="AL1095" s="471" t="s">
        <v>9324</v>
      </c>
      <c r="AM1095" s="470" t="s">
        <v>9325</v>
      </c>
      <c r="AN1095" s="470" t="s">
        <v>9326</v>
      </c>
      <c r="AO1095" s="470" t="s">
        <v>14133</v>
      </c>
      <c r="AP1095" s="470" t="s">
        <v>9327</v>
      </c>
      <c r="AQ1095" s="470" t="s">
        <v>9320</v>
      </c>
      <c r="AR1095" s="472" t="s">
        <v>515</v>
      </c>
      <c r="AS1095" s="473" t="s">
        <v>1385</v>
      </c>
      <c r="AT1095" s="472" t="s">
        <v>1390</v>
      </c>
      <c r="AU1095" s="472" t="s">
        <v>420</v>
      </c>
      <c r="AV1095" s="472">
        <v>2020</v>
      </c>
      <c r="AW1095" s="474" t="s">
        <v>15078</v>
      </c>
      <c r="AX1095" s="475" t="s">
        <v>15079</v>
      </c>
      <c r="AY1095" s="515">
        <v>1</v>
      </c>
      <c r="AZ1095" s="474" t="s">
        <v>15079</v>
      </c>
      <c r="BA1095" s="472" t="s">
        <v>1390</v>
      </c>
      <c r="BB1095" s="472" t="s">
        <v>1385</v>
      </c>
      <c r="BC1095" s="472" t="s">
        <v>1385</v>
      </c>
      <c r="BD1095" s="472" t="s">
        <v>1385</v>
      </c>
      <c r="BE1095" s="472" t="s">
        <v>1385</v>
      </c>
      <c r="BF1095" s="472">
        <v>17242.2</v>
      </c>
      <c r="BG1095" s="472">
        <v>0</v>
      </c>
      <c r="BH1095" s="472" t="s">
        <v>1385</v>
      </c>
      <c r="BI1095" s="510">
        <v>0</v>
      </c>
      <c r="BJ1095" s="510">
        <v>0.2</v>
      </c>
      <c r="BK1095" s="510">
        <v>0</v>
      </c>
      <c r="BL1095" s="510">
        <v>0</v>
      </c>
      <c r="BM1095" s="510">
        <v>0</v>
      </c>
      <c r="BN1095" s="510">
        <v>3000</v>
      </c>
      <c r="BO1095" s="510">
        <v>0</v>
      </c>
      <c r="BP1095" s="510">
        <v>0</v>
      </c>
      <c r="BQ1095" s="510">
        <v>0</v>
      </c>
      <c r="BR1095" s="510">
        <v>0</v>
      </c>
      <c r="BS1095" s="510">
        <v>0</v>
      </c>
      <c r="BT1095" s="510">
        <v>0</v>
      </c>
      <c r="BU1095" s="510">
        <v>0</v>
      </c>
      <c r="BV1095" s="510">
        <v>0</v>
      </c>
      <c r="BW1095" s="510">
        <v>0</v>
      </c>
      <c r="BX1095" s="510">
        <v>30000</v>
      </c>
      <c r="BY1095" s="1011">
        <v>0</v>
      </c>
      <c r="BZ1095" s="510">
        <v>0</v>
      </c>
      <c r="CA1095" s="1011">
        <v>0</v>
      </c>
      <c r="CB1095" s="510">
        <v>0</v>
      </c>
      <c r="CC1095" s="1011">
        <v>0</v>
      </c>
      <c r="CD1095" s="510">
        <v>0</v>
      </c>
      <c r="CE1095" s="1011">
        <v>0</v>
      </c>
      <c r="CF1095" s="510">
        <v>37845.599999999999</v>
      </c>
      <c r="CG1095" s="1011">
        <v>0</v>
      </c>
      <c r="CH1095" s="510">
        <v>0</v>
      </c>
      <c r="CI1095" s="1011">
        <v>0</v>
      </c>
    </row>
    <row r="1096" spans="1:87" x14ac:dyDescent="0.2">
      <c r="A1096" s="449">
        <v>101</v>
      </c>
      <c r="B1096" s="453">
        <v>99015</v>
      </c>
      <c r="C1096" s="454" t="s">
        <v>9328</v>
      </c>
      <c r="D1096" s="454" t="s">
        <v>1390</v>
      </c>
      <c r="E1096" s="454" t="s">
        <v>9329</v>
      </c>
      <c r="F1096" s="454" t="s">
        <v>528</v>
      </c>
      <c r="G1096" s="454" t="s">
        <v>14134</v>
      </c>
      <c r="H1096" s="455">
        <v>59841296000116</v>
      </c>
      <c r="I1096" s="462">
        <v>36785</v>
      </c>
      <c r="J1096" s="457">
        <v>38090040</v>
      </c>
      <c r="K1096" s="454" t="s">
        <v>9330</v>
      </c>
      <c r="L1096" s="458">
        <v>73</v>
      </c>
      <c r="M1096" s="454" t="s">
        <v>9331</v>
      </c>
      <c r="N1096" s="459">
        <v>2977090</v>
      </c>
      <c r="O1096" s="460">
        <v>39712338</v>
      </c>
      <c r="P1096" s="462">
        <v>213988</v>
      </c>
      <c r="Q1096" s="462">
        <v>101</v>
      </c>
      <c r="R1096" s="462">
        <v>43938</v>
      </c>
      <c r="S1096" s="463">
        <v>325</v>
      </c>
      <c r="T1096" s="464">
        <v>3.6</v>
      </c>
      <c r="U1096" s="465">
        <v>1170</v>
      </c>
      <c r="V1096" s="465">
        <v>13680</v>
      </c>
      <c r="W1096" s="466">
        <v>0</v>
      </c>
      <c r="X1096" s="467">
        <v>1</v>
      </c>
      <c r="Y1096" s="466">
        <v>22275</v>
      </c>
      <c r="Z1096" s="468" t="s">
        <v>516</v>
      </c>
      <c r="AA1096" s="466">
        <v>97119</v>
      </c>
      <c r="AB1096" s="466">
        <v>97119</v>
      </c>
      <c r="AC1096" s="467">
        <v>0</v>
      </c>
      <c r="AD1096" s="466">
        <v>0</v>
      </c>
      <c r="AE1096" s="468" t="s">
        <v>516</v>
      </c>
      <c r="AF1096" s="466">
        <v>0</v>
      </c>
      <c r="AG1096" s="466">
        <v>0</v>
      </c>
      <c r="AH1096" s="466">
        <v>18590.04</v>
      </c>
      <c r="AI1096" s="466">
        <v>2840</v>
      </c>
      <c r="AJ1096" s="469" t="s">
        <v>1571</v>
      </c>
      <c r="AK1096" s="470" t="s">
        <v>528</v>
      </c>
      <c r="AL1096" s="471" t="s">
        <v>9332</v>
      </c>
      <c r="AM1096" s="470" t="s">
        <v>9333</v>
      </c>
      <c r="AN1096" s="470" t="s">
        <v>9334</v>
      </c>
      <c r="AO1096" s="470" t="s">
        <v>9335</v>
      </c>
      <c r="AP1096" s="470" t="s">
        <v>9336</v>
      </c>
      <c r="AQ1096" s="470" t="s">
        <v>9328</v>
      </c>
      <c r="AR1096" s="472" t="s">
        <v>515</v>
      </c>
      <c r="AS1096" s="473" t="s">
        <v>1385</v>
      </c>
      <c r="AT1096" s="472" t="s">
        <v>1390</v>
      </c>
      <c r="AU1096" s="472" t="s">
        <v>420</v>
      </c>
      <c r="AV1096" s="472">
        <v>2020</v>
      </c>
      <c r="AW1096" s="474" t="s">
        <v>15078</v>
      </c>
      <c r="AX1096" s="475" t="s">
        <v>15079</v>
      </c>
      <c r="AY1096" s="515">
        <v>1</v>
      </c>
      <c r="AZ1096" s="474" t="s">
        <v>15079</v>
      </c>
      <c r="BA1096" s="472" t="s">
        <v>1390</v>
      </c>
      <c r="BB1096" s="472" t="s">
        <v>1385</v>
      </c>
      <c r="BC1096" s="472" t="s">
        <v>1385</v>
      </c>
      <c r="BD1096" s="472" t="s">
        <v>1385</v>
      </c>
      <c r="BE1096" s="472" t="s">
        <v>1385</v>
      </c>
      <c r="BF1096" s="472">
        <v>22275</v>
      </c>
      <c r="BG1096" s="472">
        <v>0</v>
      </c>
      <c r="BH1096" s="472" t="s">
        <v>1385</v>
      </c>
      <c r="BI1096" s="510">
        <v>0</v>
      </c>
      <c r="BJ1096" s="510">
        <v>0</v>
      </c>
      <c r="BK1096" s="510">
        <v>0</v>
      </c>
      <c r="BL1096" s="510">
        <v>0</v>
      </c>
      <c r="BM1096" s="510">
        <v>0</v>
      </c>
      <c r="BN1096" s="510">
        <v>3500</v>
      </c>
      <c r="BO1096" s="510">
        <v>0</v>
      </c>
      <c r="BP1096" s="510">
        <v>0</v>
      </c>
      <c r="BQ1096" s="510">
        <v>0</v>
      </c>
      <c r="BR1096" s="510">
        <v>0</v>
      </c>
      <c r="BS1096" s="510">
        <v>0</v>
      </c>
      <c r="BT1096" s="510">
        <v>0</v>
      </c>
      <c r="BU1096" s="510">
        <v>0</v>
      </c>
      <c r="BV1096" s="510">
        <v>0</v>
      </c>
      <c r="BW1096" s="510">
        <v>0</v>
      </c>
      <c r="BX1096" s="510">
        <v>30000</v>
      </c>
      <c r="BY1096" s="1011">
        <v>0</v>
      </c>
      <c r="BZ1096" s="510">
        <v>0</v>
      </c>
      <c r="CA1096" s="1011">
        <v>0</v>
      </c>
      <c r="CB1096" s="510">
        <v>0</v>
      </c>
      <c r="CC1096" s="1011">
        <v>0</v>
      </c>
      <c r="CD1096" s="510">
        <v>0</v>
      </c>
      <c r="CE1096" s="1011">
        <v>0</v>
      </c>
      <c r="CF1096" s="510">
        <v>44844</v>
      </c>
      <c r="CG1096" s="1011">
        <v>0</v>
      </c>
      <c r="CH1096" s="510">
        <v>0</v>
      </c>
      <c r="CI1096" s="1011">
        <v>0</v>
      </c>
    </row>
    <row r="1097" spans="1:87" x14ac:dyDescent="0.2">
      <c r="A1097" s="449">
        <v>60</v>
      </c>
      <c r="B1097" s="453">
        <v>99023</v>
      </c>
      <c r="C1097" s="454" t="s">
        <v>9337</v>
      </c>
      <c r="D1097" s="454" t="s">
        <v>1390</v>
      </c>
      <c r="E1097" s="454" t="s">
        <v>9338</v>
      </c>
      <c r="F1097" s="454" t="s">
        <v>519</v>
      </c>
      <c r="G1097" s="454" t="s">
        <v>14135</v>
      </c>
      <c r="H1097" s="455">
        <v>59933481000130</v>
      </c>
      <c r="I1097" s="462">
        <v>32492</v>
      </c>
      <c r="J1097" s="457">
        <v>37355392</v>
      </c>
      <c r="K1097" s="454" t="s">
        <v>9340</v>
      </c>
      <c r="L1097" s="458">
        <v>210</v>
      </c>
      <c r="M1097" s="454" t="s">
        <v>9341</v>
      </c>
      <c r="N1097" s="459">
        <v>5374070</v>
      </c>
      <c r="O1097" s="460">
        <v>37828891</v>
      </c>
      <c r="P1097" s="462">
        <v>119035</v>
      </c>
      <c r="Q1097" s="462">
        <v>45</v>
      </c>
      <c r="R1097" s="462">
        <v>43881</v>
      </c>
      <c r="S1097" s="463">
        <v>260</v>
      </c>
      <c r="T1097" s="464">
        <v>3.6</v>
      </c>
      <c r="U1097" s="465">
        <v>936</v>
      </c>
      <c r="V1097" s="465">
        <v>12240</v>
      </c>
      <c r="W1097" s="466">
        <v>0</v>
      </c>
      <c r="X1097" s="467">
        <v>1</v>
      </c>
      <c r="Y1097" s="466">
        <v>0</v>
      </c>
      <c r="Z1097" s="468" t="s">
        <v>514</v>
      </c>
      <c r="AA1097" s="466">
        <v>0</v>
      </c>
      <c r="AB1097" s="466">
        <v>0</v>
      </c>
      <c r="AC1097" s="467">
        <v>0</v>
      </c>
      <c r="AD1097" s="466">
        <v>0</v>
      </c>
      <c r="AE1097" s="468" t="s">
        <v>516</v>
      </c>
      <c r="AF1097" s="466">
        <v>0</v>
      </c>
      <c r="AG1097" s="466">
        <v>0</v>
      </c>
      <c r="AH1097" s="466">
        <v>19740.509999999998</v>
      </c>
      <c r="AI1097" s="466">
        <v>465.9</v>
      </c>
      <c r="AJ1097" s="469" t="s">
        <v>1606</v>
      </c>
      <c r="AK1097" s="470" t="s">
        <v>519</v>
      </c>
      <c r="AL1097" s="471" t="s">
        <v>9342</v>
      </c>
      <c r="AM1097" s="470" t="s">
        <v>14136</v>
      </c>
      <c r="AN1097" s="470" t="s">
        <v>9339</v>
      </c>
      <c r="AO1097" s="470" t="s">
        <v>9343</v>
      </c>
      <c r="AP1097" s="470" t="s">
        <v>9344</v>
      </c>
      <c r="AQ1097" s="470" t="s">
        <v>9337</v>
      </c>
      <c r="AR1097" s="472" t="s">
        <v>515</v>
      </c>
      <c r="AS1097" s="473" t="s">
        <v>1385</v>
      </c>
      <c r="AT1097" s="472" t="s">
        <v>1390</v>
      </c>
      <c r="AU1097" s="472" t="s">
        <v>420</v>
      </c>
      <c r="AV1097" s="472">
        <v>2020</v>
      </c>
      <c r="AW1097" s="474" t="s">
        <v>15078</v>
      </c>
      <c r="AX1097" s="475" t="s">
        <v>15079</v>
      </c>
      <c r="AY1097" s="515">
        <v>1</v>
      </c>
      <c r="AZ1097" s="474" t="s">
        <v>15079</v>
      </c>
      <c r="BA1097" s="472" t="s">
        <v>1385</v>
      </c>
      <c r="BB1097" s="472" t="s">
        <v>1385</v>
      </c>
      <c r="BC1097" s="472" t="s">
        <v>1385</v>
      </c>
      <c r="BD1097" s="472" t="s">
        <v>1385</v>
      </c>
      <c r="BE1097" s="472" t="s">
        <v>1385</v>
      </c>
      <c r="BF1097" s="472">
        <v>19764</v>
      </c>
      <c r="BG1097" s="472">
        <v>0</v>
      </c>
      <c r="BH1097" s="472" t="s">
        <v>516</v>
      </c>
      <c r="BI1097" s="510">
        <v>0</v>
      </c>
      <c r="BJ1097" s="510">
        <v>0</v>
      </c>
      <c r="BK1097" s="510">
        <v>0</v>
      </c>
      <c r="BL1097" s="510">
        <v>0</v>
      </c>
      <c r="BM1097" s="510">
        <v>0</v>
      </c>
      <c r="BN1097" s="510">
        <v>0</v>
      </c>
      <c r="BO1097" s="510">
        <v>0</v>
      </c>
      <c r="BP1097" s="510">
        <v>0</v>
      </c>
      <c r="BQ1097" s="510">
        <v>0</v>
      </c>
      <c r="BR1097" s="510">
        <v>0</v>
      </c>
      <c r="BS1097" s="510">
        <v>0</v>
      </c>
      <c r="BT1097" s="510">
        <v>0</v>
      </c>
      <c r="BU1097" s="510">
        <v>0</v>
      </c>
      <c r="BV1097" s="510">
        <v>0</v>
      </c>
      <c r="BW1097" s="510">
        <v>0</v>
      </c>
      <c r="BX1097" s="510">
        <v>0</v>
      </c>
      <c r="BY1097" s="1011">
        <v>0</v>
      </c>
      <c r="BZ1097" s="510">
        <v>0</v>
      </c>
      <c r="CA1097" s="1011">
        <v>0</v>
      </c>
      <c r="CB1097" s="510">
        <v>0</v>
      </c>
      <c r="CC1097" s="1011">
        <v>0</v>
      </c>
      <c r="CD1097" s="510">
        <v>0</v>
      </c>
      <c r="CE1097" s="1011">
        <v>0</v>
      </c>
      <c r="CF1097" s="510">
        <v>0</v>
      </c>
      <c r="CG1097" s="1011">
        <v>0</v>
      </c>
      <c r="CH1097" s="510">
        <v>0</v>
      </c>
      <c r="CI1097" s="1011">
        <v>0</v>
      </c>
    </row>
    <row r="1098" spans="1:87" x14ac:dyDescent="0.2">
      <c r="A1098" s="449">
        <v>68</v>
      </c>
      <c r="B1098" s="453">
        <v>99031</v>
      </c>
      <c r="C1098" s="454" t="s">
        <v>9345</v>
      </c>
      <c r="D1098" s="454" t="s">
        <v>1390</v>
      </c>
      <c r="E1098" s="454" t="s">
        <v>9346</v>
      </c>
      <c r="F1098" s="454" t="s">
        <v>519</v>
      </c>
      <c r="G1098" s="454" t="s">
        <v>14137</v>
      </c>
      <c r="H1098" s="455">
        <v>59829283000121</v>
      </c>
      <c r="I1098" s="462">
        <v>32455</v>
      </c>
      <c r="J1098" s="457">
        <v>37356682</v>
      </c>
      <c r="K1098" s="454" t="s">
        <v>9348</v>
      </c>
      <c r="L1098" s="458">
        <v>480</v>
      </c>
      <c r="M1098" s="454" t="s">
        <v>9349</v>
      </c>
      <c r="N1098" s="459">
        <v>5572000</v>
      </c>
      <c r="O1098" s="460">
        <v>37828903</v>
      </c>
      <c r="P1098" s="462">
        <v>129910</v>
      </c>
      <c r="Q1098" s="462">
        <v>54</v>
      </c>
      <c r="R1098" s="462">
        <v>43881</v>
      </c>
      <c r="S1098" s="463">
        <v>240</v>
      </c>
      <c r="T1098" s="464">
        <v>3.6</v>
      </c>
      <c r="U1098" s="465">
        <v>864</v>
      </c>
      <c r="V1098" s="465">
        <v>12240</v>
      </c>
      <c r="W1098" s="466">
        <v>0</v>
      </c>
      <c r="X1098" s="467">
        <v>1</v>
      </c>
      <c r="Y1098" s="466">
        <v>0</v>
      </c>
      <c r="Z1098" s="468" t="s">
        <v>514</v>
      </c>
      <c r="AA1098" s="466">
        <v>0</v>
      </c>
      <c r="AB1098" s="466">
        <v>0</v>
      </c>
      <c r="AC1098" s="467">
        <v>0</v>
      </c>
      <c r="AD1098" s="466">
        <v>0</v>
      </c>
      <c r="AE1098" s="468" t="s">
        <v>516</v>
      </c>
      <c r="AF1098" s="466">
        <v>0</v>
      </c>
      <c r="AG1098" s="466">
        <v>0</v>
      </c>
      <c r="AH1098" s="466">
        <v>5284.35</v>
      </c>
      <c r="AI1098" s="466">
        <v>1388.1</v>
      </c>
      <c r="AJ1098" s="469" t="s">
        <v>1606</v>
      </c>
      <c r="AK1098" s="470" t="s">
        <v>519</v>
      </c>
      <c r="AL1098" s="471" t="s">
        <v>9350</v>
      </c>
      <c r="AM1098" s="470" t="s">
        <v>9351</v>
      </c>
      <c r="AN1098" s="470" t="s">
        <v>9347</v>
      </c>
      <c r="AO1098" s="470" t="s">
        <v>9352</v>
      </c>
      <c r="AP1098" s="470" t="s">
        <v>9353</v>
      </c>
      <c r="AQ1098" s="470" t="s">
        <v>9345</v>
      </c>
      <c r="AR1098" s="472" t="s">
        <v>515</v>
      </c>
      <c r="AS1098" s="473" t="s">
        <v>1385</v>
      </c>
      <c r="AT1098" s="472" t="s">
        <v>1390</v>
      </c>
      <c r="AU1098" s="472" t="s">
        <v>420</v>
      </c>
      <c r="AV1098" s="472">
        <v>2020</v>
      </c>
      <c r="AW1098" s="474" t="s">
        <v>15078</v>
      </c>
      <c r="AX1098" s="475" t="s">
        <v>15079</v>
      </c>
      <c r="AY1098" s="515">
        <v>1</v>
      </c>
      <c r="AZ1098" s="474" t="s">
        <v>15079</v>
      </c>
      <c r="BA1098" s="472" t="s">
        <v>1385</v>
      </c>
      <c r="BB1098" s="472" t="s">
        <v>1385</v>
      </c>
      <c r="BC1098" s="472" t="s">
        <v>1385</v>
      </c>
      <c r="BD1098" s="472" t="s">
        <v>1385</v>
      </c>
      <c r="BE1098" s="472" t="s">
        <v>1385</v>
      </c>
      <c r="BF1098" s="472">
        <v>19656</v>
      </c>
      <c r="BG1098" s="472">
        <v>0</v>
      </c>
      <c r="BH1098" s="472" t="s">
        <v>516</v>
      </c>
      <c r="BI1098" s="510">
        <v>0</v>
      </c>
      <c r="BJ1098" s="510">
        <v>0</v>
      </c>
      <c r="BK1098" s="510">
        <v>0</v>
      </c>
      <c r="BL1098" s="510">
        <v>0</v>
      </c>
      <c r="BM1098" s="510">
        <v>0</v>
      </c>
      <c r="BN1098" s="510">
        <v>0</v>
      </c>
      <c r="BO1098" s="510">
        <v>0</v>
      </c>
      <c r="BP1098" s="510">
        <v>0</v>
      </c>
      <c r="BQ1098" s="510">
        <v>0</v>
      </c>
      <c r="BR1098" s="510">
        <v>0</v>
      </c>
      <c r="BS1098" s="510">
        <v>0</v>
      </c>
      <c r="BT1098" s="510">
        <v>0</v>
      </c>
      <c r="BU1098" s="510">
        <v>0</v>
      </c>
      <c r="BV1098" s="510">
        <v>0</v>
      </c>
      <c r="BW1098" s="510">
        <v>0</v>
      </c>
      <c r="BX1098" s="510">
        <v>0</v>
      </c>
      <c r="BY1098" s="1011">
        <v>0</v>
      </c>
      <c r="BZ1098" s="510">
        <v>0</v>
      </c>
      <c r="CA1098" s="1011">
        <v>0</v>
      </c>
      <c r="CB1098" s="510">
        <v>0</v>
      </c>
      <c r="CC1098" s="1011">
        <v>0</v>
      </c>
      <c r="CD1098" s="510">
        <v>0</v>
      </c>
      <c r="CE1098" s="1011">
        <v>0</v>
      </c>
      <c r="CF1098" s="510">
        <v>0</v>
      </c>
      <c r="CG1098" s="1011">
        <v>0</v>
      </c>
      <c r="CH1098" s="510">
        <v>0</v>
      </c>
      <c r="CI1098" s="1011">
        <v>0</v>
      </c>
    </row>
    <row r="1099" spans="1:87" x14ac:dyDescent="0.2">
      <c r="A1099" s="449">
        <v>75</v>
      </c>
      <c r="B1099" s="453">
        <v>99040</v>
      </c>
      <c r="C1099" s="454" t="s">
        <v>9354</v>
      </c>
      <c r="D1099" s="454" t="s">
        <v>1390</v>
      </c>
      <c r="E1099" s="454" t="s">
        <v>9355</v>
      </c>
      <c r="F1099" s="454" t="s">
        <v>529</v>
      </c>
      <c r="G1099" s="454" t="s">
        <v>14138</v>
      </c>
      <c r="H1099" s="455">
        <v>59578906000130</v>
      </c>
      <c r="I1099" s="462">
        <v>32451</v>
      </c>
      <c r="J1099" s="457">
        <v>37522914</v>
      </c>
      <c r="K1099" s="454" t="s">
        <v>9356</v>
      </c>
      <c r="L1099" s="458">
        <v>9</v>
      </c>
      <c r="M1099" s="454" t="s">
        <v>1545</v>
      </c>
      <c r="N1099" s="459">
        <v>4458100</v>
      </c>
      <c r="O1099" s="460">
        <v>56122561</v>
      </c>
      <c r="P1099" s="462">
        <v>563539</v>
      </c>
      <c r="Q1099" s="462">
        <v>40</v>
      </c>
      <c r="R1099" s="462">
        <v>43921</v>
      </c>
      <c r="S1099" s="463">
        <v>397</v>
      </c>
      <c r="T1099" s="464">
        <v>3.6</v>
      </c>
      <c r="U1099" s="465">
        <v>1429.2</v>
      </c>
      <c r="V1099" s="465">
        <v>13680</v>
      </c>
      <c r="W1099" s="466">
        <v>0</v>
      </c>
      <c r="X1099" s="467">
        <v>1</v>
      </c>
      <c r="Y1099" s="466">
        <v>22663.8</v>
      </c>
      <c r="Z1099" s="468" t="s">
        <v>516</v>
      </c>
      <c r="AA1099" s="466">
        <v>97867.8</v>
      </c>
      <c r="AB1099" s="466">
        <v>97867.8</v>
      </c>
      <c r="AC1099" s="467">
        <v>0</v>
      </c>
      <c r="AD1099" s="466">
        <v>0</v>
      </c>
      <c r="AE1099" s="468" t="s">
        <v>516</v>
      </c>
      <c r="AF1099" s="466">
        <v>0</v>
      </c>
      <c r="AG1099" s="466">
        <v>0</v>
      </c>
      <c r="AH1099" s="466">
        <v>25436.32</v>
      </c>
      <c r="AI1099" s="466">
        <v>3028.68</v>
      </c>
      <c r="AJ1099" s="469" t="s">
        <v>1481</v>
      </c>
      <c r="AK1099" s="470" t="s">
        <v>1482</v>
      </c>
      <c r="AL1099" s="471" t="s">
        <v>9357</v>
      </c>
      <c r="AM1099" s="470" t="s">
        <v>9358</v>
      </c>
      <c r="AN1099" s="470" t="s">
        <v>14138</v>
      </c>
      <c r="AO1099" s="470" t="s">
        <v>9359</v>
      </c>
      <c r="AP1099" s="470" t="s">
        <v>9360</v>
      </c>
      <c r="AQ1099" s="470" t="s">
        <v>9354</v>
      </c>
      <c r="AR1099" s="472" t="s">
        <v>515</v>
      </c>
      <c r="AS1099" s="473" t="s">
        <v>1385</v>
      </c>
      <c r="AT1099" s="472" t="s">
        <v>1390</v>
      </c>
      <c r="AU1099" s="472" t="s">
        <v>420</v>
      </c>
      <c r="AV1099" s="472">
        <v>2020</v>
      </c>
      <c r="AW1099" s="474" t="s">
        <v>15078</v>
      </c>
      <c r="AX1099" s="475" t="s">
        <v>15079</v>
      </c>
      <c r="AY1099" s="515">
        <v>1</v>
      </c>
      <c r="AZ1099" s="474" t="s">
        <v>15079</v>
      </c>
      <c r="BA1099" s="472" t="s">
        <v>1390</v>
      </c>
      <c r="BB1099" s="472" t="s">
        <v>1385</v>
      </c>
      <c r="BC1099" s="472" t="s">
        <v>1385</v>
      </c>
      <c r="BD1099" s="472" t="s">
        <v>1385</v>
      </c>
      <c r="BE1099" s="472" t="s">
        <v>1385</v>
      </c>
      <c r="BF1099" s="472">
        <v>22663.8</v>
      </c>
      <c r="BG1099" s="472">
        <v>0</v>
      </c>
      <c r="BH1099" s="472" t="s">
        <v>1385</v>
      </c>
      <c r="BI1099" s="510">
        <v>0</v>
      </c>
      <c r="BJ1099" s="510">
        <v>0</v>
      </c>
      <c r="BK1099" s="510">
        <v>0</v>
      </c>
      <c r="BL1099" s="510">
        <v>0</v>
      </c>
      <c r="BM1099" s="510">
        <v>0</v>
      </c>
      <c r="BN1099" s="510">
        <v>3500</v>
      </c>
      <c r="BO1099" s="510">
        <v>0</v>
      </c>
      <c r="BP1099" s="510">
        <v>0</v>
      </c>
      <c r="BQ1099" s="510">
        <v>0</v>
      </c>
      <c r="BR1099" s="510">
        <v>0</v>
      </c>
      <c r="BS1099" s="510">
        <v>0</v>
      </c>
      <c r="BT1099" s="510">
        <v>0</v>
      </c>
      <c r="BU1099" s="510">
        <v>0</v>
      </c>
      <c r="BV1099" s="510">
        <v>0</v>
      </c>
      <c r="BW1099" s="510">
        <v>0</v>
      </c>
      <c r="BX1099" s="510">
        <v>30000</v>
      </c>
      <c r="BY1099" s="1011">
        <v>0</v>
      </c>
      <c r="BZ1099" s="510">
        <v>0</v>
      </c>
      <c r="CA1099" s="1011">
        <v>0</v>
      </c>
      <c r="CB1099" s="510">
        <v>0</v>
      </c>
      <c r="CC1099" s="1011">
        <v>0</v>
      </c>
      <c r="CD1099" s="510">
        <v>0</v>
      </c>
      <c r="CE1099" s="1011">
        <v>0</v>
      </c>
      <c r="CF1099" s="510">
        <v>45204</v>
      </c>
      <c r="CG1099" s="1011">
        <v>0</v>
      </c>
      <c r="CH1099" s="510">
        <v>0</v>
      </c>
      <c r="CI1099" s="1011">
        <v>0</v>
      </c>
    </row>
    <row r="1100" spans="1:87" x14ac:dyDescent="0.2">
      <c r="A1100" s="449">
        <v>126</v>
      </c>
      <c r="B1100" s="453">
        <v>99058</v>
      </c>
      <c r="C1100" s="454" t="s">
        <v>9361</v>
      </c>
      <c r="D1100" s="454" t="s">
        <v>1390</v>
      </c>
      <c r="E1100" s="454" t="s">
        <v>9361</v>
      </c>
      <c r="F1100" s="454" t="s">
        <v>520</v>
      </c>
      <c r="G1100" s="454" t="s">
        <v>14139</v>
      </c>
      <c r="H1100" s="455">
        <v>59481192000148</v>
      </c>
      <c r="I1100" s="462">
        <v>32385</v>
      </c>
      <c r="J1100" s="457">
        <v>37616030</v>
      </c>
      <c r="K1100" s="454" t="s">
        <v>9362</v>
      </c>
      <c r="L1100" s="458">
        <v>650</v>
      </c>
      <c r="M1100" s="454" t="s">
        <v>7354</v>
      </c>
      <c r="N1100" s="459">
        <v>5885370</v>
      </c>
      <c r="O1100" s="460">
        <v>58726601</v>
      </c>
      <c r="P1100" s="462">
        <v>304576</v>
      </c>
      <c r="Q1100" s="462">
        <v>61</v>
      </c>
      <c r="R1100" s="462">
        <v>43969</v>
      </c>
      <c r="S1100" s="463">
        <v>414</v>
      </c>
      <c r="T1100" s="464">
        <v>3.6</v>
      </c>
      <c r="U1100" s="465">
        <v>1490.4</v>
      </c>
      <c r="V1100" s="465">
        <v>15120</v>
      </c>
      <c r="W1100" s="466">
        <v>0</v>
      </c>
      <c r="X1100" s="467">
        <v>1</v>
      </c>
      <c r="Y1100" s="466">
        <v>24915.599999999999</v>
      </c>
      <c r="Z1100" s="468" t="s">
        <v>516</v>
      </c>
      <c r="AA1100" s="466">
        <v>103172.4</v>
      </c>
      <c r="AB1100" s="466">
        <v>103172.4</v>
      </c>
      <c r="AC1100" s="467">
        <v>0</v>
      </c>
      <c r="AD1100" s="466">
        <v>0</v>
      </c>
      <c r="AE1100" s="468" t="s">
        <v>516</v>
      </c>
      <c r="AF1100" s="466">
        <v>0</v>
      </c>
      <c r="AG1100" s="466">
        <v>0</v>
      </c>
      <c r="AH1100" s="466">
        <v>21492.65</v>
      </c>
      <c r="AI1100" s="466">
        <v>19.2</v>
      </c>
      <c r="AJ1100" s="469" t="s">
        <v>5439</v>
      </c>
      <c r="AK1100" s="470" t="s">
        <v>5440</v>
      </c>
      <c r="AL1100" s="471" t="s">
        <v>9363</v>
      </c>
      <c r="AM1100" s="470" t="s">
        <v>9364</v>
      </c>
      <c r="AN1100" s="470" t="s">
        <v>9365</v>
      </c>
      <c r="AO1100" s="470" t="s">
        <v>9366</v>
      </c>
      <c r="AP1100" s="470" t="s">
        <v>9367</v>
      </c>
      <c r="AQ1100" s="470" t="s">
        <v>9361</v>
      </c>
      <c r="AR1100" s="472" t="s">
        <v>515</v>
      </c>
      <c r="AS1100" s="473" t="s">
        <v>1385</v>
      </c>
      <c r="AT1100" s="472" t="s">
        <v>1390</v>
      </c>
      <c r="AU1100" s="472" t="s">
        <v>420</v>
      </c>
      <c r="AV1100" s="472">
        <v>2020</v>
      </c>
      <c r="AW1100" s="474" t="s">
        <v>15078</v>
      </c>
      <c r="AX1100" s="475" t="s">
        <v>15079</v>
      </c>
      <c r="AY1100" s="515">
        <v>1</v>
      </c>
      <c r="AZ1100" s="474" t="s">
        <v>15079</v>
      </c>
      <c r="BA1100" s="472" t="s">
        <v>1390</v>
      </c>
      <c r="BB1100" s="472" t="s">
        <v>1385</v>
      </c>
      <c r="BC1100" s="472" t="s">
        <v>1385</v>
      </c>
      <c r="BD1100" s="472" t="s">
        <v>1385</v>
      </c>
      <c r="BE1100" s="472" t="s">
        <v>1385</v>
      </c>
      <c r="BF1100" s="472">
        <v>24915.599999999999</v>
      </c>
      <c r="BG1100" s="472">
        <v>0</v>
      </c>
      <c r="BH1100" s="472" t="s">
        <v>1385</v>
      </c>
      <c r="BI1100" s="510">
        <v>0</v>
      </c>
      <c r="BJ1100" s="510">
        <v>0</v>
      </c>
      <c r="BK1100" s="510">
        <v>0</v>
      </c>
      <c r="BL1100" s="510">
        <v>0</v>
      </c>
      <c r="BM1100" s="510">
        <v>0</v>
      </c>
      <c r="BN1100" s="510">
        <v>4000</v>
      </c>
      <c r="BO1100" s="510">
        <v>0</v>
      </c>
      <c r="BP1100" s="510">
        <v>0</v>
      </c>
      <c r="BQ1100" s="510">
        <v>0</v>
      </c>
      <c r="BR1100" s="510">
        <v>0</v>
      </c>
      <c r="BS1100" s="510">
        <v>0</v>
      </c>
      <c r="BT1100" s="510">
        <v>0</v>
      </c>
      <c r="BU1100" s="510">
        <v>0</v>
      </c>
      <c r="BV1100" s="510">
        <v>0</v>
      </c>
      <c r="BW1100" s="510">
        <v>0</v>
      </c>
      <c r="BX1100" s="510">
        <v>30000</v>
      </c>
      <c r="BY1100" s="1011">
        <v>0</v>
      </c>
      <c r="BZ1100" s="510">
        <v>0</v>
      </c>
      <c r="CA1100" s="1011">
        <v>0</v>
      </c>
      <c r="CB1100" s="510">
        <v>0</v>
      </c>
      <c r="CC1100" s="1011">
        <v>0</v>
      </c>
      <c r="CD1100" s="510">
        <v>0</v>
      </c>
      <c r="CE1100" s="1011">
        <v>0</v>
      </c>
      <c r="CF1100" s="510">
        <v>48256.800000000003</v>
      </c>
      <c r="CG1100" s="1011">
        <v>0</v>
      </c>
      <c r="CH1100" s="510">
        <v>0</v>
      </c>
      <c r="CI1100" s="1011">
        <v>0</v>
      </c>
    </row>
    <row r="1101" spans="1:87" x14ac:dyDescent="0.2">
      <c r="A1101" s="449">
        <v>137</v>
      </c>
      <c r="B1101" s="453">
        <v>99066</v>
      </c>
      <c r="C1101" s="454" t="s">
        <v>9368</v>
      </c>
      <c r="D1101" s="454" t="s">
        <v>1390</v>
      </c>
      <c r="E1101" s="454" t="s">
        <v>9368</v>
      </c>
      <c r="F1101" s="454" t="s">
        <v>520</v>
      </c>
      <c r="G1101" s="454" t="s">
        <v>14140</v>
      </c>
      <c r="H1101" s="455">
        <v>59289553000159</v>
      </c>
      <c r="I1101" s="462">
        <v>32351</v>
      </c>
      <c r="J1101" s="457">
        <v>37618580</v>
      </c>
      <c r="K1101" s="454" t="s">
        <v>9370</v>
      </c>
      <c r="L1101" s="458">
        <v>137</v>
      </c>
      <c r="M1101" s="454" t="s">
        <v>3751</v>
      </c>
      <c r="N1101" s="459">
        <v>4911030</v>
      </c>
      <c r="O1101" s="460">
        <v>55141507</v>
      </c>
      <c r="P1101" s="462">
        <v>305378</v>
      </c>
      <c r="Q1101" s="462">
        <v>72</v>
      </c>
      <c r="R1101" s="462">
        <v>43979</v>
      </c>
      <c r="S1101" s="463">
        <v>333</v>
      </c>
      <c r="T1101" s="464">
        <v>3.6</v>
      </c>
      <c r="U1101" s="465">
        <v>1198.8</v>
      </c>
      <c r="V1101" s="465">
        <v>13680</v>
      </c>
      <c r="W1101" s="466">
        <v>0</v>
      </c>
      <c r="X1101" s="467">
        <v>1</v>
      </c>
      <c r="Y1101" s="466">
        <v>22318.2</v>
      </c>
      <c r="Z1101" s="468" t="s">
        <v>516</v>
      </c>
      <c r="AA1101" s="466">
        <v>97018.2</v>
      </c>
      <c r="AB1101" s="466">
        <v>97018.2</v>
      </c>
      <c r="AC1101" s="467">
        <v>0</v>
      </c>
      <c r="AD1101" s="466">
        <v>0</v>
      </c>
      <c r="AE1101" s="468" t="s">
        <v>516</v>
      </c>
      <c r="AF1101" s="466">
        <v>0</v>
      </c>
      <c r="AG1101" s="466">
        <v>0</v>
      </c>
      <c r="AH1101" s="466">
        <v>5109.09</v>
      </c>
      <c r="AI1101" s="466">
        <v>11976.92</v>
      </c>
      <c r="AJ1101" s="469" t="s">
        <v>1515</v>
      </c>
      <c r="AK1101" s="470" t="s">
        <v>1516</v>
      </c>
      <c r="AL1101" s="471" t="s">
        <v>9371</v>
      </c>
      <c r="AM1101" s="470" t="s">
        <v>14141</v>
      </c>
      <c r="AN1101" s="470" t="s">
        <v>9369</v>
      </c>
      <c r="AO1101" s="470" t="s">
        <v>9372</v>
      </c>
      <c r="AP1101" s="470" t="s">
        <v>9373</v>
      </c>
      <c r="AQ1101" s="470" t="s">
        <v>9368</v>
      </c>
      <c r="AR1101" s="472" t="s">
        <v>515</v>
      </c>
      <c r="AS1101" s="473" t="s">
        <v>1385</v>
      </c>
      <c r="AT1101" s="472" t="s">
        <v>1390</v>
      </c>
      <c r="AU1101" s="472" t="s">
        <v>420</v>
      </c>
      <c r="AV1101" s="472">
        <v>2020</v>
      </c>
      <c r="AW1101" s="474" t="s">
        <v>15078</v>
      </c>
      <c r="AX1101" s="475" t="s">
        <v>15079</v>
      </c>
      <c r="AY1101" s="515">
        <v>1</v>
      </c>
      <c r="AZ1101" s="474" t="s">
        <v>15079</v>
      </c>
      <c r="BA1101" s="472" t="s">
        <v>1390</v>
      </c>
      <c r="BB1101" s="472" t="s">
        <v>1385</v>
      </c>
      <c r="BC1101" s="472" t="s">
        <v>1385</v>
      </c>
      <c r="BD1101" s="472" t="s">
        <v>1385</v>
      </c>
      <c r="BE1101" s="472" t="s">
        <v>1385</v>
      </c>
      <c r="BF1101" s="472">
        <v>22318.2</v>
      </c>
      <c r="BG1101" s="472">
        <v>0</v>
      </c>
      <c r="BH1101" s="472" t="s">
        <v>1385</v>
      </c>
      <c r="BI1101" s="510">
        <v>0</v>
      </c>
      <c r="BJ1101" s="510">
        <v>729.6</v>
      </c>
      <c r="BK1101" s="510">
        <v>0</v>
      </c>
      <c r="BL1101" s="510">
        <v>0</v>
      </c>
      <c r="BM1101" s="510">
        <v>0</v>
      </c>
      <c r="BN1101" s="510">
        <v>3500</v>
      </c>
      <c r="BO1101" s="510">
        <v>0</v>
      </c>
      <c r="BP1101" s="510">
        <v>0</v>
      </c>
      <c r="BQ1101" s="510">
        <v>0</v>
      </c>
      <c r="BR1101" s="510">
        <v>0</v>
      </c>
      <c r="BS1101" s="510">
        <v>0</v>
      </c>
      <c r="BT1101" s="510">
        <v>0</v>
      </c>
      <c r="BU1101" s="510">
        <v>0</v>
      </c>
      <c r="BV1101" s="510">
        <v>0</v>
      </c>
      <c r="BW1101" s="510">
        <v>0</v>
      </c>
      <c r="BX1101" s="510">
        <v>30000</v>
      </c>
      <c r="BY1101" s="1011">
        <v>0</v>
      </c>
      <c r="BZ1101" s="510">
        <v>0</v>
      </c>
      <c r="CA1101" s="1011">
        <v>0</v>
      </c>
      <c r="CB1101" s="510">
        <v>0</v>
      </c>
      <c r="CC1101" s="1011">
        <v>0</v>
      </c>
      <c r="CD1101" s="510">
        <v>0</v>
      </c>
      <c r="CE1101" s="1011">
        <v>0</v>
      </c>
      <c r="CF1101" s="510">
        <v>44700</v>
      </c>
      <c r="CG1101" s="1011">
        <v>0</v>
      </c>
      <c r="CH1101" s="510">
        <v>0</v>
      </c>
      <c r="CI1101" s="1011">
        <v>0</v>
      </c>
    </row>
    <row r="1102" spans="1:87" x14ac:dyDescent="0.2">
      <c r="A1102" s="449">
        <v>102</v>
      </c>
      <c r="B1102" s="453">
        <v>99074</v>
      </c>
      <c r="C1102" s="454" t="s">
        <v>9374</v>
      </c>
      <c r="D1102" s="454" t="s">
        <v>1390</v>
      </c>
      <c r="E1102" s="454" t="s">
        <v>9375</v>
      </c>
      <c r="F1102" s="454" t="s">
        <v>513</v>
      </c>
      <c r="G1102" s="454" t="s">
        <v>14142</v>
      </c>
      <c r="H1102" s="455">
        <v>59838219000107</v>
      </c>
      <c r="I1102" s="462">
        <v>32478</v>
      </c>
      <c r="J1102" s="457">
        <v>37531980</v>
      </c>
      <c r="K1102" s="454" t="s">
        <v>9376</v>
      </c>
      <c r="L1102" s="458">
        <v>319</v>
      </c>
      <c r="M1102" s="454" t="s">
        <v>4834</v>
      </c>
      <c r="N1102" s="459">
        <v>3985000</v>
      </c>
      <c r="O1102" s="460">
        <v>27034767</v>
      </c>
      <c r="P1102" s="462">
        <v>151494</v>
      </c>
      <c r="Q1102" s="462">
        <v>102</v>
      </c>
      <c r="R1102" s="462">
        <v>43937</v>
      </c>
      <c r="S1102" s="463">
        <v>261</v>
      </c>
      <c r="T1102" s="464">
        <v>3.6</v>
      </c>
      <c r="U1102" s="465">
        <v>939.6</v>
      </c>
      <c r="V1102" s="465">
        <v>12240</v>
      </c>
      <c r="W1102" s="466">
        <v>0</v>
      </c>
      <c r="X1102" s="467">
        <v>1</v>
      </c>
      <c r="Y1102" s="466">
        <v>19769.400000000001</v>
      </c>
      <c r="Z1102" s="468" t="s">
        <v>516</v>
      </c>
      <c r="AA1102" s="466">
        <v>91092.6</v>
      </c>
      <c r="AB1102" s="466">
        <v>91092.6</v>
      </c>
      <c r="AC1102" s="467">
        <v>0</v>
      </c>
      <c r="AD1102" s="466">
        <v>0</v>
      </c>
      <c r="AE1102" s="468" t="s">
        <v>516</v>
      </c>
      <c r="AF1102" s="466">
        <v>0</v>
      </c>
      <c r="AG1102" s="466">
        <v>0</v>
      </c>
      <c r="AH1102" s="466">
        <v>19797.03</v>
      </c>
      <c r="AI1102" s="466">
        <v>10940.29</v>
      </c>
      <c r="AJ1102" s="469" t="s">
        <v>1972</v>
      </c>
      <c r="AK1102" s="470" t="s">
        <v>1973</v>
      </c>
      <c r="AL1102" s="471" t="s">
        <v>9377</v>
      </c>
      <c r="AM1102" s="470" t="s">
        <v>9378</v>
      </c>
      <c r="AN1102" s="470" t="s">
        <v>9379</v>
      </c>
      <c r="AO1102" s="470" t="s">
        <v>9380</v>
      </c>
      <c r="AP1102" s="470" t="s">
        <v>9381</v>
      </c>
      <c r="AQ1102" s="470" t="s">
        <v>9374</v>
      </c>
      <c r="AR1102" s="472" t="s">
        <v>515</v>
      </c>
      <c r="AS1102" s="473" t="s">
        <v>1385</v>
      </c>
      <c r="AT1102" s="472" t="s">
        <v>1390</v>
      </c>
      <c r="AU1102" s="472" t="s">
        <v>420</v>
      </c>
      <c r="AV1102" s="472">
        <v>2020</v>
      </c>
      <c r="AW1102" s="474" t="s">
        <v>15078</v>
      </c>
      <c r="AX1102" s="475" t="s">
        <v>15079</v>
      </c>
      <c r="AY1102" s="515">
        <v>1</v>
      </c>
      <c r="AZ1102" s="474" t="s">
        <v>15079</v>
      </c>
      <c r="BA1102" s="472" t="s">
        <v>1390</v>
      </c>
      <c r="BB1102" s="472" t="s">
        <v>1385</v>
      </c>
      <c r="BC1102" s="472" t="s">
        <v>1385</v>
      </c>
      <c r="BD1102" s="472" t="s">
        <v>1385</v>
      </c>
      <c r="BE1102" s="472" t="s">
        <v>1385</v>
      </c>
      <c r="BF1102" s="472">
        <v>19769.400000000001</v>
      </c>
      <c r="BG1102" s="472">
        <v>0</v>
      </c>
      <c r="BH1102" s="472" t="s">
        <v>1385</v>
      </c>
      <c r="BI1102" s="510">
        <v>0</v>
      </c>
      <c r="BJ1102" s="510">
        <v>0</v>
      </c>
      <c r="BK1102" s="510">
        <v>0</v>
      </c>
      <c r="BL1102" s="510">
        <v>0</v>
      </c>
      <c r="BM1102" s="510">
        <v>0</v>
      </c>
      <c r="BN1102" s="510">
        <v>3500</v>
      </c>
      <c r="BO1102" s="510">
        <v>0</v>
      </c>
      <c r="BP1102" s="510">
        <v>0</v>
      </c>
      <c r="BQ1102" s="510">
        <v>0</v>
      </c>
      <c r="BR1102" s="510">
        <v>0</v>
      </c>
      <c r="BS1102" s="510">
        <v>0</v>
      </c>
      <c r="BT1102" s="510">
        <v>0</v>
      </c>
      <c r="BU1102" s="510">
        <v>0</v>
      </c>
      <c r="BV1102" s="510">
        <v>0</v>
      </c>
      <c r="BW1102" s="510">
        <v>0</v>
      </c>
      <c r="BX1102" s="510">
        <v>30000</v>
      </c>
      <c r="BY1102" s="1011">
        <v>0</v>
      </c>
      <c r="BZ1102" s="510">
        <v>0</v>
      </c>
      <c r="CA1102" s="1011">
        <v>0</v>
      </c>
      <c r="CB1102" s="510">
        <v>0</v>
      </c>
      <c r="CC1102" s="1011">
        <v>0</v>
      </c>
      <c r="CD1102" s="510">
        <v>0</v>
      </c>
      <c r="CE1102" s="1011">
        <v>0</v>
      </c>
      <c r="CF1102" s="510">
        <v>41323.199999999997</v>
      </c>
      <c r="CG1102" s="1011">
        <v>0</v>
      </c>
      <c r="CH1102" s="510">
        <v>0</v>
      </c>
      <c r="CI1102" s="1011">
        <v>0</v>
      </c>
    </row>
    <row r="1103" spans="1:87" x14ac:dyDescent="0.2">
      <c r="A1103" s="449">
        <v>96</v>
      </c>
      <c r="B1103" s="453">
        <v>99082</v>
      </c>
      <c r="C1103" s="454" t="s">
        <v>9382</v>
      </c>
      <c r="D1103" s="454" t="s">
        <v>1390</v>
      </c>
      <c r="E1103" s="454" t="s">
        <v>9383</v>
      </c>
      <c r="F1103" s="454" t="s">
        <v>527</v>
      </c>
      <c r="G1103" s="454" t="s">
        <v>14143</v>
      </c>
      <c r="H1103" s="455">
        <v>58731357000120</v>
      </c>
      <c r="I1103" s="462">
        <v>32225</v>
      </c>
      <c r="J1103" s="457">
        <v>37605488</v>
      </c>
      <c r="K1103" s="454" t="s">
        <v>9384</v>
      </c>
      <c r="L1103" s="458">
        <v>391</v>
      </c>
      <c r="M1103" s="454" t="s">
        <v>8987</v>
      </c>
      <c r="N1103" s="459">
        <v>3157030</v>
      </c>
      <c r="O1103" s="460">
        <v>29656477</v>
      </c>
      <c r="P1103" s="462">
        <v>210385</v>
      </c>
      <c r="Q1103" s="462">
        <v>56</v>
      </c>
      <c r="R1103" s="462">
        <v>43917</v>
      </c>
      <c r="S1103" s="463">
        <v>180</v>
      </c>
      <c r="T1103" s="464">
        <v>3.6</v>
      </c>
      <c r="U1103" s="465">
        <v>648</v>
      </c>
      <c r="V1103" s="465">
        <v>10800</v>
      </c>
      <c r="W1103" s="466">
        <v>0</v>
      </c>
      <c r="X1103" s="467">
        <v>1</v>
      </c>
      <c r="Y1103" s="466">
        <v>17172</v>
      </c>
      <c r="Z1103" s="468" t="s">
        <v>516</v>
      </c>
      <c r="AA1103" s="466">
        <v>85032</v>
      </c>
      <c r="AB1103" s="466">
        <v>85032</v>
      </c>
      <c r="AC1103" s="467">
        <v>0</v>
      </c>
      <c r="AD1103" s="466">
        <v>0</v>
      </c>
      <c r="AE1103" s="468" t="s">
        <v>516</v>
      </c>
      <c r="AF1103" s="466">
        <v>0</v>
      </c>
      <c r="AG1103" s="466">
        <v>0</v>
      </c>
      <c r="AH1103" s="466">
        <v>21948.06</v>
      </c>
      <c r="AI1103" s="466">
        <v>4.4400000000000004</v>
      </c>
      <c r="AJ1103" s="469" t="s">
        <v>2136</v>
      </c>
      <c r="AK1103" s="470" t="s">
        <v>2339</v>
      </c>
      <c r="AL1103" s="471" t="s">
        <v>9385</v>
      </c>
      <c r="AM1103" s="470" t="s">
        <v>9386</v>
      </c>
      <c r="AN1103" s="470" t="s">
        <v>14143</v>
      </c>
      <c r="AO1103" s="470" t="s">
        <v>14144</v>
      </c>
      <c r="AP1103" s="470" t="s">
        <v>9387</v>
      </c>
      <c r="AQ1103" s="470" t="s">
        <v>9382</v>
      </c>
      <c r="AR1103" s="472" t="s">
        <v>515</v>
      </c>
      <c r="AS1103" s="473" t="s">
        <v>1385</v>
      </c>
      <c r="AT1103" s="472" t="s">
        <v>1390</v>
      </c>
      <c r="AU1103" s="472" t="s">
        <v>420</v>
      </c>
      <c r="AV1103" s="472">
        <v>2020</v>
      </c>
      <c r="AW1103" s="474" t="s">
        <v>15078</v>
      </c>
      <c r="AX1103" s="475" t="s">
        <v>15079</v>
      </c>
      <c r="AY1103" s="515">
        <v>1</v>
      </c>
      <c r="AZ1103" s="474" t="s">
        <v>15079</v>
      </c>
      <c r="BA1103" s="472" t="s">
        <v>1390</v>
      </c>
      <c r="BB1103" s="472" t="s">
        <v>1385</v>
      </c>
      <c r="BC1103" s="472" t="s">
        <v>1385</v>
      </c>
      <c r="BD1103" s="472" t="s">
        <v>1385</v>
      </c>
      <c r="BE1103" s="472" t="s">
        <v>1385</v>
      </c>
      <c r="BF1103" s="472">
        <v>17172</v>
      </c>
      <c r="BG1103" s="472">
        <v>0</v>
      </c>
      <c r="BH1103" s="472" t="s">
        <v>1385</v>
      </c>
      <c r="BI1103" s="510">
        <v>0</v>
      </c>
      <c r="BJ1103" s="510">
        <v>0</v>
      </c>
      <c r="BK1103" s="510">
        <v>0</v>
      </c>
      <c r="BL1103" s="510">
        <v>0</v>
      </c>
      <c r="BM1103" s="510">
        <v>0</v>
      </c>
      <c r="BN1103" s="510">
        <v>3000</v>
      </c>
      <c r="BO1103" s="510">
        <v>0</v>
      </c>
      <c r="BP1103" s="510">
        <v>0</v>
      </c>
      <c r="BQ1103" s="510">
        <v>0</v>
      </c>
      <c r="BR1103" s="510">
        <v>0</v>
      </c>
      <c r="BS1103" s="510">
        <v>0</v>
      </c>
      <c r="BT1103" s="510">
        <v>0</v>
      </c>
      <c r="BU1103" s="510">
        <v>0</v>
      </c>
      <c r="BV1103" s="510">
        <v>0</v>
      </c>
      <c r="BW1103" s="510">
        <v>0</v>
      </c>
      <c r="BX1103" s="510">
        <v>30000</v>
      </c>
      <c r="BY1103" s="1011">
        <v>0</v>
      </c>
      <c r="BZ1103" s="510">
        <v>0</v>
      </c>
      <c r="CA1103" s="1011">
        <v>0</v>
      </c>
      <c r="CB1103" s="510">
        <v>0</v>
      </c>
      <c r="CC1103" s="1011">
        <v>0</v>
      </c>
      <c r="CD1103" s="510">
        <v>0</v>
      </c>
      <c r="CE1103" s="1011">
        <v>0</v>
      </c>
      <c r="CF1103" s="510">
        <v>37860</v>
      </c>
      <c r="CG1103" s="1011">
        <v>0</v>
      </c>
      <c r="CH1103" s="510">
        <v>0</v>
      </c>
      <c r="CI1103" s="1011">
        <v>0</v>
      </c>
    </row>
    <row r="1104" spans="1:87" x14ac:dyDescent="0.2">
      <c r="A1104" s="449">
        <v>40</v>
      </c>
      <c r="B1104" s="453">
        <v>99091</v>
      </c>
      <c r="C1104" s="454" t="s">
        <v>9388</v>
      </c>
      <c r="D1104" s="454" t="s">
        <v>517</v>
      </c>
      <c r="E1104" s="454" t="s">
        <v>9389</v>
      </c>
      <c r="F1104" s="454" t="s">
        <v>525</v>
      </c>
      <c r="G1104" s="454" t="s">
        <v>14145</v>
      </c>
      <c r="H1104" s="455">
        <v>670470000162</v>
      </c>
      <c r="I1104" s="462">
        <v>34855</v>
      </c>
      <c r="J1104" s="457">
        <v>37382322</v>
      </c>
      <c r="K1104" s="454" t="s">
        <v>2699</v>
      </c>
      <c r="L1104" s="458">
        <v>272</v>
      </c>
      <c r="M1104" s="454" t="s">
        <v>2700</v>
      </c>
      <c r="N1104" s="459">
        <v>2360010</v>
      </c>
      <c r="O1104" s="460">
        <v>29956693</v>
      </c>
      <c r="P1104" s="462">
        <v>330577</v>
      </c>
      <c r="Q1104" s="462">
        <v>40</v>
      </c>
      <c r="R1104" s="462">
        <v>43950</v>
      </c>
      <c r="S1104" s="463">
        <v>1676</v>
      </c>
      <c r="T1104" s="464">
        <v>5.4</v>
      </c>
      <c r="U1104" s="465">
        <v>9050.4</v>
      </c>
      <c r="V1104" s="465">
        <v>23580</v>
      </c>
      <c r="W1104" s="466">
        <v>0</v>
      </c>
      <c r="X1104" s="467">
        <v>1</v>
      </c>
      <c r="Y1104" s="466">
        <v>48945.599999999999</v>
      </c>
      <c r="Z1104" s="468" t="s">
        <v>516</v>
      </c>
      <c r="AA1104" s="466">
        <v>191187.6</v>
      </c>
      <c r="AB1104" s="466">
        <v>191187.6</v>
      </c>
      <c r="AC1104" s="467">
        <v>0</v>
      </c>
      <c r="AD1104" s="466">
        <v>0</v>
      </c>
      <c r="AE1104" s="468" t="s">
        <v>516</v>
      </c>
      <c r="AF1104" s="466">
        <v>400</v>
      </c>
      <c r="AG1104" s="466">
        <v>400</v>
      </c>
      <c r="AH1104" s="466">
        <v>31113.61</v>
      </c>
      <c r="AI1104" s="466">
        <v>27427.1</v>
      </c>
      <c r="AJ1104" s="469" t="s">
        <v>1448</v>
      </c>
      <c r="AK1104" s="470" t="s">
        <v>1449</v>
      </c>
      <c r="AL1104" s="471" t="s">
        <v>9391</v>
      </c>
      <c r="AM1104" s="470" t="s">
        <v>9392</v>
      </c>
      <c r="AN1104" s="470" t="s">
        <v>9390</v>
      </c>
      <c r="AO1104" s="470" t="s">
        <v>9393</v>
      </c>
      <c r="AP1104" s="470" t="s">
        <v>9394</v>
      </c>
      <c r="AQ1104" s="470" t="s">
        <v>9388</v>
      </c>
      <c r="AR1104" s="472" t="s">
        <v>515</v>
      </c>
      <c r="AS1104" s="473" t="s">
        <v>1385</v>
      </c>
      <c r="AT1104" s="472" t="s">
        <v>517</v>
      </c>
      <c r="AU1104" s="472" t="s">
        <v>420</v>
      </c>
      <c r="AV1104" s="472">
        <v>2020</v>
      </c>
      <c r="AW1104" s="474" t="s">
        <v>15078</v>
      </c>
      <c r="AX1104" s="475" t="s">
        <v>15079</v>
      </c>
      <c r="AY1104" s="515">
        <v>1</v>
      </c>
      <c r="AZ1104" s="474" t="s">
        <v>15079</v>
      </c>
      <c r="BA1104" s="472" t="s">
        <v>517</v>
      </c>
      <c r="BB1104" s="472" t="s">
        <v>1385</v>
      </c>
      <c r="BC1104" s="472" t="s">
        <v>1385</v>
      </c>
      <c r="BD1104" s="472" t="s">
        <v>1385</v>
      </c>
      <c r="BE1104" s="472" t="s">
        <v>1385</v>
      </c>
      <c r="BF1104" s="472">
        <v>48945.599999999999</v>
      </c>
      <c r="BG1104" s="472">
        <v>0</v>
      </c>
      <c r="BH1104" s="472" t="s">
        <v>1385</v>
      </c>
      <c r="BI1104" s="510">
        <v>0</v>
      </c>
      <c r="BJ1104" s="510">
        <v>0</v>
      </c>
      <c r="BK1104" s="510">
        <v>0</v>
      </c>
      <c r="BL1104" s="510">
        <v>0</v>
      </c>
      <c r="BM1104" s="510">
        <v>0</v>
      </c>
      <c r="BN1104" s="510">
        <v>1100</v>
      </c>
      <c r="BO1104" s="510">
        <v>1600</v>
      </c>
      <c r="BP1104" s="510">
        <v>400</v>
      </c>
      <c r="BQ1104" s="510">
        <v>0</v>
      </c>
      <c r="BR1104" s="510">
        <v>0</v>
      </c>
      <c r="BS1104" s="510">
        <v>0</v>
      </c>
      <c r="BT1104" s="510">
        <v>0</v>
      </c>
      <c r="BU1104" s="510">
        <v>2500</v>
      </c>
      <c r="BV1104" s="510">
        <v>2500</v>
      </c>
      <c r="BW1104" s="510">
        <v>0</v>
      </c>
      <c r="BX1104" s="510">
        <v>30000</v>
      </c>
      <c r="BY1104" s="1011">
        <v>0</v>
      </c>
      <c r="BZ1104" s="510">
        <v>0</v>
      </c>
      <c r="CA1104" s="1011">
        <v>0</v>
      </c>
      <c r="CB1104" s="510">
        <v>22000</v>
      </c>
      <c r="CC1104" s="1011">
        <v>0</v>
      </c>
      <c r="CD1104" s="510">
        <v>0</v>
      </c>
      <c r="CE1104" s="1011">
        <v>0</v>
      </c>
      <c r="CF1104" s="510">
        <v>88642</v>
      </c>
      <c r="CG1104" s="1011">
        <v>0</v>
      </c>
      <c r="CH1104" s="510">
        <v>0</v>
      </c>
      <c r="CI1104" s="1011">
        <v>0</v>
      </c>
    </row>
    <row r="1105" spans="1:87" x14ac:dyDescent="0.2">
      <c r="A1105" s="449">
        <v>67</v>
      </c>
      <c r="B1105" s="453">
        <v>99104</v>
      </c>
      <c r="C1105" s="454" t="s">
        <v>9395</v>
      </c>
      <c r="D1105" s="454" t="s">
        <v>517</v>
      </c>
      <c r="E1105" s="454" t="s">
        <v>9395</v>
      </c>
      <c r="F1105" s="454" t="s">
        <v>520</v>
      </c>
      <c r="G1105" s="454" t="s">
        <v>14146</v>
      </c>
      <c r="H1105" s="455">
        <v>59937565000142</v>
      </c>
      <c r="I1105" s="462">
        <v>32510</v>
      </c>
      <c r="J1105" s="457">
        <v>37628844</v>
      </c>
      <c r="K1105" s="454" t="s">
        <v>9396</v>
      </c>
      <c r="L1105" s="458">
        <v>110</v>
      </c>
      <c r="M1105" s="454" t="s">
        <v>9397</v>
      </c>
      <c r="N1105" s="459">
        <v>4937210</v>
      </c>
      <c r="O1105" s="460">
        <v>58337555</v>
      </c>
      <c r="P1105" s="462">
        <v>300732</v>
      </c>
      <c r="Q1105" s="462">
        <v>132</v>
      </c>
      <c r="R1105" s="462">
        <v>43969</v>
      </c>
      <c r="S1105" s="463">
        <v>534</v>
      </c>
      <c r="T1105" s="464">
        <v>5.4</v>
      </c>
      <c r="U1105" s="465">
        <v>2883.6</v>
      </c>
      <c r="V1105" s="465">
        <v>17100</v>
      </c>
      <c r="W1105" s="466">
        <v>0</v>
      </c>
      <c r="X1105" s="467">
        <v>1</v>
      </c>
      <c r="Y1105" s="466">
        <v>29975.4</v>
      </c>
      <c r="Z1105" s="468" t="s">
        <v>516</v>
      </c>
      <c r="AA1105" s="466">
        <v>121845.4</v>
      </c>
      <c r="AB1105" s="466">
        <v>121845.4</v>
      </c>
      <c r="AC1105" s="467">
        <v>0</v>
      </c>
      <c r="AD1105" s="466">
        <v>0</v>
      </c>
      <c r="AE1105" s="468" t="s">
        <v>516</v>
      </c>
      <c r="AF1105" s="466">
        <v>0</v>
      </c>
      <c r="AG1105" s="466">
        <v>0</v>
      </c>
      <c r="AH1105" s="466">
        <v>33878.800000000003</v>
      </c>
      <c r="AI1105" s="466">
        <v>5940.05</v>
      </c>
      <c r="AJ1105" s="469" t="s">
        <v>1657</v>
      </c>
      <c r="AK1105" s="470" t="s">
        <v>521</v>
      </c>
      <c r="AL1105" s="471" t="s">
        <v>9398</v>
      </c>
      <c r="AM1105" s="470" t="s">
        <v>4230</v>
      </c>
      <c r="AN1105" s="470" t="s">
        <v>9399</v>
      </c>
      <c r="AO1105" s="470" t="s">
        <v>9400</v>
      </c>
      <c r="AP1105" s="470" t="s">
        <v>9401</v>
      </c>
      <c r="AQ1105" s="470" t="s">
        <v>9395</v>
      </c>
      <c r="AR1105" s="472" t="s">
        <v>515</v>
      </c>
      <c r="AS1105" s="473" t="s">
        <v>1385</v>
      </c>
      <c r="AT1105" s="472" t="s">
        <v>517</v>
      </c>
      <c r="AU1105" s="472" t="s">
        <v>420</v>
      </c>
      <c r="AV1105" s="472">
        <v>2020</v>
      </c>
      <c r="AW1105" s="474" t="s">
        <v>15078</v>
      </c>
      <c r="AX1105" s="475" t="s">
        <v>15079</v>
      </c>
      <c r="AY1105" s="515">
        <v>1</v>
      </c>
      <c r="AZ1105" s="474" t="s">
        <v>15079</v>
      </c>
      <c r="BA1105" s="472" t="s">
        <v>517</v>
      </c>
      <c r="BB1105" s="472" t="s">
        <v>1385</v>
      </c>
      <c r="BC1105" s="472" t="s">
        <v>1385</v>
      </c>
      <c r="BD1105" s="472" t="s">
        <v>1385</v>
      </c>
      <c r="BE1105" s="472" t="s">
        <v>1385</v>
      </c>
      <c r="BF1105" s="472">
        <v>29975.4</v>
      </c>
      <c r="BG1105" s="472">
        <v>0</v>
      </c>
      <c r="BH1105" s="472" t="s">
        <v>1385</v>
      </c>
      <c r="BI1105" s="510">
        <v>0</v>
      </c>
      <c r="BJ1105" s="510">
        <v>0</v>
      </c>
      <c r="BK1105" s="510">
        <v>0</v>
      </c>
      <c r="BL1105" s="510">
        <v>3500</v>
      </c>
      <c r="BM1105" s="510">
        <v>0</v>
      </c>
      <c r="BN1105" s="510">
        <v>3500</v>
      </c>
      <c r="BO1105" s="510">
        <v>0</v>
      </c>
      <c r="BP1105" s="510">
        <v>0</v>
      </c>
      <c r="BQ1105" s="510">
        <v>0</v>
      </c>
      <c r="BR1105" s="510">
        <v>0</v>
      </c>
      <c r="BS1105" s="510">
        <v>0</v>
      </c>
      <c r="BT1105" s="510">
        <v>0</v>
      </c>
      <c r="BU1105" s="510">
        <v>2500</v>
      </c>
      <c r="BV1105" s="510">
        <v>2500</v>
      </c>
      <c r="BW1105" s="510">
        <v>0</v>
      </c>
      <c r="BX1105" s="510">
        <v>30000</v>
      </c>
      <c r="BY1105" s="1011">
        <v>0</v>
      </c>
      <c r="BZ1105" s="510">
        <v>0</v>
      </c>
      <c r="CA1105" s="1011">
        <v>0</v>
      </c>
      <c r="CB1105" s="510">
        <v>22000</v>
      </c>
      <c r="CC1105" s="1011">
        <v>0</v>
      </c>
      <c r="CD1105" s="510">
        <v>0</v>
      </c>
      <c r="CE1105" s="1011">
        <v>0</v>
      </c>
      <c r="CF1105" s="510">
        <v>39870</v>
      </c>
      <c r="CG1105" s="1011">
        <v>0</v>
      </c>
      <c r="CH1105" s="510">
        <v>0</v>
      </c>
      <c r="CI1105" s="1011">
        <v>0</v>
      </c>
    </row>
    <row r="1106" spans="1:87" x14ac:dyDescent="0.2">
      <c r="A1106" s="449">
        <v>103</v>
      </c>
      <c r="B1106" s="453">
        <v>99112</v>
      </c>
      <c r="C1106" s="454" t="s">
        <v>9402</v>
      </c>
      <c r="D1106" s="454" t="s">
        <v>517</v>
      </c>
      <c r="E1106" s="454" t="s">
        <v>9402</v>
      </c>
      <c r="F1106" s="454" t="s">
        <v>520</v>
      </c>
      <c r="G1106" s="454" t="s">
        <v>14147</v>
      </c>
      <c r="H1106" s="455">
        <v>61575783000126</v>
      </c>
      <c r="I1106" s="462">
        <v>32797</v>
      </c>
      <c r="J1106" s="457">
        <v>37619683</v>
      </c>
      <c r="K1106" s="454" t="s">
        <v>9404</v>
      </c>
      <c r="L1106" s="458">
        <v>151</v>
      </c>
      <c r="M1106" s="454" t="s">
        <v>5199</v>
      </c>
      <c r="N1106" s="459">
        <v>4904170</v>
      </c>
      <c r="O1106" s="460">
        <v>55146696</v>
      </c>
      <c r="P1106" s="462">
        <v>303855</v>
      </c>
      <c r="Q1106" s="462">
        <v>168</v>
      </c>
      <c r="R1106" s="462">
        <v>43983</v>
      </c>
      <c r="S1106" s="463">
        <v>743</v>
      </c>
      <c r="T1106" s="464">
        <v>5.4</v>
      </c>
      <c r="U1106" s="465">
        <v>4012.2</v>
      </c>
      <c r="V1106" s="465">
        <v>18720</v>
      </c>
      <c r="W1106" s="466">
        <v>0</v>
      </c>
      <c r="X1106" s="467">
        <v>1</v>
      </c>
      <c r="Y1106" s="466">
        <v>34098.300000000003</v>
      </c>
      <c r="Z1106" s="468" t="s">
        <v>516</v>
      </c>
      <c r="AA1106" s="466">
        <v>132189.1</v>
      </c>
      <c r="AB1106" s="466">
        <v>132189.1</v>
      </c>
      <c r="AC1106" s="467">
        <v>0</v>
      </c>
      <c r="AD1106" s="466">
        <v>0</v>
      </c>
      <c r="AE1106" s="468" t="s">
        <v>516</v>
      </c>
      <c r="AF1106" s="466">
        <v>0</v>
      </c>
      <c r="AG1106" s="466">
        <v>0</v>
      </c>
      <c r="AH1106" s="466">
        <v>18261.86</v>
      </c>
      <c r="AI1106" s="466">
        <v>7896.71</v>
      </c>
      <c r="AJ1106" s="469" t="s">
        <v>1470</v>
      </c>
      <c r="AK1106" s="470" t="s">
        <v>1471</v>
      </c>
      <c r="AL1106" s="471" t="s">
        <v>9405</v>
      </c>
      <c r="AM1106" s="470" t="s">
        <v>14148</v>
      </c>
      <c r="AN1106" s="470" t="s">
        <v>9403</v>
      </c>
      <c r="AO1106" s="470" t="s">
        <v>9406</v>
      </c>
      <c r="AP1106" s="470" t="s">
        <v>9407</v>
      </c>
      <c r="AQ1106" s="470" t="s">
        <v>9402</v>
      </c>
      <c r="AR1106" s="472" t="s">
        <v>515</v>
      </c>
      <c r="AS1106" s="473" t="s">
        <v>1385</v>
      </c>
      <c r="AT1106" s="472" t="s">
        <v>517</v>
      </c>
      <c r="AU1106" s="472" t="s">
        <v>420</v>
      </c>
      <c r="AV1106" s="472">
        <v>2020</v>
      </c>
      <c r="AW1106" s="474" t="s">
        <v>15078</v>
      </c>
      <c r="AX1106" s="475" t="s">
        <v>15079</v>
      </c>
      <c r="AY1106" s="515">
        <v>1</v>
      </c>
      <c r="AZ1106" s="474" t="s">
        <v>15079</v>
      </c>
      <c r="BA1106" s="472" t="s">
        <v>517</v>
      </c>
      <c r="BB1106" s="472" t="s">
        <v>1385</v>
      </c>
      <c r="BC1106" s="472" t="s">
        <v>1385</v>
      </c>
      <c r="BD1106" s="472" t="s">
        <v>1385</v>
      </c>
      <c r="BE1106" s="472" t="s">
        <v>1385</v>
      </c>
      <c r="BF1106" s="472">
        <v>34098.300000000003</v>
      </c>
      <c r="BG1106" s="472">
        <v>0</v>
      </c>
      <c r="BH1106" s="472" t="s">
        <v>1385</v>
      </c>
      <c r="BI1106" s="510">
        <v>0</v>
      </c>
      <c r="BJ1106" s="510">
        <v>0</v>
      </c>
      <c r="BK1106" s="510">
        <v>0</v>
      </c>
      <c r="BL1106" s="510">
        <v>0</v>
      </c>
      <c r="BM1106" s="510">
        <v>0</v>
      </c>
      <c r="BN1106" s="510">
        <v>5000</v>
      </c>
      <c r="BO1106" s="510">
        <v>0</v>
      </c>
      <c r="BP1106" s="510">
        <v>0</v>
      </c>
      <c r="BQ1106" s="510">
        <v>0</v>
      </c>
      <c r="BR1106" s="510">
        <v>0</v>
      </c>
      <c r="BS1106" s="510">
        <v>0</v>
      </c>
      <c r="BT1106" s="510">
        <v>0</v>
      </c>
      <c r="BU1106" s="510">
        <v>2500</v>
      </c>
      <c r="BV1106" s="510">
        <v>2500</v>
      </c>
      <c r="BW1106" s="510">
        <v>0</v>
      </c>
      <c r="BX1106" s="510">
        <v>30000</v>
      </c>
      <c r="BY1106" s="1011">
        <v>0</v>
      </c>
      <c r="BZ1106" s="510">
        <v>0</v>
      </c>
      <c r="CA1106" s="1011">
        <v>0</v>
      </c>
      <c r="CB1106" s="510">
        <v>22000</v>
      </c>
      <c r="CC1106" s="1011">
        <v>0</v>
      </c>
      <c r="CD1106" s="510">
        <v>0</v>
      </c>
      <c r="CE1106" s="1011">
        <v>0</v>
      </c>
      <c r="CF1106" s="510">
        <v>46090.8</v>
      </c>
      <c r="CG1106" s="1011">
        <v>0</v>
      </c>
      <c r="CH1106" s="510">
        <v>0</v>
      </c>
      <c r="CI1106" s="1011">
        <v>0</v>
      </c>
    </row>
    <row r="1107" spans="1:87" x14ac:dyDescent="0.2">
      <c r="A1107" s="449">
        <v>82</v>
      </c>
      <c r="B1107" s="453">
        <v>99121</v>
      </c>
      <c r="C1107" s="454" t="s">
        <v>9408</v>
      </c>
      <c r="D1107" s="454" t="s">
        <v>2950</v>
      </c>
      <c r="E1107" s="454" t="s">
        <v>9409</v>
      </c>
      <c r="F1107" s="454" t="s">
        <v>513</v>
      </c>
      <c r="G1107" s="454" t="s">
        <v>14149</v>
      </c>
      <c r="H1107" s="455">
        <v>59573931000121</v>
      </c>
      <c r="I1107" s="462">
        <v>32420</v>
      </c>
      <c r="J1107" s="457">
        <v>37533100</v>
      </c>
      <c r="K1107" s="454" t="s">
        <v>3399</v>
      </c>
      <c r="L1107" s="458">
        <v>113</v>
      </c>
      <c r="M1107" s="454" t="s">
        <v>3400</v>
      </c>
      <c r="N1107" s="459">
        <v>3978500</v>
      </c>
      <c r="O1107" s="460">
        <v>27012321</v>
      </c>
      <c r="P1107" s="462">
        <v>151010</v>
      </c>
      <c r="Q1107" s="462">
        <v>82</v>
      </c>
      <c r="R1107" s="462">
        <v>43937</v>
      </c>
      <c r="S1107" s="463">
        <v>732</v>
      </c>
      <c r="T1107" s="464">
        <v>5.4</v>
      </c>
      <c r="U1107" s="465">
        <v>3952.8</v>
      </c>
      <c r="V1107" s="465">
        <v>18720</v>
      </c>
      <c r="W1107" s="466">
        <v>0</v>
      </c>
      <c r="X1107" s="467">
        <v>1</v>
      </c>
      <c r="Y1107" s="466">
        <v>34009.199999999997</v>
      </c>
      <c r="Z1107" s="468" t="s">
        <v>516</v>
      </c>
      <c r="AA1107" s="466">
        <v>148907.6</v>
      </c>
      <c r="AB1107" s="466">
        <v>148907.6</v>
      </c>
      <c r="AC1107" s="467">
        <v>0</v>
      </c>
      <c r="AD1107" s="466">
        <v>0</v>
      </c>
      <c r="AE1107" s="468" t="s">
        <v>516</v>
      </c>
      <c r="AF1107" s="466">
        <v>0</v>
      </c>
      <c r="AG1107" s="466">
        <v>0</v>
      </c>
      <c r="AH1107" s="466">
        <v>18663.05</v>
      </c>
      <c r="AI1107" s="466">
        <v>11904.93</v>
      </c>
      <c r="AJ1107" s="469" t="s">
        <v>2491</v>
      </c>
      <c r="AK1107" s="470" t="s">
        <v>2492</v>
      </c>
      <c r="AL1107" s="471" t="s">
        <v>9410</v>
      </c>
      <c r="AM1107" s="470" t="s">
        <v>9411</v>
      </c>
      <c r="AN1107" s="470" t="s">
        <v>9412</v>
      </c>
      <c r="AO1107" s="470" t="s">
        <v>9413</v>
      </c>
      <c r="AP1107" s="470" t="s">
        <v>9414</v>
      </c>
      <c r="AQ1107" s="470" t="s">
        <v>9408</v>
      </c>
      <c r="AR1107" s="472" t="s">
        <v>515</v>
      </c>
      <c r="AS1107" s="473" t="s">
        <v>1385</v>
      </c>
      <c r="AT1107" s="472" t="s">
        <v>2950</v>
      </c>
      <c r="AU1107" s="472" t="s">
        <v>420</v>
      </c>
      <c r="AV1107" s="472">
        <v>2020</v>
      </c>
      <c r="AW1107" s="474" t="s">
        <v>15078</v>
      </c>
      <c r="AX1107" s="475" t="s">
        <v>15079</v>
      </c>
      <c r="AY1107" s="515">
        <v>1</v>
      </c>
      <c r="AZ1107" s="474" t="s">
        <v>15079</v>
      </c>
      <c r="BA1107" s="472" t="s">
        <v>2950</v>
      </c>
      <c r="BB1107" s="472" t="s">
        <v>1385</v>
      </c>
      <c r="BC1107" s="472" t="s">
        <v>1385</v>
      </c>
      <c r="BD1107" s="472" t="s">
        <v>1385</v>
      </c>
      <c r="BE1107" s="472" t="s">
        <v>1385</v>
      </c>
      <c r="BF1107" s="472">
        <v>34009.199999999997</v>
      </c>
      <c r="BG1107" s="472">
        <v>0</v>
      </c>
      <c r="BH1107" s="472" t="s">
        <v>1385</v>
      </c>
      <c r="BI1107" s="510">
        <v>0</v>
      </c>
      <c r="BJ1107" s="510">
        <v>0</v>
      </c>
      <c r="BK1107" s="510">
        <v>0</v>
      </c>
      <c r="BL1107" s="510">
        <v>3500</v>
      </c>
      <c r="BM1107" s="510">
        <v>0</v>
      </c>
      <c r="BN1107" s="510">
        <v>5000</v>
      </c>
      <c r="BO1107" s="510">
        <v>0</v>
      </c>
      <c r="BP1107" s="510">
        <v>0</v>
      </c>
      <c r="BQ1107" s="510">
        <v>0</v>
      </c>
      <c r="BR1107" s="510">
        <v>0</v>
      </c>
      <c r="BS1107" s="510">
        <v>0</v>
      </c>
      <c r="BT1107" s="510">
        <v>0</v>
      </c>
      <c r="BU1107" s="510">
        <v>2500</v>
      </c>
      <c r="BV1107" s="510">
        <v>2500</v>
      </c>
      <c r="BW1107" s="510">
        <v>0</v>
      </c>
      <c r="BX1107" s="510">
        <v>30000</v>
      </c>
      <c r="BY1107" s="1011">
        <v>0</v>
      </c>
      <c r="BZ1107" s="510">
        <v>0</v>
      </c>
      <c r="CA1107" s="1011">
        <v>0</v>
      </c>
      <c r="CB1107" s="510">
        <v>22000</v>
      </c>
      <c r="CC1107" s="1011">
        <v>0</v>
      </c>
      <c r="CD1107" s="510">
        <v>0</v>
      </c>
      <c r="CE1107" s="1011">
        <v>0</v>
      </c>
      <c r="CF1107" s="510">
        <v>62898.400000000001</v>
      </c>
      <c r="CG1107" s="1011">
        <v>0</v>
      </c>
      <c r="CH1107" s="510">
        <v>0</v>
      </c>
      <c r="CI1107" s="1011">
        <v>0</v>
      </c>
    </row>
    <row r="1108" spans="1:87" x14ac:dyDescent="0.2">
      <c r="A1108" s="449">
        <v>81</v>
      </c>
      <c r="B1108" s="453">
        <v>99139</v>
      </c>
      <c r="C1108" s="454" t="s">
        <v>9415</v>
      </c>
      <c r="D1108" s="454" t="s">
        <v>517</v>
      </c>
      <c r="E1108" s="454" t="s">
        <v>9416</v>
      </c>
      <c r="F1108" s="454" t="s">
        <v>526</v>
      </c>
      <c r="G1108" s="454" t="s">
        <v>14150</v>
      </c>
      <c r="H1108" s="455">
        <v>62458765000127</v>
      </c>
      <c r="I1108" s="462">
        <v>33031</v>
      </c>
      <c r="J1108" s="457">
        <v>37475053</v>
      </c>
      <c r="K1108" s="454" t="s">
        <v>2763</v>
      </c>
      <c r="L1108" s="458">
        <v>15</v>
      </c>
      <c r="M1108" s="454" t="s">
        <v>1888</v>
      </c>
      <c r="N1108" s="459">
        <v>8180010</v>
      </c>
      <c r="O1108" s="460">
        <v>25815031</v>
      </c>
      <c r="P1108" s="462">
        <v>187103</v>
      </c>
      <c r="Q1108" s="462">
        <v>81</v>
      </c>
      <c r="R1108" s="462">
        <v>43928</v>
      </c>
      <c r="S1108" s="463">
        <v>717</v>
      </c>
      <c r="T1108" s="464">
        <v>5.4</v>
      </c>
      <c r="U1108" s="465">
        <v>3871.8</v>
      </c>
      <c r="V1108" s="465">
        <v>18720</v>
      </c>
      <c r="W1108" s="466">
        <v>0</v>
      </c>
      <c r="X1108" s="467">
        <v>1</v>
      </c>
      <c r="Y1108" s="466">
        <v>33887.699999999997</v>
      </c>
      <c r="Z1108" s="468" t="s">
        <v>516</v>
      </c>
      <c r="AA1108" s="466">
        <v>132816.5</v>
      </c>
      <c r="AB1108" s="466">
        <v>132816.5</v>
      </c>
      <c r="AC1108" s="467">
        <v>0</v>
      </c>
      <c r="AD1108" s="466">
        <v>0</v>
      </c>
      <c r="AE1108" s="468" t="s">
        <v>516</v>
      </c>
      <c r="AF1108" s="466">
        <v>1000</v>
      </c>
      <c r="AG1108" s="466">
        <v>1000</v>
      </c>
      <c r="AH1108" s="466">
        <v>10812.7</v>
      </c>
      <c r="AI1108" s="466">
        <v>7086.72</v>
      </c>
      <c r="AJ1108" s="469" t="s">
        <v>1839</v>
      </c>
      <c r="AK1108" s="470" t="s">
        <v>526</v>
      </c>
      <c r="AL1108" s="471" t="s">
        <v>9417</v>
      </c>
      <c r="AM1108" s="470" t="s">
        <v>14151</v>
      </c>
      <c r="AN1108" s="470" t="s">
        <v>1385</v>
      </c>
      <c r="AO1108" s="470" t="s">
        <v>9418</v>
      </c>
      <c r="AP1108" s="470" t="s">
        <v>9419</v>
      </c>
      <c r="AQ1108" s="470" t="s">
        <v>9415</v>
      </c>
      <c r="AR1108" s="472" t="s">
        <v>515</v>
      </c>
      <c r="AS1108" s="473" t="s">
        <v>1385</v>
      </c>
      <c r="AT1108" s="472" t="s">
        <v>517</v>
      </c>
      <c r="AU1108" s="472" t="s">
        <v>420</v>
      </c>
      <c r="AV1108" s="472">
        <v>2020</v>
      </c>
      <c r="AW1108" s="474" t="s">
        <v>15078</v>
      </c>
      <c r="AX1108" s="475" t="s">
        <v>15079</v>
      </c>
      <c r="AY1108" s="515">
        <v>1</v>
      </c>
      <c r="AZ1108" s="474" t="s">
        <v>15079</v>
      </c>
      <c r="BA1108" s="472" t="s">
        <v>517</v>
      </c>
      <c r="BB1108" s="472" t="s">
        <v>1385</v>
      </c>
      <c r="BC1108" s="472" t="s">
        <v>1385</v>
      </c>
      <c r="BD1108" s="472" t="s">
        <v>1385</v>
      </c>
      <c r="BE1108" s="472" t="s">
        <v>1385</v>
      </c>
      <c r="BF1108" s="472">
        <v>33887.699999999997</v>
      </c>
      <c r="BG1108" s="472">
        <v>0</v>
      </c>
      <c r="BH1108" s="472" t="s">
        <v>1385</v>
      </c>
      <c r="BI1108" s="510">
        <v>0</v>
      </c>
      <c r="BJ1108" s="510">
        <v>0</v>
      </c>
      <c r="BK1108" s="510">
        <v>0</v>
      </c>
      <c r="BL1108" s="510">
        <v>0</v>
      </c>
      <c r="BM1108" s="510">
        <v>0</v>
      </c>
      <c r="BN1108" s="510">
        <v>0</v>
      </c>
      <c r="BO1108" s="510">
        <v>1000</v>
      </c>
      <c r="BP1108" s="510">
        <v>1000</v>
      </c>
      <c r="BQ1108" s="510">
        <v>0</v>
      </c>
      <c r="BR1108" s="510">
        <v>0</v>
      </c>
      <c r="BS1108" s="510">
        <v>0</v>
      </c>
      <c r="BT1108" s="510">
        <v>0</v>
      </c>
      <c r="BU1108" s="510">
        <v>2500</v>
      </c>
      <c r="BV1108" s="510">
        <v>2500</v>
      </c>
      <c r="BW1108" s="510">
        <v>0</v>
      </c>
      <c r="BX1108" s="510">
        <v>30000</v>
      </c>
      <c r="BY1108" s="1011">
        <v>0</v>
      </c>
      <c r="BZ1108" s="510">
        <v>0</v>
      </c>
      <c r="CA1108" s="1011">
        <v>0</v>
      </c>
      <c r="CB1108" s="510">
        <v>22000</v>
      </c>
      <c r="CC1108" s="1011">
        <v>0</v>
      </c>
      <c r="CD1108" s="510">
        <v>0</v>
      </c>
      <c r="CE1108" s="1011">
        <v>0</v>
      </c>
      <c r="CF1108" s="510">
        <v>45928.800000000003</v>
      </c>
      <c r="CG1108" s="1011">
        <v>0</v>
      </c>
      <c r="CH1108" s="510">
        <v>0</v>
      </c>
      <c r="CI1108" s="1011">
        <v>0</v>
      </c>
    </row>
    <row r="1109" spans="1:87" x14ac:dyDescent="0.2">
      <c r="A1109" s="449">
        <v>20</v>
      </c>
      <c r="B1109" s="453">
        <v>99180</v>
      </c>
      <c r="C1109" s="454" t="s">
        <v>9420</v>
      </c>
      <c r="D1109" s="454" t="s">
        <v>1417</v>
      </c>
      <c r="E1109" s="454" t="s">
        <v>9421</v>
      </c>
      <c r="F1109" s="454" t="s">
        <v>529</v>
      </c>
      <c r="G1109" s="454" t="s">
        <v>14152</v>
      </c>
      <c r="H1109" s="455">
        <v>59934695000121</v>
      </c>
      <c r="I1109" s="462">
        <v>32493</v>
      </c>
      <c r="J1109" s="457">
        <v>37522833</v>
      </c>
      <c r="K1109" s="454" t="s">
        <v>9422</v>
      </c>
      <c r="L1109" s="458">
        <v>512</v>
      </c>
      <c r="M1109" s="454" t="s">
        <v>529</v>
      </c>
      <c r="N1109" s="459">
        <v>4717020</v>
      </c>
      <c r="O1109" s="460">
        <v>51824492</v>
      </c>
      <c r="P1109" s="462">
        <v>567798</v>
      </c>
      <c r="Q1109" s="462">
        <v>42</v>
      </c>
      <c r="R1109" s="462">
        <v>43921</v>
      </c>
      <c r="S1109" s="463">
        <v>209</v>
      </c>
      <c r="T1109" s="464">
        <v>5.4</v>
      </c>
      <c r="U1109" s="465">
        <v>1128.5999999999999</v>
      </c>
      <c r="V1109" s="465">
        <v>18000</v>
      </c>
      <c r="W1109" s="466">
        <v>0</v>
      </c>
      <c r="X1109" s="467">
        <v>1</v>
      </c>
      <c r="Y1109" s="466">
        <v>28692.9</v>
      </c>
      <c r="Z1109" s="468" t="s">
        <v>516</v>
      </c>
      <c r="AA1109" s="466">
        <v>111582.9</v>
      </c>
      <c r="AB1109" s="466">
        <v>111582.9</v>
      </c>
      <c r="AC1109" s="467">
        <v>0</v>
      </c>
      <c r="AD1109" s="466">
        <v>0</v>
      </c>
      <c r="AE1109" s="468" t="s">
        <v>516</v>
      </c>
      <c r="AF1109" s="466">
        <v>0</v>
      </c>
      <c r="AG1109" s="466">
        <v>0</v>
      </c>
      <c r="AH1109" s="466">
        <v>39525.86</v>
      </c>
      <c r="AI1109" s="466">
        <v>17752.919999999998</v>
      </c>
      <c r="AJ1109" s="469" t="s">
        <v>7530</v>
      </c>
      <c r="AK1109" s="470" t="s">
        <v>7531</v>
      </c>
      <c r="AL1109" s="471" t="s">
        <v>9423</v>
      </c>
      <c r="AM1109" s="470" t="s">
        <v>9424</v>
      </c>
      <c r="AN1109" s="470" t="s">
        <v>14152</v>
      </c>
      <c r="AO1109" s="470" t="s">
        <v>14153</v>
      </c>
      <c r="AP1109" s="470" t="s">
        <v>9425</v>
      </c>
      <c r="AQ1109" s="470" t="s">
        <v>9420</v>
      </c>
      <c r="AR1109" s="472" t="s">
        <v>515</v>
      </c>
      <c r="AS1109" s="473" t="s">
        <v>1385</v>
      </c>
      <c r="AT1109" s="472" t="s">
        <v>1417</v>
      </c>
      <c r="AU1109" s="472" t="s">
        <v>420</v>
      </c>
      <c r="AV1109" s="472">
        <v>2020</v>
      </c>
      <c r="AW1109" s="474" t="s">
        <v>15078</v>
      </c>
      <c r="AX1109" s="475" t="s">
        <v>15079</v>
      </c>
      <c r="AY1109" s="515">
        <v>1</v>
      </c>
      <c r="AZ1109" s="474" t="s">
        <v>15079</v>
      </c>
      <c r="BA1109" s="472" t="s">
        <v>1417</v>
      </c>
      <c r="BB1109" s="472" t="s">
        <v>1385</v>
      </c>
      <c r="BC1109" s="472" t="s">
        <v>1385</v>
      </c>
      <c r="BD1109" s="472" t="s">
        <v>1385</v>
      </c>
      <c r="BE1109" s="472" t="s">
        <v>1385</v>
      </c>
      <c r="BF1109" s="472">
        <v>28692.9</v>
      </c>
      <c r="BG1109" s="472">
        <v>0</v>
      </c>
      <c r="BH1109" s="472" t="s">
        <v>1385</v>
      </c>
      <c r="BI1109" s="510">
        <v>0</v>
      </c>
      <c r="BJ1109" s="510">
        <v>0</v>
      </c>
      <c r="BK1109" s="510">
        <v>0</v>
      </c>
      <c r="BL1109" s="510">
        <v>3500</v>
      </c>
      <c r="BM1109" s="510">
        <v>0</v>
      </c>
      <c r="BN1109" s="510">
        <v>2000</v>
      </c>
      <c r="BO1109" s="510">
        <v>0</v>
      </c>
      <c r="BP1109" s="510">
        <v>0</v>
      </c>
      <c r="BQ1109" s="510">
        <v>0</v>
      </c>
      <c r="BR1109" s="510">
        <v>0</v>
      </c>
      <c r="BS1109" s="510">
        <v>0</v>
      </c>
      <c r="BT1109" s="510">
        <v>0</v>
      </c>
      <c r="BU1109" s="510">
        <v>0</v>
      </c>
      <c r="BV1109" s="510">
        <v>0</v>
      </c>
      <c r="BW1109" s="510">
        <v>0</v>
      </c>
      <c r="BX1109" s="510">
        <v>30000</v>
      </c>
      <c r="BY1109" s="1011">
        <v>0</v>
      </c>
      <c r="BZ1109" s="510">
        <v>0</v>
      </c>
      <c r="CA1109" s="1011">
        <v>0</v>
      </c>
      <c r="CB1109" s="510">
        <v>0</v>
      </c>
      <c r="CC1109" s="1011">
        <v>0</v>
      </c>
      <c r="CD1109" s="510">
        <v>0</v>
      </c>
      <c r="CE1109" s="1011">
        <v>0</v>
      </c>
      <c r="CF1109" s="510">
        <v>52890</v>
      </c>
      <c r="CG1109" s="1011">
        <v>0</v>
      </c>
      <c r="CH1109" s="510">
        <v>0</v>
      </c>
      <c r="CI1109" s="1011">
        <v>0</v>
      </c>
    </row>
    <row r="1110" spans="1:87" x14ac:dyDescent="0.2">
      <c r="A1110" s="449">
        <v>98</v>
      </c>
      <c r="B1110" s="453">
        <v>99210</v>
      </c>
      <c r="C1110" s="454" t="s">
        <v>9426</v>
      </c>
      <c r="D1110" s="454" t="s">
        <v>1390</v>
      </c>
      <c r="E1110" s="454" t="s">
        <v>9427</v>
      </c>
      <c r="F1110" s="454" t="s">
        <v>513</v>
      </c>
      <c r="G1110" s="454" t="s">
        <v>14154</v>
      </c>
      <c r="H1110" s="455">
        <v>68477025000114</v>
      </c>
      <c r="I1110" s="462">
        <v>34017</v>
      </c>
      <c r="J1110" s="457">
        <v>37532103</v>
      </c>
      <c r="K1110" s="454" t="s">
        <v>7130</v>
      </c>
      <c r="L1110" s="458">
        <v>463</v>
      </c>
      <c r="M1110" s="454" t="s">
        <v>9428</v>
      </c>
      <c r="N1110" s="459">
        <v>3928130</v>
      </c>
      <c r="O1110" s="460">
        <v>27049025</v>
      </c>
      <c r="P1110" s="462">
        <v>151443</v>
      </c>
      <c r="Q1110" s="462">
        <v>98</v>
      </c>
      <c r="R1110" s="462">
        <v>43937</v>
      </c>
      <c r="S1110" s="463">
        <v>193</v>
      </c>
      <c r="T1110" s="464">
        <v>3.6</v>
      </c>
      <c r="U1110" s="465">
        <v>694.8</v>
      </c>
      <c r="V1110" s="465">
        <v>10800</v>
      </c>
      <c r="W1110" s="466">
        <v>0</v>
      </c>
      <c r="X1110" s="467">
        <v>1</v>
      </c>
      <c r="Y1110" s="466">
        <v>17242.2</v>
      </c>
      <c r="Z1110" s="468" t="s">
        <v>516</v>
      </c>
      <c r="AA1110" s="466">
        <v>85267.8</v>
      </c>
      <c r="AB1110" s="466">
        <v>85267.8</v>
      </c>
      <c r="AC1110" s="467">
        <v>0</v>
      </c>
      <c r="AD1110" s="466">
        <v>0</v>
      </c>
      <c r="AE1110" s="468" t="s">
        <v>516</v>
      </c>
      <c r="AF1110" s="466">
        <v>0</v>
      </c>
      <c r="AG1110" s="466">
        <v>0</v>
      </c>
      <c r="AH1110" s="466">
        <v>10595.88</v>
      </c>
      <c r="AI1110" s="466">
        <v>2859.8</v>
      </c>
      <c r="AJ1110" s="469" t="s">
        <v>1972</v>
      </c>
      <c r="AK1110" s="470" t="s">
        <v>1973</v>
      </c>
      <c r="AL1110" s="471" t="s">
        <v>9429</v>
      </c>
      <c r="AM1110" s="470" t="s">
        <v>9430</v>
      </c>
      <c r="AN1110" s="470" t="s">
        <v>1385</v>
      </c>
      <c r="AO1110" s="470" t="s">
        <v>9431</v>
      </c>
      <c r="AP1110" s="470" t="s">
        <v>9432</v>
      </c>
      <c r="AQ1110" s="470" t="s">
        <v>9426</v>
      </c>
      <c r="AR1110" s="472" t="s">
        <v>515</v>
      </c>
      <c r="AS1110" s="473" t="s">
        <v>1385</v>
      </c>
      <c r="AT1110" s="472" t="s">
        <v>1390</v>
      </c>
      <c r="AU1110" s="472" t="s">
        <v>420</v>
      </c>
      <c r="AV1110" s="472">
        <v>2020</v>
      </c>
      <c r="AW1110" s="474" t="s">
        <v>15078</v>
      </c>
      <c r="AX1110" s="475" t="s">
        <v>15079</v>
      </c>
      <c r="AY1110" s="515">
        <v>1</v>
      </c>
      <c r="AZ1110" s="474" t="s">
        <v>15079</v>
      </c>
      <c r="BA1110" s="472" t="s">
        <v>1390</v>
      </c>
      <c r="BB1110" s="472" t="s">
        <v>1385</v>
      </c>
      <c r="BC1110" s="472" t="s">
        <v>1385</v>
      </c>
      <c r="BD1110" s="472" t="s">
        <v>1385</v>
      </c>
      <c r="BE1110" s="472" t="s">
        <v>1385</v>
      </c>
      <c r="BF1110" s="472">
        <v>17242.2</v>
      </c>
      <c r="BG1110" s="472">
        <v>0</v>
      </c>
      <c r="BH1110" s="472" t="s">
        <v>1385</v>
      </c>
      <c r="BI1110" s="510">
        <v>0</v>
      </c>
      <c r="BJ1110" s="510">
        <v>0</v>
      </c>
      <c r="BK1110" s="510">
        <v>0</v>
      </c>
      <c r="BL1110" s="510">
        <v>0</v>
      </c>
      <c r="BM1110" s="510">
        <v>0</v>
      </c>
      <c r="BN1110" s="510">
        <v>3000</v>
      </c>
      <c r="BO1110" s="510">
        <v>0</v>
      </c>
      <c r="BP1110" s="510">
        <v>0</v>
      </c>
      <c r="BQ1110" s="510">
        <v>0</v>
      </c>
      <c r="BR1110" s="510">
        <v>0</v>
      </c>
      <c r="BS1110" s="510">
        <v>0</v>
      </c>
      <c r="BT1110" s="510">
        <v>0</v>
      </c>
      <c r="BU1110" s="510">
        <v>0</v>
      </c>
      <c r="BV1110" s="510">
        <v>0</v>
      </c>
      <c r="BW1110" s="510">
        <v>0</v>
      </c>
      <c r="BX1110" s="510">
        <v>30000</v>
      </c>
      <c r="BY1110" s="1011">
        <v>0</v>
      </c>
      <c r="BZ1110" s="510">
        <v>0</v>
      </c>
      <c r="CA1110" s="1011">
        <v>0</v>
      </c>
      <c r="CB1110" s="510">
        <v>0</v>
      </c>
      <c r="CC1110" s="1011">
        <v>0</v>
      </c>
      <c r="CD1110" s="510">
        <v>0</v>
      </c>
      <c r="CE1110" s="1011">
        <v>0</v>
      </c>
      <c r="CF1110" s="510">
        <v>38025.599999999999</v>
      </c>
      <c r="CG1110" s="1011">
        <v>0</v>
      </c>
      <c r="CH1110" s="510">
        <v>0</v>
      </c>
      <c r="CI1110" s="1011">
        <v>0</v>
      </c>
    </row>
    <row r="1111" spans="1:87" x14ac:dyDescent="0.2">
      <c r="A1111" s="449">
        <v>76</v>
      </c>
      <c r="B1111" s="453">
        <v>99228</v>
      </c>
      <c r="C1111" s="454" t="s">
        <v>9433</v>
      </c>
      <c r="D1111" s="454" t="s">
        <v>517</v>
      </c>
      <c r="E1111" s="454" t="s">
        <v>9433</v>
      </c>
      <c r="F1111" s="454" t="s">
        <v>520</v>
      </c>
      <c r="G1111" s="454" t="s">
        <v>14155</v>
      </c>
      <c r="H1111" s="455">
        <v>60522711000158</v>
      </c>
      <c r="I1111" s="462">
        <v>32624</v>
      </c>
      <c r="J1111" s="457">
        <v>37619861</v>
      </c>
      <c r="K1111" s="454" t="s">
        <v>9434</v>
      </c>
      <c r="L1111" s="458">
        <v>339</v>
      </c>
      <c r="M1111" s="454" t="s">
        <v>8334</v>
      </c>
      <c r="N1111" s="459">
        <v>5869170</v>
      </c>
      <c r="O1111" s="460">
        <v>58736565</v>
      </c>
      <c r="P1111" s="462">
        <v>301100</v>
      </c>
      <c r="Q1111" s="462">
        <v>141</v>
      </c>
      <c r="R1111" s="462">
        <v>43969</v>
      </c>
      <c r="S1111" s="463">
        <v>510</v>
      </c>
      <c r="T1111" s="464">
        <v>5.4</v>
      </c>
      <c r="U1111" s="465">
        <v>2754</v>
      </c>
      <c r="V1111" s="465">
        <v>17100</v>
      </c>
      <c r="W1111" s="466">
        <v>0</v>
      </c>
      <c r="X1111" s="467">
        <v>1</v>
      </c>
      <c r="Y1111" s="466">
        <v>0</v>
      </c>
      <c r="Z1111" s="468" t="s">
        <v>514</v>
      </c>
      <c r="AA1111" s="466">
        <v>0</v>
      </c>
      <c r="AB1111" s="466">
        <v>0</v>
      </c>
      <c r="AC1111" s="467">
        <v>0</v>
      </c>
      <c r="AD1111" s="466">
        <v>0</v>
      </c>
      <c r="AE1111" s="468" t="s">
        <v>514</v>
      </c>
      <c r="AF1111" s="466">
        <v>0</v>
      </c>
      <c r="AG1111" s="466">
        <v>0</v>
      </c>
      <c r="AH1111" s="466">
        <v>0</v>
      </c>
      <c r="AI1111" s="466">
        <v>0</v>
      </c>
      <c r="AJ1111" s="469" t="s">
        <v>1515</v>
      </c>
      <c r="AK1111" s="470" t="s">
        <v>1516</v>
      </c>
      <c r="AL1111" s="471" t="s">
        <v>9435</v>
      </c>
      <c r="AM1111" s="470" t="s">
        <v>9436</v>
      </c>
      <c r="AN1111" s="470" t="s">
        <v>9437</v>
      </c>
      <c r="AO1111" s="470" t="s">
        <v>9438</v>
      </c>
      <c r="AP1111" s="470" t="s">
        <v>9439</v>
      </c>
      <c r="AQ1111" s="470" t="s">
        <v>9433</v>
      </c>
      <c r="AR1111" s="472" t="s">
        <v>515</v>
      </c>
      <c r="AS1111" s="473" t="s">
        <v>1385</v>
      </c>
      <c r="AT1111" s="472" t="s">
        <v>517</v>
      </c>
      <c r="AU1111" s="472" t="s">
        <v>420</v>
      </c>
      <c r="AV1111" s="472">
        <v>2020</v>
      </c>
      <c r="AW1111" s="474" t="s">
        <v>15078</v>
      </c>
      <c r="AX1111" s="475" t="s">
        <v>15079</v>
      </c>
      <c r="AY1111" s="515">
        <v>1</v>
      </c>
      <c r="AZ1111" s="474" t="s">
        <v>15079</v>
      </c>
      <c r="BA1111" s="472" t="s">
        <v>1385</v>
      </c>
      <c r="BB1111" s="472" t="s">
        <v>516</v>
      </c>
      <c r="BC1111" s="472">
        <v>7</v>
      </c>
      <c r="BD1111" s="472">
        <v>5130</v>
      </c>
      <c r="BE1111" s="472">
        <v>0</v>
      </c>
      <c r="BF1111" s="472">
        <v>37476</v>
      </c>
      <c r="BG1111" s="472">
        <v>0</v>
      </c>
      <c r="BH1111" s="472" t="s">
        <v>516</v>
      </c>
      <c r="BI1111" s="510">
        <v>0</v>
      </c>
      <c r="BJ1111" s="510">
        <v>0</v>
      </c>
      <c r="BK1111" s="510">
        <v>0</v>
      </c>
      <c r="BL1111" s="510">
        <v>0</v>
      </c>
      <c r="BM1111" s="510">
        <v>0</v>
      </c>
      <c r="BN1111" s="510">
        <v>0</v>
      </c>
      <c r="BO1111" s="510">
        <v>0</v>
      </c>
      <c r="BP1111" s="510">
        <v>0</v>
      </c>
      <c r="BQ1111" s="510">
        <v>0</v>
      </c>
      <c r="BR1111" s="510">
        <v>0</v>
      </c>
      <c r="BS1111" s="510">
        <v>0</v>
      </c>
      <c r="BT1111" s="510">
        <v>0</v>
      </c>
      <c r="BU1111" s="510">
        <v>0</v>
      </c>
      <c r="BV1111" s="510">
        <v>0</v>
      </c>
      <c r="BW1111" s="510">
        <v>0</v>
      </c>
      <c r="BX1111" s="510">
        <v>0</v>
      </c>
      <c r="BY1111" s="1011">
        <v>0</v>
      </c>
      <c r="BZ1111" s="510">
        <v>0</v>
      </c>
      <c r="CA1111" s="1011">
        <v>0</v>
      </c>
      <c r="CB1111" s="510">
        <v>0</v>
      </c>
      <c r="CC1111" s="1011">
        <v>0</v>
      </c>
      <c r="CD1111" s="510">
        <v>0</v>
      </c>
      <c r="CE1111" s="1011">
        <v>0</v>
      </c>
      <c r="CF1111" s="510">
        <v>0</v>
      </c>
      <c r="CG1111" s="1011">
        <v>0</v>
      </c>
      <c r="CH1111" s="510">
        <v>0</v>
      </c>
      <c r="CI1111" s="1011">
        <v>0</v>
      </c>
    </row>
    <row r="1112" spans="1:87" x14ac:dyDescent="0.2">
      <c r="A1112" s="449">
        <v>95</v>
      </c>
      <c r="B1112" s="453">
        <v>99236</v>
      </c>
      <c r="C1112" s="454" t="s">
        <v>9440</v>
      </c>
      <c r="D1112" s="454" t="s">
        <v>517</v>
      </c>
      <c r="E1112" s="454" t="s">
        <v>9440</v>
      </c>
      <c r="F1112" s="454" t="s">
        <v>520</v>
      </c>
      <c r="G1112" s="454" t="s">
        <v>14156</v>
      </c>
      <c r="H1112" s="455">
        <v>60735586000164</v>
      </c>
      <c r="I1112" s="462">
        <v>32689</v>
      </c>
      <c r="J1112" s="457">
        <v>37620720</v>
      </c>
      <c r="K1112" s="454" t="s">
        <v>9442</v>
      </c>
      <c r="L1112" s="458">
        <v>16</v>
      </c>
      <c r="M1112" s="454" t="s">
        <v>9443</v>
      </c>
      <c r="N1112" s="459">
        <v>5763440</v>
      </c>
      <c r="O1112" s="460">
        <v>55126937</v>
      </c>
      <c r="P1112" s="462">
        <v>303626</v>
      </c>
      <c r="Q1112" s="462">
        <v>160</v>
      </c>
      <c r="R1112" s="462">
        <v>43969</v>
      </c>
      <c r="S1112" s="463">
        <v>757</v>
      </c>
      <c r="T1112" s="464">
        <v>5.4</v>
      </c>
      <c r="U1112" s="465">
        <v>4087.8</v>
      </c>
      <c r="V1112" s="465">
        <v>18720</v>
      </c>
      <c r="W1112" s="466">
        <v>0</v>
      </c>
      <c r="X1112" s="467">
        <v>1</v>
      </c>
      <c r="Y1112" s="466">
        <v>34211.699999999997</v>
      </c>
      <c r="Z1112" s="468" t="s">
        <v>516</v>
      </c>
      <c r="AA1112" s="466">
        <v>133297.70000000001</v>
      </c>
      <c r="AB1112" s="466">
        <v>133297.70000000001</v>
      </c>
      <c r="AC1112" s="467">
        <v>0</v>
      </c>
      <c r="AD1112" s="466">
        <v>0</v>
      </c>
      <c r="AE1112" s="468" t="s">
        <v>516</v>
      </c>
      <c r="AF1112" s="466">
        <v>400</v>
      </c>
      <c r="AG1112" s="466">
        <v>400</v>
      </c>
      <c r="AH1112" s="466">
        <v>24636.68</v>
      </c>
      <c r="AI1112" s="466">
        <v>12062.65</v>
      </c>
      <c r="AJ1112" s="469" t="s">
        <v>1470</v>
      </c>
      <c r="AK1112" s="470" t="s">
        <v>3856</v>
      </c>
      <c r="AL1112" s="471" t="s">
        <v>9444</v>
      </c>
      <c r="AM1112" s="470" t="s">
        <v>14157</v>
      </c>
      <c r="AN1112" s="470" t="s">
        <v>9441</v>
      </c>
      <c r="AO1112" s="470" t="s">
        <v>9445</v>
      </c>
      <c r="AP1112" s="470" t="s">
        <v>9446</v>
      </c>
      <c r="AQ1112" s="470" t="s">
        <v>9440</v>
      </c>
      <c r="AR1112" s="472" t="s">
        <v>515</v>
      </c>
      <c r="AS1112" s="473" t="s">
        <v>1385</v>
      </c>
      <c r="AT1112" s="472" t="s">
        <v>517</v>
      </c>
      <c r="AU1112" s="472" t="s">
        <v>420</v>
      </c>
      <c r="AV1112" s="472">
        <v>2020</v>
      </c>
      <c r="AW1112" s="474" t="s">
        <v>15078</v>
      </c>
      <c r="AX1112" s="475" t="s">
        <v>15079</v>
      </c>
      <c r="AY1112" s="515">
        <v>1</v>
      </c>
      <c r="AZ1112" s="474" t="s">
        <v>15079</v>
      </c>
      <c r="BA1112" s="472" t="s">
        <v>517</v>
      </c>
      <c r="BB1112" s="472" t="s">
        <v>1385</v>
      </c>
      <c r="BC1112" s="472" t="s">
        <v>1385</v>
      </c>
      <c r="BD1112" s="472" t="s">
        <v>1385</v>
      </c>
      <c r="BE1112" s="472" t="s">
        <v>1385</v>
      </c>
      <c r="BF1112" s="472">
        <v>34211.699999999997</v>
      </c>
      <c r="BG1112" s="472">
        <v>0</v>
      </c>
      <c r="BH1112" s="472" t="s">
        <v>1385</v>
      </c>
      <c r="BI1112" s="510">
        <v>0</v>
      </c>
      <c r="BJ1112" s="510">
        <v>591.6</v>
      </c>
      <c r="BK1112" s="510">
        <v>0</v>
      </c>
      <c r="BL1112" s="510">
        <v>3500</v>
      </c>
      <c r="BM1112" s="510">
        <v>0</v>
      </c>
      <c r="BN1112" s="510">
        <v>5000</v>
      </c>
      <c r="BO1112" s="510">
        <v>1600</v>
      </c>
      <c r="BP1112" s="510">
        <v>400</v>
      </c>
      <c r="BQ1112" s="510">
        <v>0</v>
      </c>
      <c r="BR1112" s="510">
        <v>0</v>
      </c>
      <c r="BS1112" s="510">
        <v>0</v>
      </c>
      <c r="BT1112" s="510">
        <v>0</v>
      </c>
      <c r="BU1112" s="510">
        <v>2500</v>
      </c>
      <c r="BV1112" s="510">
        <v>2500</v>
      </c>
      <c r="BW1112" s="510">
        <v>0</v>
      </c>
      <c r="BX1112" s="510">
        <v>30000</v>
      </c>
      <c r="BY1112" s="1011">
        <v>0</v>
      </c>
      <c r="BZ1112" s="510">
        <v>0</v>
      </c>
      <c r="CA1112" s="1011">
        <v>0</v>
      </c>
      <c r="CB1112" s="510">
        <v>22000</v>
      </c>
      <c r="CC1112" s="1011">
        <v>0</v>
      </c>
      <c r="CD1112" s="510">
        <v>0</v>
      </c>
      <c r="CE1112" s="1011">
        <v>0</v>
      </c>
      <c r="CF1112" s="510">
        <v>45486</v>
      </c>
      <c r="CG1112" s="1011">
        <v>0</v>
      </c>
      <c r="CH1112" s="510">
        <v>0</v>
      </c>
      <c r="CI1112" s="1011">
        <v>0</v>
      </c>
    </row>
    <row r="1113" spans="1:87" x14ac:dyDescent="0.2">
      <c r="A1113" s="449">
        <v>74</v>
      </c>
      <c r="B1113" s="453">
        <v>99244</v>
      </c>
      <c r="C1113" s="454" t="s">
        <v>9447</v>
      </c>
      <c r="D1113" s="454" t="s">
        <v>1390</v>
      </c>
      <c r="E1113" s="454" t="s">
        <v>9448</v>
      </c>
      <c r="F1113" s="454" t="s">
        <v>529</v>
      </c>
      <c r="G1113" s="454" t="s">
        <v>14158</v>
      </c>
      <c r="H1113" s="455">
        <v>59952010000170</v>
      </c>
      <c r="I1113" s="462">
        <v>32562</v>
      </c>
      <c r="J1113" s="457">
        <v>37522930</v>
      </c>
      <c r="K1113" s="454" t="s">
        <v>7591</v>
      </c>
      <c r="L1113" s="458">
        <v>604</v>
      </c>
      <c r="M1113" s="454" t="s">
        <v>1789</v>
      </c>
      <c r="N1113" s="459">
        <v>4401160</v>
      </c>
      <c r="O1113" s="460">
        <v>55655934</v>
      </c>
      <c r="P1113" s="462">
        <v>563512</v>
      </c>
      <c r="Q1113" s="462">
        <v>39</v>
      </c>
      <c r="R1113" s="462">
        <v>43921</v>
      </c>
      <c r="S1113" s="463">
        <v>362</v>
      </c>
      <c r="T1113" s="464">
        <v>3.6</v>
      </c>
      <c r="U1113" s="465">
        <v>1303.2</v>
      </c>
      <c r="V1113" s="465">
        <v>13680</v>
      </c>
      <c r="W1113" s="466">
        <v>0</v>
      </c>
      <c r="X1113" s="467">
        <v>1</v>
      </c>
      <c r="Y1113" s="466">
        <v>22474.799999999999</v>
      </c>
      <c r="Z1113" s="468" t="s">
        <v>516</v>
      </c>
      <c r="AA1113" s="466">
        <v>97124.4</v>
      </c>
      <c r="AB1113" s="466">
        <v>97124.4</v>
      </c>
      <c r="AC1113" s="467">
        <v>0</v>
      </c>
      <c r="AD1113" s="466">
        <v>0</v>
      </c>
      <c r="AE1113" s="468" t="s">
        <v>516</v>
      </c>
      <c r="AF1113" s="466">
        <v>0</v>
      </c>
      <c r="AG1113" s="466">
        <v>0</v>
      </c>
      <c r="AH1113" s="466">
        <v>16349.18</v>
      </c>
      <c r="AI1113" s="466">
        <v>0</v>
      </c>
      <c r="AJ1113" s="469" t="s">
        <v>1790</v>
      </c>
      <c r="AK1113" s="470" t="s">
        <v>1791</v>
      </c>
      <c r="AL1113" s="471" t="s">
        <v>9449</v>
      </c>
      <c r="AM1113" s="470" t="s">
        <v>4590</v>
      </c>
      <c r="AN1113" s="470" t="s">
        <v>14158</v>
      </c>
      <c r="AO1113" s="470" t="s">
        <v>14159</v>
      </c>
      <c r="AP1113" s="470" t="s">
        <v>9450</v>
      </c>
      <c r="AQ1113" s="470" t="s">
        <v>9447</v>
      </c>
      <c r="AR1113" s="472" t="s">
        <v>515</v>
      </c>
      <c r="AS1113" s="473" t="s">
        <v>1385</v>
      </c>
      <c r="AT1113" s="472" t="s">
        <v>1390</v>
      </c>
      <c r="AU1113" s="472" t="s">
        <v>420</v>
      </c>
      <c r="AV1113" s="472">
        <v>2020</v>
      </c>
      <c r="AW1113" s="474" t="s">
        <v>15078</v>
      </c>
      <c r="AX1113" s="475" t="s">
        <v>15079</v>
      </c>
      <c r="AY1113" s="515">
        <v>1</v>
      </c>
      <c r="AZ1113" s="474" t="s">
        <v>15079</v>
      </c>
      <c r="BA1113" s="472" t="s">
        <v>1390</v>
      </c>
      <c r="BB1113" s="472" t="s">
        <v>1385</v>
      </c>
      <c r="BC1113" s="472" t="s">
        <v>1385</v>
      </c>
      <c r="BD1113" s="472" t="s">
        <v>1385</v>
      </c>
      <c r="BE1113" s="472" t="s">
        <v>1385</v>
      </c>
      <c r="BF1113" s="472">
        <v>22474.799999999999</v>
      </c>
      <c r="BG1113" s="472">
        <v>0</v>
      </c>
      <c r="BH1113" s="472" t="s">
        <v>1385</v>
      </c>
      <c r="BI1113" s="510">
        <v>0</v>
      </c>
      <c r="BJ1113" s="510">
        <v>0</v>
      </c>
      <c r="BK1113" s="510">
        <v>0</v>
      </c>
      <c r="BL1113" s="510">
        <v>0</v>
      </c>
      <c r="BM1113" s="510">
        <v>0</v>
      </c>
      <c r="BN1113" s="510">
        <v>3500</v>
      </c>
      <c r="BO1113" s="510">
        <v>0</v>
      </c>
      <c r="BP1113" s="510">
        <v>0</v>
      </c>
      <c r="BQ1113" s="510">
        <v>0</v>
      </c>
      <c r="BR1113" s="510">
        <v>0</v>
      </c>
      <c r="BS1113" s="510">
        <v>0</v>
      </c>
      <c r="BT1113" s="510">
        <v>0</v>
      </c>
      <c r="BU1113" s="510">
        <v>0</v>
      </c>
      <c r="BV1113" s="510">
        <v>0</v>
      </c>
      <c r="BW1113" s="510">
        <v>0</v>
      </c>
      <c r="BX1113" s="510">
        <v>30000</v>
      </c>
      <c r="BY1113" s="1011">
        <v>0</v>
      </c>
      <c r="BZ1113" s="510">
        <v>0</v>
      </c>
      <c r="CA1113" s="1011">
        <v>0</v>
      </c>
      <c r="CB1113" s="510">
        <v>0</v>
      </c>
      <c r="CC1113" s="1011">
        <v>0</v>
      </c>
      <c r="CD1113" s="510">
        <v>0</v>
      </c>
      <c r="CE1113" s="1011">
        <v>0</v>
      </c>
      <c r="CF1113" s="510">
        <v>44649.599999999999</v>
      </c>
      <c r="CG1113" s="1011">
        <v>0</v>
      </c>
      <c r="CH1113" s="510">
        <v>0</v>
      </c>
      <c r="CI1113" s="1011">
        <v>0</v>
      </c>
    </row>
    <row r="1114" spans="1:87" x14ac:dyDescent="0.2">
      <c r="A1114" s="449">
        <v>153</v>
      </c>
      <c r="B1114" s="453">
        <v>99252</v>
      </c>
      <c r="C1114" s="454" t="s">
        <v>9451</v>
      </c>
      <c r="D1114" s="454" t="s">
        <v>1390</v>
      </c>
      <c r="E1114" s="454" t="s">
        <v>9452</v>
      </c>
      <c r="F1114" s="454" t="s">
        <v>520</v>
      </c>
      <c r="G1114" s="454" t="s">
        <v>14160</v>
      </c>
      <c r="H1114" s="455">
        <v>62278122000100</v>
      </c>
      <c r="I1114" s="462">
        <v>32941</v>
      </c>
      <c r="J1114" s="457">
        <v>37628925</v>
      </c>
      <c r="K1114" s="454" t="s">
        <v>9453</v>
      </c>
      <c r="L1114" s="458">
        <v>45</v>
      </c>
      <c r="M1114" s="454" t="s">
        <v>9454</v>
      </c>
      <c r="N1114" s="459">
        <v>4918230</v>
      </c>
      <c r="O1114" s="460">
        <v>55140011</v>
      </c>
      <c r="P1114" s="462">
        <v>306633</v>
      </c>
      <c r="Q1114" s="462">
        <v>88</v>
      </c>
      <c r="R1114" s="462">
        <v>43969</v>
      </c>
      <c r="S1114" s="463">
        <v>425</v>
      </c>
      <c r="T1114" s="464">
        <v>3.6</v>
      </c>
      <c r="U1114" s="465">
        <v>1530</v>
      </c>
      <c r="V1114" s="465">
        <v>15120</v>
      </c>
      <c r="W1114" s="466">
        <v>0</v>
      </c>
      <c r="X1114" s="467">
        <v>1</v>
      </c>
      <c r="Y1114" s="466">
        <v>24975</v>
      </c>
      <c r="Z1114" s="468" t="s">
        <v>516</v>
      </c>
      <c r="AA1114" s="466">
        <v>103203</v>
      </c>
      <c r="AB1114" s="466">
        <v>103203</v>
      </c>
      <c r="AC1114" s="467">
        <v>0</v>
      </c>
      <c r="AD1114" s="466">
        <v>0</v>
      </c>
      <c r="AE1114" s="468" t="s">
        <v>516</v>
      </c>
      <c r="AF1114" s="466">
        <v>0</v>
      </c>
      <c r="AG1114" s="466">
        <v>0</v>
      </c>
      <c r="AH1114" s="466">
        <v>11326.14</v>
      </c>
      <c r="AI1114" s="466">
        <v>3536.96</v>
      </c>
      <c r="AJ1114" s="469" t="s">
        <v>1813</v>
      </c>
      <c r="AK1114" s="470" t="s">
        <v>1814</v>
      </c>
      <c r="AL1114" s="471" t="s">
        <v>9455</v>
      </c>
      <c r="AM1114" s="470" t="s">
        <v>9456</v>
      </c>
      <c r="AN1114" s="470" t="s">
        <v>9457</v>
      </c>
      <c r="AO1114" s="470" t="s">
        <v>9458</v>
      </c>
      <c r="AP1114" s="470" t="s">
        <v>9459</v>
      </c>
      <c r="AQ1114" s="470" t="s">
        <v>9451</v>
      </c>
      <c r="AR1114" s="472" t="s">
        <v>515</v>
      </c>
      <c r="AS1114" s="473" t="s">
        <v>1385</v>
      </c>
      <c r="AT1114" s="472" t="s">
        <v>1390</v>
      </c>
      <c r="AU1114" s="472" t="s">
        <v>420</v>
      </c>
      <c r="AV1114" s="472">
        <v>2020</v>
      </c>
      <c r="AW1114" s="474" t="s">
        <v>15078</v>
      </c>
      <c r="AX1114" s="475" t="s">
        <v>15079</v>
      </c>
      <c r="AY1114" s="515">
        <v>1</v>
      </c>
      <c r="AZ1114" s="474" t="s">
        <v>15079</v>
      </c>
      <c r="BA1114" s="472" t="s">
        <v>1390</v>
      </c>
      <c r="BB1114" s="472" t="s">
        <v>1385</v>
      </c>
      <c r="BC1114" s="472" t="s">
        <v>1385</v>
      </c>
      <c r="BD1114" s="472" t="s">
        <v>1385</v>
      </c>
      <c r="BE1114" s="472" t="s">
        <v>1385</v>
      </c>
      <c r="BF1114" s="472">
        <v>24975</v>
      </c>
      <c r="BG1114" s="472">
        <v>0</v>
      </c>
      <c r="BH1114" s="472" t="s">
        <v>1385</v>
      </c>
      <c r="BI1114" s="510">
        <v>0</v>
      </c>
      <c r="BJ1114" s="510">
        <v>0</v>
      </c>
      <c r="BK1114" s="510">
        <v>0</v>
      </c>
      <c r="BL1114" s="510">
        <v>0</v>
      </c>
      <c r="BM1114" s="510">
        <v>0</v>
      </c>
      <c r="BN1114" s="510">
        <v>4000</v>
      </c>
      <c r="BO1114" s="510">
        <v>0</v>
      </c>
      <c r="BP1114" s="510">
        <v>0</v>
      </c>
      <c r="BQ1114" s="510">
        <v>0</v>
      </c>
      <c r="BR1114" s="510">
        <v>0</v>
      </c>
      <c r="BS1114" s="510">
        <v>0</v>
      </c>
      <c r="BT1114" s="510">
        <v>0</v>
      </c>
      <c r="BU1114" s="510">
        <v>0</v>
      </c>
      <c r="BV1114" s="510">
        <v>0</v>
      </c>
      <c r="BW1114" s="510">
        <v>0</v>
      </c>
      <c r="BX1114" s="510">
        <v>30000</v>
      </c>
      <c r="BY1114" s="1011">
        <v>0</v>
      </c>
      <c r="BZ1114" s="510">
        <v>0</v>
      </c>
      <c r="CA1114" s="1011">
        <v>0</v>
      </c>
      <c r="CB1114" s="510">
        <v>0</v>
      </c>
      <c r="CC1114" s="1011">
        <v>0</v>
      </c>
      <c r="CD1114" s="510">
        <v>0</v>
      </c>
      <c r="CE1114" s="1011">
        <v>0</v>
      </c>
      <c r="CF1114" s="510">
        <v>48228</v>
      </c>
      <c r="CG1114" s="1011">
        <v>0</v>
      </c>
      <c r="CH1114" s="510">
        <v>0</v>
      </c>
      <c r="CI1114" s="1011">
        <v>0</v>
      </c>
    </row>
    <row r="1115" spans="1:87" x14ac:dyDescent="0.2">
      <c r="A1115" s="449">
        <v>46</v>
      </c>
      <c r="B1115" s="453">
        <v>99261</v>
      </c>
      <c r="C1115" s="454" t="s">
        <v>9460</v>
      </c>
      <c r="D1115" s="454" t="s">
        <v>517</v>
      </c>
      <c r="E1115" s="454" t="s">
        <v>9461</v>
      </c>
      <c r="F1115" s="454" t="s">
        <v>519</v>
      </c>
      <c r="G1115" s="454" t="s">
        <v>14161</v>
      </c>
      <c r="H1115" s="455">
        <v>59941484000116</v>
      </c>
      <c r="I1115" s="462">
        <v>32520</v>
      </c>
      <c r="J1115" s="457">
        <v>37355058</v>
      </c>
      <c r="K1115" s="454" t="s">
        <v>9348</v>
      </c>
      <c r="L1115" s="458">
        <v>490</v>
      </c>
      <c r="M1115" s="454" t="s">
        <v>9349</v>
      </c>
      <c r="N1115" s="459">
        <v>5572000</v>
      </c>
      <c r="O1115" s="460">
        <v>37828893</v>
      </c>
      <c r="P1115" s="462">
        <v>114203</v>
      </c>
      <c r="Q1115" s="462">
        <v>30</v>
      </c>
      <c r="R1115" s="462">
        <v>43881</v>
      </c>
      <c r="S1115" s="463">
        <v>689</v>
      </c>
      <c r="T1115" s="464">
        <v>5.4</v>
      </c>
      <c r="U1115" s="465">
        <v>3720.6</v>
      </c>
      <c r="V1115" s="465">
        <v>17100</v>
      </c>
      <c r="W1115" s="466">
        <v>0</v>
      </c>
      <c r="X1115" s="467">
        <v>1</v>
      </c>
      <c r="Y1115" s="466">
        <v>0</v>
      </c>
      <c r="Z1115" s="468" t="s">
        <v>514</v>
      </c>
      <c r="AA1115" s="466">
        <v>0</v>
      </c>
      <c r="AB1115" s="466">
        <v>0</v>
      </c>
      <c r="AC1115" s="467">
        <v>0</v>
      </c>
      <c r="AD1115" s="466">
        <v>0</v>
      </c>
      <c r="AE1115" s="468" t="s">
        <v>516</v>
      </c>
      <c r="AF1115" s="466">
        <v>0</v>
      </c>
      <c r="AG1115" s="466">
        <v>0</v>
      </c>
      <c r="AH1115" s="466">
        <v>18487.2</v>
      </c>
      <c r="AI1115" s="466">
        <v>11418.57</v>
      </c>
      <c r="AJ1115" s="469" t="s">
        <v>2690</v>
      </c>
      <c r="AK1115" s="470" t="s">
        <v>2691</v>
      </c>
      <c r="AL1115" s="471" t="s">
        <v>9463</v>
      </c>
      <c r="AM1115" s="470" t="s">
        <v>9464</v>
      </c>
      <c r="AN1115" s="470" t="s">
        <v>9462</v>
      </c>
      <c r="AO1115" s="470" t="s">
        <v>9465</v>
      </c>
      <c r="AP1115" s="470" t="s">
        <v>9466</v>
      </c>
      <c r="AQ1115" s="470" t="s">
        <v>9460</v>
      </c>
      <c r="AR1115" s="472" t="s">
        <v>515</v>
      </c>
      <c r="AS1115" s="473" t="s">
        <v>1385</v>
      </c>
      <c r="AT1115" s="472" t="s">
        <v>517</v>
      </c>
      <c r="AU1115" s="472" t="s">
        <v>420</v>
      </c>
      <c r="AV1115" s="472">
        <v>2020</v>
      </c>
      <c r="AW1115" s="474" t="s">
        <v>15078</v>
      </c>
      <c r="AX1115" s="475" t="s">
        <v>15079</v>
      </c>
      <c r="AY1115" s="515">
        <v>1</v>
      </c>
      <c r="AZ1115" s="474" t="s">
        <v>15079</v>
      </c>
      <c r="BA1115" s="472" t="s">
        <v>1385</v>
      </c>
      <c r="BB1115" s="472" t="s">
        <v>1385</v>
      </c>
      <c r="BC1115" s="472" t="s">
        <v>1385</v>
      </c>
      <c r="BD1115" s="472" t="s">
        <v>1385</v>
      </c>
      <c r="BE1115" s="472" t="s">
        <v>1385</v>
      </c>
      <c r="BF1115" s="472">
        <v>31230.9</v>
      </c>
      <c r="BG1115" s="472">
        <v>0</v>
      </c>
      <c r="BH1115" s="472" t="s">
        <v>516</v>
      </c>
      <c r="BI1115" s="510">
        <v>0</v>
      </c>
      <c r="BJ1115" s="510">
        <v>0</v>
      </c>
      <c r="BK1115" s="510">
        <v>0</v>
      </c>
      <c r="BL1115" s="510">
        <v>0</v>
      </c>
      <c r="BM1115" s="510">
        <v>0</v>
      </c>
      <c r="BN1115" s="510">
        <v>0</v>
      </c>
      <c r="BO1115" s="510">
        <v>0</v>
      </c>
      <c r="BP1115" s="510">
        <v>0</v>
      </c>
      <c r="BQ1115" s="510">
        <v>0</v>
      </c>
      <c r="BR1115" s="510">
        <v>0</v>
      </c>
      <c r="BS1115" s="510">
        <v>0</v>
      </c>
      <c r="BT1115" s="510">
        <v>0</v>
      </c>
      <c r="BU1115" s="510">
        <v>0</v>
      </c>
      <c r="BV1115" s="510">
        <v>0</v>
      </c>
      <c r="BW1115" s="510">
        <v>0</v>
      </c>
      <c r="BX1115" s="510">
        <v>0</v>
      </c>
      <c r="BY1115" s="1011">
        <v>0</v>
      </c>
      <c r="BZ1115" s="510">
        <v>0</v>
      </c>
      <c r="CA1115" s="1011">
        <v>0</v>
      </c>
      <c r="CB1115" s="510">
        <v>0</v>
      </c>
      <c r="CC1115" s="1011">
        <v>0</v>
      </c>
      <c r="CD1115" s="510">
        <v>0</v>
      </c>
      <c r="CE1115" s="1011">
        <v>0</v>
      </c>
      <c r="CF1115" s="510">
        <v>0</v>
      </c>
      <c r="CG1115" s="1011">
        <v>0</v>
      </c>
      <c r="CH1115" s="510">
        <v>0</v>
      </c>
      <c r="CI1115" s="1011">
        <v>0</v>
      </c>
    </row>
    <row r="1116" spans="1:87" x14ac:dyDescent="0.2">
      <c r="A1116" s="449">
        <v>93</v>
      </c>
      <c r="B1116" s="453">
        <v>99279</v>
      </c>
      <c r="C1116" s="454" t="s">
        <v>9467</v>
      </c>
      <c r="D1116" s="454" t="s">
        <v>1390</v>
      </c>
      <c r="E1116" s="454" t="s">
        <v>9468</v>
      </c>
      <c r="F1116" s="454" t="s">
        <v>527</v>
      </c>
      <c r="G1116" s="454" t="s">
        <v>14162</v>
      </c>
      <c r="H1116" s="455">
        <v>59580019000105</v>
      </c>
      <c r="I1116" s="462">
        <v>32435</v>
      </c>
      <c r="J1116" s="457">
        <v>37555260</v>
      </c>
      <c r="K1116" s="454" t="s">
        <v>9469</v>
      </c>
      <c r="L1116" s="458">
        <v>912</v>
      </c>
      <c r="M1116" s="454" t="s">
        <v>5281</v>
      </c>
      <c r="N1116" s="459">
        <v>3679020</v>
      </c>
      <c r="O1116" s="460">
        <v>22808281</v>
      </c>
      <c r="P1116" s="462">
        <v>185321</v>
      </c>
      <c r="Q1116" s="462">
        <v>54</v>
      </c>
      <c r="R1116" s="462">
        <v>43917</v>
      </c>
      <c r="S1116" s="463">
        <v>395</v>
      </c>
      <c r="T1116" s="464">
        <v>3.6</v>
      </c>
      <c r="U1116" s="465">
        <v>1422</v>
      </c>
      <c r="V1116" s="465">
        <v>13680</v>
      </c>
      <c r="W1116" s="466">
        <v>0</v>
      </c>
      <c r="X1116" s="467">
        <v>1</v>
      </c>
      <c r="Y1116" s="466">
        <v>22653</v>
      </c>
      <c r="Z1116" s="468" t="s">
        <v>516</v>
      </c>
      <c r="AA1116" s="466">
        <v>97763.4</v>
      </c>
      <c r="AB1116" s="466">
        <v>97763.4</v>
      </c>
      <c r="AC1116" s="467">
        <v>0</v>
      </c>
      <c r="AD1116" s="466">
        <v>0</v>
      </c>
      <c r="AE1116" s="468" t="s">
        <v>516</v>
      </c>
      <c r="AF1116" s="466">
        <v>0</v>
      </c>
      <c r="AG1116" s="466">
        <v>0</v>
      </c>
      <c r="AH1116" s="466">
        <v>16194.12</v>
      </c>
      <c r="AI1116" s="466">
        <v>6376.63</v>
      </c>
      <c r="AJ1116" s="469" t="s">
        <v>2233</v>
      </c>
      <c r="AK1116" s="470" t="s">
        <v>2653</v>
      </c>
      <c r="AL1116" s="471" t="s">
        <v>9470</v>
      </c>
      <c r="AM1116" s="470" t="s">
        <v>9471</v>
      </c>
      <c r="AN1116" s="470" t="s">
        <v>14162</v>
      </c>
      <c r="AO1116" s="470" t="s">
        <v>14163</v>
      </c>
      <c r="AP1116" s="470" t="s">
        <v>9472</v>
      </c>
      <c r="AQ1116" s="470" t="s">
        <v>9467</v>
      </c>
      <c r="AR1116" s="472" t="s">
        <v>515</v>
      </c>
      <c r="AS1116" s="473" t="s">
        <v>1385</v>
      </c>
      <c r="AT1116" s="472" t="s">
        <v>1390</v>
      </c>
      <c r="AU1116" s="472" t="s">
        <v>420</v>
      </c>
      <c r="AV1116" s="472">
        <v>2020</v>
      </c>
      <c r="AW1116" s="474" t="s">
        <v>15078</v>
      </c>
      <c r="AX1116" s="475" t="s">
        <v>15079</v>
      </c>
      <c r="AY1116" s="515">
        <v>1</v>
      </c>
      <c r="AZ1116" s="474" t="s">
        <v>15079</v>
      </c>
      <c r="BA1116" s="472" t="s">
        <v>1390</v>
      </c>
      <c r="BB1116" s="472" t="s">
        <v>1385</v>
      </c>
      <c r="BC1116" s="472" t="s">
        <v>1385</v>
      </c>
      <c r="BD1116" s="472" t="s">
        <v>1385</v>
      </c>
      <c r="BE1116" s="472" t="s">
        <v>1385</v>
      </c>
      <c r="BF1116" s="509">
        <v>22653</v>
      </c>
      <c r="BG1116" s="509">
        <v>0</v>
      </c>
      <c r="BH1116" s="472" t="s">
        <v>1385</v>
      </c>
      <c r="BI1116" s="510">
        <v>0</v>
      </c>
      <c r="BJ1116" s="510">
        <v>0</v>
      </c>
      <c r="BK1116" s="510">
        <v>0</v>
      </c>
      <c r="BL1116" s="510">
        <v>0</v>
      </c>
      <c r="BM1116" s="510">
        <v>0</v>
      </c>
      <c r="BN1116" s="510">
        <v>2500</v>
      </c>
      <c r="BO1116" s="510">
        <v>0</v>
      </c>
      <c r="BP1116" s="510">
        <v>0</v>
      </c>
      <c r="BQ1116" s="510">
        <v>0</v>
      </c>
      <c r="BR1116" s="510">
        <v>0</v>
      </c>
      <c r="BS1116" s="510">
        <v>0</v>
      </c>
      <c r="BT1116" s="510">
        <v>0</v>
      </c>
      <c r="BU1116" s="510">
        <v>0</v>
      </c>
      <c r="BV1116" s="510">
        <v>0</v>
      </c>
      <c r="BW1116" s="510">
        <v>0</v>
      </c>
      <c r="BX1116" s="510">
        <v>30000</v>
      </c>
      <c r="BY1116" s="1011">
        <v>0</v>
      </c>
      <c r="BZ1116" s="510">
        <v>0</v>
      </c>
      <c r="CA1116" s="1011">
        <v>0</v>
      </c>
      <c r="CB1116" s="510">
        <v>0</v>
      </c>
      <c r="CC1116" s="1011">
        <v>0</v>
      </c>
      <c r="CD1116" s="510">
        <v>0</v>
      </c>
      <c r="CE1116" s="1011">
        <v>0</v>
      </c>
      <c r="CF1116" s="510">
        <v>45110.400000000001</v>
      </c>
      <c r="CG1116" s="1011">
        <v>0</v>
      </c>
      <c r="CH1116" s="510">
        <v>0</v>
      </c>
      <c r="CI1116" s="1011">
        <v>0</v>
      </c>
    </row>
    <row r="1117" spans="1:87" x14ac:dyDescent="0.2">
      <c r="A1117" s="449">
        <v>48</v>
      </c>
      <c r="B1117" s="453">
        <v>99287</v>
      </c>
      <c r="C1117" s="454" t="s">
        <v>9473</v>
      </c>
      <c r="D1117" s="454" t="s">
        <v>517</v>
      </c>
      <c r="E1117" s="454" t="s">
        <v>9474</v>
      </c>
      <c r="F1117" s="454" t="s">
        <v>519</v>
      </c>
      <c r="G1117" s="454" t="s">
        <v>14164</v>
      </c>
      <c r="H1117" s="455">
        <v>60908316000108</v>
      </c>
      <c r="I1117" s="462">
        <v>32686</v>
      </c>
      <c r="J1117" s="457">
        <v>37355090</v>
      </c>
      <c r="K1117" s="454" t="s">
        <v>5247</v>
      </c>
      <c r="L1117" s="458">
        <v>310</v>
      </c>
      <c r="M1117" s="454" t="s">
        <v>9476</v>
      </c>
      <c r="N1117" s="459">
        <v>5528040</v>
      </c>
      <c r="O1117" s="460">
        <v>37511620</v>
      </c>
      <c r="P1117" s="462">
        <v>116893</v>
      </c>
      <c r="Q1117" s="462">
        <v>32</v>
      </c>
      <c r="R1117" s="462">
        <v>43881</v>
      </c>
      <c r="S1117" s="463">
        <v>758</v>
      </c>
      <c r="T1117" s="464">
        <v>5.4</v>
      </c>
      <c r="U1117" s="465">
        <v>4093.2</v>
      </c>
      <c r="V1117" s="465">
        <v>18720</v>
      </c>
      <c r="W1117" s="466">
        <v>0</v>
      </c>
      <c r="X1117" s="467">
        <v>1</v>
      </c>
      <c r="Y1117" s="466">
        <v>0</v>
      </c>
      <c r="Z1117" s="468" t="s">
        <v>514</v>
      </c>
      <c r="AA1117" s="466">
        <v>0</v>
      </c>
      <c r="AB1117" s="466">
        <v>0</v>
      </c>
      <c r="AC1117" s="467">
        <v>0</v>
      </c>
      <c r="AD1117" s="466">
        <v>0</v>
      </c>
      <c r="AE1117" s="468" t="s">
        <v>516</v>
      </c>
      <c r="AF1117" s="466">
        <v>0</v>
      </c>
      <c r="AG1117" s="466">
        <v>0</v>
      </c>
      <c r="AH1117" s="466">
        <v>24255.35</v>
      </c>
      <c r="AI1117" s="466">
        <v>1876.35</v>
      </c>
      <c r="AJ1117" s="469" t="s">
        <v>2443</v>
      </c>
      <c r="AK1117" s="470" t="s">
        <v>2444</v>
      </c>
      <c r="AL1117" s="471" t="s">
        <v>9477</v>
      </c>
      <c r="AM1117" s="470" t="s">
        <v>9478</v>
      </c>
      <c r="AN1117" s="470" t="s">
        <v>9475</v>
      </c>
      <c r="AO1117" s="470" t="s">
        <v>9479</v>
      </c>
      <c r="AP1117" s="470" t="s">
        <v>9480</v>
      </c>
      <c r="AQ1117" s="470" t="s">
        <v>9473</v>
      </c>
      <c r="AR1117" s="472" t="s">
        <v>515</v>
      </c>
      <c r="AS1117" s="473" t="s">
        <v>1385</v>
      </c>
      <c r="AT1117" s="472" t="s">
        <v>517</v>
      </c>
      <c r="AU1117" s="472" t="s">
        <v>420</v>
      </c>
      <c r="AV1117" s="472">
        <v>2020</v>
      </c>
      <c r="AW1117" s="474" t="s">
        <v>15078</v>
      </c>
      <c r="AX1117" s="475" t="s">
        <v>15079</v>
      </c>
      <c r="AY1117" s="515">
        <v>1</v>
      </c>
      <c r="AZ1117" s="474" t="s">
        <v>15079</v>
      </c>
      <c r="BA1117" s="472" t="s">
        <v>1385</v>
      </c>
      <c r="BB1117" s="472" t="s">
        <v>1385</v>
      </c>
      <c r="BC1117" s="472" t="s">
        <v>1385</v>
      </c>
      <c r="BD1117" s="472" t="s">
        <v>1385</v>
      </c>
      <c r="BE1117" s="472" t="s">
        <v>1385</v>
      </c>
      <c r="BF1117" s="472">
        <v>34219.800000000003</v>
      </c>
      <c r="BG1117" s="472">
        <v>0</v>
      </c>
      <c r="BH1117" s="472" t="s">
        <v>516</v>
      </c>
      <c r="BI1117" s="510">
        <v>0</v>
      </c>
      <c r="BJ1117" s="510">
        <v>0</v>
      </c>
      <c r="BK1117" s="510">
        <v>0</v>
      </c>
      <c r="BL1117" s="510">
        <v>0</v>
      </c>
      <c r="BM1117" s="510">
        <v>0</v>
      </c>
      <c r="BN1117" s="510">
        <v>0</v>
      </c>
      <c r="BO1117" s="510">
        <v>0</v>
      </c>
      <c r="BP1117" s="510">
        <v>0</v>
      </c>
      <c r="BQ1117" s="510">
        <v>0</v>
      </c>
      <c r="BR1117" s="510">
        <v>0</v>
      </c>
      <c r="BS1117" s="510">
        <v>0</v>
      </c>
      <c r="BT1117" s="510">
        <v>0</v>
      </c>
      <c r="BU1117" s="510">
        <v>0</v>
      </c>
      <c r="BV1117" s="510">
        <v>0</v>
      </c>
      <c r="BW1117" s="510">
        <v>0</v>
      </c>
      <c r="BX1117" s="510">
        <v>0</v>
      </c>
      <c r="BY1117" s="1011">
        <v>0</v>
      </c>
      <c r="BZ1117" s="510">
        <v>0</v>
      </c>
      <c r="CA1117" s="1011">
        <v>0</v>
      </c>
      <c r="CB1117" s="510">
        <v>0</v>
      </c>
      <c r="CC1117" s="1011">
        <v>0</v>
      </c>
      <c r="CD1117" s="510">
        <v>0</v>
      </c>
      <c r="CE1117" s="1011">
        <v>0</v>
      </c>
      <c r="CF1117" s="510">
        <v>0</v>
      </c>
      <c r="CG1117" s="1011">
        <v>0</v>
      </c>
      <c r="CH1117" s="510">
        <v>0</v>
      </c>
      <c r="CI1117" s="1011">
        <v>0</v>
      </c>
    </row>
    <row r="1118" spans="1:87" x14ac:dyDescent="0.2">
      <c r="A1118" s="449">
        <v>41</v>
      </c>
      <c r="B1118" s="453">
        <v>99325</v>
      </c>
      <c r="C1118" s="454" t="s">
        <v>9481</v>
      </c>
      <c r="D1118" s="454" t="s">
        <v>517</v>
      </c>
      <c r="E1118" s="454" t="s">
        <v>9482</v>
      </c>
      <c r="F1118" s="454" t="s">
        <v>513</v>
      </c>
      <c r="G1118" s="454" t="s">
        <v>14165</v>
      </c>
      <c r="H1118" s="455">
        <v>265816000147</v>
      </c>
      <c r="I1118" s="462">
        <v>34590</v>
      </c>
      <c r="J1118" s="457">
        <v>37531646</v>
      </c>
      <c r="K1118" s="454" t="s">
        <v>9483</v>
      </c>
      <c r="L1118" s="458">
        <v>4046</v>
      </c>
      <c r="M1118" s="454" t="s">
        <v>5056</v>
      </c>
      <c r="N1118" s="459">
        <v>8375000</v>
      </c>
      <c r="O1118" s="460">
        <v>27315764</v>
      </c>
      <c r="P1118" s="462">
        <v>149651</v>
      </c>
      <c r="Q1118" s="462">
        <v>41</v>
      </c>
      <c r="R1118" s="462">
        <v>43937</v>
      </c>
      <c r="S1118" s="463">
        <v>696</v>
      </c>
      <c r="T1118" s="464">
        <v>5.4</v>
      </c>
      <c r="U1118" s="465">
        <v>3758.4</v>
      </c>
      <c r="V1118" s="465">
        <v>17100</v>
      </c>
      <c r="W1118" s="466">
        <v>0</v>
      </c>
      <c r="X1118" s="467">
        <v>1</v>
      </c>
      <c r="Y1118" s="466">
        <v>31287.599999999999</v>
      </c>
      <c r="Z1118" s="468" t="s">
        <v>516</v>
      </c>
      <c r="AA1118" s="466">
        <v>128374</v>
      </c>
      <c r="AB1118" s="466">
        <v>128374</v>
      </c>
      <c r="AC1118" s="467">
        <v>0</v>
      </c>
      <c r="AD1118" s="466">
        <v>0</v>
      </c>
      <c r="AE1118" s="468" t="s">
        <v>516</v>
      </c>
      <c r="AF1118" s="466">
        <v>0</v>
      </c>
      <c r="AG1118" s="466">
        <v>0</v>
      </c>
      <c r="AH1118" s="466">
        <v>8740.49</v>
      </c>
      <c r="AI1118" s="466">
        <v>4171.68</v>
      </c>
      <c r="AJ1118" s="469" t="s">
        <v>1674</v>
      </c>
      <c r="AK1118" s="470" t="s">
        <v>518</v>
      </c>
      <c r="AL1118" s="471" t="s">
        <v>9484</v>
      </c>
      <c r="AM1118" s="470" t="s">
        <v>9485</v>
      </c>
      <c r="AN1118" s="470" t="s">
        <v>1385</v>
      </c>
      <c r="AO1118" s="470" t="s">
        <v>9486</v>
      </c>
      <c r="AP1118" s="470" t="s">
        <v>9487</v>
      </c>
      <c r="AQ1118" s="470" t="s">
        <v>9481</v>
      </c>
      <c r="AR1118" s="472" t="s">
        <v>515</v>
      </c>
      <c r="AS1118" s="473" t="s">
        <v>1385</v>
      </c>
      <c r="AT1118" s="472" t="s">
        <v>517</v>
      </c>
      <c r="AU1118" s="472" t="s">
        <v>420</v>
      </c>
      <c r="AV1118" s="472">
        <v>2020</v>
      </c>
      <c r="AW1118" s="474" t="s">
        <v>15078</v>
      </c>
      <c r="AX1118" s="475" t="s">
        <v>15079</v>
      </c>
      <c r="AY1118" s="515">
        <v>1</v>
      </c>
      <c r="AZ1118" s="474" t="s">
        <v>15079</v>
      </c>
      <c r="BA1118" s="472" t="s">
        <v>517</v>
      </c>
      <c r="BB1118" s="472" t="s">
        <v>1385</v>
      </c>
      <c r="BC1118" s="472" t="s">
        <v>1385</v>
      </c>
      <c r="BD1118" s="472" t="s">
        <v>1385</v>
      </c>
      <c r="BE1118" s="472" t="s">
        <v>1385</v>
      </c>
      <c r="BF1118" s="472">
        <v>31287.599999999999</v>
      </c>
      <c r="BG1118" s="472">
        <v>0</v>
      </c>
      <c r="BH1118" s="472" t="s">
        <v>1385</v>
      </c>
      <c r="BI1118" s="510">
        <v>0</v>
      </c>
      <c r="BJ1118" s="510">
        <v>0</v>
      </c>
      <c r="BK1118" s="510">
        <v>0</v>
      </c>
      <c r="BL1118" s="510">
        <v>37.5</v>
      </c>
      <c r="BM1118" s="510">
        <v>0</v>
      </c>
      <c r="BN1118" s="510">
        <v>3500</v>
      </c>
      <c r="BO1118" s="510">
        <v>0</v>
      </c>
      <c r="BP1118" s="510">
        <v>0</v>
      </c>
      <c r="BQ1118" s="510">
        <v>0</v>
      </c>
      <c r="BR1118" s="510">
        <v>0</v>
      </c>
      <c r="BS1118" s="510">
        <v>0</v>
      </c>
      <c r="BT1118" s="510">
        <v>0</v>
      </c>
      <c r="BU1118" s="510">
        <v>2500</v>
      </c>
      <c r="BV1118" s="510">
        <v>2500</v>
      </c>
      <c r="BW1118" s="510">
        <v>0</v>
      </c>
      <c r="BX1118" s="510">
        <v>30000</v>
      </c>
      <c r="BY1118" s="1011">
        <v>0</v>
      </c>
      <c r="BZ1118" s="510">
        <v>0</v>
      </c>
      <c r="CA1118" s="1011">
        <v>0</v>
      </c>
      <c r="CB1118" s="510">
        <v>22000</v>
      </c>
      <c r="CC1118" s="1011">
        <v>0</v>
      </c>
      <c r="CD1118" s="510">
        <v>0</v>
      </c>
      <c r="CE1118" s="1011">
        <v>0</v>
      </c>
      <c r="CF1118" s="510">
        <v>45086.400000000001</v>
      </c>
      <c r="CG1118" s="1011">
        <v>0</v>
      </c>
      <c r="CH1118" s="510">
        <v>0</v>
      </c>
      <c r="CI1118" s="1011">
        <v>0</v>
      </c>
    </row>
    <row r="1119" spans="1:87" x14ac:dyDescent="0.2">
      <c r="A1119" s="449">
        <v>71</v>
      </c>
      <c r="B1119" s="453">
        <v>99333</v>
      </c>
      <c r="C1119" s="454" t="s">
        <v>9488</v>
      </c>
      <c r="D1119" s="454" t="s">
        <v>1390</v>
      </c>
      <c r="E1119" s="454" t="s">
        <v>9489</v>
      </c>
      <c r="F1119" s="454" t="s">
        <v>518</v>
      </c>
      <c r="G1119" s="454" t="s">
        <v>14166</v>
      </c>
      <c r="H1119" s="455">
        <v>60374345000137</v>
      </c>
      <c r="I1119" s="462">
        <v>32604</v>
      </c>
      <c r="J1119" s="457">
        <v>37470132</v>
      </c>
      <c r="K1119" s="454" t="s">
        <v>9490</v>
      </c>
      <c r="L1119" s="458">
        <v>20</v>
      </c>
      <c r="M1119" s="454" t="s">
        <v>9491</v>
      </c>
      <c r="N1119" s="459">
        <v>3579160</v>
      </c>
      <c r="O1119" s="460">
        <v>27472444</v>
      </c>
      <c r="P1119" s="462">
        <v>46976</v>
      </c>
      <c r="Q1119" s="462">
        <v>40</v>
      </c>
      <c r="R1119" s="462">
        <v>43970</v>
      </c>
      <c r="S1119" s="463">
        <v>273</v>
      </c>
      <c r="T1119" s="464">
        <v>3.6</v>
      </c>
      <c r="U1119" s="465">
        <v>982.8</v>
      </c>
      <c r="V1119" s="465">
        <v>12240</v>
      </c>
      <c r="W1119" s="466">
        <v>0</v>
      </c>
      <c r="X1119" s="467">
        <v>1</v>
      </c>
      <c r="Y1119" s="466">
        <v>19834.2</v>
      </c>
      <c r="Z1119" s="468" t="s">
        <v>516</v>
      </c>
      <c r="AA1119" s="466">
        <v>91287</v>
      </c>
      <c r="AB1119" s="466">
        <v>91287</v>
      </c>
      <c r="AC1119" s="467">
        <v>0</v>
      </c>
      <c r="AD1119" s="466">
        <v>0</v>
      </c>
      <c r="AE1119" s="468" t="s">
        <v>516</v>
      </c>
      <c r="AF1119" s="466">
        <v>0</v>
      </c>
      <c r="AG1119" s="466">
        <v>0</v>
      </c>
      <c r="AH1119" s="466">
        <v>9625.4699999999993</v>
      </c>
      <c r="AI1119" s="466">
        <v>5687.76</v>
      </c>
      <c r="AJ1119" s="469" t="s">
        <v>1560</v>
      </c>
      <c r="AK1119" s="470" t="s">
        <v>1776</v>
      </c>
      <c r="AL1119" s="471" t="s">
        <v>9492</v>
      </c>
      <c r="AM1119" s="470" t="s">
        <v>14167</v>
      </c>
      <c r="AN1119" s="470" t="s">
        <v>9493</v>
      </c>
      <c r="AO1119" s="470" t="s">
        <v>15038</v>
      </c>
      <c r="AP1119" s="470" t="s">
        <v>9494</v>
      </c>
      <c r="AQ1119" s="470" t="s">
        <v>9488</v>
      </c>
      <c r="AR1119" s="472" t="s">
        <v>515</v>
      </c>
      <c r="AS1119" s="473" t="s">
        <v>1385</v>
      </c>
      <c r="AT1119" s="472" t="s">
        <v>1390</v>
      </c>
      <c r="AU1119" s="472" t="s">
        <v>420</v>
      </c>
      <c r="AV1119" s="472">
        <v>2020</v>
      </c>
      <c r="AW1119" s="474" t="s">
        <v>15078</v>
      </c>
      <c r="AX1119" s="475" t="s">
        <v>15079</v>
      </c>
      <c r="AY1119" s="515">
        <v>1</v>
      </c>
      <c r="AZ1119" s="474" t="s">
        <v>15079</v>
      </c>
      <c r="BA1119" s="472" t="s">
        <v>1390</v>
      </c>
      <c r="BB1119" s="472" t="s">
        <v>1385</v>
      </c>
      <c r="BC1119" s="472" t="s">
        <v>1385</v>
      </c>
      <c r="BD1119" s="472" t="s">
        <v>1385</v>
      </c>
      <c r="BE1119" s="472" t="s">
        <v>1385</v>
      </c>
      <c r="BF1119" s="472">
        <v>19834.2</v>
      </c>
      <c r="BG1119" s="472">
        <v>0</v>
      </c>
      <c r="BH1119" s="472" t="s">
        <v>1385</v>
      </c>
      <c r="BI1119" s="510">
        <v>0</v>
      </c>
      <c r="BJ1119" s="510">
        <v>0</v>
      </c>
      <c r="BK1119" s="510">
        <v>0</v>
      </c>
      <c r="BL1119" s="510">
        <v>0</v>
      </c>
      <c r="BM1119" s="510">
        <v>0</v>
      </c>
      <c r="BN1119" s="510">
        <v>300</v>
      </c>
      <c r="BO1119" s="510">
        <v>0</v>
      </c>
      <c r="BP1119" s="510">
        <v>0</v>
      </c>
      <c r="BQ1119" s="510">
        <v>0</v>
      </c>
      <c r="BR1119" s="510">
        <v>0</v>
      </c>
      <c r="BS1119" s="510">
        <v>0</v>
      </c>
      <c r="BT1119" s="510">
        <v>0</v>
      </c>
      <c r="BU1119" s="510">
        <v>0</v>
      </c>
      <c r="BV1119" s="510">
        <v>0</v>
      </c>
      <c r="BW1119" s="510">
        <v>0</v>
      </c>
      <c r="BX1119" s="510">
        <v>30000</v>
      </c>
      <c r="BY1119" s="1011">
        <v>0</v>
      </c>
      <c r="BZ1119" s="510">
        <v>0</v>
      </c>
      <c r="CA1119" s="1011">
        <v>0</v>
      </c>
      <c r="CB1119" s="510">
        <v>0</v>
      </c>
      <c r="CC1119" s="1011">
        <v>0</v>
      </c>
      <c r="CD1119" s="510">
        <v>0</v>
      </c>
      <c r="CE1119" s="1011">
        <v>0</v>
      </c>
      <c r="CF1119" s="510">
        <v>41452.800000000003</v>
      </c>
      <c r="CG1119" s="1011">
        <v>0</v>
      </c>
      <c r="CH1119" s="510">
        <v>0</v>
      </c>
      <c r="CI1119" s="1011">
        <v>0</v>
      </c>
    </row>
    <row r="1120" spans="1:87" x14ac:dyDescent="0.2">
      <c r="A1120" s="449">
        <v>113</v>
      </c>
      <c r="B1120" s="453">
        <v>99341</v>
      </c>
      <c r="C1120" s="454" t="s">
        <v>9495</v>
      </c>
      <c r="D1120" s="454" t="s">
        <v>1390</v>
      </c>
      <c r="E1120" s="454" t="s">
        <v>9496</v>
      </c>
      <c r="F1120" s="454" t="s">
        <v>526</v>
      </c>
      <c r="G1120" s="454" t="s">
        <v>14168</v>
      </c>
      <c r="H1120" s="455">
        <v>96522354000175</v>
      </c>
      <c r="I1120" s="462">
        <v>34164</v>
      </c>
      <c r="J1120" s="457">
        <v>37475541</v>
      </c>
      <c r="K1120" s="454" t="s">
        <v>9497</v>
      </c>
      <c r="L1120" s="458">
        <v>18</v>
      </c>
      <c r="M1120" s="454" t="s">
        <v>9498</v>
      </c>
      <c r="N1120" s="459">
        <v>8122480</v>
      </c>
      <c r="O1120" s="460">
        <v>29633404</v>
      </c>
      <c r="P1120" s="462">
        <v>145818</v>
      </c>
      <c r="Q1120" s="462">
        <v>113</v>
      </c>
      <c r="R1120" s="462">
        <v>43928</v>
      </c>
      <c r="S1120" s="463">
        <v>278</v>
      </c>
      <c r="T1120" s="464">
        <v>3.6</v>
      </c>
      <c r="U1120" s="465">
        <v>1000.8</v>
      </c>
      <c r="V1120" s="465">
        <v>12240</v>
      </c>
      <c r="W1120" s="466">
        <v>0</v>
      </c>
      <c r="X1120" s="467">
        <v>1</v>
      </c>
      <c r="Y1120" s="466">
        <v>19861.2</v>
      </c>
      <c r="Z1120" s="468" t="s">
        <v>516</v>
      </c>
      <c r="AA1120" s="466">
        <v>91285.2</v>
      </c>
      <c r="AB1120" s="466">
        <v>91285.2</v>
      </c>
      <c r="AC1120" s="467">
        <v>0</v>
      </c>
      <c r="AD1120" s="466">
        <v>0</v>
      </c>
      <c r="AE1120" s="468" t="s">
        <v>516</v>
      </c>
      <c r="AF1120" s="466">
        <v>0</v>
      </c>
      <c r="AG1120" s="466">
        <v>0</v>
      </c>
      <c r="AH1120" s="466">
        <v>9476.69</v>
      </c>
      <c r="AI1120" s="466">
        <v>2741.71</v>
      </c>
      <c r="AJ1120" s="469" t="s">
        <v>1410</v>
      </c>
      <c r="AK1120" s="470" t="s">
        <v>1411</v>
      </c>
      <c r="AL1120" s="471" t="s">
        <v>9499</v>
      </c>
      <c r="AM1120" s="470" t="s">
        <v>9500</v>
      </c>
      <c r="AN1120" s="470" t="s">
        <v>1385</v>
      </c>
      <c r="AO1120" s="470" t="s">
        <v>9501</v>
      </c>
      <c r="AP1120" s="470" t="s">
        <v>9502</v>
      </c>
      <c r="AQ1120" s="470" t="s">
        <v>9495</v>
      </c>
      <c r="AR1120" s="472" t="s">
        <v>515</v>
      </c>
      <c r="AS1120" s="473" t="s">
        <v>1385</v>
      </c>
      <c r="AT1120" s="472" t="s">
        <v>1390</v>
      </c>
      <c r="AU1120" s="472" t="s">
        <v>420</v>
      </c>
      <c r="AV1120" s="472">
        <v>2020</v>
      </c>
      <c r="AW1120" s="474" t="s">
        <v>15078</v>
      </c>
      <c r="AX1120" s="475" t="s">
        <v>15079</v>
      </c>
      <c r="AY1120" s="515">
        <v>1</v>
      </c>
      <c r="AZ1120" s="474" t="s">
        <v>15079</v>
      </c>
      <c r="BA1120" s="472" t="s">
        <v>1390</v>
      </c>
      <c r="BB1120" s="472" t="s">
        <v>1385</v>
      </c>
      <c r="BC1120" s="472" t="s">
        <v>1385</v>
      </c>
      <c r="BD1120" s="472" t="s">
        <v>1385</v>
      </c>
      <c r="BE1120" s="472" t="s">
        <v>1385</v>
      </c>
      <c r="BF1120" s="472">
        <v>19861.2</v>
      </c>
      <c r="BG1120" s="472">
        <v>0</v>
      </c>
      <c r="BH1120" s="472" t="s">
        <v>1385</v>
      </c>
      <c r="BI1120" s="510">
        <v>0</v>
      </c>
      <c r="BJ1120" s="510">
        <v>0</v>
      </c>
      <c r="BK1120" s="510">
        <v>0</v>
      </c>
      <c r="BL1120" s="510">
        <v>0</v>
      </c>
      <c r="BM1120" s="510">
        <v>0</v>
      </c>
      <c r="BN1120" s="510">
        <v>2255</v>
      </c>
      <c r="BO1120" s="510">
        <v>0</v>
      </c>
      <c r="BP1120" s="510">
        <v>0</v>
      </c>
      <c r="BQ1120" s="510">
        <v>0</v>
      </c>
      <c r="BR1120" s="510">
        <v>0</v>
      </c>
      <c r="BS1120" s="510">
        <v>0</v>
      </c>
      <c r="BT1120" s="510">
        <v>0</v>
      </c>
      <c r="BU1120" s="510">
        <v>0</v>
      </c>
      <c r="BV1120" s="510">
        <v>0</v>
      </c>
      <c r="BW1120" s="510">
        <v>0</v>
      </c>
      <c r="BX1120" s="510">
        <v>30000</v>
      </c>
      <c r="BY1120" s="1011">
        <v>0</v>
      </c>
      <c r="BZ1120" s="510">
        <v>0</v>
      </c>
      <c r="CA1120" s="1011">
        <v>0</v>
      </c>
      <c r="CB1120" s="510">
        <v>0</v>
      </c>
      <c r="CC1120" s="1011">
        <v>0</v>
      </c>
      <c r="CD1120" s="510">
        <v>0</v>
      </c>
      <c r="CE1120" s="1011">
        <v>0</v>
      </c>
      <c r="CF1120" s="510">
        <v>41424</v>
      </c>
      <c r="CG1120" s="1011">
        <v>0</v>
      </c>
      <c r="CH1120" s="510">
        <v>0</v>
      </c>
      <c r="CI1120" s="1011">
        <v>0</v>
      </c>
    </row>
    <row r="1121" spans="1:87" x14ac:dyDescent="0.2">
      <c r="A1121" s="449">
        <v>52</v>
      </c>
      <c r="B1121" s="453">
        <v>99350</v>
      </c>
      <c r="C1121" s="454" t="s">
        <v>9503</v>
      </c>
      <c r="D1121" s="454" t="s">
        <v>517</v>
      </c>
      <c r="E1121" s="454" t="s">
        <v>9503</v>
      </c>
      <c r="F1121" s="454" t="s">
        <v>520</v>
      </c>
      <c r="G1121" s="454" t="s">
        <v>14169</v>
      </c>
      <c r="H1121" s="455">
        <v>59390930000141</v>
      </c>
      <c r="I1121" s="462">
        <v>32363</v>
      </c>
      <c r="J1121" s="457">
        <v>37627929</v>
      </c>
      <c r="K1121" s="454" t="s">
        <v>4279</v>
      </c>
      <c r="L1121" s="458">
        <v>51</v>
      </c>
      <c r="M1121" s="454" t="s">
        <v>4280</v>
      </c>
      <c r="N1121" s="459">
        <v>5774300</v>
      </c>
      <c r="O1121" s="460">
        <v>58125314</v>
      </c>
      <c r="P1121" s="462">
        <v>299629</v>
      </c>
      <c r="Q1121" s="462">
        <v>117</v>
      </c>
      <c r="R1121" s="462">
        <v>43983</v>
      </c>
      <c r="S1121" s="463">
        <v>666</v>
      </c>
      <c r="T1121" s="464">
        <v>5.4</v>
      </c>
      <c r="U1121" s="465">
        <v>3596.4</v>
      </c>
      <c r="V1121" s="465">
        <v>17100</v>
      </c>
      <c r="W1121" s="466">
        <v>0</v>
      </c>
      <c r="X1121" s="467">
        <v>1</v>
      </c>
      <c r="Y1121" s="466">
        <v>31044.6</v>
      </c>
      <c r="Z1121" s="468" t="s">
        <v>516</v>
      </c>
      <c r="AA1121" s="466">
        <v>124081</v>
      </c>
      <c r="AB1121" s="466">
        <v>124081</v>
      </c>
      <c r="AC1121" s="467">
        <v>0</v>
      </c>
      <c r="AD1121" s="466">
        <v>0</v>
      </c>
      <c r="AE1121" s="468" t="s">
        <v>516</v>
      </c>
      <c r="AF1121" s="466">
        <v>0</v>
      </c>
      <c r="AG1121" s="466">
        <v>0</v>
      </c>
      <c r="AH1121" s="466">
        <v>5910</v>
      </c>
      <c r="AI1121" s="466">
        <v>10849.05</v>
      </c>
      <c r="AJ1121" s="469" t="s">
        <v>1489</v>
      </c>
      <c r="AK1121" s="470" t="s">
        <v>3421</v>
      </c>
      <c r="AL1121" s="471" t="s">
        <v>9504</v>
      </c>
      <c r="AM1121" s="470" t="s">
        <v>9505</v>
      </c>
      <c r="AN1121" s="470" t="s">
        <v>9506</v>
      </c>
      <c r="AO1121" s="470" t="s">
        <v>9507</v>
      </c>
      <c r="AP1121" s="470" t="s">
        <v>9508</v>
      </c>
      <c r="AQ1121" s="470" t="s">
        <v>9503</v>
      </c>
      <c r="AR1121" s="472" t="s">
        <v>515</v>
      </c>
      <c r="AS1121" s="473" t="s">
        <v>1385</v>
      </c>
      <c r="AT1121" s="472" t="s">
        <v>517</v>
      </c>
      <c r="AU1121" s="472" t="s">
        <v>420</v>
      </c>
      <c r="AV1121" s="472">
        <v>2020</v>
      </c>
      <c r="AW1121" s="474" t="s">
        <v>15078</v>
      </c>
      <c r="AX1121" s="475" t="s">
        <v>15079</v>
      </c>
      <c r="AY1121" s="515">
        <v>1</v>
      </c>
      <c r="AZ1121" s="474" t="s">
        <v>15079</v>
      </c>
      <c r="BA1121" s="472" t="s">
        <v>517</v>
      </c>
      <c r="BB1121" s="472" t="s">
        <v>1385</v>
      </c>
      <c r="BC1121" s="472" t="s">
        <v>1385</v>
      </c>
      <c r="BD1121" s="472" t="s">
        <v>1385</v>
      </c>
      <c r="BE1121" s="472" t="s">
        <v>1385</v>
      </c>
      <c r="BF1121" s="472">
        <v>31044.6</v>
      </c>
      <c r="BG1121" s="472">
        <v>0</v>
      </c>
      <c r="BH1121" s="472" t="s">
        <v>1385</v>
      </c>
      <c r="BI1121" s="510">
        <v>0</v>
      </c>
      <c r="BJ1121" s="510">
        <v>0</v>
      </c>
      <c r="BK1121" s="510">
        <v>0</v>
      </c>
      <c r="BL1121" s="510">
        <v>3500</v>
      </c>
      <c r="BM1121" s="510">
        <v>0</v>
      </c>
      <c r="BN1121" s="510">
        <v>3500</v>
      </c>
      <c r="BO1121" s="510">
        <v>0</v>
      </c>
      <c r="BP1121" s="510">
        <v>0</v>
      </c>
      <c r="BQ1121" s="510">
        <v>0</v>
      </c>
      <c r="BR1121" s="510">
        <v>0</v>
      </c>
      <c r="BS1121" s="510">
        <v>0</v>
      </c>
      <c r="BT1121" s="510">
        <v>0</v>
      </c>
      <c r="BU1121" s="510">
        <v>2500</v>
      </c>
      <c r="BV1121" s="510">
        <v>2500</v>
      </c>
      <c r="BW1121" s="510">
        <v>0</v>
      </c>
      <c r="BX1121" s="510">
        <v>30000</v>
      </c>
      <c r="BY1121" s="1011">
        <v>0</v>
      </c>
      <c r="BZ1121" s="510">
        <v>0</v>
      </c>
      <c r="CA1121" s="1011">
        <v>0</v>
      </c>
      <c r="CB1121" s="510">
        <v>22000</v>
      </c>
      <c r="CC1121" s="1011">
        <v>0</v>
      </c>
      <c r="CD1121" s="510">
        <v>0</v>
      </c>
      <c r="CE1121" s="1011">
        <v>0</v>
      </c>
      <c r="CF1121" s="510">
        <v>41036.400000000001</v>
      </c>
      <c r="CG1121" s="1011">
        <v>0</v>
      </c>
      <c r="CH1121" s="510">
        <v>0</v>
      </c>
      <c r="CI1121" s="1011">
        <v>0</v>
      </c>
    </row>
    <row r="1122" spans="1:87" x14ac:dyDescent="0.2">
      <c r="A1122" s="449">
        <v>124</v>
      </c>
      <c r="B1122" s="453">
        <v>99538</v>
      </c>
      <c r="C1122" s="454" t="s">
        <v>9509</v>
      </c>
      <c r="D1122" s="454" t="s">
        <v>1390</v>
      </c>
      <c r="E1122" s="454" t="s">
        <v>9510</v>
      </c>
      <c r="F1122" s="454" t="s">
        <v>513</v>
      </c>
      <c r="G1122" s="454" t="s">
        <v>14170</v>
      </c>
      <c r="H1122" s="455">
        <v>96513452000146</v>
      </c>
      <c r="I1122" s="462">
        <v>34085</v>
      </c>
      <c r="J1122" s="457">
        <v>37531450</v>
      </c>
      <c r="K1122" s="454" t="s">
        <v>9062</v>
      </c>
      <c r="L1122" s="458">
        <v>585</v>
      </c>
      <c r="M1122" s="454" t="s">
        <v>7315</v>
      </c>
      <c r="N1122" s="459">
        <v>3983080</v>
      </c>
      <c r="O1122" s="460">
        <v>27031258</v>
      </c>
      <c r="P1122" s="462">
        <v>154248</v>
      </c>
      <c r="Q1122" s="462">
        <v>124</v>
      </c>
      <c r="R1122" s="462">
        <v>43937</v>
      </c>
      <c r="S1122" s="463">
        <v>300</v>
      </c>
      <c r="T1122" s="464">
        <v>3.6</v>
      </c>
      <c r="U1122" s="465">
        <v>1080</v>
      </c>
      <c r="V1122" s="465">
        <v>12240</v>
      </c>
      <c r="W1122" s="466">
        <v>0</v>
      </c>
      <c r="X1122" s="467">
        <v>1</v>
      </c>
      <c r="Y1122" s="466">
        <v>19980</v>
      </c>
      <c r="Z1122" s="468" t="s">
        <v>516</v>
      </c>
      <c r="AA1122" s="466">
        <v>94579.199999999997</v>
      </c>
      <c r="AB1122" s="466">
        <v>94579.199999999997</v>
      </c>
      <c r="AC1122" s="467">
        <v>0</v>
      </c>
      <c r="AD1122" s="466">
        <v>0</v>
      </c>
      <c r="AE1122" s="468" t="s">
        <v>516</v>
      </c>
      <c r="AF1122" s="466">
        <v>0</v>
      </c>
      <c r="AG1122" s="466">
        <v>0</v>
      </c>
      <c r="AH1122" s="466">
        <v>13168.6</v>
      </c>
      <c r="AI1122" s="466">
        <v>974.82</v>
      </c>
      <c r="AJ1122" s="469" t="s">
        <v>1580</v>
      </c>
      <c r="AK1122" s="470" t="s">
        <v>1879</v>
      </c>
      <c r="AL1122" s="471" t="s">
        <v>9511</v>
      </c>
      <c r="AM1122" s="470" t="s">
        <v>9512</v>
      </c>
      <c r="AN1122" s="470" t="s">
        <v>9513</v>
      </c>
      <c r="AO1122" s="470" t="s">
        <v>9514</v>
      </c>
      <c r="AP1122" s="470" t="s">
        <v>9515</v>
      </c>
      <c r="AQ1122" s="470" t="s">
        <v>9509</v>
      </c>
      <c r="AR1122" s="472" t="s">
        <v>515</v>
      </c>
      <c r="AS1122" s="473" t="s">
        <v>1385</v>
      </c>
      <c r="AT1122" s="472" t="s">
        <v>1390</v>
      </c>
      <c r="AU1122" s="472" t="s">
        <v>420</v>
      </c>
      <c r="AV1122" s="472">
        <v>2020</v>
      </c>
      <c r="AW1122" s="474" t="s">
        <v>15078</v>
      </c>
      <c r="AX1122" s="475" t="s">
        <v>15079</v>
      </c>
      <c r="AY1122" s="515">
        <v>1</v>
      </c>
      <c r="AZ1122" s="474" t="s">
        <v>15079</v>
      </c>
      <c r="BA1122" s="472" t="s">
        <v>1390</v>
      </c>
      <c r="BB1122" s="472" t="s">
        <v>1385</v>
      </c>
      <c r="BC1122" s="472" t="s">
        <v>1385</v>
      </c>
      <c r="BD1122" s="472" t="s">
        <v>1385</v>
      </c>
      <c r="BE1122" s="472" t="s">
        <v>1385</v>
      </c>
      <c r="BF1122" s="472">
        <v>19980</v>
      </c>
      <c r="BG1122" s="472">
        <v>0</v>
      </c>
      <c r="BH1122" s="472" t="s">
        <v>1385</v>
      </c>
      <c r="BI1122" s="510">
        <v>0</v>
      </c>
      <c r="BJ1122" s="510">
        <v>0</v>
      </c>
      <c r="BK1122" s="510">
        <v>0</v>
      </c>
      <c r="BL1122" s="510">
        <v>0</v>
      </c>
      <c r="BM1122" s="510">
        <v>0</v>
      </c>
      <c r="BN1122" s="510">
        <v>3500</v>
      </c>
      <c r="BO1122" s="510">
        <v>0</v>
      </c>
      <c r="BP1122" s="510">
        <v>0</v>
      </c>
      <c r="BQ1122" s="510">
        <v>0</v>
      </c>
      <c r="BR1122" s="510">
        <v>0</v>
      </c>
      <c r="BS1122" s="510">
        <v>0</v>
      </c>
      <c r="BT1122" s="510">
        <v>0</v>
      </c>
      <c r="BU1122" s="510">
        <v>0</v>
      </c>
      <c r="BV1122" s="510">
        <v>0</v>
      </c>
      <c r="BW1122" s="510">
        <v>0</v>
      </c>
      <c r="BX1122" s="510">
        <v>30000</v>
      </c>
      <c r="BY1122" s="1011">
        <v>0</v>
      </c>
      <c r="BZ1122" s="510">
        <v>0</v>
      </c>
      <c r="CA1122" s="1011">
        <v>0</v>
      </c>
      <c r="CB1122" s="510">
        <v>0</v>
      </c>
      <c r="CC1122" s="1011">
        <v>0</v>
      </c>
      <c r="CD1122" s="510">
        <v>0</v>
      </c>
      <c r="CE1122" s="1011">
        <v>0</v>
      </c>
      <c r="CF1122" s="510">
        <v>44599.199999999997</v>
      </c>
      <c r="CG1122" s="1011">
        <v>0</v>
      </c>
      <c r="CH1122" s="510">
        <v>0</v>
      </c>
      <c r="CI1122" s="1011">
        <v>0</v>
      </c>
    </row>
    <row r="1123" spans="1:87" x14ac:dyDescent="0.2">
      <c r="A1123" s="449">
        <v>42</v>
      </c>
      <c r="B1123" s="453">
        <v>99589</v>
      </c>
      <c r="C1123" s="454" t="s">
        <v>9516</v>
      </c>
      <c r="D1123" s="454" t="s">
        <v>517</v>
      </c>
      <c r="E1123" s="454" t="s">
        <v>9517</v>
      </c>
      <c r="F1123" s="454" t="s">
        <v>519</v>
      </c>
      <c r="G1123" s="454" t="s">
        <v>14171</v>
      </c>
      <c r="H1123" s="455">
        <v>64047905000108</v>
      </c>
      <c r="I1123" s="462">
        <v>33164</v>
      </c>
      <c r="J1123" s="457">
        <v>37356283</v>
      </c>
      <c r="K1123" s="454" t="s">
        <v>9340</v>
      </c>
      <c r="L1123" s="458">
        <v>453</v>
      </c>
      <c r="M1123" s="454" t="s">
        <v>9341</v>
      </c>
      <c r="N1123" s="459">
        <v>5374070</v>
      </c>
      <c r="O1123" s="460">
        <v>37828897</v>
      </c>
      <c r="P1123" s="462">
        <v>116133</v>
      </c>
      <c r="Q1123" s="462">
        <v>26</v>
      </c>
      <c r="R1123" s="462">
        <v>43881</v>
      </c>
      <c r="S1123" s="463">
        <v>543</v>
      </c>
      <c r="T1123" s="464">
        <v>5.4</v>
      </c>
      <c r="U1123" s="465">
        <v>2932.2</v>
      </c>
      <c r="V1123" s="465">
        <v>17100</v>
      </c>
      <c r="W1123" s="466">
        <v>0</v>
      </c>
      <c r="X1123" s="467">
        <v>1</v>
      </c>
      <c r="Y1123" s="466">
        <v>0</v>
      </c>
      <c r="Z1123" s="468" t="s">
        <v>514</v>
      </c>
      <c r="AA1123" s="466">
        <v>0</v>
      </c>
      <c r="AB1123" s="466">
        <v>0</v>
      </c>
      <c r="AC1123" s="467">
        <v>0</v>
      </c>
      <c r="AD1123" s="466">
        <v>0</v>
      </c>
      <c r="AE1123" s="468" t="s">
        <v>516</v>
      </c>
      <c r="AF1123" s="466">
        <v>0</v>
      </c>
      <c r="AG1123" s="466">
        <v>0</v>
      </c>
      <c r="AH1123" s="466">
        <v>29296.37</v>
      </c>
      <c r="AI1123" s="466">
        <v>10681</v>
      </c>
      <c r="AJ1123" s="469" t="s">
        <v>2690</v>
      </c>
      <c r="AK1123" s="470" t="s">
        <v>2691</v>
      </c>
      <c r="AL1123" s="471" t="s">
        <v>9519</v>
      </c>
      <c r="AM1123" s="470" t="s">
        <v>14172</v>
      </c>
      <c r="AN1123" s="470" t="s">
        <v>9518</v>
      </c>
      <c r="AO1123" s="470" t="s">
        <v>9520</v>
      </c>
      <c r="AP1123" s="470" t="s">
        <v>9521</v>
      </c>
      <c r="AQ1123" s="470" t="s">
        <v>9516</v>
      </c>
      <c r="AR1123" s="472" t="s">
        <v>515</v>
      </c>
      <c r="AS1123" s="473" t="s">
        <v>1385</v>
      </c>
      <c r="AT1123" s="472" t="s">
        <v>517</v>
      </c>
      <c r="AU1123" s="472" t="s">
        <v>420</v>
      </c>
      <c r="AV1123" s="472">
        <v>2020</v>
      </c>
      <c r="AW1123" s="474" t="s">
        <v>15078</v>
      </c>
      <c r="AX1123" s="475" t="s">
        <v>15079</v>
      </c>
      <c r="AY1123" s="515">
        <v>1</v>
      </c>
      <c r="AZ1123" s="474" t="s">
        <v>15079</v>
      </c>
      <c r="BA1123" s="472" t="s">
        <v>1385</v>
      </c>
      <c r="BB1123" s="472" t="s">
        <v>1385</v>
      </c>
      <c r="BC1123" s="472" t="s">
        <v>1385</v>
      </c>
      <c r="BD1123" s="472" t="s">
        <v>1385</v>
      </c>
      <c r="BE1123" s="472" t="s">
        <v>1385</v>
      </c>
      <c r="BF1123" s="472">
        <v>30048.3</v>
      </c>
      <c r="BG1123" s="472">
        <v>0</v>
      </c>
      <c r="BH1123" s="472" t="s">
        <v>516</v>
      </c>
      <c r="BI1123" s="510">
        <v>0</v>
      </c>
      <c r="BJ1123" s="510">
        <v>0</v>
      </c>
      <c r="BK1123" s="510">
        <v>0</v>
      </c>
      <c r="BL1123" s="510">
        <v>0</v>
      </c>
      <c r="BM1123" s="510">
        <v>0</v>
      </c>
      <c r="BN1123" s="510">
        <v>0</v>
      </c>
      <c r="BO1123" s="510">
        <v>0</v>
      </c>
      <c r="BP1123" s="510">
        <v>0</v>
      </c>
      <c r="BQ1123" s="510">
        <v>0</v>
      </c>
      <c r="BR1123" s="510">
        <v>0</v>
      </c>
      <c r="BS1123" s="510">
        <v>0</v>
      </c>
      <c r="BT1123" s="510">
        <v>0</v>
      </c>
      <c r="BU1123" s="510">
        <v>0</v>
      </c>
      <c r="BV1123" s="510">
        <v>0</v>
      </c>
      <c r="BW1123" s="510">
        <v>0</v>
      </c>
      <c r="BX1123" s="510">
        <v>0</v>
      </c>
      <c r="BY1123" s="1011">
        <v>0</v>
      </c>
      <c r="BZ1123" s="510">
        <v>0</v>
      </c>
      <c r="CA1123" s="1011">
        <v>0</v>
      </c>
      <c r="CB1123" s="510">
        <v>0</v>
      </c>
      <c r="CC1123" s="1011">
        <v>0</v>
      </c>
      <c r="CD1123" s="510">
        <v>0</v>
      </c>
      <c r="CE1123" s="1011">
        <v>0</v>
      </c>
      <c r="CF1123" s="510">
        <v>0</v>
      </c>
      <c r="CG1123" s="1011">
        <v>0</v>
      </c>
      <c r="CH1123" s="510">
        <v>0</v>
      </c>
      <c r="CI1123" s="1011">
        <v>0</v>
      </c>
    </row>
    <row r="1124" spans="1:87" x14ac:dyDescent="0.2">
      <c r="A1124" s="449">
        <v>68</v>
      </c>
      <c r="B1124" s="453">
        <v>99643</v>
      </c>
      <c r="C1124" s="454" t="s">
        <v>9522</v>
      </c>
      <c r="D1124" s="454" t="s">
        <v>1390</v>
      </c>
      <c r="E1124" s="454" t="s">
        <v>9523</v>
      </c>
      <c r="F1124" s="454" t="s">
        <v>522</v>
      </c>
      <c r="G1124" s="454" t="s">
        <v>14173</v>
      </c>
      <c r="H1124" s="455">
        <v>59933614000179</v>
      </c>
      <c r="I1124" s="462">
        <v>32493</v>
      </c>
      <c r="J1124" s="457">
        <v>37587072</v>
      </c>
      <c r="K1124" s="454" t="s">
        <v>9524</v>
      </c>
      <c r="L1124" s="458">
        <v>10</v>
      </c>
      <c r="M1124" s="454" t="s">
        <v>8223</v>
      </c>
      <c r="N1124" s="459">
        <v>2865050</v>
      </c>
      <c r="O1124" s="460">
        <v>38512970</v>
      </c>
      <c r="P1124" s="462">
        <v>73264</v>
      </c>
      <c r="Q1124" s="462">
        <v>13</v>
      </c>
      <c r="R1124" s="462">
        <v>43911</v>
      </c>
      <c r="S1124" s="463">
        <v>288</v>
      </c>
      <c r="T1124" s="464">
        <v>3.6</v>
      </c>
      <c r="U1124" s="465">
        <v>1036.8</v>
      </c>
      <c r="V1124" s="465">
        <v>12240</v>
      </c>
      <c r="W1124" s="466">
        <v>0</v>
      </c>
      <c r="X1124" s="467">
        <v>1</v>
      </c>
      <c r="Y1124" s="466">
        <v>19915.2</v>
      </c>
      <c r="Z1124" s="468" t="s">
        <v>516</v>
      </c>
      <c r="AA1124" s="466">
        <v>92504.8</v>
      </c>
      <c r="AB1124" s="466">
        <v>92504.8</v>
      </c>
      <c r="AC1124" s="467">
        <v>0</v>
      </c>
      <c r="AD1124" s="466">
        <v>0</v>
      </c>
      <c r="AE1124" s="468" t="s">
        <v>516</v>
      </c>
      <c r="AF1124" s="466">
        <v>1000</v>
      </c>
      <c r="AG1124" s="466">
        <v>1000</v>
      </c>
      <c r="AH1124" s="466">
        <v>10744.84</v>
      </c>
      <c r="AI1124" s="466">
        <v>5712.33</v>
      </c>
      <c r="AJ1124" s="469" t="s">
        <v>4024</v>
      </c>
      <c r="AK1124" s="470" t="s">
        <v>12893</v>
      </c>
      <c r="AL1124" s="471" t="s">
        <v>9525</v>
      </c>
      <c r="AM1124" s="470" t="s">
        <v>9526</v>
      </c>
      <c r="AN1124" s="470" t="s">
        <v>1385</v>
      </c>
      <c r="AO1124" s="470" t="s">
        <v>9527</v>
      </c>
      <c r="AP1124" s="470" t="s">
        <v>9528</v>
      </c>
      <c r="AQ1124" s="470" t="s">
        <v>9522</v>
      </c>
      <c r="AR1124" s="472" t="s">
        <v>515</v>
      </c>
      <c r="AS1124" s="473" t="s">
        <v>1385</v>
      </c>
      <c r="AT1124" s="472" t="s">
        <v>1390</v>
      </c>
      <c r="AU1124" s="472" t="s">
        <v>420</v>
      </c>
      <c r="AV1124" s="472">
        <v>2020</v>
      </c>
      <c r="AW1124" s="474" t="s">
        <v>15078</v>
      </c>
      <c r="AX1124" s="475" t="s">
        <v>15079</v>
      </c>
      <c r="AY1124" s="515">
        <v>1</v>
      </c>
      <c r="AZ1124" s="474" t="s">
        <v>15079</v>
      </c>
      <c r="BA1124" s="472" t="s">
        <v>1390</v>
      </c>
      <c r="BB1124" s="472" t="s">
        <v>1385</v>
      </c>
      <c r="BC1124" s="472" t="s">
        <v>1385</v>
      </c>
      <c r="BD1124" s="472" t="s">
        <v>1385</v>
      </c>
      <c r="BE1124" s="472" t="s">
        <v>1385</v>
      </c>
      <c r="BF1124" s="472">
        <v>19915.2</v>
      </c>
      <c r="BG1124" s="472">
        <v>0</v>
      </c>
      <c r="BH1124" s="472" t="s">
        <v>1385</v>
      </c>
      <c r="BI1124" s="510">
        <v>0</v>
      </c>
      <c r="BJ1124" s="510">
        <v>0</v>
      </c>
      <c r="BK1124" s="510">
        <v>0</v>
      </c>
      <c r="BL1124" s="510">
        <v>0</v>
      </c>
      <c r="BM1124" s="510">
        <v>0</v>
      </c>
      <c r="BN1124" s="510">
        <v>3500</v>
      </c>
      <c r="BO1124" s="510">
        <v>1000</v>
      </c>
      <c r="BP1124" s="510">
        <v>1000</v>
      </c>
      <c r="BQ1124" s="510">
        <v>0</v>
      </c>
      <c r="BR1124" s="510">
        <v>0</v>
      </c>
      <c r="BS1124" s="510">
        <v>0</v>
      </c>
      <c r="BT1124" s="510">
        <v>0</v>
      </c>
      <c r="BU1124" s="510">
        <v>0</v>
      </c>
      <c r="BV1124" s="510">
        <v>0</v>
      </c>
      <c r="BW1124" s="510">
        <v>0</v>
      </c>
      <c r="BX1124" s="510">
        <v>30000</v>
      </c>
      <c r="BY1124" s="1011">
        <v>0</v>
      </c>
      <c r="BZ1124" s="510">
        <v>0</v>
      </c>
      <c r="CA1124" s="1011">
        <v>0</v>
      </c>
      <c r="CB1124" s="510">
        <v>0</v>
      </c>
      <c r="CC1124" s="1011">
        <v>0</v>
      </c>
      <c r="CD1124" s="510">
        <v>0</v>
      </c>
      <c r="CE1124" s="1011">
        <v>0</v>
      </c>
      <c r="CF1124" s="510">
        <v>41589.599999999999</v>
      </c>
      <c r="CG1124" s="1011">
        <v>0</v>
      </c>
      <c r="CH1124" s="510">
        <v>0</v>
      </c>
      <c r="CI1124" s="1011">
        <v>0</v>
      </c>
    </row>
    <row r="1125" spans="1:87" x14ac:dyDescent="0.2">
      <c r="A1125" s="449">
        <v>65</v>
      </c>
      <c r="B1125" s="453">
        <v>99651</v>
      </c>
      <c r="C1125" s="454" t="s">
        <v>9529</v>
      </c>
      <c r="D1125" s="454" t="s">
        <v>517</v>
      </c>
      <c r="E1125" s="454" t="s">
        <v>9530</v>
      </c>
      <c r="F1125" s="454" t="s">
        <v>526</v>
      </c>
      <c r="G1125" s="454" t="s">
        <v>14174</v>
      </c>
      <c r="H1125" s="455">
        <v>61584546000121</v>
      </c>
      <c r="I1125" s="462">
        <v>32769</v>
      </c>
      <c r="J1125" s="457">
        <v>37476386</v>
      </c>
      <c r="K1125" s="454" t="s">
        <v>9531</v>
      </c>
      <c r="L1125" s="458">
        <v>50</v>
      </c>
      <c r="M1125" s="454" t="s">
        <v>1838</v>
      </c>
      <c r="N1125" s="459">
        <v>8161140</v>
      </c>
      <c r="O1125" s="460">
        <v>25620150</v>
      </c>
      <c r="P1125" s="462">
        <v>165150</v>
      </c>
      <c r="Q1125" s="462">
        <v>65</v>
      </c>
      <c r="R1125" s="462">
        <v>43928</v>
      </c>
      <c r="S1125" s="463">
        <v>496</v>
      </c>
      <c r="T1125" s="464">
        <v>5.4</v>
      </c>
      <c r="U1125" s="465">
        <v>2678.4</v>
      </c>
      <c r="V1125" s="465">
        <v>15480</v>
      </c>
      <c r="W1125" s="466">
        <v>0</v>
      </c>
      <c r="X1125" s="467">
        <v>1</v>
      </c>
      <c r="Y1125" s="466">
        <v>27237.599999999999</v>
      </c>
      <c r="Z1125" s="468" t="s">
        <v>516</v>
      </c>
      <c r="AA1125" s="466">
        <v>115208.8</v>
      </c>
      <c r="AB1125" s="466">
        <v>115208.8</v>
      </c>
      <c r="AC1125" s="467">
        <v>0</v>
      </c>
      <c r="AD1125" s="466">
        <v>0</v>
      </c>
      <c r="AE1125" s="468" t="s">
        <v>516</v>
      </c>
      <c r="AF1125" s="466">
        <v>0</v>
      </c>
      <c r="AG1125" s="466">
        <v>0</v>
      </c>
      <c r="AH1125" s="466">
        <v>544.19000000000005</v>
      </c>
      <c r="AI1125" s="466">
        <v>0</v>
      </c>
      <c r="AJ1125" s="469" t="s">
        <v>1839</v>
      </c>
      <c r="AK1125" s="470" t="s">
        <v>526</v>
      </c>
      <c r="AL1125" s="471" t="s">
        <v>9532</v>
      </c>
      <c r="AM1125" s="470" t="s">
        <v>14175</v>
      </c>
      <c r="AN1125" s="470" t="s">
        <v>1385</v>
      </c>
      <c r="AO1125" s="470" t="s">
        <v>9533</v>
      </c>
      <c r="AP1125" s="470" t="s">
        <v>9534</v>
      </c>
      <c r="AQ1125" s="470" t="s">
        <v>9529</v>
      </c>
      <c r="AR1125" s="472" t="s">
        <v>515</v>
      </c>
      <c r="AS1125" s="473" t="s">
        <v>1385</v>
      </c>
      <c r="AT1125" s="472" t="s">
        <v>517</v>
      </c>
      <c r="AU1125" s="472" t="s">
        <v>420</v>
      </c>
      <c r="AV1125" s="472">
        <v>2020</v>
      </c>
      <c r="AW1125" s="474" t="s">
        <v>15078</v>
      </c>
      <c r="AX1125" s="475" t="s">
        <v>15079</v>
      </c>
      <c r="AY1125" s="515">
        <v>1</v>
      </c>
      <c r="AZ1125" s="474" t="s">
        <v>15079</v>
      </c>
      <c r="BA1125" s="472" t="s">
        <v>517</v>
      </c>
      <c r="BB1125" s="472" t="s">
        <v>1385</v>
      </c>
      <c r="BC1125" s="472" t="s">
        <v>1385</v>
      </c>
      <c r="BD1125" s="472" t="s">
        <v>1385</v>
      </c>
      <c r="BE1125" s="472" t="s">
        <v>1385</v>
      </c>
      <c r="BF1125" s="472">
        <v>27237.599999999999</v>
      </c>
      <c r="BG1125" s="472">
        <v>0</v>
      </c>
      <c r="BH1125" s="472" t="s">
        <v>1385</v>
      </c>
      <c r="BI1125" s="510">
        <v>0</v>
      </c>
      <c r="BJ1125" s="510">
        <v>0</v>
      </c>
      <c r="BK1125" s="510">
        <v>0</v>
      </c>
      <c r="BL1125" s="510">
        <v>100</v>
      </c>
      <c r="BM1125" s="510">
        <v>0</v>
      </c>
      <c r="BN1125" s="510">
        <v>0</v>
      </c>
      <c r="BO1125" s="510">
        <v>0</v>
      </c>
      <c r="BP1125" s="510">
        <v>0</v>
      </c>
      <c r="BQ1125" s="510">
        <v>0</v>
      </c>
      <c r="BR1125" s="510">
        <v>0</v>
      </c>
      <c r="BS1125" s="510">
        <v>0</v>
      </c>
      <c r="BT1125" s="510">
        <v>0</v>
      </c>
      <c r="BU1125" s="510">
        <v>2500</v>
      </c>
      <c r="BV1125" s="510">
        <v>2500</v>
      </c>
      <c r="BW1125" s="510">
        <v>0</v>
      </c>
      <c r="BX1125" s="510">
        <v>30000</v>
      </c>
      <c r="BY1125" s="1011">
        <v>0</v>
      </c>
      <c r="BZ1125" s="510">
        <v>0</v>
      </c>
      <c r="CA1125" s="1011">
        <v>0</v>
      </c>
      <c r="CB1125" s="510">
        <v>22000</v>
      </c>
      <c r="CC1125" s="1011">
        <v>0</v>
      </c>
      <c r="CD1125" s="510">
        <v>0</v>
      </c>
      <c r="CE1125" s="1011">
        <v>0</v>
      </c>
      <c r="CF1125" s="510">
        <v>35971.199999999997</v>
      </c>
      <c r="CG1125" s="1011">
        <v>0</v>
      </c>
      <c r="CH1125" s="510">
        <v>0</v>
      </c>
      <c r="CI1125" s="1011">
        <v>0</v>
      </c>
    </row>
    <row r="1126" spans="1:87" x14ac:dyDescent="0.2">
      <c r="A1126" s="449">
        <v>37</v>
      </c>
      <c r="B1126" s="453">
        <v>99660</v>
      </c>
      <c r="C1126" s="454" t="s">
        <v>9535</v>
      </c>
      <c r="D1126" s="454" t="s">
        <v>517</v>
      </c>
      <c r="E1126" s="454" t="s">
        <v>9536</v>
      </c>
      <c r="F1126" s="454" t="s">
        <v>513</v>
      </c>
      <c r="G1126" s="454" t="s">
        <v>14176</v>
      </c>
      <c r="H1126" s="455">
        <v>59579813000120</v>
      </c>
      <c r="I1126" s="462">
        <v>36707</v>
      </c>
      <c r="J1126" s="457">
        <v>37531808</v>
      </c>
      <c r="K1126" s="454" t="s">
        <v>9537</v>
      </c>
      <c r="L1126" s="458">
        <v>235</v>
      </c>
      <c r="M1126" s="454" t="s">
        <v>9538</v>
      </c>
      <c r="N1126" s="459">
        <v>3974050</v>
      </c>
      <c r="O1126" s="460">
        <v>20190033</v>
      </c>
      <c r="P1126" s="462">
        <v>149597</v>
      </c>
      <c r="Q1126" s="462">
        <v>37</v>
      </c>
      <c r="R1126" s="462">
        <v>43937</v>
      </c>
      <c r="S1126" s="463">
        <v>678</v>
      </c>
      <c r="T1126" s="464">
        <v>5.4</v>
      </c>
      <c r="U1126" s="465">
        <v>3661.2</v>
      </c>
      <c r="V1126" s="465">
        <v>17100</v>
      </c>
      <c r="W1126" s="466">
        <v>0</v>
      </c>
      <c r="X1126" s="467">
        <v>1</v>
      </c>
      <c r="Y1126" s="466">
        <v>31141.8</v>
      </c>
      <c r="Z1126" s="468" t="s">
        <v>516</v>
      </c>
      <c r="AA1126" s="466">
        <v>124642.6</v>
      </c>
      <c r="AB1126" s="466">
        <v>124642.6</v>
      </c>
      <c r="AC1126" s="467">
        <v>0</v>
      </c>
      <c r="AD1126" s="466">
        <v>0</v>
      </c>
      <c r="AE1126" s="468" t="s">
        <v>516</v>
      </c>
      <c r="AF1126" s="466">
        <v>0</v>
      </c>
      <c r="AG1126" s="466">
        <v>0</v>
      </c>
      <c r="AH1126" s="466">
        <v>16155.87</v>
      </c>
      <c r="AI1126" s="466">
        <v>589.04</v>
      </c>
      <c r="AJ1126" s="469" t="s">
        <v>2030</v>
      </c>
      <c r="AK1126" s="470" t="s">
        <v>513</v>
      </c>
      <c r="AL1126" s="471" t="s">
        <v>9539</v>
      </c>
      <c r="AM1126" s="470" t="s">
        <v>9540</v>
      </c>
      <c r="AN1126" s="470" t="s">
        <v>9541</v>
      </c>
      <c r="AO1126" s="470" t="s">
        <v>9542</v>
      </c>
      <c r="AP1126" s="470" t="s">
        <v>9543</v>
      </c>
      <c r="AQ1126" s="470" t="s">
        <v>9535</v>
      </c>
      <c r="AR1126" s="472" t="s">
        <v>515</v>
      </c>
      <c r="AS1126" s="473" t="s">
        <v>1385</v>
      </c>
      <c r="AT1126" s="472" t="s">
        <v>517</v>
      </c>
      <c r="AU1126" s="472" t="s">
        <v>420</v>
      </c>
      <c r="AV1126" s="472">
        <v>2020</v>
      </c>
      <c r="AW1126" s="474" t="s">
        <v>15078</v>
      </c>
      <c r="AX1126" s="475" t="s">
        <v>15079</v>
      </c>
      <c r="AY1126" s="515">
        <v>1</v>
      </c>
      <c r="AZ1126" s="474" t="s">
        <v>15079</v>
      </c>
      <c r="BA1126" s="472" t="s">
        <v>517</v>
      </c>
      <c r="BB1126" s="472" t="s">
        <v>1385</v>
      </c>
      <c r="BC1126" s="472" t="s">
        <v>1385</v>
      </c>
      <c r="BD1126" s="472" t="s">
        <v>1385</v>
      </c>
      <c r="BE1126" s="472" t="s">
        <v>1385</v>
      </c>
      <c r="BF1126" s="472">
        <v>31141.8</v>
      </c>
      <c r="BG1126" s="472">
        <v>0</v>
      </c>
      <c r="BH1126" s="472" t="s">
        <v>1385</v>
      </c>
      <c r="BI1126" s="510">
        <v>0</v>
      </c>
      <c r="BJ1126" s="510">
        <v>0</v>
      </c>
      <c r="BK1126" s="510">
        <v>0</v>
      </c>
      <c r="BL1126" s="510">
        <v>3500</v>
      </c>
      <c r="BM1126" s="510">
        <v>0</v>
      </c>
      <c r="BN1126" s="510">
        <v>3500</v>
      </c>
      <c r="BO1126" s="510">
        <v>0</v>
      </c>
      <c r="BP1126" s="510">
        <v>0</v>
      </c>
      <c r="BQ1126" s="510">
        <v>0</v>
      </c>
      <c r="BR1126" s="510">
        <v>0</v>
      </c>
      <c r="BS1126" s="510">
        <v>0</v>
      </c>
      <c r="BT1126" s="510">
        <v>0</v>
      </c>
      <c r="BU1126" s="510">
        <v>0</v>
      </c>
      <c r="BV1126" s="510">
        <v>0</v>
      </c>
      <c r="BW1126" s="510">
        <v>0</v>
      </c>
      <c r="BX1126" s="510">
        <v>30000</v>
      </c>
      <c r="BY1126" s="1011">
        <v>0</v>
      </c>
      <c r="BZ1126" s="510">
        <v>0</v>
      </c>
      <c r="CA1126" s="1011">
        <v>0</v>
      </c>
      <c r="CB1126" s="510">
        <v>22000</v>
      </c>
      <c r="CC1126" s="1011">
        <v>0</v>
      </c>
      <c r="CD1126" s="510">
        <v>0</v>
      </c>
      <c r="CE1126" s="1011">
        <v>0</v>
      </c>
      <c r="CF1126" s="510">
        <v>41500.800000000003</v>
      </c>
      <c r="CG1126" s="1011">
        <v>0</v>
      </c>
      <c r="CH1126" s="510">
        <v>0</v>
      </c>
      <c r="CI1126" s="1011">
        <v>0</v>
      </c>
    </row>
    <row r="1127" spans="1:87" x14ac:dyDescent="0.2">
      <c r="A1127" s="449">
        <v>47</v>
      </c>
      <c r="B1127" s="453">
        <v>99678</v>
      </c>
      <c r="C1127" s="454" t="s">
        <v>9544</v>
      </c>
      <c r="D1127" s="454" t="s">
        <v>517</v>
      </c>
      <c r="E1127" s="454" t="s">
        <v>9545</v>
      </c>
      <c r="F1127" s="454" t="s">
        <v>518</v>
      </c>
      <c r="G1127" s="454" t="s">
        <v>14177</v>
      </c>
      <c r="H1127" s="455">
        <v>73594376000145</v>
      </c>
      <c r="I1127" s="462">
        <v>34255</v>
      </c>
      <c r="J1127" s="457">
        <v>37468766</v>
      </c>
      <c r="K1127" s="454" t="s">
        <v>9547</v>
      </c>
      <c r="L1127" s="458">
        <v>72</v>
      </c>
      <c r="M1127" s="454" t="s">
        <v>518</v>
      </c>
      <c r="N1127" s="459">
        <v>8420730</v>
      </c>
      <c r="O1127" s="460">
        <v>25576956</v>
      </c>
      <c r="P1127" s="462">
        <v>50118</v>
      </c>
      <c r="Q1127" s="462">
        <v>92</v>
      </c>
      <c r="R1127" s="462">
        <v>43970</v>
      </c>
      <c r="S1127" s="463">
        <v>502</v>
      </c>
      <c r="T1127" s="464">
        <v>5.4</v>
      </c>
      <c r="U1127" s="465">
        <v>2710.8</v>
      </c>
      <c r="V1127" s="465">
        <v>17100</v>
      </c>
      <c r="W1127" s="466">
        <v>0</v>
      </c>
      <c r="X1127" s="467">
        <v>1</v>
      </c>
      <c r="Y1127" s="466">
        <v>29716.2</v>
      </c>
      <c r="Z1127" s="468" t="s">
        <v>516</v>
      </c>
      <c r="AA1127" s="466">
        <v>117752.2</v>
      </c>
      <c r="AB1127" s="466">
        <v>117752.2</v>
      </c>
      <c r="AC1127" s="467">
        <v>0</v>
      </c>
      <c r="AD1127" s="466">
        <v>0</v>
      </c>
      <c r="AE1127" s="468" t="s">
        <v>516</v>
      </c>
      <c r="AF1127" s="466">
        <v>0</v>
      </c>
      <c r="AG1127" s="466">
        <v>0</v>
      </c>
      <c r="AH1127" s="466">
        <v>14529.24</v>
      </c>
      <c r="AI1127" s="466">
        <v>10729</v>
      </c>
      <c r="AJ1127" s="469" t="s">
        <v>1674</v>
      </c>
      <c r="AK1127" s="470" t="s">
        <v>518</v>
      </c>
      <c r="AL1127" s="471" t="s">
        <v>9548</v>
      </c>
      <c r="AM1127" s="470" t="s">
        <v>4049</v>
      </c>
      <c r="AN1127" s="470" t="s">
        <v>9546</v>
      </c>
      <c r="AO1127" s="470" t="s">
        <v>15039</v>
      </c>
      <c r="AP1127" s="470" t="s">
        <v>9549</v>
      </c>
      <c r="AQ1127" s="470" t="s">
        <v>9544</v>
      </c>
      <c r="AR1127" s="472" t="s">
        <v>515</v>
      </c>
      <c r="AS1127" s="473" t="s">
        <v>1385</v>
      </c>
      <c r="AT1127" s="472" t="s">
        <v>517</v>
      </c>
      <c r="AU1127" s="472" t="s">
        <v>420</v>
      </c>
      <c r="AV1127" s="472">
        <v>2020</v>
      </c>
      <c r="AW1127" s="474" t="s">
        <v>15078</v>
      </c>
      <c r="AX1127" s="475" t="s">
        <v>15079</v>
      </c>
      <c r="AY1127" s="515">
        <v>1</v>
      </c>
      <c r="AZ1127" s="474" t="s">
        <v>15079</v>
      </c>
      <c r="BA1127" s="472" t="s">
        <v>517</v>
      </c>
      <c r="BB1127" s="472" t="s">
        <v>1385</v>
      </c>
      <c r="BC1127" s="472" t="s">
        <v>1385</v>
      </c>
      <c r="BD1127" s="472" t="s">
        <v>1385</v>
      </c>
      <c r="BE1127" s="472" t="s">
        <v>1385</v>
      </c>
      <c r="BF1127" s="472">
        <v>29716.2</v>
      </c>
      <c r="BG1127" s="472">
        <v>0</v>
      </c>
      <c r="BH1127" s="472" t="s">
        <v>1385</v>
      </c>
      <c r="BI1127" s="510">
        <v>0</v>
      </c>
      <c r="BJ1127" s="510">
        <v>100.8</v>
      </c>
      <c r="BK1127" s="510">
        <v>0</v>
      </c>
      <c r="BL1127" s="510">
        <v>0</v>
      </c>
      <c r="BM1127" s="510">
        <v>0</v>
      </c>
      <c r="BN1127" s="510">
        <v>3500</v>
      </c>
      <c r="BO1127" s="510">
        <v>0</v>
      </c>
      <c r="BP1127" s="510">
        <v>0</v>
      </c>
      <c r="BQ1127" s="510">
        <v>0</v>
      </c>
      <c r="BR1127" s="510">
        <v>0</v>
      </c>
      <c r="BS1127" s="510">
        <v>0</v>
      </c>
      <c r="BT1127" s="510">
        <v>0</v>
      </c>
      <c r="BU1127" s="510">
        <v>2500</v>
      </c>
      <c r="BV1127" s="510">
        <v>2500</v>
      </c>
      <c r="BW1127" s="510">
        <v>0</v>
      </c>
      <c r="BX1127" s="510">
        <v>30000</v>
      </c>
      <c r="BY1127" s="1011">
        <v>0</v>
      </c>
      <c r="BZ1127" s="510">
        <v>0</v>
      </c>
      <c r="CA1127" s="1011">
        <v>0</v>
      </c>
      <c r="CB1127" s="510">
        <v>22000</v>
      </c>
      <c r="CC1127" s="1011">
        <v>0</v>
      </c>
      <c r="CD1127" s="510">
        <v>0</v>
      </c>
      <c r="CE1127" s="1011">
        <v>0</v>
      </c>
      <c r="CF1127" s="510">
        <v>36036</v>
      </c>
      <c r="CG1127" s="1011">
        <v>0</v>
      </c>
      <c r="CH1127" s="510">
        <v>0</v>
      </c>
      <c r="CI1127" s="1011">
        <v>0</v>
      </c>
    </row>
    <row r="1128" spans="1:87" x14ac:dyDescent="0.2">
      <c r="A1128" s="449">
        <v>105</v>
      </c>
      <c r="B1128" s="453">
        <v>99686</v>
      </c>
      <c r="C1128" s="454" t="s">
        <v>9550</v>
      </c>
      <c r="D1128" s="454" t="s">
        <v>517</v>
      </c>
      <c r="E1128" s="454" t="s">
        <v>9550</v>
      </c>
      <c r="F1128" s="454" t="s">
        <v>520</v>
      </c>
      <c r="G1128" s="454" t="s">
        <v>14178</v>
      </c>
      <c r="H1128" s="455">
        <v>62280474000191</v>
      </c>
      <c r="I1128" s="462">
        <v>32989</v>
      </c>
      <c r="J1128" s="457">
        <v>37628941</v>
      </c>
      <c r="K1128" s="454" t="s">
        <v>9551</v>
      </c>
      <c r="L1128" s="458">
        <v>200</v>
      </c>
      <c r="M1128" s="454" t="s">
        <v>1469</v>
      </c>
      <c r="N1128" s="459">
        <v>5868250</v>
      </c>
      <c r="O1128" s="460">
        <v>58249444</v>
      </c>
      <c r="P1128" s="462">
        <v>303960</v>
      </c>
      <c r="Q1128" s="462">
        <v>170</v>
      </c>
      <c r="R1128" s="462">
        <v>43969</v>
      </c>
      <c r="S1128" s="463">
        <v>725</v>
      </c>
      <c r="T1128" s="464">
        <v>5.4</v>
      </c>
      <c r="U1128" s="465">
        <v>3915</v>
      </c>
      <c r="V1128" s="465">
        <v>18720</v>
      </c>
      <c r="W1128" s="466">
        <v>0</v>
      </c>
      <c r="X1128" s="467">
        <v>1</v>
      </c>
      <c r="Y1128" s="466">
        <v>33952.5</v>
      </c>
      <c r="Z1128" s="468" t="s">
        <v>516</v>
      </c>
      <c r="AA1128" s="466">
        <v>131492.9</v>
      </c>
      <c r="AB1128" s="466">
        <v>131492.9</v>
      </c>
      <c r="AC1128" s="467">
        <v>0</v>
      </c>
      <c r="AD1128" s="466">
        <v>0</v>
      </c>
      <c r="AE1128" s="468" t="s">
        <v>516</v>
      </c>
      <c r="AF1128" s="466">
        <v>1600</v>
      </c>
      <c r="AG1128" s="466">
        <v>1600</v>
      </c>
      <c r="AH1128" s="466">
        <v>40407</v>
      </c>
      <c r="AI1128" s="466">
        <v>9383</v>
      </c>
      <c r="AJ1128" s="469" t="s">
        <v>1813</v>
      </c>
      <c r="AK1128" s="470" t="s">
        <v>1814</v>
      </c>
      <c r="AL1128" s="471" t="s">
        <v>9552</v>
      </c>
      <c r="AM1128" s="470" t="s">
        <v>14179</v>
      </c>
      <c r="AN1128" s="470" t="s">
        <v>9554</v>
      </c>
      <c r="AO1128" s="470" t="s">
        <v>9553</v>
      </c>
      <c r="AP1128" s="470" t="s">
        <v>9555</v>
      </c>
      <c r="AQ1128" s="470" t="s">
        <v>9550</v>
      </c>
      <c r="AR1128" s="472" t="s">
        <v>515</v>
      </c>
      <c r="AS1128" s="473" t="s">
        <v>1385</v>
      </c>
      <c r="AT1128" s="472" t="s">
        <v>517</v>
      </c>
      <c r="AU1128" s="472" t="s">
        <v>420</v>
      </c>
      <c r="AV1128" s="472">
        <v>2020</v>
      </c>
      <c r="AW1128" s="474" t="s">
        <v>15078</v>
      </c>
      <c r="AX1128" s="475" t="s">
        <v>15079</v>
      </c>
      <c r="AY1128" s="515">
        <v>1</v>
      </c>
      <c r="AZ1128" s="474" t="s">
        <v>15079</v>
      </c>
      <c r="BA1128" s="472" t="s">
        <v>517</v>
      </c>
      <c r="BB1128" s="472" t="s">
        <v>1385</v>
      </c>
      <c r="BC1128" s="472" t="s">
        <v>1385</v>
      </c>
      <c r="BD1128" s="472" t="s">
        <v>1385</v>
      </c>
      <c r="BE1128" s="472" t="s">
        <v>1385</v>
      </c>
      <c r="BF1128" s="472">
        <v>33952.5</v>
      </c>
      <c r="BG1128" s="472">
        <v>0</v>
      </c>
      <c r="BH1128" s="472" t="s">
        <v>1385</v>
      </c>
      <c r="BI1128" s="510">
        <v>0</v>
      </c>
      <c r="BJ1128" s="510">
        <v>0</v>
      </c>
      <c r="BK1128" s="510">
        <v>0</v>
      </c>
      <c r="BL1128" s="510">
        <v>3500</v>
      </c>
      <c r="BM1128" s="510">
        <v>0</v>
      </c>
      <c r="BN1128" s="510">
        <v>5000</v>
      </c>
      <c r="BO1128" s="510">
        <v>400</v>
      </c>
      <c r="BP1128" s="510">
        <v>1600</v>
      </c>
      <c r="BQ1128" s="510">
        <v>0</v>
      </c>
      <c r="BR1128" s="510">
        <v>0</v>
      </c>
      <c r="BS1128" s="510">
        <v>0</v>
      </c>
      <c r="BT1128" s="510">
        <v>0</v>
      </c>
      <c r="BU1128" s="510">
        <v>2500</v>
      </c>
      <c r="BV1128" s="510">
        <v>2500</v>
      </c>
      <c r="BW1128" s="510">
        <v>0</v>
      </c>
      <c r="BX1128" s="510">
        <v>30000</v>
      </c>
      <c r="BY1128" s="1011">
        <v>0</v>
      </c>
      <c r="BZ1128" s="510">
        <v>0</v>
      </c>
      <c r="CA1128" s="1011">
        <v>0</v>
      </c>
      <c r="CB1128" s="510">
        <v>22000</v>
      </c>
      <c r="CC1128" s="1011">
        <v>0</v>
      </c>
      <c r="CD1128" s="510">
        <v>0</v>
      </c>
      <c r="CE1128" s="1011">
        <v>0</v>
      </c>
      <c r="CF1128" s="510">
        <v>45140.4</v>
      </c>
      <c r="CG1128" s="1011">
        <v>0</v>
      </c>
      <c r="CH1128" s="510">
        <v>0</v>
      </c>
      <c r="CI1128" s="1011">
        <v>0</v>
      </c>
    </row>
    <row r="1129" spans="1:87" x14ac:dyDescent="0.2">
      <c r="A1129" s="449">
        <v>31</v>
      </c>
      <c r="B1129" s="453">
        <v>99783</v>
      </c>
      <c r="C1129" s="454" t="s">
        <v>9556</v>
      </c>
      <c r="D1129" s="454" t="s">
        <v>517</v>
      </c>
      <c r="E1129" s="454" t="s">
        <v>9557</v>
      </c>
      <c r="F1129" s="454" t="s">
        <v>522</v>
      </c>
      <c r="G1129" s="454" t="s">
        <v>14180</v>
      </c>
      <c r="H1129" s="455">
        <v>64160765000171</v>
      </c>
      <c r="I1129" s="462">
        <v>33163</v>
      </c>
      <c r="J1129" s="457">
        <v>37605410</v>
      </c>
      <c r="K1129" s="454" t="s">
        <v>9558</v>
      </c>
      <c r="L1129" s="458">
        <v>123</v>
      </c>
      <c r="M1129" s="454" t="s">
        <v>3675</v>
      </c>
      <c r="N1129" s="459">
        <v>2845160</v>
      </c>
      <c r="O1129" s="460">
        <v>39212339</v>
      </c>
      <c r="P1129" s="462">
        <v>77260</v>
      </c>
      <c r="Q1129" s="462">
        <v>64</v>
      </c>
      <c r="R1129" s="462">
        <v>43911</v>
      </c>
      <c r="S1129" s="463">
        <v>869</v>
      </c>
      <c r="T1129" s="464">
        <v>5.4</v>
      </c>
      <c r="U1129" s="465">
        <v>4692.6000000000004</v>
      </c>
      <c r="V1129" s="465">
        <v>18720</v>
      </c>
      <c r="W1129" s="466">
        <v>0</v>
      </c>
      <c r="X1129" s="467">
        <v>1</v>
      </c>
      <c r="Y1129" s="466">
        <v>35118.9</v>
      </c>
      <c r="Z1129" s="468" t="s">
        <v>516</v>
      </c>
      <c r="AA1129" s="466">
        <v>133598.5</v>
      </c>
      <c r="AB1129" s="466">
        <v>133598.5</v>
      </c>
      <c r="AC1129" s="467">
        <v>0</v>
      </c>
      <c r="AD1129" s="466">
        <v>0</v>
      </c>
      <c r="AE1129" s="468" t="s">
        <v>516</v>
      </c>
      <c r="AF1129" s="466">
        <v>2000</v>
      </c>
      <c r="AG1129" s="466">
        <v>2000</v>
      </c>
      <c r="AH1129" s="466">
        <v>23582.97</v>
      </c>
      <c r="AI1129" s="466">
        <v>5504.48</v>
      </c>
      <c r="AJ1129" s="469" t="s">
        <v>1438</v>
      </c>
      <c r="AK1129" s="470" t="s">
        <v>12345</v>
      </c>
      <c r="AL1129" s="471" t="s">
        <v>9559</v>
      </c>
      <c r="AM1129" s="470" t="s">
        <v>14181</v>
      </c>
      <c r="AN1129" s="470" t="s">
        <v>1385</v>
      </c>
      <c r="AO1129" s="470" t="s">
        <v>14182</v>
      </c>
      <c r="AP1129" s="470" t="s">
        <v>9560</v>
      </c>
      <c r="AQ1129" s="470" t="s">
        <v>9556</v>
      </c>
      <c r="AR1129" s="472" t="s">
        <v>515</v>
      </c>
      <c r="AS1129" s="473" t="s">
        <v>1385</v>
      </c>
      <c r="AT1129" s="472" t="s">
        <v>517</v>
      </c>
      <c r="AU1129" s="472" t="s">
        <v>420</v>
      </c>
      <c r="AV1129" s="472">
        <v>2020</v>
      </c>
      <c r="AW1129" s="474" t="s">
        <v>15078</v>
      </c>
      <c r="AX1129" s="475" t="s">
        <v>15079</v>
      </c>
      <c r="AY1129" s="515">
        <v>1</v>
      </c>
      <c r="AZ1129" s="474" t="s">
        <v>15079</v>
      </c>
      <c r="BA1129" s="472" t="s">
        <v>517</v>
      </c>
      <c r="BB1129" s="472" t="s">
        <v>1385</v>
      </c>
      <c r="BC1129" s="472" t="s">
        <v>1385</v>
      </c>
      <c r="BD1129" s="472" t="s">
        <v>1385</v>
      </c>
      <c r="BE1129" s="472" t="s">
        <v>1385</v>
      </c>
      <c r="BF1129" s="472">
        <v>35118.9</v>
      </c>
      <c r="BG1129" s="472">
        <v>0</v>
      </c>
      <c r="BH1129" s="472" t="s">
        <v>1385</v>
      </c>
      <c r="BI1129" s="510">
        <v>0</v>
      </c>
      <c r="BJ1129" s="510">
        <v>0</v>
      </c>
      <c r="BK1129" s="510">
        <v>0</v>
      </c>
      <c r="BL1129" s="510">
        <v>8.3000000000000007</v>
      </c>
      <c r="BM1129" s="510">
        <v>0</v>
      </c>
      <c r="BN1129" s="510">
        <v>5000</v>
      </c>
      <c r="BO1129" s="510">
        <v>0</v>
      </c>
      <c r="BP1129" s="510">
        <v>2000</v>
      </c>
      <c r="BQ1129" s="510">
        <v>0</v>
      </c>
      <c r="BR1129" s="510">
        <v>0</v>
      </c>
      <c r="BS1129" s="510">
        <v>0</v>
      </c>
      <c r="BT1129" s="510">
        <v>0</v>
      </c>
      <c r="BU1129" s="510">
        <v>0</v>
      </c>
      <c r="BV1129" s="510">
        <v>0</v>
      </c>
      <c r="BW1129" s="510">
        <v>0</v>
      </c>
      <c r="BX1129" s="510">
        <v>30000</v>
      </c>
      <c r="BY1129" s="1011">
        <v>0</v>
      </c>
      <c r="BZ1129" s="510">
        <v>0</v>
      </c>
      <c r="CA1129" s="1011">
        <v>0</v>
      </c>
      <c r="CB1129" s="510">
        <v>22000</v>
      </c>
      <c r="CC1129" s="1011">
        <v>0</v>
      </c>
      <c r="CD1129" s="510">
        <v>0</v>
      </c>
      <c r="CE1129" s="1011">
        <v>0</v>
      </c>
      <c r="CF1129" s="510">
        <v>46479.6</v>
      </c>
      <c r="CG1129" s="1011">
        <v>0</v>
      </c>
      <c r="CH1129" s="510">
        <v>0</v>
      </c>
      <c r="CI1129" s="1011">
        <v>0</v>
      </c>
    </row>
    <row r="1130" spans="1:87" x14ac:dyDescent="0.2">
      <c r="A1130" s="449">
        <v>58</v>
      </c>
      <c r="B1130" s="453">
        <v>99791</v>
      </c>
      <c r="C1130" s="454" t="s">
        <v>9561</v>
      </c>
      <c r="D1130" s="454" t="s">
        <v>517</v>
      </c>
      <c r="E1130" s="454" t="s">
        <v>9562</v>
      </c>
      <c r="F1130" s="454" t="s">
        <v>521</v>
      </c>
      <c r="G1130" s="454" t="s">
        <v>14183</v>
      </c>
      <c r="H1130" s="455">
        <v>1608006000109</v>
      </c>
      <c r="I1130" s="462">
        <v>35418</v>
      </c>
      <c r="J1130" s="457">
        <v>37550390</v>
      </c>
      <c r="K1130" s="454" t="s">
        <v>9563</v>
      </c>
      <c r="L1130" s="458" t="s">
        <v>1446</v>
      </c>
      <c r="M1130" s="454" t="s">
        <v>5716</v>
      </c>
      <c r="N1130" s="459">
        <v>4851060</v>
      </c>
      <c r="O1130" s="460">
        <v>55280925</v>
      </c>
      <c r="P1130" s="462">
        <v>99999</v>
      </c>
      <c r="Q1130" s="462">
        <v>66</v>
      </c>
      <c r="R1130" s="462">
        <v>43934</v>
      </c>
      <c r="S1130" s="463">
        <v>1113</v>
      </c>
      <c r="T1130" s="464">
        <v>5.4</v>
      </c>
      <c r="U1130" s="465">
        <v>6010.2</v>
      </c>
      <c r="V1130" s="465">
        <v>20340</v>
      </c>
      <c r="W1130" s="466">
        <v>0</v>
      </c>
      <c r="X1130" s="467">
        <v>1</v>
      </c>
      <c r="Y1130" s="466">
        <v>39525.300000000003</v>
      </c>
      <c r="Z1130" s="468" t="s">
        <v>516</v>
      </c>
      <c r="AA1130" s="466">
        <v>143988.1</v>
      </c>
      <c r="AB1130" s="466">
        <v>143988.1</v>
      </c>
      <c r="AC1130" s="467">
        <v>0</v>
      </c>
      <c r="AD1130" s="466">
        <v>0</v>
      </c>
      <c r="AE1130" s="468" t="s">
        <v>516</v>
      </c>
      <c r="AF1130" s="466">
        <v>2000</v>
      </c>
      <c r="AG1130" s="466">
        <v>2000</v>
      </c>
      <c r="AH1130" s="466">
        <v>35161.74</v>
      </c>
      <c r="AI1130" s="466">
        <v>844.15</v>
      </c>
      <c r="AJ1130" s="469" t="s">
        <v>1624</v>
      </c>
      <c r="AK1130" s="470" t="s">
        <v>1625</v>
      </c>
      <c r="AL1130" s="471" t="s">
        <v>9564</v>
      </c>
      <c r="AM1130" s="470" t="s">
        <v>14184</v>
      </c>
      <c r="AN1130" s="470" t="s">
        <v>1385</v>
      </c>
      <c r="AO1130" s="470" t="s">
        <v>14916</v>
      </c>
      <c r="AP1130" s="470" t="s">
        <v>9566</v>
      </c>
      <c r="AQ1130" s="470" t="s">
        <v>9561</v>
      </c>
      <c r="AR1130" s="472" t="s">
        <v>515</v>
      </c>
      <c r="AS1130" s="473" t="s">
        <v>1385</v>
      </c>
      <c r="AT1130" s="472" t="s">
        <v>517</v>
      </c>
      <c r="AU1130" s="472" t="s">
        <v>420</v>
      </c>
      <c r="AV1130" s="472">
        <v>2020</v>
      </c>
      <c r="AW1130" s="474" t="s">
        <v>15078</v>
      </c>
      <c r="AX1130" s="475" t="s">
        <v>15079</v>
      </c>
      <c r="AY1130" s="515">
        <v>1</v>
      </c>
      <c r="AZ1130" s="474" t="s">
        <v>15079</v>
      </c>
      <c r="BA1130" s="472" t="s">
        <v>517</v>
      </c>
      <c r="BB1130" s="472" t="s">
        <v>1385</v>
      </c>
      <c r="BC1130" s="472" t="s">
        <v>1385</v>
      </c>
      <c r="BD1130" s="472" t="s">
        <v>1385</v>
      </c>
      <c r="BE1130" s="472" t="s">
        <v>1385</v>
      </c>
      <c r="BF1130" s="472">
        <v>39525.300000000003</v>
      </c>
      <c r="BG1130" s="472">
        <v>0</v>
      </c>
      <c r="BH1130" s="472" t="s">
        <v>1385</v>
      </c>
      <c r="BI1130" s="510">
        <v>0</v>
      </c>
      <c r="BJ1130" s="510">
        <v>281.87</v>
      </c>
      <c r="BK1130" s="510">
        <v>0</v>
      </c>
      <c r="BL1130" s="510">
        <v>844.14</v>
      </c>
      <c r="BM1130" s="510">
        <v>0</v>
      </c>
      <c r="BN1130" s="510">
        <v>5000</v>
      </c>
      <c r="BO1130" s="510">
        <v>0</v>
      </c>
      <c r="BP1130" s="510">
        <v>2000</v>
      </c>
      <c r="BQ1130" s="510">
        <v>0</v>
      </c>
      <c r="BR1130" s="510">
        <v>0</v>
      </c>
      <c r="BS1130" s="510">
        <v>0</v>
      </c>
      <c r="BT1130" s="510">
        <v>0</v>
      </c>
      <c r="BU1130" s="510">
        <v>0</v>
      </c>
      <c r="BV1130" s="510">
        <v>0</v>
      </c>
      <c r="BW1130" s="510">
        <v>0</v>
      </c>
      <c r="BX1130" s="510">
        <v>30000</v>
      </c>
      <c r="BY1130" s="1011">
        <v>0</v>
      </c>
      <c r="BZ1130" s="510">
        <v>0</v>
      </c>
      <c r="CA1130" s="1011">
        <v>0</v>
      </c>
      <c r="CB1130" s="510">
        <v>22000</v>
      </c>
      <c r="CC1130" s="1011">
        <v>0</v>
      </c>
      <c r="CD1130" s="510">
        <v>0</v>
      </c>
      <c r="CE1130" s="1011">
        <v>0</v>
      </c>
      <c r="CF1130" s="510">
        <v>52462.8</v>
      </c>
      <c r="CG1130" s="1011">
        <v>0</v>
      </c>
      <c r="CH1130" s="510">
        <v>0</v>
      </c>
      <c r="CI1130" s="1011">
        <v>0</v>
      </c>
    </row>
    <row r="1131" spans="1:87" x14ac:dyDescent="0.2">
      <c r="A1131" s="449">
        <v>135</v>
      </c>
      <c r="B1131" s="453">
        <v>99792</v>
      </c>
      <c r="C1131" s="454" t="s">
        <v>9567</v>
      </c>
      <c r="D1131" s="454" t="s">
        <v>517</v>
      </c>
      <c r="E1131" s="454" t="s">
        <v>9568</v>
      </c>
      <c r="F1131" s="454" t="s">
        <v>513</v>
      </c>
      <c r="G1131" s="454" t="s">
        <v>14185</v>
      </c>
      <c r="H1131" s="455">
        <v>21057327000170</v>
      </c>
      <c r="I1131" s="462">
        <v>41877</v>
      </c>
      <c r="J1131" s="457" t="s">
        <v>280</v>
      </c>
      <c r="K1131" s="454" t="s">
        <v>9569</v>
      </c>
      <c r="L1131" s="458">
        <v>46</v>
      </c>
      <c r="M1131" s="454" t="s">
        <v>4456</v>
      </c>
      <c r="N1131" s="459">
        <v>8310430</v>
      </c>
      <c r="O1131" s="460">
        <v>27515319</v>
      </c>
      <c r="P1131" s="462">
        <v>155171</v>
      </c>
      <c r="Q1131" s="462">
        <v>135</v>
      </c>
      <c r="R1131" s="462">
        <v>43937</v>
      </c>
      <c r="S1131" s="463">
        <v>747</v>
      </c>
      <c r="T1131" s="464">
        <v>5.4</v>
      </c>
      <c r="U1131" s="465">
        <v>4033.8</v>
      </c>
      <c r="V1131" s="465">
        <v>18720</v>
      </c>
      <c r="W1131" s="466">
        <v>0</v>
      </c>
      <c r="X1131" s="467">
        <v>1</v>
      </c>
      <c r="Y1131" s="466">
        <v>34130.699999999997</v>
      </c>
      <c r="Z1131" s="468" t="s">
        <v>516</v>
      </c>
      <c r="AA1131" s="466">
        <v>131195.5</v>
      </c>
      <c r="AB1131" s="466">
        <v>131195.5</v>
      </c>
      <c r="AC1131" s="467">
        <v>0</v>
      </c>
      <c r="AD1131" s="466">
        <v>0</v>
      </c>
      <c r="AE1131" s="468" t="s">
        <v>516</v>
      </c>
      <c r="AF1131" s="466">
        <v>0</v>
      </c>
      <c r="AG1131" s="466">
        <v>0</v>
      </c>
      <c r="AH1131" s="466">
        <v>24403.82</v>
      </c>
      <c r="AI1131" s="466">
        <v>10252.18</v>
      </c>
      <c r="AJ1131" s="469" t="s">
        <v>2030</v>
      </c>
      <c r="AK1131" s="470" t="s">
        <v>513</v>
      </c>
      <c r="AL1131" s="471" t="s">
        <v>9570</v>
      </c>
      <c r="AM1131" s="470" t="s">
        <v>9571</v>
      </c>
      <c r="AN1131" s="470" t="s">
        <v>9572</v>
      </c>
      <c r="AO1131" s="470" t="s">
        <v>9573</v>
      </c>
      <c r="AP1131" s="470" t="s">
        <v>9574</v>
      </c>
      <c r="AQ1131" s="470" t="s">
        <v>9567</v>
      </c>
      <c r="AR1131" s="472" t="s">
        <v>515</v>
      </c>
      <c r="AS1131" s="473" t="s">
        <v>1385</v>
      </c>
      <c r="AT1131" s="472" t="s">
        <v>517</v>
      </c>
      <c r="AU1131" s="472" t="s">
        <v>420</v>
      </c>
      <c r="AV1131" s="472">
        <v>2020</v>
      </c>
      <c r="AW1131" s="474" t="s">
        <v>15078</v>
      </c>
      <c r="AX1131" s="475" t="s">
        <v>15079</v>
      </c>
      <c r="AY1131" s="515">
        <v>1</v>
      </c>
      <c r="AZ1131" s="474" t="s">
        <v>15079</v>
      </c>
      <c r="BA1131" s="472" t="s">
        <v>517</v>
      </c>
      <c r="BB1131" s="472" t="s">
        <v>1385</v>
      </c>
      <c r="BC1131" s="472" t="s">
        <v>1385</v>
      </c>
      <c r="BD1131" s="472" t="s">
        <v>1385</v>
      </c>
      <c r="BE1131" s="472" t="s">
        <v>1385</v>
      </c>
      <c r="BF1131" s="472">
        <v>34130.699999999997</v>
      </c>
      <c r="BG1131" s="472">
        <v>0</v>
      </c>
      <c r="BH1131" s="472" t="s">
        <v>1385</v>
      </c>
      <c r="BI1131" s="510">
        <v>0</v>
      </c>
      <c r="BJ1131" s="510">
        <v>0</v>
      </c>
      <c r="BK1131" s="510">
        <v>0</v>
      </c>
      <c r="BL1131" s="510">
        <v>0</v>
      </c>
      <c r="BM1131" s="510">
        <v>0</v>
      </c>
      <c r="BN1131" s="510">
        <v>5000</v>
      </c>
      <c r="BO1131" s="510">
        <v>0</v>
      </c>
      <c r="BP1131" s="510">
        <v>0</v>
      </c>
      <c r="BQ1131" s="510">
        <v>0</v>
      </c>
      <c r="BR1131" s="510">
        <v>0</v>
      </c>
      <c r="BS1131" s="510">
        <v>0</v>
      </c>
      <c r="BT1131" s="510">
        <v>0</v>
      </c>
      <c r="BU1131" s="510">
        <v>2500</v>
      </c>
      <c r="BV1131" s="510">
        <v>2500</v>
      </c>
      <c r="BW1131" s="510">
        <v>0</v>
      </c>
      <c r="BX1131" s="510">
        <v>30000</v>
      </c>
      <c r="BY1131" s="1011">
        <v>0</v>
      </c>
      <c r="BZ1131" s="510">
        <v>0</v>
      </c>
      <c r="CA1131" s="1011">
        <v>0</v>
      </c>
      <c r="CB1131" s="510">
        <v>22000</v>
      </c>
      <c r="CC1131" s="1011">
        <v>0</v>
      </c>
      <c r="CD1131" s="510">
        <v>0</v>
      </c>
      <c r="CE1131" s="1011">
        <v>0</v>
      </c>
      <c r="CF1131" s="510">
        <v>45064.800000000003</v>
      </c>
      <c r="CG1131" s="1011">
        <v>0</v>
      </c>
      <c r="CH1131" s="510">
        <v>0</v>
      </c>
      <c r="CI1131" s="1011">
        <v>0</v>
      </c>
    </row>
    <row r="1132" spans="1:87" x14ac:dyDescent="0.2">
      <c r="A1132" s="449">
        <v>106</v>
      </c>
      <c r="B1132" s="453">
        <v>99805</v>
      </c>
      <c r="C1132" s="454" t="s">
        <v>9575</v>
      </c>
      <c r="D1132" s="454" t="s">
        <v>1390</v>
      </c>
      <c r="E1132" s="454" t="s">
        <v>9576</v>
      </c>
      <c r="F1132" s="454" t="s">
        <v>526</v>
      </c>
      <c r="G1132" s="454" t="s">
        <v>14186</v>
      </c>
      <c r="H1132" s="455">
        <v>62455068000112</v>
      </c>
      <c r="I1132" s="462">
        <v>33065</v>
      </c>
      <c r="J1132" s="457">
        <v>37476025</v>
      </c>
      <c r="K1132" s="454" t="s">
        <v>9577</v>
      </c>
      <c r="L1132" s="458">
        <v>1209</v>
      </c>
      <c r="M1132" s="454" t="s">
        <v>1838</v>
      </c>
      <c r="N1132" s="459">
        <v>8111540</v>
      </c>
      <c r="O1132" s="460">
        <v>29633403</v>
      </c>
      <c r="P1132" s="462">
        <v>121536</v>
      </c>
      <c r="Q1132" s="462">
        <v>106</v>
      </c>
      <c r="R1132" s="462">
        <v>43928</v>
      </c>
      <c r="S1132" s="463">
        <v>610</v>
      </c>
      <c r="T1132" s="464">
        <v>3.6</v>
      </c>
      <c r="U1132" s="465">
        <v>2196</v>
      </c>
      <c r="V1132" s="465">
        <v>18000</v>
      </c>
      <c r="W1132" s="466">
        <v>0</v>
      </c>
      <c r="X1132" s="467">
        <v>1</v>
      </c>
      <c r="Y1132" s="466">
        <v>30294</v>
      </c>
      <c r="Z1132" s="468" t="s">
        <v>516</v>
      </c>
      <c r="AA1132" s="466">
        <v>115635.6</v>
      </c>
      <c r="AB1132" s="466">
        <v>115635.6</v>
      </c>
      <c r="AC1132" s="467">
        <v>0</v>
      </c>
      <c r="AD1132" s="466">
        <v>0</v>
      </c>
      <c r="AE1132" s="468" t="s">
        <v>516</v>
      </c>
      <c r="AF1132" s="466">
        <v>0</v>
      </c>
      <c r="AG1132" s="466">
        <v>0</v>
      </c>
      <c r="AH1132" s="466">
        <v>19679.2</v>
      </c>
      <c r="AI1132" s="466">
        <v>987.79</v>
      </c>
      <c r="AJ1132" s="469" t="s">
        <v>1410</v>
      </c>
      <c r="AK1132" s="470" t="s">
        <v>1411</v>
      </c>
      <c r="AL1132" s="471" t="s">
        <v>9578</v>
      </c>
      <c r="AM1132" s="470" t="s">
        <v>14187</v>
      </c>
      <c r="AN1132" s="470" t="s">
        <v>1385</v>
      </c>
      <c r="AO1132" s="470" t="s">
        <v>9579</v>
      </c>
      <c r="AP1132" s="470" t="s">
        <v>9580</v>
      </c>
      <c r="AQ1132" s="470" t="s">
        <v>9575</v>
      </c>
      <c r="AR1132" s="472" t="s">
        <v>515</v>
      </c>
      <c r="AS1132" s="473" t="s">
        <v>1385</v>
      </c>
      <c r="AT1132" s="472" t="s">
        <v>1390</v>
      </c>
      <c r="AU1132" s="472" t="s">
        <v>420</v>
      </c>
      <c r="AV1132" s="472">
        <v>2020</v>
      </c>
      <c r="AW1132" s="474" t="s">
        <v>15078</v>
      </c>
      <c r="AX1132" s="475" t="s">
        <v>15079</v>
      </c>
      <c r="AY1132" s="515">
        <v>1</v>
      </c>
      <c r="AZ1132" s="474" t="s">
        <v>15079</v>
      </c>
      <c r="BA1132" s="472" t="s">
        <v>1390</v>
      </c>
      <c r="BB1132" s="472" t="s">
        <v>1385</v>
      </c>
      <c r="BC1132" s="472" t="s">
        <v>1385</v>
      </c>
      <c r="BD1132" s="472" t="s">
        <v>1385</v>
      </c>
      <c r="BE1132" s="472" t="s">
        <v>1385</v>
      </c>
      <c r="BF1132" s="472">
        <v>30294</v>
      </c>
      <c r="BG1132" s="472">
        <v>0</v>
      </c>
      <c r="BH1132" s="472" t="s">
        <v>1385</v>
      </c>
      <c r="BI1132" s="510">
        <v>0</v>
      </c>
      <c r="BJ1132" s="510">
        <v>0</v>
      </c>
      <c r="BK1132" s="510">
        <v>0</v>
      </c>
      <c r="BL1132" s="510">
        <v>0</v>
      </c>
      <c r="BM1132" s="510">
        <v>0</v>
      </c>
      <c r="BN1132" s="510">
        <v>5000</v>
      </c>
      <c r="BO1132" s="510">
        <v>0</v>
      </c>
      <c r="BP1132" s="510">
        <v>0</v>
      </c>
      <c r="BQ1132" s="510">
        <v>0</v>
      </c>
      <c r="BR1132" s="510">
        <v>0</v>
      </c>
      <c r="BS1132" s="510">
        <v>0</v>
      </c>
      <c r="BT1132" s="510">
        <v>0</v>
      </c>
      <c r="BU1132" s="510">
        <v>0</v>
      </c>
      <c r="BV1132" s="510">
        <v>0</v>
      </c>
      <c r="BW1132" s="510">
        <v>0</v>
      </c>
      <c r="BX1132" s="510">
        <v>30000</v>
      </c>
      <c r="BY1132" s="1011">
        <v>0</v>
      </c>
      <c r="BZ1132" s="510">
        <v>0</v>
      </c>
      <c r="CA1132" s="1011">
        <v>0</v>
      </c>
      <c r="CB1132" s="510">
        <v>0</v>
      </c>
      <c r="CC1132" s="1011">
        <v>0</v>
      </c>
      <c r="CD1132" s="510">
        <v>0</v>
      </c>
      <c r="CE1132" s="1011">
        <v>0</v>
      </c>
      <c r="CF1132" s="510">
        <v>55341.599999999999</v>
      </c>
      <c r="CG1132" s="1011">
        <v>0</v>
      </c>
      <c r="CH1132" s="510">
        <v>0</v>
      </c>
      <c r="CI1132" s="1011">
        <v>0</v>
      </c>
    </row>
    <row r="1133" spans="1:87" x14ac:dyDescent="0.2">
      <c r="A1133" s="449">
        <v>113</v>
      </c>
      <c r="B1133" s="453">
        <v>99988</v>
      </c>
      <c r="C1133" s="454" t="s">
        <v>9581</v>
      </c>
      <c r="D1133" s="454" t="s">
        <v>1390</v>
      </c>
      <c r="E1133" s="454" t="s">
        <v>9582</v>
      </c>
      <c r="F1133" s="454" t="s">
        <v>528</v>
      </c>
      <c r="G1133" s="454" t="s">
        <v>14188</v>
      </c>
      <c r="H1133" s="455">
        <v>60270105000192</v>
      </c>
      <c r="I1133" s="462">
        <v>32601</v>
      </c>
      <c r="J1133" s="457">
        <v>37382560</v>
      </c>
      <c r="K1133" s="454" t="s">
        <v>9583</v>
      </c>
      <c r="L1133" s="458">
        <v>84</v>
      </c>
      <c r="M1133" s="454" t="s">
        <v>3930</v>
      </c>
      <c r="N1133" s="459">
        <v>5271290</v>
      </c>
      <c r="O1133" s="460">
        <v>39166440</v>
      </c>
      <c r="P1133" s="462">
        <v>212698</v>
      </c>
      <c r="Q1133" s="462">
        <v>113</v>
      </c>
      <c r="R1133" s="462">
        <v>43938</v>
      </c>
      <c r="S1133" s="463">
        <v>503</v>
      </c>
      <c r="T1133" s="464">
        <v>3.6</v>
      </c>
      <c r="U1133" s="465">
        <v>1810.8</v>
      </c>
      <c r="V1133" s="465">
        <v>16560</v>
      </c>
      <c r="W1133" s="466">
        <v>0</v>
      </c>
      <c r="X1133" s="467">
        <v>1</v>
      </c>
      <c r="Y1133" s="466">
        <v>27556.2</v>
      </c>
      <c r="Z1133" s="468" t="s">
        <v>516</v>
      </c>
      <c r="AA1133" s="466">
        <v>109643.4</v>
      </c>
      <c r="AB1133" s="466">
        <v>109643.4</v>
      </c>
      <c r="AC1133" s="467">
        <v>0</v>
      </c>
      <c r="AD1133" s="466">
        <v>0</v>
      </c>
      <c r="AE1133" s="468" t="s">
        <v>516</v>
      </c>
      <c r="AF1133" s="466">
        <v>0</v>
      </c>
      <c r="AG1133" s="466">
        <v>0</v>
      </c>
      <c r="AH1133" s="466">
        <v>16592.919999999998</v>
      </c>
      <c r="AI1133" s="466">
        <v>7432.6</v>
      </c>
      <c r="AJ1133" s="469" t="s">
        <v>2242</v>
      </c>
      <c r="AK1133" s="470" t="s">
        <v>2241</v>
      </c>
      <c r="AL1133" s="471" t="s">
        <v>9584</v>
      </c>
      <c r="AM1133" s="470" t="s">
        <v>9585</v>
      </c>
      <c r="AN1133" s="470" t="s">
        <v>9586</v>
      </c>
      <c r="AO1133" s="470" t="s">
        <v>14189</v>
      </c>
      <c r="AP1133" s="470" t="s">
        <v>9587</v>
      </c>
      <c r="AQ1133" s="470" t="s">
        <v>9581</v>
      </c>
      <c r="AR1133" s="472" t="s">
        <v>515</v>
      </c>
      <c r="AS1133" s="473" t="s">
        <v>1385</v>
      </c>
      <c r="AT1133" s="472" t="s">
        <v>1390</v>
      </c>
      <c r="AU1133" s="472" t="s">
        <v>420</v>
      </c>
      <c r="AV1133" s="472">
        <v>2020</v>
      </c>
      <c r="AW1133" s="474" t="s">
        <v>15078</v>
      </c>
      <c r="AX1133" s="475" t="s">
        <v>15079</v>
      </c>
      <c r="AY1133" s="515">
        <v>1</v>
      </c>
      <c r="AZ1133" s="474" t="s">
        <v>15079</v>
      </c>
      <c r="BA1133" s="472" t="s">
        <v>1390</v>
      </c>
      <c r="BB1133" s="472" t="s">
        <v>1385</v>
      </c>
      <c r="BC1133" s="472" t="s">
        <v>1385</v>
      </c>
      <c r="BD1133" s="472" t="s">
        <v>1385</v>
      </c>
      <c r="BE1133" s="472" t="s">
        <v>1385</v>
      </c>
      <c r="BF1133" s="472">
        <v>27556.2</v>
      </c>
      <c r="BG1133" s="472">
        <v>0</v>
      </c>
      <c r="BH1133" s="472" t="s">
        <v>1385</v>
      </c>
      <c r="BI1133" s="510">
        <v>0</v>
      </c>
      <c r="BJ1133" s="510">
        <v>0</v>
      </c>
      <c r="BK1133" s="510">
        <v>0</v>
      </c>
      <c r="BL1133" s="510">
        <v>0</v>
      </c>
      <c r="BM1133" s="510">
        <v>0</v>
      </c>
      <c r="BN1133" s="510">
        <v>4000</v>
      </c>
      <c r="BO1133" s="510">
        <v>0</v>
      </c>
      <c r="BP1133" s="510">
        <v>0</v>
      </c>
      <c r="BQ1133" s="510">
        <v>0</v>
      </c>
      <c r="BR1133" s="510">
        <v>0</v>
      </c>
      <c r="BS1133" s="510">
        <v>0</v>
      </c>
      <c r="BT1133" s="510">
        <v>0</v>
      </c>
      <c r="BU1133" s="510">
        <v>0</v>
      </c>
      <c r="BV1133" s="510">
        <v>0</v>
      </c>
      <c r="BW1133" s="510">
        <v>0</v>
      </c>
      <c r="BX1133" s="510">
        <v>30000</v>
      </c>
      <c r="BY1133" s="1011">
        <v>0</v>
      </c>
      <c r="BZ1133" s="510">
        <v>0</v>
      </c>
      <c r="CA1133" s="1011">
        <v>0</v>
      </c>
      <c r="CB1133" s="510">
        <v>0</v>
      </c>
      <c r="CC1133" s="1011">
        <v>0</v>
      </c>
      <c r="CD1133" s="510">
        <v>0</v>
      </c>
      <c r="CE1133" s="1011">
        <v>0</v>
      </c>
      <c r="CF1133" s="510">
        <v>52087.199999999997</v>
      </c>
      <c r="CG1133" s="1011">
        <v>0</v>
      </c>
      <c r="CH1133" s="510">
        <v>0</v>
      </c>
      <c r="CI1133" s="1011">
        <v>0</v>
      </c>
    </row>
    <row r="1134" spans="1:87" x14ac:dyDescent="0.2">
      <c r="A1134" s="449">
        <v>34</v>
      </c>
      <c r="B1134" s="453">
        <v>200042</v>
      </c>
      <c r="C1134" s="454" t="s">
        <v>15121</v>
      </c>
      <c r="D1134" s="454" t="s">
        <v>9588</v>
      </c>
      <c r="E1134" s="454" t="s">
        <v>15122</v>
      </c>
      <c r="F1134" s="454" t="s">
        <v>527</v>
      </c>
      <c r="G1134" s="454" t="s">
        <v>14190</v>
      </c>
      <c r="H1134" s="455">
        <v>866726000101</v>
      </c>
      <c r="I1134" s="462">
        <v>34971</v>
      </c>
      <c r="J1134" s="457">
        <v>38566885</v>
      </c>
      <c r="K1134" s="454" t="s">
        <v>9589</v>
      </c>
      <c r="L1134" s="458">
        <v>1954</v>
      </c>
      <c r="M1134" s="454" t="s">
        <v>1890</v>
      </c>
      <c r="N1134" s="459">
        <v>3806000</v>
      </c>
      <c r="O1134" s="460">
        <v>25461603</v>
      </c>
      <c r="P1134" s="462">
        <v>183264</v>
      </c>
      <c r="Q1134" s="462">
        <v>122</v>
      </c>
      <c r="R1134" s="462">
        <v>43917</v>
      </c>
      <c r="S1134" s="463">
        <v>651</v>
      </c>
      <c r="T1134" s="464">
        <v>5.4</v>
      </c>
      <c r="U1134" s="465">
        <v>3515.4</v>
      </c>
      <c r="V1134" s="465">
        <v>17100</v>
      </c>
      <c r="W1134" s="466">
        <v>0</v>
      </c>
      <c r="X1134" s="467">
        <v>1</v>
      </c>
      <c r="Y1134" s="466">
        <v>30923.1</v>
      </c>
      <c r="Z1134" s="468" t="s">
        <v>516</v>
      </c>
      <c r="AA1134" s="466">
        <v>116775.9</v>
      </c>
      <c r="AB1134" s="466">
        <v>116775.9</v>
      </c>
      <c r="AC1134" s="467">
        <v>0</v>
      </c>
      <c r="AD1134" s="466">
        <v>0</v>
      </c>
      <c r="AE1134" s="468" t="s">
        <v>516</v>
      </c>
      <c r="AF1134" s="466">
        <v>0</v>
      </c>
      <c r="AG1134" s="466">
        <v>0</v>
      </c>
      <c r="AH1134" s="466">
        <v>15917.89</v>
      </c>
      <c r="AI1134" s="466">
        <v>6371.58</v>
      </c>
      <c r="AJ1134" s="469" t="s">
        <v>1889</v>
      </c>
      <c r="AK1134" s="470" t="s">
        <v>1890</v>
      </c>
      <c r="AL1134" s="471" t="s">
        <v>9590</v>
      </c>
      <c r="AM1134" s="470" t="s">
        <v>2655</v>
      </c>
      <c r="AN1134" s="470" t="s">
        <v>14191</v>
      </c>
      <c r="AO1134" s="470" t="s">
        <v>14192</v>
      </c>
      <c r="AP1134" s="470" t="s">
        <v>1890</v>
      </c>
      <c r="AQ1134" s="470" t="s">
        <v>15121</v>
      </c>
      <c r="AR1134" s="472" t="s">
        <v>515</v>
      </c>
      <c r="AS1134" s="473">
        <v>5.4</v>
      </c>
      <c r="AT1134" s="472" t="s">
        <v>9588</v>
      </c>
      <c r="AU1134" s="472" t="s">
        <v>420</v>
      </c>
      <c r="AV1134" s="472">
        <v>2020</v>
      </c>
      <c r="AW1134" s="474" t="s">
        <v>15078</v>
      </c>
      <c r="AX1134" s="475" t="s">
        <v>15079</v>
      </c>
      <c r="AY1134" s="515">
        <v>1</v>
      </c>
      <c r="AZ1134" s="474" t="s">
        <v>15079</v>
      </c>
      <c r="BA1134" s="472" t="s">
        <v>9588</v>
      </c>
      <c r="BB1134" s="472" t="s">
        <v>1385</v>
      </c>
      <c r="BC1134" s="472" t="s">
        <v>1385</v>
      </c>
      <c r="BD1134" s="472" t="s">
        <v>1385</v>
      </c>
      <c r="BE1134" s="472" t="s">
        <v>1385</v>
      </c>
      <c r="BF1134" s="472">
        <v>30923.1</v>
      </c>
      <c r="BG1134" s="472">
        <v>0</v>
      </c>
      <c r="BH1134" s="472" t="s">
        <v>1385</v>
      </c>
      <c r="BI1134" s="510">
        <v>0</v>
      </c>
      <c r="BJ1134" s="510">
        <v>0</v>
      </c>
      <c r="BK1134" s="510">
        <v>0</v>
      </c>
      <c r="BL1134" s="510">
        <v>0</v>
      </c>
      <c r="BM1134" s="510">
        <v>0</v>
      </c>
      <c r="BN1134" s="510">
        <v>3500</v>
      </c>
      <c r="BO1134" s="510">
        <v>0</v>
      </c>
      <c r="BP1134" s="510">
        <v>0</v>
      </c>
      <c r="BQ1134" s="510">
        <v>0</v>
      </c>
      <c r="BR1134" s="510">
        <v>0</v>
      </c>
      <c r="BS1134" s="510">
        <v>0</v>
      </c>
      <c r="BT1134" s="510">
        <v>0</v>
      </c>
      <c r="BU1134" s="510">
        <v>2500</v>
      </c>
      <c r="BV1134" s="510">
        <v>2500</v>
      </c>
      <c r="BW1134" s="510">
        <v>0</v>
      </c>
      <c r="BX1134" s="510">
        <v>30000</v>
      </c>
      <c r="BY1134" s="1011">
        <v>0</v>
      </c>
      <c r="BZ1134" s="510">
        <v>0</v>
      </c>
      <c r="CA1134" s="1011">
        <v>0</v>
      </c>
      <c r="CB1134" s="510">
        <v>0</v>
      </c>
      <c r="CC1134" s="1011">
        <v>0</v>
      </c>
      <c r="CD1134" s="510">
        <v>0</v>
      </c>
      <c r="CE1134" s="1011">
        <v>0</v>
      </c>
      <c r="CF1134" s="510">
        <v>55852.800000000003</v>
      </c>
      <c r="CG1134" s="1011">
        <v>0</v>
      </c>
      <c r="CH1134" s="510">
        <v>0</v>
      </c>
      <c r="CI1134" s="1011">
        <v>0</v>
      </c>
    </row>
    <row r="1135" spans="1:87" x14ac:dyDescent="0.2">
      <c r="A1135" s="449">
        <v>137</v>
      </c>
      <c r="B1135" s="453">
        <v>200043</v>
      </c>
      <c r="C1135" s="454" t="s">
        <v>9591</v>
      </c>
      <c r="D1135" s="454" t="s">
        <v>9588</v>
      </c>
      <c r="E1135" s="454" t="s">
        <v>9592</v>
      </c>
      <c r="F1135" s="454" t="s">
        <v>513</v>
      </c>
      <c r="G1135" s="454" t="s">
        <v>14193</v>
      </c>
      <c r="H1135" s="455">
        <v>22574574000106</v>
      </c>
      <c r="I1135" s="462">
        <v>42096</v>
      </c>
      <c r="J1135" s="457" t="s">
        <v>280</v>
      </c>
      <c r="K1135" s="454" t="s">
        <v>9483</v>
      </c>
      <c r="L1135" s="458">
        <v>3747</v>
      </c>
      <c r="M1135" s="454" t="s">
        <v>4807</v>
      </c>
      <c r="N1135" s="459">
        <v>8341420</v>
      </c>
      <c r="O1135" s="460">
        <v>20598919</v>
      </c>
      <c r="P1135" s="462">
        <v>155228</v>
      </c>
      <c r="Q1135" s="462">
        <v>137</v>
      </c>
      <c r="R1135" s="462">
        <v>43937</v>
      </c>
      <c r="S1135" s="463">
        <v>513</v>
      </c>
      <c r="T1135" s="464">
        <v>5.4</v>
      </c>
      <c r="U1135" s="465">
        <v>2770.2</v>
      </c>
      <c r="V1135" s="465">
        <v>17100</v>
      </c>
      <c r="W1135" s="466">
        <v>0</v>
      </c>
      <c r="X1135" s="467">
        <v>1</v>
      </c>
      <c r="Y1135" s="466">
        <v>29805.3</v>
      </c>
      <c r="Z1135" s="468" t="s">
        <v>516</v>
      </c>
      <c r="AA1135" s="466">
        <v>110970.9</v>
      </c>
      <c r="AB1135" s="466">
        <v>110970.9</v>
      </c>
      <c r="AC1135" s="467">
        <v>0</v>
      </c>
      <c r="AD1135" s="466">
        <v>0</v>
      </c>
      <c r="AE1135" s="468" t="s">
        <v>516</v>
      </c>
      <c r="AF1135" s="466">
        <v>0</v>
      </c>
      <c r="AG1135" s="466">
        <v>0</v>
      </c>
      <c r="AH1135" s="466">
        <v>15610.15</v>
      </c>
      <c r="AI1135" s="466">
        <v>21931.27</v>
      </c>
      <c r="AJ1135" s="469" t="s">
        <v>1580</v>
      </c>
      <c r="AK1135" s="470" t="s">
        <v>1879</v>
      </c>
      <c r="AL1135" s="471" t="s">
        <v>9593</v>
      </c>
      <c r="AM1135" s="470" t="s">
        <v>9594</v>
      </c>
      <c r="AN1135" s="470" t="s">
        <v>280</v>
      </c>
      <c r="AO1135" s="470" t="s">
        <v>9595</v>
      </c>
      <c r="AP1135" s="470" t="s">
        <v>9596</v>
      </c>
      <c r="AQ1135" s="470" t="s">
        <v>9591</v>
      </c>
      <c r="AR1135" s="472" t="s">
        <v>515</v>
      </c>
      <c r="AS1135" s="473">
        <v>5.4</v>
      </c>
      <c r="AT1135" s="472" t="s">
        <v>9588</v>
      </c>
      <c r="AU1135" s="472" t="s">
        <v>420</v>
      </c>
      <c r="AV1135" s="472">
        <v>2020</v>
      </c>
      <c r="AW1135" s="474" t="s">
        <v>15078</v>
      </c>
      <c r="AX1135" s="475" t="s">
        <v>15079</v>
      </c>
      <c r="AY1135" s="515">
        <v>1</v>
      </c>
      <c r="AZ1135" s="474" t="s">
        <v>15079</v>
      </c>
      <c r="BA1135" s="472" t="s">
        <v>9588</v>
      </c>
      <c r="BB1135" s="472" t="s">
        <v>1385</v>
      </c>
      <c r="BC1135" s="472" t="s">
        <v>1385</v>
      </c>
      <c r="BD1135" s="472" t="s">
        <v>1385</v>
      </c>
      <c r="BE1135" s="472" t="s">
        <v>1385</v>
      </c>
      <c r="BF1135" s="472">
        <v>29805.3</v>
      </c>
      <c r="BG1135" s="472">
        <v>0</v>
      </c>
      <c r="BH1135" s="472" t="s">
        <v>1385</v>
      </c>
      <c r="BI1135" s="510">
        <v>0</v>
      </c>
      <c r="BJ1135" s="510">
        <v>0</v>
      </c>
      <c r="BK1135" s="510">
        <v>0</v>
      </c>
      <c r="BL1135" s="510">
        <v>3500</v>
      </c>
      <c r="BM1135" s="510">
        <v>0</v>
      </c>
      <c r="BN1135" s="510">
        <v>3500</v>
      </c>
      <c r="BO1135" s="510">
        <v>0</v>
      </c>
      <c r="BP1135" s="510">
        <v>0</v>
      </c>
      <c r="BQ1135" s="510">
        <v>0</v>
      </c>
      <c r="BR1135" s="510">
        <v>0</v>
      </c>
      <c r="BS1135" s="510">
        <v>0</v>
      </c>
      <c r="BT1135" s="510">
        <v>0</v>
      </c>
      <c r="BU1135" s="510">
        <v>0</v>
      </c>
      <c r="BV1135" s="510">
        <v>0</v>
      </c>
      <c r="BW1135" s="510">
        <v>0</v>
      </c>
      <c r="BX1135" s="510">
        <v>30000</v>
      </c>
      <c r="BY1135" s="1011">
        <v>0</v>
      </c>
      <c r="BZ1135" s="510">
        <v>0</v>
      </c>
      <c r="CA1135" s="1011">
        <v>0</v>
      </c>
      <c r="CB1135" s="510">
        <v>0</v>
      </c>
      <c r="CC1135" s="1011">
        <v>0</v>
      </c>
      <c r="CD1135" s="510">
        <v>0</v>
      </c>
      <c r="CE1135" s="1011">
        <v>0</v>
      </c>
      <c r="CF1135" s="510">
        <v>51165.599999999999</v>
      </c>
      <c r="CG1135" s="1011">
        <v>0</v>
      </c>
      <c r="CH1135" s="510">
        <v>0</v>
      </c>
      <c r="CI1135" s="1011">
        <v>0</v>
      </c>
    </row>
    <row r="1136" spans="1:87" x14ac:dyDescent="0.2">
      <c r="A1136" s="449">
        <v>145</v>
      </c>
      <c r="B1136" s="453">
        <v>200044</v>
      </c>
      <c r="C1136" s="454" t="s">
        <v>9597</v>
      </c>
      <c r="D1136" s="454" t="s">
        <v>9588</v>
      </c>
      <c r="E1136" s="454" t="s">
        <v>9598</v>
      </c>
      <c r="F1136" s="454" t="s">
        <v>528</v>
      </c>
      <c r="G1136" s="454" t="s">
        <v>14194</v>
      </c>
      <c r="H1136" s="455">
        <v>25488307000104</v>
      </c>
      <c r="I1136" s="462">
        <v>42592</v>
      </c>
      <c r="J1136" s="457" t="s">
        <v>280</v>
      </c>
      <c r="K1136" s="454" t="s">
        <v>9599</v>
      </c>
      <c r="L1136" s="458">
        <v>160</v>
      </c>
      <c r="M1136" s="454" t="s">
        <v>9600</v>
      </c>
      <c r="N1136" s="459">
        <v>5211150</v>
      </c>
      <c r="O1136" s="460" t="s">
        <v>280</v>
      </c>
      <c r="P1136" s="462">
        <v>269576</v>
      </c>
      <c r="Q1136" s="462">
        <v>145</v>
      </c>
      <c r="R1136" s="462">
        <v>43938</v>
      </c>
      <c r="S1136" s="463">
        <v>1323</v>
      </c>
      <c r="T1136" s="464">
        <v>5.4</v>
      </c>
      <c r="U1136" s="465">
        <v>7144.2</v>
      </c>
      <c r="V1136" s="465">
        <v>21960</v>
      </c>
      <c r="W1136" s="466">
        <v>0</v>
      </c>
      <c r="X1136" s="467">
        <v>1</v>
      </c>
      <c r="Y1136" s="466">
        <v>43656.3</v>
      </c>
      <c r="Z1136" s="468" t="s">
        <v>516</v>
      </c>
      <c r="AA1136" s="466">
        <v>152480.70000000001</v>
      </c>
      <c r="AB1136" s="466">
        <v>152480.70000000001</v>
      </c>
      <c r="AC1136" s="467">
        <v>0</v>
      </c>
      <c r="AD1136" s="466">
        <v>0</v>
      </c>
      <c r="AE1136" s="468" t="s">
        <v>516</v>
      </c>
      <c r="AF1136" s="466">
        <v>2000</v>
      </c>
      <c r="AG1136" s="466">
        <v>2000</v>
      </c>
      <c r="AH1136" s="466">
        <v>23836.83</v>
      </c>
      <c r="AI1136" s="466">
        <v>6434.19</v>
      </c>
      <c r="AJ1136" s="469" t="s">
        <v>3502</v>
      </c>
      <c r="AK1136" s="470" t="s">
        <v>2241</v>
      </c>
      <c r="AL1136" s="471" t="s">
        <v>9601</v>
      </c>
      <c r="AM1136" s="470" t="s">
        <v>14195</v>
      </c>
      <c r="AN1136" s="470" t="s">
        <v>14196</v>
      </c>
      <c r="AO1136" s="470" t="s">
        <v>14197</v>
      </c>
      <c r="AP1136" s="470" t="s">
        <v>9602</v>
      </c>
      <c r="AQ1136" s="470" t="s">
        <v>9597</v>
      </c>
      <c r="AR1136" s="472" t="s">
        <v>515</v>
      </c>
      <c r="AS1136" s="473">
        <v>5.4</v>
      </c>
      <c r="AT1136" s="472" t="s">
        <v>9588</v>
      </c>
      <c r="AU1136" s="472" t="s">
        <v>420</v>
      </c>
      <c r="AV1136" s="472">
        <v>2020</v>
      </c>
      <c r="AW1136" s="474" t="s">
        <v>15078</v>
      </c>
      <c r="AX1136" s="475" t="s">
        <v>15079</v>
      </c>
      <c r="AY1136" s="515">
        <v>1</v>
      </c>
      <c r="AZ1136" s="474" t="s">
        <v>15079</v>
      </c>
      <c r="BA1136" s="472" t="s">
        <v>9588</v>
      </c>
      <c r="BB1136" s="472" t="s">
        <v>1385</v>
      </c>
      <c r="BC1136" s="472" t="s">
        <v>1385</v>
      </c>
      <c r="BD1136" s="472" t="s">
        <v>1385</v>
      </c>
      <c r="BE1136" s="472" t="s">
        <v>1385</v>
      </c>
      <c r="BF1136" s="472">
        <v>43656.3</v>
      </c>
      <c r="BG1136" s="472">
        <v>0</v>
      </c>
      <c r="BH1136" s="472" t="s">
        <v>1385</v>
      </c>
      <c r="BI1136" s="510">
        <v>0</v>
      </c>
      <c r="BJ1136" s="510">
        <v>437.7</v>
      </c>
      <c r="BK1136" s="510">
        <v>0</v>
      </c>
      <c r="BL1136" s="510">
        <v>3500</v>
      </c>
      <c r="BM1136" s="510">
        <v>0</v>
      </c>
      <c r="BN1136" s="510">
        <v>6000</v>
      </c>
      <c r="BO1136" s="510">
        <v>0</v>
      </c>
      <c r="BP1136" s="510">
        <v>2000</v>
      </c>
      <c r="BQ1136" s="510">
        <v>0</v>
      </c>
      <c r="BR1136" s="510">
        <v>0</v>
      </c>
      <c r="BS1136" s="510">
        <v>0</v>
      </c>
      <c r="BT1136" s="510">
        <v>0</v>
      </c>
      <c r="BU1136" s="510">
        <v>0</v>
      </c>
      <c r="BV1136" s="510">
        <v>0</v>
      </c>
      <c r="BW1136" s="510">
        <v>0</v>
      </c>
      <c r="BX1136" s="510">
        <v>30000</v>
      </c>
      <c r="BY1136" s="1011">
        <v>0</v>
      </c>
      <c r="BZ1136" s="510">
        <v>0</v>
      </c>
      <c r="CA1136" s="1011">
        <v>0</v>
      </c>
      <c r="CB1136" s="510">
        <v>0</v>
      </c>
      <c r="CC1136" s="1011">
        <v>0</v>
      </c>
      <c r="CD1136" s="510">
        <v>0</v>
      </c>
      <c r="CE1136" s="1011">
        <v>0</v>
      </c>
      <c r="CF1136" s="510">
        <v>78824.399999999994</v>
      </c>
      <c r="CG1136" s="1011">
        <v>0</v>
      </c>
      <c r="CH1136" s="510">
        <v>0</v>
      </c>
      <c r="CI1136" s="1011">
        <v>0</v>
      </c>
    </row>
    <row r="1137" spans="1:87" x14ac:dyDescent="0.2">
      <c r="A1137" s="449">
        <v>34</v>
      </c>
      <c r="B1137" s="453">
        <v>200050</v>
      </c>
      <c r="C1137" s="454" t="s">
        <v>9603</v>
      </c>
      <c r="D1137" s="454" t="s">
        <v>9588</v>
      </c>
      <c r="E1137" s="454" t="s">
        <v>9604</v>
      </c>
      <c r="F1137" s="454" t="s">
        <v>513</v>
      </c>
      <c r="G1137" s="454" t="s">
        <v>14198</v>
      </c>
      <c r="H1137" s="455">
        <v>1336464000136</v>
      </c>
      <c r="I1137" s="462">
        <v>35271</v>
      </c>
      <c r="J1137" s="457" t="s">
        <v>280</v>
      </c>
      <c r="K1137" s="454" t="s">
        <v>7102</v>
      </c>
      <c r="L1137" s="458">
        <v>40</v>
      </c>
      <c r="M1137" s="454" t="s">
        <v>9605</v>
      </c>
      <c r="N1137" s="459">
        <v>3977360</v>
      </c>
      <c r="O1137" s="460">
        <v>29192069</v>
      </c>
      <c r="P1137" s="462">
        <v>149562</v>
      </c>
      <c r="Q1137" s="462">
        <v>34</v>
      </c>
      <c r="R1137" s="462">
        <v>43937</v>
      </c>
      <c r="S1137" s="463">
        <v>794</v>
      </c>
      <c r="T1137" s="464">
        <v>5.4</v>
      </c>
      <c r="U1137" s="465">
        <v>4287.6000000000004</v>
      </c>
      <c r="V1137" s="465">
        <v>18720</v>
      </c>
      <c r="W1137" s="466">
        <v>0</v>
      </c>
      <c r="X1137" s="467">
        <v>1</v>
      </c>
      <c r="Y1137" s="466">
        <v>34511.4</v>
      </c>
      <c r="Z1137" s="468" t="s">
        <v>516</v>
      </c>
      <c r="AA1137" s="466">
        <v>126153</v>
      </c>
      <c r="AB1137" s="466">
        <v>126153</v>
      </c>
      <c r="AC1137" s="467">
        <v>0</v>
      </c>
      <c r="AD1137" s="466">
        <v>0</v>
      </c>
      <c r="AE1137" s="468" t="s">
        <v>516</v>
      </c>
      <c r="AF1137" s="466">
        <v>0</v>
      </c>
      <c r="AG1137" s="466">
        <v>0</v>
      </c>
      <c r="AH1137" s="466">
        <v>5101.75</v>
      </c>
      <c r="AI1137" s="466">
        <v>6542.95</v>
      </c>
      <c r="AJ1137" s="469" t="s">
        <v>1972</v>
      </c>
      <c r="AK1137" s="470" t="s">
        <v>1973</v>
      </c>
      <c r="AL1137" s="471" t="s">
        <v>9606</v>
      </c>
      <c r="AM1137" s="470" t="s">
        <v>14199</v>
      </c>
      <c r="AN1137" s="470" t="s">
        <v>1385</v>
      </c>
      <c r="AO1137" s="470" t="s">
        <v>9607</v>
      </c>
      <c r="AP1137" s="470" t="s">
        <v>9608</v>
      </c>
      <c r="AQ1137" s="470" t="s">
        <v>9603</v>
      </c>
      <c r="AR1137" s="472" t="s">
        <v>515</v>
      </c>
      <c r="AS1137" s="473">
        <v>5.4</v>
      </c>
      <c r="AT1137" s="472" t="s">
        <v>9588</v>
      </c>
      <c r="AU1137" s="472" t="s">
        <v>420</v>
      </c>
      <c r="AV1137" s="472">
        <v>2020</v>
      </c>
      <c r="AW1137" s="474" t="s">
        <v>15078</v>
      </c>
      <c r="AX1137" s="475" t="s">
        <v>15079</v>
      </c>
      <c r="AY1137" s="515">
        <v>1</v>
      </c>
      <c r="AZ1137" s="474" t="s">
        <v>15079</v>
      </c>
      <c r="BA1137" s="472" t="s">
        <v>9588</v>
      </c>
      <c r="BB1137" s="472" t="s">
        <v>1385</v>
      </c>
      <c r="BC1137" s="472" t="s">
        <v>1385</v>
      </c>
      <c r="BD1137" s="472" t="s">
        <v>1385</v>
      </c>
      <c r="BE1137" s="472" t="s">
        <v>1385</v>
      </c>
      <c r="BF1137" s="472">
        <v>34511.4</v>
      </c>
      <c r="BG1137" s="472">
        <v>0</v>
      </c>
      <c r="BH1137" s="472" t="s">
        <v>1385</v>
      </c>
      <c r="BI1137" s="510">
        <v>0</v>
      </c>
      <c r="BJ1137" s="510">
        <v>0</v>
      </c>
      <c r="BK1137" s="510">
        <v>0</v>
      </c>
      <c r="BL1137" s="510">
        <v>0</v>
      </c>
      <c r="BM1137" s="510">
        <v>0</v>
      </c>
      <c r="BN1137" s="510">
        <v>4350</v>
      </c>
      <c r="BO1137" s="510">
        <v>0</v>
      </c>
      <c r="BP1137" s="510">
        <v>0</v>
      </c>
      <c r="BQ1137" s="510">
        <v>0</v>
      </c>
      <c r="BR1137" s="510">
        <v>0</v>
      </c>
      <c r="BS1137" s="510">
        <v>0</v>
      </c>
      <c r="BT1137" s="510">
        <v>0</v>
      </c>
      <c r="BU1137" s="510">
        <v>2500</v>
      </c>
      <c r="BV1137" s="510">
        <v>2500</v>
      </c>
      <c r="BW1137" s="510">
        <v>0</v>
      </c>
      <c r="BX1137" s="510">
        <v>30000</v>
      </c>
      <c r="BY1137" s="1011">
        <v>0</v>
      </c>
      <c r="BZ1137" s="510">
        <v>0</v>
      </c>
      <c r="CA1137" s="1011">
        <v>0</v>
      </c>
      <c r="CB1137" s="510">
        <v>0</v>
      </c>
      <c r="CC1137" s="1011">
        <v>0</v>
      </c>
      <c r="CD1137" s="510">
        <v>0</v>
      </c>
      <c r="CE1137" s="1011">
        <v>0</v>
      </c>
      <c r="CF1137" s="510">
        <v>61641.599999999999</v>
      </c>
      <c r="CG1137" s="1011">
        <v>0</v>
      </c>
      <c r="CH1137" s="510">
        <v>0</v>
      </c>
      <c r="CI1137" s="1011">
        <v>0</v>
      </c>
    </row>
    <row r="1138" spans="1:87" x14ac:dyDescent="0.2">
      <c r="A1138" s="449">
        <v>26</v>
      </c>
      <c r="B1138" s="453">
        <v>200069</v>
      </c>
      <c r="C1138" s="454" t="s">
        <v>9609</v>
      </c>
      <c r="D1138" s="454" t="s">
        <v>9588</v>
      </c>
      <c r="E1138" s="454" t="s">
        <v>9609</v>
      </c>
      <c r="F1138" s="454" t="s">
        <v>525</v>
      </c>
      <c r="G1138" s="454" t="s">
        <v>14200</v>
      </c>
      <c r="H1138" s="455">
        <v>1947249000171</v>
      </c>
      <c r="I1138" s="462">
        <v>35608</v>
      </c>
      <c r="J1138" s="457">
        <v>37357557</v>
      </c>
      <c r="K1138" s="454" t="s">
        <v>6813</v>
      </c>
      <c r="L1138" s="458">
        <v>68</v>
      </c>
      <c r="M1138" s="454" t="s">
        <v>6814</v>
      </c>
      <c r="N1138" s="459">
        <v>2139020</v>
      </c>
      <c r="O1138" s="460">
        <v>29817284</v>
      </c>
      <c r="P1138" s="462">
        <v>327711</v>
      </c>
      <c r="Q1138" s="462">
        <v>26</v>
      </c>
      <c r="R1138" s="462">
        <v>43950</v>
      </c>
      <c r="S1138" s="463">
        <v>539</v>
      </c>
      <c r="T1138" s="464">
        <v>5.4</v>
      </c>
      <c r="U1138" s="465">
        <v>2910.6</v>
      </c>
      <c r="V1138" s="465">
        <v>17100</v>
      </c>
      <c r="W1138" s="466">
        <v>0</v>
      </c>
      <c r="X1138" s="467">
        <v>1</v>
      </c>
      <c r="Y1138" s="466">
        <v>30015.9</v>
      </c>
      <c r="Z1138" s="468" t="s">
        <v>516</v>
      </c>
      <c r="AA1138" s="466">
        <v>114853.5</v>
      </c>
      <c r="AB1138" s="466">
        <v>114853.5</v>
      </c>
      <c r="AC1138" s="467">
        <v>0</v>
      </c>
      <c r="AD1138" s="466">
        <v>0</v>
      </c>
      <c r="AE1138" s="468" t="s">
        <v>516</v>
      </c>
      <c r="AF1138" s="466">
        <v>0</v>
      </c>
      <c r="AG1138" s="466">
        <v>0</v>
      </c>
      <c r="AH1138" s="466">
        <v>19598.099999999999</v>
      </c>
      <c r="AI1138" s="466">
        <v>4338.7</v>
      </c>
      <c r="AJ1138" s="469" t="s">
        <v>6815</v>
      </c>
      <c r="AK1138" s="470" t="s">
        <v>6814</v>
      </c>
      <c r="AL1138" s="471" t="s">
        <v>9610</v>
      </c>
      <c r="AM1138" s="470" t="s">
        <v>9611</v>
      </c>
      <c r="AN1138" s="470" t="s">
        <v>9612</v>
      </c>
      <c r="AO1138" s="470" t="s">
        <v>14201</v>
      </c>
      <c r="AP1138" s="470" t="s">
        <v>9613</v>
      </c>
      <c r="AQ1138" s="470" t="s">
        <v>9609</v>
      </c>
      <c r="AR1138" s="472" t="s">
        <v>515</v>
      </c>
      <c r="AS1138" s="473">
        <v>5.4</v>
      </c>
      <c r="AT1138" s="472" t="s">
        <v>9588</v>
      </c>
      <c r="AU1138" s="472" t="s">
        <v>420</v>
      </c>
      <c r="AV1138" s="472">
        <v>2020</v>
      </c>
      <c r="AW1138" s="474" t="s">
        <v>15078</v>
      </c>
      <c r="AX1138" s="475" t="s">
        <v>15079</v>
      </c>
      <c r="AY1138" s="515">
        <v>1</v>
      </c>
      <c r="AZ1138" s="474" t="s">
        <v>15079</v>
      </c>
      <c r="BA1138" s="472" t="s">
        <v>9588</v>
      </c>
      <c r="BB1138" s="472" t="s">
        <v>1385</v>
      </c>
      <c r="BC1138" s="472" t="s">
        <v>1385</v>
      </c>
      <c r="BD1138" s="472" t="s">
        <v>1385</v>
      </c>
      <c r="BE1138" s="472" t="s">
        <v>1385</v>
      </c>
      <c r="BF1138" s="472">
        <v>30015.9</v>
      </c>
      <c r="BG1138" s="472">
        <v>0</v>
      </c>
      <c r="BH1138" s="472" t="s">
        <v>1385</v>
      </c>
      <c r="BI1138" s="510">
        <v>0</v>
      </c>
      <c r="BJ1138" s="510">
        <v>0</v>
      </c>
      <c r="BK1138" s="510">
        <v>0</v>
      </c>
      <c r="BL1138" s="510">
        <v>3500</v>
      </c>
      <c r="BM1138" s="510">
        <v>0</v>
      </c>
      <c r="BN1138" s="510">
        <v>3500</v>
      </c>
      <c r="BO1138" s="510">
        <v>0</v>
      </c>
      <c r="BP1138" s="510">
        <v>0</v>
      </c>
      <c r="BQ1138" s="510">
        <v>0</v>
      </c>
      <c r="BR1138" s="510">
        <v>0</v>
      </c>
      <c r="BS1138" s="510">
        <v>0</v>
      </c>
      <c r="BT1138" s="510">
        <v>0</v>
      </c>
      <c r="BU1138" s="510">
        <v>0</v>
      </c>
      <c r="BV1138" s="510">
        <v>0</v>
      </c>
      <c r="BW1138" s="510">
        <v>0</v>
      </c>
      <c r="BX1138" s="510">
        <v>30000</v>
      </c>
      <c r="BY1138" s="1011">
        <v>0</v>
      </c>
      <c r="BZ1138" s="510">
        <v>0</v>
      </c>
      <c r="CA1138" s="1011">
        <v>0</v>
      </c>
      <c r="CB1138" s="510">
        <v>0</v>
      </c>
      <c r="CC1138" s="1011">
        <v>0</v>
      </c>
      <c r="CD1138" s="510">
        <v>0</v>
      </c>
      <c r="CE1138" s="1011">
        <v>0</v>
      </c>
      <c r="CF1138" s="510">
        <v>54837.599999999999</v>
      </c>
      <c r="CG1138" s="1011">
        <v>0</v>
      </c>
      <c r="CH1138" s="510">
        <v>0</v>
      </c>
      <c r="CI1138" s="1011">
        <v>0</v>
      </c>
    </row>
    <row r="1139" spans="1:87" x14ac:dyDescent="0.2">
      <c r="A1139" s="449">
        <v>25</v>
      </c>
      <c r="B1139" s="453">
        <v>200077</v>
      </c>
      <c r="C1139" s="454" t="s">
        <v>9614</v>
      </c>
      <c r="D1139" s="454" t="s">
        <v>9588</v>
      </c>
      <c r="E1139" s="454" t="s">
        <v>9615</v>
      </c>
      <c r="F1139" s="454" t="s">
        <v>518</v>
      </c>
      <c r="G1139" s="454" t="s">
        <v>14202</v>
      </c>
      <c r="H1139" s="455">
        <v>1822466000135</v>
      </c>
      <c r="I1139" s="462">
        <v>35319</v>
      </c>
      <c r="J1139" s="457">
        <v>37469088</v>
      </c>
      <c r="K1139" s="454" t="s">
        <v>9616</v>
      </c>
      <c r="L1139" s="458">
        <v>221</v>
      </c>
      <c r="M1139" s="454" t="s">
        <v>518</v>
      </c>
      <c r="N1139" s="459">
        <v>8285060</v>
      </c>
      <c r="O1139" s="460">
        <v>27419801</v>
      </c>
      <c r="P1139" s="462">
        <v>49770</v>
      </c>
      <c r="Q1139" s="462">
        <v>70</v>
      </c>
      <c r="R1139" s="462">
        <v>43934</v>
      </c>
      <c r="S1139" s="463">
        <v>648</v>
      </c>
      <c r="T1139" s="464">
        <v>5.4</v>
      </c>
      <c r="U1139" s="465">
        <v>3499.2</v>
      </c>
      <c r="V1139" s="465">
        <v>17100</v>
      </c>
      <c r="W1139" s="466">
        <v>0</v>
      </c>
      <c r="X1139" s="467">
        <v>1</v>
      </c>
      <c r="Y1139" s="466">
        <v>30898.799999999999</v>
      </c>
      <c r="Z1139" s="468" t="s">
        <v>516</v>
      </c>
      <c r="AA1139" s="466">
        <v>116989.2</v>
      </c>
      <c r="AB1139" s="466">
        <v>116989.2</v>
      </c>
      <c r="AC1139" s="467">
        <v>0</v>
      </c>
      <c r="AD1139" s="466">
        <v>0</v>
      </c>
      <c r="AE1139" s="468" t="s">
        <v>516</v>
      </c>
      <c r="AF1139" s="466">
        <v>0</v>
      </c>
      <c r="AG1139" s="466">
        <v>0</v>
      </c>
      <c r="AH1139" s="466">
        <v>26918.18</v>
      </c>
      <c r="AI1139" s="466">
        <v>11802.54</v>
      </c>
      <c r="AJ1139" s="469" t="s">
        <v>2196</v>
      </c>
      <c r="AK1139" s="470" t="s">
        <v>2197</v>
      </c>
      <c r="AL1139" s="471" t="s">
        <v>9617</v>
      </c>
      <c r="AM1139" s="470" t="s">
        <v>9618</v>
      </c>
      <c r="AN1139" s="470" t="s">
        <v>9619</v>
      </c>
      <c r="AO1139" s="470" t="s">
        <v>15040</v>
      </c>
      <c r="AP1139" s="470" t="s">
        <v>9620</v>
      </c>
      <c r="AQ1139" s="470" t="s">
        <v>9614</v>
      </c>
      <c r="AR1139" s="472" t="s">
        <v>515</v>
      </c>
      <c r="AS1139" s="473">
        <v>5.4</v>
      </c>
      <c r="AT1139" s="472" t="s">
        <v>9588</v>
      </c>
      <c r="AU1139" s="472" t="s">
        <v>420</v>
      </c>
      <c r="AV1139" s="472">
        <v>2020</v>
      </c>
      <c r="AW1139" s="474" t="s">
        <v>15078</v>
      </c>
      <c r="AX1139" s="475" t="s">
        <v>15079</v>
      </c>
      <c r="AY1139" s="515">
        <v>1</v>
      </c>
      <c r="AZ1139" s="474" t="s">
        <v>15079</v>
      </c>
      <c r="BA1139" s="472" t="s">
        <v>9588</v>
      </c>
      <c r="BB1139" s="472" t="s">
        <v>1385</v>
      </c>
      <c r="BC1139" s="472" t="s">
        <v>1385</v>
      </c>
      <c r="BD1139" s="472" t="s">
        <v>1385</v>
      </c>
      <c r="BE1139" s="472" t="s">
        <v>1385</v>
      </c>
      <c r="BF1139" s="472">
        <v>30898.799999999999</v>
      </c>
      <c r="BG1139" s="472">
        <v>0</v>
      </c>
      <c r="BH1139" s="472" t="s">
        <v>1385</v>
      </c>
      <c r="BI1139" s="510">
        <v>0</v>
      </c>
      <c r="BJ1139" s="510">
        <v>0</v>
      </c>
      <c r="BK1139" s="510">
        <v>0</v>
      </c>
      <c r="BL1139" s="510">
        <v>3500</v>
      </c>
      <c r="BM1139" s="510">
        <v>0</v>
      </c>
      <c r="BN1139" s="510">
        <v>3500</v>
      </c>
      <c r="BO1139" s="510">
        <v>0</v>
      </c>
      <c r="BP1139" s="510">
        <v>0</v>
      </c>
      <c r="BQ1139" s="510">
        <v>0</v>
      </c>
      <c r="BR1139" s="510">
        <v>0</v>
      </c>
      <c r="BS1139" s="510">
        <v>0</v>
      </c>
      <c r="BT1139" s="510">
        <v>0</v>
      </c>
      <c r="BU1139" s="510">
        <v>0</v>
      </c>
      <c r="BV1139" s="510">
        <v>0</v>
      </c>
      <c r="BW1139" s="510">
        <v>0</v>
      </c>
      <c r="BX1139" s="510">
        <v>30000</v>
      </c>
      <c r="BY1139" s="1011">
        <v>0</v>
      </c>
      <c r="BZ1139" s="510">
        <v>0</v>
      </c>
      <c r="CA1139" s="1011">
        <v>0</v>
      </c>
      <c r="CB1139" s="510">
        <v>0</v>
      </c>
      <c r="CC1139" s="1011">
        <v>0</v>
      </c>
      <c r="CD1139" s="510">
        <v>0</v>
      </c>
      <c r="CE1139" s="1011">
        <v>0</v>
      </c>
      <c r="CF1139" s="510">
        <v>56090.400000000001</v>
      </c>
      <c r="CG1139" s="1011">
        <v>0</v>
      </c>
      <c r="CH1139" s="510">
        <v>0</v>
      </c>
      <c r="CI1139" s="1011">
        <v>0</v>
      </c>
    </row>
    <row r="1140" spans="1:87" x14ac:dyDescent="0.2">
      <c r="A1140" s="449">
        <v>22</v>
      </c>
      <c r="B1140" s="453">
        <v>200085</v>
      </c>
      <c r="C1140" s="454" t="s">
        <v>9621</v>
      </c>
      <c r="D1140" s="454" t="s">
        <v>9588</v>
      </c>
      <c r="E1140" s="454" t="s">
        <v>9622</v>
      </c>
      <c r="F1140" s="454" t="s">
        <v>524</v>
      </c>
      <c r="G1140" s="454" t="s">
        <v>14203</v>
      </c>
      <c r="H1140" s="455">
        <v>2092477000170</v>
      </c>
      <c r="I1140" s="462">
        <v>39562</v>
      </c>
      <c r="J1140" s="457">
        <v>37498754</v>
      </c>
      <c r="K1140" s="454" t="s">
        <v>9623</v>
      </c>
      <c r="L1140" s="458">
        <v>111</v>
      </c>
      <c r="M1140" s="454" t="s">
        <v>6517</v>
      </c>
      <c r="N1140" s="459">
        <v>1521000</v>
      </c>
      <c r="O1140" s="460">
        <v>32087820</v>
      </c>
      <c r="P1140" s="462">
        <v>203915</v>
      </c>
      <c r="Q1140" s="462">
        <v>27</v>
      </c>
      <c r="R1140" s="462">
        <v>43906</v>
      </c>
      <c r="S1140" s="463">
        <v>646</v>
      </c>
      <c r="T1140" s="464">
        <v>5.4</v>
      </c>
      <c r="U1140" s="465">
        <v>3488.4</v>
      </c>
      <c r="V1140" s="465">
        <v>17100</v>
      </c>
      <c r="W1140" s="466">
        <v>0</v>
      </c>
      <c r="X1140" s="467">
        <v>1</v>
      </c>
      <c r="Y1140" s="466">
        <v>30882.6</v>
      </c>
      <c r="Z1140" s="468" t="s">
        <v>516</v>
      </c>
      <c r="AA1140" s="466">
        <v>117027</v>
      </c>
      <c r="AB1140" s="466">
        <v>117027</v>
      </c>
      <c r="AC1140" s="467">
        <v>0</v>
      </c>
      <c r="AD1140" s="466">
        <v>0</v>
      </c>
      <c r="AE1140" s="468" t="s">
        <v>516</v>
      </c>
      <c r="AF1140" s="466">
        <v>0</v>
      </c>
      <c r="AG1140" s="466">
        <v>0</v>
      </c>
      <c r="AH1140" s="466">
        <v>7268.29</v>
      </c>
      <c r="AI1140" s="466">
        <v>9913.18</v>
      </c>
      <c r="AJ1140" s="469" t="s">
        <v>9624</v>
      </c>
      <c r="AK1140" s="470" t="s">
        <v>9625</v>
      </c>
      <c r="AL1140" s="471" t="s">
        <v>9626</v>
      </c>
      <c r="AM1140" s="470" t="s">
        <v>15107</v>
      </c>
      <c r="AN1140" s="470" t="s">
        <v>9627</v>
      </c>
      <c r="AO1140" s="470" t="s">
        <v>14204</v>
      </c>
      <c r="AP1140" s="470" t="s">
        <v>9628</v>
      </c>
      <c r="AQ1140" s="470" t="s">
        <v>9621</v>
      </c>
      <c r="AR1140" s="472" t="s">
        <v>515</v>
      </c>
      <c r="AS1140" s="473">
        <v>5.4</v>
      </c>
      <c r="AT1140" s="472" t="s">
        <v>9588</v>
      </c>
      <c r="AU1140" s="472" t="s">
        <v>420</v>
      </c>
      <c r="AV1140" s="472">
        <v>2020</v>
      </c>
      <c r="AW1140" s="474" t="s">
        <v>15078</v>
      </c>
      <c r="AX1140" s="475" t="s">
        <v>15079</v>
      </c>
      <c r="AY1140" s="515">
        <v>1</v>
      </c>
      <c r="AZ1140" s="474" t="s">
        <v>15079</v>
      </c>
      <c r="BA1140" s="472" t="s">
        <v>9588</v>
      </c>
      <c r="BB1140" s="472" t="s">
        <v>1385</v>
      </c>
      <c r="BC1140" s="472" t="s">
        <v>1385</v>
      </c>
      <c r="BD1140" s="472" t="s">
        <v>1385</v>
      </c>
      <c r="BE1140" s="472" t="s">
        <v>1385</v>
      </c>
      <c r="BF1140" s="472">
        <v>30882.6</v>
      </c>
      <c r="BG1140" s="472">
        <v>0</v>
      </c>
      <c r="BH1140" s="472" t="s">
        <v>1385</v>
      </c>
      <c r="BI1140" s="510">
        <v>0</v>
      </c>
      <c r="BJ1140" s="510">
        <v>0</v>
      </c>
      <c r="BK1140" s="510">
        <v>0</v>
      </c>
      <c r="BL1140" s="510">
        <v>0</v>
      </c>
      <c r="BM1140" s="510">
        <v>0</v>
      </c>
      <c r="BN1140" s="510">
        <v>3500</v>
      </c>
      <c r="BO1140" s="510">
        <v>0</v>
      </c>
      <c r="BP1140" s="510">
        <v>0</v>
      </c>
      <c r="BQ1140" s="510">
        <v>0</v>
      </c>
      <c r="BR1140" s="510">
        <v>0</v>
      </c>
      <c r="BS1140" s="510">
        <v>0</v>
      </c>
      <c r="BT1140" s="510">
        <v>0</v>
      </c>
      <c r="BU1140" s="510">
        <v>0</v>
      </c>
      <c r="BV1140" s="510">
        <v>0</v>
      </c>
      <c r="BW1140" s="510">
        <v>0</v>
      </c>
      <c r="BX1140" s="510">
        <v>30000</v>
      </c>
      <c r="BY1140" s="1011">
        <v>0</v>
      </c>
      <c r="BZ1140" s="510">
        <v>0</v>
      </c>
      <c r="CA1140" s="1011">
        <v>0</v>
      </c>
      <c r="CB1140" s="510">
        <v>0</v>
      </c>
      <c r="CC1140" s="1011">
        <v>0</v>
      </c>
      <c r="CD1140" s="510">
        <v>0</v>
      </c>
      <c r="CE1140" s="1011">
        <v>0</v>
      </c>
      <c r="CF1140" s="510">
        <v>56144.4</v>
      </c>
      <c r="CG1140" s="1011">
        <v>0</v>
      </c>
      <c r="CH1140" s="510">
        <v>0</v>
      </c>
      <c r="CI1140" s="1011">
        <v>0</v>
      </c>
    </row>
    <row r="1141" spans="1:87" x14ac:dyDescent="0.2">
      <c r="A1141" s="449">
        <v>29</v>
      </c>
      <c r="B1141" s="453">
        <v>200093</v>
      </c>
      <c r="C1141" s="454" t="s">
        <v>9629</v>
      </c>
      <c r="D1141" s="454" t="s">
        <v>9588</v>
      </c>
      <c r="E1141" s="454" t="s">
        <v>9630</v>
      </c>
      <c r="F1141" s="454" t="s">
        <v>523</v>
      </c>
      <c r="G1141" s="454" t="s">
        <v>14205</v>
      </c>
      <c r="H1141" s="455">
        <v>3019302000108</v>
      </c>
      <c r="I1141" s="462">
        <v>35915</v>
      </c>
      <c r="J1141" s="457">
        <v>99999994</v>
      </c>
      <c r="K1141" s="454" t="s">
        <v>9631</v>
      </c>
      <c r="L1141" s="458">
        <v>33</v>
      </c>
      <c r="M1141" s="454" t="s">
        <v>523</v>
      </c>
      <c r="N1141" s="459">
        <v>8410080</v>
      </c>
      <c r="O1141" s="460">
        <v>25571831</v>
      </c>
      <c r="P1141" s="462">
        <v>263683</v>
      </c>
      <c r="Q1141" s="462">
        <v>29</v>
      </c>
      <c r="R1141" s="462">
        <v>43921</v>
      </c>
      <c r="S1141" s="463">
        <v>1079</v>
      </c>
      <c r="T1141" s="464">
        <v>5.4</v>
      </c>
      <c r="U1141" s="465">
        <v>5826.6</v>
      </c>
      <c r="V1141" s="465">
        <v>20340</v>
      </c>
      <c r="W1141" s="466">
        <v>0</v>
      </c>
      <c r="X1141" s="467">
        <v>1</v>
      </c>
      <c r="Y1141" s="466">
        <v>39249.9</v>
      </c>
      <c r="Z1141" s="468" t="s">
        <v>516</v>
      </c>
      <c r="AA1141" s="466">
        <v>135060.29999999999</v>
      </c>
      <c r="AB1141" s="466">
        <v>135060.29999999999</v>
      </c>
      <c r="AC1141" s="467">
        <v>0</v>
      </c>
      <c r="AD1141" s="466">
        <v>0</v>
      </c>
      <c r="AE1141" s="468" t="s">
        <v>516</v>
      </c>
      <c r="AF1141" s="466">
        <v>0</v>
      </c>
      <c r="AG1141" s="466">
        <v>0</v>
      </c>
      <c r="AH1141" s="466">
        <v>56506.21</v>
      </c>
      <c r="AI1141" s="466">
        <v>15673.14</v>
      </c>
      <c r="AJ1141" s="469" t="s">
        <v>1560</v>
      </c>
      <c r="AK1141" s="470" t="s">
        <v>9632</v>
      </c>
      <c r="AL1141" s="471" t="s">
        <v>9633</v>
      </c>
      <c r="AM1141" s="470" t="s">
        <v>9634</v>
      </c>
      <c r="AN1141" s="470" t="s">
        <v>1385</v>
      </c>
      <c r="AO1141" s="470" t="s">
        <v>9635</v>
      </c>
      <c r="AP1141" s="470" t="s">
        <v>9636</v>
      </c>
      <c r="AQ1141" s="470" t="s">
        <v>9629</v>
      </c>
      <c r="AR1141" s="472" t="s">
        <v>515</v>
      </c>
      <c r="AS1141" s="473">
        <v>5.4</v>
      </c>
      <c r="AT1141" s="472" t="s">
        <v>9588</v>
      </c>
      <c r="AU1141" s="472" t="s">
        <v>420</v>
      </c>
      <c r="AV1141" s="472">
        <v>2020</v>
      </c>
      <c r="AW1141" s="474" t="s">
        <v>15078</v>
      </c>
      <c r="AX1141" s="475" t="s">
        <v>15079</v>
      </c>
      <c r="AY1141" s="515">
        <v>1</v>
      </c>
      <c r="AZ1141" s="474" t="s">
        <v>15079</v>
      </c>
      <c r="BA1141" s="472" t="s">
        <v>9588</v>
      </c>
      <c r="BB1141" s="472" t="s">
        <v>1385</v>
      </c>
      <c r="BC1141" s="472" t="s">
        <v>1385</v>
      </c>
      <c r="BD1141" s="472" t="s">
        <v>1385</v>
      </c>
      <c r="BE1141" s="472" t="s">
        <v>1385</v>
      </c>
      <c r="BF1141" s="472">
        <v>39249.9</v>
      </c>
      <c r="BG1141" s="472">
        <v>0</v>
      </c>
      <c r="BH1141" s="472" t="s">
        <v>1385</v>
      </c>
      <c r="BI1141" s="510">
        <v>0</v>
      </c>
      <c r="BJ1141" s="510">
        <v>0</v>
      </c>
      <c r="BK1141" s="510">
        <v>0</v>
      </c>
      <c r="BL1141" s="510">
        <v>0</v>
      </c>
      <c r="BM1141" s="510">
        <v>0</v>
      </c>
      <c r="BN1141" s="510">
        <v>5000</v>
      </c>
      <c r="BO1141" s="510">
        <v>0</v>
      </c>
      <c r="BP1141" s="510">
        <v>0</v>
      </c>
      <c r="BQ1141" s="510">
        <v>0</v>
      </c>
      <c r="BR1141" s="510">
        <v>0</v>
      </c>
      <c r="BS1141" s="510">
        <v>0</v>
      </c>
      <c r="BT1141" s="510">
        <v>0</v>
      </c>
      <c r="BU1141" s="510">
        <v>0</v>
      </c>
      <c r="BV1141" s="510">
        <v>0</v>
      </c>
      <c r="BW1141" s="510">
        <v>0</v>
      </c>
      <c r="BX1141" s="510">
        <v>30000</v>
      </c>
      <c r="BY1141" s="1011">
        <v>0</v>
      </c>
      <c r="BZ1141" s="510">
        <v>0</v>
      </c>
      <c r="CA1141" s="1011">
        <v>0</v>
      </c>
      <c r="CB1141" s="510">
        <v>0</v>
      </c>
      <c r="CC1141" s="1011">
        <v>0</v>
      </c>
      <c r="CD1141" s="510">
        <v>0</v>
      </c>
      <c r="CE1141" s="1011">
        <v>0</v>
      </c>
      <c r="CF1141" s="510">
        <v>65810.399999999994</v>
      </c>
      <c r="CG1141" s="1011">
        <v>0</v>
      </c>
      <c r="CH1141" s="510">
        <v>0</v>
      </c>
      <c r="CI1141" s="1011">
        <v>0</v>
      </c>
    </row>
    <row r="1142" spans="1:87" x14ac:dyDescent="0.2">
      <c r="A1142" s="449">
        <v>19</v>
      </c>
      <c r="B1142" s="453">
        <v>200115</v>
      </c>
      <c r="C1142" s="454" t="s">
        <v>9637</v>
      </c>
      <c r="D1142" s="454" t="s">
        <v>9588</v>
      </c>
      <c r="E1142" s="454" t="s">
        <v>9638</v>
      </c>
      <c r="F1142" s="454" t="s">
        <v>529</v>
      </c>
      <c r="G1142" s="454" t="s">
        <v>14206</v>
      </c>
      <c r="H1142" s="455">
        <v>2648695000148</v>
      </c>
      <c r="I1142" s="462">
        <v>35893</v>
      </c>
      <c r="J1142" s="457">
        <v>37523619</v>
      </c>
      <c r="K1142" s="454" t="s">
        <v>5638</v>
      </c>
      <c r="L1142" s="458">
        <v>132</v>
      </c>
      <c r="M1142" s="454" t="s">
        <v>1545</v>
      </c>
      <c r="N1142" s="459">
        <v>4437060</v>
      </c>
      <c r="O1142" s="460">
        <v>56320391</v>
      </c>
      <c r="P1142" s="462">
        <v>567879</v>
      </c>
      <c r="Q1142" s="462">
        <v>78</v>
      </c>
      <c r="R1142" s="462">
        <v>43921</v>
      </c>
      <c r="S1142" s="463">
        <v>578</v>
      </c>
      <c r="T1142" s="464">
        <v>5.4</v>
      </c>
      <c r="U1142" s="465">
        <v>3121.2</v>
      </c>
      <c r="V1142" s="465">
        <v>17100</v>
      </c>
      <c r="W1142" s="466">
        <v>0</v>
      </c>
      <c r="X1142" s="467">
        <v>1</v>
      </c>
      <c r="Y1142" s="466">
        <v>30331.8</v>
      </c>
      <c r="Z1142" s="468" t="s">
        <v>516</v>
      </c>
      <c r="AA1142" s="466">
        <v>115893</v>
      </c>
      <c r="AB1142" s="466">
        <v>115893</v>
      </c>
      <c r="AC1142" s="467">
        <v>0</v>
      </c>
      <c r="AD1142" s="466">
        <v>0</v>
      </c>
      <c r="AE1142" s="468" t="s">
        <v>516</v>
      </c>
      <c r="AF1142" s="466">
        <v>0</v>
      </c>
      <c r="AG1142" s="466">
        <v>0</v>
      </c>
      <c r="AH1142" s="466">
        <v>27324.720000000001</v>
      </c>
      <c r="AI1142" s="466">
        <v>1898.24</v>
      </c>
      <c r="AJ1142" s="469" t="s">
        <v>1481</v>
      </c>
      <c r="AK1142" s="470" t="s">
        <v>1482</v>
      </c>
      <c r="AL1142" s="471" t="s">
        <v>9639</v>
      </c>
      <c r="AM1142" s="470" t="s">
        <v>14207</v>
      </c>
      <c r="AN1142" s="470" t="s">
        <v>14902</v>
      </c>
      <c r="AO1142" s="470" t="s">
        <v>9640</v>
      </c>
      <c r="AP1142" s="470" t="s">
        <v>9641</v>
      </c>
      <c r="AQ1142" s="470" t="s">
        <v>9637</v>
      </c>
      <c r="AR1142" s="472" t="s">
        <v>515</v>
      </c>
      <c r="AS1142" s="473">
        <v>5.4</v>
      </c>
      <c r="AT1142" s="472" t="s">
        <v>9588</v>
      </c>
      <c r="AU1142" s="472" t="s">
        <v>420</v>
      </c>
      <c r="AV1142" s="472">
        <v>2020</v>
      </c>
      <c r="AW1142" s="474" t="s">
        <v>15078</v>
      </c>
      <c r="AX1142" s="475" t="s">
        <v>15079</v>
      </c>
      <c r="AY1142" s="515">
        <v>1</v>
      </c>
      <c r="AZ1142" s="474" t="s">
        <v>15079</v>
      </c>
      <c r="BA1142" s="472" t="s">
        <v>9588</v>
      </c>
      <c r="BB1142" s="472" t="s">
        <v>1385</v>
      </c>
      <c r="BC1142" s="472" t="s">
        <v>1385</v>
      </c>
      <c r="BD1142" s="472" t="s">
        <v>1385</v>
      </c>
      <c r="BE1142" s="472" t="s">
        <v>1385</v>
      </c>
      <c r="BF1142" s="472">
        <v>30331.8</v>
      </c>
      <c r="BG1142" s="472">
        <v>0</v>
      </c>
      <c r="BH1142" s="472" t="s">
        <v>1385</v>
      </c>
      <c r="BI1142" s="510">
        <v>0</v>
      </c>
      <c r="BJ1142" s="510">
        <v>0</v>
      </c>
      <c r="BK1142" s="510">
        <v>0</v>
      </c>
      <c r="BL1142" s="510">
        <v>0</v>
      </c>
      <c r="BM1142" s="510">
        <v>0</v>
      </c>
      <c r="BN1142" s="510">
        <v>3500</v>
      </c>
      <c r="BO1142" s="510">
        <v>0</v>
      </c>
      <c r="BP1142" s="510">
        <v>0</v>
      </c>
      <c r="BQ1142" s="510">
        <v>0</v>
      </c>
      <c r="BR1142" s="510">
        <v>0</v>
      </c>
      <c r="BS1142" s="510">
        <v>0</v>
      </c>
      <c r="BT1142" s="510">
        <v>0</v>
      </c>
      <c r="BU1142" s="510">
        <v>2500</v>
      </c>
      <c r="BV1142" s="510">
        <v>2500</v>
      </c>
      <c r="BW1142" s="510">
        <v>0</v>
      </c>
      <c r="BX1142" s="510">
        <v>30000</v>
      </c>
      <c r="BY1142" s="1011">
        <v>0</v>
      </c>
      <c r="BZ1142" s="510">
        <v>0</v>
      </c>
      <c r="CA1142" s="1011">
        <v>0</v>
      </c>
      <c r="CB1142" s="510">
        <v>0</v>
      </c>
      <c r="CC1142" s="1011">
        <v>0</v>
      </c>
      <c r="CD1142" s="510">
        <v>0</v>
      </c>
      <c r="CE1142" s="1011">
        <v>0</v>
      </c>
      <c r="CF1142" s="510">
        <v>55561.2</v>
      </c>
      <c r="CG1142" s="1011">
        <v>0</v>
      </c>
      <c r="CH1142" s="510">
        <v>0</v>
      </c>
      <c r="CI1142" s="1011">
        <v>0</v>
      </c>
    </row>
    <row r="1143" spans="1:87" x14ac:dyDescent="0.2">
      <c r="A1143" s="449">
        <v>51</v>
      </c>
      <c r="B1143" s="453">
        <v>200131</v>
      </c>
      <c r="C1143" s="454" t="s">
        <v>9642</v>
      </c>
      <c r="D1143" s="454" t="s">
        <v>9588</v>
      </c>
      <c r="E1143" s="454" t="s">
        <v>9643</v>
      </c>
      <c r="F1143" s="454" t="s">
        <v>520</v>
      </c>
      <c r="G1143" s="454" t="s">
        <v>14208</v>
      </c>
      <c r="H1143" s="455">
        <v>4107733000180</v>
      </c>
      <c r="I1143" s="462">
        <v>36795</v>
      </c>
      <c r="J1143" s="457">
        <v>44757441</v>
      </c>
      <c r="K1143" s="454" t="s">
        <v>9645</v>
      </c>
      <c r="L1143" s="458">
        <v>176</v>
      </c>
      <c r="M1143" s="454" t="s">
        <v>9646</v>
      </c>
      <c r="N1143" s="459">
        <v>5854060</v>
      </c>
      <c r="O1143" s="460">
        <v>58163701</v>
      </c>
      <c r="P1143" s="462">
        <v>299548</v>
      </c>
      <c r="Q1143" s="462">
        <v>116</v>
      </c>
      <c r="R1143" s="462">
        <v>43969</v>
      </c>
      <c r="S1143" s="463">
        <v>1778</v>
      </c>
      <c r="T1143" s="464">
        <v>5.4</v>
      </c>
      <c r="U1143" s="465">
        <v>9601.2000000000007</v>
      </c>
      <c r="V1143" s="465">
        <v>23580</v>
      </c>
      <c r="W1143" s="466">
        <v>0</v>
      </c>
      <c r="X1143" s="467">
        <v>1</v>
      </c>
      <c r="Y1143" s="466">
        <v>49771.8</v>
      </c>
      <c r="Z1143" s="468" t="s">
        <v>516</v>
      </c>
      <c r="AA1143" s="466">
        <v>159547.79999999999</v>
      </c>
      <c r="AB1143" s="466">
        <v>159547.79999999999</v>
      </c>
      <c r="AC1143" s="467">
        <v>0</v>
      </c>
      <c r="AD1143" s="466">
        <v>0</v>
      </c>
      <c r="AE1143" s="468" t="s">
        <v>516</v>
      </c>
      <c r="AF1143" s="466">
        <v>800</v>
      </c>
      <c r="AG1143" s="466">
        <v>800</v>
      </c>
      <c r="AH1143" s="466">
        <v>27209.65</v>
      </c>
      <c r="AI1143" s="466">
        <v>32846.519999999997</v>
      </c>
      <c r="AJ1143" s="469" t="s">
        <v>1515</v>
      </c>
      <c r="AK1143" s="470" t="s">
        <v>1516</v>
      </c>
      <c r="AL1143" s="471" t="s">
        <v>9647</v>
      </c>
      <c r="AM1143" s="470" t="s">
        <v>9648</v>
      </c>
      <c r="AN1143" s="470" t="s">
        <v>9644</v>
      </c>
      <c r="AO1143" s="470" t="s">
        <v>9649</v>
      </c>
      <c r="AP1143" s="470" t="s">
        <v>9650</v>
      </c>
      <c r="AQ1143" s="470" t="s">
        <v>9642</v>
      </c>
      <c r="AR1143" s="472" t="s">
        <v>515</v>
      </c>
      <c r="AS1143" s="473">
        <v>5.4</v>
      </c>
      <c r="AT1143" s="472" t="s">
        <v>9588</v>
      </c>
      <c r="AU1143" s="472" t="s">
        <v>420</v>
      </c>
      <c r="AV1143" s="472">
        <v>2020</v>
      </c>
      <c r="AW1143" s="474" t="s">
        <v>15078</v>
      </c>
      <c r="AX1143" s="475" t="s">
        <v>15079</v>
      </c>
      <c r="AY1143" s="515">
        <v>1</v>
      </c>
      <c r="AZ1143" s="474" t="s">
        <v>15079</v>
      </c>
      <c r="BA1143" s="472" t="s">
        <v>9588</v>
      </c>
      <c r="BB1143" s="472" t="s">
        <v>1385</v>
      </c>
      <c r="BC1143" s="472" t="s">
        <v>1385</v>
      </c>
      <c r="BD1143" s="472" t="s">
        <v>1385</v>
      </c>
      <c r="BE1143" s="472" t="s">
        <v>1385</v>
      </c>
      <c r="BF1143" s="472">
        <v>49771.8</v>
      </c>
      <c r="BG1143" s="472">
        <v>0</v>
      </c>
      <c r="BH1143" s="472" t="s">
        <v>1385</v>
      </c>
      <c r="BI1143" s="510">
        <v>0</v>
      </c>
      <c r="BJ1143" s="510">
        <v>321.60000000000002</v>
      </c>
      <c r="BK1143" s="510">
        <v>0</v>
      </c>
      <c r="BL1143" s="510">
        <v>3500</v>
      </c>
      <c r="BM1143" s="510">
        <v>0</v>
      </c>
      <c r="BN1143" s="510">
        <v>6000</v>
      </c>
      <c r="BO1143" s="510">
        <v>1200</v>
      </c>
      <c r="BP1143" s="510">
        <v>800</v>
      </c>
      <c r="BQ1143" s="510">
        <v>0</v>
      </c>
      <c r="BR1143" s="510">
        <v>0</v>
      </c>
      <c r="BS1143" s="510">
        <v>0</v>
      </c>
      <c r="BT1143" s="510">
        <v>0</v>
      </c>
      <c r="BU1143" s="510">
        <v>0</v>
      </c>
      <c r="BV1143" s="510">
        <v>0</v>
      </c>
      <c r="BW1143" s="510">
        <v>0</v>
      </c>
      <c r="BX1143" s="510">
        <v>30000</v>
      </c>
      <c r="BY1143" s="1011">
        <v>0</v>
      </c>
      <c r="BZ1143" s="510">
        <v>0</v>
      </c>
      <c r="CA1143" s="1011">
        <v>0</v>
      </c>
      <c r="CB1143" s="510">
        <v>0</v>
      </c>
      <c r="CC1143" s="1011">
        <v>0</v>
      </c>
      <c r="CD1143" s="510">
        <v>0</v>
      </c>
      <c r="CE1143" s="1011">
        <v>0</v>
      </c>
      <c r="CF1143" s="510">
        <v>78576</v>
      </c>
      <c r="CG1143" s="1011">
        <v>0</v>
      </c>
      <c r="CH1143" s="510">
        <v>0</v>
      </c>
      <c r="CI1143" s="1011">
        <v>0</v>
      </c>
    </row>
    <row r="1144" spans="1:87" x14ac:dyDescent="0.2">
      <c r="A1144" s="449">
        <v>33</v>
      </c>
      <c r="B1144" s="453">
        <v>200140</v>
      </c>
      <c r="C1144" s="454" t="s">
        <v>9651</v>
      </c>
      <c r="D1144" s="454" t="s">
        <v>9588</v>
      </c>
      <c r="E1144" s="454" t="s">
        <v>9652</v>
      </c>
      <c r="F1144" s="454" t="s">
        <v>513</v>
      </c>
      <c r="G1144" s="454" t="s">
        <v>14209</v>
      </c>
      <c r="H1144" s="455">
        <v>3936640000104</v>
      </c>
      <c r="I1144" s="462">
        <v>36689</v>
      </c>
      <c r="J1144" s="457" t="s">
        <v>280</v>
      </c>
      <c r="K1144" s="454" t="s">
        <v>9653</v>
      </c>
      <c r="L1144" s="458">
        <v>1651</v>
      </c>
      <c r="M1144" s="454" t="s">
        <v>513</v>
      </c>
      <c r="N1144" s="459">
        <v>3949011</v>
      </c>
      <c r="O1144" s="460">
        <v>20171272</v>
      </c>
      <c r="P1144" s="462">
        <v>149546</v>
      </c>
      <c r="Q1144" s="462">
        <v>33</v>
      </c>
      <c r="R1144" s="462">
        <v>43937</v>
      </c>
      <c r="S1144" s="463">
        <v>763</v>
      </c>
      <c r="T1144" s="464">
        <v>5.4</v>
      </c>
      <c r="U1144" s="465">
        <v>4120.2</v>
      </c>
      <c r="V1144" s="465">
        <v>18720</v>
      </c>
      <c r="W1144" s="466">
        <v>0</v>
      </c>
      <c r="X1144" s="467">
        <v>1</v>
      </c>
      <c r="Y1144" s="466">
        <v>34260.300000000003</v>
      </c>
      <c r="Z1144" s="468" t="s">
        <v>516</v>
      </c>
      <c r="AA1144" s="466">
        <v>120977.1</v>
      </c>
      <c r="AB1144" s="466">
        <v>120977.1</v>
      </c>
      <c r="AC1144" s="467">
        <v>0</v>
      </c>
      <c r="AD1144" s="466">
        <v>0</v>
      </c>
      <c r="AE1144" s="468" t="s">
        <v>516</v>
      </c>
      <c r="AF1144" s="466">
        <v>0</v>
      </c>
      <c r="AG1144" s="466">
        <v>0</v>
      </c>
      <c r="AH1144" s="466">
        <v>38253.14</v>
      </c>
      <c r="AI1144" s="466">
        <v>8581.56</v>
      </c>
      <c r="AJ1144" s="469" t="s">
        <v>2030</v>
      </c>
      <c r="AK1144" s="470" t="s">
        <v>513</v>
      </c>
      <c r="AL1144" s="471" t="s">
        <v>9654</v>
      </c>
      <c r="AM1144" s="470" t="s">
        <v>14210</v>
      </c>
      <c r="AN1144" s="470" t="s">
        <v>1385</v>
      </c>
      <c r="AO1144" s="470" t="s">
        <v>9655</v>
      </c>
      <c r="AP1144" s="470" t="s">
        <v>9656</v>
      </c>
      <c r="AQ1144" s="470" t="s">
        <v>9651</v>
      </c>
      <c r="AR1144" s="472" t="s">
        <v>515</v>
      </c>
      <c r="AS1144" s="473">
        <v>5.4</v>
      </c>
      <c r="AT1144" s="472" t="s">
        <v>9588</v>
      </c>
      <c r="AU1144" s="472" t="s">
        <v>420</v>
      </c>
      <c r="AV1144" s="472">
        <v>2020</v>
      </c>
      <c r="AW1144" s="474" t="s">
        <v>15078</v>
      </c>
      <c r="AX1144" s="475" t="s">
        <v>15079</v>
      </c>
      <c r="AY1144" s="515">
        <v>1</v>
      </c>
      <c r="AZ1144" s="474" t="s">
        <v>15079</v>
      </c>
      <c r="BA1144" s="472" t="s">
        <v>9588</v>
      </c>
      <c r="BB1144" s="472" t="s">
        <v>1385</v>
      </c>
      <c r="BC1144" s="472" t="s">
        <v>1385</v>
      </c>
      <c r="BD1144" s="472" t="s">
        <v>1385</v>
      </c>
      <c r="BE1144" s="472" t="s">
        <v>1385</v>
      </c>
      <c r="BF1144" s="472">
        <v>34260.300000000003</v>
      </c>
      <c r="BG1144" s="472">
        <v>0</v>
      </c>
      <c r="BH1144" s="472" t="s">
        <v>1385</v>
      </c>
      <c r="BI1144" s="510">
        <v>0</v>
      </c>
      <c r="BJ1144" s="510">
        <v>0</v>
      </c>
      <c r="BK1144" s="510">
        <v>0</v>
      </c>
      <c r="BL1144" s="510">
        <v>0</v>
      </c>
      <c r="BM1144" s="510">
        <v>0</v>
      </c>
      <c r="BN1144" s="510">
        <v>5000</v>
      </c>
      <c r="BO1144" s="510">
        <v>0</v>
      </c>
      <c r="BP1144" s="510">
        <v>0</v>
      </c>
      <c r="BQ1144" s="510">
        <v>0</v>
      </c>
      <c r="BR1144" s="510">
        <v>0</v>
      </c>
      <c r="BS1144" s="510">
        <v>0</v>
      </c>
      <c r="BT1144" s="510">
        <v>0</v>
      </c>
      <c r="BU1144" s="510">
        <v>0</v>
      </c>
      <c r="BV1144" s="510">
        <v>0</v>
      </c>
      <c r="BW1144" s="510">
        <v>0</v>
      </c>
      <c r="BX1144" s="510">
        <v>30000</v>
      </c>
      <c r="BY1144" s="1011">
        <v>0</v>
      </c>
      <c r="BZ1144" s="510">
        <v>0</v>
      </c>
      <c r="CA1144" s="1011">
        <v>0</v>
      </c>
      <c r="CB1144" s="510">
        <v>0</v>
      </c>
      <c r="CC1144" s="1011">
        <v>0</v>
      </c>
      <c r="CD1144" s="510">
        <v>0</v>
      </c>
      <c r="CE1144" s="1011">
        <v>0</v>
      </c>
      <c r="CF1144" s="510">
        <v>56716.800000000003</v>
      </c>
      <c r="CG1144" s="1011">
        <v>0</v>
      </c>
      <c r="CH1144" s="510">
        <v>0</v>
      </c>
      <c r="CI1144" s="1011">
        <v>0</v>
      </c>
    </row>
    <row r="1145" spans="1:87" x14ac:dyDescent="0.2">
      <c r="A1145" s="449">
        <v>18</v>
      </c>
      <c r="B1145" s="453">
        <v>200158</v>
      </c>
      <c r="C1145" s="454" t="s">
        <v>9657</v>
      </c>
      <c r="D1145" s="454" t="s">
        <v>9588</v>
      </c>
      <c r="E1145" s="454" t="s">
        <v>9658</v>
      </c>
      <c r="F1145" s="454" t="s">
        <v>519</v>
      </c>
      <c r="G1145" s="454" t="s">
        <v>14211</v>
      </c>
      <c r="H1145" s="455">
        <v>4228985000168</v>
      </c>
      <c r="I1145" s="462">
        <v>36874</v>
      </c>
      <c r="J1145" s="457">
        <v>37354442</v>
      </c>
      <c r="K1145" s="454" t="s">
        <v>9660</v>
      </c>
      <c r="L1145" s="458">
        <v>425</v>
      </c>
      <c r="M1145" s="454" t="s">
        <v>9661</v>
      </c>
      <c r="N1145" s="459">
        <v>5530000</v>
      </c>
      <c r="O1145" s="460">
        <v>37220656</v>
      </c>
      <c r="P1145" s="462">
        <v>118934</v>
      </c>
      <c r="Q1145" s="462">
        <v>34</v>
      </c>
      <c r="R1145" s="462">
        <v>43881</v>
      </c>
      <c r="S1145" s="463">
        <v>925</v>
      </c>
      <c r="T1145" s="464">
        <v>5.4</v>
      </c>
      <c r="U1145" s="465">
        <v>4995</v>
      </c>
      <c r="V1145" s="465">
        <v>20340</v>
      </c>
      <c r="W1145" s="466">
        <v>0</v>
      </c>
      <c r="X1145" s="467">
        <v>1</v>
      </c>
      <c r="Y1145" s="466">
        <v>0</v>
      </c>
      <c r="Z1145" s="468" t="s">
        <v>514</v>
      </c>
      <c r="AA1145" s="466">
        <v>0</v>
      </c>
      <c r="AB1145" s="466">
        <v>0</v>
      </c>
      <c r="AC1145" s="467">
        <v>0</v>
      </c>
      <c r="AD1145" s="466">
        <v>0</v>
      </c>
      <c r="AE1145" s="468" t="s">
        <v>516</v>
      </c>
      <c r="AF1145" s="466">
        <v>0</v>
      </c>
      <c r="AG1145" s="466">
        <v>0</v>
      </c>
      <c r="AH1145" s="466">
        <v>46264.1</v>
      </c>
      <c r="AI1145" s="466">
        <v>14859.63</v>
      </c>
      <c r="AJ1145" s="469" t="s">
        <v>2443</v>
      </c>
      <c r="AK1145" s="470" t="s">
        <v>2444</v>
      </c>
      <c r="AL1145" s="471" t="s">
        <v>9662</v>
      </c>
      <c r="AM1145" s="470" t="s">
        <v>9663</v>
      </c>
      <c r="AN1145" s="470" t="s">
        <v>9659</v>
      </c>
      <c r="AO1145" s="470" t="s">
        <v>9664</v>
      </c>
      <c r="AP1145" s="470" t="s">
        <v>9665</v>
      </c>
      <c r="AQ1145" s="470" t="s">
        <v>9657</v>
      </c>
      <c r="AR1145" s="472" t="s">
        <v>515</v>
      </c>
      <c r="AS1145" s="473">
        <v>5.4</v>
      </c>
      <c r="AT1145" s="472" t="s">
        <v>9588</v>
      </c>
      <c r="AU1145" s="472" t="s">
        <v>420</v>
      </c>
      <c r="AV1145" s="472">
        <v>2020</v>
      </c>
      <c r="AW1145" s="474" t="s">
        <v>15078</v>
      </c>
      <c r="AX1145" s="475" t="s">
        <v>15079</v>
      </c>
      <c r="AY1145" s="515">
        <v>1</v>
      </c>
      <c r="AZ1145" s="474" t="s">
        <v>15079</v>
      </c>
      <c r="BA1145" s="472" t="s">
        <v>1385</v>
      </c>
      <c r="BB1145" s="472" t="s">
        <v>1385</v>
      </c>
      <c r="BC1145" s="472" t="s">
        <v>1385</v>
      </c>
      <c r="BD1145" s="472" t="s">
        <v>1385</v>
      </c>
      <c r="BE1145" s="472" t="s">
        <v>1385</v>
      </c>
      <c r="BF1145" s="472">
        <v>38002.5</v>
      </c>
      <c r="BG1145" s="472">
        <v>0</v>
      </c>
      <c r="BH1145" s="472" t="s">
        <v>516</v>
      </c>
      <c r="BI1145" s="510">
        <v>0</v>
      </c>
      <c r="BJ1145" s="510">
        <v>0</v>
      </c>
      <c r="BK1145" s="510">
        <v>0</v>
      </c>
      <c r="BL1145" s="510">
        <v>0</v>
      </c>
      <c r="BM1145" s="510">
        <v>0</v>
      </c>
      <c r="BN1145" s="510">
        <v>0</v>
      </c>
      <c r="BO1145" s="510">
        <v>0</v>
      </c>
      <c r="BP1145" s="510">
        <v>0</v>
      </c>
      <c r="BQ1145" s="510">
        <v>0</v>
      </c>
      <c r="BR1145" s="510">
        <v>0</v>
      </c>
      <c r="BS1145" s="510">
        <v>0</v>
      </c>
      <c r="BT1145" s="510">
        <v>0</v>
      </c>
      <c r="BU1145" s="510">
        <v>0</v>
      </c>
      <c r="BV1145" s="510">
        <v>0</v>
      </c>
      <c r="BW1145" s="510">
        <v>0</v>
      </c>
      <c r="BX1145" s="510">
        <v>0</v>
      </c>
      <c r="BY1145" s="1011">
        <v>0</v>
      </c>
      <c r="BZ1145" s="510">
        <v>0</v>
      </c>
      <c r="CA1145" s="1011">
        <v>0</v>
      </c>
      <c r="CB1145" s="510">
        <v>0</v>
      </c>
      <c r="CC1145" s="1011">
        <v>0</v>
      </c>
      <c r="CD1145" s="510">
        <v>0</v>
      </c>
      <c r="CE1145" s="1011">
        <v>0</v>
      </c>
      <c r="CF1145" s="510">
        <v>0</v>
      </c>
      <c r="CG1145" s="1011">
        <v>0</v>
      </c>
      <c r="CH1145" s="510">
        <v>0</v>
      </c>
      <c r="CI1145" s="1011">
        <v>0</v>
      </c>
    </row>
    <row r="1146" spans="1:87" x14ac:dyDescent="0.2">
      <c r="A1146" s="449">
        <v>23</v>
      </c>
      <c r="B1146" s="453">
        <v>200166</v>
      </c>
      <c r="C1146" s="454" t="s">
        <v>9666</v>
      </c>
      <c r="D1146" s="454" t="s">
        <v>9588</v>
      </c>
      <c r="E1146" s="454" t="s">
        <v>9667</v>
      </c>
      <c r="F1146" s="454" t="s">
        <v>524</v>
      </c>
      <c r="G1146" s="454" t="s">
        <v>14212</v>
      </c>
      <c r="H1146" s="455">
        <v>4677446000106</v>
      </c>
      <c r="I1146" s="462">
        <v>39562</v>
      </c>
      <c r="J1146" s="457">
        <v>37498339</v>
      </c>
      <c r="K1146" s="454" t="s">
        <v>9668</v>
      </c>
      <c r="L1146" s="458">
        <v>250</v>
      </c>
      <c r="M1146" s="454" t="s">
        <v>3901</v>
      </c>
      <c r="N1146" s="459">
        <v>4194160</v>
      </c>
      <c r="O1146" s="460">
        <v>2334230</v>
      </c>
      <c r="P1146" s="462">
        <v>203567</v>
      </c>
      <c r="Q1146" s="462">
        <v>28</v>
      </c>
      <c r="R1146" s="462">
        <v>43906</v>
      </c>
      <c r="S1146" s="463">
        <v>454</v>
      </c>
      <c r="T1146" s="464">
        <v>5.4</v>
      </c>
      <c r="U1146" s="465">
        <v>2451.6</v>
      </c>
      <c r="V1146" s="465">
        <v>15480</v>
      </c>
      <c r="W1146" s="466">
        <v>0</v>
      </c>
      <c r="X1146" s="467">
        <v>1</v>
      </c>
      <c r="Y1146" s="466">
        <v>26897.4</v>
      </c>
      <c r="Z1146" s="468" t="s">
        <v>516</v>
      </c>
      <c r="AA1146" s="466">
        <v>107641.8</v>
      </c>
      <c r="AB1146" s="466">
        <v>107641.8</v>
      </c>
      <c r="AC1146" s="467">
        <v>0</v>
      </c>
      <c r="AD1146" s="466">
        <v>0</v>
      </c>
      <c r="AE1146" s="468" t="s">
        <v>516</v>
      </c>
      <c r="AF1146" s="466">
        <v>0</v>
      </c>
      <c r="AG1146" s="466">
        <v>0</v>
      </c>
      <c r="AH1146" s="466">
        <v>22788.04</v>
      </c>
      <c r="AI1146" s="466">
        <v>14133.83</v>
      </c>
      <c r="AJ1146" s="469" t="s">
        <v>2511</v>
      </c>
      <c r="AK1146" s="470" t="s">
        <v>9669</v>
      </c>
      <c r="AL1146" s="471" t="s">
        <v>9670</v>
      </c>
      <c r="AM1146" s="470" t="s">
        <v>15108</v>
      </c>
      <c r="AN1146" s="470" t="s">
        <v>9671</v>
      </c>
      <c r="AO1146" s="470" t="s">
        <v>14213</v>
      </c>
      <c r="AP1146" s="470" t="s">
        <v>9672</v>
      </c>
      <c r="AQ1146" s="470" t="s">
        <v>9666</v>
      </c>
      <c r="AR1146" s="472" t="s">
        <v>515</v>
      </c>
      <c r="AS1146" s="473">
        <v>5.4</v>
      </c>
      <c r="AT1146" s="472" t="s">
        <v>9588</v>
      </c>
      <c r="AU1146" s="472" t="s">
        <v>420</v>
      </c>
      <c r="AV1146" s="472">
        <v>2020</v>
      </c>
      <c r="AW1146" s="474" t="s">
        <v>15078</v>
      </c>
      <c r="AX1146" s="475" t="s">
        <v>15079</v>
      </c>
      <c r="AY1146" s="515">
        <v>1</v>
      </c>
      <c r="AZ1146" s="474" t="s">
        <v>15079</v>
      </c>
      <c r="BA1146" s="472" t="s">
        <v>9588</v>
      </c>
      <c r="BB1146" s="472" t="s">
        <v>1385</v>
      </c>
      <c r="BC1146" s="472" t="s">
        <v>1385</v>
      </c>
      <c r="BD1146" s="472" t="s">
        <v>1385</v>
      </c>
      <c r="BE1146" s="472" t="s">
        <v>1385</v>
      </c>
      <c r="BF1146" s="472">
        <v>26897.4</v>
      </c>
      <c r="BG1146" s="472">
        <v>0</v>
      </c>
      <c r="BH1146" s="472" t="s">
        <v>1385</v>
      </c>
      <c r="BI1146" s="510">
        <v>0</v>
      </c>
      <c r="BJ1146" s="510">
        <v>0</v>
      </c>
      <c r="BK1146" s="510">
        <v>0</v>
      </c>
      <c r="BL1146" s="510">
        <v>3500</v>
      </c>
      <c r="BM1146" s="510">
        <v>0</v>
      </c>
      <c r="BN1146" s="510">
        <v>2710</v>
      </c>
      <c r="BO1146" s="510">
        <v>0</v>
      </c>
      <c r="BP1146" s="510">
        <v>0</v>
      </c>
      <c r="BQ1146" s="510">
        <v>0</v>
      </c>
      <c r="BR1146" s="510">
        <v>0</v>
      </c>
      <c r="BS1146" s="510">
        <v>0</v>
      </c>
      <c r="BT1146" s="510">
        <v>0</v>
      </c>
      <c r="BU1146" s="510">
        <v>2500</v>
      </c>
      <c r="BV1146" s="510">
        <v>2500</v>
      </c>
      <c r="BW1146" s="510">
        <v>0</v>
      </c>
      <c r="BX1146" s="510">
        <v>30000</v>
      </c>
      <c r="BY1146" s="1011">
        <v>0</v>
      </c>
      <c r="BZ1146" s="510">
        <v>0</v>
      </c>
      <c r="CA1146" s="1011">
        <v>0</v>
      </c>
      <c r="CB1146" s="510">
        <v>0</v>
      </c>
      <c r="CC1146" s="1011">
        <v>0</v>
      </c>
      <c r="CD1146" s="510">
        <v>0</v>
      </c>
      <c r="CE1146" s="1011">
        <v>0</v>
      </c>
      <c r="CF1146" s="510">
        <v>50744.4</v>
      </c>
      <c r="CG1146" s="1011">
        <v>0</v>
      </c>
      <c r="CH1146" s="510">
        <v>0</v>
      </c>
      <c r="CI1146" s="1011">
        <v>0</v>
      </c>
    </row>
    <row r="1147" spans="1:87" x14ac:dyDescent="0.2">
      <c r="A1147" s="449">
        <v>25</v>
      </c>
      <c r="B1147" s="453">
        <v>200174</v>
      </c>
      <c r="C1147" s="454" t="s">
        <v>9673</v>
      </c>
      <c r="D1147" s="454" t="s">
        <v>9588</v>
      </c>
      <c r="E1147" s="454" t="s">
        <v>9673</v>
      </c>
      <c r="F1147" s="454" t="s">
        <v>525</v>
      </c>
      <c r="G1147" s="454" t="s">
        <v>14214</v>
      </c>
      <c r="H1147" s="455">
        <v>5403974000130</v>
      </c>
      <c r="I1147" s="462">
        <v>37488</v>
      </c>
      <c r="J1147" s="457">
        <v>37357468</v>
      </c>
      <c r="K1147" s="454" t="s">
        <v>9675</v>
      </c>
      <c r="L1147" s="458">
        <v>34</v>
      </c>
      <c r="M1147" s="454" t="s">
        <v>9292</v>
      </c>
      <c r="N1147" s="459">
        <v>2422200</v>
      </c>
      <c r="O1147" s="460">
        <v>22332170</v>
      </c>
      <c r="P1147" s="462">
        <v>327614</v>
      </c>
      <c r="Q1147" s="462">
        <v>25</v>
      </c>
      <c r="R1147" s="462">
        <v>43950</v>
      </c>
      <c r="S1147" s="463">
        <v>488</v>
      </c>
      <c r="T1147" s="464">
        <v>5.4</v>
      </c>
      <c r="U1147" s="465">
        <v>2635.2</v>
      </c>
      <c r="V1147" s="465">
        <v>15480</v>
      </c>
      <c r="W1147" s="466">
        <v>0</v>
      </c>
      <c r="X1147" s="467">
        <v>1</v>
      </c>
      <c r="Y1147" s="466">
        <v>27172.799999999999</v>
      </c>
      <c r="Z1147" s="468" t="s">
        <v>516</v>
      </c>
      <c r="AA1147" s="466">
        <v>107906.4</v>
      </c>
      <c r="AB1147" s="466">
        <v>107906.4</v>
      </c>
      <c r="AC1147" s="467">
        <v>0</v>
      </c>
      <c r="AD1147" s="466">
        <v>0</v>
      </c>
      <c r="AE1147" s="468" t="s">
        <v>516</v>
      </c>
      <c r="AF1147" s="466">
        <v>0</v>
      </c>
      <c r="AG1147" s="466">
        <v>0</v>
      </c>
      <c r="AH1147" s="466">
        <v>30509.07</v>
      </c>
      <c r="AI1147" s="466">
        <v>9391.0300000000007</v>
      </c>
      <c r="AJ1147" s="469" t="s">
        <v>1460</v>
      </c>
      <c r="AK1147" s="470" t="s">
        <v>1461</v>
      </c>
      <c r="AL1147" s="471" t="s">
        <v>9676</v>
      </c>
      <c r="AM1147" s="470" t="s">
        <v>9677</v>
      </c>
      <c r="AN1147" s="470" t="s">
        <v>9674</v>
      </c>
      <c r="AO1147" s="470" t="s">
        <v>9678</v>
      </c>
      <c r="AP1147" s="470" t="s">
        <v>9679</v>
      </c>
      <c r="AQ1147" s="470" t="s">
        <v>9673</v>
      </c>
      <c r="AR1147" s="472" t="s">
        <v>515</v>
      </c>
      <c r="AS1147" s="473">
        <v>5.4</v>
      </c>
      <c r="AT1147" s="472" t="s">
        <v>9588</v>
      </c>
      <c r="AU1147" s="472" t="s">
        <v>420</v>
      </c>
      <c r="AV1147" s="472">
        <v>2020</v>
      </c>
      <c r="AW1147" s="474" t="s">
        <v>15078</v>
      </c>
      <c r="AX1147" s="475" t="s">
        <v>15079</v>
      </c>
      <c r="AY1147" s="515">
        <v>1</v>
      </c>
      <c r="AZ1147" s="474" t="s">
        <v>15079</v>
      </c>
      <c r="BA1147" s="472" t="s">
        <v>9588</v>
      </c>
      <c r="BB1147" s="472" t="s">
        <v>1385</v>
      </c>
      <c r="BC1147" s="472" t="s">
        <v>1385</v>
      </c>
      <c r="BD1147" s="472" t="s">
        <v>1385</v>
      </c>
      <c r="BE1147" s="472" t="s">
        <v>1385</v>
      </c>
      <c r="BF1147" s="472">
        <v>27172.799999999999</v>
      </c>
      <c r="BG1147" s="472">
        <v>0</v>
      </c>
      <c r="BH1147" s="472" t="s">
        <v>1385</v>
      </c>
      <c r="BI1147" s="510">
        <v>0</v>
      </c>
      <c r="BJ1147" s="510">
        <v>0</v>
      </c>
      <c r="BK1147" s="510">
        <v>0</v>
      </c>
      <c r="BL1147" s="510">
        <v>3500</v>
      </c>
      <c r="BM1147" s="510">
        <v>0</v>
      </c>
      <c r="BN1147" s="510">
        <v>3500</v>
      </c>
      <c r="BO1147" s="510">
        <v>0</v>
      </c>
      <c r="BP1147" s="510">
        <v>0</v>
      </c>
      <c r="BQ1147" s="510">
        <v>0</v>
      </c>
      <c r="BR1147" s="510">
        <v>0</v>
      </c>
      <c r="BS1147" s="510">
        <v>0</v>
      </c>
      <c r="BT1147" s="510">
        <v>0</v>
      </c>
      <c r="BU1147" s="510">
        <v>0</v>
      </c>
      <c r="BV1147" s="510">
        <v>0</v>
      </c>
      <c r="BW1147" s="510">
        <v>0</v>
      </c>
      <c r="BX1147" s="510">
        <v>30000</v>
      </c>
      <c r="BY1147" s="1011">
        <v>0</v>
      </c>
      <c r="BZ1147" s="510">
        <v>0</v>
      </c>
      <c r="CA1147" s="1011">
        <v>0</v>
      </c>
      <c r="CB1147" s="510">
        <v>0</v>
      </c>
      <c r="CC1147" s="1011">
        <v>0</v>
      </c>
      <c r="CD1147" s="510">
        <v>0</v>
      </c>
      <c r="CE1147" s="1011">
        <v>0</v>
      </c>
      <c r="CF1147" s="510">
        <v>50733.599999999999</v>
      </c>
      <c r="CG1147" s="1011">
        <v>0</v>
      </c>
      <c r="CH1147" s="510">
        <v>0</v>
      </c>
      <c r="CI1147" s="1011">
        <v>0</v>
      </c>
    </row>
    <row r="1148" spans="1:87" x14ac:dyDescent="0.2">
      <c r="A1148" s="449">
        <v>17</v>
      </c>
      <c r="B1148" s="453">
        <v>200182</v>
      </c>
      <c r="C1148" s="454" t="s">
        <v>9680</v>
      </c>
      <c r="D1148" s="454" t="s">
        <v>9588</v>
      </c>
      <c r="E1148" s="454" t="s">
        <v>9681</v>
      </c>
      <c r="F1148" s="454" t="s">
        <v>522</v>
      </c>
      <c r="G1148" s="454" t="s">
        <v>14215</v>
      </c>
      <c r="H1148" s="455">
        <v>11004191000186</v>
      </c>
      <c r="I1148" s="462">
        <v>38884</v>
      </c>
      <c r="J1148" s="457">
        <v>44599145</v>
      </c>
      <c r="K1148" s="454" t="s">
        <v>9682</v>
      </c>
      <c r="L1148" s="458">
        <v>30</v>
      </c>
      <c r="M1148" s="454" t="s">
        <v>9683</v>
      </c>
      <c r="N1148" s="459">
        <v>2839070</v>
      </c>
      <c r="O1148" s="460">
        <v>38590011</v>
      </c>
      <c r="P1148" s="462">
        <v>80074</v>
      </c>
      <c r="Q1148" s="462">
        <v>50</v>
      </c>
      <c r="R1148" s="462">
        <v>43911</v>
      </c>
      <c r="S1148" s="463">
        <v>760</v>
      </c>
      <c r="T1148" s="464">
        <v>5.4</v>
      </c>
      <c r="U1148" s="465">
        <v>4104</v>
      </c>
      <c r="V1148" s="465">
        <v>18720</v>
      </c>
      <c r="W1148" s="466">
        <v>0</v>
      </c>
      <c r="X1148" s="467">
        <v>1</v>
      </c>
      <c r="Y1148" s="466">
        <v>34236</v>
      </c>
      <c r="Z1148" s="468" t="s">
        <v>516</v>
      </c>
      <c r="AA1148" s="466">
        <v>125823.6</v>
      </c>
      <c r="AB1148" s="466">
        <v>125823.6</v>
      </c>
      <c r="AC1148" s="467">
        <v>0</v>
      </c>
      <c r="AD1148" s="466">
        <v>0</v>
      </c>
      <c r="AE1148" s="468" t="s">
        <v>516</v>
      </c>
      <c r="AF1148" s="466">
        <v>2000</v>
      </c>
      <c r="AG1148" s="466">
        <v>2000</v>
      </c>
      <c r="AH1148" s="466">
        <v>8588.58</v>
      </c>
      <c r="AI1148" s="466">
        <v>9730.64</v>
      </c>
      <c r="AJ1148" s="469" t="s">
        <v>1498</v>
      </c>
      <c r="AK1148" s="470" t="s">
        <v>12355</v>
      </c>
      <c r="AL1148" s="471" t="s">
        <v>14216</v>
      </c>
      <c r="AM1148" s="470" t="s">
        <v>14217</v>
      </c>
      <c r="AN1148" s="470" t="s">
        <v>1385</v>
      </c>
      <c r="AO1148" s="470" t="s">
        <v>14218</v>
      </c>
      <c r="AP1148" s="470" t="s">
        <v>9684</v>
      </c>
      <c r="AQ1148" s="470" t="s">
        <v>9680</v>
      </c>
      <c r="AR1148" s="472" t="s">
        <v>515</v>
      </c>
      <c r="AS1148" s="473">
        <v>5.4</v>
      </c>
      <c r="AT1148" s="472" t="s">
        <v>9588</v>
      </c>
      <c r="AU1148" s="472" t="s">
        <v>420</v>
      </c>
      <c r="AV1148" s="472">
        <v>2020</v>
      </c>
      <c r="AW1148" s="474" t="s">
        <v>15078</v>
      </c>
      <c r="AX1148" s="475" t="s">
        <v>15079</v>
      </c>
      <c r="AY1148" s="515">
        <v>1</v>
      </c>
      <c r="AZ1148" s="474" t="s">
        <v>15079</v>
      </c>
      <c r="BA1148" s="472" t="s">
        <v>9588</v>
      </c>
      <c r="BB1148" s="472" t="s">
        <v>1385</v>
      </c>
      <c r="BC1148" s="472" t="s">
        <v>1385</v>
      </c>
      <c r="BD1148" s="472" t="s">
        <v>1385</v>
      </c>
      <c r="BE1148" s="472" t="s">
        <v>1385</v>
      </c>
      <c r="BF1148" s="472">
        <v>34236</v>
      </c>
      <c r="BG1148" s="472">
        <v>0</v>
      </c>
      <c r="BH1148" s="472" t="s">
        <v>1385</v>
      </c>
      <c r="BI1148" s="510">
        <v>0</v>
      </c>
      <c r="BJ1148" s="510">
        <v>0</v>
      </c>
      <c r="BK1148" s="510">
        <v>0</v>
      </c>
      <c r="BL1148" s="510">
        <v>0</v>
      </c>
      <c r="BM1148" s="510">
        <v>0</v>
      </c>
      <c r="BN1148" s="510">
        <v>5000</v>
      </c>
      <c r="BO1148" s="510">
        <v>0</v>
      </c>
      <c r="BP1148" s="510">
        <v>2000</v>
      </c>
      <c r="BQ1148" s="510">
        <v>0</v>
      </c>
      <c r="BR1148" s="510">
        <v>0</v>
      </c>
      <c r="BS1148" s="510">
        <v>0</v>
      </c>
      <c r="BT1148" s="510">
        <v>0</v>
      </c>
      <c r="BU1148" s="510">
        <v>2500</v>
      </c>
      <c r="BV1148" s="510">
        <v>2500</v>
      </c>
      <c r="BW1148" s="510">
        <v>0</v>
      </c>
      <c r="BX1148" s="510">
        <v>30000</v>
      </c>
      <c r="BY1148" s="1011">
        <v>0</v>
      </c>
      <c r="BZ1148" s="510">
        <v>0</v>
      </c>
      <c r="CA1148" s="1011">
        <v>0</v>
      </c>
      <c r="CB1148" s="510">
        <v>0</v>
      </c>
      <c r="CC1148" s="1011">
        <v>0</v>
      </c>
      <c r="CD1148" s="510">
        <v>0</v>
      </c>
      <c r="CE1148" s="1011">
        <v>0</v>
      </c>
      <c r="CF1148" s="510">
        <v>61587.6</v>
      </c>
      <c r="CG1148" s="1011">
        <v>0</v>
      </c>
      <c r="CH1148" s="510">
        <v>0</v>
      </c>
      <c r="CI1148" s="1011">
        <v>0</v>
      </c>
    </row>
    <row r="1149" spans="1:87" x14ac:dyDescent="0.2">
      <c r="A1149" s="449">
        <v>83</v>
      </c>
      <c r="B1149" s="453">
        <v>200183</v>
      </c>
      <c r="C1149" s="454" t="s">
        <v>9685</v>
      </c>
      <c r="D1149" s="454" t="s">
        <v>9686</v>
      </c>
      <c r="E1149" s="454" t="s">
        <v>3317</v>
      </c>
      <c r="F1149" s="454" t="s">
        <v>529</v>
      </c>
      <c r="G1149" s="454" t="s">
        <v>14219</v>
      </c>
      <c r="H1149" s="455">
        <v>8626333000132</v>
      </c>
      <c r="I1149" s="462">
        <v>39048</v>
      </c>
      <c r="J1149" s="457">
        <v>37524143</v>
      </c>
      <c r="K1149" s="454" t="s">
        <v>3313</v>
      </c>
      <c r="L1149" s="458">
        <v>3752</v>
      </c>
      <c r="M1149" s="454" t="s">
        <v>3314</v>
      </c>
      <c r="N1149" s="459">
        <v>4474340</v>
      </c>
      <c r="O1149" s="460">
        <v>56722544</v>
      </c>
      <c r="P1149" s="462">
        <v>563032</v>
      </c>
      <c r="Q1149" s="462">
        <v>83</v>
      </c>
      <c r="R1149" s="462">
        <v>43921</v>
      </c>
      <c r="S1149" s="463">
        <v>2349</v>
      </c>
      <c r="T1149" s="464">
        <v>5.4</v>
      </c>
      <c r="U1149" s="465">
        <v>12684.6</v>
      </c>
      <c r="V1149" s="465">
        <v>17400</v>
      </c>
      <c r="W1149" s="466">
        <v>0</v>
      </c>
      <c r="X1149" s="467">
        <v>1</v>
      </c>
      <c r="Y1149" s="466">
        <v>0</v>
      </c>
      <c r="Z1149" s="468" t="s">
        <v>514</v>
      </c>
      <c r="AA1149" s="466">
        <v>0</v>
      </c>
      <c r="AB1149" s="466">
        <v>0</v>
      </c>
      <c r="AC1149" s="467">
        <v>0</v>
      </c>
      <c r="AD1149" s="466">
        <v>0</v>
      </c>
      <c r="AE1149" s="468" t="s">
        <v>516</v>
      </c>
      <c r="AF1149" s="466">
        <v>0</v>
      </c>
      <c r="AG1149" s="466">
        <v>0</v>
      </c>
      <c r="AH1149" s="466">
        <v>35.840000000000003</v>
      </c>
      <c r="AI1149" s="466">
        <v>459.38</v>
      </c>
      <c r="AJ1149" s="469" t="s">
        <v>1790</v>
      </c>
      <c r="AK1149" s="470" t="s">
        <v>1791</v>
      </c>
      <c r="AL1149" s="471" t="s">
        <v>8599</v>
      </c>
      <c r="AM1149" s="470" t="s">
        <v>9687</v>
      </c>
      <c r="AN1149" s="470" t="s">
        <v>14219</v>
      </c>
      <c r="AO1149" s="470" t="s">
        <v>9688</v>
      </c>
      <c r="AP1149" s="470" t="s">
        <v>3317</v>
      </c>
      <c r="AQ1149" s="470" t="s">
        <v>9685</v>
      </c>
      <c r="AR1149" s="472" t="s">
        <v>515</v>
      </c>
      <c r="AS1149" s="473">
        <v>5.4</v>
      </c>
      <c r="AT1149" s="472" t="s">
        <v>9686</v>
      </c>
      <c r="AU1149" s="472" t="s">
        <v>420</v>
      </c>
      <c r="AV1149" s="472">
        <v>2020</v>
      </c>
      <c r="AW1149" s="474" t="s">
        <v>15078</v>
      </c>
      <c r="AX1149" s="475" t="s">
        <v>15079</v>
      </c>
      <c r="AY1149" s="515">
        <v>1</v>
      </c>
      <c r="AZ1149" s="474" t="s">
        <v>15079</v>
      </c>
      <c r="BA1149" s="472" t="s">
        <v>1385</v>
      </c>
      <c r="BB1149" s="472" t="s">
        <v>1385</v>
      </c>
      <c r="BC1149" s="472" t="s">
        <v>1385</v>
      </c>
      <c r="BD1149" s="472" t="s">
        <v>1385</v>
      </c>
      <c r="BE1149" s="472" t="s">
        <v>1385</v>
      </c>
      <c r="BF1149" s="472">
        <v>45126.9</v>
      </c>
      <c r="BG1149" s="472">
        <v>0</v>
      </c>
      <c r="BH1149" s="472" t="s">
        <v>516</v>
      </c>
      <c r="BI1149" s="510">
        <v>0</v>
      </c>
      <c r="BJ1149" s="510">
        <v>1749.7</v>
      </c>
      <c r="BK1149" s="510">
        <v>0</v>
      </c>
      <c r="BL1149" s="510">
        <v>0</v>
      </c>
      <c r="BM1149" s="510">
        <v>0</v>
      </c>
      <c r="BN1149" s="510">
        <v>0</v>
      </c>
      <c r="BO1149" s="510">
        <v>0</v>
      </c>
      <c r="BP1149" s="510">
        <v>0</v>
      </c>
      <c r="BQ1149" s="510">
        <v>0</v>
      </c>
      <c r="BR1149" s="510">
        <v>0</v>
      </c>
      <c r="BS1149" s="510">
        <v>0</v>
      </c>
      <c r="BT1149" s="510">
        <v>0</v>
      </c>
      <c r="BU1149" s="510">
        <v>0</v>
      </c>
      <c r="BV1149" s="510">
        <v>0</v>
      </c>
      <c r="BW1149" s="510">
        <v>0</v>
      </c>
      <c r="BX1149" s="510">
        <v>0</v>
      </c>
      <c r="BY1149" s="1011">
        <v>0</v>
      </c>
      <c r="BZ1149" s="510">
        <v>0</v>
      </c>
      <c r="CA1149" s="1011">
        <v>0</v>
      </c>
      <c r="CB1149" s="510">
        <v>0</v>
      </c>
      <c r="CC1149" s="1011">
        <v>0</v>
      </c>
      <c r="CD1149" s="510">
        <v>0</v>
      </c>
      <c r="CE1149" s="1011">
        <v>0</v>
      </c>
      <c r="CF1149" s="510">
        <v>0</v>
      </c>
      <c r="CG1149" s="1011">
        <v>0</v>
      </c>
      <c r="CH1149" s="510">
        <v>0</v>
      </c>
      <c r="CI1149" s="1011">
        <v>0</v>
      </c>
    </row>
    <row r="1150" spans="1:87" x14ac:dyDescent="0.2">
      <c r="A1150" s="449">
        <v>100</v>
      </c>
      <c r="B1150" s="453">
        <v>200184</v>
      </c>
      <c r="C1150" s="454" t="s">
        <v>9689</v>
      </c>
      <c r="D1150" s="454" t="s">
        <v>9686</v>
      </c>
      <c r="E1150" s="454" t="s">
        <v>1615</v>
      </c>
      <c r="F1150" s="454" t="s">
        <v>518</v>
      </c>
      <c r="G1150" s="454" t="s">
        <v>14220</v>
      </c>
      <c r="H1150" s="455">
        <v>8661313000100</v>
      </c>
      <c r="I1150" s="462">
        <v>39121</v>
      </c>
      <c r="J1150" s="457">
        <v>37469126</v>
      </c>
      <c r="K1150" s="454" t="s">
        <v>3321</v>
      </c>
      <c r="L1150" s="458" t="s">
        <v>1446</v>
      </c>
      <c r="M1150" s="454" t="s">
        <v>3209</v>
      </c>
      <c r="N1150" s="459">
        <v>3572020</v>
      </c>
      <c r="O1150" s="460">
        <v>27237543</v>
      </c>
      <c r="P1150" s="462">
        <v>50264</v>
      </c>
      <c r="Q1150" s="462">
        <v>101</v>
      </c>
      <c r="R1150" s="462">
        <v>43934</v>
      </c>
      <c r="S1150" s="463">
        <v>2087</v>
      </c>
      <c r="T1150" s="464">
        <v>5.4</v>
      </c>
      <c r="U1150" s="465">
        <v>11269.8</v>
      </c>
      <c r="V1150" s="465">
        <v>17400</v>
      </c>
      <c r="W1150" s="466">
        <v>0</v>
      </c>
      <c r="X1150" s="467">
        <v>1</v>
      </c>
      <c r="Y1150" s="466">
        <v>43004.7</v>
      </c>
      <c r="Z1150" s="468" t="s">
        <v>516</v>
      </c>
      <c r="AA1150" s="466">
        <v>120324.7</v>
      </c>
      <c r="AB1150" s="466">
        <v>120324.7</v>
      </c>
      <c r="AC1150" s="467">
        <v>0</v>
      </c>
      <c r="AD1150" s="466">
        <v>0</v>
      </c>
      <c r="AE1150" s="468" t="s">
        <v>516</v>
      </c>
      <c r="AF1150" s="466">
        <v>0</v>
      </c>
      <c r="AG1150" s="466">
        <v>0</v>
      </c>
      <c r="AH1150" s="466">
        <v>28960.99</v>
      </c>
      <c r="AI1150" s="466">
        <v>6079.54</v>
      </c>
      <c r="AJ1150" s="469" t="s">
        <v>1560</v>
      </c>
      <c r="AK1150" s="470" t="s">
        <v>1776</v>
      </c>
      <c r="AL1150" s="471" t="s">
        <v>9690</v>
      </c>
      <c r="AM1150" s="470" t="s">
        <v>9691</v>
      </c>
      <c r="AN1150" s="470" t="s">
        <v>9692</v>
      </c>
      <c r="AO1150" s="470" t="s">
        <v>15041</v>
      </c>
      <c r="AP1150" s="470" t="s">
        <v>9693</v>
      </c>
      <c r="AQ1150" s="470" t="s">
        <v>9689</v>
      </c>
      <c r="AR1150" s="472" t="s">
        <v>515</v>
      </c>
      <c r="AS1150" s="473">
        <v>5.4</v>
      </c>
      <c r="AT1150" s="472" t="s">
        <v>9686</v>
      </c>
      <c r="AU1150" s="472" t="s">
        <v>420</v>
      </c>
      <c r="AV1150" s="472">
        <v>2020</v>
      </c>
      <c r="AW1150" s="474" t="s">
        <v>15078</v>
      </c>
      <c r="AX1150" s="475" t="s">
        <v>15079</v>
      </c>
      <c r="AY1150" s="515">
        <v>1</v>
      </c>
      <c r="AZ1150" s="474" t="s">
        <v>15079</v>
      </c>
      <c r="BA1150" s="472" t="s">
        <v>9686</v>
      </c>
      <c r="BB1150" s="472" t="s">
        <v>1385</v>
      </c>
      <c r="BC1150" s="472" t="s">
        <v>1385</v>
      </c>
      <c r="BD1150" s="472" t="s">
        <v>1385</v>
      </c>
      <c r="BE1150" s="472" t="s">
        <v>1385</v>
      </c>
      <c r="BF1150" s="472">
        <v>43004.7</v>
      </c>
      <c r="BG1150" s="472">
        <v>0</v>
      </c>
      <c r="BH1150" s="472" t="s">
        <v>1385</v>
      </c>
      <c r="BI1150" s="510">
        <v>0</v>
      </c>
      <c r="BJ1150" s="510">
        <v>0</v>
      </c>
      <c r="BK1150" s="510">
        <v>0</v>
      </c>
      <c r="BL1150" s="510">
        <v>0</v>
      </c>
      <c r="BM1150" s="510">
        <v>0</v>
      </c>
      <c r="BN1150" s="510">
        <v>0</v>
      </c>
      <c r="BO1150" s="510">
        <v>0</v>
      </c>
      <c r="BP1150" s="510">
        <v>0</v>
      </c>
      <c r="BQ1150" s="510">
        <v>0</v>
      </c>
      <c r="BR1150" s="510">
        <v>0</v>
      </c>
      <c r="BS1150" s="510">
        <v>0</v>
      </c>
      <c r="BT1150" s="510">
        <v>0</v>
      </c>
      <c r="BU1150" s="510">
        <v>0</v>
      </c>
      <c r="BV1150" s="510">
        <v>0</v>
      </c>
      <c r="BW1150" s="510">
        <v>0</v>
      </c>
      <c r="BX1150" s="510">
        <v>0</v>
      </c>
      <c r="BY1150" s="1011">
        <v>0</v>
      </c>
      <c r="BZ1150" s="510">
        <v>0</v>
      </c>
      <c r="CA1150" s="1011">
        <v>0</v>
      </c>
      <c r="CB1150" s="510">
        <v>0</v>
      </c>
      <c r="CC1150" s="1011">
        <v>0</v>
      </c>
      <c r="CD1150" s="510">
        <v>0</v>
      </c>
      <c r="CE1150" s="1011">
        <v>0</v>
      </c>
      <c r="CF1150" s="510">
        <v>77320</v>
      </c>
      <c r="CG1150" s="1011">
        <v>0</v>
      </c>
      <c r="CH1150" s="510">
        <v>0</v>
      </c>
      <c r="CI1150" s="1011">
        <v>0</v>
      </c>
    </row>
    <row r="1151" spans="1:87" x14ac:dyDescent="0.2">
      <c r="A1151" s="449">
        <v>82</v>
      </c>
      <c r="B1151" s="453">
        <v>200185</v>
      </c>
      <c r="C1151" s="454" t="s">
        <v>9694</v>
      </c>
      <c r="D1151" s="454" t="s">
        <v>9686</v>
      </c>
      <c r="E1151" s="454" t="s">
        <v>9695</v>
      </c>
      <c r="F1151" s="454" t="s">
        <v>519</v>
      </c>
      <c r="G1151" s="454" t="s">
        <v>14221</v>
      </c>
      <c r="H1151" s="455">
        <v>7889977000150</v>
      </c>
      <c r="I1151" s="462">
        <v>38761</v>
      </c>
      <c r="J1151" s="457">
        <v>37354434</v>
      </c>
      <c r="K1151" s="454" t="s">
        <v>3216</v>
      </c>
      <c r="L1151" s="458">
        <v>1870</v>
      </c>
      <c r="M1151" s="454" t="s">
        <v>1941</v>
      </c>
      <c r="N1151" s="459">
        <v>5588001</v>
      </c>
      <c r="O1151" s="460">
        <v>37324550</v>
      </c>
      <c r="P1151" s="462">
        <v>129820</v>
      </c>
      <c r="Q1151" s="462">
        <v>84</v>
      </c>
      <c r="R1151" s="462">
        <v>43881</v>
      </c>
      <c r="S1151" s="463">
        <v>1653</v>
      </c>
      <c r="T1151" s="464">
        <v>5.4</v>
      </c>
      <c r="U1151" s="465">
        <v>8926.2000000000007</v>
      </c>
      <c r="V1151" s="465">
        <v>17400</v>
      </c>
      <c r="W1151" s="466">
        <v>0</v>
      </c>
      <c r="X1151" s="467">
        <v>1</v>
      </c>
      <c r="Y1151" s="466">
        <v>0</v>
      </c>
      <c r="Z1151" s="468" t="s">
        <v>514</v>
      </c>
      <c r="AA1151" s="466">
        <v>0</v>
      </c>
      <c r="AB1151" s="466">
        <v>0</v>
      </c>
      <c r="AC1151" s="467">
        <v>0</v>
      </c>
      <c r="AD1151" s="466">
        <v>0</v>
      </c>
      <c r="AE1151" s="468" t="s">
        <v>516</v>
      </c>
      <c r="AF1151" s="466">
        <v>0</v>
      </c>
      <c r="AG1151" s="466">
        <v>0</v>
      </c>
      <c r="AH1151" s="466">
        <v>0</v>
      </c>
      <c r="AI1151" s="466">
        <v>0</v>
      </c>
      <c r="AJ1151" s="469" t="s">
        <v>1940</v>
      </c>
      <c r="AK1151" s="470" t="s">
        <v>1941</v>
      </c>
      <c r="AL1151" s="471" t="s">
        <v>9697</v>
      </c>
      <c r="AM1151" s="470" t="s">
        <v>14222</v>
      </c>
      <c r="AN1151" s="470" t="s">
        <v>9696</v>
      </c>
      <c r="AO1151" s="470" t="s">
        <v>9698</v>
      </c>
      <c r="AP1151" s="470" t="s">
        <v>9699</v>
      </c>
      <c r="AQ1151" s="470" t="s">
        <v>9694</v>
      </c>
      <c r="AR1151" s="472" t="s">
        <v>515</v>
      </c>
      <c r="AS1151" s="473">
        <v>5.4</v>
      </c>
      <c r="AT1151" s="472" t="s">
        <v>9686</v>
      </c>
      <c r="AU1151" s="472" t="s">
        <v>420</v>
      </c>
      <c r="AV1151" s="472">
        <v>2020</v>
      </c>
      <c r="AW1151" s="474" t="s">
        <v>15078</v>
      </c>
      <c r="AX1151" s="475" t="s">
        <v>15079</v>
      </c>
      <c r="AY1151" s="515">
        <v>1</v>
      </c>
      <c r="AZ1151" s="474" t="s">
        <v>15079</v>
      </c>
      <c r="BA1151" s="472" t="s">
        <v>1385</v>
      </c>
      <c r="BB1151" s="472" t="s">
        <v>1385</v>
      </c>
      <c r="BC1151" s="472" t="s">
        <v>1385</v>
      </c>
      <c r="BD1151" s="472" t="s">
        <v>1385</v>
      </c>
      <c r="BE1151" s="472" t="s">
        <v>1385</v>
      </c>
      <c r="BF1151" s="472">
        <v>39489.300000000003</v>
      </c>
      <c r="BG1151" s="472">
        <v>0</v>
      </c>
      <c r="BH1151" s="472" t="s">
        <v>516</v>
      </c>
      <c r="BI1151" s="510">
        <v>0</v>
      </c>
      <c r="BJ1151" s="510">
        <v>0</v>
      </c>
      <c r="BK1151" s="510">
        <v>0</v>
      </c>
      <c r="BL1151" s="510">
        <v>0</v>
      </c>
      <c r="BM1151" s="510">
        <v>0</v>
      </c>
      <c r="BN1151" s="510">
        <v>0</v>
      </c>
      <c r="BO1151" s="510">
        <v>0</v>
      </c>
      <c r="BP1151" s="510">
        <v>0</v>
      </c>
      <c r="BQ1151" s="510">
        <v>0</v>
      </c>
      <c r="BR1151" s="510">
        <v>0</v>
      </c>
      <c r="BS1151" s="510">
        <v>0</v>
      </c>
      <c r="BT1151" s="510">
        <v>0</v>
      </c>
      <c r="BU1151" s="510">
        <v>0</v>
      </c>
      <c r="BV1151" s="510">
        <v>0</v>
      </c>
      <c r="BW1151" s="510">
        <v>0</v>
      </c>
      <c r="BX1151" s="510">
        <v>0</v>
      </c>
      <c r="BY1151" s="1011">
        <v>0</v>
      </c>
      <c r="BZ1151" s="510">
        <v>0</v>
      </c>
      <c r="CA1151" s="1011">
        <v>0</v>
      </c>
      <c r="CB1151" s="510">
        <v>0</v>
      </c>
      <c r="CC1151" s="1011">
        <v>0</v>
      </c>
      <c r="CD1151" s="510">
        <v>0</v>
      </c>
      <c r="CE1151" s="1011">
        <v>0</v>
      </c>
      <c r="CF1151" s="510">
        <v>0</v>
      </c>
      <c r="CG1151" s="1011">
        <v>0</v>
      </c>
      <c r="CH1151" s="510">
        <v>0</v>
      </c>
      <c r="CI1151" s="1011">
        <v>0</v>
      </c>
    </row>
    <row r="1152" spans="1:87" x14ac:dyDescent="0.2">
      <c r="A1152" s="449">
        <v>101</v>
      </c>
      <c r="B1152" s="453">
        <v>200186</v>
      </c>
      <c r="C1152" s="454" t="s">
        <v>9700</v>
      </c>
      <c r="D1152" s="454" t="s">
        <v>9686</v>
      </c>
      <c r="E1152" s="454" t="s">
        <v>9701</v>
      </c>
      <c r="F1152" s="454" t="s">
        <v>521</v>
      </c>
      <c r="G1152" s="454" t="s">
        <v>14223</v>
      </c>
      <c r="H1152" s="455">
        <v>9166129000149</v>
      </c>
      <c r="I1152" s="462">
        <v>39105</v>
      </c>
      <c r="J1152" s="457">
        <v>37552279</v>
      </c>
      <c r="K1152" s="454" t="s">
        <v>2741</v>
      </c>
      <c r="L1152" s="458">
        <v>7350</v>
      </c>
      <c r="M1152" s="454" t="s">
        <v>1625</v>
      </c>
      <c r="N1152" s="459">
        <v>4777000</v>
      </c>
      <c r="O1152" s="460">
        <v>56681953</v>
      </c>
      <c r="P1152" s="462">
        <v>78657</v>
      </c>
      <c r="Q1152" s="462">
        <v>97</v>
      </c>
      <c r="R1152" s="462">
        <v>43934</v>
      </c>
      <c r="S1152" s="463">
        <v>2139</v>
      </c>
      <c r="T1152" s="464">
        <v>5.4</v>
      </c>
      <c r="U1152" s="465">
        <v>11550.6</v>
      </c>
      <c r="V1152" s="465">
        <v>17400</v>
      </c>
      <c r="W1152" s="466">
        <v>0</v>
      </c>
      <c r="X1152" s="467">
        <v>1</v>
      </c>
      <c r="Y1152" s="466">
        <v>43425.9</v>
      </c>
      <c r="Z1152" s="468" t="s">
        <v>516</v>
      </c>
      <c r="AA1152" s="466">
        <v>121750.3</v>
      </c>
      <c r="AB1152" s="466">
        <v>121750.3</v>
      </c>
      <c r="AC1152" s="467">
        <v>0</v>
      </c>
      <c r="AD1152" s="466">
        <v>0</v>
      </c>
      <c r="AE1152" s="468" t="s">
        <v>516</v>
      </c>
      <c r="AF1152" s="466">
        <v>0</v>
      </c>
      <c r="AG1152" s="466">
        <v>0</v>
      </c>
      <c r="AH1152" s="466">
        <v>34998.6</v>
      </c>
      <c r="AI1152" s="466">
        <v>23874.74</v>
      </c>
      <c r="AJ1152" s="469" t="s">
        <v>1624</v>
      </c>
      <c r="AK1152" s="470" t="s">
        <v>1625</v>
      </c>
      <c r="AL1152" s="471" t="s">
        <v>9702</v>
      </c>
      <c r="AM1152" s="470" t="s">
        <v>9703</v>
      </c>
      <c r="AN1152" s="470" t="s">
        <v>1385</v>
      </c>
      <c r="AO1152" s="470" t="s">
        <v>14953</v>
      </c>
      <c r="AP1152" s="470" t="s">
        <v>9704</v>
      </c>
      <c r="AQ1152" s="470" t="s">
        <v>9700</v>
      </c>
      <c r="AR1152" s="472" t="s">
        <v>515</v>
      </c>
      <c r="AS1152" s="473">
        <v>5.4</v>
      </c>
      <c r="AT1152" s="472" t="s">
        <v>9686</v>
      </c>
      <c r="AU1152" s="472" t="s">
        <v>420</v>
      </c>
      <c r="AV1152" s="472">
        <v>2020</v>
      </c>
      <c r="AW1152" s="474" t="s">
        <v>15078</v>
      </c>
      <c r="AX1152" s="475" t="s">
        <v>15079</v>
      </c>
      <c r="AY1152" s="515">
        <v>1</v>
      </c>
      <c r="AZ1152" s="474" t="s">
        <v>15079</v>
      </c>
      <c r="BA1152" s="472" t="s">
        <v>9686</v>
      </c>
      <c r="BB1152" s="472" t="s">
        <v>1385</v>
      </c>
      <c r="BC1152" s="472" t="s">
        <v>1385</v>
      </c>
      <c r="BD1152" s="472" t="s">
        <v>1385</v>
      </c>
      <c r="BE1152" s="472" t="s">
        <v>1385</v>
      </c>
      <c r="BF1152" s="472">
        <v>43425.9</v>
      </c>
      <c r="BG1152" s="472">
        <v>0</v>
      </c>
      <c r="BH1152" s="472" t="s">
        <v>1385</v>
      </c>
      <c r="BI1152" s="510">
        <v>0</v>
      </c>
      <c r="BJ1152" s="510">
        <v>0</v>
      </c>
      <c r="BK1152" s="510">
        <v>0</v>
      </c>
      <c r="BL1152" s="510">
        <v>0</v>
      </c>
      <c r="BM1152" s="510">
        <v>0</v>
      </c>
      <c r="BN1152" s="510">
        <v>0</v>
      </c>
      <c r="BO1152" s="510">
        <v>0</v>
      </c>
      <c r="BP1152" s="510">
        <v>0</v>
      </c>
      <c r="BQ1152" s="510">
        <v>0</v>
      </c>
      <c r="BR1152" s="510">
        <v>0</v>
      </c>
      <c r="BS1152" s="510">
        <v>0</v>
      </c>
      <c r="BT1152" s="510">
        <v>0</v>
      </c>
      <c r="BU1152" s="510">
        <v>0</v>
      </c>
      <c r="BV1152" s="510">
        <v>0</v>
      </c>
      <c r="BW1152" s="510">
        <v>0</v>
      </c>
      <c r="BX1152" s="510">
        <v>0</v>
      </c>
      <c r="BY1152" s="1011">
        <v>0</v>
      </c>
      <c r="BZ1152" s="510">
        <v>0</v>
      </c>
      <c r="CA1152" s="1011">
        <v>0</v>
      </c>
      <c r="CB1152" s="510">
        <v>0</v>
      </c>
      <c r="CC1152" s="1011">
        <v>0</v>
      </c>
      <c r="CD1152" s="510">
        <v>0</v>
      </c>
      <c r="CE1152" s="1011">
        <v>0</v>
      </c>
      <c r="CF1152" s="510">
        <v>78324.399999999994</v>
      </c>
      <c r="CG1152" s="1011">
        <v>0</v>
      </c>
      <c r="CH1152" s="510">
        <v>0</v>
      </c>
      <c r="CI1152" s="1011">
        <v>0</v>
      </c>
    </row>
    <row r="1153" spans="1:87" x14ac:dyDescent="0.2">
      <c r="A1153" s="449">
        <v>101</v>
      </c>
      <c r="B1153" s="453">
        <v>200187</v>
      </c>
      <c r="C1153" s="454" t="s">
        <v>9705</v>
      </c>
      <c r="D1153" s="454" t="s">
        <v>9686</v>
      </c>
      <c r="E1153" s="454" t="s">
        <v>3233</v>
      </c>
      <c r="F1153" s="454" t="s">
        <v>523</v>
      </c>
      <c r="G1153" s="454" t="s">
        <v>14224</v>
      </c>
      <c r="H1153" s="455">
        <v>7960666000130</v>
      </c>
      <c r="I1153" s="462">
        <v>38686</v>
      </c>
      <c r="J1153" s="457">
        <v>39091490</v>
      </c>
      <c r="K1153" s="454" t="s">
        <v>9707</v>
      </c>
      <c r="L1153" s="458" t="s">
        <v>1446</v>
      </c>
      <c r="M1153" s="454" t="s">
        <v>9708</v>
      </c>
      <c r="N1153" s="459">
        <v>8472721</v>
      </c>
      <c r="O1153" s="460">
        <v>25189043</v>
      </c>
      <c r="P1153" s="462">
        <v>261664</v>
      </c>
      <c r="Q1153" s="462">
        <v>101</v>
      </c>
      <c r="R1153" s="462">
        <v>43921</v>
      </c>
      <c r="S1153" s="463">
        <v>2086</v>
      </c>
      <c r="T1153" s="464">
        <v>5.4</v>
      </c>
      <c r="U1153" s="465">
        <v>11264.4</v>
      </c>
      <c r="V1153" s="465">
        <v>17400</v>
      </c>
      <c r="W1153" s="466">
        <v>0</v>
      </c>
      <c r="X1153" s="467">
        <v>1</v>
      </c>
      <c r="Y1153" s="466">
        <v>42996.6</v>
      </c>
      <c r="Z1153" s="468" t="s">
        <v>516</v>
      </c>
      <c r="AA1153" s="466">
        <v>119819.8</v>
      </c>
      <c r="AB1153" s="466">
        <v>119819.8</v>
      </c>
      <c r="AC1153" s="467">
        <v>0</v>
      </c>
      <c r="AD1153" s="466">
        <v>0</v>
      </c>
      <c r="AE1153" s="468" t="s">
        <v>516</v>
      </c>
      <c r="AF1153" s="466">
        <v>0</v>
      </c>
      <c r="AG1153" s="466">
        <v>0</v>
      </c>
      <c r="AH1153" s="466">
        <v>25745.98</v>
      </c>
      <c r="AI1153" s="466">
        <v>10901.1</v>
      </c>
      <c r="AJ1153" s="469" t="s">
        <v>1395</v>
      </c>
      <c r="AK1153" s="470" t="s">
        <v>523</v>
      </c>
      <c r="AL1153" s="471" t="s">
        <v>9709</v>
      </c>
      <c r="AM1153" s="470" t="s">
        <v>9710</v>
      </c>
      <c r="AN1153" s="470" t="s">
        <v>9706</v>
      </c>
      <c r="AO1153" s="470" t="s">
        <v>14225</v>
      </c>
      <c r="AP1153" s="470" t="s">
        <v>3233</v>
      </c>
      <c r="AQ1153" s="470" t="s">
        <v>9705</v>
      </c>
      <c r="AR1153" s="472" t="s">
        <v>515</v>
      </c>
      <c r="AS1153" s="473">
        <v>5.4</v>
      </c>
      <c r="AT1153" s="472" t="s">
        <v>9686</v>
      </c>
      <c r="AU1153" s="472" t="s">
        <v>420</v>
      </c>
      <c r="AV1153" s="472">
        <v>2020</v>
      </c>
      <c r="AW1153" s="474" t="s">
        <v>15078</v>
      </c>
      <c r="AX1153" s="475" t="s">
        <v>15079</v>
      </c>
      <c r="AY1153" s="515">
        <v>1</v>
      </c>
      <c r="AZ1153" s="474" t="s">
        <v>15079</v>
      </c>
      <c r="BA1153" s="472" t="s">
        <v>9686</v>
      </c>
      <c r="BB1153" s="472" t="s">
        <v>1385</v>
      </c>
      <c r="BC1153" s="472" t="s">
        <v>1385</v>
      </c>
      <c r="BD1153" s="472" t="s">
        <v>1385</v>
      </c>
      <c r="BE1153" s="472" t="s">
        <v>1385</v>
      </c>
      <c r="BF1153" s="472">
        <v>42996.6</v>
      </c>
      <c r="BG1153" s="472">
        <v>0</v>
      </c>
      <c r="BH1153" s="472" t="s">
        <v>1385</v>
      </c>
      <c r="BI1153" s="510">
        <v>0</v>
      </c>
      <c r="BJ1153" s="510">
        <v>0</v>
      </c>
      <c r="BK1153" s="510">
        <v>0</v>
      </c>
      <c r="BL1153" s="510">
        <v>0</v>
      </c>
      <c r="BM1153" s="510">
        <v>0</v>
      </c>
      <c r="BN1153" s="510">
        <v>0</v>
      </c>
      <c r="BO1153" s="510">
        <v>0</v>
      </c>
      <c r="BP1153" s="510">
        <v>0</v>
      </c>
      <c r="BQ1153" s="510">
        <v>0</v>
      </c>
      <c r="BR1153" s="510">
        <v>0</v>
      </c>
      <c r="BS1153" s="510">
        <v>0</v>
      </c>
      <c r="BT1153" s="510">
        <v>0</v>
      </c>
      <c r="BU1153" s="510">
        <v>0</v>
      </c>
      <c r="BV1153" s="510">
        <v>0</v>
      </c>
      <c r="BW1153" s="510">
        <v>0</v>
      </c>
      <c r="BX1153" s="510">
        <v>0</v>
      </c>
      <c r="BY1153" s="1011">
        <v>0</v>
      </c>
      <c r="BZ1153" s="510">
        <v>0</v>
      </c>
      <c r="CA1153" s="1011">
        <v>0</v>
      </c>
      <c r="CB1153" s="510">
        <v>0</v>
      </c>
      <c r="CC1153" s="1011">
        <v>0</v>
      </c>
      <c r="CD1153" s="510">
        <v>0</v>
      </c>
      <c r="CE1153" s="1011">
        <v>0</v>
      </c>
      <c r="CF1153" s="510">
        <v>76823.199999999997</v>
      </c>
      <c r="CG1153" s="1011">
        <v>0</v>
      </c>
      <c r="CH1153" s="510">
        <v>0</v>
      </c>
      <c r="CI1153" s="1011">
        <v>0</v>
      </c>
    </row>
    <row r="1154" spans="1:87" x14ac:dyDescent="0.2">
      <c r="A1154" s="449">
        <v>102</v>
      </c>
      <c r="B1154" s="453">
        <v>200188</v>
      </c>
      <c r="C1154" s="454" t="s">
        <v>9711</v>
      </c>
      <c r="D1154" s="454" t="s">
        <v>9686</v>
      </c>
      <c r="E1154" s="454" t="s">
        <v>3240</v>
      </c>
      <c r="F1154" s="454" t="s">
        <v>523</v>
      </c>
      <c r="G1154" s="454" t="s">
        <v>14226</v>
      </c>
      <c r="H1154" s="455">
        <v>9511732000110</v>
      </c>
      <c r="I1154" s="462">
        <v>38874</v>
      </c>
      <c r="J1154" s="457">
        <v>40131378</v>
      </c>
      <c r="K1154" s="454" t="s">
        <v>9713</v>
      </c>
      <c r="L1154" s="458">
        <v>60</v>
      </c>
      <c r="M1154" s="454" t="s">
        <v>2799</v>
      </c>
      <c r="N1154" s="459">
        <v>8420092</v>
      </c>
      <c r="O1154" s="460">
        <v>29602055</v>
      </c>
      <c r="P1154" s="462">
        <v>261621</v>
      </c>
      <c r="Q1154" s="462">
        <v>102</v>
      </c>
      <c r="R1154" s="462">
        <v>43921</v>
      </c>
      <c r="S1154" s="463">
        <v>2508</v>
      </c>
      <c r="T1154" s="464">
        <v>5.4</v>
      </c>
      <c r="U1154" s="465">
        <v>13543.2</v>
      </c>
      <c r="V1154" s="465">
        <v>17400</v>
      </c>
      <c r="W1154" s="466">
        <v>0</v>
      </c>
      <c r="X1154" s="467">
        <v>1</v>
      </c>
      <c r="Y1154" s="466">
        <v>0</v>
      </c>
      <c r="Z1154" s="468" t="s">
        <v>514</v>
      </c>
      <c r="AA1154" s="466">
        <v>0</v>
      </c>
      <c r="AB1154" s="466">
        <v>0</v>
      </c>
      <c r="AC1154" s="467">
        <v>0</v>
      </c>
      <c r="AD1154" s="466">
        <v>0</v>
      </c>
      <c r="AE1154" s="468" t="s">
        <v>516</v>
      </c>
      <c r="AF1154" s="466">
        <v>0</v>
      </c>
      <c r="AG1154" s="466">
        <v>0</v>
      </c>
      <c r="AH1154" s="466">
        <v>0</v>
      </c>
      <c r="AI1154" s="466">
        <v>0</v>
      </c>
      <c r="AJ1154" s="469" t="s">
        <v>1385</v>
      </c>
      <c r="AK1154" s="470" t="s">
        <v>12480</v>
      </c>
      <c r="AL1154" s="471" t="s">
        <v>1385</v>
      </c>
      <c r="AM1154" s="470" t="s">
        <v>14227</v>
      </c>
      <c r="AN1154" s="470" t="s">
        <v>9712</v>
      </c>
      <c r="AO1154" s="470" t="s">
        <v>14228</v>
      </c>
      <c r="AP1154" s="470" t="s">
        <v>9715</v>
      </c>
      <c r="AQ1154" s="470" t="s">
        <v>9711</v>
      </c>
      <c r="AR1154" s="472" t="s">
        <v>515</v>
      </c>
      <c r="AS1154" s="473">
        <v>5.4</v>
      </c>
      <c r="AT1154" s="472" t="s">
        <v>9686</v>
      </c>
      <c r="AU1154" s="472" t="s">
        <v>420</v>
      </c>
      <c r="AV1154" s="472">
        <v>2020</v>
      </c>
      <c r="AW1154" s="474" t="s">
        <v>15078</v>
      </c>
      <c r="AX1154" s="475" t="s">
        <v>15079</v>
      </c>
      <c r="AY1154" s="515">
        <v>1</v>
      </c>
      <c r="AZ1154" s="474" t="s">
        <v>15079</v>
      </c>
      <c r="BA1154" s="472" t="s">
        <v>1385</v>
      </c>
      <c r="BB1154" s="472" t="s">
        <v>1385</v>
      </c>
      <c r="BC1154" s="472" t="s">
        <v>1385</v>
      </c>
      <c r="BD1154" s="472" t="s">
        <v>1385</v>
      </c>
      <c r="BE1154" s="472" t="s">
        <v>1385</v>
      </c>
      <c r="BF1154" s="472">
        <v>46414.8</v>
      </c>
      <c r="BG1154" s="472">
        <v>0</v>
      </c>
      <c r="BH1154" s="472" t="s">
        <v>516</v>
      </c>
      <c r="BI1154" s="510">
        <v>0</v>
      </c>
      <c r="BJ1154" s="510">
        <v>0</v>
      </c>
      <c r="BK1154" s="510">
        <v>0</v>
      </c>
      <c r="BL1154" s="510">
        <v>0</v>
      </c>
      <c r="BM1154" s="510">
        <v>0</v>
      </c>
      <c r="BN1154" s="510">
        <v>0</v>
      </c>
      <c r="BO1154" s="510">
        <v>0</v>
      </c>
      <c r="BP1154" s="510">
        <v>0</v>
      </c>
      <c r="BQ1154" s="510">
        <v>0</v>
      </c>
      <c r="BR1154" s="510">
        <v>0</v>
      </c>
      <c r="BS1154" s="510">
        <v>0</v>
      </c>
      <c r="BT1154" s="510">
        <v>0</v>
      </c>
      <c r="BU1154" s="510">
        <v>0</v>
      </c>
      <c r="BV1154" s="510">
        <v>0</v>
      </c>
      <c r="BW1154" s="510">
        <v>0</v>
      </c>
      <c r="BX1154" s="510">
        <v>0</v>
      </c>
      <c r="BY1154" s="1011">
        <v>0</v>
      </c>
      <c r="BZ1154" s="510">
        <v>0</v>
      </c>
      <c r="CA1154" s="1011">
        <v>0</v>
      </c>
      <c r="CB1154" s="510">
        <v>0</v>
      </c>
      <c r="CC1154" s="1011">
        <v>0</v>
      </c>
      <c r="CD1154" s="510">
        <v>0</v>
      </c>
      <c r="CE1154" s="1011">
        <v>0</v>
      </c>
      <c r="CF1154" s="510">
        <v>0</v>
      </c>
      <c r="CG1154" s="1011">
        <v>0</v>
      </c>
      <c r="CH1154" s="510">
        <v>0</v>
      </c>
      <c r="CI1154" s="1011">
        <v>0</v>
      </c>
    </row>
    <row r="1155" spans="1:87" x14ac:dyDescent="0.2">
      <c r="A1155" s="449">
        <v>114</v>
      </c>
      <c r="B1155" s="453">
        <v>200189</v>
      </c>
      <c r="C1155" s="454" t="s">
        <v>9716</v>
      </c>
      <c r="D1155" s="454" t="s">
        <v>9686</v>
      </c>
      <c r="E1155" s="454" t="s">
        <v>9717</v>
      </c>
      <c r="F1155" s="454" t="s">
        <v>524</v>
      </c>
      <c r="G1155" s="454" t="s">
        <v>14229</v>
      </c>
      <c r="H1155" s="455">
        <v>7921883000111</v>
      </c>
      <c r="I1155" s="462">
        <v>42353</v>
      </c>
      <c r="J1155" s="457">
        <v>37499343</v>
      </c>
      <c r="K1155" s="454" t="s">
        <v>3244</v>
      </c>
      <c r="L1155" s="458">
        <v>111</v>
      </c>
      <c r="M1155" s="454" t="s">
        <v>9719</v>
      </c>
      <c r="N1155" s="459">
        <v>4240110</v>
      </c>
      <c r="O1155" s="460">
        <v>29452539</v>
      </c>
      <c r="P1155" s="462">
        <v>201173</v>
      </c>
      <c r="Q1155" s="462">
        <v>25</v>
      </c>
      <c r="R1155" s="462">
        <v>43906</v>
      </c>
      <c r="S1155" s="463">
        <v>1768</v>
      </c>
      <c r="T1155" s="464">
        <v>5.4</v>
      </c>
      <c r="U1155" s="465">
        <v>9547.2000000000007</v>
      </c>
      <c r="V1155" s="465">
        <v>17400</v>
      </c>
      <c r="W1155" s="466">
        <v>0</v>
      </c>
      <c r="X1155" s="467">
        <v>1</v>
      </c>
      <c r="Y1155" s="466">
        <v>40420.800000000003</v>
      </c>
      <c r="Z1155" s="468" t="s">
        <v>516</v>
      </c>
      <c r="AA1155" s="466">
        <v>117838</v>
      </c>
      <c r="AB1155" s="466">
        <v>117838</v>
      </c>
      <c r="AC1155" s="467">
        <v>0</v>
      </c>
      <c r="AD1155" s="466">
        <v>0</v>
      </c>
      <c r="AE1155" s="468" t="s">
        <v>516</v>
      </c>
      <c r="AF1155" s="466">
        <v>0</v>
      </c>
      <c r="AG1155" s="466">
        <v>0</v>
      </c>
      <c r="AH1155" s="466">
        <v>9976.9500000000007</v>
      </c>
      <c r="AI1155" s="466">
        <v>3879.67</v>
      </c>
      <c r="AJ1155" s="469" t="s">
        <v>6985</v>
      </c>
      <c r="AK1155" s="470" t="s">
        <v>6986</v>
      </c>
      <c r="AL1155" s="471" t="s">
        <v>9720</v>
      </c>
      <c r="AM1155" s="470" t="s">
        <v>15201</v>
      </c>
      <c r="AN1155" s="470" t="s">
        <v>9718</v>
      </c>
      <c r="AO1155" s="470" t="s">
        <v>14230</v>
      </c>
      <c r="AP1155" s="470" t="s">
        <v>9721</v>
      </c>
      <c r="AQ1155" s="470" t="s">
        <v>9716</v>
      </c>
      <c r="AR1155" s="472" t="s">
        <v>515</v>
      </c>
      <c r="AS1155" s="473">
        <v>5.4</v>
      </c>
      <c r="AT1155" s="472" t="s">
        <v>9686</v>
      </c>
      <c r="AU1155" s="472" t="s">
        <v>420</v>
      </c>
      <c r="AV1155" s="472">
        <v>2020</v>
      </c>
      <c r="AW1155" s="474" t="s">
        <v>15078</v>
      </c>
      <c r="AX1155" s="475" t="s">
        <v>15079</v>
      </c>
      <c r="AY1155" s="515">
        <v>1</v>
      </c>
      <c r="AZ1155" s="474" t="s">
        <v>15079</v>
      </c>
      <c r="BA1155" s="472" t="s">
        <v>9686</v>
      </c>
      <c r="BB1155" s="472" t="s">
        <v>1385</v>
      </c>
      <c r="BC1155" s="472" t="s">
        <v>1385</v>
      </c>
      <c r="BD1155" s="472" t="s">
        <v>1385</v>
      </c>
      <c r="BE1155" s="472" t="s">
        <v>1385</v>
      </c>
      <c r="BF1155" s="472">
        <v>40420.800000000003</v>
      </c>
      <c r="BG1155" s="472">
        <v>0</v>
      </c>
      <c r="BH1155" s="472" t="s">
        <v>1385</v>
      </c>
      <c r="BI1155" s="510">
        <v>0</v>
      </c>
      <c r="BJ1155" s="510">
        <v>0</v>
      </c>
      <c r="BK1155" s="510">
        <v>0</v>
      </c>
      <c r="BL1155" s="510">
        <v>0</v>
      </c>
      <c r="BM1155" s="510">
        <v>0</v>
      </c>
      <c r="BN1155" s="510">
        <v>0</v>
      </c>
      <c r="BO1155" s="510">
        <v>0</v>
      </c>
      <c r="BP1155" s="510">
        <v>0</v>
      </c>
      <c r="BQ1155" s="510">
        <v>0</v>
      </c>
      <c r="BR1155" s="510">
        <v>0</v>
      </c>
      <c r="BS1155" s="510">
        <v>0</v>
      </c>
      <c r="BT1155" s="510">
        <v>0</v>
      </c>
      <c r="BU1155" s="510">
        <v>0</v>
      </c>
      <c r="BV1155" s="510">
        <v>0</v>
      </c>
      <c r="BW1155" s="510">
        <v>0</v>
      </c>
      <c r="BX1155" s="510">
        <v>0</v>
      </c>
      <c r="BY1155" s="1011">
        <v>0</v>
      </c>
      <c r="BZ1155" s="510">
        <v>0</v>
      </c>
      <c r="CA1155" s="1011">
        <v>0</v>
      </c>
      <c r="CB1155" s="510">
        <v>0</v>
      </c>
      <c r="CC1155" s="1011">
        <v>0</v>
      </c>
      <c r="CD1155" s="510">
        <v>0</v>
      </c>
      <c r="CE1155" s="1011">
        <v>0</v>
      </c>
      <c r="CF1155" s="510">
        <v>77417.2</v>
      </c>
      <c r="CG1155" s="1011">
        <v>0</v>
      </c>
      <c r="CH1155" s="510">
        <v>0</v>
      </c>
      <c r="CI1155" s="1011">
        <v>0</v>
      </c>
    </row>
    <row r="1156" spans="1:87" x14ac:dyDescent="0.2">
      <c r="A1156" s="449">
        <v>102</v>
      </c>
      <c r="B1156" s="453">
        <v>200190</v>
      </c>
      <c r="C1156" s="454" t="s">
        <v>9722</v>
      </c>
      <c r="D1156" s="454" t="s">
        <v>9686</v>
      </c>
      <c r="E1156" s="454" t="s">
        <v>9723</v>
      </c>
      <c r="F1156" s="454" t="s">
        <v>521</v>
      </c>
      <c r="G1156" s="454" t="s">
        <v>14231</v>
      </c>
      <c r="H1156" s="455">
        <v>8898960000122</v>
      </c>
      <c r="I1156" s="462">
        <v>39040</v>
      </c>
      <c r="J1156" s="457">
        <v>37552201</v>
      </c>
      <c r="K1156" s="454" t="s">
        <v>3352</v>
      </c>
      <c r="L1156" s="458" t="s">
        <v>1446</v>
      </c>
      <c r="M1156" s="454" t="s">
        <v>3353</v>
      </c>
      <c r="N1156" s="459">
        <v>4849503</v>
      </c>
      <c r="O1156" s="460">
        <v>59765527</v>
      </c>
      <c r="P1156" s="462">
        <v>90240</v>
      </c>
      <c r="Q1156" s="462">
        <v>100</v>
      </c>
      <c r="R1156" s="462">
        <v>43934</v>
      </c>
      <c r="S1156" s="463">
        <v>2584</v>
      </c>
      <c r="T1156" s="464">
        <v>5.4</v>
      </c>
      <c r="U1156" s="465">
        <v>13953.6</v>
      </c>
      <c r="V1156" s="465">
        <v>17400</v>
      </c>
      <c r="W1156" s="466">
        <v>0</v>
      </c>
      <c r="X1156" s="467">
        <v>1</v>
      </c>
      <c r="Y1156" s="466">
        <v>47030.400000000001</v>
      </c>
      <c r="Z1156" s="468" t="s">
        <v>516</v>
      </c>
      <c r="AA1156" s="466">
        <v>128206</v>
      </c>
      <c r="AB1156" s="466">
        <v>128206</v>
      </c>
      <c r="AC1156" s="467">
        <v>0</v>
      </c>
      <c r="AD1156" s="466">
        <v>0</v>
      </c>
      <c r="AE1156" s="468" t="s">
        <v>516</v>
      </c>
      <c r="AF1156" s="466">
        <v>0</v>
      </c>
      <c r="AG1156" s="466">
        <v>0</v>
      </c>
      <c r="AH1156" s="466">
        <v>24292.49</v>
      </c>
      <c r="AI1156" s="466">
        <v>20564.25</v>
      </c>
      <c r="AJ1156" s="469" t="s">
        <v>1624</v>
      </c>
      <c r="AK1156" s="470" t="s">
        <v>1625</v>
      </c>
      <c r="AL1156" s="471" t="s">
        <v>9724</v>
      </c>
      <c r="AM1156" s="470" t="s">
        <v>9725</v>
      </c>
      <c r="AN1156" s="470" t="s">
        <v>1385</v>
      </c>
      <c r="AO1156" s="470" t="s">
        <v>14954</v>
      </c>
      <c r="AP1156" s="470" t="s">
        <v>9727</v>
      </c>
      <c r="AQ1156" s="470" t="s">
        <v>9722</v>
      </c>
      <c r="AR1156" s="472" t="s">
        <v>515</v>
      </c>
      <c r="AS1156" s="473">
        <v>5.4</v>
      </c>
      <c r="AT1156" s="472" t="s">
        <v>9686</v>
      </c>
      <c r="AU1156" s="472" t="s">
        <v>420</v>
      </c>
      <c r="AV1156" s="472">
        <v>2020</v>
      </c>
      <c r="AW1156" s="474" t="s">
        <v>15078</v>
      </c>
      <c r="AX1156" s="475" t="s">
        <v>15079</v>
      </c>
      <c r="AY1156" s="515">
        <v>1</v>
      </c>
      <c r="AZ1156" s="474" t="s">
        <v>15079</v>
      </c>
      <c r="BA1156" s="472" t="s">
        <v>9686</v>
      </c>
      <c r="BB1156" s="472" t="s">
        <v>1385</v>
      </c>
      <c r="BC1156" s="472" t="s">
        <v>1385</v>
      </c>
      <c r="BD1156" s="472" t="s">
        <v>1385</v>
      </c>
      <c r="BE1156" s="472" t="s">
        <v>1385</v>
      </c>
      <c r="BF1156" s="472">
        <v>47030.400000000001</v>
      </c>
      <c r="BG1156" s="472">
        <v>0</v>
      </c>
      <c r="BH1156" s="472" t="s">
        <v>1385</v>
      </c>
      <c r="BI1156" s="510">
        <v>0</v>
      </c>
      <c r="BJ1156" s="510">
        <v>0</v>
      </c>
      <c r="BK1156" s="510">
        <v>0</v>
      </c>
      <c r="BL1156" s="510">
        <v>0</v>
      </c>
      <c r="BM1156" s="510">
        <v>0</v>
      </c>
      <c r="BN1156" s="510">
        <v>0</v>
      </c>
      <c r="BO1156" s="510">
        <v>0</v>
      </c>
      <c r="BP1156" s="510">
        <v>0</v>
      </c>
      <c r="BQ1156" s="510">
        <v>0</v>
      </c>
      <c r="BR1156" s="510">
        <v>0</v>
      </c>
      <c r="BS1156" s="510">
        <v>0</v>
      </c>
      <c r="BT1156" s="510">
        <v>0</v>
      </c>
      <c r="BU1156" s="510">
        <v>0</v>
      </c>
      <c r="BV1156" s="510">
        <v>0</v>
      </c>
      <c r="BW1156" s="510">
        <v>0</v>
      </c>
      <c r="BX1156" s="510">
        <v>0</v>
      </c>
      <c r="BY1156" s="1011">
        <v>0</v>
      </c>
      <c r="BZ1156" s="510">
        <v>0</v>
      </c>
      <c r="CA1156" s="1011">
        <v>0</v>
      </c>
      <c r="CB1156" s="510">
        <v>0</v>
      </c>
      <c r="CC1156" s="1011">
        <v>0</v>
      </c>
      <c r="CD1156" s="510">
        <v>0</v>
      </c>
      <c r="CE1156" s="1011">
        <v>0</v>
      </c>
      <c r="CF1156" s="510">
        <v>81175.600000000006</v>
      </c>
      <c r="CG1156" s="1011">
        <v>0</v>
      </c>
      <c r="CH1156" s="510">
        <v>0</v>
      </c>
      <c r="CI1156" s="1011">
        <v>0</v>
      </c>
    </row>
    <row r="1157" spans="1:87" x14ac:dyDescent="0.2">
      <c r="A1157" s="449">
        <v>134</v>
      </c>
      <c r="B1157" s="453">
        <v>200191</v>
      </c>
      <c r="C1157" s="454" t="s">
        <v>9728</v>
      </c>
      <c r="D1157" s="454" t="s">
        <v>9686</v>
      </c>
      <c r="E1157" s="454" t="s">
        <v>9729</v>
      </c>
      <c r="F1157" s="454" t="s">
        <v>526</v>
      </c>
      <c r="G1157" s="454" t="s">
        <v>14232</v>
      </c>
      <c r="H1157" s="455">
        <v>8294609000122</v>
      </c>
      <c r="I1157" s="462">
        <v>38708</v>
      </c>
      <c r="J1157" s="457">
        <v>53543963</v>
      </c>
      <c r="K1157" s="454" t="s">
        <v>2002</v>
      </c>
      <c r="L1157" s="458">
        <v>643</v>
      </c>
      <c r="M1157" s="454" t="s">
        <v>2003</v>
      </c>
      <c r="N1157" s="459">
        <v>8062590</v>
      </c>
      <c r="O1157" s="460">
        <v>20454247</v>
      </c>
      <c r="P1157" s="462">
        <v>180656</v>
      </c>
      <c r="Q1157" s="462">
        <v>134</v>
      </c>
      <c r="R1157" s="462">
        <v>43928</v>
      </c>
      <c r="S1157" s="463">
        <v>1610</v>
      </c>
      <c r="T1157" s="464">
        <v>5.4</v>
      </c>
      <c r="U1157" s="465">
        <v>8694</v>
      </c>
      <c r="V1157" s="465">
        <v>17400</v>
      </c>
      <c r="W1157" s="466">
        <v>0</v>
      </c>
      <c r="X1157" s="467">
        <v>1</v>
      </c>
      <c r="Y1157" s="466">
        <v>39141</v>
      </c>
      <c r="Z1157" s="468" t="s">
        <v>516</v>
      </c>
      <c r="AA1157" s="466">
        <v>111968.2</v>
      </c>
      <c r="AB1157" s="466">
        <v>111968.2</v>
      </c>
      <c r="AC1157" s="467">
        <v>0</v>
      </c>
      <c r="AD1157" s="466">
        <v>0</v>
      </c>
      <c r="AE1157" s="468" t="s">
        <v>516</v>
      </c>
      <c r="AF1157" s="466">
        <v>0</v>
      </c>
      <c r="AG1157" s="466">
        <v>0</v>
      </c>
      <c r="AH1157" s="466">
        <v>16258.84</v>
      </c>
      <c r="AI1157" s="466">
        <v>15876.09</v>
      </c>
      <c r="AJ1157" s="469" t="s">
        <v>2004</v>
      </c>
      <c r="AK1157" s="470" t="s">
        <v>2005</v>
      </c>
      <c r="AL1157" s="471" t="s">
        <v>9730</v>
      </c>
      <c r="AM1157" s="470" t="s">
        <v>9731</v>
      </c>
      <c r="AN1157" s="470" t="s">
        <v>1385</v>
      </c>
      <c r="AO1157" s="470" t="s">
        <v>14233</v>
      </c>
      <c r="AP1157" s="470" t="s">
        <v>3260</v>
      </c>
      <c r="AQ1157" s="470" t="s">
        <v>9728</v>
      </c>
      <c r="AR1157" s="472" t="s">
        <v>515</v>
      </c>
      <c r="AS1157" s="473">
        <v>5.4</v>
      </c>
      <c r="AT1157" s="472" t="s">
        <v>9686</v>
      </c>
      <c r="AU1157" s="472" t="s">
        <v>420</v>
      </c>
      <c r="AV1157" s="472">
        <v>2020</v>
      </c>
      <c r="AW1157" s="474" t="s">
        <v>15078</v>
      </c>
      <c r="AX1157" s="475" t="s">
        <v>15079</v>
      </c>
      <c r="AY1157" s="515">
        <v>1</v>
      </c>
      <c r="AZ1157" s="474" t="s">
        <v>15079</v>
      </c>
      <c r="BA1157" s="472" t="s">
        <v>9686</v>
      </c>
      <c r="BB1157" s="472" t="s">
        <v>1385</v>
      </c>
      <c r="BC1157" s="472" t="s">
        <v>1385</v>
      </c>
      <c r="BD1157" s="472" t="s">
        <v>1385</v>
      </c>
      <c r="BE1157" s="472" t="s">
        <v>1385</v>
      </c>
      <c r="BF1157" s="472">
        <v>39141</v>
      </c>
      <c r="BG1157" s="472">
        <v>0</v>
      </c>
      <c r="BH1157" s="472" t="s">
        <v>1385</v>
      </c>
      <c r="BI1157" s="510">
        <v>0</v>
      </c>
      <c r="BJ1157" s="510">
        <v>0</v>
      </c>
      <c r="BK1157" s="510">
        <v>0</v>
      </c>
      <c r="BL1157" s="510">
        <v>0</v>
      </c>
      <c r="BM1157" s="510">
        <v>0</v>
      </c>
      <c r="BN1157" s="510">
        <v>0</v>
      </c>
      <c r="BO1157" s="510">
        <v>0</v>
      </c>
      <c r="BP1157" s="510">
        <v>0</v>
      </c>
      <c r="BQ1157" s="510">
        <v>0</v>
      </c>
      <c r="BR1157" s="510">
        <v>0</v>
      </c>
      <c r="BS1157" s="510">
        <v>0</v>
      </c>
      <c r="BT1157" s="510">
        <v>0</v>
      </c>
      <c r="BU1157" s="510">
        <v>0</v>
      </c>
      <c r="BV1157" s="510">
        <v>0</v>
      </c>
      <c r="BW1157" s="510">
        <v>0</v>
      </c>
      <c r="BX1157" s="510">
        <v>0</v>
      </c>
      <c r="BY1157" s="1011">
        <v>0</v>
      </c>
      <c r="BZ1157" s="510">
        <v>0</v>
      </c>
      <c r="CA1157" s="1011">
        <v>0</v>
      </c>
      <c r="CB1157" s="510">
        <v>0</v>
      </c>
      <c r="CC1157" s="1011">
        <v>0</v>
      </c>
      <c r="CD1157" s="510">
        <v>0</v>
      </c>
      <c r="CE1157" s="1011">
        <v>0</v>
      </c>
      <c r="CF1157" s="510">
        <v>72827.199999999997</v>
      </c>
      <c r="CG1157" s="1011">
        <v>0</v>
      </c>
      <c r="CH1157" s="510">
        <v>0</v>
      </c>
      <c r="CI1157" s="1011">
        <v>0</v>
      </c>
    </row>
    <row r="1158" spans="1:87" x14ac:dyDescent="0.2">
      <c r="A1158" s="449">
        <v>135</v>
      </c>
      <c r="B1158" s="453">
        <v>200192</v>
      </c>
      <c r="C1158" s="454" t="s">
        <v>9732</v>
      </c>
      <c r="D1158" s="454" t="s">
        <v>9686</v>
      </c>
      <c r="E1158" s="454" t="s">
        <v>9733</v>
      </c>
      <c r="F1158" s="454" t="s">
        <v>526</v>
      </c>
      <c r="G1158" s="454" t="s">
        <v>14234</v>
      </c>
      <c r="H1158" s="455">
        <v>8244498000140</v>
      </c>
      <c r="I1158" s="462">
        <v>38790</v>
      </c>
      <c r="J1158" s="457">
        <v>53295994</v>
      </c>
      <c r="K1158" s="454" t="s">
        <v>2952</v>
      </c>
      <c r="L1158" s="458">
        <v>347</v>
      </c>
      <c r="M1158" s="454" t="s">
        <v>1838</v>
      </c>
      <c r="N1158" s="459">
        <v>8141290</v>
      </c>
      <c r="O1158" s="460">
        <v>25636247</v>
      </c>
      <c r="P1158" s="462">
        <v>173315</v>
      </c>
      <c r="Q1158" s="462">
        <v>135</v>
      </c>
      <c r="R1158" s="462">
        <v>43928</v>
      </c>
      <c r="S1158" s="463">
        <v>2765</v>
      </c>
      <c r="T1158" s="464">
        <v>5.4</v>
      </c>
      <c r="U1158" s="465">
        <v>14931</v>
      </c>
      <c r="V1158" s="465">
        <v>17400</v>
      </c>
      <c r="W1158" s="466">
        <v>0</v>
      </c>
      <c r="X1158" s="467">
        <v>1</v>
      </c>
      <c r="Y1158" s="466">
        <v>48496.5</v>
      </c>
      <c r="Z1158" s="468" t="s">
        <v>516</v>
      </c>
      <c r="AA1158" s="466">
        <v>131443.29999999999</v>
      </c>
      <c r="AB1158" s="466">
        <v>131443.29999999999</v>
      </c>
      <c r="AC1158" s="467">
        <v>0</v>
      </c>
      <c r="AD1158" s="466">
        <v>0</v>
      </c>
      <c r="AE1158" s="468" t="s">
        <v>516</v>
      </c>
      <c r="AF1158" s="466">
        <v>0</v>
      </c>
      <c r="AG1158" s="466">
        <v>0</v>
      </c>
      <c r="AH1158" s="466">
        <v>38525.699999999997</v>
      </c>
      <c r="AI1158" s="466">
        <v>38.25</v>
      </c>
      <c r="AJ1158" s="469" t="s">
        <v>1839</v>
      </c>
      <c r="AK1158" s="470" t="s">
        <v>526</v>
      </c>
      <c r="AL1158" s="471" t="s">
        <v>9734</v>
      </c>
      <c r="AM1158" s="470" t="s">
        <v>9735</v>
      </c>
      <c r="AN1158" s="470" t="s">
        <v>1385</v>
      </c>
      <c r="AO1158" s="470" t="s">
        <v>9736</v>
      </c>
      <c r="AP1158" s="470" t="s">
        <v>9737</v>
      </c>
      <c r="AQ1158" s="470" t="s">
        <v>9732</v>
      </c>
      <c r="AR1158" s="472" t="s">
        <v>515</v>
      </c>
      <c r="AS1158" s="473">
        <v>5.4</v>
      </c>
      <c r="AT1158" s="472" t="s">
        <v>9686</v>
      </c>
      <c r="AU1158" s="472" t="s">
        <v>420</v>
      </c>
      <c r="AV1158" s="472">
        <v>2020</v>
      </c>
      <c r="AW1158" s="474" t="s">
        <v>15078</v>
      </c>
      <c r="AX1158" s="475" t="s">
        <v>15079</v>
      </c>
      <c r="AY1158" s="515">
        <v>1</v>
      </c>
      <c r="AZ1158" s="474" t="s">
        <v>15079</v>
      </c>
      <c r="BA1158" s="472" t="s">
        <v>9686</v>
      </c>
      <c r="BB1158" s="472" t="s">
        <v>1385</v>
      </c>
      <c r="BC1158" s="472" t="s">
        <v>1385</v>
      </c>
      <c r="BD1158" s="472" t="s">
        <v>1385</v>
      </c>
      <c r="BE1158" s="472" t="s">
        <v>1385</v>
      </c>
      <c r="BF1158" s="472">
        <v>48496.5</v>
      </c>
      <c r="BG1158" s="472">
        <v>0</v>
      </c>
      <c r="BH1158" s="472" t="s">
        <v>1385</v>
      </c>
      <c r="BI1158" s="510">
        <v>0</v>
      </c>
      <c r="BJ1158" s="510">
        <v>0</v>
      </c>
      <c r="BK1158" s="510">
        <v>0</v>
      </c>
      <c r="BL1158" s="510">
        <v>0</v>
      </c>
      <c r="BM1158" s="510">
        <v>0</v>
      </c>
      <c r="BN1158" s="510">
        <v>0</v>
      </c>
      <c r="BO1158" s="510">
        <v>0</v>
      </c>
      <c r="BP1158" s="510">
        <v>0</v>
      </c>
      <c r="BQ1158" s="510">
        <v>0</v>
      </c>
      <c r="BR1158" s="510">
        <v>0</v>
      </c>
      <c r="BS1158" s="510">
        <v>0</v>
      </c>
      <c r="BT1158" s="510">
        <v>0</v>
      </c>
      <c r="BU1158" s="510">
        <v>0</v>
      </c>
      <c r="BV1158" s="510">
        <v>0</v>
      </c>
      <c r="BW1158" s="510">
        <v>0</v>
      </c>
      <c r="BX1158" s="510">
        <v>0</v>
      </c>
      <c r="BY1158" s="1011">
        <v>0</v>
      </c>
      <c r="BZ1158" s="510">
        <v>0</v>
      </c>
      <c r="CA1158" s="1011">
        <v>0</v>
      </c>
      <c r="CB1158" s="510">
        <v>0</v>
      </c>
      <c r="CC1158" s="1011">
        <v>0</v>
      </c>
      <c r="CD1158" s="510">
        <v>0</v>
      </c>
      <c r="CE1158" s="1011">
        <v>0</v>
      </c>
      <c r="CF1158" s="510">
        <v>82946.8</v>
      </c>
      <c r="CG1158" s="1011">
        <v>0</v>
      </c>
      <c r="CH1158" s="510">
        <v>0</v>
      </c>
      <c r="CI1158" s="1011">
        <v>0</v>
      </c>
    </row>
    <row r="1159" spans="1:87" x14ac:dyDescent="0.2">
      <c r="A1159" s="449">
        <v>141</v>
      </c>
      <c r="B1159" s="453">
        <v>200193</v>
      </c>
      <c r="C1159" s="454" t="s">
        <v>9738</v>
      </c>
      <c r="D1159" s="454" t="s">
        <v>9686</v>
      </c>
      <c r="E1159" s="454" t="s">
        <v>3267</v>
      </c>
      <c r="F1159" s="454" t="s">
        <v>528</v>
      </c>
      <c r="G1159" s="454" t="s">
        <v>9741</v>
      </c>
      <c r="H1159" s="455">
        <v>8220219000108</v>
      </c>
      <c r="I1159" s="462">
        <v>38917</v>
      </c>
      <c r="J1159" s="457">
        <v>38089815</v>
      </c>
      <c r="K1159" s="454" t="s">
        <v>3263</v>
      </c>
      <c r="L1159" s="458">
        <v>226</v>
      </c>
      <c r="M1159" s="454" t="s">
        <v>1728</v>
      </c>
      <c r="N1159" s="459">
        <v>5185420</v>
      </c>
      <c r="O1159" s="460">
        <v>39483964</v>
      </c>
      <c r="P1159" s="462">
        <v>256954</v>
      </c>
      <c r="Q1159" s="462">
        <v>141</v>
      </c>
      <c r="R1159" s="462">
        <v>43938</v>
      </c>
      <c r="S1159" s="463">
        <v>2189</v>
      </c>
      <c r="T1159" s="464">
        <v>5.4</v>
      </c>
      <c r="U1159" s="465">
        <v>11820.6</v>
      </c>
      <c r="V1159" s="465">
        <v>17400</v>
      </c>
      <c r="W1159" s="466">
        <v>0</v>
      </c>
      <c r="X1159" s="467">
        <v>1</v>
      </c>
      <c r="Y1159" s="466">
        <v>43830.9</v>
      </c>
      <c r="Z1159" s="468" t="s">
        <v>516</v>
      </c>
      <c r="AA1159" s="466">
        <v>125190.1</v>
      </c>
      <c r="AB1159" s="466">
        <v>125190.1</v>
      </c>
      <c r="AC1159" s="467">
        <v>0</v>
      </c>
      <c r="AD1159" s="466">
        <v>0</v>
      </c>
      <c r="AE1159" s="468" t="s">
        <v>516</v>
      </c>
      <c r="AF1159" s="466">
        <v>0</v>
      </c>
      <c r="AG1159" s="466">
        <v>0</v>
      </c>
      <c r="AH1159" s="466">
        <v>39732.400000000001</v>
      </c>
      <c r="AI1159" s="466">
        <v>22233.22</v>
      </c>
      <c r="AJ1159" s="469" t="s">
        <v>3502</v>
      </c>
      <c r="AK1159" s="470" t="s">
        <v>2241</v>
      </c>
      <c r="AL1159" s="471" t="s">
        <v>9739</v>
      </c>
      <c r="AM1159" s="470" t="s">
        <v>9740</v>
      </c>
      <c r="AN1159" s="470" t="s">
        <v>14235</v>
      </c>
      <c r="AO1159" s="470" t="s">
        <v>14236</v>
      </c>
      <c r="AP1159" s="470" t="s">
        <v>3267</v>
      </c>
      <c r="AQ1159" s="470" t="s">
        <v>9738</v>
      </c>
      <c r="AR1159" s="472" t="s">
        <v>515</v>
      </c>
      <c r="AS1159" s="473">
        <v>5.4</v>
      </c>
      <c r="AT1159" s="472" t="s">
        <v>9686</v>
      </c>
      <c r="AU1159" s="472" t="s">
        <v>420</v>
      </c>
      <c r="AV1159" s="472">
        <v>2020</v>
      </c>
      <c r="AW1159" s="474" t="s">
        <v>15078</v>
      </c>
      <c r="AX1159" s="475" t="s">
        <v>15079</v>
      </c>
      <c r="AY1159" s="515">
        <v>1</v>
      </c>
      <c r="AZ1159" s="474" t="s">
        <v>15079</v>
      </c>
      <c r="BA1159" s="472" t="s">
        <v>9686</v>
      </c>
      <c r="BB1159" s="472" t="s">
        <v>1385</v>
      </c>
      <c r="BC1159" s="472" t="s">
        <v>1385</v>
      </c>
      <c r="BD1159" s="472" t="s">
        <v>1385</v>
      </c>
      <c r="BE1159" s="472" t="s">
        <v>1385</v>
      </c>
      <c r="BF1159" s="472">
        <v>43830.9</v>
      </c>
      <c r="BG1159" s="472">
        <v>0</v>
      </c>
      <c r="BH1159" s="472" t="s">
        <v>1385</v>
      </c>
      <c r="BI1159" s="510">
        <v>0</v>
      </c>
      <c r="BJ1159" s="510">
        <v>0</v>
      </c>
      <c r="BK1159" s="510">
        <v>0</v>
      </c>
      <c r="BL1159" s="510">
        <v>0</v>
      </c>
      <c r="BM1159" s="510">
        <v>0</v>
      </c>
      <c r="BN1159" s="510">
        <v>0</v>
      </c>
      <c r="BO1159" s="510">
        <v>0</v>
      </c>
      <c r="BP1159" s="510">
        <v>0</v>
      </c>
      <c r="BQ1159" s="510">
        <v>0</v>
      </c>
      <c r="BR1159" s="510">
        <v>0</v>
      </c>
      <c r="BS1159" s="510">
        <v>0</v>
      </c>
      <c r="BT1159" s="510">
        <v>0</v>
      </c>
      <c r="BU1159" s="510">
        <v>0</v>
      </c>
      <c r="BV1159" s="510">
        <v>0</v>
      </c>
      <c r="BW1159" s="510">
        <v>0</v>
      </c>
      <c r="BX1159" s="510">
        <v>0</v>
      </c>
      <c r="BY1159" s="1011">
        <v>0</v>
      </c>
      <c r="BZ1159" s="510">
        <v>0</v>
      </c>
      <c r="CA1159" s="1011">
        <v>0</v>
      </c>
      <c r="CB1159" s="510">
        <v>0</v>
      </c>
      <c r="CC1159" s="1011">
        <v>0</v>
      </c>
      <c r="CD1159" s="510">
        <v>0</v>
      </c>
      <c r="CE1159" s="1011">
        <v>0</v>
      </c>
      <c r="CF1159" s="510">
        <v>81359.199999999997</v>
      </c>
      <c r="CG1159" s="1011">
        <v>0</v>
      </c>
      <c r="CH1159" s="510">
        <v>0</v>
      </c>
      <c r="CI1159" s="1011">
        <v>0</v>
      </c>
    </row>
    <row r="1160" spans="1:87" x14ac:dyDescent="0.2">
      <c r="A1160" s="449">
        <v>142</v>
      </c>
      <c r="B1160" s="453">
        <v>200194</v>
      </c>
      <c r="C1160" s="454" t="s">
        <v>9742</v>
      </c>
      <c r="D1160" s="454" t="s">
        <v>9686</v>
      </c>
      <c r="E1160" s="454" t="s">
        <v>2241</v>
      </c>
      <c r="F1160" s="454" t="s">
        <v>528</v>
      </c>
      <c r="G1160" s="454" t="s">
        <v>9746</v>
      </c>
      <c r="H1160" s="455">
        <v>8453262000113</v>
      </c>
      <c r="I1160" s="462">
        <v>38987</v>
      </c>
      <c r="J1160" s="457">
        <v>37372394</v>
      </c>
      <c r="K1160" s="454" t="s">
        <v>3270</v>
      </c>
      <c r="L1160" s="458" t="s">
        <v>1446</v>
      </c>
      <c r="M1160" s="454" t="s">
        <v>2241</v>
      </c>
      <c r="N1160" s="459">
        <v>5203200</v>
      </c>
      <c r="O1160" s="460">
        <v>39158746</v>
      </c>
      <c r="P1160" s="462">
        <v>218270</v>
      </c>
      <c r="Q1160" s="462">
        <v>142</v>
      </c>
      <c r="R1160" s="462">
        <v>43938</v>
      </c>
      <c r="S1160" s="463">
        <v>2196</v>
      </c>
      <c r="T1160" s="464">
        <v>5.4</v>
      </c>
      <c r="U1160" s="465">
        <v>11858.4</v>
      </c>
      <c r="V1160" s="465">
        <v>17400</v>
      </c>
      <c r="W1160" s="466">
        <v>0</v>
      </c>
      <c r="X1160" s="467">
        <v>1</v>
      </c>
      <c r="Y1160" s="466">
        <v>0</v>
      </c>
      <c r="Z1160" s="468" t="s">
        <v>516</v>
      </c>
      <c r="AA1160" s="466">
        <v>43887</v>
      </c>
      <c r="AB1160" s="466">
        <v>43887</v>
      </c>
      <c r="AC1160" s="467">
        <v>0</v>
      </c>
      <c r="AD1160" s="466">
        <v>0</v>
      </c>
      <c r="AE1160" s="468" t="s">
        <v>516</v>
      </c>
      <c r="AF1160" s="466">
        <v>0</v>
      </c>
      <c r="AG1160" s="466">
        <v>0</v>
      </c>
      <c r="AH1160" s="466">
        <v>5150.17</v>
      </c>
      <c r="AI1160" s="466">
        <v>8198.1200000000008</v>
      </c>
      <c r="AJ1160" s="469" t="s">
        <v>2242</v>
      </c>
      <c r="AK1160" s="470" t="s">
        <v>9743</v>
      </c>
      <c r="AL1160" s="471" t="s">
        <v>9744</v>
      </c>
      <c r="AM1160" s="470" t="s">
        <v>9745</v>
      </c>
      <c r="AN1160" s="470" t="s">
        <v>14237</v>
      </c>
      <c r="AO1160" s="470" t="s">
        <v>9747</v>
      </c>
      <c r="AP1160" s="470" t="s">
        <v>2241</v>
      </c>
      <c r="AQ1160" s="470" t="s">
        <v>9742</v>
      </c>
      <c r="AR1160" s="472" t="s">
        <v>515</v>
      </c>
      <c r="AS1160" s="473">
        <v>5.4</v>
      </c>
      <c r="AT1160" s="472" t="s">
        <v>9686</v>
      </c>
      <c r="AU1160" s="472" t="s">
        <v>420</v>
      </c>
      <c r="AV1160" s="472">
        <v>2020</v>
      </c>
      <c r="AW1160" s="474" t="s">
        <v>15078</v>
      </c>
      <c r="AX1160" s="475" t="s">
        <v>15079</v>
      </c>
      <c r="AY1160" s="515">
        <v>1</v>
      </c>
      <c r="AZ1160" s="474" t="s">
        <v>15079</v>
      </c>
      <c r="BA1160" s="472" t="s">
        <v>9686</v>
      </c>
      <c r="BB1160" s="472" t="s">
        <v>1385</v>
      </c>
      <c r="BC1160" s="472" t="s">
        <v>1385</v>
      </c>
      <c r="BD1160" s="472" t="s">
        <v>1385</v>
      </c>
      <c r="BE1160" s="472" t="s">
        <v>1385</v>
      </c>
      <c r="BF1160" s="472">
        <v>43887.6</v>
      </c>
      <c r="BG1160" s="472">
        <v>0</v>
      </c>
      <c r="BH1160" s="472" t="s">
        <v>516</v>
      </c>
      <c r="BI1160" s="510">
        <v>0</v>
      </c>
      <c r="BJ1160" s="510">
        <v>0</v>
      </c>
      <c r="BK1160" s="510">
        <v>0</v>
      </c>
      <c r="BL1160" s="510">
        <v>0</v>
      </c>
      <c r="BM1160" s="510">
        <v>0</v>
      </c>
      <c r="BN1160" s="510">
        <v>0</v>
      </c>
      <c r="BO1160" s="510">
        <v>0</v>
      </c>
      <c r="BP1160" s="510">
        <v>0</v>
      </c>
      <c r="BQ1160" s="510">
        <v>0</v>
      </c>
      <c r="BR1160" s="510">
        <v>0</v>
      </c>
      <c r="BS1160" s="510">
        <v>0</v>
      </c>
      <c r="BT1160" s="510">
        <v>0</v>
      </c>
      <c r="BU1160" s="510">
        <v>0</v>
      </c>
      <c r="BV1160" s="510">
        <v>0</v>
      </c>
      <c r="BW1160" s="510">
        <v>0</v>
      </c>
      <c r="BX1160" s="510">
        <v>0</v>
      </c>
      <c r="BY1160" s="1011">
        <v>0</v>
      </c>
      <c r="BZ1160" s="510">
        <v>0</v>
      </c>
      <c r="CA1160" s="1011">
        <v>0</v>
      </c>
      <c r="CB1160" s="510">
        <v>0</v>
      </c>
      <c r="CC1160" s="1011">
        <v>0</v>
      </c>
      <c r="CD1160" s="510">
        <v>0</v>
      </c>
      <c r="CE1160" s="1011">
        <v>0</v>
      </c>
      <c r="CF1160" s="510">
        <v>0</v>
      </c>
      <c r="CG1160" s="1011">
        <v>0</v>
      </c>
      <c r="CH1160" s="510">
        <v>0</v>
      </c>
      <c r="CI1160" s="1011">
        <v>0</v>
      </c>
    </row>
    <row r="1161" spans="1:87" x14ac:dyDescent="0.2">
      <c r="A1161" s="449">
        <v>140</v>
      </c>
      <c r="B1161" s="453">
        <v>200195</v>
      </c>
      <c r="C1161" s="454" t="s">
        <v>9748</v>
      </c>
      <c r="D1161" s="454" t="s">
        <v>9686</v>
      </c>
      <c r="E1161" s="454" t="s">
        <v>513</v>
      </c>
      <c r="F1161" s="454" t="s">
        <v>513</v>
      </c>
      <c r="G1161" s="454" t="s">
        <v>14238</v>
      </c>
      <c r="H1161" s="455">
        <v>12931370000121</v>
      </c>
      <c r="I1161" s="462">
        <v>38810</v>
      </c>
      <c r="J1161" s="457" t="s">
        <v>280</v>
      </c>
      <c r="K1161" s="454" t="s">
        <v>3372</v>
      </c>
      <c r="L1161" s="458">
        <v>201</v>
      </c>
      <c r="M1161" s="454" t="s">
        <v>3373</v>
      </c>
      <c r="N1161" s="459">
        <v>8341240</v>
      </c>
      <c r="O1161" s="460">
        <v>27328157</v>
      </c>
      <c r="P1161" s="462">
        <v>155597</v>
      </c>
      <c r="Q1161" s="462">
        <v>140</v>
      </c>
      <c r="R1161" s="462">
        <v>43937</v>
      </c>
      <c r="S1161" s="463">
        <v>1922</v>
      </c>
      <c r="T1161" s="464">
        <v>5.4</v>
      </c>
      <c r="U1161" s="465">
        <v>10378.799999999999</v>
      </c>
      <c r="V1161" s="465">
        <v>17400</v>
      </c>
      <c r="W1161" s="466">
        <v>0</v>
      </c>
      <c r="X1161" s="467">
        <v>1</v>
      </c>
      <c r="Y1161" s="466">
        <v>41668.199999999997</v>
      </c>
      <c r="Z1161" s="468" t="s">
        <v>516</v>
      </c>
      <c r="AA1161" s="466">
        <v>118189</v>
      </c>
      <c r="AB1161" s="466">
        <v>118189</v>
      </c>
      <c r="AC1161" s="467">
        <v>0</v>
      </c>
      <c r="AD1161" s="466">
        <v>0</v>
      </c>
      <c r="AE1161" s="468" t="s">
        <v>516</v>
      </c>
      <c r="AF1161" s="466">
        <v>0</v>
      </c>
      <c r="AG1161" s="466">
        <v>0</v>
      </c>
      <c r="AH1161" s="466">
        <v>35133.53</v>
      </c>
      <c r="AI1161" s="466">
        <v>519.29</v>
      </c>
      <c r="AJ1161" s="469" t="s">
        <v>2520</v>
      </c>
      <c r="AK1161" s="470" t="s">
        <v>513</v>
      </c>
      <c r="AL1161" s="471" t="s">
        <v>9749</v>
      </c>
      <c r="AM1161" s="470" t="s">
        <v>9750</v>
      </c>
      <c r="AN1161" s="470" t="s">
        <v>1385</v>
      </c>
      <c r="AO1161" s="470" t="s">
        <v>9751</v>
      </c>
      <c r="AP1161" s="470" t="s">
        <v>3377</v>
      </c>
      <c r="AQ1161" s="470" t="s">
        <v>9748</v>
      </c>
      <c r="AR1161" s="472" t="s">
        <v>515</v>
      </c>
      <c r="AS1161" s="473">
        <v>5.4</v>
      </c>
      <c r="AT1161" s="472" t="s">
        <v>9686</v>
      </c>
      <c r="AU1161" s="472" t="s">
        <v>420</v>
      </c>
      <c r="AV1161" s="472">
        <v>2020</v>
      </c>
      <c r="AW1161" s="474" t="s">
        <v>15078</v>
      </c>
      <c r="AX1161" s="475" t="s">
        <v>15079</v>
      </c>
      <c r="AY1161" s="515">
        <v>1</v>
      </c>
      <c r="AZ1161" s="474" t="s">
        <v>15079</v>
      </c>
      <c r="BA1161" s="472" t="s">
        <v>9686</v>
      </c>
      <c r="BB1161" s="472" t="s">
        <v>1385</v>
      </c>
      <c r="BC1161" s="472" t="s">
        <v>1385</v>
      </c>
      <c r="BD1161" s="472" t="s">
        <v>1385</v>
      </c>
      <c r="BE1161" s="472" t="s">
        <v>1385</v>
      </c>
      <c r="BF1161" s="472">
        <v>41668.199999999997</v>
      </c>
      <c r="BG1161" s="472">
        <v>0</v>
      </c>
      <c r="BH1161" s="472" t="s">
        <v>1385</v>
      </c>
      <c r="BI1161" s="510">
        <v>0</v>
      </c>
      <c r="BJ1161" s="510">
        <v>0</v>
      </c>
      <c r="BK1161" s="510">
        <v>0</v>
      </c>
      <c r="BL1161" s="510">
        <v>0</v>
      </c>
      <c r="BM1161" s="510">
        <v>0</v>
      </c>
      <c r="BN1161" s="510">
        <v>0</v>
      </c>
      <c r="BO1161" s="510">
        <v>0</v>
      </c>
      <c r="BP1161" s="510">
        <v>0</v>
      </c>
      <c r="BQ1161" s="510">
        <v>0</v>
      </c>
      <c r="BR1161" s="510">
        <v>0</v>
      </c>
      <c r="BS1161" s="510">
        <v>0</v>
      </c>
      <c r="BT1161" s="510">
        <v>0</v>
      </c>
      <c r="BU1161" s="510">
        <v>0</v>
      </c>
      <c r="BV1161" s="510">
        <v>0</v>
      </c>
      <c r="BW1161" s="510">
        <v>0</v>
      </c>
      <c r="BX1161" s="510">
        <v>0</v>
      </c>
      <c r="BY1161" s="1011">
        <v>0</v>
      </c>
      <c r="BZ1161" s="510">
        <v>0</v>
      </c>
      <c r="CA1161" s="1011">
        <v>0</v>
      </c>
      <c r="CB1161" s="510">
        <v>0</v>
      </c>
      <c r="CC1161" s="1011">
        <v>0</v>
      </c>
      <c r="CD1161" s="510">
        <v>0</v>
      </c>
      <c r="CE1161" s="1011">
        <v>0</v>
      </c>
      <c r="CF1161" s="510">
        <v>76520.800000000003</v>
      </c>
      <c r="CG1161" s="1011">
        <v>0</v>
      </c>
      <c r="CH1161" s="510">
        <v>0</v>
      </c>
      <c r="CI1161" s="1011">
        <v>0</v>
      </c>
    </row>
    <row r="1162" spans="1:87" x14ac:dyDescent="0.2">
      <c r="A1162" s="449">
        <v>141</v>
      </c>
      <c r="B1162" s="453">
        <v>200196</v>
      </c>
      <c r="C1162" s="454" t="s">
        <v>9752</v>
      </c>
      <c r="D1162" s="454" t="s">
        <v>9686</v>
      </c>
      <c r="E1162" s="454" t="s">
        <v>9753</v>
      </c>
      <c r="F1162" s="454" t="s">
        <v>513</v>
      </c>
      <c r="G1162" s="454" t="s">
        <v>14239</v>
      </c>
      <c r="H1162" s="455">
        <v>7879239000122</v>
      </c>
      <c r="I1162" s="462">
        <v>38762</v>
      </c>
      <c r="J1162" s="457" t="s">
        <v>4800</v>
      </c>
      <c r="K1162" s="454" t="s">
        <v>3276</v>
      </c>
      <c r="L1162" s="458">
        <v>100</v>
      </c>
      <c r="M1162" s="454" t="s">
        <v>3821</v>
      </c>
      <c r="N1162" s="459">
        <v>8395320</v>
      </c>
      <c r="O1162" s="460">
        <v>27521000</v>
      </c>
      <c r="P1162" s="462">
        <v>155619</v>
      </c>
      <c r="Q1162" s="462">
        <v>141</v>
      </c>
      <c r="R1162" s="462">
        <v>43937</v>
      </c>
      <c r="S1162" s="463">
        <v>2284</v>
      </c>
      <c r="T1162" s="464">
        <v>5.4</v>
      </c>
      <c r="U1162" s="465">
        <v>12333.6</v>
      </c>
      <c r="V1162" s="465">
        <v>17400</v>
      </c>
      <c r="W1162" s="466">
        <v>0</v>
      </c>
      <c r="X1162" s="467">
        <v>1</v>
      </c>
      <c r="Y1162" s="466">
        <v>44600.4</v>
      </c>
      <c r="Z1162" s="468" t="s">
        <v>516</v>
      </c>
      <c r="AA1162" s="466">
        <v>124847.2</v>
      </c>
      <c r="AB1162" s="466">
        <v>124847.2</v>
      </c>
      <c r="AC1162" s="467">
        <v>0</v>
      </c>
      <c r="AD1162" s="466">
        <v>0</v>
      </c>
      <c r="AE1162" s="468" t="s">
        <v>516</v>
      </c>
      <c r="AF1162" s="466">
        <v>0</v>
      </c>
      <c r="AG1162" s="466">
        <v>0</v>
      </c>
      <c r="AH1162" s="466">
        <v>55148.79</v>
      </c>
      <c r="AI1162" s="466">
        <v>18147.55</v>
      </c>
      <c r="AJ1162" s="469" t="s">
        <v>9754</v>
      </c>
      <c r="AK1162" s="470" t="s">
        <v>513</v>
      </c>
      <c r="AL1162" s="471" t="s">
        <v>9755</v>
      </c>
      <c r="AM1162" s="470" t="s">
        <v>14240</v>
      </c>
      <c r="AN1162" s="470" t="s">
        <v>1385</v>
      </c>
      <c r="AO1162" s="470" t="s">
        <v>9756</v>
      </c>
      <c r="AP1162" s="470" t="s">
        <v>9757</v>
      </c>
      <c r="AQ1162" s="470" t="s">
        <v>9752</v>
      </c>
      <c r="AR1162" s="472" t="s">
        <v>515</v>
      </c>
      <c r="AS1162" s="473">
        <v>5.4</v>
      </c>
      <c r="AT1162" s="472" t="s">
        <v>9686</v>
      </c>
      <c r="AU1162" s="472" t="s">
        <v>420</v>
      </c>
      <c r="AV1162" s="472">
        <v>2020</v>
      </c>
      <c r="AW1162" s="474" t="s">
        <v>15078</v>
      </c>
      <c r="AX1162" s="475" t="s">
        <v>15079</v>
      </c>
      <c r="AY1162" s="515">
        <v>1</v>
      </c>
      <c r="AZ1162" s="474" t="s">
        <v>15079</v>
      </c>
      <c r="BA1162" s="472" t="s">
        <v>9686</v>
      </c>
      <c r="BB1162" s="472" t="s">
        <v>1385</v>
      </c>
      <c r="BC1162" s="472" t="s">
        <v>1385</v>
      </c>
      <c r="BD1162" s="472" t="s">
        <v>1385</v>
      </c>
      <c r="BE1162" s="472" t="s">
        <v>1385</v>
      </c>
      <c r="BF1162" s="472">
        <v>44600.4</v>
      </c>
      <c r="BG1162" s="472">
        <v>0</v>
      </c>
      <c r="BH1162" s="472" t="s">
        <v>1385</v>
      </c>
      <c r="BI1162" s="510">
        <v>0</v>
      </c>
      <c r="BJ1162" s="510">
        <v>0</v>
      </c>
      <c r="BK1162" s="510">
        <v>0</v>
      </c>
      <c r="BL1162" s="510">
        <v>0</v>
      </c>
      <c r="BM1162" s="510">
        <v>0</v>
      </c>
      <c r="BN1162" s="510">
        <v>0</v>
      </c>
      <c r="BO1162" s="510">
        <v>0</v>
      </c>
      <c r="BP1162" s="510">
        <v>0</v>
      </c>
      <c r="BQ1162" s="510">
        <v>0</v>
      </c>
      <c r="BR1162" s="510">
        <v>0</v>
      </c>
      <c r="BS1162" s="510">
        <v>0</v>
      </c>
      <c r="BT1162" s="510">
        <v>0</v>
      </c>
      <c r="BU1162" s="510">
        <v>0</v>
      </c>
      <c r="BV1162" s="510">
        <v>0</v>
      </c>
      <c r="BW1162" s="510">
        <v>0</v>
      </c>
      <c r="BX1162" s="510">
        <v>0</v>
      </c>
      <c r="BY1162" s="1011">
        <v>0</v>
      </c>
      <c r="BZ1162" s="510">
        <v>0</v>
      </c>
      <c r="CA1162" s="1011">
        <v>0</v>
      </c>
      <c r="CB1162" s="510">
        <v>0</v>
      </c>
      <c r="CC1162" s="1011">
        <v>0</v>
      </c>
      <c r="CD1162" s="510">
        <v>0</v>
      </c>
      <c r="CE1162" s="1011">
        <v>0</v>
      </c>
      <c r="CF1162" s="510">
        <v>80246.8</v>
      </c>
      <c r="CG1162" s="1011">
        <v>0</v>
      </c>
      <c r="CH1162" s="510">
        <v>0</v>
      </c>
      <c r="CI1162" s="1011">
        <v>0</v>
      </c>
    </row>
    <row r="1163" spans="1:87" x14ac:dyDescent="0.2">
      <c r="A1163" s="449">
        <v>104</v>
      </c>
      <c r="B1163" s="453">
        <v>200197</v>
      </c>
      <c r="C1163" s="454" t="s">
        <v>9758</v>
      </c>
      <c r="D1163" s="454" t="s">
        <v>9686</v>
      </c>
      <c r="E1163" s="454" t="s">
        <v>9759</v>
      </c>
      <c r="F1163" s="454" t="s">
        <v>521</v>
      </c>
      <c r="G1163" s="454" t="s">
        <v>14241</v>
      </c>
      <c r="H1163" s="455">
        <v>8674563000177</v>
      </c>
      <c r="I1163" s="462">
        <v>39021</v>
      </c>
      <c r="J1163" s="457">
        <v>37552317</v>
      </c>
      <c r="K1163" s="454" t="s">
        <v>3293</v>
      </c>
      <c r="L1163" s="458" t="s">
        <v>1446</v>
      </c>
      <c r="M1163" s="454" t="s">
        <v>3294</v>
      </c>
      <c r="N1163" s="459">
        <v>4853015</v>
      </c>
      <c r="O1163" s="460">
        <v>59765642</v>
      </c>
      <c r="P1163" s="462">
        <v>106804</v>
      </c>
      <c r="Q1163" s="462">
        <v>99</v>
      </c>
      <c r="R1163" s="462">
        <v>43934</v>
      </c>
      <c r="S1163" s="463">
        <v>2507</v>
      </c>
      <c r="T1163" s="464">
        <v>5.4</v>
      </c>
      <c r="U1163" s="465">
        <v>13537.8</v>
      </c>
      <c r="V1163" s="465">
        <v>17400</v>
      </c>
      <c r="W1163" s="466">
        <v>0</v>
      </c>
      <c r="X1163" s="467">
        <v>1</v>
      </c>
      <c r="Y1163" s="466">
        <v>0</v>
      </c>
      <c r="Z1163" s="468" t="s">
        <v>514</v>
      </c>
      <c r="AA1163" s="466">
        <v>0</v>
      </c>
      <c r="AB1163" s="466">
        <v>0</v>
      </c>
      <c r="AC1163" s="467">
        <v>0</v>
      </c>
      <c r="AD1163" s="466">
        <v>0</v>
      </c>
      <c r="AE1163" s="468" t="s">
        <v>516</v>
      </c>
      <c r="AF1163" s="466">
        <v>0</v>
      </c>
      <c r="AG1163" s="466">
        <v>0</v>
      </c>
      <c r="AH1163" s="466">
        <v>0</v>
      </c>
      <c r="AI1163" s="466">
        <v>0</v>
      </c>
      <c r="AJ1163" s="469" t="s">
        <v>1624</v>
      </c>
      <c r="AK1163" s="470" t="s">
        <v>1625</v>
      </c>
      <c r="AL1163" s="471" t="s">
        <v>9760</v>
      </c>
      <c r="AM1163" s="470" t="s">
        <v>9761</v>
      </c>
      <c r="AN1163" s="470" t="s">
        <v>1385</v>
      </c>
      <c r="AO1163" s="470" t="s">
        <v>14899</v>
      </c>
      <c r="AP1163" s="470" t="s">
        <v>9762</v>
      </c>
      <c r="AQ1163" s="470" t="s">
        <v>9758</v>
      </c>
      <c r="AR1163" s="472" t="s">
        <v>515</v>
      </c>
      <c r="AS1163" s="473">
        <v>5.4</v>
      </c>
      <c r="AT1163" s="472" t="s">
        <v>9686</v>
      </c>
      <c r="AU1163" s="472" t="s">
        <v>420</v>
      </c>
      <c r="AV1163" s="472">
        <v>2020</v>
      </c>
      <c r="AW1163" s="474" t="s">
        <v>15078</v>
      </c>
      <c r="AX1163" s="475" t="s">
        <v>15079</v>
      </c>
      <c r="AY1163" s="515">
        <v>1</v>
      </c>
      <c r="AZ1163" s="474" t="s">
        <v>15079</v>
      </c>
      <c r="BA1163" s="472" t="s">
        <v>1385</v>
      </c>
      <c r="BB1163" s="472" t="s">
        <v>1385</v>
      </c>
      <c r="BC1163" s="472" t="s">
        <v>1385</v>
      </c>
      <c r="BD1163" s="472" t="s">
        <v>1385</v>
      </c>
      <c r="BE1163" s="472" t="s">
        <v>1385</v>
      </c>
      <c r="BF1163" s="472">
        <v>46406.7</v>
      </c>
      <c r="BG1163" s="472">
        <v>0</v>
      </c>
      <c r="BH1163" s="472" t="s">
        <v>516</v>
      </c>
      <c r="BI1163" s="510">
        <v>0</v>
      </c>
      <c r="BJ1163" s="510">
        <v>0</v>
      </c>
      <c r="BK1163" s="510">
        <v>0</v>
      </c>
      <c r="BL1163" s="510">
        <v>0</v>
      </c>
      <c r="BM1163" s="510">
        <v>0</v>
      </c>
      <c r="BN1163" s="510">
        <v>0</v>
      </c>
      <c r="BO1163" s="510">
        <v>0</v>
      </c>
      <c r="BP1163" s="510">
        <v>0</v>
      </c>
      <c r="BQ1163" s="510">
        <v>0</v>
      </c>
      <c r="BR1163" s="510">
        <v>0</v>
      </c>
      <c r="BS1163" s="510">
        <v>0</v>
      </c>
      <c r="BT1163" s="510">
        <v>0</v>
      </c>
      <c r="BU1163" s="510">
        <v>0</v>
      </c>
      <c r="BV1163" s="510">
        <v>0</v>
      </c>
      <c r="BW1163" s="510">
        <v>0</v>
      </c>
      <c r="BX1163" s="510">
        <v>0</v>
      </c>
      <c r="BY1163" s="1011">
        <v>0</v>
      </c>
      <c r="BZ1163" s="510">
        <v>0</v>
      </c>
      <c r="CA1163" s="1011">
        <v>0</v>
      </c>
      <c r="CB1163" s="510">
        <v>0</v>
      </c>
      <c r="CC1163" s="1011">
        <v>0</v>
      </c>
      <c r="CD1163" s="510">
        <v>0</v>
      </c>
      <c r="CE1163" s="1011">
        <v>0</v>
      </c>
      <c r="CF1163" s="510">
        <v>0</v>
      </c>
      <c r="CG1163" s="1011">
        <v>0</v>
      </c>
      <c r="CH1163" s="510">
        <v>0</v>
      </c>
      <c r="CI1163" s="1011">
        <v>0</v>
      </c>
    </row>
    <row r="1164" spans="1:87" x14ac:dyDescent="0.2">
      <c r="A1164" s="449">
        <v>143</v>
      </c>
      <c r="B1164" s="453">
        <v>200198</v>
      </c>
      <c r="C1164" s="454" t="s">
        <v>9763</v>
      </c>
      <c r="D1164" s="454" t="s">
        <v>9686</v>
      </c>
      <c r="E1164" s="454" t="s">
        <v>9764</v>
      </c>
      <c r="F1164" s="454" t="s">
        <v>528</v>
      </c>
      <c r="G1164" s="454" t="s">
        <v>9767</v>
      </c>
      <c r="H1164" s="455">
        <v>12024548000150</v>
      </c>
      <c r="I1164" s="462">
        <v>40136</v>
      </c>
      <c r="J1164" s="457">
        <v>44757476</v>
      </c>
      <c r="K1164" s="454" t="s">
        <v>3385</v>
      </c>
      <c r="L1164" s="458">
        <v>840</v>
      </c>
      <c r="M1164" s="454" t="s">
        <v>3300</v>
      </c>
      <c r="N1164" s="459">
        <v>5160030</v>
      </c>
      <c r="O1164" s="460">
        <v>39018747</v>
      </c>
      <c r="P1164" s="462">
        <v>295283</v>
      </c>
      <c r="Q1164" s="462">
        <v>143</v>
      </c>
      <c r="R1164" s="462">
        <v>43938</v>
      </c>
      <c r="S1164" s="463">
        <v>2142</v>
      </c>
      <c r="T1164" s="464">
        <v>5.4</v>
      </c>
      <c r="U1164" s="465">
        <v>11566.8</v>
      </c>
      <c r="V1164" s="465">
        <v>17400</v>
      </c>
      <c r="W1164" s="466">
        <v>0</v>
      </c>
      <c r="X1164" s="467">
        <v>1</v>
      </c>
      <c r="Y1164" s="466">
        <v>43450.2</v>
      </c>
      <c r="Z1164" s="468" t="s">
        <v>516</v>
      </c>
      <c r="AA1164" s="466">
        <v>124312.6</v>
      </c>
      <c r="AB1164" s="466">
        <v>124312.6</v>
      </c>
      <c r="AC1164" s="467">
        <v>0</v>
      </c>
      <c r="AD1164" s="466">
        <v>0</v>
      </c>
      <c r="AE1164" s="468" t="s">
        <v>516</v>
      </c>
      <c r="AF1164" s="466">
        <v>0</v>
      </c>
      <c r="AG1164" s="466">
        <v>0</v>
      </c>
      <c r="AH1164" s="466">
        <v>40079.51</v>
      </c>
      <c r="AI1164" s="466">
        <v>11857.3</v>
      </c>
      <c r="AJ1164" s="469" t="s">
        <v>1422</v>
      </c>
      <c r="AK1164" s="470" t="s">
        <v>1423</v>
      </c>
      <c r="AL1164" s="471" t="s">
        <v>9765</v>
      </c>
      <c r="AM1164" s="470" t="s">
        <v>9766</v>
      </c>
      <c r="AN1164" s="470" t="s">
        <v>1385</v>
      </c>
      <c r="AO1164" s="470" t="s">
        <v>9768</v>
      </c>
      <c r="AP1164" s="470" t="s">
        <v>9769</v>
      </c>
      <c r="AQ1164" s="470" t="s">
        <v>9763</v>
      </c>
      <c r="AR1164" s="472" t="s">
        <v>515</v>
      </c>
      <c r="AS1164" s="473">
        <v>5.4</v>
      </c>
      <c r="AT1164" s="472" t="s">
        <v>9686</v>
      </c>
      <c r="AU1164" s="472" t="s">
        <v>420</v>
      </c>
      <c r="AV1164" s="472">
        <v>2020</v>
      </c>
      <c r="AW1164" s="474" t="s">
        <v>15078</v>
      </c>
      <c r="AX1164" s="475" t="s">
        <v>15079</v>
      </c>
      <c r="AY1164" s="515">
        <v>1</v>
      </c>
      <c r="AZ1164" s="474" t="s">
        <v>15079</v>
      </c>
      <c r="BA1164" s="472" t="s">
        <v>9686</v>
      </c>
      <c r="BB1164" s="472" t="s">
        <v>1385</v>
      </c>
      <c r="BC1164" s="472" t="s">
        <v>1385</v>
      </c>
      <c r="BD1164" s="472" t="s">
        <v>1385</v>
      </c>
      <c r="BE1164" s="472" t="s">
        <v>1385</v>
      </c>
      <c r="BF1164" s="472">
        <v>43450.2</v>
      </c>
      <c r="BG1164" s="472">
        <v>0</v>
      </c>
      <c r="BH1164" s="472" t="s">
        <v>1385</v>
      </c>
      <c r="BI1164" s="510">
        <v>0</v>
      </c>
      <c r="BJ1164" s="510">
        <v>693.4</v>
      </c>
      <c r="BK1164" s="510">
        <v>0</v>
      </c>
      <c r="BL1164" s="510">
        <v>0</v>
      </c>
      <c r="BM1164" s="510">
        <v>0</v>
      </c>
      <c r="BN1164" s="510">
        <v>0</v>
      </c>
      <c r="BO1164" s="510">
        <v>0</v>
      </c>
      <c r="BP1164" s="510">
        <v>0</v>
      </c>
      <c r="BQ1164" s="510">
        <v>0</v>
      </c>
      <c r="BR1164" s="510">
        <v>0</v>
      </c>
      <c r="BS1164" s="510">
        <v>0</v>
      </c>
      <c r="BT1164" s="510">
        <v>0</v>
      </c>
      <c r="BU1164" s="510">
        <v>0</v>
      </c>
      <c r="BV1164" s="510">
        <v>0</v>
      </c>
      <c r="BW1164" s="510">
        <v>0</v>
      </c>
      <c r="BX1164" s="510">
        <v>0</v>
      </c>
      <c r="BY1164" s="1011">
        <v>0</v>
      </c>
      <c r="BZ1164" s="510">
        <v>0</v>
      </c>
      <c r="CA1164" s="1011">
        <v>0</v>
      </c>
      <c r="CB1164" s="510">
        <v>0</v>
      </c>
      <c r="CC1164" s="1011">
        <v>0</v>
      </c>
      <c r="CD1164" s="510">
        <v>0</v>
      </c>
      <c r="CE1164" s="1011">
        <v>0</v>
      </c>
      <c r="CF1164" s="510">
        <v>80862.399999999994</v>
      </c>
      <c r="CG1164" s="1011">
        <v>0</v>
      </c>
      <c r="CH1164" s="510">
        <v>0</v>
      </c>
      <c r="CI1164" s="1011">
        <v>0</v>
      </c>
    </row>
    <row r="1165" spans="1:87" x14ac:dyDescent="0.2">
      <c r="A1165" s="449">
        <v>137</v>
      </c>
      <c r="B1165" s="453">
        <v>200199</v>
      </c>
      <c r="C1165" s="454" t="s">
        <v>9770</v>
      </c>
      <c r="D1165" s="454" t="s">
        <v>9686</v>
      </c>
      <c r="E1165" s="454" t="s">
        <v>9771</v>
      </c>
      <c r="F1165" s="454" t="s">
        <v>526</v>
      </c>
      <c r="G1165" s="454" t="s">
        <v>14242</v>
      </c>
      <c r="H1165" s="455">
        <v>7816718000108</v>
      </c>
      <c r="I1165" s="462">
        <v>38705</v>
      </c>
      <c r="J1165" s="457">
        <v>37585592</v>
      </c>
      <c r="K1165" s="454" t="s">
        <v>3390</v>
      </c>
      <c r="L1165" s="458">
        <v>3400</v>
      </c>
      <c r="M1165" s="454" t="s">
        <v>3391</v>
      </c>
      <c r="N1165" s="459">
        <v>8115000</v>
      </c>
      <c r="O1165" s="460">
        <v>25636150</v>
      </c>
      <c r="P1165" s="462">
        <v>128581</v>
      </c>
      <c r="Q1165" s="462">
        <v>137</v>
      </c>
      <c r="R1165" s="462">
        <v>43928</v>
      </c>
      <c r="S1165" s="463">
        <v>2437</v>
      </c>
      <c r="T1165" s="464">
        <v>5.4</v>
      </c>
      <c r="U1165" s="465">
        <v>13159.8</v>
      </c>
      <c r="V1165" s="465">
        <v>17400</v>
      </c>
      <c r="W1165" s="466">
        <v>0</v>
      </c>
      <c r="X1165" s="467">
        <v>1</v>
      </c>
      <c r="Y1165" s="466">
        <v>0</v>
      </c>
      <c r="Z1165" s="468" t="s">
        <v>514</v>
      </c>
      <c r="AA1165" s="466">
        <v>0</v>
      </c>
      <c r="AB1165" s="466">
        <v>0</v>
      </c>
      <c r="AC1165" s="467">
        <v>0</v>
      </c>
      <c r="AD1165" s="466">
        <v>0</v>
      </c>
      <c r="AE1165" s="468" t="s">
        <v>516</v>
      </c>
      <c r="AF1165" s="466">
        <v>0</v>
      </c>
      <c r="AG1165" s="466">
        <v>0</v>
      </c>
      <c r="AH1165" s="466">
        <v>0</v>
      </c>
      <c r="AI1165" s="466">
        <v>0</v>
      </c>
      <c r="AJ1165" s="469" t="s">
        <v>1839</v>
      </c>
      <c r="AK1165" s="470" t="s">
        <v>526</v>
      </c>
      <c r="AL1165" s="471" t="s">
        <v>9772</v>
      </c>
      <c r="AM1165" s="470" t="s">
        <v>14243</v>
      </c>
      <c r="AN1165" s="470" t="s">
        <v>1385</v>
      </c>
      <c r="AO1165" s="470" t="s">
        <v>14244</v>
      </c>
      <c r="AP1165" s="470" t="s">
        <v>9773</v>
      </c>
      <c r="AQ1165" s="470" t="s">
        <v>9770</v>
      </c>
      <c r="AR1165" s="472" t="s">
        <v>515</v>
      </c>
      <c r="AS1165" s="473">
        <v>5.4</v>
      </c>
      <c r="AT1165" s="472" t="s">
        <v>9686</v>
      </c>
      <c r="AU1165" s="472" t="s">
        <v>420</v>
      </c>
      <c r="AV1165" s="472">
        <v>2020</v>
      </c>
      <c r="AW1165" s="474" t="s">
        <v>15078</v>
      </c>
      <c r="AX1165" s="475" t="s">
        <v>15079</v>
      </c>
      <c r="AY1165" s="515">
        <v>1</v>
      </c>
      <c r="AZ1165" s="474" t="s">
        <v>15079</v>
      </c>
      <c r="BA1165" s="472" t="s">
        <v>1385</v>
      </c>
      <c r="BB1165" s="472" t="s">
        <v>1385</v>
      </c>
      <c r="BC1165" s="472" t="s">
        <v>1385</v>
      </c>
      <c r="BD1165" s="472" t="s">
        <v>1385</v>
      </c>
      <c r="BE1165" s="472" t="s">
        <v>1385</v>
      </c>
      <c r="BF1165" s="472">
        <v>45839.7</v>
      </c>
      <c r="BG1165" s="472">
        <v>0</v>
      </c>
      <c r="BH1165" s="472" t="s">
        <v>516</v>
      </c>
      <c r="BI1165" s="510">
        <v>0</v>
      </c>
      <c r="BJ1165" s="510">
        <v>0</v>
      </c>
      <c r="BK1165" s="510">
        <v>0</v>
      </c>
      <c r="BL1165" s="510">
        <v>0</v>
      </c>
      <c r="BM1165" s="510">
        <v>0</v>
      </c>
      <c r="BN1165" s="510">
        <v>0</v>
      </c>
      <c r="BO1165" s="510">
        <v>0</v>
      </c>
      <c r="BP1165" s="510">
        <v>0</v>
      </c>
      <c r="BQ1165" s="510">
        <v>0</v>
      </c>
      <c r="BR1165" s="510">
        <v>0</v>
      </c>
      <c r="BS1165" s="510">
        <v>0</v>
      </c>
      <c r="BT1165" s="510">
        <v>0</v>
      </c>
      <c r="BU1165" s="510">
        <v>0</v>
      </c>
      <c r="BV1165" s="510">
        <v>0</v>
      </c>
      <c r="BW1165" s="510">
        <v>0</v>
      </c>
      <c r="BX1165" s="510">
        <v>0</v>
      </c>
      <c r="BY1165" s="1011">
        <v>0</v>
      </c>
      <c r="BZ1165" s="510">
        <v>0</v>
      </c>
      <c r="CA1165" s="1011">
        <v>0</v>
      </c>
      <c r="CB1165" s="510">
        <v>0</v>
      </c>
      <c r="CC1165" s="1011">
        <v>0</v>
      </c>
      <c r="CD1165" s="510">
        <v>0</v>
      </c>
      <c r="CE1165" s="1011">
        <v>0</v>
      </c>
      <c r="CF1165" s="510">
        <v>0</v>
      </c>
      <c r="CG1165" s="1011">
        <v>0</v>
      </c>
      <c r="CH1165" s="510">
        <v>0</v>
      </c>
      <c r="CI1165" s="1011">
        <v>0</v>
      </c>
    </row>
    <row r="1166" spans="1:87" x14ac:dyDescent="0.2">
      <c r="A1166" s="449">
        <v>139</v>
      </c>
      <c r="B1166" s="453">
        <v>200200</v>
      </c>
      <c r="C1166" s="454" t="s">
        <v>9774</v>
      </c>
      <c r="D1166" s="454" t="s">
        <v>9686</v>
      </c>
      <c r="E1166" s="454" t="s">
        <v>3404</v>
      </c>
      <c r="F1166" s="454" t="s">
        <v>513</v>
      </c>
      <c r="G1166" s="454" t="s">
        <v>14245</v>
      </c>
      <c r="H1166" s="455">
        <v>7823659000197</v>
      </c>
      <c r="I1166" s="462">
        <v>38722</v>
      </c>
      <c r="J1166" s="457" t="s">
        <v>280</v>
      </c>
      <c r="K1166" s="454" t="s">
        <v>3399</v>
      </c>
      <c r="L1166" s="458">
        <v>113</v>
      </c>
      <c r="M1166" s="454" t="s">
        <v>3400</v>
      </c>
      <c r="N1166" s="459">
        <v>3978500</v>
      </c>
      <c r="O1166" s="460">
        <v>27012300</v>
      </c>
      <c r="P1166" s="462">
        <v>155520</v>
      </c>
      <c r="Q1166" s="462">
        <v>139</v>
      </c>
      <c r="R1166" s="462">
        <v>43937</v>
      </c>
      <c r="S1166" s="463">
        <v>1594</v>
      </c>
      <c r="T1166" s="464">
        <v>5.4</v>
      </c>
      <c r="U1166" s="465">
        <v>8607.6</v>
      </c>
      <c r="V1166" s="465">
        <v>17400</v>
      </c>
      <c r="W1166" s="466">
        <v>0</v>
      </c>
      <c r="X1166" s="467">
        <v>1</v>
      </c>
      <c r="Y1166" s="466">
        <v>39011.4</v>
      </c>
      <c r="Z1166" s="468" t="s">
        <v>516</v>
      </c>
      <c r="AA1166" s="466">
        <v>113015.8</v>
      </c>
      <c r="AB1166" s="466">
        <v>113015.8</v>
      </c>
      <c r="AC1166" s="467">
        <v>0</v>
      </c>
      <c r="AD1166" s="466">
        <v>0</v>
      </c>
      <c r="AE1166" s="468" t="s">
        <v>516</v>
      </c>
      <c r="AF1166" s="466">
        <v>0</v>
      </c>
      <c r="AG1166" s="466">
        <v>0</v>
      </c>
      <c r="AH1166" s="466">
        <v>10354.26</v>
      </c>
      <c r="AI1166" s="466">
        <v>7636.04</v>
      </c>
      <c r="AJ1166" s="469" t="s">
        <v>1972</v>
      </c>
      <c r="AK1166" s="470" t="s">
        <v>1973</v>
      </c>
      <c r="AL1166" s="471" t="s">
        <v>9775</v>
      </c>
      <c r="AM1166" s="470" t="s">
        <v>9776</v>
      </c>
      <c r="AN1166" s="470" t="s">
        <v>1385</v>
      </c>
      <c r="AO1166" s="470" t="s">
        <v>9777</v>
      </c>
      <c r="AP1166" s="470" t="s">
        <v>3404</v>
      </c>
      <c r="AQ1166" s="470" t="s">
        <v>9774</v>
      </c>
      <c r="AR1166" s="472" t="s">
        <v>515</v>
      </c>
      <c r="AS1166" s="473">
        <v>5.4</v>
      </c>
      <c r="AT1166" s="472" t="s">
        <v>9686</v>
      </c>
      <c r="AU1166" s="472" t="s">
        <v>420</v>
      </c>
      <c r="AV1166" s="472">
        <v>2020</v>
      </c>
      <c r="AW1166" s="474" t="s">
        <v>15078</v>
      </c>
      <c r="AX1166" s="475" t="s">
        <v>15079</v>
      </c>
      <c r="AY1166" s="515">
        <v>1</v>
      </c>
      <c r="AZ1166" s="474" t="s">
        <v>15079</v>
      </c>
      <c r="BA1166" s="472" t="s">
        <v>9686</v>
      </c>
      <c r="BB1166" s="472" t="s">
        <v>1385</v>
      </c>
      <c r="BC1166" s="472" t="s">
        <v>1385</v>
      </c>
      <c r="BD1166" s="472" t="s">
        <v>1385</v>
      </c>
      <c r="BE1166" s="472" t="s">
        <v>1385</v>
      </c>
      <c r="BF1166" s="472">
        <v>39011.4</v>
      </c>
      <c r="BG1166" s="472">
        <v>0</v>
      </c>
      <c r="BH1166" s="472" t="s">
        <v>1385</v>
      </c>
      <c r="BI1166" s="510">
        <v>0</v>
      </c>
      <c r="BJ1166" s="510">
        <v>0</v>
      </c>
      <c r="BK1166" s="510">
        <v>0</v>
      </c>
      <c r="BL1166" s="510">
        <v>0</v>
      </c>
      <c r="BM1166" s="510">
        <v>0</v>
      </c>
      <c r="BN1166" s="510">
        <v>0</v>
      </c>
      <c r="BO1166" s="510">
        <v>0</v>
      </c>
      <c r="BP1166" s="510">
        <v>0</v>
      </c>
      <c r="BQ1166" s="510">
        <v>0</v>
      </c>
      <c r="BR1166" s="510">
        <v>0</v>
      </c>
      <c r="BS1166" s="510">
        <v>0</v>
      </c>
      <c r="BT1166" s="510">
        <v>0</v>
      </c>
      <c r="BU1166" s="510">
        <v>0</v>
      </c>
      <c r="BV1166" s="510">
        <v>0</v>
      </c>
      <c r="BW1166" s="510">
        <v>0</v>
      </c>
      <c r="BX1166" s="510">
        <v>0</v>
      </c>
      <c r="BY1166" s="1011">
        <v>0</v>
      </c>
      <c r="BZ1166" s="510">
        <v>0</v>
      </c>
      <c r="CA1166" s="1011">
        <v>0</v>
      </c>
      <c r="CB1166" s="510">
        <v>0</v>
      </c>
      <c r="CC1166" s="1011">
        <v>0</v>
      </c>
      <c r="CD1166" s="510">
        <v>0</v>
      </c>
      <c r="CE1166" s="1011">
        <v>0</v>
      </c>
      <c r="CF1166" s="510">
        <v>74004.399999999994</v>
      </c>
      <c r="CG1166" s="1011">
        <v>0</v>
      </c>
      <c r="CH1166" s="510">
        <v>0</v>
      </c>
      <c r="CI1166" s="1011">
        <v>0</v>
      </c>
    </row>
    <row r="1167" spans="1:87" x14ac:dyDescent="0.2">
      <c r="A1167" s="449">
        <v>180</v>
      </c>
      <c r="B1167" s="453">
        <v>200201</v>
      </c>
      <c r="C1167" s="454" t="s">
        <v>9778</v>
      </c>
      <c r="D1167" s="454" t="s">
        <v>9686</v>
      </c>
      <c r="E1167" s="454" t="s">
        <v>3426</v>
      </c>
      <c r="F1167" s="454" t="s">
        <v>520</v>
      </c>
      <c r="G1167" s="454" t="s">
        <v>14246</v>
      </c>
      <c r="H1167" s="455">
        <v>8287506000135</v>
      </c>
      <c r="I1167" s="462">
        <v>38901</v>
      </c>
      <c r="J1167" s="457">
        <v>45543631</v>
      </c>
      <c r="K1167" s="454" t="s">
        <v>3420</v>
      </c>
      <c r="L1167" s="458">
        <v>85</v>
      </c>
      <c r="M1167" s="454" t="s">
        <v>3421</v>
      </c>
      <c r="N1167" s="459">
        <v>5841160</v>
      </c>
      <c r="O1167" s="460">
        <v>55195201</v>
      </c>
      <c r="P1167" s="462">
        <v>309438</v>
      </c>
      <c r="Q1167" s="462">
        <v>191</v>
      </c>
      <c r="R1167" s="462">
        <v>43969</v>
      </c>
      <c r="S1167" s="463">
        <v>2377</v>
      </c>
      <c r="T1167" s="464">
        <v>5.4</v>
      </c>
      <c r="U1167" s="465">
        <v>12835.8</v>
      </c>
      <c r="V1167" s="465">
        <v>17400</v>
      </c>
      <c r="W1167" s="466">
        <v>0</v>
      </c>
      <c r="X1167" s="467">
        <v>1</v>
      </c>
      <c r="Y1167" s="466">
        <v>45353.7</v>
      </c>
      <c r="Z1167" s="468" t="s">
        <v>516</v>
      </c>
      <c r="AA1167" s="466">
        <v>127825.3</v>
      </c>
      <c r="AB1167" s="466">
        <v>127825.3</v>
      </c>
      <c r="AC1167" s="467">
        <v>0</v>
      </c>
      <c r="AD1167" s="466">
        <v>0</v>
      </c>
      <c r="AE1167" s="468" t="s">
        <v>516</v>
      </c>
      <c r="AF1167" s="466">
        <v>0</v>
      </c>
      <c r="AG1167" s="466">
        <v>0</v>
      </c>
      <c r="AH1167" s="466">
        <v>31222.22</v>
      </c>
      <c r="AI1167" s="466">
        <v>15166</v>
      </c>
      <c r="AJ1167" s="469" t="s">
        <v>1489</v>
      </c>
      <c r="AK1167" s="470" t="s">
        <v>520</v>
      </c>
      <c r="AL1167" s="471" t="s">
        <v>9780</v>
      </c>
      <c r="AM1167" s="470" t="s">
        <v>14247</v>
      </c>
      <c r="AN1167" s="470" t="s">
        <v>9779</v>
      </c>
      <c r="AO1167" s="470" t="s">
        <v>9781</v>
      </c>
      <c r="AP1167" s="470" t="s">
        <v>9782</v>
      </c>
      <c r="AQ1167" s="470" t="s">
        <v>9778</v>
      </c>
      <c r="AR1167" s="472" t="s">
        <v>515</v>
      </c>
      <c r="AS1167" s="473">
        <v>5.4</v>
      </c>
      <c r="AT1167" s="472" t="s">
        <v>9686</v>
      </c>
      <c r="AU1167" s="472" t="s">
        <v>420</v>
      </c>
      <c r="AV1167" s="472">
        <v>2020</v>
      </c>
      <c r="AW1167" s="474" t="s">
        <v>15078</v>
      </c>
      <c r="AX1167" s="475" t="s">
        <v>15079</v>
      </c>
      <c r="AY1167" s="515">
        <v>1</v>
      </c>
      <c r="AZ1167" s="474" t="s">
        <v>15079</v>
      </c>
      <c r="BA1167" s="472" t="s">
        <v>9686</v>
      </c>
      <c r="BB1167" s="472" t="s">
        <v>1385</v>
      </c>
      <c r="BC1167" s="472" t="s">
        <v>1385</v>
      </c>
      <c r="BD1167" s="472" t="s">
        <v>1385</v>
      </c>
      <c r="BE1167" s="472" t="s">
        <v>1385</v>
      </c>
      <c r="BF1167" s="472">
        <v>45353.7</v>
      </c>
      <c r="BG1167" s="472">
        <v>0</v>
      </c>
      <c r="BH1167" s="472" t="s">
        <v>1385</v>
      </c>
      <c r="BI1167" s="510">
        <v>0</v>
      </c>
      <c r="BJ1167" s="510">
        <v>0</v>
      </c>
      <c r="BK1167" s="510">
        <v>0</v>
      </c>
      <c r="BL1167" s="510">
        <v>0</v>
      </c>
      <c r="BM1167" s="510">
        <v>0</v>
      </c>
      <c r="BN1167" s="510">
        <v>0</v>
      </c>
      <c r="BO1167" s="510">
        <v>0</v>
      </c>
      <c r="BP1167" s="510">
        <v>0</v>
      </c>
      <c r="BQ1167" s="510">
        <v>0</v>
      </c>
      <c r="BR1167" s="510">
        <v>0</v>
      </c>
      <c r="BS1167" s="510">
        <v>0</v>
      </c>
      <c r="BT1167" s="510">
        <v>0</v>
      </c>
      <c r="BU1167" s="510">
        <v>0</v>
      </c>
      <c r="BV1167" s="510">
        <v>0</v>
      </c>
      <c r="BW1167" s="510">
        <v>0</v>
      </c>
      <c r="BX1167" s="510">
        <v>0</v>
      </c>
      <c r="BY1167" s="1011">
        <v>0</v>
      </c>
      <c r="BZ1167" s="510">
        <v>0</v>
      </c>
      <c r="CA1167" s="1011">
        <v>0</v>
      </c>
      <c r="CB1167" s="510">
        <v>0</v>
      </c>
      <c r="CC1167" s="1011">
        <v>0</v>
      </c>
      <c r="CD1167" s="510">
        <v>0</v>
      </c>
      <c r="CE1167" s="1011">
        <v>0</v>
      </c>
      <c r="CF1167" s="510">
        <v>82471.600000000006</v>
      </c>
      <c r="CG1167" s="1011">
        <v>0</v>
      </c>
      <c r="CH1167" s="510">
        <v>0</v>
      </c>
      <c r="CI1167" s="1011">
        <v>0</v>
      </c>
    </row>
    <row r="1168" spans="1:87" x14ac:dyDescent="0.2">
      <c r="A1168" s="449">
        <v>93</v>
      </c>
      <c r="B1168" s="453">
        <v>200202</v>
      </c>
      <c r="C1168" s="454" t="s">
        <v>9783</v>
      </c>
      <c r="D1168" s="454" t="s">
        <v>9686</v>
      </c>
      <c r="E1168" s="454" t="s">
        <v>9784</v>
      </c>
      <c r="F1168" s="454" t="s">
        <v>522</v>
      </c>
      <c r="G1168" s="454" t="s">
        <v>14248</v>
      </c>
      <c r="H1168" s="455">
        <v>9628619000110</v>
      </c>
      <c r="I1168" s="462">
        <v>42437</v>
      </c>
      <c r="J1168" s="457">
        <v>55843492</v>
      </c>
      <c r="K1168" s="454" t="s">
        <v>8301</v>
      </c>
      <c r="L1168" s="458">
        <v>1549</v>
      </c>
      <c r="M1168" s="454" t="s">
        <v>9785</v>
      </c>
      <c r="N1168" s="459">
        <v>2876170</v>
      </c>
      <c r="O1168" s="460">
        <v>39863404</v>
      </c>
      <c r="P1168" s="462">
        <v>75674</v>
      </c>
      <c r="Q1168" s="462">
        <v>92</v>
      </c>
      <c r="R1168" s="462">
        <v>43911</v>
      </c>
      <c r="S1168" s="463">
        <v>2235</v>
      </c>
      <c r="T1168" s="464">
        <v>5.4</v>
      </c>
      <c r="U1168" s="465">
        <v>12069</v>
      </c>
      <c r="V1168" s="465">
        <v>17400</v>
      </c>
      <c r="W1168" s="466">
        <v>0</v>
      </c>
      <c r="X1168" s="467">
        <v>1</v>
      </c>
      <c r="Y1168" s="466">
        <v>44203.5</v>
      </c>
      <c r="Z1168" s="468" t="s">
        <v>516</v>
      </c>
      <c r="AA1168" s="466">
        <v>125562.7</v>
      </c>
      <c r="AB1168" s="466">
        <v>125562.7</v>
      </c>
      <c r="AC1168" s="467">
        <v>0</v>
      </c>
      <c r="AD1168" s="466">
        <v>0</v>
      </c>
      <c r="AE1168" s="468" t="s">
        <v>516</v>
      </c>
      <c r="AF1168" s="466">
        <v>0</v>
      </c>
      <c r="AG1168" s="466">
        <v>0</v>
      </c>
      <c r="AH1168" s="466">
        <v>861.5</v>
      </c>
      <c r="AI1168" s="466">
        <v>2946.9</v>
      </c>
      <c r="AJ1168" s="469" t="s">
        <v>1438</v>
      </c>
      <c r="AK1168" s="470" t="s">
        <v>1990</v>
      </c>
      <c r="AL1168" s="471" t="s">
        <v>9786</v>
      </c>
      <c r="AM1168" s="470" t="s">
        <v>9787</v>
      </c>
      <c r="AN1168" s="470" t="s">
        <v>1385</v>
      </c>
      <c r="AO1168" s="470" t="s">
        <v>9788</v>
      </c>
      <c r="AP1168" s="470" t="s">
        <v>3438</v>
      </c>
      <c r="AQ1168" s="470" t="s">
        <v>9783</v>
      </c>
      <c r="AR1168" s="472" t="s">
        <v>515</v>
      </c>
      <c r="AS1168" s="473">
        <v>5.4</v>
      </c>
      <c r="AT1168" s="472" t="s">
        <v>9686</v>
      </c>
      <c r="AU1168" s="472" t="s">
        <v>420</v>
      </c>
      <c r="AV1168" s="472">
        <v>2020</v>
      </c>
      <c r="AW1168" s="474" t="s">
        <v>15078</v>
      </c>
      <c r="AX1168" s="475" t="s">
        <v>15079</v>
      </c>
      <c r="AY1168" s="515">
        <v>1</v>
      </c>
      <c r="AZ1168" s="474" t="s">
        <v>15079</v>
      </c>
      <c r="BA1168" s="472" t="s">
        <v>9686</v>
      </c>
      <c r="BB1168" s="472" t="s">
        <v>1385</v>
      </c>
      <c r="BC1168" s="472" t="s">
        <v>1385</v>
      </c>
      <c r="BD1168" s="472" t="s">
        <v>1385</v>
      </c>
      <c r="BE1168" s="472" t="s">
        <v>1385</v>
      </c>
      <c r="BF1168" s="472">
        <v>44203.5</v>
      </c>
      <c r="BG1168" s="472">
        <v>0</v>
      </c>
      <c r="BH1168" s="472" t="s">
        <v>1385</v>
      </c>
      <c r="BI1168" s="510">
        <v>0</v>
      </c>
      <c r="BJ1168" s="510">
        <v>0</v>
      </c>
      <c r="BK1168" s="510">
        <v>0</v>
      </c>
      <c r="BL1168" s="510">
        <v>0</v>
      </c>
      <c r="BM1168" s="510">
        <v>0</v>
      </c>
      <c r="BN1168" s="510">
        <v>0</v>
      </c>
      <c r="BO1168" s="510">
        <v>0</v>
      </c>
      <c r="BP1168" s="510">
        <v>0</v>
      </c>
      <c r="BQ1168" s="510">
        <v>0</v>
      </c>
      <c r="BR1168" s="510">
        <v>0</v>
      </c>
      <c r="BS1168" s="510">
        <v>0</v>
      </c>
      <c r="BT1168" s="510">
        <v>0</v>
      </c>
      <c r="BU1168" s="510">
        <v>0</v>
      </c>
      <c r="BV1168" s="510">
        <v>0</v>
      </c>
      <c r="BW1168" s="510">
        <v>0</v>
      </c>
      <c r="BX1168" s="510">
        <v>0</v>
      </c>
      <c r="BY1168" s="1011">
        <v>0</v>
      </c>
      <c r="BZ1168" s="510">
        <v>0</v>
      </c>
      <c r="CA1168" s="1011">
        <v>0</v>
      </c>
      <c r="CB1168" s="510">
        <v>0</v>
      </c>
      <c r="CC1168" s="1011">
        <v>0</v>
      </c>
      <c r="CD1168" s="510">
        <v>0</v>
      </c>
      <c r="CE1168" s="1011">
        <v>0</v>
      </c>
      <c r="CF1168" s="510">
        <v>81359.199999999997</v>
      </c>
      <c r="CG1168" s="1011">
        <v>0</v>
      </c>
      <c r="CH1168" s="510">
        <v>0</v>
      </c>
      <c r="CI1168" s="1011">
        <v>0</v>
      </c>
    </row>
    <row r="1169" spans="1:87" x14ac:dyDescent="0.2">
      <c r="A1169" s="449">
        <v>177</v>
      </c>
      <c r="B1169" s="453">
        <v>200203</v>
      </c>
      <c r="C1169" s="454" t="s">
        <v>9789</v>
      </c>
      <c r="D1169" s="454" t="s">
        <v>9686</v>
      </c>
      <c r="E1169" s="454" t="s">
        <v>520</v>
      </c>
      <c r="F1169" s="454" t="s">
        <v>520</v>
      </c>
      <c r="G1169" s="454" t="s">
        <v>14249</v>
      </c>
      <c r="H1169" s="455">
        <v>10727108000134</v>
      </c>
      <c r="I1169" s="462">
        <v>39119</v>
      </c>
      <c r="J1169" s="457">
        <v>54378133</v>
      </c>
      <c r="K1169" s="454" t="s">
        <v>3449</v>
      </c>
      <c r="L1169" s="458">
        <v>678</v>
      </c>
      <c r="M1169" s="454" t="s">
        <v>3450</v>
      </c>
      <c r="N1169" s="459">
        <v>5789000</v>
      </c>
      <c r="O1169" s="460">
        <v>58434838</v>
      </c>
      <c r="P1169" s="462">
        <v>352139</v>
      </c>
      <c r="Q1169" s="462">
        <v>188</v>
      </c>
      <c r="R1169" s="462">
        <v>43983</v>
      </c>
      <c r="S1169" s="463">
        <v>2299</v>
      </c>
      <c r="T1169" s="464">
        <v>5.4</v>
      </c>
      <c r="U1169" s="465">
        <v>12414.6</v>
      </c>
      <c r="V1169" s="465">
        <v>17400</v>
      </c>
      <c r="W1169" s="466">
        <v>0</v>
      </c>
      <c r="X1169" s="467">
        <v>1</v>
      </c>
      <c r="Y1169" s="466">
        <v>44721.9</v>
      </c>
      <c r="Z1169" s="468" t="s">
        <v>516</v>
      </c>
      <c r="AA1169" s="466">
        <v>126577.9</v>
      </c>
      <c r="AB1169" s="466">
        <v>126577.9</v>
      </c>
      <c r="AC1169" s="467">
        <v>0</v>
      </c>
      <c r="AD1169" s="466">
        <v>0</v>
      </c>
      <c r="AE1169" s="468" t="s">
        <v>516</v>
      </c>
      <c r="AF1169" s="466">
        <v>0</v>
      </c>
      <c r="AG1169" s="466">
        <v>0</v>
      </c>
      <c r="AH1169" s="466">
        <v>46159.64</v>
      </c>
      <c r="AI1169" s="466">
        <v>17029.849999999999</v>
      </c>
      <c r="AJ1169" s="469" t="s">
        <v>1515</v>
      </c>
      <c r="AK1169" s="470" t="s">
        <v>1516</v>
      </c>
      <c r="AL1169" s="471" t="s">
        <v>9790</v>
      </c>
      <c r="AM1169" s="470" t="s">
        <v>9791</v>
      </c>
      <c r="AN1169" s="470" t="s">
        <v>9792</v>
      </c>
      <c r="AO1169" s="470" t="s">
        <v>9793</v>
      </c>
      <c r="AP1169" s="470" t="s">
        <v>9794</v>
      </c>
      <c r="AQ1169" s="470" t="s">
        <v>9789</v>
      </c>
      <c r="AR1169" s="472" t="s">
        <v>515</v>
      </c>
      <c r="AS1169" s="473">
        <v>5.4</v>
      </c>
      <c r="AT1169" s="472" t="s">
        <v>9686</v>
      </c>
      <c r="AU1169" s="472" t="s">
        <v>420</v>
      </c>
      <c r="AV1169" s="472">
        <v>2020</v>
      </c>
      <c r="AW1169" s="474" t="s">
        <v>15078</v>
      </c>
      <c r="AX1169" s="475" t="s">
        <v>15079</v>
      </c>
      <c r="AY1169" s="515">
        <v>1</v>
      </c>
      <c r="AZ1169" s="474" t="s">
        <v>15079</v>
      </c>
      <c r="BA1169" s="472" t="s">
        <v>9686</v>
      </c>
      <c r="BB1169" s="472" t="s">
        <v>1385</v>
      </c>
      <c r="BC1169" s="472" t="s">
        <v>1385</v>
      </c>
      <c r="BD1169" s="472" t="s">
        <v>1385</v>
      </c>
      <c r="BE1169" s="472" t="s">
        <v>1385</v>
      </c>
      <c r="BF1169" s="472">
        <v>44721.9</v>
      </c>
      <c r="BG1169" s="472">
        <v>0</v>
      </c>
      <c r="BH1169" s="472" t="s">
        <v>1385</v>
      </c>
      <c r="BI1169" s="510">
        <v>0</v>
      </c>
      <c r="BJ1169" s="510">
        <v>853.85</v>
      </c>
      <c r="BK1169" s="510">
        <v>0</v>
      </c>
      <c r="BL1169" s="510">
        <v>0</v>
      </c>
      <c r="BM1169" s="510">
        <v>0</v>
      </c>
      <c r="BN1169" s="510">
        <v>0</v>
      </c>
      <c r="BO1169" s="510">
        <v>0</v>
      </c>
      <c r="BP1169" s="510">
        <v>0</v>
      </c>
      <c r="BQ1169" s="510">
        <v>0</v>
      </c>
      <c r="BR1169" s="510">
        <v>0</v>
      </c>
      <c r="BS1169" s="510">
        <v>0</v>
      </c>
      <c r="BT1169" s="510">
        <v>0</v>
      </c>
      <c r="BU1169" s="510">
        <v>0</v>
      </c>
      <c r="BV1169" s="510">
        <v>0</v>
      </c>
      <c r="BW1169" s="510">
        <v>0</v>
      </c>
      <c r="BX1169" s="510">
        <v>0</v>
      </c>
      <c r="BY1169" s="1011">
        <v>0</v>
      </c>
      <c r="BZ1169" s="510">
        <v>0</v>
      </c>
      <c r="CA1169" s="1011">
        <v>0</v>
      </c>
      <c r="CB1169" s="510">
        <v>0</v>
      </c>
      <c r="CC1169" s="1011">
        <v>0</v>
      </c>
      <c r="CD1169" s="510">
        <v>0</v>
      </c>
      <c r="CE1169" s="1011">
        <v>0</v>
      </c>
      <c r="CF1169" s="510">
        <v>81856</v>
      </c>
      <c r="CG1169" s="1011">
        <v>0</v>
      </c>
      <c r="CH1169" s="510">
        <v>0</v>
      </c>
      <c r="CI1169" s="1011">
        <v>0</v>
      </c>
    </row>
    <row r="1170" spans="1:87" x14ac:dyDescent="0.2">
      <c r="A1170" s="449">
        <v>1</v>
      </c>
      <c r="B1170" s="453">
        <v>200204</v>
      </c>
      <c r="C1170" s="454" t="s">
        <v>9795</v>
      </c>
      <c r="D1170" s="454" t="s">
        <v>9796</v>
      </c>
      <c r="E1170" s="454" t="s">
        <v>9797</v>
      </c>
      <c r="F1170" s="454" t="s">
        <v>528</v>
      </c>
      <c r="G1170" s="454" t="s">
        <v>14250</v>
      </c>
      <c r="H1170" s="455">
        <v>11267355000168</v>
      </c>
      <c r="I1170" s="462">
        <v>40108</v>
      </c>
      <c r="J1170" s="457">
        <v>41842405</v>
      </c>
      <c r="K1170" s="454" t="s">
        <v>9798</v>
      </c>
      <c r="L1170" s="458">
        <v>386</v>
      </c>
      <c r="M1170" s="454" t="s">
        <v>6392</v>
      </c>
      <c r="N1170" s="459">
        <v>5177100</v>
      </c>
      <c r="O1170" s="460">
        <v>39023682</v>
      </c>
      <c r="P1170" s="462">
        <v>248366</v>
      </c>
      <c r="Q1170" s="462">
        <v>1</v>
      </c>
      <c r="R1170" s="462">
        <v>43938</v>
      </c>
      <c r="S1170" s="463">
        <v>128</v>
      </c>
      <c r="T1170" s="464">
        <v>3.6</v>
      </c>
      <c r="U1170" s="465">
        <v>460.8</v>
      </c>
      <c r="V1170" s="465">
        <v>10800</v>
      </c>
      <c r="W1170" s="466">
        <v>0</v>
      </c>
      <c r="X1170" s="467">
        <v>1</v>
      </c>
      <c r="Y1170" s="466">
        <v>16891.2</v>
      </c>
      <c r="Z1170" s="468" t="s">
        <v>516</v>
      </c>
      <c r="AA1170" s="466">
        <v>85391.2</v>
      </c>
      <c r="AB1170" s="466">
        <v>85391.2</v>
      </c>
      <c r="AC1170" s="467">
        <v>0</v>
      </c>
      <c r="AD1170" s="466">
        <v>0</v>
      </c>
      <c r="AE1170" s="468" t="s">
        <v>516</v>
      </c>
      <c r="AF1170" s="466">
        <v>1000</v>
      </c>
      <c r="AG1170" s="466">
        <v>1000</v>
      </c>
      <c r="AH1170" s="466">
        <v>15220.07</v>
      </c>
      <c r="AI1170" s="466">
        <v>6176.09</v>
      </c>
      <c r="AJ1170" s="469" t="s">
        <v>1588</v>
      </c>
      <c r="AK1170" s="470" t="s">
        <v>1589</v>
      </c>
      <c r="AL1170" s="471" t="s">
        <v>9799</v>
      </c>
      <c r="AM1170" s="470" t="s">
        <v>9800</v>
      </c>
      <c r="AN1170" s="470" t="s">
        <v>9801</v>
      </c>
      <c r="AO1170" s="470" t="s">
        <v>9802</v>
      </c>
      <c r="AP1170" s="470" t="s">
        <v>9803</v>
      </c>
      <c r="AQ1170" s="470" t="s">
        <v>9795</v>
      </c>
      <c r="AR1170" s="472" t="s">
        <v>515</v>
      </c>
      <c r="AS1170" s="473">
        <v>3.6</v>
      </c>
      <c r="AT1170" s="472" t="s">
        <v>9796</v>
      </c>
      <c r="AU1170" s="472" t="s">
        <v>420</v>
      </c>
      <c r="AV1170" s="472">
        <v>2020</v>
      </c>
      <c r="AW1170" s="474" t="s">
        <v>15078</v>
      </c>
      <c r="AX1170" s="475" t="s">
        <v>15079</v>
      </c>
      <c r="AY1170" s="515">
        <v>1</v>
      </c>
      <c r="AZ1170" s="474" t="s">
        <v>15079</v>
      </c>
      <c r="BA1170" s="472" t="s">
        <v>9796</v>
      </c>
      <c r="BB1170" s="472" t="s">
        <v>1385</v>
      </c>
      <c r="BC1170" s="472" t="s">
        <v>1385</v>
      </c>
      <c r="BD1170" s="472" t="s">
        <v>1385</v>
      </c>
      <c r="BE1170" s="472" t="s">
        <v>1385</v>
      </c>
      <c r="BF1170" s="472">
        <v>16891.2</v>
      </c>
      <c r="BG1170" s="472">
        <v>0</v>
      </c>
      <c r="BH1170" s="472" t="s">
        <v>1385</v>
      </c>
      <c r="BI1170" s="510">
        <v>0</v>
      </c>
      <c r="BJ1170" s="510">
        <v>0</v>
      </c>
      <c r="BK1170" s="510">
        <v>0</v>
      </c>
      <c r="BL1170" s="510">
        <v>0</v>
      </c>
      <c r="BM1170" s="510">
        <v>0</v>
      </c>
      <c r="BN1170" s="510">
        <v>2000</v>
      </c>
      <c r="BO1170" s="510">
        <v>1000</v>
      </c>
      <c r="BP1170" s="510">
        <v>1000</v>
      </c>
      <c r="BQ1170" s="510">
        <v>0</v>
      </c>
      <c r="BR1170" s="510">
        <v>0</v>
      </c>
      <c r="BS1170" s="510">
        <v>0</v>
      </c>
      <c r="BT1170" s="510">
        <v>0</v>
      </c>
      <c r="BU1170" s="510">
        <v>0</v>
      </c>
      <c r="BV1170" s="510">
        <v>0</v>
      </c>
      <c r="BW1170" s="510">
        <v>0</v>
      </c>
      <c r="BX1170" s="510">
        <v>30000</v>
      </c>
      <c r="BY1170" s="1011">
        <v>0</v>
      </c>
      <c r="BZ1170" s="510">
        <v>0</v>
      </c>
      <c r="CA1170" s="1011">
        <v>0</v>
      </c>
      <c r="CB1170" s="510">
        <v>0</v>
      </c>
      <c r="CC1170" s="1011">
        <v>0</v>
      </c>
      <c r="CD1170" s="510">
        <v>0</v>
      </c>
      <c r="CE1170" s="1011">
        <v>0</v>
      </c>
      <c r="CF1170" s="510">
        <v>37500</v>
      </c>
      <c r="CG1170" s="1011">
        <v>0</v>
      </c>
      <c r="CH1170" s="510">
        <v>0</v>
      </c>
      <c r="CI1170" s="1011">
        <v>0</v>
      </c>
    </row>
    <row r="1171" spans="1:87" x14ac:dyDescent="0.2">
      <c r="A1171" s="449">
        <v>1</v>
      </c>
      <c r="B1171" s="453">
        <v>200205</v>
      </c>
      <c r="C1171" s="454" t="s">
        <v>9804</v>
      </c>
      <c r="D1171" s="454" t="s">
        <v>9796</v>
      </c>
      <c r="E1171" s="454" t="s">
        <v>9805</v>
      </c>
      <c r="F1171" s="454" t="s">
        <v>521</v>
      </c>
      <c r="G1171" s="454" t="s">
        <v>14251</v>
      </c>
      <c r="H1171" s="455">
        <v>11162038000187</v>
      </c>
      <c r="I1171" s="462">
        <v>40016</v>
      </c>
      <c r="J1171" s="457">
        <v>44774940</v>
      </c>
      <c r="K1171" s="454" t="s">
        <v>9806</v>
      </c>
      <c r="L1171" s="458" t="s">
        <v>4484</v>
      </c>
      <c r="M1171" s="454" t="s">
        <v>4553</v>
      </c>
      <c r="N1171" s="459">
        <v>4895020</v>
      </c>
      <c r="O1171" s="460">
        <v>59784325</v>
      </c>
      <c r="P1171" s="462">
        <v>93788</v>
      </c>
      <c r="Q1171" s="462">
        <v>94</v>
      </c>
      <c r="R1171" s="462">
        <v>43934</v>
      </c>
      <c r="S1171" s="463">
        <v>44</v>
      </c>
      <c r="T1171" s="464">
        <v>3.6</v>
      </c>
      <c r="U1171" s="465">
        <v>158.4</v>
      </c>
      <c r="V1171" s="465">
        <v>10800</v>
      </c>
      <c r="W1171" s="466">
        <v>0</v>
      </c>
      <c r="X1171" s="467">
        <v>1</v>
      </c>
      <c r="Y1171" s="466">
        <v>16437.599999999999</v>
      </c>
      <c r="Z1171" s="468" t="s">
        <v>516</v>
      </c>
      <c r="AA1171" s="466">
        <v>83347.199999999997</v>
      </c>
      <c r="AB1171" s="466">
        <v>83347.199999999997</v>
      </c>
      <c r="AC1171" s="467">
        <v>0</v>
      </c>
      <c r="AD1171" s="466">
        <v>0</v>
      </c>
      <c r="AE1171" s="468" t="s">
        <v>516</v>
      </c>
      <c r="AF1171" s="466">
        <v>2000</v>
      </c>
      <c r="AG1171" s="466">
        <v>2000</v>
      </c>
      <c r="AH1171" s="466">
        <v>31760.62</v>
      </c>
      <c r="AI1171" s="466">
        <v>5562.72</v>
      </c>
      <c r="AJ1171" s="469" t="s">
        <v>1624</v>
      </c>
      <c r="AK1171" s="470" t="s">
        <v>1625</v>
      </c>
      <c r="AL1171" s="471" t="s">
        <v>9807</v>
      </c>
      <c r="AM1171" s="470" t="s">
        <v>14252</v>
      </c>
      <c r="AN1171" s="470" t="s">
        <v>1385</v>
      </c>
      <c r="AO1171" s="470" t="s">
        <v>14253</v>
      </c>
      <c r="AP1171" s="470" t="s">
        <v>9808</v>
      </c>
      <c r="AQ1171" s="470" t="s">
        <v>9804</v>
      </c>
      <c r="AR1171" s="472" t="s">
        <v>515</v>
      </c>
      <c r="AS1171" s="473">
        <v>3.6</v>
      </c>
      <c r="AT1171" s="472" t="s">
        <v>9796</v>
      </c>
      <c r="AU1171" s="472" t="s">
        <v>420</v>
      </c>
      <c r="AV1171" s="472">
        <v>2020</v>
      </c>
      <c r="AW1171" s="474" t="s">
        <v>15078</v>
      </c>
      <c r="AX1171" s="475" t="s">
        <v>15079</v>
      </c>
      <c r="AY1171" s="515">
        <v>1</v>
      </c>
      <c r="AZ1171" s="474" t="s">
        <v>15079</v>
      </c>
      <c r="BA1171" s="472" t="s">
        <v>9796</v>
      </c>
      <c r="BB1171" s="472" t="s">
        <v>1385</v>
      </c>
      <c r="BC1171" s="472" t="s">
        <v>1385</v>
      </c>
      <c r="BD1171" s="472" t="s">
        <v>1385</v>
      </c>
      <c r="BE1171" s="472" t="s">
        <v>1385</v>
      </c>
      <c r="BF1171" s="472">
        <v>16437.599999999999</v>
      </c>
      <c r="BG1171" s="472">
        <v>0</v>
      </c>
      <c r="BH1171" s="472" t="s">
        <v>1385</v>
      </c>
      <c r="BI1171" s="510">
        <v>0</v>
      </c>
      <c r="BJ1171" s="510">
        <v>4209.8</v>
      </c>
      <c r="BK1171" s="510">
        <v>0</v>
      </c>
      <c r="BL1171" s="510">
        <v>0</v>
      </c>
      <c r="BM1171" s="510">
        <v>0</v>
      </c>
      <c r="BN1171" s="510">
        <v>2000</v>
      </c>
      <c r="BO1171" s="510">
        <v>0</v>
      </c>
      <c r="BP1171" s="510">
        <v>2000</v>
      </c>
      <c r="BQ1171" s="510">
        <v>0</v>
      </c>
      <c r="BR1171" s="510">
        <v>0</v>
      </c>
      <c r="BS1171" s="510">
        <v>0</v>
      </c>
      <c r="BT1171" s="510">
        <v>0</v>
      </c>
      <c r="BU1171" s="510">
        <v>0</v>
      </c>
      <c r="BV1171" s="510">
        <v>0</v>
      </c>
      <c r="BW1171" s="510">
        <v>0</v>
      </c>
      <c r="BX1171" s="510">
        <v>30000</v>
      </c>
      <c r="BY1171" s="1011">
        <v>0</v>
      </c>
      <c r="BZ1171" s="510">
        <v>0</v>
      </c>
      <c r="CA1171" s="1011">
        <v>0</v>
      </c>
      <c r="CB1171" s="510">
        <v>0</v>
      </c>
      <c r="CC1171" s="1011">
        <v>0</v>
      </c>
      <c r="CD1171" s="510">
        <v>0</v>
      </c>
      <c r="CE1171" s="1011">
        <v>0</v>
      </c>
      <c r="CF1171" s="510">
        <v>36909.599999999999</v>
      </c>
      <c r="CG1171" s="1011">
        <v>0</v>
      </c>
      <c r="CH1171" s="510">
        <v>0</v>
      </c>
      <c r="CI1171" s="1011">
        <v>0</v>
      </c>
    </row>
    <row r="1172" spans="1:87" x14ac:dyDescent="0.2">
      <c r="A1172" s="449">
        <v>2</v>
      </c>
      <c r="B1172" s="453">
        <v>200206</v>
      </c>
      <c r="C1172" s="454" t="s">
        <v>9809</v>
      </c>
      <c r="D1172" s="454" t="s">
        <v>9796</v>
      </c>
      <c r="E1172" s="454" t="s">
        <v>9810</v>
      </c>
      <c r="F1172" s="454" t="s">
        <v>521</v>
      </c>
      <c r="G1172" s="454" t="s">
        <v>14254</v>
      </c>
      <c r="H1172" s="455">
        <v>11111429000172</v>
      </c>
      <c r="I1172" s="462">
        <v>40016</v>
      </c>
      <c r="J1172" s="457">
        <v>44318545</v>
      </c>
      <c r="K1172" s="454" t="s">
        <v>9811</v>
      </c>
      <c r="L1172" s="458">
        <v>153</v>
      </c>
      <c r="M1172" s="454" t="s">
        <v>9812</v>
      </c>
      <c r="N1172" s="459">
        <v>4895070</v>
      </c>
      <c r="O1172" s="460">
        <v>59784325</v>
      </c>
      <c r="P1172" s="462">
        <v>94423</v>
      </c>
      <c r="Q1172" s="462">
        <v>95</v>
      </c>
      <c r="R1172" s="462">
        <v>43934</v>
      </c>
      <c r="S1172" s="463">
        <v>123</v>
      </c>
      <c r="T1172" s="464">
        <v>3.6</v>
      </c>
      <c r="U1172" s="465">
        <v>442.8</v>
      </c>
      <c r="V1172" s="465">
        <v>10800</v>
      </c>
      <c r="W1172" s="466">
        <v>0</v>
      </c>
      <c r="X1172" s="467">
        <v>1</v>
      </c>
      <c r="Y1172" s="466">
        <v>16864.2</v>
      </c>
      <c r="Z1172" s="468" t="s">
        <v>516</v>
      </c>
      <c r="AA1172" s="466">
        <v>84306.6</v>
      </c>
      <c r="AB1172" s="466">
        <v>84306.6</v>
      </c>
      <c r="AC1172" s="467">
        <v>0</v>
      </c>
      <c r="AD1172" s="466">
        <v>0</v>
      </c>
      <c r="AE1172" s="468" t="s">
        <v>516</v>
      </c>
      <c r="AF1172" s="466">
        <v>2000</v>
      </c>
      <c r="AG1172" s="466">
        <v>2000</v>
      </c>
      <c r="AH1172" s="466">
        <v>43790.87</v>
      </c>
      <c r="AI1172" s="466">
        <v>4508.9399999999996</v>
      </c>
      <c r="AJ1172" s="469" t="s">
        <v>1624</v>
      </c>
      <c r="AK1172" s="470" t="s">
        <v>1625</v>
      </c>
      <c r="AL1172" s="471" t="s">
        <v>9813</v>
      </c>
      <c r="AM1172" s="470" t="s">
        <v>9814</v>
      </c>
      <c r="AN1172" s="470" t="s">
        <v>1385</v>
      </c>
      <c r="AO1172" s="470" t="s">
        <v>14255</v>
      </c>
      <c r="AP1172" s="470" t="s">
        <v>9815</v>
      </c>
      <c r="AQ1172" s="470" t="s">
        <v>9809</v>
      </c>
      <c r="AR1172" s="472" t="s">
        <v>515</v>
      </c>
      <c r="AS1172" s="473">
        <v>3.6</v>
      </c>
      <c r="AT1172" s="472" t="s">
        <v>9796</v>
      </c>
      <c r="AU1172" s="472" t="s">
        <v>420</v>
      </c>
      <c r="AV1172" s="472">
        <v>2020</v>
      </c>
      <c r="AW1172" s="474" t="s">
        <v>15078</v>
      </c>
      <c r="AX1172" s="475" t="s">
        <v>15079</v>
      </c>
      <c r="AY1172" s="515">
        <v>1</v>
      </c>
      <c r="AZ1172" s="474" t="s">
        <v>15079</v>
      </c>
      <c r="BA1172" s="472" t="s">
        <v>9796</v>
      </c>
      <c r="BB1172" s="472" t="s">
        <v>1385</v>
      </c>
      <c r="BC1172" s="472" t="s">
        <v>1385</v>
      </c>
      <c r="BD1172" s="472" t="s">
        <v>1385</v>
      </c>
      <c r="BE1172" s="472" t="s">
        <v>1385</v>
      </c>
      <c r="BF1172" s="472">
        <v>16864.2</v>
      </c>
      <c r="BG1172" s="472">
        <v>0</v>
      </c>
      <c r="BH1172" s="472" t="s">
        <v>1385</v>
      </c>
      <c r="BI1172" s="510">
        <v>0</v>
      </c>
      <c r="BJ1172" s="510">
        <v>3992.95</v>
      </c>
      <c r="BK1172" s="510">
        <v>0</v>
      </c>
      <c r="BL1172" s="510">
        <v>0</v>
      </c>
      <c r="BM1172" s="510">
        <v>0</v>
      </c>
      <c r="BN1172" s="510">
        <v>2000</v>
      </c>
      <c r="BO1172" s="510">
        <v>0</v>
      </c>
      <c r="BP1172" s="510">
        <v>2000</v>
      </c>
      <c r="BQ1172" s="510">
        <v>0</v>
      </c>
      <c r="BR1172" s="510">
        <v>0</v>
      </c>
      <c r="BS1172" s="510">
        <v>0</v>
      </c>
      <c r="BT1172" s="510">
        <v>0</v>
      </c>
      <c r="BU1172" s="510">
        <v>0</v>
      </c>
      <c r="BV1172" s="510">
        <v>0</v>
      </c>
      <c r="BW1172" s="510">
        <v>0</v>
      </c>
      <c r="BX1172" s="510">
        <v>30000</v>
      </c>
      <c r="BY1172" s="1011">
        <v>0</v>
      </c>
      <c r="BZ1172" s="510">
        <v>0</v>
      </c>
      <c r="CA1172" s="1011">
        <v>0</v>
      </c>
      <c r="CB1172" s="510">
        <v>0</v>
      </c>
      <c r="CC1172" s="1011">
        <v>0</v>
      </c>
      <c r="CD1172" s="510">
        <v>0</v>
      </c>
      <c r="CE1172" s="1011">
        <v>0</v>
      </c>
      <c r="CF1172" s="510">
        <v>37442.400000000001</v>
      </c>
      <c r="CG1172" s="1011">
        <v>0</v>
      </c>
      <c r="CH1172" s="510">
        <v>0</v>
      </c>
      <c r="CI1172" s="1011">
        <v>0</v>
      </c>
    </row>
    <row r="1173" spans="1:87" x14ac:dyDescent="0.2">
      <c r="A1173" s="449">
        <v>32</v>
      </c>
      <c r="B1173" s="453">
        <v>200207</v>
      </c>
      <c r="C1173" s="454" t="s">
        <v>9816</v>
      </c>
      <c r="D1173" s="454" t="s">
        <v>9588</v>
      </c>
      <c r="E1173" s="454" t="s">
        <v>9817</v>
      </c>
      <c r="F1173" s="454" t="s">
        <v>521</v>
      </c>
      <c r="G1173" s="454" t="s">
        <v>14256</v>
      </c>
      <c r="H1173" s="455">
        <v>10819343000136</v>
      </c>
      <c r="I1173" s="462">
        <v>39825</v>
      </c>
      <c r="J1173" s="457">
        <v>42838240</v>
      </c>
      <c r="K1173" s="454" t="s">
        <v>9818</v>
      </c>
      <c r="L1173" s="458" t="s">
        <v>4484</v>
      </c>
      <c r="M1173" s="454" t="s">
        <v>9819</v>
      </c>
      <c r="N1173" s="459">
        <v>4858455</v>
      </c>
      <c r="O1173" s="460">
        <v>59387059</v>
      </c>
      <c r="P1173" s="462">
        <v>95454</v>
      </c>
      <c r="Q1173" s="462">
        <v>96</v>
      </c>
      <c r="R1173" s="462">
        <v>43934</v>
      </c>
      <c r="S1173" s="463">
        <v>598</v>
      </c>
      <c r="T1173" s="464">
        <v>5.4</v>
      </c>
      <c r="U1173" s="465">
        <v>3229.2</v>
      </c>
      <c r="V1173" s="465">
        <v>17100</v>
      </c>
      <c r="W1173" s="466">
        <v>0</v>
      </c>
      <c r="X1173" s="467">
        <v>1</v>
      </c>
      <c r="Y1173" s="466">
        <v>30493.8</v>
      </c>
      <c r="Z1173" s="468" t="s">
        <v>516</v>
      </c>
      <c r="AA1173" s="466">
        <v>116573.8</v>
      </c>
      <c r="AB1173" s="466">
        <v>116573.8</v>
      </c>
      <c r="AC1173" s="467">
        <v>0</v>
      </c>
      <c r="AD1173" s="466">
        <v>0</v>
      </c>
      <c r="AE1173" s="468" t="s">
        <v>516</v>
      </c>
      <c r="AF1173" s="466">
        <v>1600</v>
      </c>
      <c r="AG1173" s="466">
        <v>1600</v>
      </c>
      <c r="AH1173" s="466">
        <v>39432.65</v>
      </c>
      <c r="AI1173" s="466">
        <v>7659.99</v>
      </c>
      <c r="AJ1173" s="469" t="s">
        <v>1624</v>
      </c>
      <c r="AK1173" s="470" t="s">
        <v>1625</v>
      </c>
      <c r="AL1173" s="471" t="s">
        <v>9820</v>
      </c>
      <c r="AM1173" s="470" t="s">
        <v>9821</v>
      </c>
      <c r="AN1173" s="470" t="s">
        <v>1385</v>
      </c>
      <c r="AO1173" s="470" t="s">
        <v>14257</v>
      </c>
      <c r="AP1173" s="470" t="s">
        <v>9822</v>
      </c>
      <c r="AQ1173" s="470" t="s">
        <v>9816</v>
      </c>
      <c r="AR1173" s="472" t="s">
        <v>515</v>
      </c>
      <c r="AS1173" s="473">
        <v>5.4</v>
      </c>
      <c r="AT1173" s="472" t="s">
        <v>9588</v>
      </c>
      <c r="AU1173" s="472" t="s">
        <v>420</v>
      </c>
      <c r="AV1173" s="472">
        <v>2020</v>
      </c>
      <c r="AW1173" s="474" t="s">
        <v>15078</v>
      </c>
      <c r="AX1173" s="475" t="s">
        <v>15079</v>
      </c>
      <c r="AY1173" s="515">
        <v>1</v>
      </c>
      <c r="AZ1173" s="474" t="s">
        <v>15079</v>
      </c>
      <c r="BA1173" s="472" t="s">
        <v>9588</v>
      </c>
      <c r="BB1173" s="472" t="s">
        <v>1385</v>
      </c>
      <c r="BC1173" s="472" t="s">
        <v>1385</v>
      </c>
      <c r="BD1173" s="472" t="s">
        <v>1385</v>
      </c>
      <c r="BE1173" s="472" t="s">
        <v>1385</v>
      </c>
      <c r="BF1173" s="472">
        <v>30493.8</v>
      </c>
      <c r="BG1173" s="472">
        <v>0</v>
      </c>
      <c r="BH1173" s="472" t="s">
        <v>1385</v>
      </c>
      <c r="BI1173" s="510">
        <v>0</v>
      </c>
      <c r="BJ1173" s="510">
        <v>3416.36</v>
      </c>
      <c r="BK1173" s="510">
        <v>0</v>
      </c>
      <c r="BL1173" s="510">
        <v>3500</v>
      </c>
      <c r="BM1173" s="510">
        <v>0</v>
      </c>
      <c r="BN1173" s="510">
        <v>3500</v>
      </c>
      <c r="BO1173" s="510">
        <v>400</v>
      </c>
      <c r="BP1173" s="510">
        <v>1600</v>
      </c>
      <c r="BQ1173" s="510">
        <v>0</v>
      </c>
      <c r="BR1173" s="510">
        <v>0</v>
      </c>
      <c r="BS1173" s="510">
        <v>0</v>
      </c>
      <c r="BT1173" s="510">
        <v>0</v>
      </c>
      <c r="BU1173" s="510">
        <v>0</v>
      </c>
      <c r="BV1173" s="510">
        <v>0</v>
      </c>
      <c r="BW1173" s="510">
        <v>0</v>
      </c>
      <c r="BX1173" s="510">
        <v>30000</v>
      </c>
      <c r="BY1173" s="1011">
        <v>0</v>
      </c>
      <c r="BZ1173" s="510">
        <v>0</v>
      </c>
      <c r="CA1173" s="1011">
        <v>0</v>
      </c>
      <c r="CB1173" s="510">
        <v>0</v>
      </c>
      <c r="CC1173" s="1011">
        <v>0</v>
      </c>
      <c r="CD1173" s="510">
        <v>0</v>
      </c>
      <c r="CE1173" s="1011">
        <v>0</v>
      </c>
      <c r="CF1173" s="510">
        <v>55680</v>
      </c>
      <c r="CG1173" s="1011">
        <v>0</v>
      </c>
      <c r="CH1173" s="510">
        <v>0</v>
      </c>
      <c r="CI1173" s="1011">
        <v>0</v>
      </c>
    </row>
    <row r="1174" spans="1:87" x14ac:dyDescent="0.2">
      <c r="A1174" s="449">
        <v>100</v>
      </c>
      <c r="B1174" s="453">
        <v>200237</v>
      </c>
      <c r="C1174" s="454" t="s">
        <v>9823</v>
      </c>
      <c r="D1174" s="454" t="s">
        <v>9686</v>
      </c>
      <c r="E1174" s="454" t="s">
        <v>3632</v>
      </c>
      <c r="F1174" s="454" t="s">
        <v>523</v>
      </c>
      <c r="G1174" s="454" t="s">
        <v>14258</v>
      </c>
      <c r="H1174" s="455">
        <v>12749195000156</v>
      </c>
      <c r="I1174" s="462" t="s">
        <v>280</v>
      </c>
      <c r="J1174" s="457">
        <v>41771435</v>
      </c>
      <c r="K1174" s="454" t="s">
        <v>3599</v>
      </c>
      <c r="L1174" s="458">
        <v>1262</v>
      </c>
      <c r="M1174" s="454" t="s">
        <v>1950</v>
      </c>
      <c r="N1174" s="459">
        <v>8471000</v>
      </c>
      <c r="O1174" s="460">
        <v>20164476</v>
      </c>
      <c r="P1174" s="462">
        <v>261648</v>
      </c>
      <c r="Q1174" s="462">
        <v>100</v>
      </c>
      <c r="R1174" s="462">
        <v>43930</v>
      </c>
      <c r="S1174" s="463">
        <v>2295</v>
      </c>
      <c r="T1174" s="464">
        <v>5.4</v>
      </c>
      <c r="U1174" s="465">
        <v>12393</v>
      </c>
      <c r="V1174" s="465">
        <v>17400</v>
      </c>
      <c r="W1174" s="466">
        <v>0</v>
      </c>
      <c r="X1174" s="467">
        <v>1</v>
      </c>
      <c r="Y1174" s="466">
        <v>44689.5</v>
      </c>
      <c r="Z1174" s="468" t="s">
        <v>516</v>
      </c>
      <c r="AA1174" s="466">
        <v>124493.5</v>
      </c>
      <c r="AB1174" s="466">
        <v>124493.5</v>
      </c>
      <c r="AC1174" s="467">
        <v>0</v>
      </c>
      <c r="AD1174" s="466">
        <v>0</v>
      </c>
      <c r="AE1174" s="468" t="s">
        <v>516</v>
      </c>
      <c r="AF1174" s="466">
        <v>0</v>
      </c>
      <c r="AG1174" s="466">
        <v>0</v>
      </c>
      <c r="AH1174" s="466">
        <v>30914.43</v>
      </c>
      <c r="AI1174" s="466">
        <v>23178.63</v>
      </c>
      <c r="AJ1174" s="469" t="s">
        <v>1395</v>
      </c>
      <c r="AK1174" s="470" t="s">
        <v>523</v>
      </c>
      <c r="AL1174" s="471" t="s">
        <v>9825</v>
      </c>
      <c r="AM1174" s="470" t="s">
        <v>14259</v>
      </c>
      <c r="AN1174" s="470" t="s">
        <v>9824</v>
      </c>
      <c r="AO1174" s="470" t="s">
        <v>14260</v>
      </c>
      <c r="AP1174" s="470" t="s">
        <v>9826</v>
      </c>
      <c r="AQ1174" s="470" t="s">
        <v>9823</v>
      </c>
      <c r="AR1174" s="472" t="s">
        <v>515</v>
      </c>
      <c r="AS1174" s="473">
        <v>5.4</v>
      </c>
      <c r="AT1174" s="472" t="s">
        <v>9686</v>
      </c>
      <c r="AU1174" s="472" t="s">
        <v>420</v>
      </c>
      <c r="AV1174" s="472">
        <v>2020</v>
      </c>
      <c r="AW1174" s="474" t="s">
        <v>15078</v>
      </c>
      <c r="AX1174" s="475" t="s">
        <v>15079</v>
      </c>
      <c r="AY1174" s="515">
        <v>1</v>
      </c>
      <c r="AZ1174" s="474" t="s">
        <v>15079</v>
      </c>
      <c r="BA1174" s="472" t="s">
        <v>9686</v>
      </c>
      <c r="BB1174" s="472" t="s">
        <v>1385</v>
      </c>
      <c r="BC1174" s="472" t="s">
        <v>1385</v>
      </c>
      <c r="BD1174" s="472" t="s">
        <v>1385</v>
      </c>
      <c r="BE1174" s="472" t="s">
        <v>1385</v>
      </c>
      <c r="BF1174" s="472">
        <v>44689.5</v>
      </c>
      <c r="BG1174" s="472">
        <v>0</v>
      </c>
      <c r="BH1174" s="472" t="s">
        <v>1385</v>
      </c>
      <c r="BI1174" s="510">
        <v>0</v>
      </c>
      <c r="BJ1174" s="510">
        <v>0</v>
      </c>
      <c r="BK1174" s="510">
        <v>0</v>
      </c>
      <c r="BL1174" s="510">
        <v>0</v>
      </c>
      <c r="BM1174" s="510">
        <v>0</v>
      </c>
      <c r="BN1174" s="510">
        <v>0</v>
      </c>
      <c r="BO1174" s="510">
        <v>0</v>
      </c>
      <c r="BP1174" s="510">
        <v>0</v>
      </c>
      <c r="BQ1174" s="510">
        <v>0</v>
      </c>
      <c r="BR1174" s="510">
        <v>0</v>
      </c>
      <c r="BS1174" s="510">
        <v>0</v>
      </c>
      <c r="BT1174" s="510">
        <v>0</v>
      </c>
      <c r="BU1174" s="510">
        <v>0</v>
      </c>
      <c r="BV1174" s="510">
        <v>0</v>
      </c>
      <c r="BW1174" s="510">
        <v>0</v>
      </c>
      <c r="BX1174" s="510">
        <v>0</v>
      </c>
      <c r="BY1174" s="1011">
        <v>0</v>
      </c>
      <c r="BZ1174" s="510">
        <v>0</v>
      </c>
      <c r="CA1174" s="1011">
        <v>0</v>
      </c>
      <c r="CB1174" s="510">
        <v>0</v>
      </c>
      <c r="CC1174" s="1011">
        <v>0</v>
      </c>
      <c r="CD1174" s="510">
        <v>0</v>
      </c>
      <c r="CE1174" s="1011">
        <v>0</v>
      </c>
      <c r="CF1174" s="510">
        <v>79804</v>
      </c>
      <c r="CG1174" s="1011">
        <v>0</v>
      </c>
      <c r="CH1174" s="510">
        <v>0</v>
      </c>
      <c r="CI1174" s="1011">
        <v>0</v>
      </c>
    </row>
    <row r="1175" spans="1:87" x14ac:dyDescent="0.2">
      <c r="A1175" s="449">
        <v>101</v>
      </c>
      <c r="B1175" s="453">
        <v>200238</v>
      </c>
      <c r="C1175" s="454" t="s">
        <v>9827</v>
      </c>
      <c r="D1175" s="454" t="s">
        <v>9686</v>
      </c>
      <c r="E1175" s="454" t="s">
        <v>9828</v>
      </c>
      <c r="F1175" s="454" t="s">
        <v>518</v>
      </c>
      <c r="G1175" s="454" t="s">
        <v>14261</v>
      </c>
      <c r="H1175" s="455">
        <v>23481291000182</v>
      </c>
      <c r="I1175" s="462">
        <v>42272</v>
      </c>
      <c r="J1175" s="457">
        <v>53689780</v>
      </c>
      <c r="K1175" s="454" t="s">
        <v>2857</v>
      </c>
      <c r="L1175" s="458">
        <v>2171</v>
      </c>
      <c r="M1175" s="454" t="s">
        <v>2858</v>
      </c>
      <c r="N1175" s="459">
        <v>8225380</v>
      </c>
      <c r="O1175" s="460">
        <v>33979050</v>
      </c>
      <c r="P1175" s="462">
        <v>50272</v>
      </c>
      <c r="Q1175" s="462">
        <v>102</v>
      </c>
      <c r="R1175" s="462">
        <v>43943</v>
      </c>
      <c r="S1175" s="463">
        <v>2809</v>
      </c>
      <c r="T1175" s="464">
        <v>5.4</v>
      </c>
      <c r="U1175" s="465">
        <v>15168.6</v>
      </c>
      <c r="V1175" s="465">
        <v>17400</v>
      </c>
      <c r="W1175" s="466">
        <v>0</v>
      </c>
      <c r="X1175" s="467">
        <v>1</v>
      </c>
      <c r="Y1175" s="466">
        <v>48852.9</v>
      </c>
      <c r="Z1175" s="468" t="s">
        <v>516</v>
      </c>
      <c r="AA1175" s="466">
        <v>133970.5</v>
      </c>
      <c r="AB1175" s="466">
        <v>133970.5</v>
      </c>
      <c r="AC1175" s="467">
        <v>0</v>
      </c>
      <c r="AD1175" s="466">
        <v>0</v>
      </c>
      <c r="AE1175" s="468" t="s">
        <v>516</v>
      </c>
      <c r="AF1175" s="466">
        <v>0</v>
      </c>
      <c r="AG1175" s="466">
        <v>0</v>
      </c>
      <c r="AH1175" s="466">
        <v>36145.65</v>
      </c>
      <c r="AI1175" s="466">
        <v>969.93</v>
      </c>
      <c r="AJ1175" s="469" t="s">
        <v>1674</v>
      </c>
      <c r="AK1175" s="470" t="s">
        <v>2859</v>
      </c>
      <c r="AL1175" s="471" t="s">
        <v>9829</v>
      </c>
      <c r="AM1175" s="470" t="s">
        <v>9830</v>
      </c>
      <c r="AN1175" s="470" t="s">
        <v>9831</v>
      </c>
      <c r="AO1175" s="470" t="s">
        <v>15042</v>
      </c>
      <c r="AP1175" s="470" t="s">
        <v>9832</v>
      </c>
      <c r="AQ1175" s="470" t="s">
        <v>9827</v>
      </c>
      <c r="AR1175" s="472" t="s">
        <v>515</v>
      </c>
      <c r="AS1175" s="473">
        <v>5.4</v>
      </c>
      <c r="AT1175" s="472" t="s">
        <v>9686</v>
      </c>
      <c r="AU1175" s="472" t="s">
        <v>420</v>
      </c>
      <c r="AV1175" s="472">
        <v>2020</v>
      </c>
      <c r="AW1175" s="474" t="s">
        <v>15078</v>
      </c>
      <c r="AX1175" s="475" t="s">
        <v>15079</v>
      </c>
      <c r="AY1175" s="515">
        <v>1</v>
      </c>
      <c r="AZ1175" s="474" t="s">
        <v>15079</v>
      </c>
      <c r="BA1175" s="472" t="s">
        <v>9686</v>
      </c>
      <c r="BB1175" s="472" t="s">
        <v>1385</v>
      </c>
      <c r="BC1175" s="472" t="s">
        <v>1385</v>
      </c>
      <c r="BD1175" s="472" t="s">
        <v>1385</v>
      </c>
      <c r="BE1175" s="472" t="s">
        <v>1385</v>
      </c>
      <c r="BF1175" s="472">
        <v>48852.9</v>
      </c>
      <c r="BG1175" s="472">
        <v>0</v>
      </c>
      <c r="BH1175" s="472" t="s">
        <v>1385</v>
      </c>
      <c r="BI1175" s="510">
        <v>0</v>
      </c>
      <c r="BJ1175" s="510">
        <v>0</v>
      </c>
      <c r="BK1175" s="510">
        <v>0</v>
      </c>
      <c r="BL1175" s="510">
        <v>0</v>
      </c>
      <c r="BM1175" s="510">
        <v>0</v>
      </c>
      <c r="BN1175" s="510">
        <v>0</v>
      </c>
      <c r="BO1175" s="510">
        <v>0</v>
      </c>
      <c r="BP1175" s="510">
        <v>0</v>
      </c>
      <c r="BQ1175" s="510">
        <v>0</v>
      </c>
      <c r="BR1175" s="510">
        <v>0</v>
      </c>
      <c r="BS1175" s="510">
        <v>0</v>
      </c>
      <c r="BT1175" s="510">
        <v>0</v>
      </c>
      <c r="BU1175" s="510">
        <v>0</v>
      </c>
      <c r="BV1175" s="510">
        <v>0</v>
      </c>
      <c r="BW1175" s="510">
        <v>0</v>
      </c>
      <c r="BX1175" s="510">
        <v>0</v>
      </c>
      <c r="BY1175" s="1011">
        <v>0</v>
      </c>
      <c r="BZ1175" s="510">
        <v>0</v>
      </c>
      <c r="CA1175" s="1011">
        <v>0</v>
      </c>
      <c r="CB1175" s="510">
        <v>0</v>
      </c>
      <c r="CC1175" s="1011">
        <v>0</v>
      </c>
      <c r="CD1175" s="510">
        <v>0</v>
      </c>
      <c r="CE1175" s="1011">
        <v>0</v>
      </c>
      <c r="CF1175" s="510">
        <v>85117.6</v>
      </c>
      <c r="CG1175" s="1011">
        <v>0</v>
      </c>
      <c r="CH1175" s="510">
        <v>0</v>
      </c>
      <c r="CI1175" s="1011">
        <v>0</v>
      </c>
    </row>
    <row r="1176" spans="1:87" x14ac:dyDescent="0.2">
      <c r="A1176" s="449">
        <v>181</v>
      </c>
      <c r="B1176" s="453">
        <v>200239</v>
      </c>
      <c r="C1176" s="454" t="s">
        <v>9833</v>
      </c>
      <c r="D1176" s="454" t="s">
        <v>9686</v>
      </c>
      <c r="E1176" s="454" t="s">
        <v>9834</v>
      </c>
      <c r="F1176" s="454" t="s">
        <v>520</v>
      </c>
      <c r="G1176" s="454" t="s">
        <v>14262</v>
      </c>
      <c r="H1176" s="455">
        <v>10928002000107</v>
      </c>
      <c r="I1176" s="462">
        <v>39945</v>
      </c>
      <c r="J1176" s="457">
        <v>53595807</v>
      </c>
      <c r="K1176" s="454" t="s">
        <v>9834</v>
      </c>
      <c r="L1176" s="458">
        <v>399</v>
      </c>
      <c r="M1176" s="454" t="s">
        <v>3637</v>
      </c>
      <c r="N1176" s="459">
        <v>5879000</v>
      </c>
      <c r="O1176" s="460">
        <v>33976551</v>
      </c>
      <c r="P1176" s="462">
        <v>309454</v>
      </c>
      <c r="Q1176" s="462">
        <v>192</v>
      </c>
      <c r="R1176" s="462">
        <v>43969</v>
      </c>
      <c r="S1176" s="463">
        <v>2213</v>
      </c>
      <c r="T1176" s="464">
        <v>5.4</v>
      </c>
      <c r="U1176" s="465">
        <v>11950.2</v>
      </c>
      <c r="V1176" s="465">
        <v>17400</v>
      </c>
      <c r="W1176" s="466">
        <v>0</v>
      </c>
      <c r="X1176" s="467">
        <v>1</v>
      </c>
      <c r="Y1176" s="466">
        <v>44025.3</v>
      </c>
      <c r="Z1176" s="468" t="s">
        <v>516</v>
      </c>
      <c r="AA1176" s="466">
        <v>123472.9</v>
      </c>
      <c r="AB1176" s="466">
        <v>123472.9</v>
      </c>
      <c r="AC1176" s="467">
        <v>0</v>
      </c>
      <c r="AD1176" s="466">
        <v>0</v>
      </c>
      <c r="AE1176" s="468" t="s">
        <v>516</v>
      </c>
      <c r="AF1176" s="466">
        <v>0</v>
      </c>
      <c r="AG1176" s="466">
        <v>0</v>
      </c>
      <c r="AH1176" s="466">
        <v>37438.620000000003</v>
      </c>
      <c r="AI1176" s="466">
        <v>8805.06</v>
      </c>
      <c r="AJ1176" s="469" t="s">
        <v>1489</v>
      </c>
      <c r="AK1176" s="470" t="s">
        <v>520</v>
      </c>
      <c r="AL1176" s="471" t="s">
        <v>9835</v>
      </c>
      <c r="AM1176" s="470" t="s">
        <v>14263</v>
      </c>
      <c r="AN1176" s="470" t="s">
        <v>9836</v>
      </c>
      <c r="AO1176" s="470" t="s">
        <v>9837</v>
      </c>
      <c r="AP1176" s="470" t="s">
        <v>9838</v>
      </c>
      <c r="AQ1176" s="470" t="s">
        <v>9833</v>
      </c>
      <c r="AR1176" s="472" t="s">
        <v>515</v>
      </c>
      <c r="AS1176" s="473">
        <v>5.4</v>
      </c>
      <c r="AT1176" s="472" t="s">
        <v>9686</v>
      </c>
      <c r="AU1176" s="472" t="s">
        <v>420</v>
      </c>
      <c r="AV1176" s="472">
        <v>2020</v>
      </c>
      <c r="AW1176" s="474" t="s">
        <v>15078</v>
      </c>
      <c r="AX1176" s="475" t="s">
        <v>15079</v>
      </c>
      <c r="AY1176" s="515">
        <v>1</v>
      </c>
      <c r="AZ1176" s="474" t="s">
        <v>15079</v>
      </c>
      <c r="BA1176" s="472" t="s">
        <v>9686</v>
      </c>
      <c r="BB1176" s="472" t="s">
        <v>1385</v>
      </c>
      <c r="BC1176" s="472" t="s">
        <v>1385</v>
      </c>
      <c r="BD1176" s="472" t="s">
        <v>1385</v>
      </c>
      <c r="BE1176" s="472" t="s">
        <v>1385</v>
      </c>
      <c r="BF1176" s="472">
        <v>44025.3</v>
      </c>
      <c r="BG1176" s="472">
        <v>0</v>
      </c>
      <c r="BH1176" s="472" t="s">
        <v>1385</v>
      </c>
      <c r="BI1176" s="510">
        <v>0</v>
      </c>
      <c r="BJ1176" s="510">
        <v>0</v>
      </c>
      <c r="BK1176" s="510">
        <v>0</v>
      </c>
      <c r="BL1176" s="510">
        <v>0</v>
      </c>
      <c r="BM1176" s="510">
        <v>0</v>
      </c>
      <c r="BN1176" s="510">
        <v>0</v>
      </c>
      <c r="BO1176" s="510">
        <v>0</v>
      </c>
      <c r="BP1176" s="510">
        <v>0</v>
      </c>
      <c r="BQ1176" s="510">
        <v>0</v>
      </c>
      <c r="BR1176" s="510">
        <v>0</v>
      </c>
      <c r="BS1176" s="510">
        <v>0</v>
      </c>
      <c r="BT1176" s="510">
        <v>0</v>
      </c>
      <c r="BU1176" s="510">
        <v>0</v>
      </c>
      <c r="BV1176" s="510">
        <v>0</v>
      </c>
      <c r="BW1176" s="510">
        <v>0</v>
      </c>
      <c r="BX1176" s="510">
        <v>0</v>
      </c>
      <c r="BY1176" s="1011">
        <v>0</v>
      </c>
      <c r="BZ1176" s="510">
        <v>0</v>
      </c>
      <c r="CA1176" s="1011">
        <v>0</v>
      </c>
      <c r="CB1176" s="510">
        <v>0</v>
      </c>
      <c r="CC1176" s="1011">
        <v>0</v>
      </c>
      <c r="CD1176" s="510">
        <v>0</v>
      </c>
      <c r="CE1176" s="1011">
        <v>0</v>
      </c>
      <c r="CF1176" s="510">
        <v>79447.600000000006</v>
      </c>
      <c r="CG1176" s="1011">
        <v>0</v>
      </c>
      <c r="CH1176" s="510">
        <v>0</v>
      </c>
      <c r="CI1176" s="1011">
        <v>0</v>
      </c>
    </row>
    <row r="1177" spans="1:87" x14ac:dyDescent="0.2">
      <c r="A1177" s="449">
        <v>105</v>
      </c>
      <c r="B1177" s="453">
        <v>200240</v>
      </c>
      <c r="C1177" s="454" t="s">
        <v>9839</v>
      </c>
      <c r="D1177" s="454" t="s">
        <v>9686</v>
      </c>
      <c r="E1177" s="454" t="s">
        <v>9840</v>
      </c>
      <c r="F1177" s="454" t="s">
        <v>521</v>
      </c>
      <c r="G1177" s="454" t="s">
        <v>14264</v>
      </c>
      <c r="H1177" s="455">
        <v>10682697000181</v>
      </c>
      <c r="I1177" s="462">
        <v>39629</v>
      </c>
      <c r="J1177" s="457">
        <v>41073827</v>
      </c>
      <c r="K1177" s="454" t="s">
        <v>3612</v>
      </c>
      <c r="L1177" s="458">
        <v>101</v>
      </c>
      <c r="M1177" s="454" t="s">
        <v>3613</v>
      </c>
      <c r="N1177" s="459">
        <v>4823090</v>
      </c>
      <c r="O1177" s="460">
        <v>56626512</v>
      </c>
      <c r="P1177" s="462">
        <v>88830</v>
      </c>
      <c r="Q1177" s="462">
        <v>98</v>
      </c>
      <c r="R1177" s="462">
        <v>43934</v>
      </c>
      <c r="S1177" s="463">
        <v>1858</v>
      </c>
      <c r="T1177" s="464">
        <v>5.4</v>
      </c>
      <c r="U1177" s="465">
        <v>10033.200000000001</v>
      </c>
      <c r="V1177" s="465">
        <v>17400</v>
      </c>
      <c r="W1177" s="466">
        <v>0</v>
      </c>
      <c r="X1177" s="467">
        <v>1</v>
      </c>
      <c r="Y1177" s="466">
        <v>41149.800000000003</v>
      </c>
      <c r="Z1177" s="468" t="s">
        <v>516</v>
      </c>
      <c r="AA1177" s="466">
        <v>118610.2</v>
      </c>
      <c r="AB1177" s="466">
        <v>118610.2</v>
      </c>
      <c r="AC1177" s="467">
        <v>0</v>
      </c>
      <c r="AD1177" s="466">
        <v>0</v>
      </c>
      <c r="AE1177" s="468" t="s">
        <v>516</v>
      </c>
      <c r="AF1177" s="466">
        <v>0</v>
      </c>
      <c r="AG1177" s="466">
        <v>0</v>
      </c>
      <c r="AH1177" s="466">
        <v>39907.360000000001</v>
      </c>
      <c r="AI1177" s="466">
        <v>23613.81</v>
      </c>
      <c r="AJ1177" s="469" t="s">
        <v>2546</v>
      </c>
      <c r="AK1177" s="470" t="s">
        <v>2966</v>
      </c>
      <c r="AL1177" s="471" t="s">
        <v>9841</v>
      </c>
      <c r="AM1177" s="470" t="s">
        <v>14265</v>
      </c>
      <c r="AN1177" s="470" t="s">
        <v>1385</v>
      </c>
      <c r="AO1177" s="470" t="s">
        <v>14956</v>
      </c>
      <c r="AP1177" s="470" t="s">
        <v>9842</v>
      </c>
      <c r="AQ1177" s="470" t="s">
        <v>9839</v>
      </c>
      <c r="AR1177" s="472" t="s">
        <v>515</v>
      </c>
      <c r="AS1177" s="473">
        <v>5.4</v>
      </c>
      <c r="AT1177" s="472" t="s">
        <v>9686</v>
      </c>
      <c r="AU1177" s="472" t="s">
        <v>420</v>
      </c>
      <c r="AV1177" s="472">
        <v>2020</v>
      </c>
      <c r="AW1177" s="474" t="s">
        <v>15078</v>
      </c>
      <c r="AX1177" s="475" t="s">
        <v>15079</v>
      </c>
      <c r="AY1177" s="515">
        <v>1</v>
      </c>
      <c r="AZ1177" s="474" t="s">
        <v>15079</v>
      </c>
      <c r="BA1177" s="472" t="s">
        <v>9686</v>
      </c>
      <c r="BB1177" s="472" t="s">
        <v>1385</v>
      </c>
      <c r="BC1177" s="472" t="s">
        <v>1385</v>
      </c>
      <c r="BD1177" s="472" t="s">
        <v>1385</v>
      </c>
      <c r="BE1177" s="472" t="s">
        <v>1385</v>
      </c>
      <c r="BF1177" s="472">
        <v>41149.800000000003</v>
      </c>
      <c r="BG1177" s="472">
        <v>0</v>
      </c>
      <c r="BH1177" s="472" t="s">
        <v>1385</v>
      </c>
      <c r="BI1177" s="510">
        <v>0</v>
      </c>
      <c r="BJ1177" s="510">
        <v>610.5</v>
      </c>
      <c r="BK1177" s="510">
        <v>0</v>
      </c>
      <c r="BL1177" s="510">
        <v>0</v>
      </c>
      <c r="BM1177" s="510">
        <v>0</v>
      </c>
      <c r="BN1177" s="510">
        <v>0</v>
      </c>
      <c r="BO1177" s="510">
        <v>0</v>
      </c>
      <c r="BP1177" s="510">
        <v>0</v>
      </c>
      <c r="BQ1177" s="510">
        <v>0</v>
      </c>
      <c r="BR1177" s="510">
        <v>0</v>
      </c>
      <c r="BS1177" s="510">
        <v>0</v>
      </c>
      <c r="BT1177" s="510">
        <v>0</v>
      </c>
      <c r="BU1177" s="510">
        <v>0</v>
      </c>
      <c r="BV1177" s="510">
        <v>0</v>
      </c>
      <c r="BW1177" s="510">
        <v>0</v>
      </c>
      <c r="BX1177" s="510">
        <v>0</v>
      </c>
      <c r="BY1177" s="1011">
        <v>0</v>
      </c>
      <c r="BZ1177" s="510">
        <v>0</v>
      </c>
      <c r="CA1177" s="1011">
        <v>0</v>
      </c>
      <c r="CB1177" s="510">
        <v>0</v>
      </c>
      <c r="CC1177" s="1011">
        <v>0</v>
      </c>
      <c r="CD1177" s="510">
        <v>0</v>
      </c>
      <c r="CE1177" s="1011">
        <v>0</v>
      </c>
      <c r="CF1177" s="510">
        <v>77460.399999999994</v>
      </c>
      <c r="CG1177" s="1011">
        <v>0</v>
      </c>
      <c r="CH1177" s="510">
        <v>0</v>
      </c>
      <c r="CI1177" s="1011">
        <v>0</v>
      </c>
    </row>
    <row r="1178" spans="1:87" x14ac:dyDescent="0.2">
      <c r="A1178" s="449">
        <v>104</v>
      </c>
      <c r="B1178" s="453">
        <v>200241</v>
      </c>
      <c r="C1178" s="454" t="s">
        <v>9843</v>
      </c>
      <c r="D1178" s="454" t="s">
        <v>9686</v>
      </c>
      <c r="E1178" s="454" t="s">
        <v>1536</v>
      </c>
      <c r="F1178" s="454" t="s">
        <v>525</v>
      </c>
      <c r="G1178" s="454" t="s">
        <v>14266</v>
      </c>
      <c r="H1178" s="455">
        <v>12505454000101</v>
      </c>
      <c r="I1178" s="462">
        <v>40346</v>
      </c>
      <c r="J1178" s="457">
        <v>47981180</v>
      </c>
      <c r="K1178" s="454" t="s">
        <v>3619</v>
      </c>
      <c r="L1178" s="458">
        <v>105</v>
      </c>
      <c r="M1178" s="454" t="s">
        <v>3620</v>
      </c>
      <c r="N1178" s="459">
        <v>2276000</v>
      </c>
      <c r="O1178" s="460">
        <v>33973950</v>
      </c>
      <c r="P1178" s="462">
        <v>336478</v>
      </c>
      <c r="Q1178" s="462">
        <v>104</v>
      </c>
      <c r="R1178" s="462">
        <v>43950</v>
      </c>
      <c r="S1178" s="463">
        <v>2376</v>
      </c>
      <c r="T1178" s="464">
        <v>5.4</v>
      </c>
      <c r="U1178" s="465">
        <v>12830.4</v>
      </c>
      <c r="V1178" s="465">
        <v>17400</v>
      </c>
      <c r="W1178" s="466">
        <v>0</v>
      </c>
      <c r="X1178" s="467">
        <v>1</v>
      </c>
      <c r="Y1178" s="466">
        <v>0</v>
      </c>
      <c r="Z1178" s="468" t="s">
        <v>514</v>
      </c>
      <c r="AA1178" s="466">
        <v>0</v>
      </c>
      <c r="AB1178" s="466">
        <v>0</v>
      </c>
      <c r="AC1178" s="467">
        <v>0</v>
      </c>
      <c r="AD1178" s="466">
        <v>0</v>
      </c>
      <c r="AE1178" s="468" t="s">
        <v>516</v>
      </c>
      <c r="AF1178" s="466">
        <v>0</v>
      </c>
      <c r="AG1178" s="466">
        <v>0</v>
      </c>
      <c r="AH1178" s="466">
        <v>0</v>
      </c>
      <c r="AI1178" s="466">
        <v>0</v>
      </c>
      <c r="AJ1178" s="469" t="s">
        <v>1448</v>
      </c>
      <c r="AK1178" s="470" t="s">
        <v>1449</v>
      </c>
      <c r="AL1178" s="471" t="s">
        <v>9844</v>
      </c>
      <c r="AM1178" s="470" t="s">
        <v>9845</v>
      </c>
      <c r="AN1178" s="470" t="s">
        <v>9846</v>
      </c>
      <c r="AO1178" s="470" t="s">
        <v>9847</v>
      </c>
      <c r="AP1178" s="470" t="s">
        <v>3625</v>
      </c>
      <c r="AQ1178" s="470" t="s">
        <v>9843</v>
      </c>
      <c r="AR1178" s="472" t="s">
        <v>515</v>
      </c>
      <c r="AS1178" s="473">
        <v>5.4</v>
      </c>
      <c r="AT1178" s="472" t="s">
        <v>9686</v>
      </c>
      <c r="AU1178" s="472" t="s">
        <v>420</v>
      </c>
      <c r="AV1178" s="472">
        <v>2020</v>
      </c>
      <c r="AW1178" s="474" t="s">
        <v>15078</v>
      </c>
      <c r="AX1178" s="475" t="s">
        <v>15079</v>
      </c>
      <c r="AY1178" s="515">
        <v>1</v>
      </c>
      <c r="AZ1178" s="474" t="s">
        <v>15079</v>
      </c>
      <c r="BA1178" s="472" t="s">
        <v>1385</v>
      </c>
      <c r="BB1178" s="472" t="s">
        <v>1385</v>
      </c>
      <c r="BC1178" s="472" t="s">
        <v>1385</v>
      </c>
      <c r="BD1178" s="472" t="s">
        <v>1385</v>
      </c>
      <c r="BE1178" s="472" t="s">
        <v>1385</v>
      </c>
      <c r="BF1178" s="472">
        <v>45345.599999999999</v>
      </c>
      <c r="BG1178" s="472">
        <v>0</v>
      </c>
      <c r="BH1178" s="472" t="s">
        <v>516</v>
      </c>
      <c r="BI1178" s="510">
        <v>0</v>
      </c>
      <c r="BJ1178" s="510">
        <v>0</v>
      </c>
      <c r="BK1178" s="510">
        <v>0</v>
      </c>
      <c r="BL1178" s="510">
        <v>0</v>
      </c>
      <c r="BM1178" s="510">
        <v>0</v>
      </c>
      <c r="BN1178" s="510">
        <v>0</v>
      </c>
      <c r="BO1178" s="510">
        <v>0</v>
      </c>
      <c r="BP1178" s="510">
        <v>0</v>
      </c>
      <c r="BQ1178" s="510">
        <v>0</v>
      </c>
      <c r="BR1178" s="510">
        <v>0</v>
      </c>
      <c r="BS1178" s="510">
        <v>0</v>
      </c>
      <c r="BT1178" s="510">
        <v>0</v>
      </c>
      <c r="BU1178" s="510">
        <v>0</v>
      </c>
      <c r="BV1178" s="510">
        <v>0</v>
      </c>
      <c r="BW1178" s="510">
        <v>0</v>
      </c>
      <c r="BX1178" s="510">
        <v>0</v>
      </c>
      <c r="BY1178" s="1011">
        <v>0</v>
      </c>
      <c r="BZ1178" s="510">
        <v>0</v>
      </c>
      <c r="CA1178" s="1011">
        <v>0</v>
      </c>
      <c r="CB1178" s="510">
        <v>0</v>
      </c>
      <c r="CC1178" s="1011">
        <v>0</v>
      </c>
      <c r="CD1178" s="510">
        <v>0</v>
      </c>
      <c r="CE1178" s="1011">
        <v>0</v>
      </c>
      <c r="CF1178" s="510">
        <v>0</v>
      </c>
      <c r="CG1178" s="1011">
        <v>0</v>
      </c>
      <c r="CH1178" s="510">
        <v>0</v>
      </c>
      <c r="CI1178" s="1011">
        <v>0</v>
      </c>
    </row>
    <row r="1179" spans="1:87" x14ac:dyDescent="0.2">
      <c r="A1179" s="449">
        <v>182</v>
      </c>
      <c r="B1179" s="453">
        <v>200243</v>
      </c>
      <c r="C1179" s="454" t="s">
        <v>9848</v>
      </c>
      <c r="D1179" s="454" t="s">
        <v>9686</v>
      </c>
      <c r="E1179" s="454" t="s">
        <v>9849</v>
      </c>
      <c r="F1179" s="454" t="s">
        <v>520</v>
      </c>
      <c r="G1179" s="454" t="s">
        <v>14267</v>
      </c>
      <c r="H1179" s="455">
        <v>12228966000160</v>
      </c>
      <c r="I1179" s="462">
        <v>40353</v>
      </c>
      <c r="J1179" s="457">
        <v>53539753</v>
      </c>
      <c r="K1179" s="454" t="s">
        <v>3746</v>
      </c>
      <c r="L1179" s="458">
        <v>1120</v>
      </c>
      <c r="M1179" s="454" t="s">
        <v>3747</v>
      </c>
      <c r="N1179" s="459">
        <v>4941175</v>
      </c>
      <c r="O1179" s="460">
        <v>58336317</v>
      </c>
      <c r="P1179" s="462">
        <v>309462</v>
      </c>
      <c r="Q1179" s="462">
        <v>193</v>
      </c>
      <c r="R1179" s="462">
        <v>43983</v>
      </c>
      <c r="S1179" s="463">
        <v>1784</v>
      </c>
      <c r="T1179" s="464">
        <v>5.4</v>
      </c>
      <c r="U1179" s="465">
        <v>9633.6</v>
      </c>
      <c r="V1179" s="465">
        <v>17400</v>
      </c>
      <c r="W1179" s="466">
        <v>0</v>
      </c>
      <c r="X1179" s="467">
        <v>1</v>
      </c>
      <c r="Y1179" s="466">
        <v>40550.400000000001</v>
      </c>
      <c r="Z1179" s="468" t="s">
        <v>516</v>
      </c>
      <c r="AA1179" s="466">
        <v>117308.8</v>
      </c>
      <c r="AB1179" s="466">
        <v>117308.8</v>
      </c>
      <c r="AC1179" s="467">
        <v>0</v>
      </c>
      <c r="AD1179" s="466">
        <v>0</v>
      </c>
      <c r="AE1179" s="468" t="s">
        <v>516</v>
      </c>
      <c r="AF1179" s="466">
        <v>0</v>
      </c>
      <c r="AG1179" s="466">
        <v>0</v>
      </c>
      <c r="AH1179" s="466">
        <v>22064</v>
      </c>
      <c r="AI1179" s="466">
        <v>1032.55</v>
      </c>
      <c r="AJ1179" s="469" t="s">
        <v>9850</v>
      </c>
      <c r="AK1179" s="470" t="s">
        <v>9851</v>
      </c>
      <c r="AL1179" s="471" t="s">
        <v>9852</v>
      </c>
      <c r="AM1179" s="470" t="s">
        <v>9853</v>
      </c>
      <c r="AN1179" s="470" t="s">
        <v>9854</v>
      </c>
      <c r="AO1179" s="470" t="s">
        <v>9855</v>
      </c>
      <c r="AP1179" s="470" t="s">
        <v>9849</v>
      </c>
      <c r="AQ1179" s="470" t="s">
        <v>9848</v>
      </c>
      <c r="AR1179" s="472" t="s">
        <v>515</v>
      </c>
      <c r="AS1179" s="473">
        <v>5.4</v>
      </c>
      <c r="AT1179" s="472" t="s">
        <v>9686</v>
      </c>
      <c r="AU1179" s="472" t="s">
        <v>420</v>
      </c>
      <c r="AV1179" s="472">
        <v>2020</v>
      </c>
      <c r="AW1179" s="474" t="s">
        <v>15078</v>
      </c>
      <c r="AX1179" s="475" t="s">
        <v>15079</v>
      </c>
      <c r="AY1179" s="515">
        <v>1</v>
      </c>
      <c r="AZ1179" s="474" t="s">
        <v>15079</v>
      </c>
      <c r="BA1179" s="472" t="s">
        <v>9686</v>
      </c>
      <c r="BB1179" s="472" t="s">
        <v>1385</v>
      </c>
      <c r="BC1179" s="472" t="s">
        <v>1385</v>
      </c>
      <c r="BD1179" s="472" t="s">
        <v>1385</v>
      </c>
      <c r="BE1179" s="472" t="s">
        <v>1385</v>
      </c>
      <c r="BF1179" s="472">
        <v>40550.400000000001</v>
      </c>
      <c r="BG1179" s="472">
        <v>0</v>
      </c>
      <c r="BH1179" s="472" t="s">
        <v>1385</v>
      </c>
      <c r="BI1179" s="510">
        <v>0</v>
      </c>
      <c r="BJ1179" s="510">
        <v>27</v>
      </c>
      <c r="BK1179" s="510">
        <v>0</v>
      </c>
      <c r="BL1179" s="510">
        <v>0</v>
      </c>
      <c r="BM1179" s="510">
        <v>0</v>
      </c>
      <c r="BN1179" s="510">
        <v>0</v>
      </c>
      <c r="BO1179" s="510">
        <v>0</v>
      </c>
      <c r="BP1179" s="510">
        <v>0</v>
      </c>
      <c r="BQ1179" s="510">
        <v>0</v>
      </c>
      <c r="BR1179" s="510">
        <v>0</v>
      </c>
      <c r="BS1179" s="510">
        <v>0</v>
      </c>
      <c r="BT1179" s="510">
        <v>0</v>
      </c>
      <c r="BU1179" s="510">
        <v>0</v>
      </c>
      <c r="BV1179" s="510">
        <v>0</v>
      </c>
      <c r="BW1179" s="510">
        <v>0</v>
      </c>
      <c r="BX1179" s="510">
        <v>0</v>
      </c>
      <c r="BY1179" s="1011">
        <v>0</v>
      </c>
      <c r="BZ1179" s="510">
        <v>0</v>
      </c>
      <c r="CA1179" s="1011">
        <v>0</v>
      </c>
      <c r="CB1179" s="510">
        <v>0</v>
      </c>
      <c r="CC1179" s="1011">
        <v>0</v>
      </c>
      <c r="CD1179" s="510">
        <v>0</v>
      </c>
      <c r="CE1179" s="1011">
        <v>0</v>
      </c>
      <c r="CF1179" s="510">
        <v>76758.399999999994</v>
      </c>
      <c r="CG1179" s="1011">
        <v>0</v>
      </c>
      <c r="CH1179" s="510">
        <v>0</v>
      </c>
      <c r="CI1179" s="1011">
        <v>0</v>
      </c>
    </row>
    <row r="1180" spans="1:87" x14ac:dyDescent="0.2">
      <c r="A1180" s="449">
        <v>178</v>
      </c>
      <c r="B1180" s="453">
        <v>200244</v>
      </c>
      <c r="C1180" s="454" t="s">
        <v>9856</v>
      </c>
      <c r="D1180" s="454" t="s">
        <v>9686</v>
      </c>
      <c r="E1180" s="454" t="s">
        <v>3760</v>
      </c>
      <c r="F1180" s="454" t="s">
        <v>520</v>
      </c>
      <c r="G1180" s="454" t="s">
        <v>14268</v>
      </c>
      <c r="H1180" s="455">
        <v>12121675000178</v>
      </c>
      <c r="I1180" s="462">
        <v>40340</v>
      </c>
      <c r="J1180" s="457">
        <v>53672821</v>
      </c>
      <c r="K1180" s="454" t="s">
        <v>9858</v>
      </c>
      <c r="L1180" s="458" t="s">
        <v>1446</v>
      </c>
      <c r="M1180" s="454" t="s">
        <v>3756</v>
      </c>
      <c r="N1180" s="459">
        <v>5856020</v>
      </c>
      <c r="O1180" s="460">
        <v>33979720</v>
      </c>
      <c r="P1180" s="462">
        <v>309390</v>
      </c>
      <c r="Q1180" s="462">
        <v>189</v>
      </c>
      <c r="R1180" s="462">
        <v>43979</v>
      </c>
      <c r="S1180" s="463">
        <v>2495</v>
      </c>
      <c r="T1180" s="464">
        <v>5.4</v>
      </c>
      <c r="U1180" s="465">
        <v>13473</v>
      </c>
      <c r="V1180" s="465">
        <v>17400</v>
      </c>
      <c r="W1180" s="466">
        <v>0</v>
      </c>
      <c r="X1180" s="467">
        <v>1</v>
      </c>
      <c r="Y1180" s="466">
        <v>46309.5</v>
      </c>
      <c r="Z1180" s="468" t="s">
        <v>516</v>
      </c>
      <c r="AA1180" s="466">
        <v>130552.3</v>
      </c>
      <c r="AB1180" s="466">
        <v>130552.3</v>
      </c>
      <c r="AC1180" s="467">
        <v>0</v>
      </c>
      <c r="AD1180" s="466">
        <v>0</v>
      </c>
      <c r="AE1180" s="468" t="s">
        <v>516</v>
      </c>
      <c r="AF1180" s="466">
        <v>0</v>
      </c>
      <c r="AG1180" s="466">
        <v>0</v>
      </c>
      <c r="AH1180" s="466">
        <v>44770.7</v>
      </c>
      <c r="AI1180" s="466">
        <v>5816.2</v>
      </c>
      <c r="AJ1180" s="469" t="s">
        <v>1489</v>
      </c>
      <c r="AK1180" s="470" t="s">
        <v>520</v>
      </c>
      <c r="AL1180" s="471" t="s">
        <v>9859</v>
      </c>
      <c r="AM1180" s="470" t="s">
        <v>9860</v>
      </c>
      <c r="AN1180" s="470" t="s">
        <v>9857</v>
      </c>
      <c r="AO1180" s="470" t="s">
        <v>9861</v>
      </c>
      <c r="AP1180" s="470" t="s">
        <v>3760</v>
      </c>
      <c r="AQ1180" s="470" t="s">
        <v>9856</v>
      </c>
      <c r="AR1180" s="472" t="s">
        <v>515</v>
      </c>
      <c r="AS1180" s="473">
        <v>5.4</v>
      </c>
      <c r="AT1180" s="472" t="s">
        <v>9686</v>
      </c>
      <c r="AU1180" s="472" t="s">
        <v>420</v>
      </c>
      <c r="AV1180" s="472">
        <v>2020</v>
      </c>
      <c r="AW1180" s="474" t="s">
        <v>15078</v>
      </c>
      <c r="AX1180" s="475" t="s">
        <v>15079</v>
      </c>
      <c r="AY1180" s="515">
        <v>1</v>
      </c>
      <c r="AZ1180" s="474" t="s">
        <v>15079</v>
      </c>
      <c r="BA1180" s="472" t="s">
        <v>9686</v>
      </c>
      <c r="BB1180" s="472" t="s">
        <v>1385</v>
      </c>
      <c r="BC1180" s="472" t="s">
        <v>1385</v>
      </c>
      <c r="BD1180" s="472" t="s">
        <v>1385</v>
      </c>
      <c r="BE1180" s="472" t="s">
        <v>1385</v>
      </c>
      <c r="BF1180" s="472">
        <v>46309.5</v>
      </c>
      <c r="BG1180" s="472">
        <v>0</v>
      </c>
      <c r="BH1180" s="472" t="s">
        <v>1385</v>
      </c>
      <c r="BI1180" s="510">
        <v>0</v>
      </c>
      <c r="BJ1180" s="510">
        <v>306.39999999999998</v>
      </c>
      <c r="BK1180" s="510">
        <v>0</v>
      </c>
      <c r="BL1180" s="510">
        <v>0</v>
      </c>
      <c r="BM1180" s="510">
        <v>0</v>
      </c>
      <c r="BN1180" s="510">
        <v>0</v>
      </c>
      <c r="BO1180" s="510">
        <v>0</v>
      </c>
      <c r="BP1180" s="510">
        <v>0</v>
      </c>
      <c r="BQ1180" s="510">
        <v>0</v>
      </c>
      <c r="BR1180" s="510">
        <v>0</v>
      </c>
      <c r="BS1180" s="510">
        <v>0</v>
      </c>
      <c r="BT1180" s="510">
        <v>0</v>
      </c>
      <c r="BU1180" s="510">
        <v>0</v>
      </c>
      <c r="BV1180" s="510">
        <v>0</v>
      </c>
      <c r="BW1180" s="510">
        <v>0</v>
      </c>
      <c r="BX1180" s="510">
        <v>0</v>
      </c>
      <c r="BY1180" s="1011">
        <v>0</v>
      </c>
      <c r="BZ1180" s="510">
        <v>0</v>
      </c>
      <c r="CA1180" s="1011">
        <v>0</v>
      </c>
      <c r="CB1180" s="510">
        <v>0</v>
      </c>
      <c r="CC1180" s="1011">
        <v>0</v>
      </c>
      <c r="CD1180" s="510">
        <v>0</v>
      </c>
      <c r="CE1180" s="1011">
        <v>0</v>
      </c>
      <c r="CF1180" s="510">
        <v>84242.8</v>
      </c>
      <c r="CG1180" s="1011">
        <v>0</v>
      </c>
      <c r="CH1180" s="510">
        <v>0</v>
      </c>
      <c r="CI1180" s="1011">
        <v>0</v>
      </c>
    </row>
    <row r="1181" spans="1:87" x14ac:dyDescent="0.2">
      <c r="A1181" s="449">
        <v>184</v>
      </c>
      <c r="B1181" s="453">
        <v>200245</v>
      </c>
      <c r="C1181" s="454" t="s">
        <v>9862</v>
      </c>
      <c r="D1181" s="454" t="s">
        <v>9686</v>
      </c>
      <c r="E1181" s="454" t="s">
        <v>3765</v>
      </c>
      <c r="F1181" s="454" t="s">
        <v>520</v>
      </c>
      <c r="G1181" s="454" t="s">
        <v>14269</v>
      </c>
      <c r="H1181" s="455">
        <v>20282443000120</v>
      </c>
      <c r="I1181" s="462">
        <v>40375</v>
      </c>
      <c r="J1181" s="457">
        <v>54378656</v>
      </c>
      <c r="K1181" s="454" t="s">
        <v>3764</v>
      </c>
      <c r="L1181" s="458">
        <v>369</v>
      </c>
      <c r="M1181" s="454" t="s">
        <v>3765</v>
      </c>
      <c r="N1181" s="459">
        <v>4962000</v>
      </c>
      <c r="O1181" s="460">
        <v>58465450</v>
      </c>
      <c r="P1181" s="462">
        <v>309497</v>
      </c>
      <c r="Q1181" s="462">
        <v>195</v>
      </c>
      <c r="R1181" s="462">
        <v>43979</v>
      </c>
      <c r="S1181" s="463">
        <v>2928</v>
      </c>
      <c r="T1181" s="464">
        <v>5.4</v>
      </c>
      <c r="U1181" s="465">
        <v>15811.2</v>
      </c>
      <c r="V1181" s="465">
        <v>17400</v>
      </c>
      <c r="W1181" s="466">
        <v>0</v>
      </c>
      <c r="X1181" s="467">
        <v>1</v>
      </c>
      <c r="Y1181" s="466">
        <v>49816.800000000003</v>
      </c>
      <c r="Z1181" s="468" t="s">
        <v>516</v>
      </c>
      <c r="AA1181" s="466">
        <v>139060</v>
      </c>
      <c r="AB1181" s="466">
        <v>139060</v>
      </c>
      <c r="AC1181" s="467">
        <v>0</v>
      </c>
      <c r="AD1181" s="466">
        <v>0</v>
      </c>
      <c r="AE1181" s="468" t="s">
        <v>516</v>
      </c>
      <c r="AF1181" s="466">
        <v>0</v>
      </c>
      <c r="AG1181" s="466">
        <v>0</v>
      </c>
      <c r="AH1181" s="466">
        <v>34570.28</v>
      </c>
      <c r="AI1181" s="466">
        <v>18460.509999999998</v>
      </c>
      <c r="AJ1181" s="469" t="s">
        <v>2755</v>
      </c>
      <c r="AK1181" s="470" t="s">
        <v>3748</v>
      </c>
      <c r="AL1181" s="471" t="s">
        <v>9863</v>
      </c>
      <c r="AM1181" s="470" t="s">
        <v>9864</v>
      </c>
      <c r="AN1181" s="470" t="s">
        <v>9865</v>
      </c>
      <c r="AO1181" s="470" t="s">
        <v>9866</v>
      </c>
      <c r="AP1181" s="470" t="s">
        <v>3765</v>
      </c>
      <c r="AQ1181" s="470" t="s">
        <v>9862</v>
      </c>
      <c r="AR1181" s="472" t="s">
        <v>515</v>
      </c>
      <c r="AS1181" s="473">
        <v>5.4</v>
      </c>
      <c r="AT1181" s="472" t="s">
        <v>9686</v>
      </c>
      <c r="AU1181" s="472" t="s">
        <v>420</v>
      </c>
      <c r="AV1181" s="472">
        <v>2020</v>
      </c>
      <c r="AW1181" s="474" t="s">
        <v>15078</v>
      </c>
      <c r="AX1181" s="475" t="s">
        <v>15079</v>
      </c>
      <c r="AY1181" s="515">
        <v>1</v>
      </c>
      <c r="AZ1181" s="474" t="s">
        <v>15079</v>
      </c>
      <c r="BA1181" s="472" t="s">
        <v>9686</v>
      </c>
      <c r="BB1181" s="472" t="s">
        <v>1385</v>
      </c>
      <c r="BC1181" s="472" t="s">
        <v>1385</v>
      </c>
      <c r="BD1181" s="472" t="s">
        <v>1385</v>
      </c>
      <c r="BE1181" s="472" t="s">
        <v>1385</v>
      </c>
      <c r="BF1181" s="472">
        <v>49816.800000000003</v>
      </c>
      <c r="BG1181" s="472">
        <v>0</v>
      </c>
      <c r="BH1181" s="472" t="s">
        <v>1385</v>
      </c>
      <c r="BI1181" s="510">
        <v>0</v>
      </c>
      <c r="BJ1181" s="510">
        <v>0</v>
      </c>
      <c r="BK1181" s="510">
        <v>0</v>
      </c>
      <c r="BL1181" s="510">
        <v>0</v>
      </c>
      <c r="BM1181" s="510">
        <v>0</v>
      </c>
      <c r="BN1181" s="510">
        <v>0</v>
      </c>
      <c r="BO1181" s="510">
        <v>0</v>
      </c>
      <c r="BP1181" s="510">
        <v>0</v>
      </c>
      <c r="BQ1181" s="510">
        <v>0</v>
      </c>
      <c r="BR1181" s="510">
        <v>0</v>
      </c>
      <c r="BS1181" s="510">
        <v>0</v>
      </c>
      <c r="BT1181" s="510">
        <v>0</v>
      </c>
      <c r="BU1181" s="510">
        <v>0</v>
      </c>
      <c r="BV1181" s="510">
        <v>0</v>
      </c>
      <c r="BW1181" s="510">
        <v>0</v>
      </c>
      <c r="BX1181" s="510">
        <v>0</v>
      </c>
      <c r="BY1181" s="1011">
        <v>0</v>
      </c>
      <c r="BZ1181" s="510">
        <v>0</v>
      </c>
      <c r="CA1181" s="1011">
        <v>0</v>
      </c>
      <c r="CB1181" s="510">
        <v>0</v>
      </c>
      <c r="CC1181" s="1011">
        <v>0</v>
      </c>
      <c r="CD1181" s="510">
        <v>0</v>
      </c>
      <c r="CE1181" s="1011">
        <v>0</v>
      </c>
      <c r="CF1181" s="510">
        <v>89243.199999999997</v>
      </c>
      <c r="CG1181" s="1011">
        <v>0</v>
      </c>
      <c r="CH1181" s="510">
        <v>0</v>
      </c>
      <c r="CI1181" s="1011">
        <v>0</v>
      </c>
    </row>
    <row r="1182" spans="1:87" x14ac:dyDescent="0.2">
      <c r="A1182" s="449">
        <v>92</v>
      </c>
      <c r="B1182" s="453">
        <v>200246</v>
      </c>
      <c r="C1182" s="454" t="s">
        <v>9867</v>
      </c>
      <c r="D1182" s="454" t="s">
        <v>9686</v>
      </c>
      <c r="E1182" s="454" t="s">
        <v>9868</v>
      </c>
      <c r="F1182" s="454" t="s">
        <v>522</v>
      </c>
      <c r="G1182" s="454" t="s">
        <v>14270</v>
      </c>
      <c r="H1182" s="455">
        <v>12125377000156</v>
      </c>
      <c r="I1182" s="462">
        <v>40315</v>
      </c>
      <c r="J1182" s="457">
        <v>41051920</v>
      </c>
      <c r="K1182" s="454" t="s">
        <v>3771</v>
      </c>
      <c r="L1182" s="458" t="s">
        <v>1446</v>
      </c>
      <c r="M1182" s="454" t="s">
        <v>3772</v>
      </c>
      <c r="N1182" s="459">
        <v>2814000</v>
      </c>
      <c r="O1182" s="460">
        <v>33975410</v>
      </c>
      <c r="P1182" s="462">
        <v>75267</v>
      </c>
      <c r="Q1182" s="462">
        <v>93</v>
      </c>
      <c r="R1182" s="462">
        <v>43911</v>
      </c>
      <c r="S1182" s="463">
        <v>2506</v>
      </c>
      <c r="T1182" s="464">
        <v>5.4</v>
      </c>
      <c r="U1182" s="465">
        <v>13532.4</v>
      </c>
      <c r="V1182" s="465">
        <v>17400</v>
      </c>
      <c r="W1182" s="466">
        <v>0</v>
      </c>
      <c r="X1182" s="467">
        <v>1</v>
      </c>
      <c r="Y1182" s="466">
        <v>46398</v>
      </c>
      <c r="Z1182" s="468" t="s">
        <v>516</v>
      </c>
      <c r="AA1182" s="466">
        <v>46398</v>
      </c>
      <c r="AB1182" s="466">
        <v>46398</v>
      </c>
      <c r="AC1182" s="467">
        <v>0</v>
      </c>
      <c r="AD1182" s="466">
        <v>0</v>
      </c>
      <c r="AE1182" s="468" t="s">
        <v>516</v>
      </c>
      <c r="AF1182" s="466">
        <v>0</v>
      </c>
      <c r="AG1182" s="466">
        <v>0</v>
      </c>
      <c r="AH1182" s="466">
        <v>179.86</v>
      </c>
      <c r="AI1182" s="466">
        <v>9867.89</v>
      </c>
      <c r="AJ1182" s="469" t="s">
        <v>1438</v>
      </c>
      <c r="AK1182" s="470" t="s">
        <v>1437</v>
      </c>
      <c r="AL1182" s="471" t="s">
        <v>9869</v>
      </c>
      <c r="AM1182" s="470" t="s">
        <v>14271</v>
      </c>
      <c r="AN1182" s="470" t="s">
        <v>1385</v>
      </c>
      <c r="AO1182" s="470" t="s">
        <v>3818</v>
      </c>
      <c r="AP1182" s="470" t="s">
        <v>3772</v>
      </c>
      <c r="AQ1182" s="470" t="s">
        <v>9867</v>
      </c>
      <c r="AR1182" s="472" t="s">
        <v>515</v>
      </c>
      <c r="AS1182" s="473">
        <v>5.4</v>
      </c>
      <c r="AT1182" s="472" t="s">
        <v>9686</v>
      </c>
      <c r="AU1182" s="472" t="s">
        <v>420</v>
      </c>
      <c r="AV1182" s="472">
        <v>2020</v>
      </c>
      <c r="AW1182" s="474" t="s">
        <v>15078</v>
      </c>
      <c r="AX1182" s="475" t="s">
        <v>15079</v>
      </c>
      <c r="AY1182" s="515">
        <v>1</v>
      </c>
      <c r="AZ1182" s="474" t="s">
        <v>15079</v>
      </c>
      <c r="BA1182" s="472" t="s">
        <v>9686</v>
      </c>
      <c r="BB1182" s="472" t="s">
        <v>1385</v>
      </c>
      <c r="BC1182" s="472" t="s">
        <v>1385</v>
      </c>
      <c r="BD1182" s="472" t="s">
        <v>1385</v>
      </c>
      <c r="BE1182" s="472" t="s">
        <v>1385</v>
      </c>
      <c r="BF1182" s="472">
        <v>46398.6</v>
      </c>
      <c r="BG1182" s="472">
        <v>0</v>
      </c>
      <c r="BH1182" s="472" t="s">
        <v>516</v>
      </c>
      <c r="BI1182" s="510">
        <v>0</v>
      </c>
      <c r="BJ1182" s="510">
        <v>0</v>
      </c>
      <c r="BK1182" s="510">
        <v>0</v>
      </c>
      <c r="BL1182" s="510">
        <v>0</v>
      </c>
      <c r="BM1182" s="510">
        <v>0</v>
      </c>
      <c r="BN1182" s="510">
        <v>0</v>
      </c>
      <c r="BO1182" s="510">
        <v>0</v>
      </c>
      <c r="BP1182" s="510">
        <v>0</v>
      </c>
      <c r="BQ1182" s="510">
        <v>0</v>
      </c>
      <c r="BR1182" s="510">
        <v>0</v>
      </c>
      <c r="BS1182" s="510">
        <v>0</v>
      </c>
      <c r="BT1182" s="510">
        <v>0</v>
      </c>
      <c r="BU1182" s="510">
        <v>0</v>
      </c>
      <c r="BV1182" s="510">
        <v>0</v>
      </c>
      <c r="BW1182" s="510">
        <v>0</v>
      </c>
      <c r="BX1182" s="510">
        <v>0</v>
      </c>
      <c r="BY1182" s="1011">
        <v>0</v>
      </c>
      <c r="BZ1182" s="510">
        <v>0</v>
      </c>
      <c r="CA1182" s="1011">
        <v>0</v>
      </c>
      <c r="CB1182" s="510">
        <v>0</v>
      </c>
      <c r="CC1182" s="1011">
        <v>0</v>
      </c>
      <c r="CD1182" s="510">
        <v>0</v>
      </c>
      <c r="CE1182" s="1011">
        <v>0</v>
      </c>
      <c r="CF1182" s="510">
        <v>0</v>
      </c>
      <c r="CG1182" s="1011">
        <v>0</v>
      </c>
      <c r="CH1182" s="510">
        <v>0</v>
      </c>
      <c r="CI1182" s="1011">
        <v>0</v>
      </c>
    </row>
    <row r="1183" spans="1:87" x14ac:dyDescent="0.2">
      <c r="A1183" s="449">
        <v>103</v>
      </c>
      <c r="B1183" s="453">
        <v>200247</v>
      </c>
      <c r="C1183" s="454" t="s">
        <v>9870</v>
      </c>
      <c r="D1183" s="454" t="s">
        <v>9686</v>
      </c>
      <c r="E1183" s="454" t="s">
        <v>3510</v>
      </c>
      <c r="F1183" s="454" t="s">
        <v>523</v>
      </c>
      <c r="G1183" s="454" t="s">
        <v>14272</v>
      </c>
      <c r="H1183" s="455">
        <v>12032158000122</v>
      </c>
      <c r="I1183" s="462">
        <v>40323</v>
      </c>
      <c r="J1183" s="457">
        <v>41316100</v>
      </c>
      <c r="K1183" s="454" t="s">
        <v>3471</v>
      </c>
      <c r="L1183" s="458">
        <v>293</v>
      </c>
      <c r="M1183" s="454" t="s">
        <v>3510</v>
      </c>
      <c r="N1183" s="459">
        <v>8451420</v>
      </c>
      <c r="O1183" s="460">
        <v>29602055</v>
      </c>
      <c r="P1183" s="462">
        <v>261680</v>
      </c>
      <c r="Q1183" s="462">
        <v>103</v>
      </c>
      <c r="R1183" s="462">
        <v>43921</v>
      </c>
      <c r="S1183" s="463">
        <v>2305</v>
      </c>
      <c r="T1183" s="464">
        <v>5.4</v>
      </c>
      <c r="U1183" s="465">
        <v>12447</v>
      </c>
      <c r="V1183" s="465">
        <v>17400</v>
      </c>
      <c r="W1183" s="466">
        <v>0</v>
      </c>
      <c r="X1183" s="467">
        <v>1</v>
      </c>
      <c r="Y1183" s="466">
        <v>44770.5</v>
      </c>
      <c r="Z1183" s="468" t="s">
        <v>516</v>
      </c>
      <c r="AA1183" s="466">
        <v>121971.7</v>
      </c>
      <c r="AB1183" s="466">
        <v>121971.7</v>
      </c>
      <c r="AC1183" s="467">
        <v>0</v>
      </c>
      <c r="AD1183" s="466">
        <v>0</v>
      </c>
      <c r="AE1183" s="468" t="s">
        <v>516</v>
      </c>
      <c r="AF1183" s="466">
        <v>0</v>
      </c>
      <c r="AG1183" s="466">
        <v>0</v>
      </c>
      <c r="AH1183" s="466">
        <v>43009.73</v>
      </c>
      <c r="AI1183" s="466">
        <v>10003.5</v>
      </c>
      <c r="AJ1183" s="469" t="s">
        <v>9872</v>
      </c>
      <c r="AK1183" s="470" t="s">
        <v>9873</v>
      </c>
      <c r="AL1183" s="471" t="s">
        <v>9874</v>
      </c>
      <c r="AM1183" s="470" t="s">
        <v>9875</v>
      </c>
      <c r="AN1183" s="470" t="s">
        <v>9871</v>
      </c>
      <c r="AO1183" s="470" t="s">
        <v>14273</v>
      </c>
      <c r="AP1183" s="470" t="s">
        <v>3510</v>
      </c>
      <c r="AQ1183" s="470" t="s">
        <v>9870</v>
      </c>
      <c r="AR1183" s="472" t="s">
        <v>515</v>
      </c>
      <c r="AS1183" s="473">
        <v>5.4</v>
      </c>
      <c r="AT1183" s="472" t="s">
        <v>9686</v>
      </c>
      <c r="AU1183" s="472" t="s">
        <v>420</v>
      </c>
      <c r="AV1183" s="472">
        <v>2020</v>
      </c>
      <c r="AW1183" s="474" t="s">
        <v>15078</v>
      </c>
      <c r="AX1183" s="475" t="s">
        <v>15079</v>
      </c>
      <c r="AY1183" s="515">
        <v>1</v>
      </c>
      <c r="AZ1183" s="474" t="s">
        <v>15079</v>
      </c>
      <c r="BA1183" s="472" t="s">
        <v>9686</v>
      </c>
      <c r="BB1183" s="472" t="s">
        <v>1385</v>
      </c>
      <c r="BC1183" s="472" t="s">
        <v>1385</v>
      </c>
      <c r="BD1183" s="472" t="s">
        <v>1385</v>
      </c>
      <c r="BE1183" s="472" t="s">
        <v>1385</v>
      </c>
      <c r="BF1183" s="472">
        <v>44770.5</v>
      </c>
      <c r="BG1183" s="472">
        <v>0</v>
      </c>
      <c r="BH1183" s="472" t="s">
        <v>1385</v>
      </c>
      <c r="BI1183" s="510">
        <v>0</v>
      </c>
      <c r="BJ1183" s="510">
        <v>0</v>
      </c>
      <c r="BK1183" s="510">
        <v>0</v>
      </c>
      <c r="BL1183" s="510">
        <v>0</v>
      </c>
      <c r="BM1183" s="510">
        <v>0</v>
      </c>
      <c r="BN1183" s="510">
        <v>0</v>
      </c>
      <c r="BO1183" s="510">
        <v>0</v>
      </c>
      <c r="BP1183" s="510">
        <v>0</v>
      </c>
      <c r="BQ1183" s="510">
        <v>0</v>
      </c>
      <c r="BR1183" s="510">
        <v>0</v>
      </c>
      <c r="BS1183" s="510">
        <v>0</v>
      </c>
      <c r="BT1183" s="510">
        <v>0</v>
      </c>
      <c r="BU1183" s="510">
        <v>0</v>
      </c>
      <c r="BV1183" s="510">
        <v>0</v>
      </c>
      <c r="BW1183" s="510">
        <v>0</v>
      </c>
      <c r="BX1183" s="510">
        <v>0</v>
      </c>
      <c r="BY1183" s="1011">
        <v>0</v>
      </c>
      <c r="BZ1183" s="510">
        <v>0</v>
      </c>
      <c r="CA1183" s="1011">
        <v>0</v>
      </c>
      <c r="CB1183" s="510">
        <v>0</v>
      </c>
      <c r="CC1183" s="1011">
        <v>0</v>
      </c>
      <c r="CD1183" s="510">
        <v>0</v>
      </c>
      <c r="CE1183" s="1011">
        <v>0</v>
      </c>
      <c r="CF1183" s="510">
        <v>77201.2</v>
      </c>
      <c r="CG1183" s="1011">
        <v>0</v>
      </c>
      <c r="CH1183" s="510">
        <v>0</v>
      </c>
      <c r="CI1183" s="1011">
        <v>0</v>
      </c>
    </row>
    <row r="1184" spans="1:87" x14ac:dyDescent="0.2">
      <c r="A1184" s="449">
        <v>123</v>
      </c>
      <c r="B1184" s="453">
        <v>200248</v>
      </c>
      <c r="C1184" s="454" t="s">
        <v>9876</v>
      </c>
      <c r="D1184" s="454" t="s">
        <v>9686</v>
      </c>
      <c r="E1184" s="454" t="s">
        <v>9877</v>
      </c>
      <c r="F1184" s="454" t="s">
        <v>527</v>
      </c>
      <c r="G1184" s="454" t="s">
        <v>14274</v>
      </c>
      <c r="H1184" s="455">
        <v>11303791000145</v>
      </c>
      <c r="I1184" s="462">
        <v>40015</v>
      </c>
      <c r="J1184" s="457">
        <v>43835570</v>
      </c>
      <c r="K1184" s="454" t="s">
        <v>3827</v>
      </c>
      <c r="L1184" s="458">
        <v>564</v>
      </c>
      <c r="M1184" s="454" t="s">
        <v>2211</v>
      </c>
      <c r="N1184" s="459">
        <v>3819160</v>
      </c>
      <c r="O1184" s="460">
        <v>33963430</v>
      </c>
      <c r="P1184" s="462">
        <v>204946</v>
      </c>
      <c r="Q1184" s="462">
        <v>123</v>
      </c>
      <c r="R1184" s="462">
        <v>43936</v>
      </c>
      <c r="S1184" s="463">
        <v>2561</v>
      </c>
      <c r="T1184" s="464">
        <v>5.4</v>
      </c>
      <c r="U1184" s="465">
        <v>13829.4</v>
      </c>
      <c r="V1184" s="465">
        <v>17400</v>
      </c>
      <c r="W1184" s="466">
        <v>0</v>
      </c>
      <c r="X1184" s="467">
        <v>1</v>
      </c>
      <c r="Y1184" s="466">
        <v>46844.1</v>
      </c>
      <c r="Z1184" s="468" t="s">
        <v>516</v>
      </c>
      <c r="AA1184" s="466">
        <v>130298.5</v>
      </c>
      <c r="AB1184" s="466">
        <v>130298.5</v>
      </c>
      <c r="AC1184" s="467">
        <v>0</v>
      </c>
      <c r="AD1184" s="466">
        <v>0</v>
      </c>
      <c r="AE1184" s="468" t="s">
        <v>516</v>
      </c>
      <c r="AF1184" s="466">
        <v>0</v>
      </c>
      <c r="AG1184" s="466">
        <v>0</v>
      </c>
      <c r="AH1184" s="466">
        <v>32770.06</v>
      </c>
      <c r="AI1184" s="466">
        <v>6660.55</v>
      </c>
      <c r="AJ1184" s="469" t="s">
        <v>3829</v>
      </c>
      <c r="AK1184" s="470" t="s">
        <v>3830</v>
      </c>
      <c r="AL1184" s="471" t="s">
        <v>9878</v>
      </c>
      <c r="AM1184" s="470" t="s">
        <v>14275</v>
      </c>
      <c r="AN1184" s="470" t="s">
        <v>14274</v>
      </c>
      <c r="AO1184" s="470" t="s">
        <v>14276</v>
      </c>
      <c r="AP1184" s="470" t="s">
        <v>9877</v>
      </c>
      <c r="AQ1184" s="470" t="s">
        <v>9876</v>
      </c>
      <c r="AR1184" s="472" t="s">
        <v>515</v>
      </c>
      <c r="AS1184" s="473">
        <v>5.4</v>
      </c>
      <c r="AT1184" s="472" t="s">
        <v>9686</v>
      </c>
      <c r="AU1184" s="472" t="s">
        <v>420</v>
      </c>
      <c r="AV1184" s="472">
        <v>2020</v>
      </c>
      <c r="AW1184" s="474" t="s">
        <v>15078</v>
      </c>
      <c r="AX1184" s="475" t="s">
        <v>15079</v>
      </c>
      <c r="AY1184" s="515">
        <v>1</v>
      </c>
      <c r="AZ1184" s="474" t="s">
        <v>15079</v>
      </c>
      <c r="BA1184" s="472" t="s">
        <v>9686</v>
      </c>
      <c r="BB1184" s="472" t="s">
        <v>1385</v>
      </c>
      <c r="BC1184" s="472" t="s">
        <v>1385</v>
      </c>
      <c r="BD1184" s="472" t="s">
        <v>1385</v>
      </c>
      <c r="BE1184" s="472" t="s">
        <v>1385</v>
      </c>
      <c r="BF1184" s="472">
        <v>46844.1</v>
      </c>
      <c r="BG1184" s="472">
        <v>0</v>
      </c>
      <c r="BH1184" s="472" t="s">
        <v>1385</v>
      </c>
      <c r="BI1184" s="510">
        <v>0</v>
      </c>
      <c r="BJ1184" s="510">
        <v>0</v>
      </c>
      <c r="BK1184" s="510">
        <v>0</v>
      </c>
      <c r="BL1184" s="510">
        <v>0</v>
      </c>
      <c r="BM1184" s="510">
        <v>0</v>
      </c>
      <c r="BN1184" s="510">
        <v>0</v>
      </c>
      <c r="BO1184" s="510">
        <v>0</v>
      </c>
      <c r="BP1184" s="510">
        <v>0</v>
      </c>
      <c r="BQ1184" s="510">
        <v>0</v>
      </c>
      <c r="BR1184" s="510">
        <v>0</v>
      </c>
      <c r="BS1184" s="510">
        <v>0</v>
      </c>
      <c r="BT1184" s="510">
        <v>0</v>
      </c>
      <c r="BU1184" s="510">
        <v>0</v>
      </c>
      <c r="BV1184" s="510">
        <v>0</v>
      </c>
      <c r="BW1184" s="510">
        <v>0</v>
      </c>
      <c r="BX1184" s="510">
        <v>0</v>
      </c>
      <c r="BY1184" s="1011">
        <v>0</v>
      </c>
      <c r="BZ1184" s="510">
        <v>0</v>
      </c>
      <c r="CA1184" s="1011">
        <v>0</v>
      </c>
      <c r="CB1184" s="510">
        <v>0</v>
      </c>
      <c r="CC1184" s="1011">
        <v>0</v>
      </c>
      <c r="CD1184" s="510">
        <v>0</v>
      </c>
      <c r="CE1184" s="1011">
        <v>0</v>
      </c>
      <c r="CF1184" s="510">
        <v>83454.399999999994</v>
      </c>
      <c r="CG1184" s="1011">
        <v>0</v>
      </c>
      <c r="CH1184" s="510">
        <v>0</v>
      </c>
      <c r="CI1184" s="1011">
        <v>0</v>
      </c>
    </row>
    <row r="1185" spans="1:87" x14ac:dyDescent="0.2">
      <c r="A1185" s="449">
        <v>142</v>
      </c>
      <c r="B1185" s="453">
        <v>200249</v>
      </c>
      <c r="C1185" s="454" t="s">
        <v>9879</v>
      </c>
      <c r="D1185" s="454" t="s">
        <v>9686</v>
      </c>
      <c r="E1185" s="454" t="s">
        <v>9880</v>
      </c>
      <c r="F1185" s="454" t="s">
        <v>513</v>
      </c>
      <c r="G1185" s="454" t="s">
        <v>14277</v>
      </c>
      <c r="H1185" s="455">
        <v>10627921000132</v>
      </c>
      <c r="I1185" s="462">
        <v>39794</v>
      </c>
      <c r="J1185" s="457" t="s">
        <v>280</v>
      </c>
      <c r="K1185" s="454" t="s">
        <v>3782</v>
      </c>
      <c r="L1185" s="458" t="s">
        <v>1446</v>
      </c>
      <c r="M1185" s="454" t="s">
        <v>3783</v>
      </c>
      <c r="N1185" s="459">
        <v>3969000</v>
      </c>
      <c r="O1185" s="460">
        <v>20759100</v>
      </c>
      <c r="P1185" s="462">
        <v>155660</v>
      </c>
      <c r="Q1185" s="462">
        <v>142</v>
      </c>
      <c r="R1185" s="462">
        <v>43937</v>
      </c>
      <c r="S1185" s="463">
        <v>1863</v>
      </c>
      <c r="T1185" s="464">
        <v>5.4</v>
      </c>
      <c r="U1185" s="465">
        <v>10060.200000000001</v>
      </c>
      <c r="V1185" s="465">
        <v>17400</v>
      </c>
      <c r="W1185" s="466">
        <v>0</v>
      </c>
      <c r="X1185" s="467">
        <v>1</v>
      </c>
      <c r="Y1185" s="466">
        <v>41190.300000000003</v>
      </c>
      <c r="Z1185" s="468" t="s">
        <v>516</v>
      </c>
      <c r="AA1185" s="466">
        <v>117505.9</v>
      </c>
      <c r="AB1185" s="466">
        <v>117505.9</v>
      </c>
      <c r="AC1185" s="467">
        <v>0</v>
      </c>
      <c r="AD1185" s="466">
        <v>0</v>
      </c>
      <c r="AE1185" s="468" t="s">
        <v>516</v>
      </c>
      <c r="AF1185" s="466">
        <v>0</v>
      </c>
      <c r="AG1185" s="466">
        <v>0</v>
      </c>
      <c r="AH1185" s="466">
        <v>20192.78</v>
      </c>
      <c r="AI1185" s="466">
        <v>6984.51</v>
      </c>
      <c r="AJ1185" s="469" t="s">
        <v>1972</v>
      </c>
      <c r="AK1185" s="470" t="s">
        <v>1973</v>
      </c>
      <c r="AL1185" s="471" t="s">
        <v>9881</v>
      </c>
      <c r="AM1185" s="470" t="s">
        <v>9882</v>
      </c>
      <c r="AN1185" s="470" t="s">
        <v>9883</v>
      </c>
      <c r="AO1185" s="470" t="s">
        <v>9884</v>
      </c>
      <c r="AP1185" s="470" t="s">
        <v>9880</v>
      </c>
      <c r="AQ1185" s="470" t="s">
        <v>9879</v>
      </c>
      <c r="AR1185" s="472" t="s">
        <v>515</v>
      </c>
      <c r="AS1185" s="473">
        <v>5.4</v>
      </c>
      <c r="AT1185" s="472" t="s">
        <v>9686</v>
      </c>
      <c r="AU1185" s="472" t="s">
        <v>420</v>
      </c>
      <c r="AV1185" s="472">
        <v>2020</v>
      </c>
      <c r="AW1185" s="474" t="s">
        <v>15078</v>
      </c>
      <c r="AX1185" s="475" t="s">
        <v>15079</v>
      </c>
      <c r="AY1185" s="515">
        <v>1</v>
      </c>
      <c r="AZ1185" s="474" t="s">
        <v>15079</v>
      </c>
      <c r="BA1185" s="472" t="s">
        <v>9686</v>
      </c>
      <c r="BB1185" s="472" t="s">
        <v>1385</v>
      </c>
      <c r="BC1185" s="472" t="s">
        <v>1385</v>
      </c>
      <c r="BD1185" s="472" t="s">
        <v>1385</v>
      </c>
      <c r="BE1185" s="472" t="s">
        <v>1385</v>
      </c>
      <c r="BF1185" s="472">
        <v>41190.300000000003</v>
      </c>
      <c r="BG1185" s="472">
        <v>0</v>
      </c>
      <c r="BH1185" s="472" t="s">
        <v>1385</v>
      </c>
      <c r="BI1185" s="510">
        <v>0</v>
      </c>
      <c r="BJ1185" s="510">
        <v>0</v>
      </c>
      <c r="BK1185" s="510">
        <v>0</v>
      </c>
      <c r="BL1185" s="510">
        <v>0</v>
      </c>
      <c r="BM1185" s="510">
        <v>0</v>
      </c>
      <c r="BN1185" s="510">
        <v>0</v>
      </c>
      <c r="BO1185" s="510">
        <v>0</v>
      </c>
      <c r="BP1185" s="510">
        <v>0</v>
      </c>
      <c r="BQ1185" s="510">
        <v>0</v>
      </c>
      <c r="BR1185" s="510">
        <v>0</v>
      </c>
      <c r="BS1185" s="510">
        <v>0</v>
      </c>
      <c r="BT1185" s="510">
        <v>0</v>
      </c>
      <c r="BU1185" s="510">
        <v>0</v>
      </c>
      <c r="BV1185" s="510">
        <v>0</v>
      </c>
      <c r="BW1185" s="510">
        <v>0</v>
      </c>
      <c r="BX1185" s="510">
        <v>0</v>
      </c>
      <c r="BY1185" s="1011">
        <v>0</v>
      </c>
      <c r="BZ1185" s="510">
        <v>0</v>
      </c>
      <c r="CA1185" s="1011">
        <v>0</v>
      </c>
      <c r="CB1185" s="510">
        <v>0</v>
      </c>
      <c r="CC1185" s="1011">
        <v>0</v>
      </c>
      <c r="CD1185" s="510">
        <v>0</v>
      </c>
      <c r="CE1185" s="1011">
        <v>0</v>
      </c>
      <c r="CF1185" s="510">
        <v>76315.600000000006</v>
      </c>
      <c r="CG1185" s="1011">
        <v>0</v>
      </c>
      <c r="CH1185" s="510">
        <v>0</v>
      </c>
      <c r="CI1185" s="1011">
        <v>0</v>
      </c>
    </row>
    <row r="1186" spans="1:87" x14ac:dyDescent="0.2">
      <c r="A1186" s="449">
        <v>136</v>
      </c>
      <c r="B1186" s="453">
        <v>200250</v>
      </c>
      <c r="C1186" s="454" t="s">
        <v>9885</v>
      </c>
      <c r="D1186" s="454" t="s">
        <v>9686</v>
      </c>
      <c r="E1186" s="454" t="s">
        <v>9886</v>
      </c>
      <c r="F1186" s="454" t="s">
        <v>526</v>
      </c>
      <c r="G1186" s="454" t="s">
        <v>14278</v>
      </c>
      <c r="H1186" s="455">
        <v>10300210000159</v>
      </c>
      <c r="I1186" s="462">
        <v>39651</v>
      </c>
      <c r="J1186" s="457">
        <v>38470144</v>
      </c>
      <c r="K1186" s="454" t="s">
        <v>3791</v>
      </c>
      <c r="L1186" s="458" t="s">
        <v>1446</v>
      </c>
      <c r="M1186" s="454" t="s">
        <v>3792</v>
      </c>
      <c r="N1186" s="459">
        <v>8191330</v>
      </c>
      <c r="O1186" s="460">
        <v>33976410</v>
      </c>
      <c r="P1186" s="462">
        <v>134816</v>
      </c>
      <c r="Q1186" s="462">
        <v>136</v>
      </c>
      <c r="R1186" s="462">
        <v>43928</v>
      </c>
      <c r="S1186" s="463">
        <v>1992</v>
      </c>
      <c r="T1186" s="464">
        <v>5.4</v>
      </c>
      <c r="U1186" s="465">
        <v>10756.8</v>
      </c>
      <c r="V1186" s="465">
        <v>17400</v>
      </c>
      <c r="W1186" s="466">
        <v>0</v>
      </c>
      <c r="X1186" s="467">
        <v>1</v>
      </c>
      <c r="Y1186" s="466">
        <v>109811.52</v>
      </c>
      <c r="Z1186" s="468" t="s">
        <v>514</v>
      </c>
      <c r="AA1186" s="466">
        <v>189604.72</v>
      </c>
      <c r="AB1186" s="466">
        <v>189604.72</v>
      </c>
      <c r="AC1186" s="467">
        <v>0</v>
      </c>
      <c r="AD1186" s="466">
        <v>16894.080000000002</v>
      </c>
      <c r="AE1186" s="468" t="s">
        <v>514</v>
      </c>
      <c r="AF1186" s="466">
        <v>16894.080000000002</v>
      </c>
      <c r="AG1186" s="466">
        <v>16894.080000000002</v>
      </c>
      <c r="AH1186" s="466">
        <v>0</v>
      </c>
      <c r="AI1186" s="466">
        <v>0</v>
      </c>
      <c r="AJ1186" s="469" t="s">
        <v>2764</v>
      </c>
      <c r="AK1186" s="470" t="s">
        <v>2765</v>
      </c>
      <c r="AL1186" s="471" t="s">
        <v>9887</v>
      </c>
      <c r="AM1186" s="470" t="s">
        <v>9888</v>
      </c>
      <c r="AN1186" s="470" t="s">
        <v>1385</v>
      </c>
      <c r="AO1186" s="470" t="s">
        <v>14279</v>
      </c>
      <c r="AP1186" s="470" t="s">
        <v>9889</v>
      </c>
      <c r="AQ1186" s="470" t="s">
        <v>9885</v>
      </c>
      <c r="AR1186" s="472" t="s">
        <v>515</v>
      </c>
      <c r="AS1186" s="473">
        <v>5.4</v>
      </c>
      <c r="AT1186" s="472" t="s">
        <v>9686</v>
      </c>
      <c r="AU1186" s="472" t="s">
        <v>420</v>
      </c>
      <c r="AV1186" s="472">
        <v>2020</v>
      </c>
      <c r="AW1186" s="474" t="s">
        <v>15078</v>
      </c>
      <c r="AX1186" s="475" t="s">
        <v>15079</v>
      </c>
      <c r="AY1186" s="515">
        <v>1</v>
      </c>
      <c r="AZ1186" s="474" t="s">
        <v>15079</v>
      </c>
      <c r="BA1186" s="472" t="s">
        <v>9686</v>
      </c>
      <c r="BB1186" s="472" t="s">
        <v>1385</v>
      </c>
      <c r="BC1186" s="472" t="s">
        <v>1385</v>
      </c>
      <c r="BD1186" s="472" t="s">
        <v>1385</v>
      </c>
      <c r="BE1186" s="472" t="s">
        <v>1385</v>
      </c>
      <c r="BF1186" s="472">
        <v>109811.52</v>
      </c>
      <c r="BG1186" s="472">
        <v>16894.080000000002</v>
      </c>
      <c r="BH1186" s="472" t="s">
        <v>1385</v>
      </c>
      <c r="BI1186" s="510">
        <v>0</v>
      </c>
      <c r="BJ1186" s="510">
        <v>0</v>
      </c>
      <c r="BK1186" s="510">
        <v>0</v>
      </c>
      <c r="BL1186" s="510">
        <v>0</v>
      </c>
      <c r="BM1186" s="510">
        <v>0</v>
      </c>
      <c r="BN1186" s="510">
        <v>0</v>
      </c>
      <c r="BO1186" s="510">
        <v>0</v>
      </c>
      <c r="BP1186" s="510">
        <v>0</v>
      </c>
      <c r="BQ1186" s="510">
        <v>0</v>
      </c>
      <c r="BR1186" s="510">
        <v>0</v>
      </c>
      <c r="BS1186" s="510">
        <v>0</v>
      </c>
      <c r="BT1186" s="510">
        <v>0</v>
      </c>
      <c r="BU1186" s="510">
        <v>0</v>
      </c>
      <c r="BV1186" s="510">
        <v>0</v>
      </c>
      <c r="BW1186" s="510">
        <v>0</v>
      </c>
      <c r="BX1186" s="510">
        <v>0</v>
      </c>
      <c r="BY1186" s="1011">
        <v>0</v>
      </c>
      <c r="BZ1186" s="510">
        <v>0</v>
      </c>
      <c r="CA1186" s="1011">
        <v>0</v>
      </c>
      <c r="CB1186" s="510">
        <v>0</v>
      </c>
      <c r="CC1186" s="1011">
        <v>0</v>
      </c>
      <c r="CD1186" s="510">
        <v>0</v>
      </c>
      <c r="CE1186" s="1011">
        <v>0</v>
      </c>
      <c r="CF1186" s="510">
        <v>79793.2</v>
      </c>
      <c r="CG1186" s="1011">
        <v>0</v>
      </c>
      <c r="CH1186" s="510">
        <v>0</v>
      </c>
      <c r="CI1186" s="1011">
        <v>0</v>
      </c>
    </row>
    <row r="1187" spans="1:87" x14ac:dyDescent="0.2">
      <c r="A1187" s="449">
        <v>84</v>
      </c>
      <c r="B1187" s="453">
        <v>200251</v>
      </c>
      <c r="C1187" s="454" t="s">
        <v>9890</v>
      </c>
      <c r="D1187" s="454" t="s">
        <v>9686</v>
      </c>
      <c r="E1187" s="454" t="s">
        <v>3868</v>
      </c>
      <c r="F1187" s="454" t="s">
        <v>529</v>
      </c>
      <c r="G1187" s="454" t="s">
        <v>14280</v>
      </c>
      <c r="H1187" s="455">
        <v>11158833000100</v>
      </c>
      <c r="I1187" s="462">
        <v>40017</v>
      </c>
      <c r="J1187" s="457">
        <v>42538572</v>
      </c>
      <c r="K1187" s="454" t="s">
        <v>3863</v>
      </c>
      <c r="L1187" s="458">
        <v>5241</v>
      </c>
      <c r="M1187" s="454" t="s">
        <v>3864</v>
      </c>
      <c r="N1187" s="459">
        <v>4308000</v>
      </c>
      <c r="O1187" s="460">
        <v>33965540</v>
      </c>
      <c r="P1187" s="462">
        <v>563075</v>
      </c>
      <c r="Q1187" s="462">
        <v>84</v>
      </c>
      <c r="R1187" s="462">
        <v>43921</v>
      </c>
      <c r="S1187" s="463">
        <v>2014</v>
      </c>
      <c r="T1187" s="464">
        <v>5.4</v>
      </c>
      <c r="U1187" s="465">
        <v>10875.6</v>
      </c>
      <c r="V1187" s="465">
        <v>17400</v>
      </c>
      <c r="W1187" s="466">
        <v>0</v>
      </c>
      <c r="X1187" s="467">
        <v>1</v>
      </c>
      <c r="Y1187" s="466">
        <v>42413.4</v>
      </c>
      <c r="Z1187" s="468" t="s">
        <v>516</v>
      </c>
      <c r="AA1187" s="466">
        <v>120608.2</v>
      </c>
      <c r="AB1187" s="466">
        <v>120608.2</v>
      </c>
      <c r="AC1187" s="467">
        <v>0</v>
      </c>
      <c r="AD1187" s="466">
        <v>0</v>
      </c>
      <c r="AE1187" s="468" t="s">
        <v>516</v>
      </c>
      <c r="AF1187" s="466">
        <v>0</v>
      </c>
      <c r="AG1187" s="466">
        <v>0</v>
      </c>
      <c r="AH1187" s="466">
        <v>29706</v>
      </c>
      <c r="AI1187" s="466">
        <v>5069.3</v>
      </c>
      <c r="AJ1187" s="469" t="s">
        <v>1790</v>
      </c>
      <c r="AK1187" s="470" t="s">
        <v>1791</v>
      </c>
      <c r="AL1187" s="471" t="s">
        <v>9891</v>
      </c>
      <c r="AM1187" s="470" t="s">
        <v>9892</v>
      </c>
      <c r="AN1187" s="470" t="s">
        <v>14280</v>
      </c>
      <c r="AO1187" s="470" t="s">
        <v>1385</v>
      </c>
      <c r="AP1187" s="470" t="s">
        <v>9893</v>
      </c>
      <c r="AQ1187" s="470" t="s">
        <v>9890</v>
      </c>
      <c r="AR1187" s="472" t="s">
        <v>515</v>
      </c>
      <c r="AS1187" s="473">
        <v>5.4</v>
      </c>
      <c r="AT1187" s="472" t="s">
        <v>9686</v>
      </c>
      <c r="AU1187" s="472" t="s">
        <v>420</v>
      </c>
      <c r="AV1187" s="472">
        <v>2020</v>
      </c>
      <c r="AW1187" s="474" t="s">
        <v>15078</v>
      </c>
      <c r="AX1187" s="475" t="s">
        <v>15079</v>
      </c>
      <c r="AY1187" s="515">
        <v>1</v>
      </c>
      <c r="AZ1187" s="474" t="s">
        <v>15079</v>
      </c>
      <c r="BA1187" s="472" t="s">
        <v>9686</v>
      </c>
      <c r="BB1187" s="472" t="s">
        <v>1385</v>
      </c>
      <c r="BC1187" s="472" t="s">
        <v>1385</v>
      </c>
      <c r="BD1187" s="472" t="s">
        <v>1385</v>
      </c>
      <c r="BE1187" s="472" t="s">
        <v>1385</v>
      </c>
      <c r="BF1187" s="472">
        <v>42413.4</v>
      </c>
      <c r="BG1187" s="472">
        <v>0</v>
      </c>
      <c r="BH1187" s="472" t="s">
        <v>1385</v>
      </c>
      <c r="BI1187" s="510">
        <v>0</v>
      </c>
      <c r="BJ1187" s="510">
        <v>0</v>
      </c>
      <c r="BK1187" s="510">
        <v>0</v>
      </c>
      <c r="BL1187" s="510">
        <v>0</v>
      </c>
      <c r="BM1187" s="510">
        <v>0</v>
      </c>
      <c r="BN1187" s="510">
        <v>0</v>
      </c>
      <c r="BO1187" s="510">
        <v>0</v>
      </c>
      <c r="BP1187" s="510">
        <v>0</v>
      </c>
      <c r="BQ1187" s="510">
        <v>0</v>
      </c>
      <c r="BR1187" s="510">
        <v>0</v>
      </c>
      <c r="BS1187" s="510">
        <v>0</v>
      </c>
      <c r="BT1187" s="510">
        <v>0</v>
      </c>
      <c r="BU1187" s="510">
        <v>0</v>
      </c>
      <c r="BV1187" s="510">
        <v>0</v>
      </c>
      <c r="BW1187" s="510">
        <v>0</v>
      </c>
      <c r="BX1187" s="510">
        <v>0</v>
      </c>
      <c r="BY1187" s="1011">
        <v>0</v>
      </c>
      <c r="BZ1187" s="510">
        <v>0</v>
      </c>
      <c r="CA1187" s="1011">
        <v>0</v>
      </c>
      <c r="CB1187" s="510">
        <v>0</v>
      </c>
      <c r="CC1187" s="1011">
        <v>0</v>
      </c>
      <c r="CD1187" s="510">
        <v>0</v>
      </c>
      <c r="CE1187" s="1011">
        <v>0</v>
      </c>
      <c r="CF1187" s="510">
        <v>78194.8</v>
      </c>
      <c r="CG1187" s="1011">
        <v>0</v>
      </c>
      <c r="CH1187" s="510">
        <v>0</v>
      </c>
      <c r="CI1187" s="1011">
        <v>0</v>
      </c>
    </row>
    <row r="1188" spans="1:87" x14ac:dyDescent="0.2">
      <c r="A1188" s="449">
        <v>179</v>
      </c>
      <c r="B1188" s="453">
        <v>200252</v>
      </c>
      <c r="C1188" s="454" t="s">
        <v>9894</v>
      </c>
      <c r="D1188" s="454" t="s">
        <v>9686</v>
      </c>
      <c r="E1188" s="454" t="s">
        <v>4683</v>
      </c>
      <c r="F1188" s="454" t="s">
        <v>520</v>
      </c>
      <c r="G1188" s="454" t="s">
        <v>14281</v>
      </c>
      <c r="H1188" s="455">
        <v>12436806000106</v>
      </c>
      <c r="I1188" s="462">
        <v>40394</v>
      </c>
      <c r="J1188" s="457">
        <v>44754086</v>
      </c>
      <c r="K1188" s="454" t="s">
        <v>3886</v>
      </c>
      <c r="L1188" s="458" t="s">
        <v>1446</v>
      </c>
      <c r="M1188" s="454" t="s">
        <v>3887</v>
      </c>
      <c r="N1188" s="459">
        <v>5867380</v>
      </c>
      <c r="O1188" s="460">
        <v>58738067</v>
      </c>
      <c r="P1188" s="462">
        <v>309403</v>
      </c>
      <c r="Q1188" s="462">
        <v>190</v>
      </c>
      <c r="R1188" s="462">
        <v>43969</v>
      </c>
      <c r="S1188" s="463">
        <v>1922</v>
      </c>
      <c r="T1188" s="464">
        <v>5.4</v>
      </c>
      <c r="U1188" s="465">
        <v>10378.799999999999</v>
      </c>
      <c r="V1188" s="465">
        <v>17400</v>
      </c>
      <c r="W1188" s="466">
        <v>0</v>
      </c>
      <c r="X1188" s="467">
        <v>1</v>
      </c>
      <c r="Y1188" s="466">
        <v>0</v>
      </c>
      <c r="Z1188" s="468" t="s">
        <v>514</v>
      </c>
      <c r="AA1188" s="466">
        <v>0</v>
      </c>
      <c r="AB1188" s="466">
        <v>0</v>
      </c>
      <c r="AC1188" s="467">
        <v>0</v>
      </c>
      <c r="AD1188" s="466">
        <v>0</v>
      </c>
      <c r="AE1188" s="468" t="s">
        <v>516</v>
      </c>
      <c r="AF1188" s="466">
        <v>0</v>
      </c>
      <c r="AG1188" s="466">
        <v>0</v>
      </c>
      <c r="AH1188" s="466">
        <v>0</v>
      </c>
      <c r="AI1188" s="466">
        <v>932.6</v>
      </c>
      <c r="AJ1188" s="469" t="s">
        <v>1515</v>
      </c>
      <c r="AK1188" s="470" t="s">
        <v>1516</v>
      </c>
      <c r="AL1188" s="471" t="s">
        <v>9895</v>
      </c>
      <c r="AM1188" s="470" t="s">
        <v>9896</v>
      </c>
      <c r="AN1188" s="470" t="s">
        <v>9897</v>
      </c>
      <c r="AO1188" s="470" t="s">
        <v>9898</v>
      </c>
      <c r="AP1188" s="470" t="s">
        <v>9899</v>
      </c>
      <c r="AQ1188" s="470" t="s">
        <v>9894</v>
      </c>
      <c r="AR1188" s="472" t="s">
        <v>515</v>
      </c>
      <c r="AS1188" s="473">
        <v>5.4</v>
      </c>
      <c r="AT1188" s="472" t="s">
        <v>9686</v>
      </c>
      <c r="AU1188" s="472" t="s">
        <v>420</v>
      </c>
      <c r="AV1188" s="472">
        <v>2020</v>
      </c>
      <c r="AW1188" s="474" t="s">
        <v>15078</v>
      </c>
      <c r="AX1188" s="475" t="s">
        <v>15079</v>
      </c>
      <c r="AY1188" s="515">
        <v>1</v>
      </c>
      <c r="AZ1188" s="474" t="s">
        <v>15079</v>
      </c>
      <c r="BA1188" s="472" t="s">
        <v>1385</v>
      </c>
      <c r="BB1188" s="472" t="s">
        <v>1385</v>
      </c>
      <c r="BC1188" s="472" t="s">
        <v>1385</v>
      </c>
      <c r="BD1188" s="472" t="s">
        <v>1385</v>
      </c>
      <c r="BE1188" s="472" t="s">
        <v>1385</v>
      </c>
      <c r="BF1188" s="472">
        <v>41668.199999999997</v>
      </c>
      <c r="BG1188" s="472">
        <v>0</v>
      </c>
      <c r="BH1188" s="472" t="s">
        <v>516</v>
      </c>
      <c r="BI1188" s="510">
        <v>0</v>
      </c>
      <c r="BJ1188" s="510">
        <v>136.55000000000001</v>
      </c>
      <c r="BK1188" s="510">
        <v>0</v>
      </c>
      <c r="BL1188" s="510">
        <v>0</v>
      </c>
      <c r="BM1188" s="510">
        <v>0</v>
      </c>
      <c r="BN1188" s="510">
        <v>0</v>
      </c>
      <c r="BO1188" s="510">
        <v>0</v>
      </c>
      <c r="BP1188" s="510">
        <v>0</v>
      </c>
      <c r="BQ1188" s="510">
        <v>0</v>
      </c>
      <c r="BR1188" s="510">
        <v>0</v>
      </c>
      <c r="BS1188" s="510">
        <v>0</v>
      </c>
      <c r="BT1188" s="510">
        <v>0</v>
      </c>
      <c r="BU1188" s="510">
        <v>0</v>
      </c>
      <c r="BV1188" s="510">
        <v>0</v>
      </c>
      <c r="BW1188" s="510">
        <v>0</v>
      </c>
      <c r="BX1188" s="510">
        <v>0</v>
      </c>
      <c r="BY1188" s="1011">
        <v>0</v>
      </c>
      <c r="BZ1188" s="510">
        <v>0</v>
      </c>
      <c r="CA1188" s="1011">
        <v>0</v>
      </c>
      <c r="CB1188" s="510">
        <v>0</v>
      </c>
      <c r="CC1188" s="1011">
        <v>0</v>
      </c>
      <c r="CD1188" s="510">
        <v>0</v>
      </c>
      <c r="CE1188" s="1011">
        <v>0</v>
      </c>
      <c r="CF1188" s="510">
        <v>0</v>
      </c>
      <c r="CG1188" s="1011">
        <v>0</v>
      </c>
      <c r="CH1188" s="510">
        <v>0</v>
      </c>
      <c r="CI1188" s="1011">
        <v>0</v>
      </c>
    </row>
    <row r="1189" spans="1:87" x14ac:dyDescent="0.2">
      <c r="A1189" s="449">
        <v>183</v>
      </c>
      <c r="B1189" s="453">
        <v>200253</v>
      </c>
      <c r="C1189" s="454" t="s">
        <v>9900</v>
      </c>
      <c r="D1189" s="454" t="s">
        <v>9686</v>
      </c>
      <c r="E1189" s="454" t="s">
        <v>2562</v>
      </c>
      <c r="F1189" s="454" t="s">
        <v>520</v>
      </c>
      <c r="G1189" s="454" t="s">
        <v>14282</v>
      </c>
      <c r="H1189" s="455">
        <v>12340193000109</v>
      </c>
      <c r="I1189" s="462">
        <v>40376</v>
      </c>
      <c r="J1189" s="457">
        <v>41206673</v>
      </c>
      <c r="K1189" s="454" t="s">
        <v>3894</v>
      </c>
      <c r="L1189" s="458" t="s">
        <v>1446</v>
      </c>
      <c r="M1189" s="454" t="s">
        <v>4491</v>
      </c>
      <c r="N1189" s="459">
        <v>5712040</v>
      </c>
      <c r="O1189" s="460">
        <v>35770300</v>
      </c>
      <c r="P1189" s="462">
        <v>309470</v>
      </c>
      <c r="Q1189" s="462">
        <v>194</v>
      </c>
      <c r="R1189" s="462">
        <v>43979</v>
      </c>
      <c r="S1189" s="463">
        <v>2183</v>
      </c>
      <c r="T1189" s="464">
        <v>5.4</v>
      </c>
      <c r="U1189" s="465">
        <v>11788.2</v>
      </c>
      <c r="V1189" s="465">
        <v>17400</v>
      </c>
      <c r="W1189" s="466">
        <v>0</v>
      </c>
      <c r="X1189" s="467">
        <v>1</v>
      </c>
      <c r="Y1189" s="466">
        <v>43782.3</v>
      </c>
      <c r="Z1189" s="468" t="s">
        <v>516</v>
      </c>
      <c r="AA1189" s="466">
        <v>122193.1</v>
      </c>
      <c r="AB1189" s="466">
        <v>122193.1</v>
      </c>
      <c r="AC1189" s="467">
        <v>0</v>
      </c>
      <c r="AD1189" s="466">
        <v>0</v>
      </c>
      <c r="AE1189" s="468" t="s">
        <v>516</v>
      </c>
      <c r="AF1189" s="466">
        <v>0</v>
      </c>
      <c r="AG1189" s="466">
        <v>0</v>
      </c>
      <c r="AH1189" s="466">
        <v>49447.91</v>
      </c>
      <c r="AI1189" s="466">
        <v>10504.13</v>
      </c>
      <c r="AJ1189" s="469" t="s">
        <v>1470</v>
      </c>
      <c r="AK1189" s="470" t="s">
        <v>3856</v>
      </c>
      <c r="AL1189" s="471" t="s">
        <v>9901</v>
      </c>
      <c r="AM1189" s="470" t="s">
        <v>9902</v>
      </c>
      <c r="AN1189" s="470" t="s">
        <v>9903</v>
      </c>
      <c r="AO1189" s="470" t="s">
        <v>9904</v>
      </c>
      <c r="AP1189" s="470" t="s">
        <v>3139</v>
      </c>
      <c r="AQ1189" s="470" t="s">
        <v>9900</v>
      </c>
      <c r="AR1189" s="472" t="s">
        <v>515</v>
      </c>
      <c r="AS1189" s="473">
        <v>5.4</v>
      </c>
      <c r="AT1189" s="472" t="s">
        <v>9686</v>
      </c>
      <c r="AU1189" s="472" t="s">
        <v>420</v>
      </c>
      <c r="AV1189" s="472">
        <v>2020</v>
      </c>
      <c r="AW1189" s="474" t="s">
        <v>15078</v>
      </c>
      <c r="AX1189" s="475" t="s">
        <v>15079</v>
      </c>
      <c r="AY1189" s="515">
        <v>1</v>
      </c>
      <c r="AZ1189" s="474" t="s">
        <v>15079</v>
      </c>
      <c r="BA1189" s="472" t="s">
        <v>9686</v>
      </c>
      <c r="BB1189" s="472" t="s">
        <v>1385</v>
      </c>
      <c r="BC1189" s="472" t="s">
        <v>1385</v>
      </c>
      <c r="BD1189" s="472" t="s">
        <v>1385</v>
      </c>
      <c r="BE1189" s="472" t="s">
        <v>1385</v>
      </c>
      <c r="BF1189" s="472">
        <v>43782.3</v>
      </c>
      <c r="BG1189" s="472">
        <v>0</v>
      </c>
      <c r="BH1189" s="472" t="s">
        <v>1385</v>
      </c>
      <c r="BI1189" s="510">
        <v>0</v>
      </c>
      <c r="BJ1189" s="510">
        <v>10131.5</v>
      </c>
      <c r="BK1189" s="510">
        <v>0</v>
      </c>
      <c r="BL1189" s="510">
        <v>0</v>
      </c>
      <c r="BM1189" s="510">
        <v>0</v>
      </c>
      <c r="BN1189" s="510">
        <v>0</v>
      </c>
      <c r="BO1189" s="510">
        <v>0</v>
      </c>
      <c r="BP1189" s="510">
        <v>0</v>
      </c>
      <c r="BQ1189" s="510">
        <v>0</v>
      </c>
      <c r="BR1189" s="510">
        <v>0</v>
      </c>
      <c r="BS1189" s="510">
        <v>0</v>
      </c>
      <c r="BT1189" s="510">
        <v>0</v>
      </c>
      <c r="BU1189" s="510">
        <v>0</v>
      </c>
      <c r="BV1189" s="510">
        <v>0</v>
      </c>
      <c r="BW1189" s="510">
        <v>0</v>
      </c>
      <c r="BX1189" s="510">
        <v>0</v>
      </c>
      <c r="BY1189" s="1011">
        <v>0</v>
      </c>
      <c r="BZ1189" s="510">
        <v>0</v>
      </c>
      <c r="CA1189" s="1011">
        <v>0</v>
      </c>
      <c r="CB1189" s="510">
        <v>0</v>
      </c>
      <c r="CC1189" s="1011">
        <v>0</v>
      </c>
      <c r="CD1189" s="510">
        <v>0</v>
      </c>
      <c r="CE1189" s="1011">
        <v>0</v>
      </c>
      <c r="CF1189" s="510">
        <v>78410.8</v>
      </c>
      <c r="CG1189" s="1011">
        <v>0</v>
      </c>
      <c r="CH1189" s="510">
        <v>0</v>
      </c>
      <c r="CI1189" s="1011">
        <v>0</v>
      </c>
    </row>
    <row r="1190" spans="1:87" x14ac:dyDescent="0.2">
      <c r="A1190" s="449">
        <v>115</v>
      </c>
      <c r="B1190" s="453">
        <v>200254</v>
      </c>
      <c r="C1190" s="454" t="s">
        <v>9905</v>
      </c>
      <c r="D1190" s="454" t="s">
        <v>9686</v>
      </c>
      <c r="E1190" s="454" t="s">
        <v>3901</v>
      </c>
      <c r="F1190" s="454" t="s">
        <v>524</v>
      </c>
      <c r="G1190" s="454" t="s">
        <v>14283</v>
      </c>
      <c r="H1190" s="455">
        <v>13376866000143</v>
      </c>
      <c r="I1190" s="462">
        <v>40590</v>
      </c>
      <c r="J1190" s="457">
        <v>53296443</v>
      </c>
      <c r="K1190" s="454" t="s">
        <v>3900</v>
      </c>
      <c r="L1190" s="458" t="s">
        <v>1446</v>
      </c>
      <c r="M1190" s="454" t="s">
        <v>3901</v>
      </c>
      <c r="N1190" s="459">
        <v>4177070</v>
      </c>
      <c r="O1190" s="460">
        <v>23341405</v>
      </c>
      <c r="P1190" s="462">
        <v>203478</v>
      </c>
      <c r="Q1190" s="462">
        <v>26</v>
      </c>
      <c r="R1190" s="462">
        <v>43906</v>
      </c>
      <c r="S1190" s="463">
        <v>2028</v>
      </c>
      <c r="T1190" s="464">
        <v>5.4</v>
      </c>
      <c r="U1190" s="465">
        <v>10951.2</v>
      </c>
      <c r="V1190" s="465">
        <v>17400</v>
      </c>
      <c r="W1190" s="466">
        <v>0</v>
      </c>
      <c r="X1190" s="467">
        <v>1</v>
      </c>
      <c r="Y1190" s="466">
        <v>0</v>
      </c>
      <c r="Z1190" s="468" t="s">
        <v>514</v>
      </c>
      <c r="AA1190" s="466">
        <v>0</v>
      </c>
      <c r="AB1190" s="466">
        <v>0</v>
      </c>
      <c r="AC1190" s="467">
        <v>0</v>
      </c>
      <c r="AD1190" s="466">
        <v>0</v>
      </c>
      <c r="AE1190" s="468" t="s">
        <v>516</v>
      </c>
      <c r="AF1190" s="466">
        <v>0</v>
      </c>
      <c r="AG1190" s="466">
        <v>0</v>
      </c>
      <c r="AH1190" s="466">
        <v>142.74</v>
      </c>
      <c r="AI1190" s="466">
        <v>0.4</v>
      </c>
      <c r="AJ1190" s="469" t="s">
        <v>9907</v>
      </c>
      <c r="AK1190" s="470" t="s">
        <v>9908</v>
      </c>
      <c r="AL1190" s="471" t="s">
        <v>9909</v>
      </c>
      <c r="AM1190" s="470" t="s">
        <v>15083</v>
      </c>
      <c r="AN1190" s="470" t="s">
        <v>9906</v>
      </c>
      <c r="AO1190" s="470" t="s">
        <v>9910</v>
      </c>
      <c r="AP1190" s="470" t="s">
        <v>3901</v>
      </c>
      <c r="AQ1190" s="470" t="s">
        <v>9905</v>
      </c>
      <c r="AR1190" s="472" t="s">
        <v>515</v>
      </c>
      <c r="AS1190" s="473">
        <v>5.4</v>
      </c>
      <c r="AT1190" s="472" t="s">
        <v>9686</v>
      </c>
      <c r="AU1190" s="472" t="s">
        <v>420</v>
      </c>
      <c r="AV1190" s="472">
        <v>2020</v>
      </c>
      <c r="AW1190" s="474" t="s">
        <v>15078</v>
      </c>
      <c r="AX1190" s="475" t="s">
        <v>15079</v>
      </c>
      <c r="AY1190" s="515">
        <v>1</v>
      </c>
      <c r="AZ1190" s="474" t="s">
        <v>15079</v>
      </c>
      <c r="BA1190" s="472" t="s">
        <v>1385</v>
      </c>
      <c r="BB1190" s="472" t="s">
        <v>1385</v>
      </c>
      <c r="BC1190" s="472" t="s">
        <v>1385</v>
      </c>
      <c r="BD1190" s="472" t="s">
        <v>1385</v>
      </c>
      <c r="BE1190" s="472" t="s">
        <v>1385</v>
      </c>
      <c r="BF1190" s="472">
        <v>42526.8</v>
      </c>
      <c r="BG1190" s="472">
        <v>0</v>
      </c>
      <c r="BH1190" s="472" t="s">
        <v>516</v>
      </c>
      <c r="BI1190" s="510">
        <v>0</v>
      </c>
      <c r="BJ1190" s="510">
        <v>0</v>
      </c>
      <c r="BK1190" s="510">
        <v>0</v>
      </c>
      <c r="BL1190" s="510">
        <v>0</v>
      </c>
      <c r="BM1190" s="510">
        <v>0</v>
      </c>
      <c r="BN1190" s="510">
        <v>0</v>
      </c>
      <c r="BO1190" s="510">
        <v>0</v>
      </c>
      <c r="BP1190" s="510">
        <v>0</v>
      </c>
      <c r="BQ1190" s="510">
        <v>0</v>
      </c>
      <c r="BR1190" s="510">
        <v>0</v>
      </c>
      <c r="BS1190" s="510">
        <v>0</v>
      </c>
      <c r="BT1190" s="510">
        <v>0</v>
      </c>
      <c r="BU1190" s="510">
        <v>0</v>
      </c>
      <c r="BV1190" s="510">
        <v>0</v>
      </c>
      <c r="BW1190" s="510">
        <v>0</v>
      </c>
      <c r="BX1190" s="510">
        <v>0</v>
      </c>
      <c r="BY1190" s="1011">
        <v>0</v>
      </c>
      <c r="BZ1190" s="510">
        <v>0</v>
      </c>
      <c r="CA1190" s="1011">
        <v>0</v>
      </c>
      <c r="CB1190" s="510">
        <v>0</v>
      </c>
      <c r="CC1190" s="1011">
        <v>0</v>
      </c>
      <c r="CD1190" s="510">
        <v>0</v>
      </c>
      <c r="CE1190" s="1011">
        <v>0</v>
      </c>
      <c r="CF1190" s="510">
        <v>0</v>
      </c>
      <c r="CG1190" s="1011">
        <v>0</v>
      </c>
      <c r="CH1190" s="510">
        <v>0</v>
      </c>
      <c r="CI1190" s="1011">
        <v>0</v>
      </c>
    </row>
    <row r="1191" spans="1:87" x14ac:dyDescent="0.2">
      <c r="A1191" s="449">
        <v>102</v>
      </c>
      <c r="B1191" s="453">
        <v>200255</v>
      </c>
      <c r="C1191" s="454" t="s">
        <v>9911</v>
      </c>
      <c r="D1191" s="454" t="s">
        <v>9686</v>
      </c>
      <c r="E1191" s="454" t="s">
        <v>9912</v>
      </c>
      <c r="F1191" s="454" t="s">
        <v>518</v>
      </c>
      <c r="G1191" s="454" t="s">
        <v>14284</v>
      </c>
      <c r="H1191" s="455">
        <v>23772722000160</v>
      </c>
      <c r="I1191" s="462">
        <v>41502</v>
      </c>
      <c r="J1191" s="457">
        <v>53826019</v>
      </c>
      <c r="K1191" s="454" t="s">
        <v>9914</v>
      </c>
      <c r="L1191" s="458">
        <v>10</v>
      </c>
      <c r="M1191" s="454" t="s">
        <v>1812</v>
      </c>
      <c r="N1191" s="459">
        <v>3385150</v>
      </c>
      <c r="O1191" s="460">
        <v>20364300</v>
      </c>
      <c r="P1191" s="462">
        <v>50299</v>
      </c>
      <c r="Q1191" s="462">
        <v>103</v>
      </c>
      <c r="R1191" s="462">
        <v>43934</v>
      </c>
      <c r="S1191" s="463">
        <v>1783</v>
      </c>
      <c r="T1191" s="464">
        <v>5.4</v>
      </c>
      <c r="U1191" s="465">
        <v>9628.2000000000007</v>
      </c>
      <c r="V1191" s="465">
        <v>17400</v>
      </c>
      <c r="W1191" s="466">
        <v>0</v>
      </c>
      <c r="X1191" s="467">
        <v>1</v>
      </c>
      <c r="Y1191" s="466">
        <v>0</v>
      </c>
      <c r="Z1191" s="468" t="s">
        <v>514</v>
      </c>
      <c r="AA1191" s="466">
        <v>0</v>
      </c>
      <c r="AB1191" s="466">
        <v>0</v>
      </c>
      <c r="AC1191" s="467">
        <v>0</v>
      </c>
      <c r="AD1191" s="466">
        <v>0</v>
      </c>
      <c r="AE1191" s="468" t="s">
        <v>516</v>
      </c>
      <c r="AF1191" s="466">
        <v>0</v>
      </c>
      <c r="AG1191" s="466">
        <v>0</v>
      </c>
      <c r="AH1191" s="466">
        <v>1226.48</v>
      </c>
      <c r="AI1191" s="466">
        <v>104.1</v>
      </c>
      <c r="AJ1191" s="469" t="s">
        <v>2614</v>
      </c>
      <c r="AK1191" s="470" t="s">
        <v>2615</v>
      </c>
      <c r="AL1191" s="471" t="s">
        <v>9915</v>
      </c>
      <c r="AM1191" s="470" t="s">
        <v>14285</v>
      </c>
      <c r="AN1191" s="470" t="s">
        <v>9913</v>
      </c>
      <c r="AO1191" s="470" t="s">
        <v>15043</v>
      </c>
      <c r="AP1191" s="470" t="s">
        <v>9916</v>
      </c>
      <c r="AQ1191" s="470" t="s">
        <v>9911</v>
      </c>
      <c r="AR1191" s="472" t="s">
        <v>515</v>
      </c>
      <c r="AS1191" s="473">
        <v>5.4</v>
      </c>
      <c r="AT1191" s="472" t="s">
        <v>9686</v>
      </c>
      <c r="AU1191" s="472" t="s">
        <v>420</v>
      </c>
      <c r="AV1191" s="472">
        <v>2020</v>
      </c>
      <c r="AW1191" s="474" t="s">
        <v>15078</v>
      </c>
      <c r="AX1191" s="475" t="s">
        <v>15079</v>
      </c>
      <c r="AY1191" s="515">
        <v>1</v>
      </c>
      <c r="AZ1191" s="474" t="s">
        <v>15079</v>
      </c>
      <c r="BA1191" s="472" t="s">
        <v>1385</v>
      </c>
      <c r="BB1191" s="472" t="s">
        <v>1385</v>
      </c>
      <c r="BC1191" s="472" t="s">
        <v>1385</v>
      </c>
      <c r="BD1191" s="509" t="s">
        <v>1385</v>
      </c>
      <c r="BE1191" s="472" t="s">
        <v>1385</v>
      </c>
      <c r="BF1191" s="509">
        <v>40542.300000000003</v>
      </c>
      <c r="BG1191" s="509">
        <v>0</v>
      </c>
      <c r="BH1191" s="472" t="s">
        <v>516</v>
      </c>
      <c r="BI1191" s="510">
        <v>0</v>
      </c>
      <c r="BJ1191" s="510">
        <v>5886.21</v>
      </c>
      <c r="BK1191" s="510">
        <v>0</v>
      </c>
      <c r="BL1191" s="510">
        <v>0</v>
      </c>
      <c r="BM1191" s="510">
        <v>0</v>
      </c>
      <c r="BN1191" s="510">
        <v>0</v>
      </c>
      <c r="BO1191" s="510">
        <v>0</v>
      </c>
      <c r="BP1191" s="510">
        <v>0</v>
      </c>
      <c r="BQ1191" s="510">
        <v>0</v>
      </c>
      <c r="BR1191" s="510">
        <v>0</v>
      </c>
      <c r="BS1191" s="510">
        <v>0</v>
      </c>
      <c r="BT1191" s="510">
        <v>0</v>
      </c>
      <c r="BU1191" s="510">
        <v>0</v>
      </c>
      <c r="BV1191" s="510">
        <v>0</v>
      </c>
      <c r="BW1191" s="510">
        <v>0</v>
      </c>
      <c r="BX1191" s="510">
        <v>0</v>
      </c>
      <c r="BY1191" s="1011">
        <v>0</v>
      </c>
      <c r="BZ1191" s="510">
        <v>0</v>
      </c>
      <c r="CA1191" s="1011">
        <v>0</v>
      </c>
      <c r="CB1191" s="510">
        <v>0</v>
      </c>
      <c r="CC1191" s="1011">
        <v>0</v>
      </c>
      <c r="CD1191" s="510">
        <v>0</v>
      </c>
      <c r="CE1191" s="1011">
        <v>0</v>
      </c>
      <c r="CF1191" s="510">
        <v>0</v>
      </c>
      <c r="CG1191" s="1011">
        <v>0</v>
      </c>
      <c r="CH1191" s="510">
        <v>0</v>
      </c>
      <c r="CI1191" s="1011">
        <v>0</v>
      </c>
    </row>
    <row r="1192" spans="1:87" x14ac:dyDescent="0.2">
      <c r="A1192" s="449">
        <v>83</v>
      </c>
      <c r="B1192" s="453">
        <v>200256</v>
      </c>
      <c r="C1192" s="454" t="s">
        <v>9917</v>
      </c>
      <c r="D1192" s="454" t="s">
        <v>9686</v>
      </c>
      <c r="E1192" s="454" t="s">
        <v>3921</v>
      </c>
      <c r="F1192" s="454" t="s">
        <v>519</v>
      </c>
      <c r="G1192" s="454" t="s">
        <v>14286</v>
      </c>
      <c r="H1192" s="455">
        <v>12102501000168</v>
      </c>
      <c r="I1192" s="462">
        <v>40329</v>
      </c>
      <c r="J1192" s="457">
        <v>40918530</v>
      </c>
      <c r="K1192" s="454" t="s">
        <v>3917</v>
      </c>
      <c r="L1192" s="458">
        <v>849</v>
      </c>
      <c r="M1192" s="454" t="s">
        <v>3918</v>
      </c>
      <c r="N1192" s="459">
        <v>5570030</v>
      </c>
      <c r="O1192" s="460">
        <v>37823143</v>
      </c>
      <c r="P1192" s="462">
        <v>116150</v>
      </c>
      <c r="Q1192" s="462">
        <v>85</v>
      </c>
      <c r="R1192" s="462">
        <v>43881</v>
      </c>
      <c r="S1192" s="463">
        <v>2221</v>
      </c>
      <c r="T1192" s="464">
        <v>5.4</v>
      </c>
      <c r="U1192" s="465">
        <v>11993.4</v>
      </c>
      <c r="V1192" s="465">
        <v>17400</v>
      </c>
      <c r="W1192" s="466">
        <v>0</v>
      </c>
      <c r="X1192" s="467">
        <v>1</v>
      </c>
      <c r="Y1192" s="466">
        <v>0</v>
      </c>
      <c r="Z1192" s="468" t="s">
        <v>514</v>
      </c>
      <c r="AA1192" s="466">
        <v>0</v>
      </c>
      <c r="AB1192" s="466">
        <v>0</v>
      </c>
      <c r="AC1192" s="467">
        <v>0</v>
      </c>
      <c r="AD1192" s="466">
        <v>0</v>
      </c>
      <c r="AE1192" s="468" t="s">
        <v>516</v>
      </c>
      <c r="AF1192" s="466">
        <v>0</v>
      </c>
      <c r="AG1192" s="466">
        <v>0</v>
      </c>
      <c r="AH1192" s="466">
        <v>1518.73</v>
      </c>
      <c r="AI1192" s="466">
        <v>8586.68</v>
      </c>
      <c r="AJ1192" s="469" t="s">
        <v>9919</v>
      </c>
      <c r="AK1192" s="470" t="s">
        <v>5239</v>
      </c>
      <c r="AL1192" s="471" t="s">
        <v>9920</v>
      </c>
      <c r="AM1192" s="470" t="s">
        <v>14287</v>
      </c>
      <c r="AN1192" s="470" t="s">
        <v>9918</v>
      </c>
      <c r="AO1192" s="470" t="s">
        <v>9921</v>
      </c>
      <c r="AP1192" s="470" t="s">
        <v>3921</v>
      </c>
      <c r="AQ1192" s="470" t="s">
        <v>9917</v>
      </c>
      <c r="AR1192" s="472" t="s">
        <v>515</v>
      </c>
      <c r="AS1192" s="473">
        <v>5.4</v>
      </c>
      <c r="AT1192" s="472" t="s">
        <v>9686</v>
      </c>
      <c r="AU1192" s="472" t="s">
        <v>420</v>
      </c>
      <c r="AV1192" s="472">
        <v>2020</v>
      </c>
      <c r="AW1192" s="474" t="s">
        <v>15078</v>
      </c>
      <c r="AX1192" s="475" t="s">
        <v>15079</v>
      </c>
      <c r="AY1192" s="515">
        <v>1</v>
      </c>
      <c r="AZ1192" s="474" t="s">
        <v>15079</v>
      </c>
      <c r="BA1192" s="472" t="s">
        <v>1385</v>
      </c>
      <c r="BB1192" s="472" t="s">
        <v>1385</v>
      </c>
      <c r="BC1192" s="472" t="s">
        <v>1385</v>
      </c>
      <c r="BD1192" s="472" t="s">
        <v>1385</v>
      </c>
      <c r="BE1192" s="472" t="s">
        <v>1385</v>
      </c>
      <c r="BF1192" s="472">
        <v>44090.1</v>
      </c>
      <c r="BG1192" s="472">
        <v>0</v>
      </c>
      <c r="BH1192" s="472" t="s">
        <v>516</v>
      </c>
      <c r="BI1192" s="510">
        <v>0</v>
      </c>
      <c r="BJ1192" s="510">
        <v>0</v>
      </c>
      <c r="BK1192" s="510">
        <v>0</v>
      </c>
      <c r="BL1192" s="510">
        <v>0</v>
      </c>
      <c r="BM1192" s="510">
        <v>0</v>
      </c>
      <c r="BN1192" s="510">
        <v>0</v>
      </c>
      <c r="BO1192" s="510">
        <v>0</v>
      </c>
      <c r="BP1192" s="510">
        <v>0</v>
      </c>
      <c r="BQ1192" s="510">
        <v>0</v>
      </c>
      <c r="BR1192" s="510">
        <v>0</v>
      </c>
      <c r="BS1192" s="510">
        <v>0</v>
      </c>
      <c r="BT1192" s="510">
        <v>0</v>
      </c>
      <c r="BU1192" s="510">
        <v>0</v>
      </c>
      <c r="BV1192" s="510">
        <v>0</v>
      </c>
      <c r="BW1192" s="510">
        <v>0</v>
      </c>
      <c r="BX1192" s="510">
        <v>0</v>
      </c>
      <c r="BY1192" s="1011">
        <v>0</v>
      </c>
      <c r="BZ1192" s="510">
        <v>0</v>
      </c>
      <c r="CA1192" s="1011">
        <v>0</v>
      </c>
      <c r="CB1192" s="510">
        <v>0</v>
      </c>
      <c r="CC1192" s="1011">
        <v>0</v>
      </c>
      <c r="CD1192" s="510">
        <v>0</v>
      </c>
      <c r="CE1192" s="1011">
        <v>0</v>
      </c>
      <c r="CF1192" s="510">
        <v>0</v>
      </c>
      <c r="CG1192" s="1011">
        <v>0</v>
      </c>
      <c r="CH1192" s="510">
        <v>0</v>
      </c>
      <c r="CI1192" s="1011">
        <v>0</v>
      </c>
    </row>
    <row r="1193" spans="1:87" x14ac:dyDescent="0.2">
      <c r="A1193" s="449">
        <v>124</v>
      </c>
      <c r="B1193" s="453">
        <v>200257</v>
      </c>
      <c r="C1193" s="454" t="s">
        <v>9922</v>
      </c>
      <c r="D1193" s="454" t="s">
        <v>9686</v>
      </c>
      <c r="E1193" s="454" t="s">
        <v>9923</v>
      </c>
      <c r="F1193" s="454" t="s">
        <v>527</v>
      </c>
      <c r="G1193" s="454" t="s">
        <v>14288</v>
      </c>
      <c r="H1193" s="455">
        <v>12406259000116</v>
      </c>
      <c r="I1193" s="462">
        <v>40374</v>
      </c>
      <c r="J1193" s="457">
        <v>43835597</v>
      </c>
      <c r="K1193" s="454" t="s">
        <v>3975</v>
      </c>
      <c r="L1193" s="458" t="s">
        <v>1446</v>
      </c>
      <c r="M1193" s="454" t="s">
        <v>9924</v>
      </c>
      <c r="N1193" s="459">
        <v>3074000</v>
      </c>
      <c r="O1193" s="460">
        <v>22270516</v>
      </c>
      <c r="P1193" s="462">
        <v>211837</v>
      </c>
      <c r="Q1193" s="462">
        <v>124</v>
      </c>
      <c r="R1193" s="462">
        <v>43944</v>
      </c>
      <c r="S1193" s="463">
        <v>1714</v>
      </c>
      <c r="T1193" s="464">
        <v>5.4</v>
      </c>
      <c r="U1193" s="465">
        <v>9255.6</v>
      </c>
      <c r="V1193" s="465">
        <v>17400</v>
      </c>
      <c r="W1193" s="466">
        <v>0</v>
      </c>
      <c r="X1193" s="467">
        <v>1</v>
      </c>
      <c r="Y1193" s="466">
        <v>39983.4</v>
      </c>
      <c r="Z1193" s="468" t="s">
        <v>516</v>
      </c>
      <c r="AA1193" s="466">
        <v>115478.2</v>
      </c>
      <c r="AB1193" s="466">
        <v>115478.2</v>
      </c>
      <c r="AC1193" s="467">
        <v>0</v>
      </c>
      <c r="AD1193" s="466">
        <v>0</v>
      </c>
      <c r="AE1193" s="468" t="s">
        <v>516</v>
      </c>
      <c r="AF1193" s="466">
        <v>0</v>
      </c>
      <c r="AG1193" s="466">
        <v>0</v>
      </c>
      <c r="AH1193" s="466">
        <v>97020.39</v>
      </c>
      <c r="AI1193" s="466">
        <v>34431.660000000003</v>
      </c>
      <c r="AJ1193" s="469" t="s">
        <v>9925</v>
      </c>
      <c r="AK1193" s="470" t="s">
        <v>527</v>
      </c>
      <c r="AL1193" s="471" t="s">
        <v>9926</v>
      </c>
      <c r="AM1193" s="470" t="s">
        <v>9927</v>
      </c>
      <c r="AN1193" s="470" t="s">
        <v>14288</v>
      </c>
      <c r="AO1193" s="470" t="s">
        <v>9928</v>
      </c>
      <c r="AP1193" s="470" t="s">
        <v>9923</v>
      </c>
      <c r="AQ1193" s="470" t="s">
        <v>9922</v>
      </c>
      <c r="AR1193" s="472" t="s">
        <v>515</v>
      </c>
      <c r="AS1193" s="473">
        <v>5.4</v>
      </c>
      <c r="AT1193" s="472" t="s">
        <v>9686</v>
      </c>
      <c r="AU1193" s="472" t="s">
        <v>420</v>
      </c>
      <c r="AV1193" s="472">
        <v>2020</v>
      </c>
      <c r="AW1193" s="474" t="s">
        <v>15078</v>
      </c>
      <c r="AX1193" s="475" t="s">
        <v>15079</v>
      </c>
      <c r="AY1193" s="515">
        <v>1</v>
      </c>
      <c r="AZ1193" s="474" t="s">
        <v>15079</v>
      </c>
      <c r="BA1193" s="472" t="s">
        <v>9686</v>
      </c>
      <c r="BB1193" s="472" t="s">
        <v>1385</v>
      </c>
      <c r="BC1193" s="472" t="s">
        <v>1385</v>
      </c>
      <c r="BD1193" s="472" t="s">
        <v>1385</v>
      </c>
      <c r="BE1193" s="472" t="s">
        <v>1385</v>
      </c>
      <c r="BF1193" s="472">
        <v>39983.4</v>
      </c>
      <c r="BG1193" s="472">
        <v>0</v>
      </c>
      <c r="BH1193" s="472" t="s">
        <v>1385</v>
      </c>
      <c r="BI1193" s="510">
        <v>0</v>
      </c>
      <c r="BJ1193" s="510">
        <v>0</v>
      </c>
      <c r="BK1193" s="510">
        <v>0</v>
      </c>
      <c r="BL1193" s="510">
        <v>0</v>
      </c>
      <c r="BM1193" s="510">
        <v>0</v>
      </c>
      <c r="BN1193" s="510">
        <v>0</v>
      </c>
      <c r="BO1193" s="510">
        <v>0</v>
      </c>
      <c r="BP1193" s="510">
        <v>0</v>
      </c>
      <c r="BQ1193" s="510">
        <v>0</v>
      </c>
      <c r="BR1193" s="510">
        <v>0</v>
      </c>
      <c r="BS1193" s="510">
        <v>0</v>
      </c>
      <c r="BT1193" s="510">
        <v>0</v>
      </c>
      <c r="BU1193" s="510">
        <v>0</v>
      </c>
      <c r="BV1193" s="510">
        <v>0</v>
      </c>
      <c r="BW1193" s="510">
        <v>0</v>
      </c>
      <c r="BX1193" s="510">
        <v>0</v>
      </c>
      <c r="BY1193" s="1011">
        <v>0</v>
      </c>
      <c r="BZ1193" s="510">
        <v>0</v>
      </c>
      <c r="CA1193" s="1011">
        <v>0</v>
      </c>
      <c r="CB1193" s="510">
        <v>0</v>
      </c>
      <c r="CC1193" s="1011">
        <v>0</v>
      </c>
      <c r="CD1193" s="510">
        <v>0</v>
      </c>
      <c r="CE1193" s="1011">
        <v>0</v>
      </c>
      <c r="CF1193" s="510">
        <v>75494.8</v>
      </c>
      <c r="CG1193" s="1011">
        <v>0</v>
      </c>
      <c r="CH1193" s="510">
        <v>0</v>
      </c>
      <c r="CI1193" s="1011">
        <v>0</v>
      </c>
    </row>
    <row r="1194" spans="1:87" x14ac:dyDescent="0.2">
      <c r="A1194" s="449">
        <v>140</v>
      </c>
      <c r="B1194" s="453">
        <v>200258</v>
      </c>
      <c r="C1194" s="454" t="s">
        <v>9929</v>
      </c>
      <c r="D1194" s="454" t="s">
        <v>9686</v>
      </c>
      <c r="E1194" s="454" t="s">
        <v>3930</v>
      </c>
      <c r="F1194" s="454" t="s">
        <v>528</v>
      </c>
      <c r="G1194" s="454" t="s">
        <v>9931</v>
      </c>
      <c r="H1194" s="455">
        <v>21338161000160</v>
      </c>
      <c r="I1194" s="462">
        <v>41506</v>
      </c>
      <c r="J1194" s="457">
        <v>51789604</v>
      </c>
      <c r="K1194" s="454" t="s">
        <v>3924</v>
      </c>
      <c r="L1194" s="458">
        <v>1020</v>
      </c>
      <c r="M1194" s="454" t="s">
        <v>2935</v>
      </c>
      <c r="N1194" s="459">
        <v>5267174</v>
      </c>
      <c r="O1194" s="460">
        <v>39115274</v>
      </c>
      <c r="P1194" s="462">
        <v>263870</v>
      </c>
      <c r="Q1194" s="462">
        <v>140</v>
      </c>
      <c r="R1194" s="462">
        <v>43938</v>
      </c>
      <c r="S1194" s="463">
        <v>2071</v>
      </c>
      <c r="T1194" s="464">
        <v>5.4</v>
      </c>
      <c r="U1194" s="465">
        <v>11183.4</v>
      </c>
      <c r="V1194" s="465">
        <v>17400</v>
      </c>
      <c r="W1194" s="466">
        <v>0</v>
      </c>
      <c r="X1194" s="467">
        <v>1</v>
      </c>
      <c r="Y1194" s="466">
        <v>42875.1</v>
      </c>
      <c r="Z1194" s="468" t="s">
        <v>516</v>
      </c>
      <c r="AA1194" s="466">
        <v>122106.7</v>
      </c>
      <c r="AB1194" s="466">
        <v>122106.7</v>
      </c>
      <c r="AC1194" s="467">
        <v>0</v>
      </c>
      <c r="AD1194" s="466">
        <v>0</v>
      </c>
      <c r="AE1194" s="468" t="s">
        <v>516</v>
      </c>
      <c r="AF1194" s="466">
        <v>0</v>
      </c>
      <c r="AG1194" s="466">
        <v>0</v>
      </c>
      <c r="AH1194" s="466">
        <v>31041.72</v>
      </c>
      <c r="AI1194" s="466">
        <v>19557.14</v>
      </c>
      <c r="AJ1194" s="469" t="s">
        <v>2242</v>
      </c>
      <c r="AK1194" s="470" t="s">
        <v>9743</v>
      </c>
      <c r="AL1194" s="471" t="s">
        <v>9930</v>
      </c>
      <c r="AM1194" s="470" t="s">
        <v>14289</v>
      </c>
      <c r="AN1194" s="470" t="s">
        <v>14290</v>
      </c>
      <c r="AO1194" s="470" t="s">
        <v>9932</v>
      </c>
      <c r="AP1194" s="470" t="s">
        <v>3930</v>
      </c>
      <c r="AQ1194" s="470" t="s">
        <v>9929</v>
      </c>
      <c r="AR1194" s="472" t="s">
        <v>515</v>
      </c>
      <c r="AS1194" s="473">
        <v>5.4</v>
      </c>
      <c r="AT1194" s="472" t="s">
        <v>9686</v>
      </c>
      <c r="AU1194" s="472" t="s">
        <v>420</v>
      </c>
      <c r="AV1194" s="472">
        <v>2020</v>
      </c>
      <c r="AW1194" s="474" t="s">
        <v>15078</v>
      </c>
      <c r="AX1194" s="475" t="s">
        <v>15079</v>
      </c>
      <c r="AY1194" s="515">
        <v>1</v>
      </c>
      <c r="AZ1194" s="474" t="s">
        <v>15079</v>
      </c>
      <c r="BA1194" s="472" t="s">
        <v>9686</v>
      </c>
      <c r="BB1194" s="472" t="s">
        <v>1385</v>
      </c>
      <c r="BC1194" s="472" t="s">
        <v>1385</v>
      </c>
      <c r="BD1194" s="472" t="s">
        <v>1385</v>
      </c>
      <c r="BE1194" s="472" t="s">
        <v>1385</v>
      </c>
      <c r="BF1194" s="472">
        <v>42875.1</v>
      </c>
      <c r="BG1194" s="472">
        <v>0</v>
      </c>
      <c r="BH1194" s="472" t="s">
        <v>1385</v>
      </c>
      <c r="BI1194" s="510">
        <v>0</v>
      </c>
      <c r="BJ1194" s="510">
        <v>0</v>
      </c>
      <c r="BK1194" s="510">
        <v>0</v>
      </c>
      <c r="BL1194" s="510">
        <v>0</v>
      </c>
      <c r="BM1194" s="510">
        <v>0</v>
      </c>
      <c r="BN1194" s="510">
        <v>0</v>
      </c>
      <c r="BO1194" s="510">
        <v>0</v>
      </c>
      <c r="BP1194" s="510">
        <v>0</v>
      </c>
      <c r="BQ1194" s="510">
        <v>0</v>
      </c>
      <c r="BR1194" s="510">
        <v>0</v>
      </c>
      <c r="BS1194" s="510">
        <v>0</v>
      </c>
      <c r="BT1194" s="510">
        <v>0</v>
      </c>
      <c r="BU1194" s="510">
        <v>0</v>
      </c>
      <c r="BV1194" s="510">
        <v>0</v>
      </c>
      <c r="BW1194" s="510">
        <v>0</v>
      </c>
      <c r="BX1194" s="510">
        <v>0</v>
      </c>
      <c r="BY1194" s="1011">
        <v>0</v>
      </c>
      <c r="BZ1194" s="510">
        <v>0</v>
      </c>
      <c r="CA1194" s="1011">
        <v>0</v>
      </c>
      <c r="CB1194" s="510">
        <v>0</v>
      </c>
      <c r="CC1194" s="1011">
        <v>0</v>
      </c>
      <c r="CD1194" s="510">
        <v>0</v>
      </c>
      <c r="CE1194" s="1011">
        <v>0</v>
      </c>
      <c r="CF1194" s="510">
        <v>79231.600000000006</v>
      </c>
      <c r="CG1194" s="1011">
        <v>0</v>
      </c>
      <c r="CH1194" s="510">
        <v>0</v>
      </c>
      <c r="CI1194" s="1011">
        <v>0</v>
      </c>
    </row>
    <row r="1195" spans="1:87" x14ac:dyDescent="0.2">
      <c r="A1195" s="449">
        <v>139</v>
      </c>
      <c r="B1195" s="453">
        <v>200259</v>
      </c>
      <c r="C1195" s="454" t="s">
        <v>9933</v>
      </c>
      <c r="D1195" s="454" t="s">
        <v>9686</v>
      </c>
      <c r="E1195" s="454" t="s">
        <v>3584</v>
      </c>
      <c r="F1195" s="454" t="s">
        <v>528</v>
      </c>
      <c r="G1195" s="454" t="s">
        <v>9935</v>
      </c>
      <c r="H1195" s="455">
        <v>21091719000155</v>
      </c>
      <c r="I1195" s="462">
        <v>40424</v>
      </c>
      <c r="J1195" s="457" t="s">
        <v>280</v>
      </c>
      <c r="K1195" s="454" t="s">
        <v>4001</v>
      </c>
      <c r="L1195" s="458">
        <v>80</v>
      </c>
      <c r="M1195" s="454" t="s">
        <v>3988</v>
      </c>
      <c r="N1195" s="459">
        <v>5347010</v>
      </c>
      <c r="O1195" s="460">
        <v>37192343</v>
      </c>
      <c r="P1195" s="462">
        <v>296425</v>
      </c>
      <c r="Q1195" s="462">
        <v>139</v>
      </c>
      <c r="R1195" s="462">
        <v>43938</v>
      </c>
      <c r="S1195" s="463">
        <v>1820</v>
      </c>
      <c r="T1195" s="464">
        <v>5.4</v>
      </c>
      <c r="U1195" s="465">
        <v>9828</v>
      </c>
      <c r="V1195" s="465">
        <v>17400</v>
      </c>
      <c r="W1195" s="466">
        <v>0</v>
      </c>
      <c r="X1195" s="467">
        <v>1</v>
      </c>
      <c r="Y1195" s="466">
        <v>40842</v>
      </c>
      <c r="Z1195" s="468" t="s">
        <v>516</v>
      </c>
      <c r="AA1195" s="466">
        <v>115040.8</v>
      </c>
      <c r="AB1195" s="466">
        <v>115040.8</v>
      </c>
      <c r="AC1195" s="467">
        <v>0</v>
      </c>
      <c r="AD1195" s="466">
        <v>0</v>
      </c>
      <c r="AE1195" s="468" t="s">
        <v>516</v>
      </c>
      <c r="AF1195" s="466">
        <v>0</v>
      </c>
      <c r="AG1195" s="466">
        <v>0</v>
      </c>
      <c r="AH1195" s="466">
        <v>37132.03</v>
      </c>
      <c r="AI1195" s="466">
        <v>11684.63</v>
      </c>
      <c r="AJ1195" s="469" t="s">
        <v>3585</v>
      </c>
      <c r="AK1195" s="470" t="s">
        <v>3584</v>
      </c>
      <c r="AL1195" s="471" t="s">
        <v>9934</v>
      </c>
      <c r="AM1195" s="470" t="s">
        <v>14291</v>
      </c>
      <c r="AN1195" s="470" t="s">
        <v>280</v>
      </c>
      <c r="AO1195" s="470" t="s">
        <v>14292</v>
      </c>
      <c r="AP1195" s="470" t="s">
        <v>9936</v>
      </c>
      <c r="AQ1195" s="470" t="s">
        <v>9933</v>
      </c>
      <c r="AR1195" s="472" t="s">
        <v>515</v>
      </c>
      <c r="AS1195" s="473">
        <v>5.4</v>
      </c>
      <c r="AT1195" s="472" t="s">
        <v>9686</v>
      </c>
      <c r="AU1195" s="472" t="s">
        <v>420</v>
      </c>
      <c r="AV1195" s="472">
        <v>2020</v>
      </c>
      <c r="AW1195" s="474" t="s">
        <v>15078</v>
      </c>
      <c r="AX1195" s="475" t="s">
        <v>15079</v>
      </c>
      <c r="AY1195" s="515">
        <v>1</v>
      </c>
      <c r="AZ1195" s="474" t="s">
        <v>15079</v>
      </c>
      <c r="BA1195" s="472" t="s">
        <v>9686</v>
      </c>
      <c r="BB1195" s="472" t="s">
        <v>1385</v>
      </c>
      <c r="BC1195" s="472" t="s">
        <v>1385</v>
      </c>
      <c r="BD1195" s="472" t="s">
        <v>1385</v>
      </c>
      <c r="BE1195" s="472" t="s">
        <v>1385</v>
      </c>
      <c r="BF1195" s="472">
        <v>40842</v>
      </c>
      <c r="BG1195" s="472">
        <v>0</v>
      </c>
      <c r="BH1195" s="472" t="s">
        <v>1385</v>
      </c>
      <c r="BI1195" s="510">
        <v>0</v>
      </c>
      <c r="BJ1195" s="510">
        <v>0</v>
      </c>
      <c r="BK1195" s="510">
        <v>0</v>
      </c>
      <c r="BL1195" s="510">
        <v>0</v>
      </c>
      <c r="BM1195" s="510">
        <v>0</v>
      </c>
      <c r="BN1195" s="510">
        <v>0</v>
      </c>
      <c r="BO1195" s="510">
        <v>0</v>
      </c>
      <c r="BP1195" s="510">
        <v>0</v>
      </c>
      <c r="BQ1195" s="510">
        <v>0</v>
      </c>
      <c r="BR1195" s="510">
        <v>0</v>
      </c>
      <c r="BS1195" s="510">
        <v>0</v>
      </c>
      <c r="BT1195" s="510">
        <v>0</v>
      </c>
      <c r="BU1195" s="510">
        <v>0</v>
      </c>
      <c r="BV1195" s="510">
        <v>0</v>
      </c>
      <c r="BW1195" s="510">
        <v>0</v>
      </c>
      <c r="BX1195" s="510">
        <v>0</v>
      </c>
      <c r="BY1195" s="1011">
        <v>0</v>
      </c>
      <c r="BZ1195" s="510">
        <v>0</v>
      </c>
      <c r="CA1195" s="1011">
        <v>0</v>
      </c>
      <c r="CB1195" s="510">
        <v>0</v>
      </c>
      <c r="CC1195" s="1011">
        <v>0</v>
      </c>
      <c r="CD1195" s="510">
        <v>0</v>
      </c>
      <c r="CE1195" s="1011">
        <v>0</v>
      </c>
      <c r="CF1195" s="510">
        <v>74198.8</v>
      </c>
      <c r="CG1195" s="1011">
        <v>0</v>
      </c>
      <c r="CH1195" s="510">
        <v>0</v>
      </c>
      <c r="CI1195" s="1011">
        <v>0</v>
      </c>
    </row>
    <row r="1196" spans="1:87" x14ac:dyDescent="0.2">
      <c r="A1196" s="449">
        <v>138</v>
      </c>
      <c r="B1196" s="453">
        <v>200260</v>
      </c>
      <c r="C1196" s="454" t="s">
        <v>9937</v>
      </c>
      <c r="D1196" s="454" t="s">
        <v>9686</v>
      </c>
      <c r="E1196" s="454" t="s">
        <v>3947</v>
      </c>
      <c r="F1196" s="454" t="s">
        <v>513</v>
      </c>
      <c r="G1196" s="454" t="s">
        <v>14293</v>
      </c>
      <c r="H1196" s="455">
        <v>12236582000199</v>
      </c>
      <c r="I1196" s="462">
        <v>40353</v>
      </c>
      <c r="J1196" s="457" t="s">
        <v>280</v>
      </c>
      <c r="K1196" s="454" t="s">
        <v>3943</v>
      </c>
      <c r="L1196" s="458" t="s">
        <v>1446</v>
      </c>
      <c r="M1196" s="454" t="s">
        <v>2604</v>
      </c>
      <c r="N1196" s="459">
        <v>8381001</v>
      </c>
      <c r="O1196" s="460">
        <v>20751000</v>
      </c>
      <c r="P1196" s="462">
        <v>155481</v>
      </c>
      <c r="Q1196" s="462">
        <v>138</v>
      </c>
      <c r="R1196" s="462">
        <v>43937</v>
      </c>
      <c r="S1196" s="463">
        <v>2343</v>
      </c>
      <c r="T1196" s="464">
        <v>5.4</v>
      </c>
      <c r="U1196" s="465">
        <v>12652.2</v>
      </c>
      <c r="V1196" s="465">
        <v>17400</v>
      </c>
      <c r="W1196" s="466">
        <v>0</v>
      </c>
      <c r="X1196" s="467">
        <v>1</v>
      </c>
      <c r="Y1196" s="466">
        <v>45078.3</v>
      </c>
      <c r="Z1196" s="468" t="s">
        <v>516</v>
      </c>
      <c r="AA1196" s="466">
        <v>128025.1</v>
      </c>
      <c r="AB1196" s="466">
        <v>128025.1</v>
      </c>
      <c r="AC1196" s="467">
        <v>0</v>
      </c>
      <c r="AD1196" s="466">
        <v>0</v>
      </c>
      <c r="AE1196" s="468" t="s">
        <v>516</v>
      </c>
      <c r="AF1196" s="466">
        <v>0</v>
      </c>
      <c r="AG1196" s="466">
        <v>0</v>
      </c>
      <c r="AH1196" s="466">
        <v>0</v>
      </c>
      <c r="AI1196" s="466">
        <v>11838.29</v>
      </c>
      <c r="AJ1196" s="469" t="s">
        <v>2520</v>
      </c>
      <c r="AK1196" s="470" t="s">
        <v>2521</v>
      </c>
      <c r="AL1196" s="471" t="s">
        <v>9938</v>
      </c>
      <c r="AM1196" s="470" t="s">
        <v>9939</v>
      </c>
      <c r="AN1196" s="470" t="s">
        <v>280</v>
      </c>
      <c r="AO1196" s="470" t="s">
        <v>9940</v>
      </c>
      <c r="AP1196" s="470" t="s">
        <v>9941</v>
      </c>
      <c r="AQ1196" s="470" t="s">
        <v>9937</v>
      </c>
      <c r="AR1196" s="472" t="s">
        <v>515</v>
      </c>
      <c r="AS1196" s="473">
        <v>5.4</v>
      </c>
      <c r="AT1196" s="472" t="s">
        <v>9686</v>
      </c>
      <c r="AU1196" s="472" t="s">
        <v>420</v>
      </c>
      <c r="AV1196" s="472">
        <v>2020</v>
      </c>
      <c r="AW1196" s="474" t="s">
        <v>15078</v>
      </c>
      <c r="AX1196" s="475" t="s">
        <v>15079</v>
      </c>
      <c r="AY1196" s="515">
        <v>1</v>
      </c>
      <c r="AZ1196" s="474" t="s">
        <v>15079</v>
      </c>
      <c r="BA1196" s="472" t="s">
        <v>9686</v>
      </c>
      <c r="BB1196" s="472" t="s">
        <v>1385</v>
      </c>
      <c r="BC1196" s="472" t="s">
        <v>1385</v>
      </c>
      <c r="BD1196" s="472" t="s">
        <v>1385</v>
      </c>
      <c r="BE1196" s="472" t="s">
        <v>1385</v>
      </c>
      <c r="BF1196" s="472">
        <v>45078.3</v>
      </c>
      <c r="BG1196" s="472">
        <v>0</v>
      </c>
      <c r="BH1196" s="472" t="s">
        <v>1385</v>
      </c>
      <c r="BI1196" s="510">
        <v>0</v>
      </c>
      <c r="BJ1196" s="510">
        <v>0</v>
      </c>
      <c r="BK1196" s="510">
        <v>0</v>
      </c>
      <c r="BL1196" s="510">
        <v>0</v>
      </c>
      <c r="BM1196" s="510">
        <v>0</v>
      </c>
      <c r="BN1196" s="510">
        <v>0</v>
      </c>
      <c r="BO1196" s="510">
        <v>0</v>
      </c>
      <c r="BP1196" s="510">
        <v>0</v>
      </c>
      <c r="BQ1196" s="510">
        <v>0</v>
      </c>
      <c r="BR1196" s="510">
        <v>0</v>
      </c>
      <c r="BS1196" s="510">
        <v>0</v>
      </c>
      <c r="BT1196" s="510">
        <v>0</v>
      </c>
      <c r="BU1196" s="510">
        <v>0</v>
      </c>
      <c r="BV1196" s="510">
        <v>0</v>
      </c>
      <c r="BW1196" s="510">
        <v>0</v>
      </c>
      <c r="BX1196" s="510">
        <v>0</v>
      </c>
      <c r="BY1196" s="1011">
        <v>0</v>
      </c>
      <c r="BZ1196" s="510">
        <v>0</v>
      </c>
      <c r="CA1196" s="1011">
        <v>0</v>
      </c>
      <c r="CB1196" s="510">
        <v>0</v>
      </c>
      <c r="CC1196" s="1011">
        <v>0</v>
      </c>
      <c r="CD1196" s="510">
        <v>0</v>
      </c>
      <c r="CE1196" s="1011">
        <v>0</v>
      </c>
      <c r="CF1196" s="510">
        <v>82946.8</v>
      </c>
      <c r="CG1196" s="1011">
        <v>0</v>
      </c>
      <c r="CH1196" s="510">
        <v>0</v>
      </c>
      <c r="CI1196" s="1011">
        <v>0</v>
      </c>
    </row>
    <row r="1197" spans="1:87" x14ac:dyDescent="0.2">
      <c r="A1197" s="449">
        <v>103</v>
      </c>
      <c r="B1197" s="453">
        <v>200261</v>
      </c>
      <c r="C1197" s="454" t="s">
        <v>9942</v>
      </c>
      <c r="D1197" s="454" t="s">
        <v>9686</v>
      </c>
      <c r="E1197" s="454" t="s">
        <v>9943</v>
      </c>
      <c r="F1197" s="454" t="s">
        <v>521</v>
      </c>
      <c r="G1197" s="454" t="s">
        <v>14294</v>
      </c>
      <c r="H1197" s="455">
        <v>11403000000159</v>
      </c>
      <c r="I1197" s="462">
        <v>39972</v>
      </c>
      <c r="J1197" s="457">
        <v>43948510</v>
      </c>
      <c r="K1197" s="454" t="s">
        <v>4336</v>
      </c>
      <c r="L1197" s="458">
        <v>20</v>
      </c>
      <c r="M1197" s="454" t="s">
        <v>3494</v>
      </c>
      <c r="N1197" s="459">
        <v>4890090</v>
      </c>
      <c r="O1197" s="460">
        <v>59214479</v>
      </c>
      <c r="P1197" s="462">
        <v>90002</v>
      </c>
      <c r="Q1197" s="462">
        <v>101</v>
      </c>
      <c r="R1197" s="462">
        <v>43934</v>
      </c>
      <c r="S1197" s="463">
        <v>3013</v>
      </c>
      <c r="T1197" s="464">
        <v>5.4</v>
      </c>
      <c r="U1197" s="465">
        <v>16270.2</v>
      </c>
      <c r="V1197" s="465">
        <v>17400</v>
      </c>
      <c r="W1197" s="466">
        <v>0</v>
      </c>
      <c r="X1197" s="467">
        <v>1</v>
      </c>
      <c r="Y1197" s="466">
        <v>50505.3</v>
      </c>
      <c r="Z1197" s="468" t="s">
        <v>516</v>
      </c>
      <c r="AA1197" s="466">
        <v>135990.1</v>
      </c>
      <c r="AB1197" s="466">
        <v>135990.1</v>
      </c>
      <c r="AC1197" s="467">
        <v>0</v>
      </c>
      <c r="AD1197" s="466">
        <v>0</v>
      </c>
      <c r="AE1197" s="468" t="s">
        <v>516</v>
      </c>
      <c r="AF1197" s="466">
        <v>0</v>
      </c>
      <c r="AG1197" s="466">
        <v>0</v>
      </c>
      <c r="AH1197" s="466">
        <v>49663.13</v>
      </c>
      <c r="AI1197" s="466">
        <v>12839.08</v>
      </c>
      <c r="AJ1197" s="469" t="s">
        <v>1624</v>
      </c>
      <c r="AK1197" s="470" t="s">
        <v>1625</v>
      </c>
      <c r="AL1197" s="471" t="s">
        <v>9944</v>
      </c>
      <c r="AM1197" s="470" t="s">
        <v>14295</v>
      </c>
      <c r="AN1197" s="470" t="s">
        <v>1385</v>
      </c>
      <c r="AO1197" s="470" t="s">
        <v>14955</v>
      </c>
      <c r="AP1197" s="470" t="s">
        <v>9945</v>
      </c>
      <c r="AQ1197" s="470" t="s">
        <v>9942</v>
      </c>
      <c r="AR1197" s="472" t="s">
        <v>515</v>
      </c>
      <c r="AS1197" s="473">
        <v>5.4</v>
      </c>
      <c r="AT1197" s="472" t="s">
        <v>9686</v>
      </c>
      <c r="AU1197" s="472" t="s">
        <v>420</v>
      </c>
      <c r="AV1197" s="472">
        <v>2020</v>
      </c>
      <c r="AW1197" s="474" t="s">
        <v>15078</v>
      </c>
      <c r="AX1197" s="475" t="s">
        <v>15079</v>
      </c>
      <c r="AY1197" s="515">
        <v>1</v>
      </c>
      <c r="AZ1197" s="474" t="s">
        <v>15079</v>
      </c>
      <c r="BA1197" s="472" t="s">
        <v>9686</v>
      </c>
      <c r="BB1197" s="472" t="s">
        <v>1385</v>
      </c>
      <c r="BC1197" s="472" t="s">
        <v>1385</v>
      </c>
      <c r="BD1197" s="472" t="s">
        <v>1385</v>
      </c>
      <c r="BE1197" s="472" t="s">
        <v>1385</v>
      </c>
      <c r="BF1197" s="472">
        <v>50505.3</v>
      </c>
      <c r="BG1197" s="472">
        <v>0</v>
      </c>
      <c r="BH1197" s="472" t="s">
        <v>1385</v>
      </c>
      <c r="BI1197" s="510">
        <v>0</v>
      </c>
      <c r="BJ1197" s="510">
        <v>340.5</v>
      </c>
      <c r="BK1197" s="510">
        <v>0</v>
      </c>
      <c r="BL1197" s="510">
        <v>0</v>
      </c>
      <c r="BM1197" s="510">
        <v>0</v>
      </c>
      <c r="BN1197" s="510">
        <v>0</v>
      </c>
      <c r="BO1197" s="510">
        <v>0</v>
      </c>
      <c r="BP1197" s="510">
        <v>0</v>
      </c>
      <c r="BQ1197" s="510">
        <v>0</v>
      </c>
      <c r="BR1197" s="510">
        <v>0</v>
      </c>
      <c r="BS1197" s="510">
        <v>0</v>
      </c>
      <c r="BT1197" s="510">
        <v>0</v>
      </c>
      <c r="BU1197" s="510">
        <v>0</v>
      </c>
      <c r="BV1197" s="510">
        <v>0</v>
      </c>
      <c r="BW1197" s="510">
        <v>0</v>
      </c>
      <c r="BX1197" s="510">
        <v>0</v>
      </c>
      <c r="BY1197" s="1011">
        <v>0</v>
      </c>
      <c r="BZ1197" s="510">
        <v>0</v>
      </c>
      <c r="CA1197" s="1011">
        <v>0</v>
      </c>
      <c r="CB1197" s="510">
        <v>0</v>
      </c>
      <c r="CC1197" s="1011">
        <v>0</v>
      </c>
      <c r="CD1197" s="510">
        <v>0</v>
      </c>
      <c r="CE1197" s="1011">
        <v>0</v>
      </c>
      <c r="CF1197" s="510">
        <v>85484.800000000003</v>
      </c>
      <c r="CG1197" s="1011">
        <v>0</v>
      </c>
      <c r="CH1197" s="510">
        <v>0</v>
      </c>
      <c r="CI1197" s="1011">
        <v>0</v>
      </c>
    </row>
    <row r="1198" spans="1:87" x14ac:dyDescent="0.2">
      <c r="A1198" s="449">
        <v>113</v>
      </c>
      <c r="B1198" s="453">
        <v>200262</v>
      </c>
      <c r="C1198" s="454" t="s">
        <v>9946</v>
      </c>
      <c r="D1198" s="454" t="s">
        <v>9686</v>
      </c>
      <c r="E1198" s="454" t="s">
        <v>9947</v>
      </c>
      <c r="F1198" s="454" t="s">
        <v>524</v>
      </c>
      <c r="G1198" s="454" t="s">
        <v>14296</v>
      </c>
      <c r="H1198" s="455">
        <v>23491349000179</v>
      </c>
      <c r="I1198" s="462">
        <v>42277</v>
      </c>
      <c r="J1198" s="457">
        <v>54055300</v>
      </c>
      <c r="K1198" s="454" t="s">
        <v>9949</v>
      </c>
      <c r="L1198" s="458">
        <v>2385</v>
      </c>
      <c r="M1198" s="454" t="s">
        <v>524</v>
      </c>
      <c r="N1198" s="459">
        <v>4232000</v>
      </c>
      <c r="O1198" s="460">
        <v>20832203</v>
      </c>
      <c r="P1198" s="462">
        <v>203974</v>
      </c>
      <c r="Q1198" s="462">
        <v>24</v>
      </c>
      <c r="R1198" s="462">
        <v>43906</v>
      </c>
      <c r="S1198" s="463">
        <v>1792</v>
      </c>
      <c r="T1198" s="464">
        <v>5.4</v>
      </c>
      <c r="U1198" s="465">
        <v>9676.7999999999993</v>
      </c>
      <c r="V1198" s="465">
        <v>17400</v>
      </c>
      <c r="W1198" s="466">
        <v>0</v>
      </c>
      <c r="X1198" s="467">
        <v>1</v>
      </c>
      <c r="Y1198" s="466">
        <v>40615.199999999997</v>
      </c>
      <c r="Z1198" s="468" t="s">
        <v>516</v>
      </c>
      <c r="AA1198" s="466">
        <v>114608.8</v>
      </c>
      <c r="AB1198" s="466">
        <v>114608.8</v>
      </c>
      <c r="AC1198" s="467">
        <v>0</v>
      </c>
      <c r="AD1198" s="466">
        <v>0</v>
      </c>
      <c r="AE1198" s="468" t="s">
        <v>516</v>
      </c>
      <c r="AF1198" s="466">
        <v>0</v>
      </c>
      <c r="AG1198" s="466">
        <v>0</v>
      </c>
      <c r="AH1198" s="466">
        <v>31836.69</v>
      </c>
      <c r="AI1198" s="466">
        <v>12096.34</v>
      </c>
      <c r="AJ1198" s="469" t="s">
        <v>8778</v>
      </c>
      <c r="AK1198" s="470" t="s">
        <v>9950</v>
      </c>
      <c r="AL1198" s="471" t="s">
        <v>9951</v>
      </c>
      <c r="AM1198" s="470" t="s">
        <v>15200</v>
      </c>
      <c r="AN1198" s="470" t="s">
        <v>9948</v>
      </c>
      <c r="AO1198" s="470" t="s">
        <v>9952</v>
      </c>
      <c r="AP1198" s="470" t="s">
        <v>9953</v>
      </c>
      <c r="AQ1198" s="470" t="s">
        <v>9946</v>
      </c>
      <c r="AR1198" s="472" t="s">
        <v>515</v>
      </c>
      <c r="AS1198" s="473">
        <v>5.4</v>
      </c>
      <c r="AT1198" s="472" t="s">
        <v>9686</v>
      </c>
      <c r="AU1198" s="472" t="s">
        <v>420</v>
      </c>
      <c r="AV1198" s="472">
        <v>2020</v>
      </c>
      <c r="AW1198" s="474" t="s">
        <v>15078</v>
      </c>
      <c r="AX1198" s="475" t="s">
        <v>15079</v>
      </c>
      <c r="AY1198" s="515">
        <v>1</v>
      </c>
      <c r="AZ1198" s="474" t="s">
        <v>15079</v>
      </c>
      <c r="BA1198" s="472" t="s">
        <v>9686</v>
      </c>
      <c r="BB1198" s="472" t="s">
        <v>1385</v>
      </c>
      <c r="BC1198" s="472" t="s">
        <v>1385</v>
      </c>
      <c r="BD1198" s="472" t="s">
        <v>1385</v>
      </c>
      <c r="BE1198" s="472" t="s">
        <v>1385</v>
      </c>
      <c r="BF1198" s="472">
        <v>40615.199999999997</v>
      </c>
      <c r="BG1198" s="472">
        <v>0</v>
      </c>
      <c r="BH1198" s="472" t="s">
        <v>1385</v>
      </c>
      <c r="BI1198" s="510">
        <v>0</v>
      </c>
      <c r="BJ1198" s="510">
        <v>0</v>
      </c>
      <c r="BK1198" s="510">
        <v>0</v>
      </c>
      <c r="BL1198" s="510">
        <v>0</v>
      </c>
      <c r="BM1198" s="510">
        <v>0</v>
      </c>
      <c r="BN1198" s="510">
        <v>0</v>
      </c>
      <c r="BO1198" s="510">
        <v>0</v>
      </c>
      <c r="BP1198" s="510">
        <v>0</v>
      </c>
      <c r="BQ1198" s="510">
        <v>0</v>
      </c>
      <c r="BR1198" s="510">
        <v>0</v>
      </c>
      <c r="BS1198" s="510">
        <v>0</v>
      </c>
      <c r="BT1198" s="510">
        <v>0</v>
      </c>
      <c r="BU1198" s="510">
        <v>0</v>
      </c>
      <c r="BV1198" s="510">
        <v>0</v>
      </c>
      <c r="BW1198" s="510">
        <v>0</v>
      </c>
      <c r="BX1198" s="510">
        <v>0</v>
      </c>
      <c r="BY1198" s="1011">
        <v>0</v>
      </c>
      <c r="BZ1198" s="510">
        <v>0</v>
      </c>
      <c r="CA1198" s="1011">
        <v>0</v>
      </c>
      <c r="CB1198" s="510">
        <v>0</v>
      </c>
      <c r="CC1198" s="1011">
        <v>0</v>
      </c>
      <c r="CD1198" s="510">
        <v>0</v>
      </c>
      <c r="CE1198" s="1011">
        <v>0</v>
      </c>
      <c r="CF1198" s="510">
        <v>73993.600000000006</v>
      </c>
      <c r="CG1198" s="1011">
        <v>0</v>
      </c>
      <c r="CH1198" s="510">
        <v>0</v>
      </c>
      <c r="CI1198" s="1011">
        <v>0</v>
      </c>
    </row>
    <row r="1199" spans="1:87" x14ac:dyDescent="0.2">
      <c r="A1199" s="449">
        <v>1</v>
      </c>
      <c r="B1199" s="453">
        <v>400001</v>
      </c>
      <c r="C1199" s="454" t="s">
        <v>9954</v>
      </c>
      <c r="D1199" s="454" t="s">
        <v>4613</v>
      </c>
      <c r="E1199" s="454" t="s">
        <v>9955</v>
      </c>
      <c r="F1199" s="454" t="s">
        <v>525</v>
      </c>
      <c r="G1199" s="454" t="s">
        <v>14297</v>
      </c>
      <c r="H1199" s="455">
        <v>7968253000100</v>
      </c>
      <c r="I1199" s="462">
        <v>38777</v>
      </c>
      <c r="J1199" s="457">
        <v>37357778</v>
      </c>
      <c r="K1199" s="454" t="s">
        <v>9957</v>
      </c>
      <c r="L1199" s="458">
        <v>211</v>
      </c>
      <c r="M1199" s="454" t="s">
        <v>2323</v>
      </c>
      <c r="N1199" s="459">
        <v>2034006</v>
      </c>
      <c r="O1199" s="460">
        <v>29503571</v>
      </c>
      <c r="P1199" s="462">
        <v>323023</v>
      </c>
      <c r="Q1199" s="462">
        <v>1</v>
      </c>
      <c r="R1199" s="462">
        <v>43950</v>
      </c>
      <c r="S1199" s="463">
        <v>103</v>
      </c>
      <c r="T1199" s="464">
        <v>3.6</v>
      </c>
      <c r="U1199" s="465">
        <v>370.8</v>
      </c>
      <c r="V1199" s="465">
        <v>10800</v>
      </c>
      <c r="W1199" s="466">
        <v>0</v>
      </c>
      <c r="X1199" s="467">
        <v>1</v>
      </c>
      <c r="Y1199" s="466">
        <v>16756.2</v>
      </c>
      <c r="Z1199" s="468" t="s">
        <v>516</v>
      </c>
      <c r="AA1199" s="466">
        <v>84141</v>
      </c>
      <c r="AB1199" s="466">
        <v>84141</v>
      </c>
      <c r="AC1199" s="467">
        <v>0</v>
      </c>
      <c r="AD1199" s="466">
        <v>0</v>
      </c>
      <c r="AE1199" s="468" t="s">
        <v>516</v>
      </c>
      <c r="AF1199" s="466">
        <v>0</v>
      </c>
      <c r="AG1199" s="466">
        <v>0</v>
      </c>
      <c r="AH1199" s="466">
        <v>13731.4</v>
      </c>
      <c r="AI1199" s="466">
        <v>5321.59</v>
      </c>
      <c r="AJ1199" s="469" t="s">
        <v>1448</v>
      </c>
      <c r="AK1199" s="470" t="s">
        <v>1449</v>
      </c>
      <c r="AL1199" s="471" t="s">
        <v>9958</v>
      </c>
      <c r="AM1199" s="470" t="s">
        <v>9959</v>
      </c>
      <c r="AN1199" s="470" t="s">
        <v>9956</v>
      </c>
      <c r="AO1199" s="470" t="s">
        <v>9960</v>
      </c>
      <c r="AP1199" s="470" t="s">
        <v>9961</v>
      </c>
      <c r="AQ1199" s="470" t="s">
        <v>9954</v>
      </c>
      <c r="AR1199" s="472" t="s">
        <v>515</v>
      </c>
      <c r="AS1199" s="473" t="s">
        <v>1385</v>
      </c>
      <c r="AT1199" s="472" t="s">
        <v>4613</v>
      </c>
      <c r="AU1199" s="472" t="s">
        <v>420</v>
      </c>
      <c r="AV1199" s="472">
        <v>2020</v>
      </c>
      <c r="AW1199" s="474" t="s">
        <v>15078</v>
      </c>
      <c r="AX1199" s="475" t="s">
        <v>15079</v>
      </c>
      <c r="AY1199" s="515">
        <v>1</v>
      </c>
      <c r="AZ1199" s="474" t="s">
        <v>15079</v>
      </c>
      <c r="BA1199" s="472" t="s">
        <v>4613</v>
      </c>
      <c r="BB1199" s="472" t="s">
        <v>1385</v>
      </c>
      <c r="BC1199" s="472" t="s">
        <v>1385</v>
      </c>
      <c r="BD1199" s="472" t="s">
        <v>1385</v>
      </c>
      <c r="BE1199" s="472" t="s">
        <v>1385</v>
      </c>
      <c r="BF1199" s="472">
        <v>16756.2</v>
      </c>
      <c r="BG1199" s="472">
        <v>0</v>
      </c>
      <c r="BH1199" s="472" t="s">
        <v>1385</v>
      </c>
      <c r="BI1199" s="510">
        <v>0</v>
      </c>
      <c r="BJ1199" s="510">
        <v>0</v>
      </c>
      <c r="BK1199" s="510">
        <v>0</v>
      </c>
      <c r="BL1199" s="510">
        <v>0</v>
      </c>
      <c r="BM1199" s="510">
        <v>0</v>
      </c>
      <c r="BN1199" s="510">
        <v>2000</v>
      </c>
      <c r="BO1199" s="510">
        <v>0</v>
      </c>
      <c r="BP1199" s="510">
        <v>0</v>
      </c>
      <c r="BQ1199" s="510">
        <v>0</v>
      </c>
      <c r="BR1199" s="510">
        <v>0</v>
      </c>
      <c r="BS1199" s="510">
        <v>0</v>
      </c>
      <c r="BT1199" s="510">
        <v>0</v>
      </c>
      <c r="BU1199" s="510">
        <v>0</v>
      </c>
      <c r="BV1199" s="510">
        <v>0</v>
      </c>
      <c r="BW1199" s="510">
        <v>0</v>
      </c>
      <c r="BX1199" s="510">
        <v>30000</v>
      </c>
      <c r="BY1199" s="1011">
        <v>0</v>
      </c>
      <c r="BZ1199" s="510">
        <v>0</v>
      </c>
      <c r="CA1199" s="1011">
        <v>0</v>
      </c>
      <c r="CB1199" s="510">
        <v>0</v>
      </c>
      <c r="CC1199" s="1011">
        <v>0</v>
      </c>
      <c r="CD1199" s="510">
        <v>0</v>
      </c>
      <c r="CE1199" s="1011">
        <v>0</v>
      </c>
      <c r="CF1199" s="510">
        <v>37384.800000000003</v>
      </c>
      <c r="CG1199" s="1011">
        <v>0</v>
      </c>
      <c r="CH1199" s="510">
        <v>0</v>
      </c>
      <c r="CI1199" s="1011">
        <v>0</v>
      </c>
    </row>
    <row r="1200" spans="1:87" x14ac:dyDescent="0.2">
      <c r="A1200" s="449">
        <v>2</v>
      </c>
      <c r="B1200" s="453">
        <v>400002</v>
      </c>
      <c r="C1200" s="454" t="s">
        <v>9962</v>
      </c>
      <c r="D1200" s="454" t="s">
        <v>4613</v>
      </c>
      <c r="E1200" s="454" t="s">
        <v>9963</v>
      </c>
      <c r="F1200" s="454" t="s">
        <v>527</v>
      </c>
      <c r="G1200" s="454" t="s">
        <v>14298</v>
      </c>
      <c r="H1200" s="455">
        <v>9371823000106</v>
      </c>
      <c r="I1200" s="462">
        <v>38923</v>
      </c>
      <c r="J1200" s="457">
        <v>38089521</v>
      </c>
      <c r="K1200" s="454" t="s">
        <v>9964</v>
      </c>
      <c r="L1200" s="458">
        <v>5</v>
      </c>
      <c r="M1200" s="454" t="s">
        <v>9965</v>
      </c>
      <c r="N1200" s="459">
        <v>3807230</v>
      </c>
      <c r="O1200" s="460">
        <v>25461547</v>
      </c>
      <c r="P1200" s="462">
        <v>177299</v>
      </c>
      <c r="Q1200" s="462">
        <v>2</v>
      </c>
      <c r="R1200" s="462">
        <v>43917</v>
      </c>
      <c r="S1200" s="463">
        <v>134</v>
      </c>
      <c r="T1200" s="464">
        <v>3.6</v>
      </c>
      <c r="U1200" s="465">
        <v>482.4</v>
      </c>
      <c r="V1200" s="465">
        <v>10800</v>
      </c>
      <c r="W1200" s="466">
        <v>0</v>
      </c>
      <c r="X1200" s="467">
        <v>1</v>
      </c>
      <c r="Y1200" s="466">
        <v>16923.599999999999</v>
      </c>
      <c r="Z1200" s="468" t="s">
        <v>516</v>
      </c>
      <c r="AA1200" s="466">
        <v>84524.4</v>
      </c>
      <c r="AB1200" s="466">
        <v>84524.4</v>
      </c>
      <c r="AC1200" s="467">
        <v>0</v>
      </c>
      <c r="AD1200" s="466">
        <v>0</v>
      </c>
      <c r="AE1200" s="468" t="s">
        <v>516</v>
      </c>
      <c r="AF1200" s="466">
        <v>0</v>
      </c>
      <c r="AG1200" s="466">
        <v>0</v>
      </c>
      <c r="AH1200" s="466">
        <v>2069.37</v>
      </c>
      <c r="AI1200" s="466">
        <v>3439.42</v>
      </c>
      <c r="AJ1200" s="469" t="s">
        <v>1839</v>
      </c>
      <c r="AK1200" s="470" t="s">
        <v>1888</v>
      </c>
      <c r="AL1200" s="471" t="s">
        <v>9966</v>
      </c>
      <c r="AM1200" s="470" t="s">
        <v>9967</v>
      </c>
      <c r="AN1200" s="470" t="s">
        <v>14298</v>
      </c>
      <c r="AO1200" s="470" t="s">
        <v>14299</v>
      </c>
      <c r="AP1200" s="470" t="s">
        <v>9968</v>
      </c>
      <c r="AQ1200" s="470" t="s">
        <v>9962</v>
      </c>
      <c r="AR1200" s="472" t="s">
        <v>515</v>
      </c>
      <c r="AS1200" s="473" t="s">
        <v>1385</v>
      </c>
      <c r="AT1200" s="472" t="s">
        <v>4613</v>
      </c>
      <c r="AU1200" s="472" t="s">
        <v>420</v>
      </c>
      <c r="AV1200" s="472">
        <v>2020</v>
      </c>
      <c r="AW1200" s="474" t="s">
        <v>15078</v>
      </c>
      <c r="AX1200" s="475" t="s">
        <v>15079</v>
      </c>
      <c r="AY1200" s="515">
        <v>1</v>
      </c>
      <c r="AZ1200" s="474" t="s">
        <v>15079</v>
      </c>
      <c r="BA1200" s="472" t="s">
        <v>4613</v>
      </c>
      <c r="BB1200" s="472" t="s">
        <v>1385</v>
      </c>
      <c r="BC1200" s="472" t="s">
        <v>1385</v>
      </c>
      <c r="BD1200" s="472" t="s">
        <v>1385</v>
      </c>
      <c r="BE1200" s="472" t="s">
        <v>1385</v>
      </c>
      <c r="BF1200" s="472">
        <v>16923.599999999999</v>
      </c>
      <c r="BG1200" s="472">
        <v>0</v>
      </c>
      <c r="BH1200" s="472" t="s">
        <v>1385</v>
      </c>
      <c r="BI1200" s="510">
        <v>0</v>
      </c>
      <c r="BJ1200" s="510">
        <v>0</v>
      </c>
      <c r="BK1200" s="510">
        <v>0</v>
      </c>
      <c r="BL1200" s="510">
        <v>0</v>
      </c>
      <c r="BM1200" s="510">
        <v>0</v>
      </c>
      <c r="BN1200" s="510">
        <v>2000</v>
      </c>
      <c r="BO1200" s="510">
        <v>0</v>
      </c>
      <c r="BP1200" s="510">
        <v>0</v>
      </c>
      <c r="BQ1200" s="510">
        <v>0</v>
      </c>
      <c r="BR1200" s="510">
        <v>0</v>
      </c>
      <c r="BS1200" s="510">
        <v>0</v>
      </c>
      <c r="BT1200" s="510">
        <v>0</v>
      </c>
      <c r="BU1200" s="510">
        <v>0</v>
      </c>
      <c r="BV1200" s="510">
        <v>0</v>
      </c>
      <c r="BW1200" s="510">
        <v>0</v>
      </c>
      <c r="BX1200" s="510">
        <v>30000</v>
      </c>
      <c r="BY1200" s="1011">
        <v>0</v>
      </c>
      <c r="BZ1200" s="510">
        <v>0</v>
      </c>
      <c r="CA1200" s="1011">
        <v>0</v>
      </c>
      <c r="CB1200" s="510">
        <v>0</v>
      </c>
      <c r="CC1200" s="1011">
        <v>0</v>
      </c>
      <c r="CD1200" s="510">
        <v>0</v>
      </c>
      <c r="CE1200" s="1011">
        <v>0</v>
      </c>
      <c r="CF1200" s="510">
        <v>37600.800000000003</v>
      </c>
      <c r="CG1200" s="1011">
        <v>0</v>
      </c>
      <c r="CH1200" s="510">
        <v>0</v>
      </c>
      <c r="CI1200" s="1011">
        <v>0</v>
      </c>
    </row>
    <row r="1201" spans="1:87" x14ac:dyDescent="0.2">
      <c r="A1201" s="449">
        <v>1</v>
      </c>
      <c r="B1201" s="453">
        <v>400003</v>
      </c>
      <c r="C1201" s="454" t="s">
        <v>9969</v>
      </c>
      <c r="D1201" s="454" t="s">
        <v>4613</v>
      </c>
      <c r="E1201" s="454" t="s">
        <v>9970</v>
      </c>
      <c r="F1201" s="454" t="s">
        <v>519</v>
      </c>
      <c r="G1201" s="454" t="s">
        <v>14300</v>
      </c>
      <c r="H1201" s="455">
        <v>6375382000114</v>
      </c>
      <c r="I1201" s="462">
        <v>38138</v>
      </c>
      <c r="J1201" s="457">
        <v>37358472</v>
      </c>
      <c r="K1201" s="454" t="s">
        <v>9971</v>
      </c>
      <c r="L1201" s="458">
        <v>375</v>
      </c>
      <c r="M1201" s="454" t="s">
        <v>5281</v>
      </c>
      <c r="N1201" s="459">
        <v>5352090</v>
      </c>
      <c r="O1201" s="460">
        <v>37685894</v>
      </c>
      <c r="P1201" s="462">
        <v>119728</v>
      </c>
      <c r="Q1201" s="462">
        <v>66</v>
      </c>
      <c r="R1201" s="462">
        <v>43881</v>
      </c>
      <c r="S1201" s="463">
        <v>104</v>
      </c>
      <c r="T1201" s="464">
        <v>3.6</v>
      </c>
      <c r="U1201" s="465">
        <v>374.4</v>
      </c>
      <c r="V1201" s="465">
        <v>10800</v>
      </c>
      <c r="W1201" s="466">
        <v>0</v>
      </c>
      <c r="X1201" s="467">
        <v>1</v>
      </c>
      <c r="Y1201" s="466">
        <v>0</v>
      </c>
      <c r="Z1201" s="468" t="s">
        <v>514</v>
      </c>
      <c r="AA1201" s="466">
        <v>0</v>
      </c>
      <c r="AB1201" s="466">
        <v>0</v>
      </c>
      <c r="AC1201" s="467">
        <v>0</v>
      </c>
      <c r="AD1201" s="466">
        <v>0</v>
      </c>
      <c r="AE1201" s="468" t="s">
        <v>516</v>
      </c>
      <c r="AF1201" s="466">
        <v>0</v>
      </c>
      <c r="AG1201" s="466">
        <v>0</v>
      </c>
      <c r="AH1201" s="466">
        <v>13266.25</v>
      </c>
      <c r="AI1201" s="466">
        <v>250.1</v>
      </c>
      <c r="AJ1201" s="469" t="s">
        <v>3585</v>
      </c>
      <c r="AK1201" s="470" t="s">
        <v>3988</v>
      </c>
      <c r="AL1201" s="471" t="s">
        <v>8817</v>
      </c>
      <c r="AM1201" s="470" t="s">
        <v>9972</v>
      </c>
      <c r="AN1201" s="470" t="s">
        <v>9973</v>
      </c>
      <c r="AO1201" s="470" t="s">
        <v>9974</v>
      </c>
      <c r="AP1201" s="470" t="s">
        <v>9975</v>
      </c>
      <c r="AQ1201" s="470" t="s">
        <v>9969</v>
      </c>
      <c r="AR1201" s="472" t="s">
        <v>515</v>
      </c>
      <c r="AS1201" s="473" t="s">
        <v>1385</v>
      </c>
      <c r="AT1201" s="472" t="s">
        <v>4613</v>
      </c>
      <c r="AU1201" s="472" t="s">
        <v>420</v>
      </c>
      <c r="AV1201" s="472">
        <v>2020</v>
      </c>
      <c r="AW1201" s="474" t="s">
        <v>15078</v>
      </c>
      <c r="AX1201" s="475" t="s">
        <v>15079</v>
      </c>
      <c r="AY1201" s="515">
        <v>1</v>
      </c>
      <c r="AZ1201" s="474" t="s">
        <v>15079</v>
      </c>
      <c r="BA1201" s="472" t="s">
        <v>1385</v>
      </c>
      <c r="BB1201" s="472" t="s">
        <v>1385</v>
      </c>
      <c r="BC1201" s="472" t="s">
        <v>1385</v>
      </c>
      <c r="BD1201" s="472" t="s">
        <v>1385</v>
      </c>
      <c r="BE1201" s="472" t="s">
        <v>1385</v>
      </c>
      <c r="BF1201" s="472">
        <v>16761.599999999999</v>
      </c>
      <c r="BG1201" s="472">
        <v>0</v>
      </c>
      <c r="BH1201" s="472" t="s">
        <v>516</v>
      </c>
      <c r="BI1201" s="510">
        <v>0</v>
      </c>
      <c r="BJ1201" s="510">
        <v>0</v>
      </c>
      <c r="BK1201" s="510">
        <v>0</v>
      </c>
      <c r="BL1201" s="510">
        <v>0</v>
      </c>
      <c r="BM1201" s="510">
        <v>0</v>
      </c>
      <c r="BN1201" s="510">
        <v>0</v>
      </c>
      <c r="BO1201" s="510">
        <v>0</v>
      </c>
      <c r="BP1201" s="510">
        <v>0</v>
      </c>
      <c r="BQ1201" s="510">
        <v>0</v>
      </c>
      <c r="BR1201" s="510">
        <v>0</v>
      </c>
      <c r="BS1201" s="510">
        <v>0</v>
      </c>
      <c r="BT1201" s="510">
        <v>0</v>
      </c>
      <c r="BU1201" s="510">
        <v>0</v>
      </c>
      <c r="BV1201" s="510">
        <v>0</v>
      </c>
      <c r="BW1201" s="510">
        <v>0</v>
      </c>
      <c r="BX1201" s="510">
        <v>0</v>
      </c>
      <c r="BY1201" s="1011">
        <v>0</v>
      </c>
      <c r="BZ1201" s="510">
        <v>0</v>
      </c>
      <c r="CA1201" s="1011">
        <v>0</v>
      </c>
      <c r="CB1201" s="510">
        <v>0</v>
      </c>
      <c r="CC1201" s="1011">
        <v>0</v>
      </c>
      <c r="CD1201" s="510">
        <v>0</v>
      </c>
      <c r="CE1201" s="1011">
        <v>0</v>
      </c>
      <c r="CF1201" s="510">
        <v>0</v>
      </c>
      <c r="CG1201" s="1011">
        <v>0</v>
      </c>
      <c r="CH1201" s="510">
        <v>0</v>
      </c>
      <c r="CI1201" s="1011">
        <v>0</v>
      </c>
    </row>
    <row r="1202" spans="1:87" x14ac:dyDescent="0.2">
      <c r="A1202" s="449">
        <v>3</v>
      </c>
      <c r="B1202" s="453">
        <v>400004</v>
      </c>
      <c r="C1202" s="454" t="s">
        <v>9976</v>
      </c>
      <c r="D1202" s="454" t="s">
        <v>4613</v>
      </c>
      <c r="E1202" s="454" t="s">
        <v>9977</v>
      </c>
      <c r="F1202" s="454" t="s">
        <v>527</v>
      </c>
      <c r="G1202" s="454" t="s">
        <v>14301</v>
      </c>
      <c r="H1202" s="455">
        <v>8236262000161</v>
      </c>
      <c r="I1202" s="462">
        <v>38874</v>
      </c>
      <c r="J1202" s="457">
        <v>38089734</v>
      </c>
      <c r="K1202" s="454" t="s">
        <v>9978</v>
      </c>
      <c r="L1202" s="458">
        <v>100</v>
      </c>
      <c r="M1202" s="454" t="s">
        <v>9979</v>
      </c>
      <c r="N1202" s="459">
        <v>3720120</v>
      </c>
      <c r="O1202" s="460">
        <v>29583676</v>
      </c>
      <c r="P1202" s="462">
        <v>246266</v>
      </c>
      <c r="Q1202" s="462">
        <v>3</v>
      </c>
      <c r="R1202" s="462">
        <v>43987</v>
      </c>
      <c r="S1202" s="463">
        <v>171</v>
      </c>
      <c r="T1202" s="464">
        <v>3.6</v>
      </c>
      <c r="U1202" s="465">
        <v>615.6</v>
      </c>
      <c r="V1202" s="465">
        <v>10800</v>
      </c>
      <c r="W1202" s="466">
        <v>0</v>
      </c>
      <c r="X1202" s="467">
        <v>1</v>
      </c>
      <c r="Y1202" s="466">
        <v>17123.400000000001</v>
      </c>
      <c r="Z1202" s="468" t="s">
        <v>516</v>
      </c>
      <c r="AA1202" s="466">
        <v>84897</v>
      </c>
      <c r="AB1202" s="466">
        <v>84897</v>
      </c>
      <c r="AC1202" s="467">
        <v>0</v>
      </c>
      <c r="AD1202" s="466">
        <v>0</v>
      </c>
      <c r="AE1202" s="468" t="s">
        <v>516</v>
      </c>
      <c r="AF1202" s="466">
        <v>0</v>
      </c>
      <c r="AG1202" s="466">
        <v>0</v>
      </c>
      <c r="AH1202" s="466">
        <v>14273.12</v>
      </c>
      <c r="AI1202" s="466">
        <v>5575.1</v>
      </c>
      <c r="AJ1202" s="469" t="s">
        <v>3829</v>
      </c>
      <c r="AK1202" s="470" t="s">
        <v>3830</v>
      </c>
      <c r="AL1202" s="471" t="s">
        <v>9980</v>
      </c>
      <c r="AM1202" s="470" t="s">
        <v>14302</v>
      </c>
      <c r="AN1202" s="470" t="s">
        <v>14301</v>
      </c>
      <c r="AO1202" s="470" t="s">
        <v>14303</v>
      </c>
      <c r="AP1202" s="470" t="s">
        <v>9981</v>
      </c>
      <c r="AQ1202" s="470" t="s">
        <v>9976</v>
      </c>
      <c r="AR1202" s="472" t="s">
        <v>515</v>
      </c>
      <c r="AS1202" s="473" t="s">
        <v>1385</v>
      </c>
      <c r="AT1202" s="472" t="s">
        <v>4613</v>
      </c>
      <c r="AU1202" s="472" t="s">
        <v>420</v>
      </c>
      <c r="AV1202" s="472">
        <v>2020</v>
      </c>
      <c r="AW1202" s="474" t="s">
        <v>15078</v>
      </c>
      <c r="AX1202" s="475" t="s">
        <v>15079</v>
      </c>
      <c r="AY1202" s="515">
        <v>1</v>
      </c>
      <c r="AZ1202" s="474" t="s">
        <v>15079</v>
      </c>
      <c r="BA1202" s="472" t="s">
        <v>4613</v>
      </c>
      <c r="BB1202" s="472" t="s">
        <v>1385</v>
      </c>
      <c r="BC1202" s="472" t="s">
        <v>1385</v>
      </c>
      <c r="BD1202" s="472" t="s">
        <v>1385</v>
      </c>
      <c r="BE1202" s="472" t="s">
        <v>1385</v>
      </c>
      <c r="BF1202" s="472">
        <v>17123.400000000001</v>
      </c>
      <c r="BG1202" s="472">
        <v>0</v>
      </c>
      <c r="BH1202" s="472" t="s">
        <v>1385</v>
      </c>
      <c r="BI1202" s="510">
        <v>0</v>
      </c>
      <c r="BJ1202" s="510">
        <v>3433.2</v>
      </c>
      <c r="BK1202" s="510">
        <v>0</v>
      </c>
      <c r="BL1202" s="510">
        <v>0</v>
      </c>
      <c r="BM1202" s="510">
        <v>0</v>
      </c>
      <c r="BN1202" s="510">
        <v>2000</v>
      </c>
      <c r="BO1202" s="510">
        <v>0</v>
      </c>
      <c r="BP1202" s="510">
        <v>0</v>
      </c>
      <c r="BQ1202" s="510">
        <v>0</v>
      </c>
      <c r="BR1202" s="510">
        <v>0</v>
      </c>
      <c r="BS1202" s="510">
        <v>0</v>
      </c>
      <c r="BT1202" s="510">
        <v>0</v>
      </c>
      <c r="BU1202" s="510">
        <v>0</v>
      </c>
      <c r="BV1202" s="510">
        <v>0</v>
      </c>
      <c r="BW1202" s="510">
        <v>0</v>
      </c>
      <c r="BX1202" s="510">
        <v>30000</v>
      </c>
      <c r="BY1202" s="1011">
        <v>0</v>
      </c>
      <c r="BZ1202" s="510">
        <v>0</v>
      </c>
      <c r="CA1202" s="1011">
        <v>0</v>
      </c>
      <c r="CB1202" s="510">
        <v>0</v>
      </c>
      <c r="CC1202" s="1011">
        <v>0</v>
      </c>
      <c r="CD1202" s="510">
        <v>0</v>
      </c>
      <c r="CE1202" s="1011">
        <v>0</v>
      </c>
      <c r="CF1202" s="510">
        <v>37773.599999999999</v>
      </c>
      <c r="CG1202" s="1011">
        <v>0</v>
      </c>
      <c r="CH1202" s="510">
        <v>0</v>
      </c>
      <c r="CI1202" s="1011">
        <v>0</v>
      </c>
    </row>
    <row r="1203" spans="1:87" x14ac:dyDescent="0.2">
      <c r="A1203" s="449">
        <v>2</v>
      </c>
      <c r="B1203" s="453">
        <v>400005</v>
      </c>
      <c r="C1203" s="454" t="s">
        <v>9982</v>
      </c>
      <c r="D1203" s="454" t="s">
        <v>4613</v>
      </c>
      <c r="E1203" s="454" t="s">
        <v>9983</v>
      </c>
      <c r="F1203" s="454" t="s">
        <v>525</v>
      </c>
      <c r="G1203" s="454" t="s">
        <v>14304</v>
      </c>
      <c r="H1203" s="455">
        <v>8036219000152</v>
      </c>
      <c r="I1203" s="462">
        <v>38806</v>
      </c>
      <c r="J1203" s="457">
        <v>37357786</v>
      </c>
      <c r="K1203" s="454" t="s">
        <v>6449</v>
      </c>
      <c r="L1203" s="458">
        <v>485</v>
      </c>
      <c r="M1203" s="454" t="s">
        <v>2323</v>
      </c>
      <c r="N1203" s="459">
        <v>2013002</v>
      </c>
      <c r="O1203" s="460">
        <v>29765226</v>
      </c>
      <c r="P1203" s="462">
        <v>346015</v>
      </c>
      <c r="Q1203" s="462">
        <v>2</v>
      </c>
      <c r="R1203" s="462">
        <v>43950</v>
      </c>
      <c r="S1203" s="463">
        <v>159</v>
      </c>
      <c r="T1203" s="464">
        <v>3.6</v>
      </c>
      <c r="U1203" s="465">
        <v>572.4</v>
      </c>
      <c r="V1203" s="465">
        <v>10800</v>
      </c>
      <c r="W1203" s="466">
        <v>0</v>
      </c>
      <c r="X1203" s="467">
        <v>1</v>
      </c>
      <c r="Y1203" s="466">
        <v>17058.599999999999</v>
      </c>
      <c r="Z1203" s="468" t="s">
        <v>516</v>
      </c>
      <c r="AA1203" s="466">
        <v>84789</v>
      </c>
      <c r="AB1203" s="466">
        <v>84789</v>
      </c>
      <c r="AC1203" s="467">
        <v>0</v>
      </c>
      <c r="AD1203" s="466">
        <v>0</v>
      </c>
      <c r="AE1203" s="468" t="s">
        <v>516</v>
      </c>
      <c r="AF1203" s="466">
        <v>2000</v>
      </c>
      <c r="AG1203" s="466">
        <v>2000</v>
      </c>
      <c r="AH1203" s="466">
        <v>13420.37</v>
      </c>
      <c r="AI1203" s="466">
        <v>7634</v>
      </c>
      <c r="AJ1203" s="469" t="s">
        <v>4101</v>
      </c>
      <c r="AK1203" s="470" t="s">
        <v>1499</v>
      </c>
      <c r="AL1203" s="471" t="s">
        <v>9985</v>
      </c>
      <c r="AM1203" s="470" t="s">
        <v>9986</v>
      </c>
      <c r="AN1203" s="470" t="s">
        <v>9984</v>
      </c>
      <c r="AO1203" s="470" t="s">
        <v>9987</v>
      </c>
      <c r="AP1203" s="470" t="s">
        <v>9988</v>
      </c>
      <c r="AQ1203" s="470" t="s">
        <v>9982</v>
      </c>
      <c r="AR1203" s="472" t="s">
        <v>515</v>
      </c>
      <c r="AS1203" s="473" t="s">
        <v>1385</v>
      </c>
      <c r="AT1203" s="472" t="s">
        <v>4613</v>
      </c>
      <c r="AU1203" s="472" t="s">
        <v>420</v>
      </c>
      <c r="AV1203" s="472">
        <v>2020</v>
      </c>
      <c r="AW1203" s="474" t="s">
        <v>15078</v>
      </c>
      <c r="AX1203" s="475" t="s">
        <v>15079</v>
      </c>
      <c r="AY1203" s="515">
        <v>1</v>
      </c>
      <c r="AZ1203" s="474" t="s">
        <v>15079</v>
      </c>
      <c r="BA1203" s="472" t="s">
        <v>4613</v>
      </c>
      <c r="BB1203" s="472" t="s">
        <v>1385</v>
      </c>
      <c r="BC1203" s="472" t="s">
        <v>1385</v>
      </c>
      <c r="BD1203" s="472" t="s">
        <v>1385</v>
      </c>
      <c r="BE1203" s="472" t="s">
        <v>1385</v>
      </c>
      <c r="BF1203" s="472">
        <v>17058.599999999999</v>
      </c>
      <c r="BG1203" s="472">
        <v>0</v>
      </c>
      <c r="BH1203" s="472" t="s">
        <v>1385</v>
      </c>
      <c r="BI1203" s="510">
        <v>0</v>
      </c>
      <c r="BJ1203" s="510">
        <v>0</v>
      </c>
      <c r="BK1203" s="510">
        <v>0</v>
      </c>
      <c r="BL1203" s="510">
        <v>0</v>
      </c>
      <c r="BM1203" s="510">
        <v>0</v>
      </c>
      <c r="BN1203" s="510">
        <v>2000</v>
      </c>
      <c r="BO1203" s="510">
        <v>0</v>
      </c>
      <c r="BP1203" s="510">
        <v>2000</v>
      </c>
      <c r="BQ1203" s="510">
        <v>0</v>
      </c>
      <c r="BR1203" s="510">
        <v>0</v>
      </c>
      <c r="BS1203" s="510">
        <v>0</v>
      </c>
      <c r="BT1203" s="510">
        <v>0</v>
      </c>
      <c r="BU1203" s="510">
        <v>0</v>
      </c>
      <c r="BV1203" s="510">
        <v>0</v>
      </c>
      <c r="BW1203" s="510">
        <v>0</v>
      </c>
      <c r="BX1203" s="510">
        <v>30000</v>
      </c>
      <c r="BY1203" s="1011">
        <v>0</v>
      </c>
      <c r="BZ1203" s="510">
        <v>0</v>
      </c>
      <c r="CA1203" s="1011">
        <v>0</v>
      </c>
      <c r="CB1203" s="510">
        <v>0</v>
      </c>
      <c r="CC1203" s="1011">
        <v>0</v>
      </c>
      <c r="CD1203" s="510">
        <v>0</v>
      </c>
      <c r="CE1203" s="1011">
        <v>0</v>
      </c>
      <c r="CF1203" s="510">
        <v>37730.400000000001</v>
      </c>
      <c r="CG1203" s="1011">
        <v>0</v>
      </c>
      <c r="CH1203" s="510">
        <v>0</v>
      </c>
      <c r="CI1203" s="1011">
        <v>0</v>
      </c>
    </row>
    <row r="1204" spans="1:87" x14ac:dyDescent="0.2">
      <c r="A1204" s="449">
        <v>1</v>
      </c>
      <c r="B1204" s="453">
        <v>400006</v>
      </c>
      <c r="C1204" s="454" t="s">
        <v>9989</v>
      </c>
      <c r="D1204" s="454" t="s">
        <v>4613</v>
      </c>
      <c r="E1204" s="454" t="s">
        <v>9990</v>
      </c>
      <c r="F1204" s="454" t="s">
        <v>513</v>
      </c>
      <c r="G1204" s="454" t="s">
        <v>14305</v>
      </c>
      <c r="H1204" s="455">
        <v>7572629000155</v>
      </c>
      <c r="I1204" s="462">
        <v>38264</v>
      </c>
      <c r="J1204" s="457">
        <v>37411616</v>
      </c>
      <c r="K1204" s="454" t="s">
        <v>7124</v>
      </c>
      <c r="L1204" s="458">
        <v>177</v>
      </c>
      <c r="M1204" s="454" t="s">
        <v>7052</v>
      </c>
      <c r="N1204" s="459">
        <v>3928220</v>
      </c>
      <c r="O1204" s="460">
        <v>27046957</v>
      </c>
      <c r="P1204" s="462">
        <v>144293</v>
      </c>
      <c r="Q1204" s="462">
        <v>1</v>
      </c>
      <c r="R1204" s="462">
        <v>43937</v>
      </c>
      <c r="S1204" s="463">
        <v>168</v>
      </c>
      <c r="T1204" s="464">
        <v>3.6</v>
      </c>
      <c r="U1204" s="465">
        <v>604.79999999999995</v>
      </c>
      <c r="V1204" s="465">
        <v>10800</v>
      </c>
      <c r="W1204" s="466">
        <v>0</v>
      </c>
      <c r="X1204" s="467">
        <v>1</v>
      </c>
      <c r="Y1204" s="466">
        <v>17107.2</v>
      </c>
      <c r="Z1204" s="468" t="s">
        <v>516</v>
      </c>
      <c r="AA1204" s="466">
        <v>84931.199999999997</v>
      </c>
      <c r="AB1204" s="466">
        <v>84931.199999999997</v>
      </c>
      <c r="AC1204" s="467">
        <v>0</v>
      </c>
      <c r="AD1204" s="466">
        <v>0</v>
      </c>
      <c r="AE1204" s="468" t="s">
        <v>516</v>
      </c>
      <c r="AF1204" s="466">
        <v>0</v>
      </c>
      <c r="AG1204" s="466">
        <v>0</v>
      </c>
      <c r="AH1204" s="466">
        <v>16271.55</v>
      </c>
      <c r="AI1204" s="466">
        <v>2582.37</v>
      </c>
      <c r="AJ1204" s="469" t="s">
        <v>1972</v>
      </c>
      <c r="AK1204" s="470" t="s">
        <v>1973</v>
      </c>
      <c r="AL1204" s="471" t="s">
        <v>9991</v>
      </c>
      <c r="AM1204" s="470" t="s">
        <v>9992</v>
      </c>
      <c r="AN1204" s="470" t="s">
        <v>9993</v>
      </c>
      <c r="AO1204" s="470" t="s">
        <v>9994</v>
      </c>
      <c r="AP1204" s="470" t="s">
        <v>6279</v>
      </c>
      <c r="AQ1204" s="470" t="s">
        <v>9989</v>
      </c>
      <c r="AR1204" s="472" t="s">
        <v>515</v>
      </c>
      <c r="AS1204" s="473" t="s">
        <v>1385</v>
      </c>
      <c r="AT1204" s="472" t="s">
        <v>4613</v>
      </c>
      <c r="AU1204" s="472" t="s">
        <v>420</v>
      </c>
      <c r="AV1204" s="472">
        <v>2020</v>
      </c>
      <c r="AW1204" s="474" t="s">
        <v>15078</v>
      </c>
      <c r="AX1204" s="475" t="s">
        <v>15079</v>
      </c>
      <c r="AY1204" s="515">
        <v>1</v>
      </c>
      <c r="AZ1204" s="474" t="s">
        <v>15079</v>
      </c>
      <c r="BA1204" s="472" t="s">
        <v>4613</v>
      </c>
      <c r="BB1204" s="472" t="s">
        <v>1385</v>
      </c>
      <c r="BC1204" s="472" t="s">
        <v>1385</v>
      </c>
      <c r="BD1204" s="472" t="s">
        <v>1385</v>
      </c>
      <c r="BE1204" s="472" t="s">
        <v>1385</v>
      </c>
      <c r="BF1204" s="472">
        <v>17107.2</v>
      </c>
      <c r="BG1204" s="472">
        <v>0</v>
      </c>
      <c r="BH1204" s="472" t="s">
        <v>1385</v>
      </c>
      <c r="BI1204" s="510">
        <v>0</v>
      </c>
      <c r="BJ1204" s="510">
        <v>0</v>
      </c>
      <c r="BK1204" s="510">
        <v>0</v>
      </c>
      <c r="BL1204" s="510">
        <v>0</v>
      </c>
      <c r="BM1204" s="510">
        <v>0</v>
      </c>
      <c r="BN1204" s="510">
        <v>2000</v>
      </c>
      <c r="BO1204" s="510">
        <v>0</v>
      </c>
      <c r="BP1204" s="510">
        <v>0</v>
      </c>
      <c r="BQ1204" s="510">
        <v>0</v>
      </c>
      <c r="BR1204" s="510">
        <v>0</v>
      </c>
      <c r="BS1204" s="510">
        <v>0</v>
      </c>
      <c r="BT1204" s="510">
        <v>0</v>
      </c>
      <c r="BU1204" s="510">
        <v>0</v>
      </c>
      <c r="BV1204" s="510">
        <v>0</v>
      </c>
      <c r="BW1204" s="510">
        <v>0</v>
      </c>
      <c r="BX1204" s="510">
        <v>30000</v>
      </c>
      <c r="BY1204" s="1011">
        <v>0</v>
      </c>
      <c r="BZ1204" s="510">
        <v>0</v>
      </c>
      <c r="CA1204" s="1011">
        <v>0</v>
      </c>
      <c r="CB1204" s="510">
        <v>0</v>
      </c>
      <c r="CC1204" s="1011">
        <v>0</v>
      </c>
      <c r="CD1204" s="510">
        <v>0</v>
      </c>
      <c r="CE1204" s="1011">
        <v>0</v>
      </c>
      <c r="CF1204" s="510">
        <v>37824</v>
      </c>
      <c r="CG1204" s="1011">
        <v>0</v>
      </c>
      <c r="CH1204" s="510">
        <v>0</v>
      </c>
      <c r="CI1204" s="1011">
        <v>0</v>
      </c>
    </row>
    <row r="1205" spans="1:87" x14ac:dyDescent="0.2">
      <c r="A1205" s="449">
        <v>4</v>
      </c>
      <c r="B1205" s="453">
        <v>400007</v>
      </c>
      <c r="C1205" s="454" t="s">
        <v>9995</v>
      </c>
      <c r="D1205" s="454" t="s">
        <v>4613</v>
      </c>
      <c r="E1205" s="454" t="s">
        <v>9996</v>
      </c>
      <c r="F1205" s="454" t="s">
        <v>527</v>
      </c>
      <c r="G1205" s="454" t="s">
        <v>14306</v>
      </c>
      <c r="H1205" s="455">
        <v>8503541000144</v>
      </c>
      <c r="I1205" s="462">
        <v>39048</v>
      </c>
      <c r="J1205" s="457">
        <v>37586408</v>
      </c>
      <c r="K1205" s="454" t="s">
        <v>9997</v>
      </c>
      <c r="L1205" s="458">
        <v>380</v>
      </c>
      <c r="M1205" s="454" t="s">
        <v>9998</v>
      </c>
      <c r="N1205" s="459">
        <v>3518010</v>
      </c>
      <c r="O1205" s="460">
        <v>26534086</v>
      </c>
      <c r="P1205" s="462">
        <v>209018</v>
      </c>
      <c r="Q1205" s="462">
        <v>4</v>
      </c>
      <c r="R1205" s="462">
        <v>43917</v>
      </c>
      <c r="S1205" s="463">
        <v>142</v>
      </c>
      <c r="T1205" s="464">
        <v>3.6</v>
      </c>
      <c r="U1205" s="465">
        <v>511.2</v>
      </c>
      <c r="V1205" s="465">
        <v>10800</v>
      </c>
      <c r="W1205" s="466">
        <v>0</v>
      </c>
      <c r="X1205" s="467">
        <v>1</v>
      </c>
      <c r="Y1205" s="466">
        <v>16966.8</v>
      </c>
      <c r="Z1205" s="468" t="s">
        <v>516</v>
      </c>
      <c r="AA1205" s="466">
        <v>84589.2</v>
      </c>
      <c r="AB1205" s="466">
        <v>84589.2</v>
      </c>
      <c r="AC1205" s="467">
        <v>0</v>
      </c>
      <c r="AD1205" s="466">
        <v>0</v>
      </c>
      <c r="AE1205" s="468" t="s">
        <v>516</v>
      </c>
      <c r="AF1205" s="466">
        <v>0</v>
      </c>
      <c r="AG1205" s="466">
        <v>0</v>
      </c>
      <c r="AH1205" s="466">
        <v>2648.13</v>
      </c>
      <c r="AI1205" s="466">
        <v>3145.49</v>
      </c>
      <c r="AJ1205" s="469" t="s">
        <v>1560</v>
      </c>
      <c r="AK1205" s="470" t="s">
        <v>1615</v>
      </c>
      <c r="AL1205" s="471" t="s">
        <v>9999</v>
      </c>
      <c r="AM1205" s="470" t="s">
        <v>10000</v>
      </c>
      <c r="AN1205" s="470" t="s">
        <v>14306</v>
      </c>
      <c r="AO1205" s="470" t="s">
        <v>14307</v>
      </c>
      <c r="AP1205" s="470" t="s">
        <v>10001</v>
      </c>
      <c r="AQ1205" s="470" t="s">
        <v>9995</v>
      </c>
      <c r="AR1205" s="472" t="s">
        <v>515</v>
      </c>
      <c r="AS1205" s="473" t="s">
        <v>1385</v>
      </c>
      <c r="AT1205" s="472" t="s">
        <v>4613</v>
      </c>
      <c r="AU1205" s="472" t="s">
        <v>420</v>
      </c>
      <c r="AV1205" s="472">
        <v>2020</v>
      </c>
      <c r="AW1205" s="474" t="s">
        <v>15078</v>
      </c>
      <c r="AX1205" s="475" t="s">
        <v>15079</v>
      </c>
      <c r="AY1205" s="515">
        <v>1</v>
      </c>
      <c r="AZ1205" s="474" t="s">
        <v>15079</v>
      </c>
      <c r="BA1205" s="472" t="s">
        <v>4613</v>
      </c>
      <c r="BB1205" s="472" t="s">
        <v>1385</v>
      </c>
      <c r="BC1205" s="472" t="s">
        <v>1385</v>
      </c>
      <c r="BD1205" s="472" t="s">
        <v>1385</v>
      </c>
      <c r="BE1205" s="472" t="s">
        <v>1385</v>
      </c>
      <c r="BF1205" s="472">
        <v>16966.8</v>
      </c>
      <c r="BG1205" s="472">
        <v>0</v>
      </c>
      <c r="BH1205" s="472" t="s">
        <v>1385</v>
      </c>
      <c r="BI1205" s="510">
        <v>0</v>
      </c>
      <c r="BJ1205" s="510">
        <v>0</v>
      </c>
      <c r="BK1205" s="510">
        <v>0</v>
      </c>
      <c r="BL1205" s="510">
        <v>0</v>
      </c>
      <c r="BM1205" s="510">
        <v>0</v>
      </c>
      <c r="BN1205" s="510">
        <v>2000</v>
      </c>
      <c r="BO1205" s="510">
        <v>0</v>
      </c>
      <c r="BP1205" s="510">
        <v>0</v>
      </c>
      <c r="BQ1205" s="510">
        <v>0</v>
      </c>
      <c r="BR1205" s="510">
        <v>0</v>
      </c>
      <c r="BS1205" s="510">
        <v>0</v>
      </c>
      <c r="BT1205" s="510">
        <v>0</v>
      </c>
      <c r="BU1205" s="510">
        <v>0</v>
      </c>
      <c r="BV1205" s="510">
        <v>0</v>
      </c>
      <c r="BW1205" s="510">
        <v>0</v>
      </c>
      <c r="BX1205" s="510">
        <v>30000</v>
      </c>
      <c r="BY1205" s="1011">
        <v>0</v>
      </c>
      <c r="BZ1205" s="510">
        <v>0</v>
      </c>
      <c r="CA1205" s="1011">
        <v>0</v>
      </c>
      <c r="CB1205" s="510">
        <v>0</v>
      </c>
      <c r="CC1205" s="1011">
        <v>0</v>
      </c>
      <c r="CD1205" s="510">
        <v>0</v>
      </c>
      <c r="CE1205" s="1011">
        <v>0</v>
      </c>
      <c r="CF1205" s="510">
        <v>37622.400000000001</v>
      </c>
      <c r="CG1205" s="1011">
        <v>0</v>
      </c>
      <c r="CH1205" s="510">
        <v>0</v>
      </c>
      <c r="CI1205" s="1011">
        <v>0</v>
      </c>
    </row>
    <row r="1206" spans="1:87" x14ac:dyDescent="0.2">
      <c r="A1206" s="449">
        <v>5</v>
      </c>
      <c r="B1206" s="453">
        <v>400008</v>
      </c>
      <c r="C1206" s="454" t="s">
        <v>10002</v>
      </c>
      <c r="D1206" s="454" t="s">
        <v>4613</v>
      </c>
      <c r="E1206" s="454" t="s">
        <v>10003</v>
      </c>
      <c r="F1206" s="454" t="s">
        <v>527</v>
      </c>
      <c r="G1206" s="454" t="s">
        <v>14308</v>
      </c>
      <c r="H1206" s="455">
        <v>8446011000101</v>
      </c>
      <c r="I1206" s="462">
        <v>39015</v>
      </c>
      <c r="J1206" s="457">
        <v>35844507</v>
      </c>
      <c r="K1206" s="454" t="s">
        <v>10004</v>
      </c>
      <c r="L1206" s="458">
        <v>42</v>
      </c>
      <c r="M1206" s="454" t="s">
        <v>2005</v>
      </c>
      <c r="N1206" s="459">
        <v>3894200</v>
      </c>
      <c r="O1206" s="460">
        <v>22803693</v>
      </c>
      <c r="P1206" s="462">
        <v>183981</v>
      </c>
      <c r="Q1206" s="462">
        <v>5</v>
      </c>
      <c r="R1206" s="462">
        <v>43917</v>
      </c>
      <c r="S1206" s="463">
        <v>148</v>
      </c>
      <c r="T1206" s="464">
        <v>3.6</v>
      </c>
      <c r="U1206" s="465">
        <v>532.79999999999995</v>
      </c>
      <c r="V1206" s="465">
        <v>10800</v>
      </c>
      <c r="W1206" s="466">
        <v>0</v>
      </c>
      <c r="X1206" s="467">
        <v>1</v>
      </c>
      <c r="Y1206" s="466">
        <v>16999.2</v>
      </c>
      <c r="Z1206" s="468" t="s">
        <v>516</v>
      </c>
      <c r="AA1206" s="466">
        <v>84650.4</v>
      </c>
      <c r="AB1206" s="466">
        <v>84650.4</v>
      </c>
      <c r="AC1206" s="467">
        <v>0</v>
      </c>
      <c r="AD1206" s="466">
        <v>0</v>
      </c>
      <c r="AE1206" s="468" t="s">
        <v>516</v>
      </c>
      <c r="AF1206" s="466">
        <v>2000</v>
      </c>
      <c r="AG1206" s="466">
        <v>2000</v>
      </c>
      <c r="AH1206" s="466">
        <v>6800.1</v>
      </c>
      <c r="AI1206" s="466">
        <v>511.4</v>
      </c>
      <c r="AJ1206" s="469" t="s">
        <v>2004</v>
      </c>
      <c r="AK1206" s="470" t="s">
        <v>2005</v>
      </c>
      <c r="AL1206" s="471" t="s">
        <v>10005</v>
      </c>
      <c r="AM1206" s="470" t="s">
        <v>10006</v>
      </c>
      <c r="AN1206" s="470" t="s">
        <v>14308</v>
      </c>
      <c r="AO1206" s="470" t="s">
        <v>14309</v>
      </c>
      <c r="AP1206" s="470" t="s">
        <v>10007</v>
      </c>
      <c r="AQ1206" s="470" t="s">
        <v>10002</v>
      </c>
      <c r="AR1206" s="472" t="s">
        <v>515</v>
      </c>
      <c r="AS1206" s="473" t="s">
        <v>1385</v>
      </c>
      <c r="AT1206" s="472" t="s">
        <v>4613</v>
      </c>
      <c r="AU1206" s="472" t="s">
        <v>420</v>
      </c>
      <c r="AV1206" s="472">
        <v>2020</v>
      </c>
      <c r="AW1206" s="474" t="s">
        <v>15078</v>
      </c>
      <c r="AX1206" s="475" t="s">
        <v>15079</v>
      </c>
      <c r="AY1206" s="515">
        <v>1</v>
      </c>
      <c r="AZ1206" s="474" t="s">
        <v>15079</v>
      </c>
      <c r="BA1206" s="472" t="s">
        <v>4613</v>
      </c>
      <c r="BB1206" s="472" t="s">
        <v>1385</v>
      </c>
      <c r="BC1206" s="472" t="s">
        <v>1385</v>
      </c>
      <c r="BD1206" s="472" t="s">
        <v>1385</v>
      </c>
      <c r="BE1206" s="472" t="s">
        <v>1385</v>
      </c>
      <c r="BF1206" s="472">
        <v>16999.2</v>
      </c>
      <c r="BG1206" s="472">
        <v>0</v>
      </c>
      <c r="BH1206" s="472" t="s">
        <v>1385</v>
      </c>
      <c r="BI1206" s="510">
        <v>0</v>
      </c>
      <c r="BJ1206" s="510">
        <v>1966.6</v>
      </c>
      <c r="BK1206" s="510">
        <v>0</v>
      </c>
      <c r="BL1206" s="510">
        <v>0</v>
      </c>
      <c r="BM1206" s="510">
        <v>0</v>
      </c>
      <c r="BN1206" s="510">
        <v>2000</v>
      </c>
      <c r="BO1206" s="510">
        <v>0</v>
      </c>
      <c r="BP1206" s="510">
        <v>2000</v>
      </c>
      <c r="BQ1206" s="510">
        <v>0</v>
      </c>
      <c r="BR1206" s="510">
        <v>0</v>
      </c>
      <c r="BS1206" s="510">
        <v>0</v>
      </c>
      <c r="BT1206" s="510">
        <v>0</v>
      </c>
      <c r="BU1206" s="510">
        <v>0</v>
      </c>
      <c r="BV1206" s="510">
        <v>0</v>
      </c>
      <c r="BW1206" s="510">
        <v>0</v>
      </c>
      <c r="BX1206" s="510">
        <v>30000</v>
      </c>
      <c r="BY1206" s="1011">
        <v>0</v>
      </c>
      <c r="BZ1206" s="510">
        <v>0</v>
      </c>
      <c r="CA1206" s="1011">
        <v>0</v>
      </c>
      <c r="CB1206" s="510">
        <v>0</v>
      </c>
      <c r="CC1206" s="1011">
        <v>0</v>
      </c>
      <c r="CD1206" s="510">
        <v>0</v>
      </c>
      <c r="CE1206" s="1011">
        <v>0</v>
      </c>
      <c r="CF1206" s="510">
        <v>37651.199999999997</v>
      </c>
      <c r="CG1206" s="1011">
        <v>0</v>
      </c>
      <c r="CH1206" s="510">
        <v>0</v>
      </c>
      <c r="CI1206" s="1011">
        <v>0</v>
      </c>
    </row>
    <row r="1207" spans="1:87" x14ac:dyDescent="0.2">
      <c r="A1207" s="449">
        <v>6</v>
      </c>
      <c r="B1207" s="453">
        <v>400009</v>
      </c>
      <c r="C1207" s="454" t="s">
        <v>10008</v>
      </c>
      <c r="D1207" s="454" t="s">
        <v>4613</v>
      </c>
      <c r="E1207" s="454" t="s">
        <v>10009</v>
      </c>
      <c r="F1207" s="454" t="s">
        <v>527</v>
      </c>
      <c r="G1207" s="454" t="s">
        <v>14310</v>
      </c>
      <c r="H1207" s="455">
        <v>8829790000124</v>
      </c>
      <c r="I1207" s="462">
        <v>39059</v>
      </c>
      <c r="J1207" s="457">
        <v>37585746</v>
      </c>
      <c r="K1207" s="454" t="s">
        <v>10010</v>
      </c>
      <c r="L1207" s="458">
        <v>232</v>
      </c>
      <c r="M1207" s="454" t="s">
        <v>2529</v>
      </c>
      <c r="N1207" s="459">
        <v>3053010</v>
      </c>
      <c r="O1207" s="460">
        <v>26921741</v>
      </c>
      <c r="P1207" s="462">
        <v>178074</v>
      </c>
      <c r="Q1207" s="462">
        <v>6</v>
      </c>
      <c r="R1207" s="462">
        <v>43917</v>
      </c>
      <c r="S1207" s="463">
        <v>143</v>
      </c>
      <c r="T1207" s="464">
        <v>3.6</v>
      </c>
      <c r="U1207" s="465">
        <v>514.79999999999995</v>
      </c>
      <c r="V1207" s="465">
        <v>10800</v>
      </c>
      <c r="W1207" s="466">
        <v>0</v>
      </c>
      <c r="X1207" s="467">
        <v>1</v>
      </c>
      <c r="Y1207" s="466">
        <v>16972.2</v>
      </c>
      <c r="Z1207" s="468" t="s">
        <v>516</v>
      </c>
      <c r="AA1207" s="466">
        <v>84573</v>
      </c>
      <c r="AB1207" s="466">
        <v>84573</v>
      </c>
      <c r="AC1207" s="467">
        <v>0</v>
      </c>
      <c r="AD1207" s="466">
        <v>0</v>
      </c>
      <c r="AE1207" s="468" t="s">
        <v>516</v>
      </c>
      <c r="AF1207" s="466">
        <v>0</v>
      </c>
      <c r="AG1207" s="466">
        <v>0</v>
      </c>
      <c r="AH1207" s="466">
        <v>11975.06</v>
      </c>
      <c r="AI1207" s="466">
        <v>3874.84</v>
      </c>
      <c r="AJ1207" s="469" t="s">
        <v>2315</v>
      </c>
      <c r="AK1207" s="470" t="s">
        <v>2316</v>
      </c>
      <c r="AL1207" s="471" t="s">
        <v>10011</v>
      </c>
      <c r="AM1207" s="470" t="s">
        <v>14311</v>
      </c>
      <c r="AN1207" s="470" t="s">
        <v>14310</v>
      </c>
      <c r="AO1207" s="470" t="s">
        <v>14312</v>
      </c>
      <c r="AP1207" s="470" t="s">
        <v>10012</v>
      </c>
      <c r="AQ1207" s="470" t="s">
        <v>10008</v>
      </c>
      <c r="AR1207" s="472" t="s">
        <v>515</v>
      </c>
      <c r="AS1207" s="473" t="s">
        <v>1385</v>
      </c>
      <c r="AT1207" s="472" t="s">
        <v>4613</v>
      </c>
      <c r="AU1207" s="472" t="s">
        <v>420</v>
      </c>
      <c r="AV1207" s="472">
        <v>2020</v>
      </c>
      <c r="AW1207" s="474" t="s">
        <v>15078</v>
      </c>
      <c r="AX1207" s="475" t="s">
        <v>15079</v>
      </c>
      <c r="AY1207" s="515">
        <v>1</v>
      </c>
      <c r="AZ1207" s="474" t="s">
        <v>15079</v>
      </c>
      <c r="BA1207" s="472" t="s">
        <v>4613</v>
      </c>
      <c r="BB1207" s="472" t="s">
        <v>1385</v>
      </c>
      <c r="BC1207" s="472" t="s">
        <v>1385</v>
      </c>
      <c r="BD1207" s="472" t="s">
        <v>1385</v>
      </c>
      <c r="BE1207" s="472" t="s">
        <v>1385</v>
      </c>
      <c r="BF1207" s="472">
        <v>16972.2</v>
      </c>
      <c r="BG1207" s="472">
        <v>0</v>
      </c>
      <c r="BH1207" s="472" t="s">
        <v>1385</v>
      </c>
      <c r="BI1207" s="510">
        <v>0</v>
      </c>
      <c r="BJ1207" s="510">
        <v>0</v>
      </c>
      <c r="BK1207" s="510">
        <v>0</v>
      </c>
      <c r="BL1207" s="510">
        <v>0</v>
      </c>
      <c r="BM1207" s="510">
        <v>0</v>
      </c>
      <c r="BN1207" s="510">
        <v>2000</v>
      </c>
      <c r="BO1207" s="510">
        <v>0</v>
      </c>
      <c r="BP1207" s="510">
        <v>0</v>
      </c>
      <c r="BQ1207" s="510">
        <v>0</v>
      </c>
      <c r="BR1207" s="510">
        <v>0</v>
      </c>
      <c r="BS1207" s="510">
        <v>0</v>
      </c>
      <c r="BT1207" s="510">
        <v>0</v>
      </c>
      <c r="BU1207" s="510">
        <v>0</v>
      </c>
      <c r="BV1207" s="510">
        <v>0</v>
      </c>
      <c r="BW1207" s="510">
        <v>0</v>
      </c>
      <c r="BX1207" s="510">
        <v>30000</v>
      </c>
      <c r="BY1207" s="1011">
        <v>0</v>
      </c>
      <c r="BZ1207" s="510">
        <v>0</v>
      </c>
      <c r="CA1207" s="1011">
        <v>0</v>
      </c>
      <c r="CB1207" s="510">
        <v>0</v>
      </c>
      <c r="CC1207" s="1011">
        <v>0</v>
      </c>
      <c r="CD1207" s="510">
        <v>0</v>
      </c>
      <c r="CE1207" s="1011">
        <v>0</v>
      </c>
      <c r="CF1207" s="510">
        <v>37600.800000000003</v>
      </c>
      <c r="CG1207" s="1011">
        <v>0</v>
      </c>
      <c r="CH1207" s="510">
        <v>0</v>
      </c>
      <c r="CI1207" s="1011">
        <v>0</v>
      </c>
    </row>
    <row r="1208" spans="1:87" x14ac:dyDescent="0.2">
      <c r="A1208" s="449">
        <v>2</v>
      </c>
      <c r="B1208" s="453">
        <v>400010</v>
      </c>
      <c r="C1208" s="454" t="s">
        <v>10013</v>
      </c>
      <c r="D1208" s="454" t="s">
        <v>4613</v>
      </c>
      <c r="E1208" s="454" t="s">
        <v>10014</v>
      </c>
      <c r="F1208" s="454" t="s">
        <v>519</v>
      </c>
      <c r="G1208" s="454" t="s">
        <v>14313</v>
      </c>
      <c r="H1208" s="455">
        <v>6925962000138</v>
      </c>
      <c r="I1208" s="462">
        <v>38169</v>
      </c>
      <c r="J1208" s="457">
        <v>37358464</v>
      </c>
      <c r="K1208" s="454" t="s">
        <v>10016</v>
      </c>
      <c r="L1208" s="458">
        <v>257</v>
      </c>
      <c r="M1208" s="454" t="s">
        <v>10017</v>
      </c>
      <c r="N1208" s="459">
        <v>5568090</v>
      </c>
      <c r="O1208" s="460">
        <v>37846848</v>
      </c>
      <c r="P1208" s="462">
        <v>122311</v>
      </c>
      <c r="Q1208" s="462">
        <v>67</v>
      </c>
      <c r="R1208" s="462">
        <v>43881</v>
      </c>
      <c r="S1208" s="463">
        <v>135</v>
      </c>
      <c r="T1208" s="464">
        <v>3.6</v>
      </c>
      <c r="U1208" s="465">
        <v>486</v>
      </c>
      <c r="V1208" s="465">
        <v>10800</v>
      </c>
      <c r="W1208" s="466">
        <v>0</v>
      </c>
      <c r="X1208" s="467">
        <v>1</v>
      </c>
      <c r="Y1208" s="466">
        <v>0</v>
      </c>
      <c r="Z1208" s="468" t="s">
        <v>514</v>
      </c>
      <c r="AA1208" s="466">
        <v>0</v>
      </c>
      <c r="AB1208" s="466">
        <v>0</v>
      </c>
      <c r="AC1208" s="467">
        <v>0</v>
      </c>
      <c r="AD1208" s="466">
        <v>0</v>
      </c>
      <c r="AE1208" s="468" t="s">
        <v>516</v>
      </c>
      <c r="AF1208" s="466">
        <v>0</v>
      </c>
      <c r="AG1208" s="466">
        <v>0</v>
      </c>
      <c r="AH1208" s="466">
        <v>17220.57</v>
      </c>
      <c r="AI1208" s="466">
        <v>2349.85</v>
      </c>
      <c r="AJ1208" s="469" t="s">
        <v>1606</v>
      </c>
      <c r="AK1208" s="470" t="s">
        <v>519</v>
      </c>
      <c r="AL1208" s="471" t="s">
        <v>10018</v>
      </c>
      <c r="AM1208" s="470" t="s">
        <v>10019</v>
      </c>
      <c r="AN1208" s="470" t="s">
        <v>10015</v>
      </c>
      <c r="AO1208" s="470" t="s">
        <v>10020</v>
      </c>
      <c r="AP1208" s="470" t="s">
        <v>10021</v>
      </c>
      <c r="AQ1208" s="470" t="s">
        <v>10013</v>
      </c>
      <c r="AR1208" s="472" t="s">
        <v>515</v>
      </c>
      <c r="AS1208" s="473" t="s">
        <v>1385</v>
      </c>
      <c r="AT1208" s="472" t="s">
        <v>4613</v>
      </c>
      <c r="AU1208" s="472" t="s">
        <v>420</v>
      </c>
      <c r="AV1208" s="472">
        <v>2020</v>
      </c>
      <c r="AW1208" s="474" t="s">
        <v>15078</v>
      </c>
      <c r="AX1208" s="475" t="s">
        <v>15079</v>
      </c>
      <c r="AY1208" s="515">
        <v>1</v>
      </c>
      <c r="AZ1208" s="474" t="s">
        <v>15079</v>
      </c>
      <c r="BA1208" s="472" t="s">
        <v>1385</v>
      </c>
      <c r="BB1208" s="472" t="s">
        <v>1385</v>
      </c>
      <c r="BC1208" s="472" t="s">
        <v>1385</v>
      </c>
      <c r="BD1208" s="472" t="s">
        <v>1385</v>
      </c>
      <c r="BE1208" s="472" t="s">
        <v>1385</v>
      </c>
      <c r="BF1208" s="472">
        <v>16929</v>
      </c>
      <c r="BG1208" s="472">
        <v>0</v>
      </c>
      <c r="BH1208" s="472" t="s">
        <v>516</v>
      </c>
      <c r="BI1208" s="510">
        <v>0</v>
      </c>
      <c r="BJ1208" s="510">
        <v>0</v>
      </c>
      <c r="BK1208" s="510">
        <v>0</v>
      </c>
      <c r="BL1208" s="510">
        <v>0</v>
      </c>
      <c r="BM1208" s="510">
        <v>0</v>
      </c>
      <c r="BN1208" s="510">
        <v>0</v>
      </c>
      <c r="BO1208" s="510">
        <v>0</v>
      </c>
      <c r="BP1208" s="510">
        <v>0</v>
      </c>
      <c r="BQ1208" s="510">
        <v>0</v>
      </c>
      <c r="BR1208" s="510">
        <v>0</v>
      </c>
      <c r="BS1208" s="510">
        <v>0</v>
      </c>
      <c r="BT1208" s="510">
        <v>0</v>
      </c>
      <c r="BU1208" s="510">
        <v>0</v>
      </c>
      <c r="BV1208" s="510">
        <v>0</v>
      </c>
      <c r="BW1208" s="510">
        <v>0</v>
      </c>
      <c r="BX1208" s="510">
        <v>0</v>
      </c>
      <c r="BY1208" s="1011">
        <v>0</v>
      </c>
      <c r="BZ1208" s="510">
        <v>0</v>
      </c>
      <c r="CA1208" s="1011">
        <v>0</v>
      </c>
      <c r="CB1208" s="510">
        <v>0</v>
      </c>
      <c r="CC1208" s="1011">
        <v>0</v>
      </c>
      <c r="CD1208" s="510">
        <v>0</v>
      </c>
      <c r="CE1208" s="1011">
        <v>0</v>
      </c>
      <c r="CF1208" s="510">
        <v>0</v>
      </c>
      <c r="CG1208" s="1011">
        <v>0</v>
      </c>
      <c r="CH1208" s="510">
        <v>0</v>
      </c>
      <c r="CI1208" s="1011">
        <v>0</v>
      </c>
    </row>
    <row r="1209" spans="1:87" x14ac:dyDescent="0.2">
      <c r="A1209" s="449">
        <v>2</v>
      </c>
      <c r="B1209" s="453">
        <v>400011</v>
      </c>
      <c r="C1209" s="454" t="s">
        <v>10022</v>
      </c>
      <c r="D1209" s="454" t="s">
        <v>4613</v>
      </c>
      <c r="E1209" s="454" t="s">
        <v>10023</v>
      </c>
      <c r="F1209" s="454" t="s">
        <v>513</v>
      </c>
      <c r="G1209" s="454" t="s">
        <v>14314</v>
      </c>
      <c r="H1209" s="455">
        <v>8427941000118</v>
      </c>
      <c r="I1209" s="462">
        <v>39013</v>
      </c>
      <c r="J1209" s="457">
        <v>37411306</v>
      </c>
      <c r="K1209" s="454" t="s">
        <v>10024</v>
      </c>
      <c r="L1209" s="458">
        <v>27</v>
      </c>
      <c r="M1209" s="454" t="s">
        <v>2029</v>
      </c>
      <c r="N1209" s="459">
        <v>83304</v>
      </c>
      <c r="O1209" s="460">
        <v>20197001</v>
      </c>
      <c r="P1209" s="462">
        <v>144307</v>
      </c>
      <c r="Q1209" s="462">
        <v>2</v>
      </c>
      <c r="R1209" s="462">
        <v>43937</v>
      </c>
      <c r="S1209" s="463">
        <v>201</v>
      </c>
      <c r="T1209" s="464">
        <v>3.6</v>
      </c>
      <c r="U1209" s="465">
        <v>723.6</v>
      </c>
      <c r="V1209" s="465">
        <v>11760</v>
      </c>
      <c r="W1209" s="466">
        <v>0</v>
      </c>
      <c r="X1209" s="467">
        <v>1</v>
      </c>
      <c r="Y1209" s="466">
        <v>18725.400000000001</v>
      </c>
      <c r="Z1209" s="468" t="s">
        <v>516</v>
      </c>
      <c r="AA1209" s="466">
        <v>86729.4</v>
      </c>
      <c r="AB1209" s="466">
        <v>86729.4</v>
      </c>
      <c r="AC1209" s="467">
        <v>0</v>
      </c>
      <c r="AD1209" s="466">
        <v>0</v>
      </c>
      <c r="AE1209" s="468" t="s">
        <v>516</v>
      </c>
      <c r="AF1209" s="466">
        <v>0</v>
      </c>
      <c r="AG1209" s="466">
        <v>0</v>
      </c>
      <c r="AH1209" s="466">
        <v>11180.94</v>
      </c>
      <c r="AI1209" s="466">
        <v>7439.52</v>
      </c>
      <c r="AJ1209" s="469" t="s">
        <v>2520</v>
      </c>
      <c r="AK1209" s="470" t="s">
        <v>2521</v>
      </c>
      <c r="AL1209" s="471" t="s">
        <v>10025</v>
      </c>
      <c r="AM1209" s="470" t="s">
        <v>10026</v>
      </c>
      <c r="AN1209" s="470" t="s">
        <v>10027</v>
      </c>
      <c r="AO1209" s="470" t="s">
        <v>10028</v>
      </c>
      <c r="AP1209" s="470" t="s">
        <v>10029</v>
      </c>
      <c r="AQ1209" s="470" t="s">
        <v>10022</v>
      </c>
      <c r="AR1209" s="472" t="s">
        <v>515</v>
      </c>
      <c r="AS1209" s="473" t="s">
        <v>1385</v>
      </c>
      <c r="AT1209" s="472" t="s">
        <v>4613</v>
      </c>
      <c r="AU1209" s="472" t="s">
        <v>420</v>
      </c>
      <c r="AV1209" s="472">
        <v>2020</v>
      </c>
      <c r="AW1209" s="474" t="s">
        <v>15078</v>
      </c>
      <c r="AX1209" s="475" t="s">
        <v>15079</v>
      </c>
      <c r="AY1209" s="515">
        <v>1</v>
      </c>
      <c r="AZ1209" s="474" t="s">
        <v>15079</v>
      </c>
      <c r="BA1209" s="472" t="s">
        <v>4613</v>
      </c>
      <c r="BB1209" s="472" t="s">
        <v>1385</v>
      </c>
      <c r="BC1209" s="472" t="s">
        <v>1385</v>
      </c>
      <c r="BD1209" s="472" t="s">
        <v>1385</v>
      </c>
      <c r="BE1209" s="472" t="s">
        <v>1385</v>
      </c>
      <c r="BF1209" s="472">
        <v>18725.400000000001</v>
      </c>
      <c r="BG1209" s="472">
        <v>0</v>
      </c>
      <c r="BH1209" s="472" t="s">
        <v>1385</v>
      </c>
      <c r="BI1209" s="510">
        <v>0</v>
      </c>
      <c r="BJ1209" s="510">
        <v>0</v>
      </c>
      <c r="BK1209" s="510">
        <v>0</v>
      </c>
      <c r="BL1209" s="510">
        <v>0</v>
      </c>
      <c r="BM1209" s="510">
        <v>0</v>
      </c>
      <c r="BN1209" s="510">
        <v>2000</v>
      </c>
      <c r="BO1209" s="510">
        <v>0</v>
      </c>
      <c r="BP1209" s="510">
        <v>0</v>
      </c>
      <c r="BQ1209" s="510">
        <v>0</v>
      </c>
      <c r="BR1209" s="510">
        <v>0</v>
      </c>
      <c r="BS1209" s="510">
        <v>0</v>
      </c>
      <c r="BT1209" s="510">
        <v>0</v>
      </c>
      <c r="BU1209" s="510">
        <v>0</v>
      </c>
      <c r="BV1209" s="510">
        <v>0</v>
      </c>
      <c r="BW1209" s="510">
        <v>0</v>
      </c>
      <c r="BX1209" s="510">
        <v>30000</v>
      </c>
      <c r="BY1209" s="1011">
        <v>0</v>
      </c>
      <c r="BZ1209" s="510">
        <v>0</v>
      </c>
      <c r="CA1209" s="1011">
        <v>0</v>
      </c>
      <c r="CB1209" s="510">
        <v>0</v>
      </c>
      <c r="CC1209" s="1011">
        <v>0</v>
      </c>
      <c r="CD1209" s="510">
        <v>0</v>
      </c>
      <c r="CE1209" s="1011">
        <v>0</v>
      </c>
      <c r="CF1209" s="510">
        <v>38004</v>
      </c>
      <c r="CG1209" s="1011">
        <v>0</v>
      </c>
      <c r="CH1209" s="510">
        <v>0</v>
      </c>
      <c r="CI1209" s="1011">
        <v>0</v>
      </c>
    </row>
    <row r="1210" spans="1:87" x14ac:dyDescent="0.2">
      <c r="A1210" s="449">
        <v>1</v>
      </c>
      <c r="B1210" s="453">
        <v>400012</v>
      </c>
      <c r="C1210" s="454" t="s">
        <v>10030</v>
      </c>
      <c r="D1210" s="454" t="s">
        <v>4613</v>
      </c>
      <c r="E1210" s="454" t="s">
        <v>10031</v>
      </c>
      <c r="F1210" s="454" t="s">
        <v>518</v>
      </c>
      <c r="G1210" s="454" t="s">
        <v>14315</v>
      </c>
      <c r="H1210" s="455">
        <v>10836261000108</v>
      </c>
      <c r="I1210" s="462">
        <v>39798</v>
      </c>
      <c r="J1210" s="457">
        <v>40087891</v>
      </c>
      <c r="K1210" s="454" t="s">
        <v>10033</v>
      </c>
      <c r="L1210" s="458" t="s">
        <v>1446</v>
      </c>
      <c r="M1210" s="454" t="s">
        <v>10034</v>
      </c>
      <c r="N1210" s="459">
        <v>8255040</v>
      </c>
      <c r="O1210" s="460">
        <v>25213861</v>
      </c>
      <c r="P1210" s="462">
        <v>46313</v>
      </c>
      <c r="Q1210" s="462">
        <v>1</v>
      </c>
      <c r="R1210" s="462">
        <v>43934</v>
      </c>
      <c r="S1210" s="463">
        <v>125</v>
      </c>
      <c r="T1210" s="464">
        <v>3.6</v>
      </c>
      <c r="U1210" s="465">
        <v>450</v>
      </c>
      <c r="V1210" s="465">
        <v>10800</v>
      </c>
      <c r="W1210" s="466">
        <v>0</v>
      </c>
      <c r="X1210" s="467">
        <v>1</v>
      </c>
      <c r="Y1210" s="466">
        <v>16875</v>
      </c>
      <c r="Z1210" s="468" t="s">
        <v>516</v>
      </c>
      <c r="AA1210" s="466">
        <v>84389.4</v>
      </c>
      <c r="AB1210" s="466">
        <v>84389.4</v>
      </c>
      <c r="AC1210" s="467">
        <v>0</v>
      </c>
      <c r="AD1210" s="466">
        <v>0</v>
      </c>
      <c r="AE1210" s="468" t="s">
        <v>516</v>
      </c>
      <c r="AF1210" s="466">
        <v>0</v>
      </c>
      <c r="AG1210" s="466">
        <v>0</v>
      </c>
      <c r="AH1210" s="466">
        <v>13913.17</v>
      </c>
      <c r="AI1210" s="466">
        <v>2708</v>
      </c>
      <c r="AJ1210" s="469" t="s">
        <v>1674</v>
      </c>
      <c r="AK1210" s="470" t="s">
        <v>518</v>
      </c>
      <c r="AL1210" s="471" t="s">
        <v>10035</v>
      </c>
      <c r="AM1210" s="470" t="s">
        <v>14316</v>
      </c>
      <c r="AN1210" s="470" t="s">
        <v>10032</v>
      </c>
      <c r="AO1210" s="470" t="s">
        <v>15044</v>
      </c>
      <c r="AP1210" s="470" t="s">
        <v>10036</v>
      </c>
      <c r="AQ1210" s="470" t="s">
        <v>10030</v>
      </c>
      <c r="AR1210" s="472" t="s">
        <v>515</v>
      </c>
      <c r="AS1210" s="473" t="s">
        <v>1385</v>
      </c>
      <c r="AT1210" s="472" t="s">
        <v>4613</v>
      </c>
      <c r="AU1210" s="472" t="s">
        <v>420</v>
      </c>
      <c r="AV1210" s="472">
        <v>2020</v>
      </c>
      <c r="AW1210" s="474" t="s">
        <v>15078</v>
      </c>
      <c r="AX1210" s="475" t="s">
        <v>15079</v>
      </c>
      <c r="AY1210" s="515">
        <v>1</v>
      </c>
      <c r="AZ1210" s="474" t="s">
        <v>15079</v>
      </c>
      <c r="BA1210" s="472" t="s">
        <v>4613</v>
      </c>
      <c r="BB1210" s="472" t="s">
        <v>1385</v>
      </c>
      <c r="BC1210" s="472" t="s">
        <v>1385</v>
      </c>
      <c r="BD1210" s="472" t="s">
        <v>1385</v>
      </c>
      <c r="BE1210" s="472" t="s">
        <v>1385</v>
      </c>
      <c r="BF1210" s="472">
        <v>16875</v>
      </c>
      <c r="BG1210" s="472">
        <v>0</v>
      </c>
      <c r="BH1210" s="472" t="s">
        <v>1385</v>
      </c>
      <c r="BI1210" s="510">
        <v>0</v>
      </c>
      <c r="BJ1210" s="510">
        <v>0</v>
      </c>
      <c r="BK1210" s="510">
        <v>0</v>
      </c>
      <c r="BL1210" s="510">
        <v>0</v>
      </c>
      <c r="BM1210" s="510">
        <v>0</v>
      </c>
      <c r="BN1210" s="510">
        <v>2000</v>
      </c>
      <c r="BO1210" s="510">
        <v>0</v>
      </c>
      <c r="BP1210" s="510">
        <v>0</v>
      </c>
      <c r="BQ1210" s="510">
        <v>0</v>
      </c>
      <c r="BR1210" s="510">
        <v>0</v>
      </c>
      <c r="BS1210" s="510">
        <v>0</v>
      </c>
      <c r="BT1210" s="510">
        <v>0</v>
      </c>
      <c r="BU1210" s="510">
        <v>0</v>
      </c>
      <c r="BV1210" s="510">
        <v>0</v>
      </c>
      <c r="BW1210" s="510">
        <v>0</v>
      </c>
      <c r="BX1210" s="510">
        <v>30000</v>
      </c>
      <c r="BY1210" s="1011">
        <v>0</v>
      </c>
      <c r="BZ1210" s="510">
        <v>0</v>
      </c>
      <c r="CA1210" s="1011">
        <v>0</v>
      </c>
      <c r="CB1210" s="510">
        <v>0</v>
      </c>
      <c r="CC1210" s="1011">
        <v>0</v>
      </c>
      <c r="CD1210" s="510">
        <v>0</v>
      </c>
      <c r="CE1210" s="1011">
        <v>0</v>
      </c>
      <c r="CF1210" s="510">
        <v>37514.400000000001</v>
      </c>
      <c r="CG1210" s="1011">
        <v>0</v>
      </c>
      <c r="CH1210" s="510">
        <v>0</v>
      </c>
      <c r="CI1210" s="1011">
        <v>0</v>
      </c>
    </row>
    <row r="1211" spans="1:87" x14ac:dyDescent="0.2">
      <c r="A1211" s="449">
        <v>1</v>
      </c>
      <c r="B1211" s="453">
        <v>400013</v>
      </c>
      <c r="C1211" s="454" t="s">
        <v>10037</v>
      </c>
      <c r="D1211" s="454" t="s">
        <v>4613</v>
      </c>
      <c r="E1211" s="454" t="s">
        <v>10038</v>
      </c>
      <c r="F1211" s="454" t="s">
        <v>526</v>
      </c>
      <c r="G1211" s="454" t="s">
        <v>14317</v>
      </c>
      <c r="H1211" s="455">
        <v>8394426000189</v>
      </c>
      <c r="I1211" s="462">
        <v>39000</v>
      </c>
      <c r="J1211" s="457">
        <v>37585681</v>
      </c>
      <c r="K1211" s="454" t="s">
        <v>10039</v>
      </c>
      <c r="L1211" s="458">
        <v>25</v>
      </c>
      <c r="M1211" s="454" t="s">
        <v>10040</v>
      </c>
      <c r="N1211" s="459">
        <v>8151400</v>
      </c>
      <c r="O1211" s="460">
        <v>25661980</v>
      </c>
      <c r="P1211" s="462">
        <v>108980</v>
      </c>
      <c r="Q1211" s="462">
        <v>1</v>
      </c>
      <c r="R1211" s="462">
        <v>43928</v>
      </c>
      <c r="S1211" s="463">
        <v>124</v>
      </c>
      <c r="T1211" s="464">
        <v>3.6</v>
      </c>
      <c r="U1211" s="465">
        <v>446.4</v>
      </c>
      <c r="V1211" s="465">
        <v>10800</v>
      </c>
      <c r="W1211" s="466">
        <v>0</v>
      </c>
      <c r="X1211" s="467">
        <v>1</v>
      </c>
      <c r="Y1211" s="466">
        <v>16869.599999999999</v>
      </c>
      <c r="Z1211" s="468" t="s">
        <v>516</v>
      </c>
      <c r="AA1211" s="466">
        <v>84376.8</v>
      </c>
      <c r="AB1211" s="466">
        <v>84376.8</v>
      </c>
      <c r="AC1211" s="467">
        <v>0</v>
      </c>
      <c r="AD1211" s="466">
        <v>0</v>
      </c>
      <c r="AE1211" s="468" t="s">
        <v>516</v>
      </c>
      <c r="AF1211" s="466">
        <v>0</v>
      </c>
      <c r="AG1211" s="466">
        <v>0</v>
      </c>
      <c r="AH1211" s="466">
        <v>10478.82</v>
      </c>
      <c r="AI1211" s="466">
        <v>3498.16</v>
      </c>
      <c r="AJ1211" s="469" t="s">
        <v>1410</v>
      </c>
      <c r="AK1211" s="470" t="s">
        <v>1411</v>
      </c>
      <c r="AL1211" s="471" t="s">
        <v>10041</v>
      </c>
      <c r="AM1211" s="470" t="s">
        <v>10042</v>
      </c>
      <c r="AN1211" s="470" t="s">
        <v>1385</v>
      </c>
      <c r="AO1211" s="470" t="s">
        <v>10043</v>
      </c>
      <c r="AP1211" s="470" t="s">
        <v>10044</v>
      </c>
      <c r="AQ1211" s="470" t="s">
        <v>10037</v>
      </c>
      <c r="AR1211" s="472" t="s">
        <v>515</v>
      </c>
      <c r="AS1211" s="473" t="s">
        <v>1385</v>
      </c>
      <c r="AT1211" s="472" t="s">
        <v>4613</v>
      </c>
      <c r="AU1211" s="472" t="s">
        <v>420</v>
      </c>
      <c r="AV1211" s="472">
        <v>2020</v>
      </c>
      <c r="AW1211" s="474" t="s">
        <v>15078</v>
      </c>
      <c r="AX1211" s="475" t="s">
        <v>15079</v>
      </c>
      <c r="AY1211" s="515">
        <v>1</v>
      </c>
      <c r="AZ1211" s="474" t="s">
        <v>15079</v>
      </c>
      <c r="BA1211" s="472" t="s">
        <v>4613</v>
      </c>
      <c r="BB1211" s="472" t="s">
        <v>1385</v>
      </c>
      <c r="BC1211" s="472" t="s">
        <v>1385</v>
      </c>
      <c r="BD1211" s="472" t="s">
        <v>1385</v>
      </c>
      <c r="BE1211" s="472" t="s">
        <v>1385</v>
      </c>
      <c r="BF1211" s="472">
        <v>16869.599999999999</v>
      </c>
      <c r="BG1211" s="472">
        <v>0</v>
      </c>
      <c r="BH1211" s="472" t="s">
        <v>1385</v>
      </c>
      <c r="BI1211" s="510">
        <v>0</v>
      </c>
      <c r="BJ1211" s="510">
        <v>495.2</v>
      </c>
      <c r="BK1211" s="510">
        <v>0</v>
      </c>
      <c r="BL1211" s="510">
        <v>0</v>
      </c>
      <c r="BM1211" s="510">
        <v>0</v>
      </c>
      <c r="BN1211" s="510">
        <v>2000</v>
      </c>
      <c r="BO1211" s="510">
        <v>0</v>
      </c>
      <c r="BP1211" s="510">
        <v>0</v>
      </c>
      <c r="BQ1211" s="510">
        <v>0</v>
      </c>
      <c r="BR1211" s="510">
        <v>0</v>
      </c>
      <c r="BS1211" s="510">
        <v>0</v>
      </c>
      <c r="BT1211" s="510">
        <v>0</v>
      </c>
      <c r="BU1211" s="510">
        <v>0</v>
      </c>
      <c r="BV1211" s="510">
        <v>0</v>
      </c>
      <c r="BW1211" s="510">
        <v>0</v>
      </c>
      <c r="BX1211" s="510">
        <v>30000</v>
      </c>
      <c r="BY1211" s="1011">
        <v>0</v>
      </c>
      <c r="BZ1211" s="510">
        <v>0</v>
      </c>
      <c r="CA1211" s="1011">
        <v>0</v>
      </c>
      <c r="CB1211" s="510">
        <v>0</v>
      </c>
      <c r="CC1211" s="1011">
        <v>0</v>
      </c>
      <c r="CD1211" s="510">
        <v>0</v>
      </c>
      <c r="CE1211" s="1011">
        <v>0</v>
      </c>
      <c r="CF1211" s="510">
        <v>37507.199999999997</v>
      </c>
      <c r="CG1211" s="1011">
        <v>0</v>
      </c>
      <c r="CH1211" s="510">
        <v>0</v>
      </c>
      <c r="CI1211" s="1011">
        <v>0</v>
      </c>
    </row>
    <row r="1212" spans="1:87" x14ac:dyDescent="0.2">
      <c r="A1212" s="449">
        <v>3</v>
      </c>
      <c r="B1212" s="453">
        <v>400014</v>
      </c>
      <c r="C1212" s="454" t="s">
        <v>10045</v>
      </c>
      <c r="D1212" s="454" t="s">
        <v>4613</v>
      </c>
      <c r="E1212" s="454" t="s">
        <v>10046</v>
      </c>
      <c r="F1212" s="454" t="s">
        <v>513</v>
      </c>
      <c r="G1212" s="454" t="s">
        <v>14318</v>
      </c>
      <c r="H1212" s="455">
        <v>7513790000158</v>
      </c>
      <c r="I1212" s="462">
        <v>38329</v>
      </c>
      <c r="J1212" s="457">
        <v>37530828</v>
      </c>
      <c r="K1212" s="454" t="s">
        <v>10047</v>
      </c>
      <c r="L1212" s="458">
        <v>105</v>
      </c>
      <c r="M1212" s="454" t="s">
        <v>7052</v>
      </c>
      <c r="N1212" s="459">
        <v>3975050</v>
      </c>
      <c r="O1212" s="460">
        <v>29194950</v>
      </c>
      <c r="P1212" s="462">
        <v>144331</v>
      </c>
      <c r="Q1212" s="462">
        <v>3</v>
      </c>
      <c r="R1212" s="462">
        <v>43937</v>
      </c>
      <c r="S1212" s="463">
        <v>145</v>
      </c>
      <c r="T1212" s="464">
        <v>3.6</v>
      </c>
      <c r="U1212" s="465">
        <v>522</v>
      </c>
      <c r="V1212" s="465">
        <v>10800</v>
      </c>
      <c r="W1212" s="466">
        <v>0</v>
      </c>
      <c r="X1212" s="467">
        <v>1</v>
      </c>
      <c r="Y1212" s="466">
        <v>16983</v>
      </c>
      <c r="Z1212" s="468" t="s">
        <v>516</v>
      </c>
      <c r="AA1212" s="466">
        <v>84591</v>
      </c>
      <c r="AB1212" s="466">
        <v>84591</v>
      </c>
      <c r="AC1212" s="467">
        <v>0</v>
      </c>
      <c r="AD1212" s="466">
        <v>0</v>
      </c>
      <c r="AE1212" s="468" t="s">
        <v>516</v>
      </c>
      <c r="AF1212" s="466">
        <v>0</v>
      </c>
      <c r="AG1212" s="466">
        <v>0</v>
      </c>
      <c r="AH1212" s="466">
        <v>6892.67</v>
      </c>
      <c r="AI1212" s="466">
        <v>0</v>
      </c>
      <c r="AJ1212" s="469" t="s">
        <v>1972</v>
      </c>
      <c r="AK1212" s="470" t="s">
        <v>1973</v>
      </c>
      <c r="AL1212" s="471" t="s">
        <v>10048</v>
      </c>
      <c r="AM1212" s="470" t="s">
        <v>14319</v>
      </c>
      <c r="AN1212" s="470" t="s">
        <v>10049</v>
      </c>
      <c r="AO1212" s="470" t="s">
        <v>10050</v>
      </c>
      <c r="AP1212" s="470" t="s">
        <v>10051</v>
      </c>
      <c r="AQ1212" s="470" t="s">
        <v>10045</v>
      </c>
      <c r="AR1212" s="472" t="s">
        <v>515</v>
      </c>
      <c r="AS1212" s="473" t="s">
        <v>1385</v>
      </c>
      <c r="AT1212" s="472" t="s">
        <v>4613</v>
      </c>
      <c r="AU1212" s="472" t="s">
        <v>420</v>
      </c>
      <c r="AV1212" s="472">
        <v>2020</v>
      </c>
      <c r="AW1212" s="474" t="s">
        <v>15078</v>
      </c>
      <c r="AX1212" s="475" t="s">
        <v>15079</v>
      </c>
      <c r="AY1212" s="515">
        <v>1</v>
      </c>
      <c r="AZ1212" s="474" t="s">
        <v>15079</v>
      </c>
      <c r="BA1212" s="472" t="s">
        <v>4613</v>
      </c>
      <c r="BB1212" s="472" t="s">
        <v>1385</v>
      </c>
      <c r="BC1212" s="472" t="s">
        <v>1385</v>
      </c>
      <c r="BD1212" s="472" t="s">
        <v>1385</v>
      </c>
      <c r="BE1212" s="472" t="s">
        <v>1385</v>
      </c>
      <c r="BF1212" s="472">
        <v>16983</v>
      </c>
      <c r="BG1212" s="472">
        <v>0</v>
      </c>
      <c r="BH1212" s="472" t="s">
        <v>1385</v>
      </c>
      <c r="BI1212" s="510">
        <v>0</v>
      </c>
      <c r="BJ1212" s="510">
        <v>0</v>
      </c>
      <c r="BK1212" s="510">
        <v>0</v>
      </c>
      <c r="BL1212" s="510">
        <v>0</v>
      </c>
      <c r="BM1212" s="510">
        <v>0</v>
      </c>
      <c r="BN1212" s="510">
        <v>2000</v>
      </c>
      <c r="BO1212" s="510">
        <v>0</v>
      </c>
      <c r="BP1212" s="510">
        <v>0</v>
      </c>
      <c r="BQ1212" s="510">
        <v>0</v>
      </c>
      <c r="BR1212" s="510">
        <v>0</v>
      </c>
      <c r="BS1212" s="510">
        <v>0</v>
      </c>
      <c r="BT1212" s="510">
        <v>0</v>
      </c>
      <c r="BU1212" s="510">
        <v>0</v>
      </c>
      <c r="BV1212" s="510">
        <v>0</v>
      </c>
      <c r="BW1212" s="510">
        <v>0</v>
      </c>
      <c r="BX1212" s="510">
        <v>30000</v>
      </c>
      <c r="BY1212" s="1011">
        <v>0</v>
      </c>
      <c r="BZ1212" s="510">
        <v>0</v>
      </c>
      <c r="CA1212" s="1011">
        <v>0</v>
      </c>
      <c r="CB1212" s="510">
        <v>0</v>
      </c>
      <c r="CC1212" s="1011">
        <v>0</v>
      </c>
      <c r="CD1212" s="510">
        <v>0</v>
      </c>
      <c r="CE1212" s="1011">
        <v>0</v>
      </c>
      <c r="CF1212" s="510">
        <v>37608</v>
      </c>
      <c r="CG1212" s="1011">
        <v>0</v>
      </c>
      <c r="CH1212" s="510">
        <v>0</v>
      </c>
      <c r="CI1212" s="1011">
        <v>0</v>
      </c>
    </row>
    <row r="1213" spans="1:87" x14ac:dyDescent="0.2">
      <c r="A1213" s="449">
        <v>3</v>
      </c>
      <c r="B1213" s="453">
        <v>400015</v>
      </c>
      <c r="C1213" s="454" t="s">
        <v>10052</v>
      </c>
      <c r="D1213" s="454" t="s">
        <v>4613</v>
      </c>
      <c r="E1213" s="454" t="s">
        <v>10053</v>
      </c>
      <c r="F1213" s="454" t="s">
        <v>521</v>
      </c>
      <c r="G1213" s="454" t="s">
        <v>14320</v>
      </c>
      <c r="H1213" s="455">
        <v>7701855000199</v>
      </c>
      <c r="I1213" s="462">
        <v>38118</v>
      </c>
      <c r="J1213" s="457">
        <v>37552040</v>
      </c>
      <c r="K1213" s="454" t="s">
        <v>10054</v>
      </c>
      <c r="L1213" s="458">
        <v>205</v>
      </c>
      <c r="M1213" s="454" t="s">
        <v>1570</v>
      </c>
      <c r="N1213" s="459">
        <v>4784145</v>
      </c>
      <c r="O1213" s="460">
        <v>56606763</v>
      </c>
      <c r="P1213" s="462">
        <v>87903</v>
      </c>
      <c r="Q1213" s="462">
        <v>18</v>
      </c>
      <c r="R1213" s="462">
        <v>43934</v>
      </c>
      <c r="S1213" s="463">
        <v>147</v>
      </c>
      <c r="T1213" s="464">
        <v>3.6</v>
      </c>
      <c r="U1213" s="465">
        <v>529.20000000000005</v>
      </c>
      <c r="V1213" s="465">
        <v>10800</v>
      </c>
      <c r="W1213" s="466">
        <v>0</v>
      </c>
      <c r="X1213" s="467">
        <v>1</v>
      </c>
      <c r="Y1213" s="466">
        <v>16993.8</v>
      </c>
      <c r="Z1213" s="468" t="s">
        <v>516</v>
      </c>
      <c r="AA1213" s="466">
        <v>84645</v>
      </c>
      <c r="AB1213" s="466">
        <v>84645</v>
      </c>
      <c r="AC1213" s="467">
        <v>0</v>
      </c>
      <c r="AD1213" s="466">
        <v>0</v>
      </c>
      <c r="AE1213" s="468" t="s">
        <v>516</v>
      </c>
      <c r="AF1213" s="466">
        <v>0</v>
      </c>
      <c r="AG1213" s="466">
        <v>0</v>
      </c>
      <c r="AH1213" s="466">
        <v>11137.52</v>
      </c>
      <c r="AI1213" s="466">
        <v>3213.95</v>
      </c>
      <c r="AJ1213" s="469" t="s">
        <v>1624</v>
      </c>
      <c r="AK1213" s="470" t="s">
        <v>1625</v>
      </c>
      <c r="AL1213" s="471" t="s">
        <v>10055</v>
      </c>
      <c r="AM1213" s="470" t="s">
        <v>10056</v>
      </c>
      <c r="AN1213" s="470" t="s">
        <v>1385</v>
      </c>
      <c r="AO1213" s="470" t="s">
        <v>10057</v>
      </c>
      <c r="AP1213" s="470" t="s">
        <v>2099</v>
      </c>
      <c r="AQ1213" s="470" t="s">
        <v>10052</v>
      </c>
      <c r="AR1213" s="472" t="s">
        <v>515</v>
      </c>
      <c r="AS1213" s="473" t="s">
        <v>1385</v>
      </c>
      <c r="AT1213" s="472" t="s">
        <v>4613</v>
      </c>
      <c r="AU1213" s="472" t="s">
        <v>420</v>
      </c>
      <c r="AV1213" s="472">
        <v>2020</v>
      </c>
      <c r="AW1213" s="474" t="s">
        <v>15078</v>
      </c>
      <c r="AX1213" s="475" t="s">
        <v>15079</v>
      </c>
      <c r="AY1213" s="515">
        <v>1</v>
      </c>
      <c r="AZ1213" s="474" t="s">
        <v>15079</v>
      </c>
      <c r="BA1213" s="472" t="s">
        <v>4613</v>
      </c>
      <c r="BB1213" s="472" t="s">
        <v>1385</v>
      </c>
      <c r="BC1213" s="472" t="s">
        <v>1385</v>
      </c>
      <c r="BD1213" s="472" t="s">
        <v>1385</v>
      </c>
      <c r="BE1213" s="472" t="s">
        <v>1385</v>
      </c>
      <c r="BF1213" s="472">
        <v>16993.8</v>
      </c>
      <c r="BG1213" s="472">
        <v>0</v>
      </c>
      <c r="BH1213" s="472" t="s">
        <v>1385</v>
      </c>
      <c r="BI1213" s="510">
        <v>0</v>
      </c>
      <c r="BJ1213" s="510">
        <v>0</v>
      </c>
      <c r="BK1213" s="510">
        <v>0</v>
      </c>
      <c r="BL1213" s="510">
        <v>0</v>
      </c>
      <c r="BM1213" s="510">
        <v>0</v>
      </c>
      <c r="BN1213" s="510">
        <v>2000</v>
      </c>
      <c r="BO1213" s="510">
        <v>0</v>
      </c>
      <c r="BP1213" s="510">
        <v>0</v>
      </c>
      <c r="BQ1213" s="510">
        <v>0</v>
      </c>
      <c r="BR1213" s="510">
        <v>0</v>
      </c>
      <c r="BS1213" s="510">
        <v>0</v>
      </c>
      <c r="BT1213" s="510">
        <v>0</v>
      </c>
      <c r="BU1213" s="510">
        <v>0</v>
      </c>
      <c r="BV1213" s="510">
        <v>0</v>
      </c>
      <c r="BW1213" s="510">
        <v>0</v>
      </c>
      <c r="BX1213" s="510">
        <v>30000</v>
      </c>
      <c r="BY1213" s="1011">
        <v>0</v>
      </c>
      <c r="BZ1213" s="510">
        <v>0</v>
      </c>
      <c r="CA1213" s="1011">
        <v>0</v>
      </c>
      <c r="CB1213" s="510">
        <v>0</v>
      </c>
      <c r="CC1213" s="1011">
        <v>0</v>
      </c>
      <c r="CD1213" s="510">
        <v>0</v>
      </c>
      <c r="CE1213" s="1011">
        <v>0</v>
      </c>
      <c r="CF1213" s="510">
        <v>37651.199999999997</v>
      </c>
      <c r="CG1213" s="1011">
        <v>0</v>
      </c>
      <c r="CH1213" s="510">
        <v>0</v>
      </c>
      <c r="CI1213" s="1011">
        <v>0</v>
      </c>
    </row>
    <row r="1214" spans="1:87" x14ac:dyDescent="0.2">
      <c r="A1214" s="449">
        <v>2</v>
      </c>
      <c r="B1214" s="453">
        <v>400016</v>
      </c>
      <c r="C1214" s="454" t="s">
        <v>10058</v>
      </c>
      <c r="D1214" s="454" t="s">
        <v>4613</v>
      </c>
      <c r="E1214" s="454" t="s">
        <v>10059</v>
      </c>
      <c r="F1214" s="454" t="s">
        <v>523</v>
      </c>
      <c r="G1214" s="454" t="s">
        <v>14321</v>
      </c>
      <c r="H1214" s="455">
        <v>8053724000105</v>
      </c>
      <c r="I1214" s="462">
        <v>38847</v>
      </c>
      <c r="J1214" s="457">
        <v>35659505</v>
      </c>
      <c r="K1214" s="454" t="s">
        <v>9177</v>
      </c>
      <c r="L1214" s="458">
        <v>80</v>
      </c>
      <c r="M1214" s="454" t="s">
        <v>1950</v>
      </c>
      <c r="N1214" s="459">
        <v>8470790</v>
      </c>
      <c r="O1214" s="460">
        <v>22821618</v>
      </c>
      <c r="P1214" s="462">
        <v>267280</v>
      </c>
      <c r="Q1214" s="462">
        <v>2</v>
      </c>
      <c r="R1214" s="462">
        <v>43921</v>
      </c>
      <c r="S1214" s="463">
        <v>126</v>
      </c>
      <c r="T1214" s="464">
        <v>3.6</v>
      </c>
      <c r="U1214" s="465">
        <v>453.6</v>
      </c>
      <c r="V1214" s="465">
        <v>10800</v>
      </c>
      <c r="W1214" s="466">
        <v>0</v>
      </c>
      <c r="X1214" s="467">
        <v>1</v>
      </c>
      <c r="Y1214" s="466">
        <v>16880.400000000001</v>
      </c>
      <c r="Z1214" s="468" t="s">
        <v>516</v>
      </c>
      <c r="AA1214" s="466">
        <v>84445.2</v>
      </c>
      <c r="AB1214" s="466">
        <v>84445.2</v>
      </c>
      <c r="AC1214" s="467">
        <v>0</v>
      </c>
      <c r="AD1214" s="466">
        <v>0</v>
      </c>
      <c r="AE1214" s="468" t="s">
        <v>516</v>
      </c>
      <c r="AF1214" s="466">
        <v>0</v>
      </c>
      <c r="AG1214" s="466">
        <v>0</v>
      </c>
      <c r="AH1214" s="466">
        <v>19890.93</v>
      </c>
      <c r="AI1214" s="466">
        <v>2272.7199999999998</v>
      </c>
      <c r="AJ1214" s="469" t="s">
        <v>1674</v>
      </c>
      <c r="AK1214" s="470" t="s">
        <v>518</v>
      </c>
      <c r="AL1214" s="471" t="s">
        <v>10061</v>
      </c>
      <c r="AM1214" s="470" t="s">
        <v>14322</v>
      </c>
      <c r="AN1214" s="470" t="s">
        <v>10060</v>
      </c>
      <c r="AO1214" s="470" t="s">
        <v>10062</v>
      </c>
      <c r="AP1214" s="470" t="s">
        <v>10063</v>
      </c>
      <c r="AQ1214" s="470" t="s">
        <v>10058</v>
      </c>
      <c r="AR1214" s="472" t="s">
        <v>515</v>
      </c>
      <c r="AS1214" s="473" t="s">
        <v>1385</v>
      </c>
      <c r="AT1214" s="472" t="s">
        <v>4613</v>
      </c>
      <c r="AU1214" s="472" t="s">
        <v>420</v>
      </c>
      <c r="AV1214" s="472">
        <v>2020</v>
      </c>
      <c r="AW1214" s="474" t="s">
        <v>15078</v>
      </c>
      <c r="AX1214" s="475" t="s">
        <v>15079</v>
      </c>
      <c r="AY1214" s="515">
        <v>1</v>
      </c>
      <c r="AZ1214" s="474" t="s">
        <v>15079</v>
      </c>
      <c r="BA1214" s="472" t="s">
        <v>4613</v>
      </c>
      <c r="BB1214" s="472" t="s">
        <v>1385</v>
      </c>
      <c r="BC1214" s="472" t="s">
        <v>1385</v>
      </c>
      <c r="BD1214" s="472" t="s">
        <v>1385</v>
      </c>
      <c r="BE1214" s="472" t="s">
        <v>1385</v>
      </c>
      <c r="BF1214" s="472">
        <v>16880.400000000001</v>
      </c>
      <c r="BG1214" s="472">
        <v>0</v>
      </c>
      <c r="BH1214" s="472" t="s">
        <v>1385</v>
      </c>
      <c r="BI1214" s="510">
        <v>0</v>
      </c>
      <c r="BJ1214" s="510">
        <v>0</v>
      </c>
      <c r="BK1214" s="510">
        <v>0</v>
      </c>
      <c r="BL1214" s="510">
        <v>0</v>
      </c>
      <c r="BM1214" s="510">
        <v>0</v>
      </c>
      <c r="BN1214" s="510">
        <v>2000</v>
      </c>
      <c r="BO1214" s="510">
        <v>0</v>
      </c>
      <c r="BP1214" s="510">
        <v>0</v>
      </c>
      <c r="BQ1214" s="510">
        <v>0</v>
      </c>
      <c r="BR1214" s="510">
        <v>0</v>
      </c>
      <c r="BS1214" s="510">
        <v>0</v>
      </c>
      <c r="BT1214" s="510">
        <v>0</v>
      </c>
      <c r="BU1214" s="510">
        <v>0</v>
      </c>
      <c r="BV1214" s="510">
        <v>0</v>
      </c>
      <c r="BW1214" s="510">
        <v>0</v>
      </c>
      <c r="BX1214" s="510">
        <v>30000</v>
      </c>
      <c r="BY1214" s="1011">
        <v>0</v>
      </c>
      <c r="BZ1214" s="510">
        <v>0</v>
      </c>
      <c r="CA1214" s="1011">
        <v>0</v>
      </c>
      <c r="CB1214" s="510">
        <v>0</v>
      </c>
      <c r="CC1214" s="1011">
        <v>0</v>
      </c>
      <c r="CD1214" s="510">
        <v>0</v>
      </c>
      <c r="CE1214" s="1011">
        <v>0</v>
      </c>
      <c r="CF1214" s="510">
        <v>37564.800000000003</v>
      </c>
      <c r="CG1214" s="1011">
        <v>0</v>
      </c>
      <c r="CH1214" s="510">
        <v>0</v>
      </c>
      <c r="CI1214" s="1011">
        <v>0</v>
      </c>
    </row>
    <row r="1215" spans="1:87" x14ac:dyDescent="0.2">
      <c r="A1215" s="449">
        <v>2</v>
      </c>
      <c r="B1215" s="453">
        <v>400017</v>
      </c>
      <c r="C1215" s="454" t="s">
        <v>10064</v>
      </c>
      <c r="D1215" s="454" t="s">
        <v>4613</v>
      </c>
      <c r="E1215" s="454" t="s">
        <v>10065</v>
      </c>
      <c r="F1215" s="454" t="s">
        <v>528</v>
      </c>
      <c r="G1215" s="454" t="s">
        <v>14323</v>
      </c>
      <c r="H1215" s="455">
        <v>7722716000141</v>
      </c>
      <c r="I1215" s="462">
        <v>38646</v>
      </c>
      <c r="J1215" s="457">
        <v>37375407</v>
      </c>
      <c r="K1215" s="454" t="s">
        <v>2466</v>
      </c>
      <c r="L1215" s="458">
        <v>674</v>
      </c>
      <c r="M1215" s="454" t="s">
        <v>10066</v>
      </c>
      <c r="N1215" s="459">
        <v>2955080</v>
      </c>
      <c r="O1215" s="460">
        <v>39748818</v>
      </c>
      <c r="P1215" s="462">
        <v>218483</v>
      </c>
      <c r="Q1215" s="462">
        <v>2</v>
      </c>
      <c r="R1215" s="462">
        <v>43938</v>
      </c>
      <c r="S1215" s="463">
        <v>143</v>
      </c>
      <c r="T1215" s="464">
        <v>3.6</v>
      </c>
      <c r="U1215" s="465">
        <v>514.79999999999995</v>
      </c>
      <c r="V1215" s="465">
        <v>10800</v>
      </c>
      <c r="W1215" s="466">
        <v>0</v>
      </c>
      <c r="X1215" s="467">
        <v>1</v>
      </c>
      <c r="Y1215" s="466">
        <v>16972.2</v>
      </c>
      <c r="Z1215" s="468" t="s">
        <v>516</v>
      </c>
      <c r="AA1215" s="466">
        <v>84594.6</v>
      </c>
      <c r="AB1215" s="466">
        <v>84594.6</v>
      </c>
      <c r="AC1215" s="467">
        <v>0</v>
      </c>
      <c r="AD1215" s="466">
        <v>0</v>
      </c>
      <c r="AE1215" s="468" t="s">
        <v>516</v>
      </c>
      <c r="AF1215" s="466">
        <v>0</v>
      </c>
      <c r="AG1215" s="466">
        <v>0</v>
      </c>
      <c r="AH1215" s="466">
        <v>13954.85</v>
      </c>
      <c r="AI1215" s="466">
        <v>6873.11</v>
      </c>
      <c r="AJ1215" s="469" t="s">
        <v>1571</v>
      </c>
      <c r="AK1215" s="470" t="s">
        <v>528</v>
      </c>
      <c r="AL1215" s="471" t="s">
        <v>10067</v>
      </c>
      <c r="AM1215" s="470" t="s">
        <v>10068</v>
      </c>
      <c r="AN1215" s="470" t="s">
        <v>10069</v>
      </c>
      <c r="AO1215" s="470" t="s">
        <v>10070</v>
      </c>
      <c r="AP1215" s="470" t="s">
        <v>10071</v>
      </c>
      <c r="AQ1215" s="470" t="s">
        <v>10064</v>
      </c>
      <c r="AR1215" s="472" t="s">
        <v>515</v>
      </c>
      <c r="AS1215" s="473" t="s">
        <v>1385</v>
      </c>
      <c r="AT1215" s="472" t="s">
        <v>4613</v>
      </c>
      <c r="AU1215" s="472" t="s">
        <v>420</v>
      </c>
      <c r="AV1215" s="472">
        <v>2020</v>
      </c>
      <c r="AW1215" s="474" t="s">
        <v>15078</v>
      </c>
      <c r="AX1215" s="475" t="s">
        <v>15079</v>
      </c>
      <c r="AY1215" s="515">
        <v>1</v>
      </c>
      <c r="AZ1215" s="474" t="s">
        <v>15079</v>
      </c>
      <c r="BA1215" s="472" t="s">
        <v>4613</v>
      </c>
      <c r="BB1215" s="472" t="s">
        <v>1385</v>
      </c>
      <c r="BC1215" s="472" t="s">
        <v>1385</v>
      </c>
      <c r="BD1215" s="472" t="s">
        <v>1385</v>
      </c>
      <c r="BE1215" s="472" t="s">
        <v>1385</v>
      </c>
      <c r="BF1215" s="472">
        <v>16972.2</v>
      </c>
      <c r="BG1215" s="472">
        <v>0</v>
      </c>
      <c r="BH1215" s="472" t="s">
        <v>1385</v>
      </c>
      <c r="BI1215" s="510">
        <v>0</v>
      </c>
      <c r="BJ1215" s="510">
        <v>35.799999999999997</v>
      </c>
      <c r="BK1215" s="510">
        <v>0</v>
      </c>
      <c r="BL1215" s="510">
        <v>0</v>
      </c>
      <c r="BM1215" s="510">
        <v>0</v>
      </c>
      <c r="BN1215" s="510">
        <v>2000</v>
      </c>
      <c r="BO1215" s="510">
        <v>0</v>
      </c>
      <c r="BP1215" s="510">
        <v>0</v>
      </c>
      <c r="BQ1215" s="510">
        <v>0</v>
      </c>
      <c r="BR1215" s="510">
        <v>0</v>
      </c>
      <c r="BS1215" s="510">
        <v>0</v>
      </c>
      <c r="BT1215" s="510">
        <v>0</v>
      </c>
      <c r="BU1215" s="510">
        <v>0</v>
      </c>
      <c r="BV1215" s="510">
        <v>0</v>
      </c>
      <c r="BW1215" s="510">
        <v>0</v>
      </c>
      <c r="BX1215" s="510">
        <v>30000</v>
      </c>
      <c r="BY1215" s="1011">
        <v>0</v>
      </c>
      <c r="BZ1215" s="510">
        <v>0</v>
      </c>
      <c r="CA1215" s="1011">
        <v>0</v>
      </c>
      <c r="CB1215" s="510">
        <v>0</v>
      </c>
      <c r="CC1215" s="1011">
        <v>0</v>
      </c>
      <c r="CD1215" s="510">
        <v>0</v>
      </c>
      <c r="CE1215" s="1011">
        <v>0</v>
      </c>
      <c r="CF1215" s="510">
        <v>37622.400000000001</v>
      </c>
      <c r="CG1215" s="1011">
        <v>0</v>
      </c>
      <c r="CH1215" s="510">
        <v>0</v>
      </c>
      <c r="CI1215" s="1011">
        <v>0</v>
      </c>
    </row>
    <row r="1216" spans="1:87" x14ac:dyDescent="0.2">
      <c r="A1216" s="449">
        <v>3</v>
      </c>
      <c r="B1216" s="453">
        <v>400018</v>
      </c>
      <c r="C1216" s="454" t="s">
        <v>10072</v>
      </c>
      <c r="D1216" s="454" t="s">
        <v>4613</v>
      </c>
      <c r="E1216" s="454" t="s">
        <v>10073</v>
      </c>
      <c r="F1216" s="454" t="s">
        <v>519</v>
      </c>
      <c r="G1216" s="454" t="s">
        <v>14324</v>
      </c>
      <c r="H1216" s="455">
        <v>6722018000183</v>
      </c>
      <c r="I1216" s="462">
        <v>38133</v>
      </c>
      <c r="J1216" s="457">
        <v>37358430</v>
      </c>
      <c r="K1216" s="454" t="s">
        <v>10075</v>
      </c>
      <c r="L1216" s="458">
        <v>150</v>
      </c>
      <c r="M1216" s="454" t="s">
        <v>10076</v>
      </c>
      <c r="N1216" s="459">
        <v>5528220</v>
      </c>
      <c r="O1216" s="460">
        <v>37511867</v>
      </c>
      <c r="P1216" s="462">
        <v>117083</v>
      </c>
      <c r="Q1216" s="462">
        <v>68</v>
      </c>
      <c r="R1216" s="462">
        <v>43881</v>
      </c>
      <c r="S1216" s="463">
        <v>100</v>
      </c>
      <c r="T1216" s="464">
        <v>3.6</v>
      </c>
      <c r="U1216" s="465">
        <v>360</v>
      </c>
      <c r="V1216" s="465">
        <v>10800</v>
      </c>
      <c r="W1216" s="466">
        <v>0</v>
      </c>
      <c r="X1216" s="467">
        <v>1</v>
      </c>
      <c r="Y1216" s="466">
        <v>0</v>
      </c>
      <c r="Z1216" s="468" t="s">
        <v>514</v>
      </c>
      <c r="AA1216" s="466">
        <v>0</v>
      </c>
      <c r="AB1216" s="466">
        <v>0</v>
      </c>
      <c r="AC1216" s="467">
        <v>0</v>
      </c>
      <c r="AD1216" s="466">
        <v>0</v>
      </c>
      <c r="AE1216" s="468" t="s">
        <v>516</v>
      </c>
      <c r="AF1216" s="466">
        <v>0</v>
      </c>
      <c r="AG1216" s="466">
        <v>0</v>
      </c>
      <c r="AH1216" s="466">
        <v>20645.87</v>
      </c>
      <c r="AI1216" s="466">
        <v>843.94</v>
      </c>
      <c r="AJ1216" s="469" t="s">
        <v>2443</v>
      </c>
      <c r="AK1216" s="470" t="s">
        <v>10077</v>
      </c>
      <c r="AL1216" s="471" t="s">
        <v>10078</v>
      </c>
      <c r="AM1216" s="470" t="s">
        <v>10079</v>
      </c>
      <c r="AN1216" s="470" t="s">
        <v>10074</v>
      </c>
      <c r="AO1216" s="470" t="s">
        <v>10080</v>
      </c>
      <c r="AP1216" s="470" t="s">
        <v>10081</v>
      </c>
      <c r="AQ1216" s="470" t="s">
        <v>10072</v>
      </c>
      <c r="AR1216" s="472" t="s">
        <v>515</v>
      </c>
      <c r="AS1216" s="473" t="s">
        <v>1385</v>
      </c>
      <c r="AT1216" s="472" t="s">
        <v>4613</v>
      </c>
      <c r="AU1216" s="472" t="s">
        <v>420</v>
      </c>
      <c r="AV1216" s="472">
        <v>2020</v>
      </c>
      <c r="AW1216" s="474" t="s">
        <v>15078</v>
      </c>
      <c r="AX1216" s="475" t="s">
        <v>15079</v>
      </c>
      <c r="AY1216" s="515">
        <v>1</v>
      </c>
      <c r="AZ1216" s="474" t="s">
        <v>15079</v>
      </c>
      <c r="BA1216" s="472" t="s">
        <v>1385</v>
      </c>
      <c r="BB1216" s="472" t="s">
        <v>1385</v>
      </c>
      <c r="BC1216" s="472" t="s">
        <v>1385</v>
      </c>
      <c r="BD1216" s="472" t="s">
        <v>1385</v>
      </c>
      <c r="BE1216" s="472" t="s">
        <v>1385</v>
      </c>
      <c r="BF1216" s="472">
        <v>16740</v>
      </c>
      <c r="BG1216" s="472">
        <v>0</v>
      </c>
      <c r="BH1216" s="472" t="s">
        <v>516</v>
      </c>
      <c r="BI1216" s="510">
        <v>0</v>
      </c>
      <c r="BJ1216" s="510">
        <v>0</v>
      </c>
      <c r="BK1216" s="510">
        <v>0</v>
      </c>
      <c r="BL1216" s="510">
        <v>0</v>
      </c>
      <c r="BM1216" s="510">
        <v>0</v>
      </c>
      <c r="BN1216" s="510">
        <v>0</v>
      </c>
      <c r="BO1216" s="510">
        <v>0</v>
      </c>
      <c r="BP1216" s="510">
        <v>0</v>
      </c>
      <c r="BQ1216" s="510">
        <v>0</v>
      </c>
      <c r="BR1216" s="510">
        <v>0</v>
      </c>
      <c r="BS1216" s="510">
        <v>0</v>
      </c>
      <c r="BT1216" s="510">
        <v>0</v>
      </c>
      <c r="BU1216" s="510">
        <v>0</v>
      </c>
      <c r="BV1216" s="510">
        <v>0</v>
      </c>
      <c r="BW1216" s="510">
        <v>0</v>
      </c>
      <c r="BX1216" s="510">
        <v>0</v>
      </c>
      <c r="BY1216" s="1011">
        <v>0</v>
      </c>
      <c r="BZ1216" s="510">
        <v>0</v>
      </c>
      <c r="CA1216" s="1011">
        <v>0</v>
      </c>
      <c r="CB1216" s="510">
        <v>0</v>
      </c>
      <c r="CC1216" s="1011">
        <v>0</v>
      </c>
      <c r="CD1216" s="510">
        <v>0</v>
      </c>
      <c r="CE1216" s="1011">
        <v>0</v>
      </c>
      <c r="CF1216" s="510">
        <v>0</v>
      </c>
      <c r="CG1216" s="1011">
        <v>0</v>
      </c>
      <c r="CH1216" s="510">
        <v>0</v>
      </c>
      <c r="CI1216" s="1011">
        <v>0</v>
      </c>
    </row>
    <row r="1217" spans="1:87" x14ac:dyDescent="0.2">
      <c r="A1217" s="449">
        <v>31</v>
      </c>
      <c r="B1217" s="453">
        <v>400019</v>
      </c>
      <c r="C1217" s="454" t="s">
        <v>10082</v>
      </c>
      <c r="D1217" s="454" t="s">
        <v>4613</v>
      </c>
      <c r="E1217" s="454" t="s">
        <v>10083</v>
      </c>
      <c r="F1217" s="454" t="s">
        <v>527</v>
      </c>
      <c r="G1217" s="454" t="s">
        <v>14325</v>
      </c>
      <c r="H1217" s="455">
        <v>8036891000148</v>
      </c>
      <c r="I1217" s="462">
        <v>38819</v>
      </c>
      <c r="J1217" s="457">
        <v>37555413</v>
      </c>
      <c r="K1217" s="454" t="s">
        <v>10084</v>
      </c>
      <c r="L1217" s="458">
        <v>1050</v>
      </c>
      <c r="M1217" s="454" t="s">
        <v>10085</v>
      </c>
      <c r="N1217" s="459">
        <v>3681000</v>
      </c>
      <c r="O1217" s="460">
        <v>22805348</v>
      </c>
      <c r="P1217" s="462">
        <v>217088</v>
      </c>
      <c r="Q1217" s="462">
        <v>33</v>
      </c>
      <c r="R1217" s="462">
        <v>43917</v>
      </c>
      <c r="S1217" s="463">
        <v>153</v>
      </c>
      <c r="T1217" s="464">
        <v>3.6</v>
      </c>
      <c r="U1217" s="465">
        <v>550.79999999999995</v>
      </c>
      <c r="V1217" s="465">
        <v>10800</v>
      </c>
      <c r="W1217" s="466">
        <v>0</v>
      </c>
      <c r="X1217" s="467">
        <v>1</v>
      </c>
      <c r="Y1217" s="466">
        <v>17026.2</v>
      </c>
      <c r="Z1217" s="468" t="s">
        <v>516</v>
      </c>
      <c r="AA1217" s="466">
        <v>84720.6</v>
      </c>
      <c r="AB1217" s="466">
        <v>84720.6</v>
      </c>
      <c r="AC1217" s="467">
        <v>0</v>
      </c>
      <c r="AD1217" s="466">
        <v>0</v>
      </c>
      <c r="AE1217" s="468" t="s">
        <v>516</v>
      </c>
      <c r="AF1217" s="466">
        <v>0</v>
      </c>
      <c r="AG1217" s="466">
        <v>0</v>
      </c>
      <c r="AH1217" s="466">
        <v>9767.8799999999992</v>
      </c>
      <c r="AI1217" s="466">
        <v>5902.01</v>
      </c>
      <c r="AJ1217" s="469" t="s">
        <v>4600</v>
      </c>
      <c r="AK1217" s="470" t="s">
        <v>9714</v>
      </c>
      <c r="AL1217" s="471" t="s">
        <v>10086</v>
      </c>
      <c r="AM1217" s="470" t="s">
        <v>10087</v>
      </c>
      <c r="AN1217" s="470" t="s">
        <v>14326</v>
      </c>
      <c r="AO1217" s="470" t="s">
        <v>14327</v>
      </c>
      <c r="AP1217" s="470" t="s">
        <v>10088</v>
      </c>
      <c r="AQ1217" s="470" t="s">
        <v>10082</v>
      </c>
      <c r="AR1217" s="472" t="s">
        <v>515</v>
      </c>
      <c r="AS1217" s="473" t="s">
        <v>1385</v>
      </c>
      <c r="AT1217" s="472" t="s">
        <v>4613</v>
      </c>
      <c r="AU1217" s="472" t="s">
        <v>420</v>
      </c>
      <c r="AV1217" s="472">
        <v>2020</v>
      </c>
      <c r="AW1217" s="474" t="s">
        <v>15078</v>
      </c>
      <c r="AX1217" s="475" t="s">
        <v>15079</v>
      </c>
      <c r="AY1217" s="515">
        <v>1</v>
      </c>
      <c r="AZ1217" s="474" t="s">
        <v>15079</v>
      </c>
      <c r="BA1217" s="472" t="s">
        <v>4613</v>
      </c>
      <c r="BB1217" s="472" t="s">
        <v>1385</v>
      </c>
      <c r="BC1217" s="472" t="s">
        <v>1385</v>
      </c>
      <c r="BD1217" s="472" t="s">
        <v>1385</v>
      </c>
      <c r="BE1217" s="472" t="s">
        <v>1385</v>
      </c>
      <c r="BF1217" s="472">
        <v>17026.2</v>
      </c>
      <c r="BG1217" s="472">
        <v>0</v>
      </c>
      <c r="BH1217" s="472" t="s">
        <v>1385</v>
      </c>
      <c r="BI1217" s="510">
        <v>0</v>
      </c>
      <c r="BJ1217" s="510">
        <v>0</v>
      </c>
      <c r="BK1217" s="510">
        <v>0</v>
      </c>
      <c r="BL1217" s="510">
        <v>0</v>
      </c>
      <c r="BM1217" s="510">
        <v>0</v>
      </c>
      <c r="BN1217" s="510">
        <v>2000</v>
      </c>
      <c r="BO1217" s="510">
        <v>0</v>
      </c>
      <c r="BP1217" s="510">
        <v>0</v>
      </c>
      <c r="BQ1217" s="510">
        <v>0</v>
      </c>
      <c r="BR1217" s="510">
        <v>0</v>
      </c>
      <c r="BS1217" s="510">
        <v>0</v>
      </c>
      <c r="BT1217" s="510">
        <v>0</v>
      </c>
      <c r="BU1217" s="510">
        <v>0</v>
      </c>
      <c r="BV1217" s="510">
        <v>0</v>
      </c>
      <c r="BW1217" s="510">
        <v>0</v>
      </c>
      <c r="BX1217" s="510">
        <v>30000</v>
      </c>
      <c r="BY1217" s="1011">
        <v>0</v>
      </c>
      <c r="BZ1217" s="510">
        <v>0</v>
      </c>
      <c r="CA1217" s="1011">
        <v>0</v>
      </c>
      <c r="CB1217" s="510">
        <v>0</v>
      </c>
      <c r="CC1217" s="1011">
        <v>0</v>
      </c>
      <c r="CD1217" s="510">
        <v>0</v>
      </c>
      <c r="CE1217" s="1011">
        <v>0</v>
      </c>
      <c r="CF1217" s="510">
        <v>37694.400000000001</v>
      </c>
      <c r="CG1217" s="1011">
        <v>0</v>
      </c>
      <c r="CH1217" s="510">
        <v>0</v>
      </c>
      <c r="CI1217" s="1011">
        <v>0</v>
      </c>
    </row>
    <row r="1218" spans="1:87" x14ac:dyDescent="0.2">
      <c r="A1218" s="449">
        <v>2</v>
      </c>
      <c r="B1218" s="453">
        <v>400020</v>
      </c>
      <c r="C1218" s="454" t="s">
        <v>10089</v>
      </c>
      <c r="D1218" s="454" t="s">
        <v>4613</v>
      </c>
      <c r="E1218" s="454" t="s">
        <v>10090</v>
      </c>
      <c r="F1218" s="454" t="s">
        <v>518</v>
      </c>
      <c r="G1218" s="454" t="s">
        <v>14328</v>
      </c>
      <c r="H1218" s="455">
        <v>10878969000113</v>
      </c>
      <c r="I1218" s="462">
        <v>39959</v>
      </c>
      <c r="J1218" s="457">
        <v>39252663</v>
      </c>
      <c r="K1218" s="454" t="s">
        <v>10092</v>
      </c>
      <c r="L1218" s="458">
        <v>858</v>
      </c>
      <c r="M1218" s="454" t="s">
        <v>518</v>
      </c>
      <c r="N1218" s="459">
        <v>8215460</v>
      </c>
      <c r="O1218" s="460">
        <v>22056638</v>
      </c>
      <c r="P1218" s="462">
        <v>46330</v>
      </c>
      <c r="Q1218" s="462">
        <v>2</v>
      </c>
      <c r="R1218" s="462">
        <v>43934</v>
      </c>
      <c r="S1218" s="463">
        <v>115</v>
      </c>
      <c r="T1218" s="464">
        <v>3.6</v>
      </c>
      <c r="U1218" s="465">
        <v>414</v>
      </c>
      <c r="V1218" s="465">
        <v>10800</v>
      </c>
      <c r="W1218" s="466">
        <v>0</v>
      </c>
      <c r="X1218" s="467">
        <v>1</v>
      </c>
      <c r="Y1218" s="466">
        <v>16821</v>
      </c>
      <c r="Z1218" s="468" t="s">
        <v>516</v>
      </c>
      <c r="AA1218" s="466">
        <v>84249</v>
      </c>
      <c r="AB1218" s="466">
        <v>84249</v>
      </c>
      <c r="AC1218" s="467">
        <v>0</v>
      </c>
      <c r="AD1218" s="466">
        <v>0</v>
      </c>
      <c r="AE1218" s="468" t="s">
        <v>516</v>
      </c>
      <c r="AF1218" s="466">
        <v>0</v>
      </c>
      <c r="AG1218" s="466">
        <v>0</v>
      </c>
      <c r="AH1218" s="466">
        <v>8772.66</v>
      </c>
      <c r="AI1218" s="466">
        <v>7792.6</v>
      </c>
      <c r="AJ1218" s="469" t="s">
        <v>2196</v>
      </c>
      <c r="AK1218" s="470" t="s">
        <v>10093</v>
      </c>
      <c r="AL1218" s="471" t="s">
        <v>10094</v>
      </c>
      <c r="AM1218" s="470" t="s">
        <v>10095</v>
      </c>
      <c r="AN1218" s="470" t="s">
        <v>10091</v>
      </c>
      <c r="AO1218" s="470" t="s">
        <v>10096</v>
      </c>
      <c r="AP1218" s="470" t="s">
        <v>10097</v>
      </c>
      <c r="AQ1218" s="470" t="s">
        <v>10089</v>
      </c>
      <c r="AR1218" s="472" t="s">
        <v>515</v>
      </c>
      <c r="AS1218" s="473" t="s">
        <v>1385</v>
      </c>
      <c r="AT1218" s="472" t="s">
        <v>4613</v>
      </c>
      <c r="AU1218" s="472" t="s">
        <v>420</v>
      </c>
      <c r="AV1218" s="472">
        <v>2020</v>
      </c>
      <c r="AW1218" s="474" t="s">
        <v>15078</v>
      </c>
      <c r="AX1218" s="475" t="s">
        <v>15079</v>
      </c>
      <c r="AY1218" s="515">
        <v>1</v>
      </c>
      <c r="AZ1218" s="474" t="s">
        <v>15079</v>
      </c>
      <c r="BA1218" s="472" t="s">
        <v>4613</v>
      </c>
      <c r="BB1218" s="472" t="s">
        <v>1385</v>
      </c>
      <c r="BC1218" s="472" t="s">
        <v>1385</v>
      </c>
      <c r="BD1218" s="472" t="s">
        <v>1385</v>
      </c>
      <c r="BE1218" s="472" t="s">
        <v>1385</v>
      </c>
      <c r="BF1218" s="472">
        <v>16821</v>
      </c>
      <c r="BG1218" s="472">
        <v>0</v>
      </c>
      <c r="BH1218" s="472" t="s">
        <v>1385</v>
      </c>
      <c r="BI1218" s="510">
        <v>0</v>
      </c>
      <c r="BJ1218" s="510">
        <v>0</v>
      </c>
      <c r="BK1218" s="510">
        <v>0</v>
      </c>
      <c r="BL1218" s="510">
        <v>0</v>
      </c>
      <c r="BM1218" s="510">
        <v>0</v>
      </c>
      <c r="BN1218" s="510">
        <v>2000</v>
      </c>
      <c r="BO1218" s="510">
        <v>0</v>
      </c>
      <c r="BP1218" s="510">
        <v>0</v>
      </c>
      <c r="BQ1218" s="510">
        <v>0</v>
      </c>
      <c r="BR1218" s="510">
        <v>0</v>
      </c>
      <c r="BS1218" s="510">
        <v>0</v>
      </c>
      <c r="BT1218" s="510">
        <v>0</v>
      </c>
      <c r="BU1218" s="510">
        <v>0</v>
      </c>
      <c r="BV1218" s="510">
        <v>0</v>
      </c>
      <c r="BW1218" s="510">
        <v>0</v>
      </c>
      <c r="BX1218" s="510">
        <v>30000</v>
      </c>
      <c r="BY1218" s="1011">
        <v>0</v>
      </c>
      <c r="BZ1218" s="510">
        <v>0</v>
      </c>
      <c r="CA1218" s="1011">
        <v>0</v>
      </c>
      <c r="CB1218" s="510">
        <v>0</v>
      </c>
      <c r="CC1218" s="1011">
        <v>0</v>
      </c>
      <c r="CD1218" s="510">
        <v>0</v>
      </c>
      <c r="CE1218" s="1011">
        <v>0</v>
      </c>
      <c r="CF1218" s="510">
        <v>37428</v>
      </c>
      <c r="CG1218" s="1011">
        <v>0</v>
      </c>
      <c r="CH1218" s="510">
        <v>0</v>
      </c>
      <c r="CI1218" s="1011">
        <v>0</v>
      </c>
    </row>
    <row r="1219" spans="1:87" x14ac:dyDescent="0.2">
      <c r="A1219" s="449">
        <v>3</v>
      </c>
      <c r="B1219" s="453">
        <v>400021</v>
      </c>
      <c r="C1219" s="454" t="s">
        <v>10098</v>
      </c>
      <c r="D1219" s="454" t="s">
        <v>4613</v>
      </c>
      <c r="E1219" s="454" t="s">
        <v>10099</v>
      </c>
      <c r="F1219" s="454" t="s">
        <v>525</v>
      </c>
      <c r="G1219" s="454" t="s">
        <v>14329</v>
      </c>
      <c r="H1219" s="455">
        <v>8714780000143</v>
      </c>
      <c r="I1219" s="462">
        <v>39031</v>
      </c>
      <c r="J1219" s="457">
        <v>37357638</v>
      </c>
      <c r="K1219" s="454" t="s">
        <v>10101</v>
      </c>
      <c r="L1219" s="458">
        <v>150</v>
      </c>
      <c r="M1219" s="454" t="s">
        <v>10102</v>
      </c>
      <c r="N1219" s="459">
        <v>2323040</v>
      </c>
      <c r="O1219" s="460">
        <v>29957667</v>
      </c>
      <c r="P1219" s="462">
        <v>323104</v>
      </c>
      <c r="Q1219" s="462">
        <v>3</v>
      </c>
      <c r="R1219" s="462">
        <v>43950</v>
      </c>
      <c r="S1219" s="463">
        <v>196</v>
      </c>
      <c r="T1219" s="464">
        <v>3.6</v>
      </c>
      <c r="U1219" s="465">
        <v>705.6</v>
      </c>
      <c r="V1219" s="465">
        <v>10800</v>
      </c>
      <c r="W1219" s="466">
        <v>0</v>
      </c>
      <c r="X1219" s="467">
        <v>1</v>
      </c>
      <c r="Y1219" s="466">
        <v>17258.400000000001</v>
      </c>
      <c r="Z1219" s="468" t="s">
        <v>516</v>
      </c>
      <c r="AA1219" s="466">
        <v>85190.399999999994</v>
      </c>
      <c r="AB1219" s="466">
        <v>85190.399999999994</v>
      </c>
      <c r="AC1219" s="467">
        <v>0</v>
      </c>
      <c r="AD1219" s="466">
        <v>0</v>
      </c>
      <c r="AE1219" s="468" t="s">
        <v>516</v>
      </c>
      <c r="AF1219" s="466">
        <v>0</v>
      </c>
      <c r="AG1219" s="466">
        <v>0</v>
      </c>
      <c r="AH1219" s="466">
        <v>13750.83</v>
      </c>
      <c r="AI1219" s="466">
        <v>3816.3</v>
      </c>
      <c r="AJ1219" s="469" t="s">
        <v>1448</v>
      </c>
      <c r="AK1219" s="470" t="s">
        <v>1449</v>
      </c>
      <c r="AL1219" s="471" t="s">
        <v>10103</v>
      </c>
      <c r="AM1219" s="470" t="s">
        <v>10104</v>
      </c>
      <c r="AN1219" s="470" t="s">
        <v>10100</v>
      </c>
      <c r="AO1219" s="470" t="s">
        <v>14330</v>
      </c>
      <c r="AP1219" s="470" t="s">
        <v>10105</v>
      </c>
      <c r="AQ1219" s="470" t="s">
        <v>10098</v>
      </c>
      <c r="AR1219" s="472" t="s">
        <v>515</v>
      </c>
      <c r="AS1219" s="473" t="s">
        <v>1385</v>
      </c>
      <c r="AT1219" s="472" t="s">
        <v>4613</v>
      </c>
      <c r="AU1219" s="472" t="s">
        <v>420</v>
      </c>
      <c r="AV1219" s="472">
        <v>2020</v>
      </c>
      <c r="AW1219" s="474" t="s">
        <v>15078</v>
      </c>
      <c r="AX1219" s="475" t="s">
        <v>15079</v>
      </c>
      <c r="AY1219" s="515">
        <v>1</v>
      </c>
      <c r="AZ1219" s="474" t="s">
        <v>15079</v>
      </c>
      <c r="BA1219" s="472" t="s">
        <v>4613</v>
      </c>
      <c r="BB1219" s="472" t="s">
        <v>1385</v>
      </c>
      <c r="BC1219" s="472" t="s">
        <v>1385</v>
      </c>
      <c r="BD1219" s="472" t="s">
        <v>1385</v>
      </c>
      <c r="BE1219" s="472" t="s">
        <v>1385</v>
      </c>
      <c r="BF1219" s="472">
        <v>17258.400000000001</v>
      </c>
      <c r="BG1219" s="472">
        <v>0</v>
      </c>
      <c r="BH1219" s="472" t="s">
        <v>1385</v>
      </c>
      <c r="BI1219" s="510">
        <v>0</v>
      </c>
      <c r="BJ1219" s="510">
        <v>0</v>
      </c>
      <c r="BK1219" s="510">
        <v>0</v>
      </c>
      <c r="BL1219" s="510">
        <v>0</v>
      </c>
      <c r="BM1219" s="510">
        <v>0</v>
      </c>
      <c r="BN1219" s="510">
        <v>2000</v>
      </c>
      <c r="BO1219" s="510">
        <v>0</v>
      </c>
      <c r="BP1219" s="510">
        <v>0</v>
      </c>
      <c r="BQ1219" s="510">
        <v>0</v>
      </c>
      <c r="BR1219" s="510">
        <v>0</v>
      </c>
      <c r="BS1219" s="510">
        <v>0</v>
      </c>
      <c r="BT1219" s="510">
        <v>0</v>
      </c>
      <c r="BU1219" s="510">
        <v>0</v>
      </c>
      <c r="BV1219" s="510">
        <v>0</v>
      </c>
      <c r="BW1219" s="510">
        <v>0</v>
      </c>
      <c r="BX1219" s="510">
        <v>30000</v>
      </c>
      <c r="BY1219" s="1011">
        <v>0</v>
      </c>
      <c r="BZ1219" s="510">
        <v>0</v>
      </c>
      <c r="CA1219" s="1011">
        <v>0</v>
      </c>
      <c r="CB1219" s="510">
        <v>0</v>
      </c>
      <c r="CC1219" s="1011">
        <v>0</v>
      </c>
      <c r="CD1219" s="510">
        <v>0</v>
      </c>
      <c r="CE1219" s="1011">
        <v>0</v>
      </c>
      <c r="CF1219" s="510">
        <v>37932</v>
      </c>
      <c r="CG1219" s="1011">
        <v>0</v>
      </c>
      <c r="CH1219" s="510">
        <v>0</v>
      </c>
      <c r="CI1219" s="1011">
        <v>0</v>
      </c>
    </row>
    <row r="1220" spans="1:87" x14ac:dyDescent="0.2">
      <c r="A1220" s="449">
        <v>5</v>
      </c>
      <c r="B1220" s="453">
        <v>400022</v>
      </c>
      <c r="C1220" s="454" t="s">
        <v>10106</v>
      </c>
      <c r="D1220" s="454" t="s">
        <v>4613</v>
      </c>
      <c r="E1220" s="454" t="s">
        <v>10107</v>
      </c>
      <c r="F1220" s="454" t="s">
        <v>520</v>
      </c>
      <c r="G1220" s="454" t="s">
        <v>14331</v>
      </c>
      <c r="H1220" s="455">
        <v>8750188000105</v>
      </c>
      <c r="I1220" s="462">
        <v>38699</v>
      </c>
      <c r="J1220" s="457">
        <v>37621513</v>
      </c>
      <c r="K1220" s="454" t="s">
        <v>10109</v>
      </c>
      <c r="L1220" s="458">
        <v>99</v>
      </c>
      <c r="M1220" s="454" t="s">
        <v>10110</v>
      </c>
      <c r="N1220" s="459">
        <v>5884100</v>
      </c>
      <c r="O1220" s="460">
        <v>58744151</v>
      </c>
      <c r="P1220" s="462">
        <v>291393</v>
      </c>
      <c r="Q1220" s="462">
        <v>5</v>
      </c>
      <c r="R1220" s="462">
        <v>43969</v>
      </c>
      <c r="S1220" s="463">
        <v>153</v>
      </c>
      <c r="T1220" s="464">
        <v>3.6</v>
      </c>
      <c r="U1220" s="465">
        <v>550.79999999999995</v>
      </c>
      <c r="V1220" s="465">
        <v>10800</v>
      </c>
      <c r="W1220" s="466">
        <v>0</v>
      </c>
      <c r="X1220" s="467">
        <v>1</v>
      </c>
      <c r="Y1220" s="466">
        <v>17026.2</v>
      </c>
      <c r="Z1220" s="468" t="s">
        <v>516</v>
      </c>
      <c r="AA1220" s="466">
        <v>84720.6</v>
      </c>
      <c r="AB1220" s="466">
        <v>84720.6</v>
      </c>
      <c r="AC1220" s="467">
        <v>0</v>
      </c>
      <c r="AD1220" s="466">
        <v>0</v>
      </c>
      <c r="AE1220" s="468" t="s">
        <v>516</v>
      </c>
      <c r="AF1220" s="466">
        <v>0</v>
      </c>
      <c r="AG1220" s="466">
        <v>0</v>
      </c>
      <c r="AH1220" s="466">
        <v>16312.72</v>
      </c>
      <c r="AI1220" s="466">
        <v>5325.5</v>
      </c>
      <c r="AJ1220" s="469" t="s">
        <v>1470</v>
      </c>
      <c r="AK1220" s="470" t="s">
        <v>10111</v>
      </c>
      <c r="AL1220" s="471" t="s">
        <v>10112</v>
      </c>
      <c r="AM1220" s="470" t="s">
        <v>10113</v>
      </c>
      <c r="AN1220" s="470" t="s">
        <v>10108</v>
      </c>
      <c r="AO1220" s="470" t="s">
        <v>10114</v>
      </c>
      <c r="AP1220" s="470" t="s">
        <v>10115</v>
      </c>
      <c r="AQ1220" s="470" t="s">
        <v>10106</v>
      </c>
      <c r="AR1220" s="472" t="s">
        <v>515</v>
      </c>
      <c r="AS1220" s="473" t="s">
        <v>1385</v>
      </c>
      <c r="AT1220" s="472" t="s">
        <v>4613</v>
      </c>
      <c r="AU1220" s="472" t="s">
        <v>420</v>
      </c>
      <c r="AV1220" s="472">
        <v>2020</v>
      </c>
      <c r="AW1220" s="474" t="s">
        <v>15078</v>
      </c>
      <c r="AX1220" s="475" t="s">
        <v>15079</v>
      </c>
      <c r="AY1220" s="515">
        <v>1</v>
      </c>
      <c r="AZ1220" s="474" t="s">
        <v>15079</v>
      </c>
      <c r="BA1220" s="472" t="s">
        <v>4613</v>
      </c>
      <c r="BB1220" s="472" t="s">
        <v>1385</v>
      </c>
      <c r="BC1220" s="472" t="s">
        <v>1385</v>
      </c>
      <c r="BD1220" s="472" t="s">
        <v>1385</v>
      </c>
      <c r="BE1220" s="472" t="s">
        <v>1385</v>
      </c>
      <c r="BF1220" s="472">
        <v>17026.2</v>
      </c>
      <c r="BG1220" s="472">
        <v>0</v>
      </c>
      <c r="BH1220" s="472" t="s">
        <v>1385</v>
      </c>
      <c r="BI1220" s="510">
        <v>0</v>
      </c>
      <c r="BJ1220" s="510">
        <v>0</v>
      </c>
      <c r="BK1220" s="510">
        <v>0</v>
      </c>
      <c r="BL1220" s="510">
        <v>0</v>
      </c>
      <c r="BM1220" s="510">
        <v>0</v>
      </c>
      <c r="BN1220" s="510">
        <v>2000</v>
      </c>
      <c r="BO1220" s="510">
        <v>0</v>
      </c>
      <c r="BP1220" s="510">
        <v>0</v>
      </c>
      <c r="BQ1220" s="510">
        <v>0</v>
      </c>
      <c r="BR1220" s="510">
        <v>0</v>
      </c>
      <c r="BS1220" s="510">
        <v>0</v>
      </c>
      <c r="BT1220" s="510">
        <v>0</v>
      </c>
      <c r="BU1220" s="510">
        <v>0</v>
      </c>
      <c r="BV1220" s="510">
        <v>0</v>
      </c>
      <c r="BW1220" s="510">
        <v>0</v>
      </c>
      <c r="BX1220" s="510">
        <v>30000</v>
      </c>
      <c r="BY1220" s="1011">
        <v>0</v>
      </c>
      <c r="BZ1220" s="510">
        <v>0</v>
      </c>
      <c r="CA1220" s="1011">
        <v>0</v>
      </c>
      <c r="CB1220" s="510">
        <v>0</v>
      </c>
      <c r="CC1220" s="1011">
        <v>0</v>
      </c>
      <c r="CD1220" s="510">
        <v>0</v>
      </c>
      <c r="CE1220" s="1011">
        <v>0</v>
      </c>
      <c r="CF1220" s="510">
        <v>37694.400000000001</v>
      </c>
      <c r="CG1220" s="1011">
        <v>0</v>
      </c>
      <c r="CH1220" s="510">
        <v>0</v>
      </c>
      <c r="CI1220" s="1011">
        <v>0</v>
      </c>
    </row>
    <row r="1221" spans="1:87" x14ac:dyDescent="0.2">
      <c r="A1221" s="449">
        <v>1</v>
      </c>
      <c r="B1221" s="453">
        <v>400023</v>
      </c>
      <c r="C1221" s="454" t="s">
        <v>10116</v>
      </c>
      <c r="D1221" s="454" t="s">
        <v>4613</v>
      </c>
      <c r="E1221" s="454" t="s">
        <v>10117</v>
      </c>
      <c r="F1221" s="454" t="s">
        <v>522</v>
      </c>
      <c r="G1221" s="454" t="s">
        <v>14332</v>
      </c>
      <c r="H1221" s="455">
        <v>7858955000123</v>
      </c>
      <c r="I1221" s="462">
        <v>38735</v>
      </c>
      <c r="J1221" s="457">
        <v>37586238</v>
      </c>
      <c r="K1221" s="454" t="s">
        <v>10118</v>
      </c>
      <c r="L1221" s="458">
        <v>202</v>
      </c>
      <c r="M1221" s="454" t="s">
        <v>1499</v>
      </c>
      <c r="N1221" s="459">
        <v>2525010</v>
      </c>
      <c r="O1221" s="460">
        <v>39515256</v>
      </c>
      <c r="P1221" s="462">
        <v>86137</v>
      </c>
      <c r="Q1221" s="462">
        <v>34</v>
      </c>
      <c r="R1221" s="462">
        <v>43911</v>
      </c>
      <c r="S1221" s="463">
        <v>199</v>
      </c>
      <c r="T1221" s="464">
        <v>3.6</v>
      </c>
      <c r="U1221" s="465">
        <v>716.4</v>
      </c>
      <c r="V1221" s="465">
        <v>10800</v>
      </c>
      <c r="W1221" s="466">
        <v>0</v>
      </c>
      <c r="X1221" s="467">
        <v>1</v>
      </c>
      <c r="Y1221" s="466">
        <v>17274.599999999999</v>
      </c>
      <c r="Z1221" s="468" t="s">
        <v>516</v>
      </c>
      <c r="AA1221" s="466">
        <v>85300.2</v>
      </c>
      <c r="AB1221" s="466">
        <v>85300.2</v>
      </c>
      <c r="AC1221" s="467">
        <v>0</v>
      </c>
      <c r="AD1221" s="466">
        <v>0</v>
      </c>
      <c r="AE1221" s="468" t="s">
        <v>516</v>
      </c>
      <c r="AF1221" s="466">
        <v>0</v>
      </c>
      <c r="AG1221" s="466">
        <v>0</v>
      </c>
      <c r="AH1221" s="466">
        <v>597.14</v>
      </c>
      <c r="AI1221" s="466">
        <v>1669.67</v>
      </c>
      <c r="AJ1221" s="469" t="s">
        <v>14333</v>
      </c>
      <c r="AK1221" s="470" t="s">
        <v>14334</v>
      </c>
      <c r="AL1221" s="471" t="s">
        <v>10119</v>
      </c>
      <c r="AM1221" s="470" t="s">
        <v>14335</v>
      </c>
      <c r="AN1221" s="470" t="s">
        <v>1385</v>
      </c>
      <c r="AO1221" s="470" t="s">
        <v>14336</v>
      </c>
      <c r="AP1221" s="470" t="s">
        <v>10120</v>
      </c>
      <c r="AQ1221" s="470" t="s">
        <v>10116</v>
      </c>
      <c r="AR1221" s="472" t="s">
        <v>515</v>
      </c>
      <c r="AS1221" s="473" t="s">
        <v>1385</v>
      </c>
      <c r="AT1221" s="472" t="s">
        <v>4613</v>
      </c>
      <c r="AU1221" s="472" t="s">
        <v>420</v>
      </c>
      <c r="AV1221" s="472">
        <v>2020</v>
      </c>
      <c r="AW1221" s="474" t="s">
        <v>15078</v>
      </c>
      <c r="AX1221" s="475" t="s">
        <v>15079</v>
      </c>
      <c r="AY1221" s="515">
        <v>1</v>
      </c>
      <c r="AZ1221" s="474" t="s">
        <v>15079</v>
      </c>
      <c r="BA1221" s="472" t="s">
        <v>4613</v>
      </c>
      <c r="BB1221" s="472" t="s">
        <v>1385</v>
      </c>
      <c r="BC1221" s="472" t="s">
        <v>1385</v>
      </c>
      <c r="BD1221" s="472" t="s">
        <v>1385</v>
      </c>
      <c r="BE1221" s="472" t="s">
        <v>1385</v>
      </c>
      <c r="BF1221" s="472">
        <v>17274.599999999999</v>
      </c>
      <c r="BG1221" s="472">
        <v>0</v>
      </c>
      <c r="BH1221" s="472" t="s">
        <v>1385</v>
      </c>
      <c r="BI1221" s="510">
        <v>0</v>
      </c>
      <c r="BJ1221" s="510">
        <v>0</v>
      </c>
      <c r="BK1221" s="510">
        <v>0</v>
      </c>
      <c r="BL1221" s="510">
        <v>0</v>
      </c>
      <c r="BM1221" s="510">
        <v>0</v>
      </c>
      <c r="BN1221" s="510">
        <v>2000</v>
      </c>
      <c r="BO1221" s="510">
        <v>0</v>
      </c>
      <c r="BP1221" s="510">
        <v>0</v>
      </c>
      <c r="BQ1221" s="510">
        <v>0</v>
      </c>
      <c r="BR1221" s="510">
        <v>0</v>
      </c>
      <c r="BS1221" s="510">
        <v>0</v>
      </c>
      <c r="BT1221" s="510">
        <v>0</v>
      </c>
      <c r="BU1221" s="510">
        <v>0</v>
      </c>
      <c r="BV1221" s="510">
        <v>0</v>
      </c>
      <c r="BW1221" s="510">
        <v>0</v>
      </c>
      <c r="BX1221" s="510">
        <v>30000</v>
      </c>
      <c r="BY1221" s="1011">
        <v>0</v>
      </c>
      <c r="BZ1221" s="510">
        <v>0</v>
      </c>
      <c r="CA1221" s="1011">
        <v>0</v>
      </c>
      <c r="CB1221" s="510">
        <v>0</v>
      </c>
      <c r="CC1221" s="1011">
        <v>0</v>
      </c>
      <c r="CD1221" s="510">
        <v>0</v>
      </c>
      <c r="CE1221" s="1011">
        <v>0</v>
      </c>
      <c r="CF1221" s="510">
        <v>38025.599999999999</v>
      </c>
      <c r="CG1221" s="1011">
        <v>0</v>
      </c>
      <c r="CH1221" s="510">
        <v>0</v>
      </c>
      <c r="CI1221" s="1011">
        <v>0</v>
      </c>
    </row>
    <row r="1222" spans="1:87" x14ac:dyDescent="0.2">
      <c r="A1222" s="449">
        <v>4</v>
      </c>
      <c r="B1222" s="453">
        <v>400024</v>
      </c>
      <c r="C1222" s="454" t="s">
        <v>10121</v>
      </c>
      <c r="D1222" s="454" t="s">
        <v>4613</v>
      </c>
      <c r="E1222" s="454" t="s">
        <v>10122</v>
      </c>
      <c r="F1222" s="454" t="s">
        <v>513</v>
      </c>
      <c r="G1222" s="454" t="s">
        <v>14337</v>
      </c>
      <c r="H1222" s="455">
        <v>8894916000144</v>
      </c>
      <c r="I1222" s="462">
        <v>39213</v>
      </c>
      <c r="J1222" s="457">
        <v>37530801</v>
      </c>
      <c r="K1222" s="454" t="s">
        <v>10123</v>
      </c>
      <c r="L1222" s="458">
        <v>159</v>
      </c>
      <c r="M1222" s="454" t="s">
        <v>2490</v>
      </c>
      <c r="N1222" s="459">
        <v>3978070</v>
      </c>
      <c r="O1222" s="460">
        <v>27046825</v>
      </c>
      <c r="P1222" s="462">
        <v>144382</v>
      </c>
      <c r="Q1222" s="462">
        <v>4</v>
      </c>
      <c r="R1222" s="462">
        <v>43937</v>
      </c>
      <c r="S1222" s="463">
        <v>132</v>
      </c>
      <c r="T1222" s="464">
        <v>3.6</v>
      </c>
      <c r="U1222" s="465">
        <v>475.2</v>
      </c>
      <c r="V1222" s="465">
        <v>10800</v>
      </c>
      <c r="W1222" s="466">
        <v>0</v>
      </c>
      <c r="X1222" s="467">
        <v>1</v>
      </c>
      <c r="Y1222" s="466">
        <v>16912.8</v>
      </c>
      <c r="Z1222" s="468" t="s">
        <v>516</v>
      </c>
      <c r="AA1222" s="466">
        <v>84448.8</v>
      </c>
      <c r="AB1222" s="466">
        <v>84448.8</v>
      </c>
      <c r="AC1222" s="467">
        <v>0</v>
      </c>
      <c r="AD1222" s="466">
        <v>0</v>
      </c>
      <c r="AE1222" s="468" t="s">
        <v>516</v>
      </c>
      <c r="AF1222" s="466">
        <v>0</v>
      </c>
      <c r="AG1222" s="466">
        <v>0</v>
      </c>
      <c r="AH1222" s="466">
        <v>12822.61</v>
      </c>
      <c r="AI1222" s="466">
        <v>1406.85</v>
      </c>
      <c r="AJ1222" s="469" t="s">
        <v>1972</v>
      </c>
      <c r="AK1222" s="470" t="s">
        <v>1973</v>
      </c>
      <c r="AL1222" s="471" t="s">
        <v>10124</v>
      </c>
      <c r="AM1222" s="470" t="s">
        <v>14338</v>
      </c>
      <c r="AN1222" s="470" t="s">
        <v>280</v>
      </c>
      <c r="AO1222" s="470" t="s">
        <v>10125</v>
      </c>
      <c r="AP1222" s="470" t="s">
        <v>10126</v>
      </c>
      <c r="AQ1222" s="470" t="s">
        <v>10121</v>
      </c>
      <c r="AR1222" s="472" t="s">
        <v>515</v>
      </c>
      <c r="AS1222" s="473" t="s">
        <v>1385</v>
      </c>
      <c r="AT1222" s="472" t="s">
        <v>4613</v>
      </c>
      <c r="AU1222" s="472" t="s">
        <v>420</v>
      </c>
      <c r="AV1222" s="472">
        <v>2020</v>
      </c>
      <c r="AW1222" s="474" t="s">
        <v>15078</v>
      </c>
      <c r="AX1222" s="475" t="s">
        <v>15079</v>
      </c>
      <c r="AY1222" s="515">
        <v>1</v>
      </c>
      <c r="AZ1222" s="474" t="s">
        <v>15079</v>
      </c>
      <c r="BA1222" s="472" t="s">
        <v>4613</v>
      </c>
      <c r="BB1222" s="472" t="s">
        <v>1385</v>
      </c>
      <c r="BC1222" s="472" t="s">
        <v>1385</v>
      </c>
      <c r="BD1222" s="472" t="s">
        <v>1385</v>
      </c>
      <c r="BE1222" s="472" t="s">
        <v>1385</v>
      </c>
      <c r="BF1222" s="472">
        <v>16912.8</v>
      </c>
      <c r="BG1222" s="472">
        <v>0</v>
      </c>
      <c r="BH1222" s="472" t="s">
        <v>1385</v>
      </c>
      <c r="BI1222" s="510">
        <v>0</v>
      </c>
      <c r="BJ1222" s="510">
        <v>0</v>
      </c>
      <c r="BK1222" s="510">
        <v>0</v>
      </c>
      <c r="BL1222" s="510">
        <v>0</v>
      </c>
      <c r="BM1222" s="510">
        <v>0</v>
      </c>
      <c r="BN1222" s="510">
        <v>2000</v>
      </c>
      <c r="BO1222" s="510">
        <v>0</v>
      </c>
      <c r="BP1222" s="510">
        <v>0</v>
      </c>
      <c r="BQ1222" s="510">
        <v>0</v>
      </c>
      <c r="BR1222" s="510">
        <v>0</v>
      </c>
      <c r="BS1222" s="510">
        <v>0</v>
      </c>
      <c r="BT1222" s="510">
        <v>0</v>
      </c>
      <c r="BU1222" s="510">
        <v>0</v>
      </c>
      <c r="BV1222" s="510">
        <v>0</v>
      </c>
      <c r="BW1222" s="510">
        <v>0</v>
      </c>
      <c r="BX1222" s="510">
        <v>30000</v>
      </c>
      <c r="BY1222" s="1011">
        <v>0</v>
      </c>
      <c r="BZ1222" s="510">
        <v>0</v>
      </c>
      <c r="CA1222" s="1011">
        <v>0</v>
      </c>
      <c r="CB1222" s="510">
        <v>0</v>
      </c>
      <c r="CC1222" s="1011">
        <v>0</v>
      </c>
      <c r="CD1222" s="510">
        <v>0</v>
      </c>
      <c r="CE1222" s="1011">
        <v>0</v>
      </c>
      <c r="CF1222" s="510">
        <v>37536</v>
      </c>
      <c r="CG1222" s="1011">
        <v>0</v>
      </c>
      <c r="CH1222" s="510">
        <v>0</v>
      </c>
      <c r="CI1222" s="1011">
        <v>0</v>
      </c>
    </row>
    <row r="1223" spans="1:87" x14ac:dyDescent="0.2">
      <c r="A1223" s="449">
        <v>2</v>
      </c>
      <c r="B1223" s="453">
        <v>400025</v>
      </c>
      <c r="C1223" s="454" t="s">
        <v>10127</v>
      </c>
      <c r="D1223" s="454" t="s">
        <v>4613</v>
      </c>
      <c r="E1223" s="454" t="s">
        <v>10128</v>
      </c>
      <c r="F1223" s="454" t="s">
        <v>526</v>
      </c>
      <c r="G1223" s="454" t="s">
        <v>14339</v>
      </c>
      <c r="H1223" s="455">
        <v>10331418000135</v>
      </c>
      <c r="I1223" s="462">
        <v>39688</v>
      </c>
      <c r="J1223" s="457">
        <v>38462532</v>
      </c>
      <c r="K1223" s="454" t="s">
        <v>10129</v>
      </c>
      <c r="L1223" s="458">
        <v>359</v>
      </c>
      <c r="M1223" s="454" t="s">
        <v>1411</v>
      </c>
      <c r="N1223" s="459">
        <v>8141350</v>
      </c>
      <c r="O1223" s="460">
        <v>29632767</v>
      </c>
      <c r="P1223" s="462">
        <v>183183</v>
      </c>
      <c r="Q1223" s="462">
        <v>2</v>
      </c>
      <c r="R1223" s="462">
        <v>43928</v>
      </c>
      <c r="S1223" s="463">
        <v>146</v>
      </c>
      <c r="T1223" s="464">
        <v>3.6</v>
      </c>
      <c r="U1223" s="465">
        <v>525.6</v>
      </c>
      <c r="V1223" s="465">
        <v>10800</v>
      </c>
      <c r="W1223" s="466">
        <v>0</v>
      </c>
      <c r="X1223" s="467">
        <v>1</v>
      </c>
      <c r="Y1223" s="466">
        <v>16988.400000000001</v>
      </c>
      <c r="Z1223" s="468" t="s">
        <v>516</v>
      </c>
      <c r="AA1223" s="466">
        <v>84438</v>
      </c>
      <c r="AB1223" s="466">
        <v>84438</v>
      </c>
      <c r="AC1223" s="467">
        <v>0</v>
      </c>
      <c r="AD1223" s="466">
        <v>0</v>
      </c>
      <c r="AE1223" s="468" t="s">
        <v>516</v>
      </c>
      <c r="AF1223" s="466">
        <v>0</v>
      </c>
      <c r="AG1223" s="466">
        <v>0</v>
      </c>
      <c r="AH1223" s="466">
        <v>8580.66</v>
      </c>
      <c r="AI1223" s="466">
        <v>7050.48</v>
      </c>
      <c r="AJ1223" s="469" t="s">
        <v>1410</v>
      </c>
      <c r="AK1223" s="470" t="s">
        <v>1411</v>
      </c>
      <c r="AL1223" s="471" t="s">
        <v>10130</v>
      </c>
      <c r="AM1223" s="470" t="s">
        <v>10131</v>
      </c>
      <c r="AN1223" s="470" t="s">
        <v>1385</v>
      </c>
      <c r="AO1223" s="470" t="s">
        <v>10132</v>
      </c>
      <c r="AP1223" s="470" t="s">
        <v>10133</v>
      </c>
      <c r="AQ1223" s="470" t="s">
        <v>10127</v>
      </c>
      <c r="AR1223" s="472" t="s">
        <v>515</v>
      </c>
      <c r="AS1223" s="473" t="s">
        <v>1385</v>
      </c>
      <c r="AT1223" s="472" t="s">
        <v>4613</v>
      </c>
      <c r="AU1223" s="472" t="s">
        <v>420</v>
      </c>
      <c r="AV1223" s="472">
        <v>2020</v>
      </c>
      <c r="AW1223" s="474" t="s">
        <v>15078</v>
      </c>
      <c r="AX1223" s="475" t="s">
        <v>15079</v>
      </c>
      <c r="AY1223" s="515">
        <v>1</v>
      </c>
      <c r="AZ1223" s="474" t="s">
        <v>15079</v>
      </c>
      <c r="BA1223" s="472" t="s">
        <v>4613</v>
      </c>
      <c r="BB1223" s="472" t="s">
        <v>1385</v>
      </c>
      <c r="BC1223" s="472" t="s">
        <v>1385</v>
      </c>
      <c r="BD1223" s="472" t="s">
        <v>1385</v>
      </c>
      <c r="BE1223" s="472" t="s">
        <v>1385</v>
      </c>
      <c r="BF1223" s="472">
        <v>16988.400000000001</v>
      </c>
      <c r="BG1223" s="472">
        <v>0</v>
      </c>
      <c r="BH1223" s="472" t="s">
        <v>1385</v>
      </c>
      <c r="BI1223" s="510">
        <v>0</v>
      </c>
      <c r="BJ1223" s="510">
        <v>0</v>
      </c>
      <c r="BK1223" s="510">
        <v>0</v>
      </c>
      <c r="BL1223" s="510">
        <v>0</v>
      </c>
      <c r="BM1223" s="510">
        <v>0</v>
      </c>
      <c r="BN1223" s="510">
        <v>2000</v>
      </c>
      <c r="BO1223" s="510">
        <v>0</v>
      </c>
      <c r="BP1223" s="510">
        <v>0</v>
      </c>
      <c r="BQ1223" s="510">
        <v>0</v>
      </c>
      <c r="BR1223" s="510">
        <v>0</v>
      </c>
      <c r="BS1223" s="510">
        <v>0</v>
      </c>
      <c r="BT1223" s="510">
        <v>0</v>
      </c>
      <c r="BU1223" s="510">
        <v>0</v>
      </c>
      <c r="BV1223" s="510">
        <v>0</v>
      </c>
      <c r="BW1223" s="510">
        <v>0</v>
      </c>
      <c r="BX1223" s="510">
        <v>30000</v>
      </c>
      <c r="BY1223" s="1011">
        <v>0</v>
      </c>
      <c r="BZ1223" s="510">
        <v>0</v>
      </c>
      <c r="CA1223" s="1011">
        <v>0</v>
      </c>
      <c r="CB1223" s="510">
        <v>0</v>
      </c>
      <c r="CC1223" s="1011">
        <v>0</v>
      </c>
      <c r="CD1223" s="510">
        <v>0</v>
      </c>
      <c r="CE1223" s="1011">
        <v>0</v>
      </c>
      <c r="CF1223" s="510">
        <v>37449.599999999999</v>
      </c>
      <c r="CG1223" s="1011">
        <v>0</v>
      </c>
      <c r="CH1223" s="510">
        <v>0</v>
      </c>
      <c r="CI1223" s="1011">
        <v>0</v>
      </c>
    </row>
    <row r="1224" spans="1:87" x14ac:dyDescent="0.2">
      <c r="A1224" s="449">
        <v>4</v>
      </c>
      <c r="B1224" s="453">
        <v>400026</v>
      </c>
      <c r="C1224" s="454" t="s">
        <v>10134</v>
      </c>
      <c r="D1224" s="454" t="s">
        <v>4613</v>
      </c>
      <c r="E1224" s="454" t="s">
        <v>10134</v>
      </c>
      <c r="F1224" s="454" t="s">
        <v>520</v>
      </c>
      <c r="G1224" s="454" t="s">
        <v>14340</v>
      </c>
      <c r="H1224" s="455">
        <v>8240951000140</v>
      </c>
      <c r="I1224" s="462">
        <v>38902</v>
      </c>
      <c r="J1224" s="457">
        <v>37621432</v>
      </c>
      <c r="K1224" s="454" t="s">
        <v>10136</v>
      </c>
      <c r="L1224" s="458">
        <v>80</v>
      </c>
      <c r="M1224" s="454" t="s">
        <v>5387</v>
      </c>
      <c r="N1224" s="459">
        <v>5759210</v>
      </c>
      <c r="O1224" s="460">
        <v>55195246</v>
      </c>
      <c r="P1224" s="462">
        <v>291431</v>
      </c>
      <c r="Q1224" s="462">
        <v>4</v>
      </c>
      <c r="R1224" s="462">
        <v>43969</v>
      </c>
      <c r="S1224" s="463">
        <v>90</v>
      </c>
      <c r="T1224" s="464">
        <v>3.6</v>
      </c>
      <c r="U1224" s="465">
        <v>324</v>
      </c>
      <c r="V1224" s="465">
        <v>10800</v>
      </c>
      <c r="W1224" s="466">
        <v>0</v>
      </c>
      <c r="X1224" s="467">
        <v>1</v>
      </c>
      <c r="Y1224" s="466">
        <v>16686</v>
      </c>
      <c r="Z1224" s="468" t="s">
        <v>516</v>
      </c>
      <c r="AA1224" s="466">
        <v>83926.8</v>
      </c>
      <c r="AB1224" s="466">
        <v>83926.8</v>
      </c>
      <c r="AC1224" s="467">
        <v>0</v>
      </c>
      <c r="AD1224" s="466">
        <v>0</v>
      </c>
      <c r="AE1224" s="468" t="s">
        <v>516</v>
      </c>
      <c r="AF1224" s="466">
        <v>0</v>
      </c>
      <c r="AG1224" s="466">
        <v>0</v>
      </c>
      <c r="AH1224" s="466">
        <v>15633.14</v>
      </c>
      <c r="AI1224" s="466">
        <v>0</v>
      </c>
      <c r="AJ1224" s="469" t="s">
        <v>1489</v>
      </c>
      <c r="AK1224" s="470" t="s">
        <v>520</v>
      </c>
      <c r="AL1224" s="471" t="s">
        <v>10137</v>
      </c>
      <c r="AM1224" s="470" t="s">
        <v>10138</v>
      </c>
      <c r="AN1224" s="470" t="s">
        <v>10135</v>
      </c>
      <c r="AO1224" s="470" t="s">
        <v>14341</v>
      </c>
      <c r="AP1224" s="470" t="s">
        <v>10139</v>
      </c>
      <c r="AQ1224" s="470" t="s">
        <v>10134</v>
      </c>
      <c r="AR1224" s="472" t="s">
        <v>515</v>
      </c>
      <c r="AS1224" s="473" t="s">
        <v>1385</v>
      </c>
      <c r="AT1224" s="472" t="s">
        <v>4613</v>
      </c>
      <c r="AU1224" s="472" t="s">
        <v>420</v>
      </c>
      <c r="AV1224" s="472">
        <v>2020</v>
      </c>
      <c r="AW1224" s="474" t="s">
        <v>15078</v>
      </c>
      <c r="AX1224" s="475" t="s">
        <v>15079</v>
      </c>
      <c r="AY1224" s="515">
        <v>1</v>
      </c>
      <c r="AZ1224" s="474" t="s">
        <v>15079</v>
      </c>
      <c r="BA1224" s="472" t="s">
        <v>4613</v>
      </c>
      <c r="BB1224" s="472" t="s">
        <v>1385</v>
      </c>
      <c r="BC1224" s="472" t="s">
        <v>1385</v>
      </c>
      <c r="BD1224" s="472" t="s">
        <v>1385</v>
      </c>
      <c r="BE1224" s="472" t="s">
        <v>1385</v>
      </c>
      <c r="BF1224" s="472">
        <v>16686</v>
      </c>
      <c r="BG1224" s="472">
        <v>0</v>
      </c>
      <c r="BH1224" s="472" t="s">
        <v>1385</v>
      </c>
      <c r="BI1224" s="510">
        <v>0</v>
      </c>
      <c r="BJ1224" s="510">
        <v>0</v>
      </c>
      <c r="BK1224" s="510">
        <v>0</v>
      </c>
      <c r="BL1224" s="510">
        <v>0</v>
      </c>
      <c r="BM1224" s="510">
        <v>0</v>
      </c>
      <c r="BN1224" s="510">
        <v>1500</v>
      </c>
      <c r="BO1224" s="510">
        <v>0</v>
      </c>
      <c r="BP1224" s="510">
        <v>0</v>
      </c>
      <c r="BQ1224" s="510">
        <v>0</v>
      </c>
      <c r="BR1224" s="510">
        <v>0</v>
      </c>
      <c r="BS1224" s="510">
        <v>0</v>
      </c>
      <c r="BT1224" s="510">
        <v>0</v>
      </c>
      <c r="BU1224" s="510">
        <v>0</v>
      </c>
      <c r="BV1224" s="510">
        <v>0</v>
      </c>
      <c r="BW1224" s="510">
        <v>0</v>
      </c>
      <c r="BX1224" s="510">
        <v>30000</v>
      </c>
      <c r="BY1224" s="1011">
        <v>0</v>
      </c>
      <c r="BZ1224" s="510">
        <v>0</v>
      </c>
      <c r="CA1224" s="1011">
        <v>0</v>
      </c>
      <c r="CB1224" s="510">
        <v>0</v>
      </c>
      <c r="CC1224" s="1011">
        <v>0</v>
      </c>
      <c r="CD1224" s="510">
        <v>0</v>
      </c>
      <c r="CE1224" s="1011">
        <v>0</v>
      </c>
      <c r="CF1224" s="510">
        <v>37240.800000000003</v>
      </c>
      <c r="CG1224" s="1011">
        <v>0</v>
      </c>
      <c r="CH1224" s="510">
        <v>0</v>
      </c>
      <c r="CI1224" s="1011">
        <v>0</v>
      </c>
    </row>
    <row r="1225" spans="1:87" x14ac:dyDescent="0.2">
      <c r="A1225" s="449">
        <v>7</v>
      </c>
      <c r="B1225" s="453">
        <v>400027</v>
      </c>
      <c r="C1225" s="454" t="s">
        <v>10140</v>
      </c>
      <c r="D1225" s="454" t="s">
        <v>4613</v>
      </c>
      <c r="E1225" s="454" t="s">
        <v>10141</v>
      </c>
      <c r="F1225" s="454" t="s">
        <v>518</v>
      </c>
      <c r="G1225" s="454" t="s">
        <v>14342</v>
      </c>
      <c r="H1225" s="455">
        <v>9118254000183</v>
      </c>
      <c r="I1225" s="462">
        <v>39321</v>
      </c>
      <c r="J1225" s="457">
        <v>37474758</v>
      </c>
      <c r="K1225" s="454" t="s">
        <v>10143</v>
      </c>
      <c r="L1225" s="458">
        <v>9</v>
      </c>
      <c r="M1225" s="454" t="s">
        <v>2858</v>
      </c>
      <c r="N1225" s="459">
        <v>8223120</v>
      </c>
      <c r="O1225" s="460">
        <v>20414068</v>
      </c>
      <c r="P1225" s="462">
        <v>46437</v>
      </c>
      <c r="Q1225" s="462">
        <v>7</v>
      </c>
      <c r="R1225" s="462">
        <v>43934</v>
      </c>
      <c r="S1225" s="463">
        <v>159</v>
      </c>
      <c r="T1225" s="464">
        <v>3.6</v>
      </c>
      <c r="U1225" s="465">
        <v>572.4</v>
      </c>
      <c r="V1225" s="465">
        <v>10800</v>
      </c>
      <c r="W1225" s="466">
        <v>0</v>
      </c>
      <c r="X1225" s="467">
        <v>1</v>
      </c>
      <c r="Y1225" s="466">
        <v>17058.599999999999</v>
      </c>
      <c r="Z1225" s="468" t="s">
        <v>516</v>
      </c>
      <c r="AA1225" s="466">
        <v>84659.4</v>
      </c>
      <c r="AB1225" s="466">
        <v>84659.4</v>
      </c>
      <c r="AC1225" s="467">
        <v>0</v>
      </c>
      <c r="AD1225" s="466">
        <v>0</v>
      </c>
      <c r="AE1225" s="468" t="s">
        <v>516</v>
      </c>
      <c r="AF1225" s="466">
        <v>0</v>
      </c>
      <c r="AG1225" s="466">
        <v>0</v>
      </c>
      <c r="AH1225" s="466">
        <v>10197.68</v>
      </c>
      <c r="AI1225" s="466">
        <v>4234.32</v>
      </c>
      <c r="AJ1225" s="469" t="s">
        <v>2644</v>
      </c>
      <c r="AK1225" s="470" t="s">
        <v>2859</v>
      </c>
      <c r="AL1225" s="471" t="s">
        <v>10144</v>
      </c>
      <c r="AM1225" s="470" t="s">
        <v>10145</v>
      </c>
      <c r="AN1225" s="470" t="s">
        <v>10142</v>
      </c>
      <c r="AO1225" s="470" t="s">
        <v>15045</v>
      </c>
      <c r="AP1225" s="470" t="s">
        <v>10146</v>
      </c>
      <c r="AQ1225" s="470" t="s">
        <v>10140</v>
      </c>
      <c r="AR1225" s="472" t="s">
        <v>515</v>
      </c>
      <c r="AS1225" s="473" t="s">
        <v>1385</v>
      </c>
      <c r="AT1225" s="472" t="s">
        <v>4613</v>
      </c>
      <c r="AU1225" s="472" t="s">
        <v>420</v>
      </c>
      <c r="AV1225" s="472">
        <v>2020</v>
      </c>
      <c r="AW1225" s="474" t="s">
        <v>15078</v>
      </c>
      <c r="AX1225" s="475" t="s">
        <v>15079</v>
      </c>
      <c r="AY1225" s="515">
        <v>1</v>
      </c>
      <c r="AZ1225" s="474" t="s">
        <v>15079</v>
      </c>
      <c r="BA1225" s="472" t="s">
        <v>4613</v>
      </c>
      <c r="BB1225" s="472" t="s">
        <v>1385</v>
      </c>
      <c r="BC1225" s="472" t="s">
        <v>1385</v>
      </c>
      <c r="BD1225" s="472" t="s">
        <v>1385</v>
      </c>
      <c r="BE1225" s="472" t="s">
        <v>1385</v>
      </c>
      <c r="BF1225" s="472">
        <v>17058.599999999999</v>
      </c>
      <c r="BG1225" s="472">
        <v>0</v>
      </c>
      <c r="BH1225" s="472" t="s">
        <v>1385</v>
      </c>
      <c r="BI1225" s="510">
        <v>0</v>
      </c>
      <c r="BJ1225" s="510">
        <v>0</v>
      </c>
      <c r="BK1225" s="510">
        <v>0</v>
      </c>
      <c r="BL1225" s="510">
        <v>0</v>
      </c>
      <c r="BM1225" s="510">
        <v>0</v>
      </c>
      <c r="BN1225" s="510">
        <v>2000</v>
      </c>
      <c r="BO1225" s="510">
        <v>0</v>
      </c>
      <c r="BP1225" s="510">
        <v>0</v>
      </c>
      <c r="BQ1225" s="510">
        <v>0</v>
      </c>
      <c r="BR1225" s="510">
        <v>0</v>
      </c>
      <c r="BS1225" s="510">
        <v>0</v>
      </c>
      <c r="BT1225" s="510">
        <v>0</v>
      </c>
      <c r="BU1225" s="510">
        <v>0</v>
      </c>
      <c r="BV1225" s="510">
        <v>0</v>
      </c>
      <c r="BW1225" s="510">
        <v>0</v>
      </c>
      <c r="BX1225" s="510">
        <v>30000</v>
      </c>
      <c r="BY1225" s="1011">
        <v>0</v>
      </c>
      <c r="BZ1225" s="510">
        <v>0</v>
      </c>
      <c r="CA1225" s="1011">
        <v>0</v>
      </c>
      <c r="CB1225" s="510">
        <v>0</v>
      </c>
      <c r="CC1225" s="1011">
        <v>0</v>
      </c>
      <c r="CD1225" s="510">
        <v>0</v>
      </c>
      <c r="CE1225" s="1011">
        <v>0</v>
      </c>
      <c r="CF1225" s="510">
        <v>37600.800000000003</v>
      </c>
      <c r="CG1225" s="1011">
        <v>0</v>
      </c>
      <c r="CH1225" s="510">
        <v>0</v>
      </c>
      <c r="CI1225" s="1011">
        <v>0</v>
      </c>
    </row>
    <row r="1226" spans="1:87" x14ac:dyDescent="0.2">
      <c r="A1226" s="449">
        <v>5</v>
      </c>
      <c r="B1226" s="453">
        <v>400028</v>
      </c>
      <c r="C1226" s="454" t="s">
        <v>10147</v>
      </c>
      <c r="D1226" s="454" t="s">
        <v>4613</v>
      </c>
      <c r="E1226" s="454" t="s">
        <v>10148</v>
      </c>
      <c r="F1226" s="454" t="s">
        <v>513</v>
      </c>
      <c r="G1226" s="454" t="s">
        <v>14343</v>
      </c>
      <c r="H1226" s="455">
        <v>7903617000166</v>
      </c>
      <c r="I1226" s="462">
        <v>38743</v>
      </c>
      <c r="J1226" s="457">
        <v>37529714</v>
      </c>
      <c r="K1226" s="454" t="s">
        <v>10149</v>
      </c>
      <c r="L1226" s="458">
        <v>25</v>
      </c>
      <c r="M1226" s="454" t="s">
        <v>8860</v>
      </c>
      <c r="N1226" s="459">
        <v>3933000</v>
      </c>
      <c r="O1226" s="460">
        <v>27222259</v>
      </c>
      <c r="P1226" s="462">
        <v>144939</v>
      </c>
      <c r="Q1226" s="462">
        <v>5</v>
      </c>
      <c r="R1226" s="462">
        <v>43937</v>
      </c>
      <c r="S1226" s="463">
        <v>117</v>
      </c>
      <c r="T1226" s="464">
        <v>3.6</v>
      </c>
      <c r="U1226" s="465">
        <v>421.2</v>
      </c>
      <c r="V1226" s="465">
        <v>10800</v>
      </c>
      <c r="W1226" s="466">
        <v>0</v>
      </c>
      <c r="X1226" s="467">
        <v>1</v>
      </c>
      <c r="Y1226" s="466">
        <v>16831.8</v>
      </c>
      <c r="Z1226" s="468" t="s">
        <v>516</v>
      </c>
      <c r="AA1226" s="466">
        <v>84310.2</v>
      </c>
      <c r="AB1226" s="466">
        <v>84310.2</v>
      </c>
      <c r="AC1226" s="467">
        <v>0</v>
      </c>
      <c r="AD1226" s="466">
        <v>0</v>
      </c>
      <c r="AE1226" s="468" t="s">
        <v>516</v>
      </c>
      <c r="AF1226" s="466">
        <v>0</v>
      </c>
      <c r="AG1226" s="466">
        <v>0</v>
      </c>
      <c r="AH1226" s="466">
        <v>8854.43</v>
      </c>
      <c r="AI1226" s="466">
        <v>4836.4399999999996</v>
      </c>
      <c r="AJ1226" s="469" t="s">
        <v>2926</v>
      </c>
      <c r="AK1226" s="470" t="s">
        <v>2927</v>
      </c>
      <c r="AL1226" s="471" t="s">
        <v>10150</v>
      </c>
      <c r="AM1226" s="470" t="s">
        <v>10151</v>
      </c>
      <c r="AN1226" s="470" t="s">
        <v>1385</v>
      </c>
      <c r="AO1226" s="470" t="s">
        <v>10152</v>
      </c>
      <c r="AP1226" s="470" t="s">
        <v>10153</v>
      </c>
      <c r="AQ1226" s="470" t="s">
        <v>10147</v>
      </c>
      <c r="AR1226" s="472" t="s">
        <v>515</v>
      </c>
      <c r="AS1226" s="473" t="s">
        <v>1385</v>
      </c>
      <c r="AT1226" s="472" t="s">
        <v>4613</v>
      </c>
      <c r="AU1226" s="472" t="s">
        <v>420</v>
      </c>
      <c r="AV1226" s="472">
        <v>2020</v>
      </c>
      <c r="AW1226" s="474" t="s">
        <v>15078</v>
      </c>
      <c r="AX1226" s="475" t="s">
        <v>15079</v>
      </c>
      <c r="AY1226" s="515">
        <v>1</v>
      </c>
      <c r="AZ1226" s="474" t="s">
        <v>15079</v>
      </c>
      <c r="BA1226" s="472" t="s">
        <v>4613</v>
      </c>
      <c r="BB1226" s="472" t="s">
        <v>1385</v>
      </c>
      <c r="BC1226" s="472" t="s">
        <v>1385</v>
      </c>
      <c r="BD1226" s="472" t="s">
        <v>1385</v>
      </c>
      <c r="BE1226" s="472" t="s">
        <v>1385</v>
      </c>
      <c r="BF1226" s="509">
        <v>16831.8</v>
      </c>
      <c r="BG1226" s="509">
        <v>0</v>
      </c>
      <c r="BH1226" s="472" t="s">
        <v>1385</v>
      </c>
      <c r="BI1226" s="510">
        <v>0</v>
      </c>
      <c r="BJ1226" s="510">
        <v>0</v>
      </c>
      <c r="BK1226" s="510">
        <v>0</v>
      </c>
      <c r="BL1226" s="510">
        <v>0</v>
      </c>
      <c r="BM1226" s="510">
        <v>0</v>
      </c>
      <c r="BN1226" s="510">
        <v>2000</v>
      </c>
      <c r="BO1226" s="510">
        <v>0</v>
      </c>
      <c r="BP1226" s="510">
        <v>0</v>
      </c>
      <c r="BQ1226" s="510">
        <v>0</v>
      </c>
      <c r="BR1226" s="510">
        <v>0</v>
      </c>
      <c r="BS1226" s="510">
        <v>0</v>
      </c>
      <c r="BT1226" s="510">
        <v>0</v>
      </c>
      <c r="BU1226" s="510">
        <v>0</v>
      </c>
      <c r="BV1226" s="510">
        <v>0</v>
      </c>
      <c r="BW1226" s="510">
        <v>0</v>
      </c>
      <c r="BX1226" s="510">
        <v>30000</v>
      </c>
      <c r="BY1226" s="1011">
        <v>0</v>
      </c>
      <c r="BZ1226" s="510">
        <v>0</v>
      </c>
      <c r="CA1226" s="1011">
        <v>0</v>
      </c>
      <c r="CB1226" s="510">
        <v>0</v>
      </c>
      <c r="CC1226" s="1011">
        <v>0</v>
      </c>
      <c r="CD1226" s="510">
        <v>0</v>
      </c>
      <c r="CE1226" s="1011">
        <v>0</v>
      </c>
      <c r="CF1226" s="510">
        <v>37478.400000000001</v>
      </c>
      <c r="CG1226" s="1011">
        <v>0</v>
      </c>
      <c r="CH1226" s="510">
        <v>0</v>
      </c>
      <c r="CI1226" s="1011">
        <v>0</v>
      </c>
    </row>
    <row r="1227" spans="1:87" x14ac:dyDescent="0.2">
      <c r="A1227" s="449">
        <v>6</v>
      </c>
      <c r="B1227" s="453">
        <v>400029</v>
      </c>
      <c r="C1227" s="454" t="s">
        <v>10154</v>
      </c>
      <c r="D1227" s="454" t="s">
        <v>4613</v>
      </c>
      <c r="E1227" s="454" t="s">
        <v>10155</v>
      </c>
      <c r="F1227" s="454" t="s">
        <v>518</v>
      </c>
      <c r="G1227" s="454" t="s">
        <v>14344</v>
      </c>
      <c r="H1227" s="455">
        <v>10527325000180</v>
      </c>
      <c r="I1227" s="462">
        <v>39696</v>
      </c>
      <c r="J1227" s="457">
        <v>39074072</v>
      </c>
      <c r="K1227" s="454" t="s">
        <v>10157</v>
      </c>
      <c r="L1227" s="458">
        <v>61</v>
      </c>
      <c r="M1227" s="454" t="s">
        <v>10158</v>
      </c>
      <c r="N1227" s="459">
        <v>8285190</v>
      </c>
      <c r="O1227" s="460">
        <v>27414453</v>
      </c>
      <c r="P1227" s="462">
        <v>46410</v>
      </c>
      <c r="Q1227" s="462">
        <v>6</v>
      </c>
      <c r="R1227" s="462">
        <v>43955</v>
      </c>
      <c r="S1227" s="463">
        <v>105</v>
      </c>
      <c r="T1227" s="464">
        <v>3.6</v>
      </c>
      <c r="U1227" s="465">
        <v>378</v>
      </c>
      <c r="V1227" s="465">
        <v>10800</v>
      </c>
      <c r="W1227" s="466">
        <v>0</v>
      </c>
      <c r="X1227" s="467">
        <v>1</v>
      </c>
      <c r="Y1227" s="466">
        <v>16767</v>
      </c>
      <c r="Z1227" s="468" t="s">
        <v>516</v>
      </c>
      <c r="AA1227" s="466">
        <v>84123</v>
      </c>
      <c r="AB1227" s="466">
        <v>84123</v>
      </c>
      <c r="AC1227" s="467">
        <v>0</v>
      </c>
      <c r="AD1227" s="466">
        <v>0</v>
      </c>
      <c r="AE1227" s="468" t="s">
        <v>516</v>
      </c>
      <c r="AF1227" s="466">
        <v>0</v>
      </c>
      <c r="AG1227" s="466">
        <v>0</v>
      </c>
      <c r="AH1227" s="466">
        <v>10776.26</v>
      </c>
      <c r="AI1227" s="466">
        <v>4471.2</v>
      </c>
      <c r="AJ1227" s="469" t="s">
        <v>1560</v>
      </c>
      <c r="AK1227" s="470" t="s">
        <v>1776</v>
      </c>
      <c r="AL1227" s="471" t="s">
        <v>10159</v>
      </c>
      <c r="AM1227" s="470" t="s">
        <v>10160</v>
      </c>
      <c r="AN1227" s="470" t="s">
        <v>10156</v>
      </c>
      <c r="AO1227" s="470" t="s">
        <v>15046</v>
      </c>
      <c r="AP1227" s="470" t="s">
        <v>10161</v>
      </c>
      <c r="AQ1227" s="470" t="s">
        <v>10154</v>
      </c>
      <c r="AR1227" s="472" t="s">
        <v>515</v>
      </c>
      <c r="AS1227" s="473" t="s">
        <v>1385</v>
      </c>
      <c r="AT1227" s="472" t="s">
        <v>4613</v>
      </c>
      <c r="AU1227" s="472" t="s">
        <v>420</v>
      </c>
      <c r="AV1227" s="472">
        <v>2020</v>
      </c>
      <c r="AW1227" s="474" t="s">
        <v>15078</v>
      </c>
      <c r="AX1227" s="475" t="s">
        <v>15079</v>
      </c>
      <c r="AY1227" s="515">
        <v>1</v>
      </c>
      <c r="AZ1227" s="474" t="s">
        <v>15079</v>
      </c>
      <c r="BA1227" s="472" t="s">
        <v>4613</v>
      </c>
      <c r="BB1227" s="472" t="s">
        <v>1385</v>
      </c>
      <c r="BC1227" s="472" t="s">
        <v>1385</v>
      </c>
      <c r="BD1227" s="472" t="s">
        <v>1385</v>
      </c>
      <c r="BE1227" s="472" t="s">
        <v>1385</v>
      </c>
      <c r="BF1227" s="472">
        <v>16767</v>
      </c>
      <c r="BG1227" s="472">
        <v>0</v>
      </c>
      <c r="BH1227" s="472" t="s">
        <v>1385</v>
      </c>
      <c r="BI1227" s="510">
        <v>0</v>
      </c>
      <c r="BJ1227" s="510">
        <v>1261.5999999999999</v>
      </c>
      <c r="BK1227" s="510">
        <v>0</v>
      </c>
      <c r="BL1227" s="510">
        <v>0</v>
      </c>
      <c r="BM1227" s="510">
        <v>0</v>
      </c>
      <c r="BN1227" s="510">
        <v>2000</v>
      </c>
      <c r="BO1227" s="510">
        <v>0</v>
      </c>
      <c r="BP1227" s="510">
        <v>0</v>
      </c>
      <c r="BQ1227" s="510">
        <v>0</v>
      </c>
      <c r="BR1227" s="510">
        <v>0</v>
      </c>
      <c r="BS1227" s="510">
        <v>0</v>
      </c>
      <c r="BT1227" s="510">
        <v>0</v>
      </c>
      <c r="BU1227" s="510">
        <v>0</v>
      </c>
      <c r="BV1227" s="510">
        <v>0</v>
      </c>
      <c r="BW1227" s="510">
        <v>0</v>
      </c>
      <c r="BX1227" s="510">
        <v>30000</v>
      </c>
      <c r="BY1227" s="1011">
        <v>0</v>
      </c>
      <c r="BZ1227" s="510">
        <v>0</v>
      </c>
      <c r="CA1227" s="1011">
        <v>0</v>
      </c>
      <c r="CB1227" s="510">
        <v>0</v>
      </c>
      <c r="CC1227" s="1011">
        <v>0</v>
      </c>
      <c r="CD1227" s="510">
        <v>0</v>
      </c>
      <c r="CE1227" s="1011">
        <v>0</v>
      </c>
      <c r="CF1227" s="510">
        <v>37356</v>
      </c>
      <c r="CG1227" s="1011">
        <v>0</v>
      </c>
      <c r="CH1227" s="510">
        <v>0</v>
      </c>
      <c r="CI1227" s="1011">
        <v>0</v>
      </c>
    </row>
    <row r="1228" spans="1:87" x14ac:dyDescent="0.2">
      <c r="A1228" s="449">
        <v>5</v>
      </c>
      <c r="B1228" s="453">
        <v>400030</v>
      </c>
      <c r="C1228" s="454" t="s">
        <v>10162</v>
      </c>
      <c r="D1228" s="454" t="s">
        <v>4613</v>
      </c>
      <c r="E1228" s="454" t="s">
        <v>10163</v>
      </c>
      <c r="F1228" s="454" t="s">
        <v>525</v>
      </c>
      <c r="G1228" s="454" t="s">
        <v>14345</v>
      </c>
      <c r="H1228" s="455">
        <v>8027265000195</v>
      </c>
      <c r="I1228" s="462">
        <v>38800</v>
      </c>
      <c r="J1228" s="457">
        <v>37357808</v>
      </c>
      <c r="K1228" s="454" t="s">
        <v>4652</v>
      </c>
      <c r="L1228" s="458">
        <v>215</v>
      </c>
      <c r="M1228" s="454" t="s">
        <v>2594</v>
      </c>
      <c r="N1228" s="459">
        <v>2169270</v>
      </c>
      <c r="O1228" s="460">
        <v>29558724</v>
      </c>
      <c r="P1228" s="462">
        <v>323155</v>
      </c>
      <c r="Q1228" s="462">
        <v>5</v>
      </c>
      <c r="R1228" s="462">
        <v>43950</v>
      </c>
      <c r="S1228" s="463">
        <v>170</v>
      </c>
      <c r="T1228" s="464">
        <v>3.6</v>
      </c>
      <c r="U1228" s="465">
        <v>612</v>
      </c>
      <c r="V1228" s="465">
        <v>10800</v>
      </c>
      <c r="W1228" s="466">
        <v>0</v>
      </c>
      <c r="X1228" s="467">
        <v>1</v>
      </c>
      <c r="Y1228" s="466">
        <v>17118</v>
      </c>
      <c r="Z1228" s="468" t="s">
        <v>516</v>
      </c>
      <c r="AA1228" s="466">
        <v>84891.6</v>
      </c>
      <c r="AB1228" s="466">
        <v>84891.6</v>
      </c>
      <c r="AC1228" s="467">
        <v>0</v>
      </c>
      <c r="AD1228" s="466">
        <v>0</v>
      </c>
      <c r="AE1228" s="468" t="s">
        <v>516</v>
      </c>
      <c r="AF1228" s="466">
        <v>0</v>
      </c>
      <c r="AG1228" s="466">
        <v>0</v>
      </c>
      <c r="AH1228" s="466">
        <v>9159.94</v>
      </c>
      <c r="AI1228" s="466">
        <v>2363.0500000000002</v>
      </c>
      <c r="AJ1228" s="469" t="s">
        <v>8581</v>
      </c>
      <c r="AK1228" s="470" t="s">
        <v>4525</v>
      </c>
      <c r="AL1228" s="471" t="s">
        <v>10165</v>
      </c>
      <c r="AM1228" s="470" t="s">
        <v>10166</v>
      </c>
      <c r="AN1228" s="470" t="s">
        <v>10164</v>
      </c>
      <c r="AO1228" s="470" t="s">
        <v>10167</v>
      </c>
      <c r="AP1228" s="470" t="s">
        <v>10168</v>
      </c>
      <c r="AQ1228" s="470" t="s">
        <v>10162</v>
      </c>
      <c r="AR1228" s="472" t="s">
        <v>515</v>
      </c>
      <c r="AS1228" s="473" t="s">
        <v>1385</v>
      </c>
      <c r="AT1228" s="472" t="s">
        <v>4613</v>
      </c>
      <c r="AU1228" s="472" t="s">
        <v>420</v>
      </c>
      <c r="AV1228" s="472">
        <v>2020</v>
      </c>
      <c r="AW1228" s="474" t="s">
        <v>15078</v>
      </c>
      <c r="AX1228" s="475" t="s">
        <v>15079</v>
      </c>
      <c r="AY1228" s="515">
        <v>1</v>
      </c>
      <c r="AZ1228" s="474" t="s">
        <v>15079</v>
      </c>
      <c r="BA1228" s="472" t="s">
        <v>4613</v>
      </c>
      <c r="BB1228" s="472" t="s">
        <v>1385</v>
      </c>
      <c r="BC1228" s="472" t="s">
        <v>1385</v>
      </c>
      <c r="BD1228" s="472" t="s">
        <v>1385</v>
      </c>
      <c r="BE1228" s="472" t="s">
        <v>1385</v>
      </c>
      <c r="BF1228" s="472">
        <v>17118</v>
      </c>
      <c r="BG1228" s="472">
        <v>0</v>
      </c>
      <c r="BH1228" s="472" t="s">
        <v>1385</v>
      </c>
      <c r="BI1228" s="510">
        <v>0</v>
      </c>
      <c r="BJ1228" s="510">
        <v>0</v>
      </c>
      <c r="BK1228" s="510">
        <v>0</v>
      </c>
      <c r="BL1228" s="510">
        <v>0</v>
      </c>
      <c r="BM1228" s="510">
        <v>0</v>
      </c>
      <c r="BN1228" s="510">
        <v>2000</v>
      </c>
      <c r="BO1228" s="510">
        <v>0</v>
      </c>
      <c r="BP1228" s="510">
        <v>0</v>
      </c>
      <c r="BQ1228" s="510">
        <v>0</v>
      </c>
      <c r="BR1228" s="510">
        <v>0</v>
      </c>
      <c r="BS1228" s="510">
        <v>0</v>
      </c>
      <c r="BT1228" s="510">
        <v>0</v>
      </c>
      <c r="BU1228" s="510">
        <v>0</v>
      </c>
      <c r="BV1228" s="510">
        <v>0</v>
      </c>
      <c r="BW1228" s="510">
        <v>0</v>
      </c>
      <c r="BX1228" s="510">
        <v>30000</v>
      </c>
      <c r="BY1228" s="1011">
        <v>0</v>
      </c>
      <c r="BZ1228" s="510">
        <v>0</v>
      </c>
      <c r="CA1228" s="1011">
        <v>0</v>
      </c>
      <c r="CB1228" s="510">
        <v>0</v>
      </c>
      <c r="CC1228" s="1011">
        <v>0</v>
      </c>
      <c r="CD1228" s="510">
        <v>0</v>
      </c>
      <c r="CE1228" s="1011">
        <v>0</v>
      </c>
      <c r="CF1228" s="510">
        <v>37773.599999999999</v>
      </c>
      <c r="CG1228" s="1011">
        <v>0</v>
      </c>
      <c r="CH1228" s="510">
        <v>0</v>
      </c>
      <c r="CI1228" s="1011">
        <v>0</v>
      </c>
    </row>
    <row r="1229" spans="1:87" x14ac:dyDescent="0.2">
      <c r="A1229" s="449">
        <v>3</v>
      </c>
      <c r="B1229" s="453">
        <v>400031</v>
      </c>
      <c r="C1229" s="454" t="s">
        <v>10169</v>
      </c>
      <c r="D1229" s="454" t="s">
        <v>4613</v>
      </c>
      <c r="E1229" s="454" t="s">
        <v>10170</v>
      </c>
      <c r="F1229" s="454" t="s">
        <v>526</v>
      </c>
      <c r="G1229" s="454" t="s">
        <v>14346</v>
      </c>
      <c r="H1229" s="455">
        <v>8404515000169</v>
      </c>
      <c r="I1229" s="462">
        <v>38994</v>
      </c>
      <c r="J1229" s="457">
        <v>37411500</v>
      </c>
      <c r="K1229" s="454" t="s">
        <v>10171</v>
      </c>
      <c r="L1229" s="458">
        <v>482</v>
      </c>
      <c r="M1229" s="454" t="s">
        <v>2571</v>
      </c>
      <c r="N1229" s="459">
        <v>8061630</v>
      </c>
      <c r="O1229" s="460">
        <v>29563278</v>
      </c>
      <c r="P1229" s="462">
        <v>110038</v>
      </c>
      <c r="Q1229" s="462">
        <v>3</v>
      </c>
      <c r="R1229" s="462">
        <v>43928</v>
      </c>
      <c r="S1229" s="463">
        <v>128</v>
      </c>
      <c r="T1229" s="464">
        <v>3.6</v>
      </c>
      <c r="U1229" s="465">
        <v>460.8</v>
      </c>
      <c r="V1229" s="465">
        <v>10800</v>
      </c>
      <c r="W1229" s="466">
        <v>0</v>
      </c>
      <c r="X1229" s="467">
        <v>1</v>
      </c>
      <c r="Y1229" s="466">
        <v>16891.2</v>
      </c>
      <c r="Z1229" s="468" t="s">
        <v>516</v>
      </c>
      <c r="AA1229" s="466">
        <v>84520.8</v>
      </c>
      <c r="AB1229" s="466">
        <v>84520.8</v>
      </c>
      <c r="AC1229" s="467">
        <v>0</v>
      </c>
      <c r="AD1229" s="466">
        <v>0</v>
      </c>
      <c r="AE1229" s="468" t="s">
        <v>516</v>
      </c>
      <c r="AF1229" s="466">
        <v>0</v>
      </c>
      <c r="AG1229" s="466">
        <v>0</v>
      </c>
      <c r="AH1229" s="466">
        <v>11267.5</v>
      </c>
      <c r="AI1229" s="466">
        <v>0</v>
      </c>
      <c r="AJ1229" s="469" t="s">
        <v>2004</v>
      </c>
      <c r="AK1229" s="470" t="s">
        <v>2005</v>
      </c>
      <c r="AL1229" s="471" t="s">
        <v>10172</v>
      </c>
      <c r="AM1229" s="470" t="s">
        <v>10173</v>
      </c>
      <c r="AN1229" s="470" t="s">
        <v>1385</v>
      </c>
      <c r="AO1229" s="470" t="s">
        <v>10174</v>
      </c>
      <c r="AP1229" s="470" t="s">
        <v>10175</v>
      </c>
      <c r="AQ1229" s="470" t="s">
        <v>10169</v>
      </c>
      <c r="AR1229" s="472" t="s">
        <v>515</v>
      </c>
      <c r="AS1229" s="473" t="s">
        <v>1385</v>
      </c>
      <c r="AT1229" s="472" t="s">
        <v>4613</v>
      </c>
      <c r="AU1229" s="472" t="s">
        <v>420</v>
      </c>
      <c r="AV1229" s="472">
        <v>2020</v>
      </c>
      <c r="AW1229" s="474" t="s">
        <v>15078</v>
      </c>
      <c r="AX1229" s="475" t="s">
        <v>15079</v>
      </c>
      <c r="AY1229" s="515">
        <v>1</v>
      </c>
      <c r="AZ1229" s="474" t="s">
        <v>15079</v>
      </c>
      <c r="BA1229" s="472" t="s">
        <v>4613</v>
      </c>
      <c r="BB1229" s="472" t="s">
        <v>1385</v>
      </c>
      <c r="BC1229" s="472" t="s">
        <v>1385</v>
      </c>
      <c r="BD1229" s="472" t="s">
        <v>1385</v>
      </c>
      <c r="BE1229" s="472" t="s">
        <v>1385</v>
      </c>
      <c r="BF1229" s="472">
        <v>16891.2</v>
      </c>
      <c r="BG1229" s="472">
        <v>0</v>
      </c>
      <c r="BH1229" s="472" t="s">
        <v>1385</v>
      </c>
      <c r="BI1229" s="510">
        <v>0</v>
      </c>
      <c r="BJ1229" s="510">
        <v>0</v>
      </c>
      <c r="BK1229" s="510">
        <v>0</v>
      </c>
      <c r="BL1229" s="510">
        <v>0</v>
      </c>
      <c r="BM1229" s="510">
        <v>0</v>
      </c>
      <c r="BN1229" s="510">
        <v>2000</v>
      </c>
      <c r="BO1229" s="510">
        <v>0</v>
      </c>
      <c r="BP1229" s="510">
        <v>0</v>
      </c>
      <c r="BQ1229" s="510">
        <v>0</v>
      </c>
      <c r="BR1229" s="510">
        <v>0</v>
      </c>
      <c r="BS1229" s="510">
        <v>0</v>
      </c>
      <c r="BT1229" s="510">
        <v>0</v>
      </c>
      <c r="BU1229" s="510">
        <v>0</v>
      </c>
      <c r="BV1229" s="510">
        <v>0</v>
      </c>
      <c r="BW1229" s="510">
        <v>0</v>
      </c>
      <c r="BX1229" s="510">
        <v>30000</v>
      </c>
      <c r="BY1229" s="1011">
        <v>0</v>
      </c>
      <c r="BZ1229" s="510">
        <v>0</v>
      </c>
      <c r="CA1229" s="1011">
        <v>0</v>
      </c>
      <c r="CB1229" s="510">
        <v>0</v>
      </c>
      <c r="CC1229" s="1011">
        <v>0</v>
      </c>
      <c r="CD1229" s="510">
        <v>0</v>
      </c>
      <c r="CE1229" s="1011">
        <v>0</v>
      </c>
      <c r="CF1229" s="510">
        <v>37629.599999999999</v>
      </c>
      <c r="CG1229" s="1011">
        <v>0</v>
      </c>
      <c r="CH1229" s="510">
        <v>0</v>
      </c>
      <c r="CI1229" s="1011">
        <v>0</v>
      </c>
    </row>
    <row r="1230" spans="1:87" x14ac:dyDescent="0.2">
      <c r="A1230" s="449">
        <v>3</v>
      </c>
      <c r="B1230" s="453">
        <v>400032</v>
      </c>
      <c r="C1230" s="454" t="s">
        <v>10176</v>
      </c>
      <c r="D1230" s="454" t="s">
        <v>4613</v>
      </c>
      <c r="E1230" s="454" t="s">
        <v>10177</v>
      </c>
      <c r="F1230" s="454" t="s">
        <v>523</v>
      </c>
      <c r="G1230" s="454" t="s">
        <v>14347</v>
      </c>
      <c r="H1230" s="455">
        <v>9161309000138</v>
      </c>
      <c r="I1230" s="462">
        <v>39357</v>
      </c>
      <c r="J1230" s="457">
        <v>37629760</v>
      </c>
      <c r="K1230" s="454" t="s">
        <v>5933</v>
      </c>
      <c r="L1230" s="458">
        <v>122</v>
      </c>
      <c r="M1230" s="454" t="s">
        <v>1950</v>
      </c>
      <c r="N1230" s="459">
        <v>8470250</v>
      </c>
      <c r="O1230" s="460">
        <v>29648118</v>
      </c>
      <c r="P1230" s="462">
        <v>267310</v>
      </c>
      <c r="Q1230" s="462">
        <v>3</v>
      </c>
      <c r="R1230" s="462">
        <v>43903</v>
      </c>
      <c r="S1230" s="463">
        <v>160</v>
      </c>
      <c r="T1230" s="464">
        <v>3.6</v>
      </c>
      <c r="U1230" s="465">
        <v>576</v>
      </c>
      <c r="V1230" s="465">
        <v>10800</v>
      </c>
      <c r="W1230" s="466">
        <v>0</v>
      </c>
      <c r="X1230" s="467">
        <v>1</v>
      </c>
      <c r="Y1230" s="466">
        <v>17064</v>
      </c>
      <c r="Z1230" s="468" t="s">
        <v>516</v>
      </c>
      <c r="AA1230" s="466">
        <v>84700.800000000003</v>
      </c>
      <c r="AB1230" s="466">
        <v>84700.800000000003</v>
      </c>
      <c r="AC1230" s="467">
        <v>0</v>
      </c>
      <c r="AD1230" s="466">
        <v>0</v>
      </c>
      <c r="AE1230" s="468" t="s">
        <v>516</v>
      </c>
      <c r="AF1230" s="466">
        <v>0</v>
      </c>
      <c r="AG1230" s="466">
        <v>0</v>
      </c>
      <c r="AH1230" s="466">
        <v>7481.07</v>
      </c>
      <c r="AI1230" s="466">
        <v>5680.45</v>
      </c>
      <c r="AJ1230" s="469" t="s">
        <v>2050</v>
      </c>
      <c r="AK1230" s="470" t="s">
        <v>2051</v>
      </c>
      <c r="AL1230" s="471" t="s">
        <v>10179</v>
      </c>
      <c r="AM1230" s="470" t="s">
        <v>14348</v>
      </c>
      <c r="AN1230" s="470" t="s">
        <v>10178</v>
      </c>
      <c r="AO1230" s="470" t="s">
        <v>14349</v>
      </c>
      <c r="AP1230" s="470" t="s">
        <v>1950</v>
      </c>
      <c r="AQ1230" s="470" t="s">
        <v>10176</v>
      </c>
      <c r="AR1230" s="472" t="s">
        <v>515</v>
      </c>
      <c r="AS1230" s="473" t="s">
        <v>1385</v>
      </c>
      <c r="AT1230" s="472" t="s">
        <v>4613</v>
      </c>
      <c r="AU1230" s="472" t="s">
        <v>420</v>
      </c>
      <c r="AV1230" s="472">
        <v>2020</v>
      </c>
      <c r="AW1230" s="474" t="s">
        <v>15078</v>
      </c>
      <c r="AX1230" s="475" t="s">
        <v>15079</v>
      </c>
      <c r="AY1230" s="515">
        <v>1</v>
      </c>
      <c r="AZ1230" s="474" t="s">
        <v>15079</v>
      </c>
      <c r="BA1230" s="472" t="s">
        <v>4613</v>
      </c>
      <c r="BB1230" s="472" t="s">
        <v>1385</v>
      </c>
      <c r="BC1230" s="472" t="s">
        <v>1385</v>
      </c>
      <c r="BD1230" s="472" t="s">
        <v>1385</v>
      </c>
      <c r="BE1230" s="472" t="s">
        <v>1385</v>
      </c>
      <c r="BF1230" s="472">
        <v>17064</v>
      </c>
      <c r="BG1230" s="472">
        <v>0</v>
      </c>
      <c r="BH1230" s="472" t="s">
        <v>1385</v>
      </c>
      <c r="BI1230" s="510">
        <v>0</v>
      </c>
      <c r="BJ1230" s="510">
        <v>0</v>
      </c>
      <c r="BK1230" s="510">
        <v>0</v>
      </c>
      <c r="BL1230" s="510">
        <v>0</v>
      </c>
      <c r="BM1230" s="510">
        <v>0</v>
      </c>
      <c r="BN1230" s="510">
        <v>2000</v>
      </c>
      <c r="BO1230" s="510">
        <v>0</v>
      </c>
      <c r="BP1230" s="510">
        <v>0</v>
      </c>
      <c r="BQ1230" s="510">
        <v>0</v>
      </c>
      <c r="BR1230" s="510">
        <v>0</v>
      </c>
      <c r="BS1230" s="510">
        <v>0</v>
      </c>
      <c r="BT1230" s="510">
        <v>0</v>
      </c>
      <c r="BU1230" s="510">
        <v>0</v>
      </c>
      <c r="BV1230" s="510">
        <v>0</v>
      </c>
      <c r="BW1230" s="510">
        <v>0</v>
      </c>
      <c r="BX1230" s="510">
        <v>30000</v>
      </c>
      <c r="BY1230" s="1011">
        <v>0</v>
      </c>
      <c r="BZ1230" s="510">
        <v>0</v>
      </c>
      <c r="CA1230" s="1011">
        <v>0</v>
      </c>
      <c r="CB1230" s="510">
        <v>0</v>
      </c>
      <c r="CC1230" s="1011">
        <v>0</v>
      </c>
      <c r="CD1230" s="510">
        <v>0</v>
      </c>
      <c r="CE1230" s="1011">
        <v>0</v>
      </c>
      <c r="CF1230" s="510">
        <v>37636.800000000003</v>
      </c>
      <c r="CG1230" s="1011">
        <v>0</v>
      </c>
      <c r="CH1230" s="510">
        <v>0</v>
      </c>
      <c r="CI1230" s="1011">
        <v>0</v>
      </c>
    </row>
    <row r="1231" spans="1:87" x14ac:dyDescent="0.2">
      <c r="A1231" s="449">
        <v>4</v>
      </c>
      <c r="B1231" s="453">
        <v>400033</v>
      </c>
      <c r="C1231" s="454" t="s">
        <v>10180</v>
      </c>
      <c r="D1231" s="454" t="s">
        <v>4613</v>
      </c>
      <c r="E1231" s="454" t="s">
        <v>10181</v>
      </c>
      <c r="F1231" s="454" t="s">
        <v>521</v>
      </c>
      <c r="G1231" s="454" t="s">
        <v>14350</v>
      </c>
      <c r="H1231" s="455">
        <v>7062976000138</v>
      </c>
      <c r="I1231" s="462">
        <v>38135</v>
      </c>
      <c r="J1231" s="457">
        <v>37552007</v>
      </c>
      <c r="K1231" s="454" t="s">
        <v>10182</v>
      </c>
      <c r="L1231" s="458">
        <v>145</v>
      </c>
      <c r="M1231" s="454" t="s">
        <v>3188</v>
      </c>
      <c r="N1231" s="459">
        <v>4840280</v>
      </c>
      <c r="O1231" s="460">
        <v>59313146</v>
      </c>
      <c r="P1231" s="462">
        <v>96434</v>
      </c>
      <c r="Q1231" s="462">
        <v>7</v>
      </c>
      <c r="R1231" s="462">
        <v>43934</v>
      </c>
      <c r="S1231" s="463">
        <v>167</v>
      </c>
      <c r="T1231" s="464">
        <v>3.6</v>
      </c>
      <c r="U1231" s="465">
        <v>601.20000000000005</v>
      </c>
      <c r="V1231" s="465">
        <v>10800</v>
      </c>
      <c r="W1231" s="466">
        <v>0</v>
      </c>
      <c r="X1231" s="467">
        <v>1</v>
      </c>
      <c r="Y1231" s="466">
        <v>17101.8</v>
      </c>
      <c r="Z1231" s="468" t="s">
        <v>516</v>
      </c>
      <c r="AA1231" s="466">
        <v>84544.2</v>
      </c>
      <c r="AB1231" s="466">
        <v>84544.2</v>
      </c>
      <c r="AC1231" s="467">
        <v>0</v>
      </c>
      <c r="AD1231" s="466">
        <v>0</v>
      </c>
      <c r="AE1231" s="468" t="s">
        <v>516</v>
      </c>
      <c r="AF1231" s="466">
        <v>0</v>
      </c>
      <c r="AG1231" s="466">
        <v>0</v>
      </c>
      <c r="AH1231" s="466">
        <v>8954.5</v>
      </c>
      <c r="AI1231" s="466">
        <v>2558.33</v>
      </c>
      <c r="AJ1231" s="469" t="s">
        <v>1624</v>
      </c>
      <c r="AK1231" s="470" t="s">
        <v>1625</v>
      </c>
      <c r="AL1231" s="471" t="s">
        <v>10183</v>
      </c>
      <c r="AM1231" s="470" t="s">
        <v>14351</v>
      </c>
      <c r="AN1231" s="470" t="s">
        <v>1385</v>
      </c>
      <c r="AO1231" s="470" t="s">
        <v>14352</v>
      </c>
      <c r="AP1231" s="470" t="s">
        <v>10184</v>
      </c>
      <c r="AQ1231" s="470" t="s">
        <v>10180</v>
      </c>
      <c r="AR1231" s="472" t="s">
        <v>515</v>
      </c>
      <c r="AS1231" s="473" t="s">
        <v>1385</v>
      </c>
      <c r="AT1231" s="472" t="s">
        <v>4613</v>
      </c>
      <c r="AU1231" s="472" t="s">
        <v>420</v>
      </c>
      <c r="AV1231" s="472">
        <v>2020</v>
      </c>
      <c r="AW1231" s="474" t="s">
        <v>15078</v>
      </c>
      <c r="AX1231" s="475" t="s">
        <v>15079</v>
      </c>
      <c r="AY1231" s="515">
        <v>1</v>
      </c>
      <c r="AZ1231" s="474" t="s">
        <v>15079</v>
      </c>
      <c r="BA1231" s="472" t="s">
        <v>4613</v>
      </c>
      <c r="BB1231" s="472" t="s">
        <v>1385</v>
      </c>
      <c r="BC1231" s="472" t="s">
        <v>1385</v>
      </c>
      <c r="BD1231" s="472" t="s">
        <v>1385</v>
      </c>
      <c r="BE1231" s="472" t="s">
        <v>1385</v>
      </c>
      <c r="BF1231" s="472">
        <v>17101.8</v>
      </c>
      <c r="BG1231" s="472">
        <v>0</v>
      </c>
      <c r="BH1231" s="472" t="s">
        <v>1385</v>
      </c>
      <c r="BI1231" s="510">
        <v>0</v>
      </c>
      <c r="BJ1231" s="510">
        <v>0</v>
      </c>
      <c r="BK1231" s="510">
        <v>0</v>
      </c>
      <c r="BL1231" s="510">
        <v>0</v>
      </c>
      <c r="BM1231" s="510">
        <v>0</v>
      </c>
      <c r="BN1231" s="510">
        <v>2000</v>
      </c>
      <c r="BO1231" s="510">
        <v>0</v>
      </c>
      <c r="BP1231" s="510">
        <v>0</v>
      </c>
      <c r="BQ1231" s="510">
        <v>0</v>
      </c>
      <c r="BR1231" s="510">
        <v>0</v>
      </c>
      <c r="BS1231" s="510">
        <v>0</v>
      </c>
      <c r="BT1231" s="510">
        <v>0</v>
      </c>
      <c r="BU1231" s="510">
        <v>0</v>
      </c>
      <c r="BV1231" s="510">
        <v>0</v>
      </c>
      <c r="BW1231" s="510">
        <v>0</v>
      </c>
      <c r="BX1231" s="510">
        <v>30000</v>
      </c>
      <c r="BY1231" s="1011">
        <v>0</v>
      </c>
      <c r="BZ1231" s="510">
        <v>0</v>
      </c>
      <c r="CA1231" s="1011">
        <v>0</v>
      </c>
      <c r="CB1231" s="510">
        <v>0</v>
      </c>
      <c r="CC1231" s="1011">
        <v>0</v>
      </c>
      <c r="CD1231" s="510">
        <v>0</v>
      </c>
      <c r="CE1231" s="1011">
        <v>0</v>
      </c>
      <c r="CF1231" s="510">
        <v>37442.400000000001</v>
      </c>
      <c r="CG1231" s="1011">
        <v>0</v>
      </c>
      <c r="CH1231" s="510">
        <v>0</v>
      </c>
      <c r="CI1231" s="1011">
        <v>0</v>
      </c>
    </row>
    <row r="1232" spans="1:87" x14ac:dyDescent="0.2">
      <c r="A1232" s="449">
        <v>5</v>
      </c>
      <c r="B1232" s="453">
        <v>400034</v>
      </c>
      <c r="C1232" s="454" t="s">
        <v>10185</v>
      </c>
      <c r="D1232" s="454" t="s">
        <v>4613</v>
      </c>
      <c r="E1232" s="454" t="s">
        <v>10186</v>
      </c>
      <c r="F1232" s="454" t="s">
        <v>519</v>
      </c>
      <c r="G1232" s="454" t="s">
        <v>14353</v>
      </c>
      <c r="H1232" s="455">
        <v>6352331000177</v>
      </c>
      <c r="I1232" s="462">
        <v>38134</v>
      </c>
      <c r="J1232" s="457">
        <v>37358367</v>
      </c>
      <c r="K1232" s="454" t="s">
        <v>1938</v>
      </c>
      <c r="L1232" s="458">
        <v>560</v>
      </c>
      <c r="M1232" s="454" t="s">
        <v>1939</v>
      </c>
      <c r="N1232" s="459">
        <v>5574450</v>
      </c>
      <c r="O1232" s="460">
        <v>37814606</v>
      </c>
      <c r="P1232" s="462">
        <v>124225</v>
      </c>
      <c r="Q1232" s="462">
        <v>72</v>
      </c>
      <c r="R1232" s="462">
        <v>43881</v>
      </c>
      <c r="S1232" s="463">
        <v>187</v>
      </c>
      <c r="T1232" s="464">
        <v>3.6</v>
      </c>
      <c r="U1232" s="465">
        <v>673.2</v>
      </c>
      <c r="V1232" s="465">
        <v>10800</v>
      </c>
      <c r="W1232" s="466">
        <v>0</v>
      </c>
      <c r="X1232" s="467">
        <v>1</v>
      </c>
      <c r="Y1232" s="466">
        <v>0</v>
      </c>
      <c r="Z1232" s="468" t="s">
        <v>514</v>
      </c>
      <c r="AA1232" s="466">
        <v>0</v>
      </c>
      <c r="AB1232" s="466">
        <v>0</v>
      </c>
      <c r="AC1232" s="467">
        <v>0</v>
      </c>
      <c r="AD1232" s="466">
        <v>0</v>
      </c>
      <c r="AE1232" s="468" t="s">
        <v>516</v>
      </c>
      <c r="AF1232" s="466">
        <v>0</v>
      </c>
      <c r="AG1232" s="466">
        <v>0</v>
      </c>
      <c r="AH1232" s="466">
        <v>74.75</v>
      </c>
      <c r="AI1232" s="466">
        <v>1748.86</v>
      </c>
      <c r="AJ1232" s="469" t="s">
        <v>2443</v>
      </c>
      <c r="AK1232" s="470" t="s">
        <v>2444</v>
      </c>
      <c r="AL1232" s="471" t="s">
        <v>10188</v>
      </c>
      <c r="AM1232" s="470" t="s">
        <v>10189</v>
      </c>
      <c r="AN1232" s="470" t="s">
        <v>10187</v>
      </c>
      <c r="AO1232" s="470" t="s">
        <v>10190</v>
      </c>
      <c r="AP1232" s="470" t="s">
        <v>1939</v>
      </c>
      <c r="AQ1232" s="470" t="s">
        <v>10185</v>
      </c>
      <c r="AR1232" s="472" t="s">
        <v>515</v>
      </c>
      <c r="AS1232" s="473" t="s">
        <v>1385</v>
      </c>
      <c r="AT1232" s="472" t="s">
        <v>4613</v>
      </c>
      <c r="AU1232" s="472" t="s">
        <v>420</v>
      </c>
      <c r="AV1232" s="472">
        <v>2020</v>
      </c>
      <c r="AW1232" s="474" t="s">
        <v>15078</v>
      </c>
      <c r="AX1232" s="475" t="s">
        <v>15079</v>
      </c>
      <c r="AY1232" s="515">
        <v>1</v>
      </c>
      <c r="AZ1232" s="474" t="s">
        <v>15079</v>
      </c>
      <c r="BA1232" s="472" t="s">
        <v>1385</v>
      </c>
      <c r="BB1232" s="472" t="s">
        <v>1385</v>
      </c>
      <c r="BC1232" s="472" t="s">
        <v>1385</v>
      </c>
      <c r="BD1232" s="472" t="s">
        <v>1385</v>
      </c>
      <c r="BE1232" s="472" t="s">
        <v>1385</v>
      </c>
      <c r="BF1232" s="472">
        <v>17209.8</v>
      </c>
      <c r="BG1232" s="472">
        <v>0</v>
      </c>
      <c r="BH1232" s="472" t="s">
        <v>516</v>
      </c>
      <c r="BI1232" s="510">
        <v>0</v>
      </c>
      <c r="BJ1232" s="510">
        <v>0</v>
      </c>
      <c r="BK1232" s="510">
        <v>0</v>
      </c>
      <c r="BL1232" s="510">
        <v>0</v>
      </c>
      <c r="BM1232" s="510">
        <v>0</v>
      </c>
      <c r="BN1232" s="510">
        <v>0</v>
      </c>
      <c r="BO1232" s="510">
        <v>0</v>
      </c>
      <c r="BP1232" s="510">
        <v>0</v>
      </c>
      <c r="BQ1232" s="510">
        <v>0</v>
      </c>
      <c r="BR1232" s="510">
        <v>0</v>
      </c>
      <c r="BS1232" s="510">
        <v>0</v>
      </c>
      <c r="BT1232" s="510">
        <v>0</v>
      </c>
      <c r="BU1232" s="510">
        <v>0</v>
      </c>
      <c r="BV1232" s="510">
        <v>0</v>
      </c>
      <c r="BW1232" s="510">
        <v>0</v>
      </c>
      <c r="BX1232" s="510">
        <v>0</v>
      </c>
      <c r="BY1232" s="1011">
        <v>0</v>
      </c>
      <c r="BZ1232" s="510">
        <v>0</v>
      </c>
      <c r="CA1232" s="1011">
        <v>0</v>
      </c>
      <c r="CB1232" s="510">
        <v>0</v>
      </c>
      <c r="CC1232" s="1011">
        <v>0</v>
      </c>
      <c r="CD1232" s="510">
        <v>0</v>
      </c>
      <c r="CE1232" s="1011">
        <v>0</v>
      </c>
      <c r="CF1232" s="510">
        <v>0</v>
      </c>
      <c r="CG1232" s="1011">
        <v>0</v>
      </c>
      <c r="CH1232" s="510">
        <v>0</v>
      </c>
      <c r="CI1232" s="1011">
        <v>0</v>
      </c>
    </row>
    <row r="1233" spans="1:87" x14ac:dyDescent="0.2">
      <c r="A1233" s="449">
        <v>5</v>
      </c>
      <c r="B1233" s="453">
        <v>400035</v>
      </c>
      <c r="C1233" s="454" t="s">
        <v>10191</v>
      </c>
      <c r="D1233" s="454" t="s">
        <v>4613</v>
      </c>
      <c r="E1233" s="454" t="s">
        <v>10192</v>
      </c>
      <c r="F1233" s="454" t="s">
        <v>523</v>
      </c>
      <c r="G1233" s="454" t="s">
        <v>14354</v>
      </c>
      <c r="H1233" s="455">
        <v>7353340000145</v>
      </c>
      <c r="I1233" s="462">
        <v>38342</v>
      </c>
      <c r="J1233" s="457">
        <v>37620150</v>
      </c>
      <c r="K1233" s="454" t="s">
        <v>5852</v>
      </c>
      <c r="L1233" s="458">
        <v>16</v>
      </c>
      <c r="M1233" s="454" t="s">
        <v>1950</v>
      </c>
      <c r="N1233" s="459">
        <v>8490020</v>
      </c>
      <c r="O1233" s="460">
        <v>25554155</v>
      </c>
      <c r="P1233" s="462">
        <v>267336</v>
      </c>
      <c r="Q1233" s="462">
        <v>5</v>
      </c>
      <c r="R1233" s="462">
        <v>43930</v>
      </c>
      <c r="S1233" s="463">
        <v>135</v>
      </c>
      <c r="T1233" s="464">
        <v>3.6</v>
      </c>
      <c r="U1233" s="465">
        <v>486</v>
      </c>
      <c r="V1233" s="465">
        <v>10800</v>
      </c>
      <c r="W1233" s="466">
        <v>0</v>
      </c>
      <c r="X1233" s="467">
        <v>1</v>
      </c>
      <c r="Y1233" s="466">
        <v>16929</v>
      </c>
      <c r="Z1233" s="468" t="s">
        <v>516</v>
      </c>
      <c r="AA1233" s="466">
        <v>84436.2</v>
      </c>
      <c r="AB1233" s="466">
        <v>84436.2</v>
      </c>
      <c r="AC1233" s="467">
        <v>0</v>
      </c>
      <c r="AD1233" s="466">
        <v>0</v>
      </c>
      <c r="AE1233" s="468" t="s">
        <v>516</v>
      </c>
      <c r="AF1233" s="466">
        <v>0</v>
      </c>
      <c r="AG1233" s="466">
        <v>0</v>
      </c>
      <c r="AH1233" s="466">
        <v>9784.41</v>
      </c>
      <c r="AI1233" s="466">
        <v>6817.56</v>
      </c>
      <c r="AJ1233" s="469" t="s">
        <v>1674</v>
      </c>
      <c r="AK1233" s="470" t="s">
        <v>518</v>
      </c>
      <c r="AL1233" s="471" t="s">
        <v>10193</v>
      </c>
      <c r="AM1233" s="470" t="s">
        <v>14355</v>
      </c>
      <c r="AN1233" s="470" t="s">
        <v>1385</v>
      </c>
      <c r="AO1233" s="470" t="s">
        <v>10195</v>
      </c>
      <c r="AP1233" s="470" t="s">
        <v>10196</v>
      </c>
      <c r="AQ1233" s="470" t="s">
        <v>10191</v>
      </c>
      <c r="AR1233" s="472" t="s">
        <v>515</v>
      </c>
      <c r="AS1233" s="473" t="s">
        <v>1385</v>
      </c>
      <c r="AT1233" s="472" t="s">
        <v>4613</v>
      </c>
      <c r="AU1233" s="472" t="s">
        <v>420</v>
      </c>
      <c r="AV1233" s="472">
        <v>2020</v>
      </c>
      <c r="AW1233" s="474" t="s">
        <v>15078</v>
      </c>
      <c r="AX1233" s="475" t="s">
        <v>15079</v>
      </c>
      <c r="AY1233" s="515">
        <v>1</v>
      </c>
      <c r="AZ1233" s="474" t="s">
        <v>15079</v>
      </c>
      <c r="BA1233" s="472" t="s">
        <v>4613</v>
      </c>
      <c r="BB1233" s="472" t="s">
        <v>1385</v>
      </c>
      <c r="BC1233" s="472" t="s">
        <v>1385</v>
      </c>
      <c r="BD1233" s="472" t="s">
        <v>1385</v>
      </c>
      <c r="BE1233" s="472" t="s">
        <v>1385</v>
      </c>
      <c r="BF1233" s="472">
        <v>16929</v>
      </c>
      <c r="BG1233" s="472">
        <v>0</v>
      </c>
      <c r="BH1233" s="472" t="s">
        <v>1385</v>
      </c>
      <c r="BI1233" s="510">
        <v>0</v>
      </c>
      <c r="BJ1233" s="510">
        <v>0</v>
      </c>
      <c r="BK1233" s="510">
        <v>0</v>
      </c>
      <c r="BL1233" s="510">
        <v>0</v>
      </c>
      <c r="BM1233" s="510">
        <v>0</v>
      </c>
      <c r="BN1233" s="510">
        <v>2000</v>
      </c>
      <c r="BO1233" s="510">
        <v>0</v>
      </c>
      <c r="BP1233" s="510">
        <v>0</v>
      </c>
      <c r="BQ1233" s="510">
        <v>0</v>
      </c>
      <c r="BR1233" s="510">
        <v>0</v>
      </c>
      <c r="BS1233" s="510">
        <v>0</v>
      </c>
      <c r="BT1233" s="510">
        <v>0</v>
      </c>
      <c r="BU1233" s="510">
        <v>0</v>
      </c>
      <c r="BV1233" s="510">
        <v>0</v>
      </c>
      <c r="BW1233" s="510">
        <v>0</v>
      </c>
      <c r="BX1233" s="510">
        <v>30000</v>
      </c>
      <c r="BY1233" s="1011">
        <v>0</v>
      </c>
      <c r="BZ1233" s="510">
        <v>0</v>
      </c>
      <c r="CA1233" s="1011">
        <v>0</v>
      </c>
      <c r="CB1233" s="510">
        <v>0</v>
      </c>
      <c r="CC1233" s="1011">
        <v>0</v>
      </c>
      <c r="CD1233" s="510">
        <v>0</v>
      </c>
      <c r="CE1233" s="1011">
        <v>0</v>
      </c>
      <c r="CF1233" s="510">
        <v>37507.199999999997</v>
      </c>
      <c r="CG1233" s="1011">
        <v>0</v>
      </c>
      <c r="CH1233" s="510">
        <v>0</v>
      </c>
      <c r="CI1233" s="1011">
        <v>0</v>
      </c>
    </row>
    <row r="1234" spans="1:87" x14ac:dyDescent="0.2">
      <c r="A1234" s="449">
        <v>4</v>
      </c>
      <c r="B1234" s="453">
        <v>400036</v>
      </c>
      <c r="C1234" s="454" t="s">
        <v>10197</v>
      </c>
      <c r="D1234" s="454" t="s">
        <v>4613</v>
      </c>
      <c r="E1234" s="454" t="s">
        <v>10198</v>
      </c>
      <c r="F1234" s="454" t="s">
        <v>518</v>
      </c>
      <c r="G1234" s="454" t="s">
        <v>14356</v>
      </c>
      <c r="H1234" s="455">
        <v>8195670000112</v>
      </c>
      <c r="I1234" s="462">
        <v>38846</v>
      </c>
      <c r="J1234" s="457">
        <v>37470825</v>
      </c>
      <c r="K1234" s="454" t="s">
        <v>10200</v>
      </c>
      <c r="L1234" s="458">
        <v>203</v>
      </c>
      <c r="M1234" s="454" t="s">
        <v>10201</v>
      </c>
      <c r="N1234" s="459">
        <v>3478007</v>
      </c>
      <c r="O1234" s="460">
        <v>27247725</v>
      </c>
      <c r="P1234" s="462">
        <v>46372</v>
      </c>
      <c r="Q1234" s="462">
        <v>4</v>
      </c>
      <c r="R1234" s="462">
        <v>43934</v>
      </c>
      <c r="S1234" s="463">
        <v>117</v>
      </c>
      <c r="T1234" s="464">
        <v>3.6</v>
      </c>
      <c r="U1234" s="465">
        <v>421.2</v>
      </c>
      <c r="V1234" s="465">
        <v>10800</v>
      </c>
      <c r="W1234" s="466">
        <v>0</v>
      </c>
      <c r="X1234" s="467">
        <v>1</v>
      </c>
      <c r="Y1234" s="466">
        <v>16831.8</v>
      </c>
      <c r="Z1234" s="468" t="s">
        <v>516</v>
      </c>
      <c r="AA1234" s="466">
        <v>84274.2</v>
      </c>
      <c r="AB1234" s="466">
        <v>84274.2</v>
      </c>
      <c r="AC1234" s="467">
        <v>0</v>
      </c>
      <c r="AD1234" s="466">
        <v>0</v>
      </c>
      <c r="AE1234" s="468" t="s">
        <v>516</v>
      </c>
      <c r="AF1234" s="466">
        <v>0</v>
      </c>
      <c r="AG1234" s="466">
        <v>0</v>
      </c>
      <c r="AH1234" s="466">
        <v>9776.0400000000009</v>
      </c>
      <c r="AI1234" s="466">
        <v>5554.96</v>
      </c>
      <c r="AJ1234" s="469" t="s">
        <v>8839</v>
      </c>
      <c r="AK1234" s="470" t="s">
        <v>10202</v>
      </c>
      <c r="AL1234" s="471" t="s">
        <v>10203</v>
      </c>
      <c r="AM1234" s="470" t="s">
        <v>10204</v>
      </c>
      <c r="AN1234" s="470" t="s">
        <v>10199</v>
      </c>
      <c r="AO1234" s="470" t="s">
        <v>15047</v>
      </c>
      <c r="AP1234" s="470" t="s">
        <v>10205</v>
      </c>
      <c r="AQ1234" s="470" t="s">
        <v>10197</v>
      </c>
      <c r="AR1234" s="472" t="s">
        <v>515</v>
      </c>
      <c r="AS1234" s="473" t="s">
        <v>1385</v>
      </c>
      <c r="AT1234" s="472" t="s">
        <v>4613</v>
      </c>
      <c r="AU1234" s="472" t="s">
        <v>420</v>
      </c>
      <c r="AV1234" s="472">
        <v>2020</v>
      </c>
      <c r="AW1234" s="474" t="s">
        <v>15078</v>
      </c>
      <c r="AX1234" s="475" t="s">
        <v>15079</v>
      </c>
      <c r="AY1234" s="515">
        <v>1</v>
      </c>
      <c r="AZ1234" s="474" t="s">
        <v>15079</v>
      </c>
      <c r="BA1234" s="472" t="s">
        <v>4613</v>
      </c>
      <c r="BB1234" s="472" t="s">
        <v>1385</v>
      </c>
      <c r="BC1234" s="472" t="s">
        <v>1385</v>
      </c>
      <c r="BD1234" s="472" t="s">
        <v>1385</v>
      </c>
      <c r="BE1234" s="472" t="s">
        <v>1385</v>
      </c>
      <c r="BF1234" s="472">
        <v>16831.8</v>
      </c>
      <c r="BG1234" s="472">
        <v>0</v>
      </c>
      <c r="BH1234" s="472" t="s">
        <v>1385</v>
      </c>
      <c r="BI1234" s="510">
        <v>0</v>
      </c>
      <c r="BJ1234" s="510">
        <v>5604.2</v>
      </c>
      <c r="BK1234" s="510">
        <v>0</v>
      </c>
      <c r="BL1234" s="510">
        <v>0</v>
      </c>
      <c r="BM1234" s="510">
        <v>0</v>
      </c>
      <c r="BN1234" s="510">
        <v>2000</v>
      </c>
      <c r="BO1234" s="510">
        <v>0</v>
      </c>
      <c r="BP1234" s="510">
        <v>0</v>
      </c>
      <c r="BQ1234" s="510">
        <v>0</v>
      </c>
      <c r="BR1234" s="510">
        <v>0</v>
      </c>
      <c r="BS1234" s="510">
        <v>0</v>
      </c>
      <c r="BT1234" s="510">
        <v>0</v>
      </c>
      <c r="BU1234" s="510">
        <v>0</v>
      </c>
      <c r="BV1234" s="510">
        <v>0</v>
      </c>
      <c r="BW1234" s="510">
        <v>0</v>
      </c>
      <c r="BX1234" s="510">
        <v>30000</v>
      </c>
      <c r="BY1234" s="1011">
        <v>0</v>
      </c>
      <c r="BZ1234" s="510">
        <v>0</v>
      </c>
      <c r="CA1234" s="1011">
        <v>0</v>
      </c>
      <c r="CB1234" s="510">
        <v>0</v>
      </c>
      <c r="CC1234" s="1011">
        <v>0</v>
      </c>
      <c r="CD1234" s="510">
        <v>0</v>
      </c>
      <c r="CE1234" s="1011">
        <v>0</v>
      </c>
      <c r="CF1234" s="510">
        <v>37442.400000000001</v>
      </c>
      <c r="CG1234" s="1011">
        <v>0</v>
      </c>
      <c r="CH1234" s="510">
        <v>0</v>
      </c>
      <c r="CI1234" s="1011">
        <v>0</v>
      </c>
    </row>
    <row r="1235" spans="1:87" x14ac:dyDescent="0.2">
      <c r="A1235" s="449">
        <v>5</v>
      </c>
      <c r="B1235" s="453">
        <v>400037</v>
      </c>
      <c r="C1235" s="454" t="s">
        <v>10206</v>
      </c>
      <c r="D1235" s="454" t="s">
        <v>4613</v>
      </c>
      <c r="E1235" s="454" t="s">
        <v>10207</v>
      </c>
      <c r="F1235" s="454" t="s">
        <v>526</v>
      </c>
      <c r="G1235" s="454" t="s">
        <v>14357</v>
      </c>
      <c r="H1235" s="455">
        <v>9095395000128</v>
      </c>
      <c r="I1235" s="462">
        <v>39293</v>
      </c>
      <c r="J1235" s="457">
        <v>37585517</v>
      </c>
      <c r="K1235" s="454" t="s">
        <v>10208</v>
      </c>
      <c r="L1235" s="458">
        <v>10</v>
      </c>
      <c r="M1235" s="454" t="s">
        <v>10209</v>
      </c>
      <c r="N1235" s="459">
        <v>8030190</v>
      </c>
      <c r="O1235" s="460">
        <v>25845278</v>
      </c>
      <c r="P1235" s="462">
        <v>130918</v>
      </c>
      <c r="Q1235" s="462">
        <v>5</v>
      </c>
      <c r="R1235" s="462">
        <v>43928</v>
      </c>
      <c r="S1235" s="463">
        <v>137</v>
      </c>
      <c r="T1235" s="464">
        <v>3.6</v>
      </c>
      <c r="U1235" s="465">
        <v>493.2</v>
      </c>
      <c r="V1235" s="465">
        <v>10800</v>
      </c>
      <c r="W1235" s="466">
        <v>0</v>
      </c>
      <c r="X1235" s="467">
        <v>1</v>
      </c>
      <c r="Y1235" s="466">
        <v>16939.8</v>
      </c>
      <c r="Z1235" s="468" t="s">
        <v>516</v>
      </c>
      <c r="AA1235" s="466">
        <v>84382.2</v>
      </c>
      <c r="AB1235" s="466">
        <v>84382.2</v>
      </c>
      <c r="AC1235" s="467">
        <v>0</v>
      </c>
      <c r="AD1235" s="466">
        <v>0</v>
      </c>
      <c r="AE1235" s="468" t="s">
        <v>516</v>
      </c>
      <c r="AF1235" s="466">
        <v>0</v>
      </c>
      <c r="AG1235" s="466">
        <v>0</v>
      </c>
      <c r="AH1235" s="466">
        <v>1540.71</v>
      </c>
      <c r="AI1235" s="466">
        <v>0</v>
      </c>
      <c r="AJ1235" s="469" t="s">
        <v>1839</v>
      </c>
      <c r="AK1235" s="470" t="s">
        <v>526</v>
      </c>
      <c r="AL1235" s="471" t="s">
        <v>10210</v>
      </c>
      <c r="AM1235" s="470" t="s">
        <v>10211</v>
      </c>
      <c r="AN1235" s="470" t="s">
        <v>1385</v>
      </c>
      <c r="AO1235" s="470" t="s">
        <v>14358</v>
      </c>
      <c r="AP1235" s="470" t="s">
        <v>10212</v>
      </c>
      <c r="AQ1235" s="470" t="s">
        <v>10206</v>
      </c>
      <c r="AR1235" s="472" t="s">
        <v>515</v>
      </c>
      <c r="AS1235" s="473" t="s">
        <v>1385</v>
      </c>
      <c r="AT1235" s="472" t="s">
        <v>4613</v>
      </c>
      <c r="AU1235" s="472" t="s">
        <v>420</v>
      </c>
      <c r="AV1235" s="472">
        <v>2020</v>
      </c>
      <c r="AW1235" s="474" t="s">
        <v>15078</v>
      </c>
      <c r="AX1235" s="475" t="s">
        <v>15079</v>
      </c>
      <c r="AY1235" s="515">
        <v>1</v>
      </c>
      <c r="AZ1235" s="474" t="s">
        <v>15079</v>
      </c>
      <c r="BA1235" s="472" t="s">
        <v>4613</v>
      </c>
      <c r="BB1235" s="472" t="s">
        <v>1385</v>
      </c>
      <c r="BC1235" s="472" t="s">
        <v>1385</v>
      </c>
      <c r="BD1235" s="472" t="s">
        <v>1385</v>
      </c>
      <c r="BE1235" s="472" t="s">
        <v>1385</v>
      </c>
      <c r="BF1235" s="472">
        <v>16939.8</v>
      </c>
      <c r="BG1235" s="472">
        <v>0</v>
      </c>
      <c r="BH1235" s="472" t="s">
        <v>1385</v>
      </c>
      <c r="BI1235" s="510">
        <v>0</v>
      </c>
      <c r="BJ1235" s="510">
        <v>0.4</v>
      </c>
      <c r="BK1235" s="510">
        <v>0</v>
      </c>
      <c r="BL1235" s="510">
        <v>0</v>
      </c>
      <c r="BM1235" s="510">
        <v>0</v>
      </c>
      <c r="BN1235" s="510">
        <v>2000</v>
      </c>
      <c r="BO1235" s="510">
        <v>0</v>
      </c>
      <c r="BP1235" s="510">
        <v>0</v>
      </c>
      <c r="BQ1235" s="510">
        <v>0</v>
      </c>
      <c r="BR1235" s="510">
        <v>0</v>
      </c>
      <c r="BS1235" s="510">
        <v>0</v>
      </c>
      <c r="BT1235" s="510">
        <v>0</v>
      </c>
      <c r="BU1235" s="510">
        <v>0</v>
      </c>
      <c r="BV1235" s="510">
        <v>0</v>
      </c>
      <c r="BW1235" s="510">
        <v>0</v>
      </c>
      <c r="BX1235" s="510">
        <v>30000</v>
      </c>
      <c r="BY1235" s="1011">
        <v>0</v>
      </c>
      <c r="BZ1235" s="510">
        <v>0</v>
      </c>
      <c r="CA1235" s="1011">
        <v>0</v>
      </c>
      <c r="CB1235" s="510">
        <v>0</v>
      </c>
      <c r="CC1235" s="1011">
        <v>0</v>
      </c>
      <c r="CD1235" s="510">
        <v>0</v>
      </c>
      <c r="CE1235" s="1011">
        <v>0</v>
      </c>
      <c r="CF1235" s="510">
        <v>37442.400000000001</v>
      </c>
      <c r="CG1235" s="1011">
        <v>0</v>
      </c>
      <c r="CH1235" s="510">
        <v>0</v>
      </c>
      <c r="CI1235" s="1011">
        <v>0</v>
      </c>
    </row>
    <row r="1236" spans="1:87" x14ac:dyDescent="0.2">
      <c r="A1236" s="449">
        <v>7</v>
      </c>
      <c r="B1236" s="453">
        <v>400038</v>
      </c>
      <c r="C1236" s="454" t="s">
        <v>10213</v>
      </c>
      <c r="D1236" s="454" t="s">
        <v>4613</v>
      </c>
      <c r="E1236" s="454" t="s">
        <v>10214</v>
      </c>
      <c r="F1236" s="454" t="s">
        <v>527</v>
      </c>
      <c r="G1236" s="454" t="s">
        <v>14359</v>
      </c>
      <c r="H1236" s="455">
        <v>8719854000134</v>
      </c>
      <c r="I1236" s="462">
        <v>39058</v>
      </c>
      <c r="J1236" s="457">
        <v>37555510</v>
      </c>
      <c r="K1236" s="454" t="s">
        <v>10215</v>
      </c>
      <c r="L1236" s="458">
        <v>905</v>
      </c>
      <c r="M1236" s="454" t="s">
        <v>2332</v>
      </c>
      <c r="N1236" s="459">
        <v>3801060</v>
      </c>
      <c r="O1236" s="460">
        <v>25467766</v>
      </c>
      <c r="P1236" s="462">
        <v>184058</v>
      </c>
      <c r="Q1236" s="462">
        <v>7</v>
      </c>
      <c r="R1236" s="462">
        <v>43917</v>
      </c>
      <c r="S1236" s="463">
        <v>138</v>
      </c>
      <c r="T1236" s="464">
        <v>3.6</v>
      </c>
      <c r="U1236" s="465">
        <v>496.8</v>
      </c>
      <c r="V1236" s="465">
        <v>10800</v>
      </c>
      <c r="W1236" s="466">
        <v>0</v>
      </c>
      <c r="X1236" s="467">
        <v>1</v>
      </c>
      <c r="Y1236" s="466">
        <v>16945.2</v>
      </c>
      <c r="Z1236" s="468" t="s">
        <v>516</v>
      </c>
      <c r="AA1236" s="466">
        <v>84416.4</v>
      </c>
      <c r="AB1236" s="466">
        <v>84416.4</v>
      </c>
      <c r="AC1236" s="467">
        <v>0</v>
      </c>
      <c r="AD1236" s="466">
        <v>0</v>
      </c>
      <c r="AE1236" s="468" t="s">
        <v>516</v>
      </c>
      <c r="AF1236" s="466">
        <v>0</v>
      </c>
      <c r="AG1236" s="466">
        <v>0</v>
      </c>
      <c r="AH1236" s="466">
        <v>10808.53</v>
      </c>
      <c r="AI1236" s="466">
        <v>7395.57</v>
      </c>
      <c r="AJ1236" s="469" t="s">
        <v>1889</v>
      </c>
      <c r="AK1236" s="470" t="s">
        <v>10216</v>
      </c>
      <c r="AL1236" s="471" t="s">
        <v>10217</v>
      </c>
      <c r="AM1236" s="470" t="s">
        <v>10218</v>
      </c>
      <c r="AN1236" s="470" t="s">
        <v>14359</v>
      </c>
      <c r="AO1236" s="470" t="s">
        <v>14360</v>
      </c>
      <c r="AP1236" s="470" t="s">
        <v>10219</v>
      </c>
      <c r="AQ1236" s="470" t="s">
        <v>10213</v>
      </c>
      <c r="AR1236" s="472" t="s">
        <v>515</v>
      </c>
      <c r="AS1236" s="473" t="s">
        <v>1385</v>
      </c>
      <c r="AT1236" s="472" t="s">
        <v>4613</v>
      </c>
      <c r="AU1236" s="472" t="s">
        <v>420</v>
      </c>
      <c r="AV1236" s="472">
        <v>2020</v>
      </c>
      <c r="AW1236" s="474" t="s">
        <v>15078</v>
      </c>
      <c r="AX1236" s="475" t="s">
        <v>15079</v>
      </c>
      <c r="AY1236" s="515">
        <v>1</v>
      </c>
      <c r="AZ1236" s="474" t="s">
        <v>15079</v>
      </c>
      <c r="BA1236" s="472" t="s">
        <v>4613</v>
      </c>
      <c r="BB1236" s="472" t="s">
        <v>1385</v>
      </c>
      <c r="BC1236" s="472" t="s">
        <v>1385</v>
      </c>
      <c r="BD1236" s="472" t="s">
        <v>1385</v>
      </c>
      <c r="BE1236" s="472" t="s">
        <v>1385</v>
      </c>
      <c r="BF1236" s="472">
        <v>16945.2</v>
      </c>
      <c r="BG1236" s="472">
        <v>0</v>
      </c>
      <c r="BH1236" s="472" t="s">
        <v>1385</v>
      </c>
      <c r="BI1236" s="510">
        <v>0</v>
      </c>
      <c r="BJ1236" s="510">
        <v>0</v>
      </c>
      <c r="BK1236" s="510">
        <v>0</v>
      </c>
      <c r="BL1236" s="510">
        <v>0</v>
      </c>
      <c r="BM1236" s="510">
        <v>0</v>
      </c>
      <c r="BN1236" s="510">
        <v>2000</v>
      </c>
      <c r="BO1236" s="510">
        <v>0</v>
      </c>
      <c r="BP1236" s="510">
        <v>0</v>
      </c>
      <c r="BQ1236" s="510">
        <v>0</v>
      </c>
      <c r="BR1236" s="510">
        <v>0</v>
      </c>
      <c r="BS1236" s="510">
        <v>0</v>
      </c>
      <c r="BT1236" s="510">
        <v>0</v>
      </c>
      <c r="BU1236" s="510">
        <v>0</v>
      </c>
      <c r="BV1236" s="510">
        <v>0</v>
      </c>
      <c r="BW1236" s="510">
        <v>0</v>
      </c>
      <c r="BX1236" s="510">
        <v>30000</v>
      </c>
      <c r="BY1236" s="1011">
        <v>0</v>
      </c>
      <c r="BZ1236" s="510">
        <v>0</v>
      </c>
      <c r="CA1236" s="1011">
        <v>0</v>
      </c>
      <c r="CB1236" s="510">
        <v>0</v>
      </c>
      <c r="CC1236" s="1011">
        <v>0</v>
      </c>
      <c r="CD1236" s="510">
        <v>0</v>
      </c>
      <c r="CE1236" s="1011">
        <v>0</v>
      </c>
      <c r="CF1236" s="510">
        <v>37471.199999999997</v>
      </c>
      <c r="CG1236" s="1011">
        <v>0</v>
      </c>
      <c r="CH1236" s="510">
        <v>0</v>
      </c>
      <c r="CI1236" s="1011">
        <v>0</v>
      </c>
    </row>
    <row r="1237" spans="1:87" x14ac:dyDescent="0.2">
      <c r="A1237" s="449">
        <v>8</v>
      </c>
      <c r="B1237" s="453">
        <v>400039</v>
      </c>
      <c r="C1237" s="454" t="s">
        <v>10220</v>
      </c>
      <c r="D1237" s="454" t="s">
        <v>4613</v>
      </c>
      <c r="E1237" s="454" t="s">
        <v>10221</v>
      </c>
      <c r="F1237" s="454" t="s">
        <v>523</v>
      </c>
      <c r="G1237" s="454" t="s">
        <v>14361</v>
      </c>
      <c r="H1237" s="455">
        <v>8702162000183</v>
      </c>
      <c r="I1237" s="462">
        <v>39155</v>
      </c>
      <c r="J1237" s="457">
        <v>36679054</v>
      </c>
      <c r="K1237" s="454" t="s">
        <v>5973</v>
      </c>
      <c r="L1237" s="458">
        <v>203</v>
      </c>
      <c r="M1237" s="454" t="s">
        <v>5660</v>
      </c>
      <c r="N1237" s="459">
        <v>8474220</v>
      </c>
      <c r="O1237" s="460">
        <v>22820855</v>
      </c>
      <c r="P1237" s="462">
        <v>267360</v>
      </c>
      <c r="Q1237" s="462">
        <v>8</v>
      </c>
      <c r="R1237" s="462">
        <v>43921</v>
      </c>
      <c r="S1237" s="463">
        <v>102</v>
      </c>
      <c r="T1237" s="464">
        <v>3.6</v>
      </c>
      <c r="U1237" s="465">
        <v>367.2</v>
      </c>
      <c r="V1237" s="465">
        <v>10800</v>
      </c>
      <c r="W1237" s="466">
        <v>0</v>
      </c>
      <c r="X1237" s="467">
        <v>1</v>
      </c>
      <c r="Y1237" s="466">
        <v>16750.8</v>
      </c>
      <c r="Z1237" s="468" t="s">
        <v>516</v>
      </c>
      <c r="AA1237" s="466">
        <v>84078</v>
      </c>
      <c r="AB1237" s="466">
        <v>84078</v>
      </c>
      <c r="AC1237" s="467">
        <v>0</v>
      </c>
      <c r="AD1237" s="466">
        <v>0</v>
      </c>
      <c r="AE1237" s="468" t="s">
        <v>516</v>
      </c>
      <c r="AF1237" s="466">
        <v>0</v>
      </c>
      <c r="AG1237" s="466">
        <v>0</v>
      </c>
      <c r="AH1237" s="466">
        <v>11858.65</v>
      </c>
      <c r="AI1237" s="466">
        <v>2233.54</v>
      </c>
      <c r="AJ1237" s="469" t="s">
        <v>1395</v>
      </c>
      <c r="AK1237" s="470" t="s">
        <v>523</v>
      </c>
      <c r="AL1237" s="471" t="s">
        <v>10222</v>
      </c>
      <c r="AM1237" s="470" t="s">
        <v>10223</v>
      </c>
      <c r="AN1237" s="470" t="s">
        <v>1385</v>
      </c>
      <c r="AO1237" s="470" t="s">
        <v>10224</v>
      </c>
      <c r="AP1237" s="470" t="s">
        <v>10225</v>
      </c>
      <c r="AQ1237" s="470" t="s">
        <v>10220</v>
      </c>
      <c r="AR1237" s="472" t="s">
        <v>515</v>
      </c>
      <c r="AS1237" s="473" t="s">
        <v>1385</v>
      </c>
      <c r="AT1237" s="472" t="s">
        <v>4613</v>
      </c>
      <c r="AU1237" s="472" t="s">
        <v>420</v>
      </c>
      <c r="AV1237" s="472">
        <v>2020</v>
      </c>
      <c r="AW1237" s="474" t="s">
        <v>15078</v>
      </c>
      <c r="AX1237" s="475" t="s">
        <v>15079</v>
      </c>
      <c r="AY1237" s="515">
        <v>1</v>
      </c>
      <c r="AZ1237" s="474" t="s">
        <v>15079</v>
      </c>
      <c r="BA1237" s="472" t="s">
        <v>4613</v>
      </c>
      <c r="BB1237" s="472" t="s">
        <v>1385</v>
      </c>
      <c r="BC1237" s="472" t="s">
        <v>1385</v>
      </c>
      <c r="BD1237" s="472" t="s">
        <v>1385</v>
      </c>
      <c r="BE1237" s="472" t="s">
        <v>1385</v>
      </c>
      <c r="BF1237" s="472">
        <v>16750.8</v>
      </c>
      <c r="BG1237" s="472">
        <v>0</v>
      </c>
      <c r="BH1237" s="472" t="s">
        <v>1385</v>
      </c>
      <c r="BI1237" s="510">
        <v>0</v>
      </c>
      <c r="BJ1237" s="510">
        <v>0</v>
      </c>
      <c r="BK1237" s="510">
        <v>0</v>
      </c>
      <c r="BL1237" s="510">
        <v>0</v>
      </c>
      <c r="BM1237" s="510">
        <v>0</v>
      </c>
      <c r="BN1237" s="510">
        <v>2000</v>
      </c>
      <c r="BO1237" s="510">
        <v>0</v>
      </c>
      <c r="BP1237" s="510">
        <v>0</v>
      </c>
      <c r="BQ1237" s="510">
        <v>0</v>
      </c>
      <c r="BR1237" s="510">
        <v>0</v>
      </c>
      <c r="BS1237" s="510">
        <v>0</v>
      </c>
      <c r="BT1237" s="510">
        <v>0</v>
      </c>
      <c r="BU1237" s="510">
        <v>0</v>
      </c>
      <c r="BV1237" s="510">
        <v>0</v>
      </c>
      <c r="BW1237" s="510">
        <v>0</v>
      </c>
      <c r="BX1237" s="510">
        <v>30000</v>
      </c>
      <c r="BY1237" s="1011">
        <v>0</v>
      </c>
      <c r="BZ1237" s="510">
        <v>0</v>
      </c>
      <c r="CA1237" s="1011">
        <v>0</v>
      </c>
      <c r="CB1237" s="510">
        <v>0</v>
      </c>
      <c r="CC1237" s="1011">
        <v>0</v>
      </c>
      <c r="CD1237" s="510">
        <v>0</v>
      </c>
      <c r="CE1237" s="1011">
        <v>0</v>
      </c>
      <c r="CF1237" s="510">
        <v>37327.199999999997</v>
      </c>
      <c r="CG1237" s="1011">
        <v>0</v>
      </c>
      <c r="CH1237" s="510">
        <v>0</v>
      </c>
      <c r="CI1237" s="1011">
        <v>0</v>
      </c>
    </row>
    <row r="1238" spans="1:87" x14ac:dyDescent="0.2">
      <c r="A1238" s="449">
        <v>5</v>
      </c>
      <c r="B1238" s="453">
        <v>400040</v>
      </c>
      <c r="C1238" s="454" t="s">
        <v>10226</v>
      </c>
      <c r="D1238" s="454" t="s">
        <v>4613</v>
      </c>
      <c r="E1238" s="454" t="s">
        <v>10227</v>
      </c>
      <c r="F1238" s="454" t="s">
        <v>521</v>
      </c>
      <c r="G1238" s="454" t="s">
        <v>14362</v>
      </c>
      <c r="H1238" s="455">
        <v>7054057000112</v>
      </c>
      <c r="I1238" s="462">
        <v>38104</v>
      </c>
      <c r="J1238" s="457">
        <v>37551973</v>
      </c>
      <c r="K1238" s="454" t="s">
        <v>10228</v>
      </c>
      <c r="L1238" s="458">
        <v>26</v>
      </c>
      <c r="M1238" s="454" t="s">
        <v>10229</v>
      </c>
      <c r="N1238" s="459">
        <v>4842470</v>
      </c>
      <c r="O1238" s="460">
        <v>56611671</v>
      </c>
      <c r="P1238" s="462">
        <v>100202</v>
      </c>
      <c r="Q1238" s="462">
        <v>6</v>
      </c>
      <c r="R1238" s="462">
        <v>43934</v>
      </c>
      <c r="S1238" s="463">
        <v>235</v>
      </c>
      <c r="T1238" s="464">
        <v>3.6</v>
      </c>
      <c r="U1238" s="465">
        <v>846</v>
      </c>
      <c r="V1238" s="465">
        <v>11760</v>
      </c>
      <c r="W1238" s="466">
        <v>0</v>
      </c>
      <c r="X1238" s="467">
        <v>1</v>
      </c>
      <c r="Y1238" s="466">
        <v>18909</v>
      </c>
      <c r="Z1238" s="468" t="s">
        <v>516</v>
      </c>
      <c r="AA1238" s="466">
        <v>88933.8</v>
      </c>
      <c r="AB1238" s="466">
        <v>88933.8</v>
      </c>
      <c r="AC1238" s="467">
        <v>0</v>
      </c>
      <c r="AD1238" s="466">
        <v>0</v>
      </c>
      <c r="AE1238" s="468" t="s">
        <v>516</v>
      </c>
      <c r="AF1238" s="466">
        <v>0</v>
      </c>
      <c r="AG1238" s="466">
        <v>0</v>
      </c>
      <c r="AH1238" s="466">
        <v>13179.55</v>
      </c>
      <c r="AI1238" s="466">
        <v>7732.02</v>
      </c>
      <c r="AJ1238" s="469" t="s">
        <v>1624</v>
      </c>
      <c r="AK1238" s="470" t="s">
        <v>1625</v>
      </c>
      <c r="AL1238" s="471" t="s">
        <v>10230</v>
      </c>
      <c r="AM1238" s="470" t="s">
        <v>14363</v>
      </c>
      <c r="AN1238" s="470" t="s">
        <v>1385</v>
      </c>
      <c r="AO1238" s="470" t="s">
        <v>14364</v>
      </c>
      <c r="AP1238" s="470" t="s">
        <v>10231</v>
      </c>
      <c r="AQ1238" s="470" t="s">
        <v>10226</v>
      </c>
      <c r="AR1238" s="472" t="s">
        <v>515</v>
      </c>
      <c r="AS1238" s="473" t="s">
        <v>1385</v>
      </c>
      <c r="AT1238" s="472" t="s">
        <v>4613</v>
      </c>
      <c r="AU1238" s="472" t="s">
        <v>420</v>
      </c>
      <c r="AV1238" s="472">
        <v>2020</v>
      </c>
      <c r="AW1238" s="474" t="s">
        <v>15078</v>
      </c>
      <c r="AX1238" s="475" t="s">
        <v>15079</v>
      </c>
      <c r="AY1238" s="515">
        <v>1</v>
      </c>
      <c r="AZ1238" s="474" t="s">
        <v>15079</v>
      </c>
      <c r="BA1238" s="472" t="s">
        <v>4613</v>
      </c>
      <c r="BB1238" s="472" t="s">
        <v>1385</v>
      </c>
      <c r="BC1238" s="472" t="s">
        <v>1385</v>
      </c>
      <c r="BD1238" s="472" t="s">
        <v>1385</v>
      </c>
      <c r="BE1238" s="472" t="s">
        <v>1385</v>
      </c>
      <c r="BF1238" s="472">
        <v>18909</v>
      </c>
      <c r="BG1238" s="472">
        <v>0</v>
      </c>
      <c r="BH1238" s="472" t="s">
        <v>1385</v>
      </c>
      <c r="BI1238" s="510">
        <v>0</v>
      </c>
      <c r="BJ1238" s="510">
        <v>0</v>
      </c>
      <c r="BK1238" s="510">
        <v>0</v>
      </c>
      <c r="BL1238" s="510">
        <v>0</v>
      </c>
      <c r="BM1238" s="510">
        <v>0</v>
      </c>
      <c r="BN1238" s="510">
        <v>2000</v>
      </c>
      <c r="BO1238" s="510">
        <v>0</v>
      </c>
      <c r="BP1238" s="510">
        <v>0</v>
      </c>
      <c r="BQ1238" s="510">
        <v>0</v>
      </c>
      <c r="BR1238" s="510">
        <v>0</v>
      </c>
      <c r="BS1238" s="510">
        <v>0</v>
      </c>
      <c r="BT1238" s="510">
        <v>0</v>
      </c>
      <c r="BU1238" s="510">
        <v>0</v>
      </c>
      <c r="BV1238" s="510">
        <v>0</v>
      </c>
      <c r="BW1238" s="510">
        <v>0</v>
      </c>
      <c r="BX1238" s="510">
        <v>30000</v>
      </c>
      <c r="BY1238" s="1011">
        <v>0</v>
      </c>
      <c r="BZ1238" s="510">
        <v>0</v>
      </c>
      <c r="CA1238" s="1011">
        <v>0</v>
      </c>
      <c r="CB1238" s="510">
        <v>0</v>
      </c>
      <c r="CC1238" s="1011">
        <v>0</v>
      </c>
      <c r="CD1238" s="510">
        <v>0</v>
      </c>
      <c r="CE1238" s="1011">
        <v>0</v>
      </c>
      <c r="CF1238" s="510">
        <v>40024.800000000003</v>
      </c>
      <c r="CG1238" s="1011">
        <v>0</v>
      </c>
      <c r="CH1238" s="510">
        <v>0</v>
      </c>
      <c r="CI1238" s="1011">
        <v>0</v>
      </c>
    </row>
    <row r="1239" spans="1:87" x14ac:dyDescent="0.2">
      <c r="A1239" s="449">
        <v>6</v>
      </c>
      <c r="B1239" s="453">
        <v>400041</v>
      </c>
      <c r="C1239" s="454" t="s">
        <v>10232</v>
      </c>
      <c r="D1239" s="454" t="s">
        <v>4613</v>
      </c>
      <c r="E1239" s="454" t="s">
        <v>10233</v>
      </c>
      <c r="F1239" s="454" t="s">
        <v>526</v>
      </c>
      <c r="G1239" s="454" t="s">
        <v>14365</v>
      </c>
      <c r="H1239" s="455">
        <v>8402880000134</v>
      </c>
      <c r="I1239" s="462">
        <v>38994</v>
      </c>
      <c r="J1239" s="457">
        <v>37544667</v>
      </c>
      <c r="K1239" s="454" t="s">
        <v>7869</v>
      </c>
      <c r="L1239" s="458">
        <v>235</v>
      </c>
      <c r="M1239" s="454" t="s">
        <v>6020</v>
      </c>
      <c r="N1239" s="459">
        <v>8051560</v>
      </c>
      <c r="O1239" s="460">
        <v>22800564</v>
      </c>
      <c r="P1239" s="462">
        <v>138170</v>
      </c>
      <c r="Q1239" s="462">
        <v>6</v>
      </c>
      <c r="R1239" s="462">
        <v>43928</v>
      </c>
      <c r="S1239" s="463">
        <v>152</v>
      </c>
      <c r="T1239" s="464">
        <v>3.6</v>
      </c>
      <c r="U1239" s="465">
        <v>547.20000000000005</v>
      </c>
      <c r="V1239" s="465">
        <v>10800</v>
      </c>
      <c r="W1239" s="466">
        <v>0</v>
      </c>
      <c r="X1239" s="467">
        <v>1</v>
      </c>
      <c r="Y1239" s="466">
        <v>17020.8</v>
      </c>
      <c r="Z1239" s="468" t="s">
        <v>516</v>
      </c>
      <c r="AA1239" s="466">
        <v>84679.2</v>
      </c>
      <c r="AB1239" s="466">
        <v>84679.2</v>
      </c>
      <c r="AC1239" s="467">
        <v>0</v>
      </c>
      <c r="AD1239" s="466">
        <v>0</v>
      </c>
      <c r="AE1239" s="468" t="s">
        <v>516</v>
      </c>
      <c r="AF1239" s="466">
        <v>0</v>
      </c>
      <c r="AG1239" s="466">
        <v>0</v>
      </c>
      <c r="AH1239" s="466">
        <v>13518.46</v>
      </c>
      <c r="AI1239" s="466">
        <v>4539.7299999999996</v>
      </c>
      <c r="AJ1239" s="469" t="s">
        <v>1839</v>
      </c>
      <c r="AK1239" s="470" t="s">
        <v>526</v>
      </c>
      <c r="AL1239" s="471" t="s">
        <v>10234</v>
      </c>
      <c r="AM1239" s="470" t="s">
        <v>10235</v>
      </c>
      <c r="AN1239" s="470" t="s">
        <v>1385</v>
      </c>
      <c r="AO1239" s="470" t="s">
        <v>14366</v>
      </c>
      <c r="AP1239" s="470" t="s">
        <v>10236</v>
      </c>
      <c r="AQ1239" s="470" t="s">
        <v>10232</v>
      </c>
      <c r="AR1239" s="472" t="s">
        <v>515</v>
      </c>
      <c r="AS1239" s="473" t="s">
        <v>1385</v>
      </c>
      <c r="AT1239" s="472" t="s">
        <v>4613</v>
      </c>
      <c r="AU1239" s="472" t="s">
        <v>420</v>
      </c>
      <c r="AV1239" s="472">
        <v>2020</v>
      </c>
      <c r="AW1239" s="474" t="s">
        <v>15078</v>
      </c>
      <c r="AX1239" s="475" t="s">
        <v>15079</v>
      </c>
      <c r="AY1239" s="515">
        <v>1</v>
      </c>
      <c r="AZ1239" s="474" t="s">
        <v>15079</v>
      </c>
      <c r="BA1239" s="472" t="s">
        <v>4613</v>
      </c>
      <c r="BB1239" s="472" t="s">
        <v>1385</v>
      </c>
      <c r="BC1239" s="472" t="s">
        <v>1385</v>
      </c>
      <c r="BD1239" s="472" t="s">
        <v>1385</v>
      </c>
      <c r="BE1239" s="472" t="s">
        <v>1385</v>
      </c>
      <c r="BF1239" s="509">
        <v>17020.8</v>
      </c>
      <c r="BG1239" s="472">
        <v>0</v>
      </c>
      <c r="BH1239" s="472" t="s">
        <v>1385</v>
      </c>
      <c r="BI1239" s="510">
        <v>0</v>
      </c>
      <c r="BJ1239" s="510">
        <v>0</v>
      </c>
      <c r="BK1239" s="510">
        <v>0</v>
      </c>
      <c r="BL1239" s="510">
        <v>0</v>
      </c>
      <c r="BM1239" s="510">
        <v>0</v>
      </c>
      <c r="BN1239" s="510">
        <v>2000</v>
      </c>
      <c r="BO1239" s="510">
        <v>0</v>
      </c>
      <c r="BP1239" s="510">
        <v>0</v>
      </c>
      <c r="BQ1239" s="510">
        <v>0</v>
      </c>
      <c r="BR1239" s="510">
        <v>0</v>
      </c>
      <c r="BS1239" s="510">
        <v>0</v>
      </c>
      <c r="BT1239" s="510">
        <v>0</v>
      </c>
      <c r="BU1239" s="510">
        <v>0</v>
      </c>
      <c r="BV1239" s="510">
        <v>0</v>
      </c>
      <c r="BW1239" s="510">
        <v>0</v>
      </c>
      <c r="BX1239" s="510">
        <v>30000</v>
      </c>
      <c r="BY1239" s="1011">
        <v>0</v>
      </c>
      <c r="BZ1239" s="510">
        <v>0</v>
      </c>
      <c r="CA1239" s="1011">
        <v>0</v>
      </c>
      <c r="CB1239" s="510">
        <v>0</v>
      </c>
      <c r="CC1239" s="1011">
        <v>0</v>
      </c>
      <c r="CD1239" s="510">
        <v>0</v>
      </c>
      <c r="CE1239" s="1011">
        <v>0</v>
      </c>
      <c r="CF1239" s="510">
        <v>37658.400000000001</v>
      </c>
      <c r="CG1239" s="1011">
        <v>0</v>
      </c>
      <c r="CH1239" s="510">
        <v>0</v>
      </c>
      <c r="CI1239" s="1011">
        <v>0</v>
      </c>
    </row>
    <row r="1240" spans="1:87" x14ac:dyDescent="0.2">
      <c r="A1240" s="449">
        <v>8</v>
      </c>
      <c r="B1240" s="453">
        <v>400042</v>
      </c>
      <c r="C1240" s="454" t="s">
        <v>10237</v>
      </c>
      <c r="D1240" s="454" t="s">
        <v>4613</v>
      </c>
      <c r="E1240" s="454" t="s">
        <v>10238</v>
      </c>
      <c r="F1240" s="454" t="s">
        <v>527</v>
      </c>
      <c r="G1240" s="454" t="s">
        <v>14367</v>
      </c>
      <c r="H1240" s="455">
        <v>8143730000153</v>
      </c>
      <c r="I1240" s="462">
        <v>38812</v>
      </c>
      <c r="J1240" s="457">
        <v>37555367</v>
      </c>
      <c r="K1240" s="454" t="s">
        <v>10239</v>
      </c>
      <c r="L1240" s="458">
        <v>235</v>
      </c>
      <c r="M1240" s="454" t="s">
        <v>8098</v>
      </c>
      <c r="N1240" s="459">
        <v>3693040</v>
      </c>
      <c r="O1240" s="460">
        <v>22804660</v>
      </c>
      <c r="P1240" s="462">
        <v>206949</v>
      </c>
      <c r="Q1240" s="462">
        <v>8</v>
      </c>
      <c r="R1240" s="462">
        <v>43934</v>
      </c>
      <c r="S1240" s="463">
        <v>156</v>
      </c>
      <c r="T1240" s="464">
        <v>3.6</v>
      </c>
      <c r="U1240" s="465">
        <v>561.6</v>
      </c>
      <c r="V1240" s="465">
        <v>10800</v>
      </c>
      <c r="W1240" s="466">
        <v>0</v>
      </c>
      <c r="X1240" s="467">
        <v>1</v>
      </c>
      <c r="Y1240" s="466">
        <v>17042.400000000001</v>
      </c>
      <c r="Z1240" s="468" t="s">
        <v>516</v>
      </c>
      <c r="AA1240" s="466">
        <v>84628.800000000003</v>
      </c>
      <c r="AB1240" s="466">
        <v>84628.800000000003</v>
      </c>
      <c r="AC1240" s="467">
        <v>0</v>
      </c>
      <c r="AD1240" s="466">
        <v>0</v>
      </c>
      <c r="AE1240" s="468" t="s">
        <v>516</v>
      </c>
      <c r="AF1240" s="466">
        <v>0</v>
      </c>
      <c r="AG1240" s="466">
        <v>0</v>
      </c>
      <c r="AH1240" s="466">
        <v>7034.36</v>
      </c>
      <c r="AI1240" s="466">
        <v>2272.3200000000002</v>
      </c>
      <c r="AJ1240" s="469" t="s">
        <v>2644</v>
      </c>
      <c r="AK1240" s="470" t="s">
        <v>2645</v>
      </c>
      <c r="AL1240" s="471" t="s">
        <v>10240</v>
      </c>
      <c r="AM1240" s="470" t="s">
        <v>10241</v>
      </c>
      <c r="AN1240" s="470" t="s">
        <v>14367</v>
      </c>
      <c r="AO1240" s="470" t="s">
        <v>14368</v>
      </c>
      <c r="AP1240" s="470" t="s">
        <v>10242</v>
      </c>
      <c r="AQ1240" s="470" t="s">
        <v>10237</v>
      </c>
      <c r="AR1240" s="472" t="s">
        <v>515</v>
      </c>
      <c r="AS1240" s="473" t="s">
        <v>1385</v>
      </c>
      <c r="AT1240" s="472" t="s">
        <v>4613</v>
      </c>
      <c r="AU1240" s="472" t="s">
        <v>420</v>
      </c>
      <c r="AV1240" s="472">
        <v>2020</v>
      </c>
      <c r="AW1240" s="474" t="s">
        <v>15078</v>
      </c>
      <c r="AX1240" s="475" t="s">
        <v>15079</v>
      </c>
      <c r="AY1240" s="515">
        <v>1</v>
      </c>
      <c r="AZ1240" s="474" t="s">
        <v>15079</v>
      </c>
      <c r="BA1240" s="472" t="s">
        <v>4613</v>
      </c>
      <c r="BB1240" s="472" t="s">
        <v>1385</v>
      </c>
      <c r="BC1240" s="472" t="s">
        <v>1385</v>
      </c>
      <c r="BD1240" s="472" t="s">
        <v>1385</v>
      </c>
      <c r="BE1240" s="472" t="s">
        <v>1385</v>
      </c>
      <c r="BF1240" s="472">
        <v>17042.400000000001</v>
      </c>
      <c r="BG1240" s="472">
        <v>0</v>
      </c>
      <c r="BH1240" s="472" t="s">
        <v>1385</v>
      </c>
      <c r="BI1240" s="510">
        <v>0</v>
      </c>
      <c r="BJ1240" s="510">
        <v>0</v>
      </c>
      <c r="BK1240" s="510">
        <v>0</v>
      </c>
      <c r="BL1240" s="510">
        <v>0</v>
      </c>
      <c r="BM1240" s="510">
        <v>0</v>
      </c>
      <c r="BN1240" s="510">
        <v>2000</v>
      </c>
      <c r="BO1240" s="510">
        <v>0</v>
      </c>
      <c r="BP1240" s="510">
        <v>0</v>
      </c>
      <c r="BQ1240" s="510">
        <v>0</v>
      </c>
      <c r="BR1240" s="510">
        <v>0</v>
      </c>
      <c r="BS1240" s="510">
        <v>0</v>
      </c>
      <c r="BT1240" s="510">
        <v>0</v>
      </c>
      <c r="BU1240" s="510">
        <v>0</v>
      </c>
      <c r="BV1240" s="510">
        <v>0</v>
      </c>
      <c r="BW1240" s="510">
        <v>0</v>
      </c>
      <c r="BX1240" s="510">
        <v>30000</v>
      </c>
      <c r="BY1240" s="1011">
        <v>0</v>
      </c>
      <c r="BZ1240" s="510">
        <v>0</v>
      </c>
      <c r="CA1240" s="1011">
        <v>0</v>
      </c>
      <c r="CB1240" s="510">
        <v>0</v>
      </c>
      <c r="CC1240" s="1011">
        <v>0</v>
      </c>
      <c r="CD1240" s="510">
        <v>0</v>
      </c>
      <c r="CE1240" s="1011">
        <v>0</v>
      </c>
      <c r="CF1240" s="510">
        <v>37586.400000000001</v>
      </c>
      <c r="CG1240" s="1011">
        <v>0</v>
      </c>
      <c r="CH1240" s="510">
        <v>0</v>
      </c>
      <c r="CI1240" s="1011">
        <v>0</v>
      </c>
    </row>
    <row r="1241" spans="1:87" x14ac:dyDescent="0.2">
      <c r="A1241" s="449">
        <v>4</v>
      </c>
      <c r="B1241" s="453">
        <v>400043</v>
      </c>
      <c r="C1241" s="454" t="s">
        <v>10243</v>
      </c>
      <c r="D1241" s="454" t="s">
        <v>4613</v>
      </c>
      <c r="E1241" s="454" t="s">
        <v>10244</v>
      </c>
      <c r="F1241" s="454" t="s">
        <v>528</v>
      </c>
      <c r="G1241" s="454" t="s">
        <v>14369</v>
      </c>
      <c r="H1241" s="455">
        <v>7527368000151</v>
      </c>
      <c r="I1241" s="462">
        <v>38516</v>
      </c>
      <c r="J1241" s="457">
        <v>37375342</v>
      </c>
      <c r="K1241" s="454" t="s">
        <v>6368</v>
      </c>
      <c r="L1241" s="458">
        <v>101</v>
      </c>
      <c r="M1241" s="454" t="s">
        <v>10246</v>
      </c>
      <c r="N1241" s="459">
        <v>2840015</v>
      </c>
      <c r="O1241" s="460">
        <v>39749546</v>
      </c>
      <c r="P1241" s="462">
        <v>218050</v>
      </c>
      <c r="Q1241" s="462">
        <v>4</v>
      </c>
      <c r="R1241" s="462">
        <v>43938</v>
      </c>
      <c r="S1241" s="463">
        <v>153</v>
      </c>
      <c r="T1241" s="464">
        <v>3.6</v>
      </c>
      <c r="U1241" s="465">
        <v>550.79999999999995</v>
      </c>
      <c r="V1241" s="465">
        <v>10800</v>
      </c>
      <c r="W1241" s="466">
        <v>0</v>
      </c>
      <c r="X1241" s="467">
        <v>1</v>
      </c>
      <c r="Y1241" s="466">
        <v>17026.2</v>
      </c>
      <c r="Z1241" s="468" t="s">
        <v>516</v>
      </c>
      <c r="AA1241" s="466">
        <v>84634.2</v>
      </c>
      <c r="AB1241" s="466">
        <v>84634.2</v>
      </c>
      <c r="AC1241" s="467">
        <v>0</v>
      </c>
      <c r="AD1241" s="466">
        <v>0</v>
      </c>
      <c r="AE1241" s="468" t="s">
        <v>516</v>
      </c>
      <c r="AF1241" s="466">
        <v>0</v>
      </c>
      <c r="AG1241" s="466">
        <v>0</v>
      </c>
      <c r="AH1241" s="466">
        <v>5639.5</v>
      </c>
      <c r="AI1241" s="466">
        <v>3920.48</v>
      </c>
      <c r="AJ1241" s="469" t="s">
        <v>10247</v>
      </c>
      <c r="AK1241" s="470" t="s">
        <v>10248</v>
      </c>
      <c r="AL1241" s="471" t="s">
        <v>10249</v>
      </c>
      <c r="AM1241" s="470" t="s">
        <v>14370</v>
      </c>
      <c r="AN1241" s="470" t="s">
        <v>10245</v>
      </c>
      <c r="AO1241" s="470" t="s">
        <v>14371</v>
      </c>
      <c r="AP1241" s="470" t="s">
        <v>10250</v>
      </c>
      <c r="AQ1241" s="470" t="s">
        <v>10243</v>
      </c>
      <c r="AR1241" s="472" t="s">
        <v>515</v>
      </c>
      <c r="AS1241" s="473" t="s">
        <v>1385</v>
      </c>
      <c r="AT1241" s="472" t="s">
        <v>4613</v>
      </c>
      <c r="AU1241" s="472" t="s">
        <v>420</v>
      </c>
      <c r="AV1241" s="472">
        <v>2020</v>
      </c>
      <c r="AW1241" s="474" t="s">
        <v>15078</v>
      </c>
      <c r="AX1241" s="475" t="s">
        <v>15079</v>
      </c>
      <c r="AY1241" s="515">
        <v>1</v>
      </c>
      <c r="AZ1241" s="474" t="s">
        <v>15079</v>
      </c>
      <c r="BA1241" s="472" t="s">
        <v>4613</v>
      </c>
      <c r="BB1241" s="472" t="s">
        <v>1385</v>
      </c>
      <c r="BC1241" s="472" t="s">
        <v>1385</v>
      </c>
      <c r="BD1241" s="472" t="s">
        <v>1385</v>
      </c>
      <c r="BE1241" s="472" t="s">
        <v>1385</v>
      </c>
      <c r="BF1241" s="472">
        <v>17026.2</v>
      </c>
      <c r="BG1241" s="472">
        <v>0</v>
      </c>
      <c r="BH1241" s="472" t="s">
        <v>1385</v>
      </c>
      <c r="BI1241" s="510">
        <v>0</v>
      </c>
      <c r="BJ1241" s="510">
        <v>136.07</v>
      </c>
      <c r="BK1241" s="510">
        <v>0</v>
      </c>
      <c r="BL1241" s="510">
        <v>0</v>
      </c>
      <c r="BM1241" s="510">
        <v>0</v>
      </c>
      <c r="BN1241" s="510">
        <v>2000</v>
      </c>
      <c r="BO1241" s="510">
        <v>0</v>
      </c>
      <c r="BP1241" s="510">
        <v>0</v>
      </c>
      <c r="BQ1241" s="510">
        <v>0</v>
      </c>
      <c r="BR1241" s="510">
        <v>0</v>
      </c>
      <c r="BS1241" s="510">
        <v>0</v>
      </c>
      <c r="BT1241" s="510">
        <v>0</v>
      </c>
      <c r="BU1241" s="510">
        <v>0</v>
      </c>
      <c r="BV1241" s="510">
        <v>0</v>
      </c>
      <c r="BW1241" s="510">
        <v>0</v>
      </c>
      <c r="BX1241" s="510">
        <v>30000</v>
      </c>
      <c r="BY1241" s="1011">
        <v>0</v>
      </c>
      <c r="BZ1241" s="510">
        <v>0</v>
      </c>
      <c r="CA1241" s="1011">
        <v>0</v>
      </c>
      <c r="CB1241" s="510">
        <v>0</v>
      </c>
      <c r="CC1241" s="1011">
        <v>0</v>
      </c>
      <c r="CD1241" s="510">
        <v>0</v>
      </c>
      <c r="CE1241" s="1011">
        <v>0</v>
      </c>
      <c r="CF1241" s="510">
        <v>37608</v>
      </c>
      <c r="CG1241" s="1011">
        <v>0</v>
      </c>
      <c r="CH1241" s="510">
        <v>0</v>
      </c>
      <c r="CI1241" s="1011">
        <v>0</v>
      </c>
    </row>
    <row r="1242" spans="1:87" x14ac:dyDescent="0.2">
      <c r="A1242" s="449">
        <v>6</v>
      </c>
      <c r="B1242" s="453">
        <v>400044</v>
      </c>
      <c r="C1242" s="454" t="s">
        <v>10251</v>
      </c>
      <c r="D1242" s="454" t="s">
        <v>4613</v>
      </c>
      <c r="E1242" s="454" t="s">
        <v>10252</v>
      </c>
      <c r="F1242" s="454" t="s">
        <v>513</v>
      </c>
      <c r="G1242" s="454" t="s">
        <v>14372</v>
      </c>
      <c r="H1242" s="455">
        <v>7883224000138</v>
      </c>
      <c r="I1242" s="462">
        <v>38761</v>
      </c>
      <c r="J1242" s="457">
        <v>37529498</v>
      </c>
      <c r="K1242" s="454" t="s">
        <v>10253</v>
      </c>
      <c r="L1242" s="458">
        <v>201</v>
      </c>
      <c r="M1242" s="454" t="s">
        <v>2425</v>
      </c>
      <c r="N1242" s="459">
        <v>8330260</v>
      </c>
      <c r="O1242" s="460">
        <v>29623254</v>
      </c>
      <c r="P1242" s="462">
        <v>144447</v>
      </c>
      <c r="Q1242" s="462">
        <v>6</v>
      </c>
      <c r="R1242" s="462">
        <v>43937</v>
      </c>
      <c r="S1242" s="463">
        <v>125</v>
      </c>
      <c r="T1242" s="464">
        <v>3.6</v>
      </c>
      <c r="U1242" s="465">
        <v>450</v>
      </c>
      <c r="V1242" s="465">
        <v>10800</v>
      </c>
      <c r="W1242" s="466">
        <v>0</v>
      </c>
      <c r="X1242" s="467">
        <v>1</v>
      </c>
      <c r="Y1242" s="466">
        <v>16875</v>
      </c>
      <c r="Z1242" s="468" t="s">
        <v>516</v>
      </c>
      <c r="AA1242" s="466">
        <v>84375</v>
      </c>
      <c r="AB1242" s="466">
        <v>84375</v>
      </c>
      <c r="AC1242" s="467">
        <v>0</v>
      </c>
      <c r="AD1242" s="466">
        <v>0</v>
      </c>
      <c r="AE1242" s="468" t="s">
        <v>516</v>
      </c>
      <c r="AF1242" s="466">
        <v>0</v>
      </c>
      <c r="AG1242" s="466">
        <v>0</v>
      </c>
      <c r="AH1242" s="466">
        <v>4531.33</v>
      </c>
      <c r="AI1242" s="466">
        <v>5128.82</v>
      </c>
      <c r="AJ1242" s="469" t="s">
        <v>2030</v>
      </c>
      <c r="AK1242" s="470" t="s">
        <v>513</v>
      </c>
      <c r="AL1242" s="471" t="s">
        <v>10254</v>
      </c>
      <c r="AM1242" s="470" t="s">
        <v>10255</v>
      </c>
      <c r="AN1242" s="470" t="s">
        <v>1385</v>
      </c>
      <c r="AO1242" s="470" t="s">
        <v>10256</v>
      </c>
      <c r="AP1242" s="470" t="s">
        <v>10257</v>
      </c>
      <c r="AQ1242" s="470" t="s">
        <v>10251</v>
      </c>
      <c r="AR1242" s="472" t="s">
        <v>515</v>
      </c>
      <c r="AS1242" s="473" t="s">
        <v>1385</v>
      </c>
      <c r="AT1242" s="472" t="s">
        <v>4613</v>
      </c>
      <c r="AU1242" s="472" t="s">
        <v>420</v>
      </c>
      <c r="AV1242" s="472">
        <v>2020</v>
      </c>
      <c r="AW1242" s="474" t="s">
        <v>15078</v>
      </c>
      <c r="AX1242" s="475" t="s">
        <v>15079</v>
      </c>
      <c r="AY1242" s="515">
        <v>1</v>
      </c>
      <c r="AZ1242" s="474" t="s">
        <v>15079</v>
      </c>
      <c r="BA1242" s="472" t="s">
        <v>4613</v>
      </c>
      <c r="BB1242" s="472" t="s">
        <v>1385</v>
      </c>
      <c r="BC1242" s="472" t="s">
        <v>1385</v>
      </c>
      <c r="BD1242" s="472" t="s">
        <v>1385</v>
      </c>
      <c r="BE1242" s="472" t="s">
        <v>1385</v>
      </c>
      <c r="BF1242" s="472">
        <v>16875</v>
      </c>
      <c r="BG1242" s="472">
        <v>0</v>
      </c>
      <c r="BH1242" s="472" t="s">
        <v>1385</v>
      </c>
      <c r="BI1242" s="510">
        <v>0</v>
      </c>
      <c r="BJ1242" s="510">
        <v>0</v>
      </c>
      <c r="BK1242" s="510">
        <v>0</v>
      </c>
      <c r="BL1242" s="510">
        <v>0</v>
      </c>
      <c r="BM1242" s="510">
        <v>0</v>
      </c>
      <c r="BN1242" s="510">
        <v>2000</v>
      </c>
      <c r="BO1242" s="510">
        <v>0</v>
      </c>
      <c r="BP1242" s="510">
        <v>0</v>
      </c>
      <c r="BQ1242" s="510">
        <v>0</v>
      </c>
      <c r="BR1242" s="510">
        <v>0</v>
      </c>
      <c r="BS1242" s="510">
        <v>0</v>
      </c>
      <c r="BT1242" s="510">
        <v>0</v>
      </c>
      <c r="BU1242" s="510">
        <v>0</v>
      </c>
      <c r="BV1242" s="510">
        <v>0</v>
      </c>
      <c r="BW1242" s="510">
        <v>0</v>
      </c>
      <c r="BX1242" s="510">
        <v>30000</v>
      </c>
      <c r="BY1242" s="1011">
        <v>0</v>
      </c>
      <c r="BZ1242" s="510">
        <v>0</v>
      </c>
      <c r="CA1242" s="1011">
        <v>0</v>
      </c>
      <c r="CB1242" s="510">
        <v>0</v>
      </c>
      <c r="CC1242" s="1011">
        <v>0</v>
      </c>
      <c r="CD1242" s="510">
        <v>0</v>
      </c>
      <c r="CE1242" s="1011">
        <v>0</v>
      </c>
      <c r="CF1242" s="510">
        <v>37500</v>
      </c>
      <c r="CG1242" s="1011">
        <v>0</v>
      </c>
      <c r="CH1242" s="510">
        <v>0</v>
      </c>
      <c r="CI1242" s="1011">
        <v>0</v>
      </c>
    </row>
    <row r="1243" spans="1:87" x14ac:dyDescent="0.2">
      <c r="A1243" s="449">
        <v>2</v>
      </c>
      <c r="B1243" s="453">
        <v>400045</v>
      </c>
      <c r="C1243" s="454" t="s">
        <v>10258</v>
      </c>
      <c r="D1243" s="454" t="s">
        <v>4613</v>
      </c>
      <c r="E1243" s="454" t="s">
        <v>10259</v>
      </c>
      <c r="F1243" s="454" t="s">
        <v>524</v>
      </c>
      <c r="G1243" s="454" t="s">
        <v>14373</v>
      </c>
      <c r="H1243" s="455">
        <v>7116917000103</v>
      </c>
      <c r="I1243" s="462">
        <v>38250</v>
      </c>
      <c r="J1243" s="457">
        <v>37498649</v>
      </c>
      <c r="K1243" s="454" t="s">
        <v>7016</v>
      </c>
      <c r="L1243" s="458">
        <v>60</v>
      </c>
      <c r="M1243" s="454" t="s">
        <v>4351</v>
      </c>
      <c r="N1243" s="459">
        <v>3284080</v>
      </c>
      <c r="O1243" s="460">
        <v>29119048</v>
      </c>
      <c r="P1243" s="462">
        <v>212728</v>
      </c>
      <c r="Q1243" s="462">
        <v>3</v>
      </c>
      <c r="R1243" s="462">
        <v>43906</v>
      </c>
      <c r="S1243" s="463">
        <v>136</v>
      </c>
      <c r="T1243" s="464">
        <v>3.6</v>
      </c>
      <c r="U1243" s="465">
        <v>489.6</v>
      </c>
      <c r="V1243" s="465">
        <v>10800</v>
      </c>
      <c r="W1243" s="466">
        <v>0</v>
      </c>
      <c r="X1243" s="467">
        <v>1</v>
      </c>
      <c r="Y1243" s="466">
        <v>16934.400000000001</v>
      </c>
      <c r="Z1243" s="468" t="s">
        <v>516</v>
      </c>
      <c r="AA1243" s="466">
        <v>84520.8</v>
      </c>
      <c r="AB1243" s="466">
        <v>84520.8</v>
      </c>
      <c r="AC1243" s="467">
        <v>0</v>
      </c>
      <c r="AD1243" s="466">
        <v>0</v>
      </c>
      <c r="AE1243" s="468" t="s">
        <v>516</v>
      </c>
      <c r="AF1243" s="466">
        <v>0</v>
      </c>
      <c r="AG1243" s="466">
        <v>0</v>
      </c>
      <c r="AH1243" s="466">
        <v>11509.3</v>
      </c>
      <c r="AI1243" s="466">
        <v>51.09</v>
      </c>
      <c r="AJ1243" s="469" t="s">
        <v>2136</v>
      </c>
      <c r="AK1243" s="470" t="s">
        <v>2340</v>
      </c>
      <c r="AL1243" s="471" t="s">
        <v>10260</v>
      </c>
      <c r="AM1243" s="470" t="s">
        <v>15085</v>
      </c>
      <c r="AN1243" s="470" t="s">
        <v>14374</v>
      </c>
      <c r="AO1243" s="470" t="s">
        <v>14375</v>
      </c>
      <c r="AP1243" s="470" t="s">
        <v>10261</v>
      </c>
      <c r="AQ1243" s="470" t="s">
        <v>10258</v>
      </c>
      <c r="AR1243" s="472" t="s">
        <v>515</v>
      </c>
      <c r="AS1243" s="473" t="s">
        <v>1385</v>
      </c>
      <c r="AT1243" s="472" t="s">
        <v>4613</v>
      </c>
      <c r="AU1243" s="472" t="s">
        <v>420</v>
      </c>
      <c r="AV1243" s="472">
        <v>2020</v>
      </c>
      <c r="AW1243" s="474" t="s">
        <v>15078</v>
      </c>
      <c r="AX1243" s="475" t="s">
        <v>15079</v>
      </c>
      <c r="AY1243" s="515">
        <v>1</v>
      </c>
      <c r="AZ1243" s="474" t="s">
        <v>15079</v>
      </c>
      <c r="BA1243" s="472" t="s">
        <v>4613</v>
      </c>
      <c r="BB1243" s="472" t="s">
        <v>1385</v>
      </c>
      <c r="BC1243" s="472" t="s">
        <v>1385</v>
      </c>
      <c r="BD1243" s="472" t="s">
        <v>1385</v>
      </c>
      <c r="BE1243" s="472" t="s">
        <v>1385</v>
      </c>
      <c r="BF1243" s="472">
        <v>16934.400000000001</v>
      </c>
      <c r="BG1243" s="472">
        <v>0</v>
      </c>
      <c r="BH1243" s="472" t="s">
        <v>1385</v>
      </c>
      <c r="BI1243" s="510">
        <v>0</v>
      </c>
      <c r="BJ1243" s="510">
        <v>0</v>
      </c>
      <c r="BK1243" s="510">
        <v>0</v>
      </c>
      <c r="BL1243" s="510">
        <v>0</v>
      </c>
      <c r="BM1243" s="510">
        <v>0</v>
      </c>
      <c r="BN1243" s="510">
        <v>2000</v>
      </c>
      <c r="BO1243" s="510">
        <v>0</v>
      </c>
      <c r="BP1243" s="510">
        <v>0</v>
      </c>
      <c r="BQ1243" s="510">
        <v>0</v>
      </c>
      <c r="BR1243" s="510">
        <v>0</v>
      </c>
      <c r="BS1243" s="510">
        <v>0</v>
      </c>
      <c r="BT1243" s="510">
        <v>0</v>
      </c>
      <c r="BU1243" s="510">
        <v>0</v>
      </c>
      <c r="BV1243" s="510">
        <v>0</v>
      </c>
      <c r="BW1243" s="510">
        <v>0</v>
      </c>
      <c r="BX1243" s="510">
        <v>30000</v>
      </c>
      <c r="BY1243" s="1011">
        <v>0</v>
      </c>
      <c r="BZ1243" s="510">
        <v>0</v>
      </c>
      <c r="CA1243" s="1011">
        <v>0</v>
      </c>
      <c r="CB1243" s="510">
        <v>0</v>
      </c>
      <c r="CC1243" s="1011">
        <v>0</v>
      </c>
      <c r="CD1243" s="510">
        <v>0</v>
      </c>
      <c r="CE1243" s="1011">
        <v>0</v>
      </c>
      <c r="CF1243" s="510">
        <v>37586.400000000001</v>
      </c>
      <c r="CG1243" s="1011">
        <v>0</v>
      </c>
      <c r="CH1243" s="510">
        <v>0</v>
      </c>
      <c r="CI1243" s="1011">
        <v>0</v>
      </c>
    </row>
    <row r="1244" spans="1:87" x14ac:dyDescent="0.2">
      <c r="A1244" s="449">
        <v>7</v>
      </c>
      <c r="B1244" s="453">
        <v>400046</v>
      </c>
      <c r="C1244" s="454" t="s">
        <v>10262</v>
      </c>
      <c r="D1244" s="454" t="s">
        <v>4613</v>
      </c>
      <c r="E1244" s="454" t="s">
        <v>10263</v>
      </c>
      <c r="F1244" s="454" t="s">
        <v>525</v>
      </c>
      <c r="G1244" s="454" t="s">
        <v>14376</v>
      </c>
      <c r="H1244" s="455">
        <v>8255233000147</v>
      </c>
      <c r="I1244" s="462">
        <v>38915</v>
      </c>
      <c r="J1244" s="457">
        <v>37357875</v>
      </c>
      <c r="K1244" s="454" t="s">
        <v>10265</v>
      </c>
      <c r="L1244" s="458">
        <v>151</v>
      </c>
      <c r="M1244" s="454" t="s">
        <v>9979</v>
      </c>
      <c r="N1244" s="459">
        <v>2318230</v>
      </c>
      <c r="O1244" s="460">
        <v>29943072</v>
      </c>
      <c r="P1244" s="462">
        <v>323260</v>
      </c>
      <c r="Q1244" s="462">
        <v>7</v>
      </c>
      <c r="R1244" s="462">
        <v>43950</v>
      </c>
      <c r="S1244" s="463">
        <v>159</v>
      </c>
      <c r="T1244" s="464">
        <v>3.6</v>
      </c>
      <c r="U1244" s="465">
        <v>572.4</v>
      </c>
      <c r="V1244" s="465">
        <v>10800</v>
      </c>
      <c r="W1244" s="466">
        <v>0</v>
      </c>
      <c r="X1244" s="467">
        <v>1</v>
      </c>
      <c r="Y1244" s="466">
        <v>0</v>
      </c>
      <c r="Z1244" s="468" t="s">
        <v>514</v>
      </c>
      <c r="AA1244" s="466">
        <v>0</v>
      </c>
      <c r="AB1244" s="466">
        <v>0</v>
      </c>
      <c r="AC1244" s="467">
        <v>0</v>
      </c>
      <c r="AD1244" s="466">
        <v>0</v>
      </c>
      <c r="AE1244" s="468" t="s">
        <v>516</v>
      </c>
      <c r="AF1244" s="466">
        <v>0</v>
      </c>
      <c r="AG1244" s="466">
        <v>0</v>
      </c>
      <c r="AH1244" s="466">
        <v>0</v>
      </c>
      <c r="AI1244" s="466">
        <v>0</v>
      </c>
      <c r="AJ1244" s="469" t="s">
        <v>1448</v>
      </c>
      <c r="AK1244" s="470" t="s">
        <v>1449</v>
      </c>
      <c r="AL1244" s="471" t="s">
        <v>10266</v>
      </c>
      <c r="AM1244" s="470" t="s">
        <v>10267</v>
      </c>
      <c r="AN1244" s="470" t="s">
        <v>10264</v>
      </c>
      <c r="AO1244" s="470" t="s">
        <v>10268</v>
      </c>
      <c r="AP1244" s="470" t="s">
        <v>10269</v>
      </c>
      <c r="AQ1244" s="470" t="s">
        <v>10262</v>
      </c>
      <c r="AR1244" s="472" t="s">
        <v>515</v>
      </c>
      <c r="AS1244" s="473" t="s">
        <v>1385</v>
      </c>
      <c r="AT1244" s="472" t="s">
        <v>4613</v>
      </c>
      <c r="AU1244" s="472" t="s">
        <v>420</v>
      </c>
      <c r="AV1244" s="472">
        <v>2020</v>
      </c>
      <c r="AW1244" s="474" t="s">
        <v>15078</v>
      </c>
      <c r="AX1244" s="475" t="s">
        <v>15079</v>
      </c>
      <c r="AY1244" s="515">
        <v>1</v>
      </c>
      <c r="AZ1244" s="474" t="s">
        <v>15079</v>
      </c>
      <c r="BA1244" s="472" t="s">
        <v>1385</v>
      </c>
      <c r="BB1244" s="472" t="s">
        <v>1385</v>
      </c>
      <c r="BC1244" s="472" t="s">
        <v>1385</v>
      </c>
      <c r="BD1244" s="472" t="s">
        <v>1385</v>
      </c>
      <c r="BE1244" s="472" t="s">
        <v>1385</v>
      </c>
      <c r="BF1244" s="472">
        <v>17058.599999999999</v>
      </c>
      <c r="BG1244" s="472">
        <v>0</v>
      </c>
      <c r="BH1244" s="472" t="s">
        <v>516</v>
      </c>
      <c r="BI1244" s="510">
        <v>0</v>
      </c>
      <c r="BJ1244" s="510">
        <v>0</v>
      </c>
      <c r="BK1244" s="510">
        <v>0</v>
      </c>
      <c r="BL1244" s="510">
        <v>0</v>
      </c>
      <c r="BM1244" s="510">
        <v>0</v>
      </c>
      <c r="BN1244" s="510">
        <v>0</v>
      </c>
      <c r="BO1244" s="510">
        <v>0</v>
      </c>
      <c r="BP1244" s="510">
        <v>0</v>
      </c>
      <c r="BQ1244" s="510">
        <v>0</v>
      </c>
      <c r="BR1244" s="510">
        <v>0</v>
      </c>
      <c r="BS1244" s="510">
        <v>0</v>
      </c>
      <c r="BT1244" s="510">
        <v>0</v>
      </c>
      <c r="BU1244" s="510">
        <v>0</v>
      </c>
      <c r="BV1244" s="510">
        <v>0</v>
      </c>
      <c r="BW1244" s="510">
        <v>0</v>
      </c>
      <c r="BX1244" s="510">
        <v>0</v>
      </c>
      <c r="BY1244" s="1011">
        <v>0</v>
      </c>
      <c r="BZ1244" s="510">
        <v>0</v>
      </c>
      <c r="CA1244" s="1011">
        <v>0</v>
      </c>
      <c r="CB1244" s="510">
        <v>0</v>
      </c>
      <c r="CC1244" s="1011">
        <v>0</v>
      </c>
      <c r="CD1244" s="510">
        <v>0</v>
      </c>
      <c r="CE1244" s="1011">
        <v>0</v>
      </c>
      <c r="CF1244" s="510">
        <v>0</v>
      </c>
      <c r="CG1244" s="1011">
        <v>0</v>
      </c>
      <c r="CH1244" s="510">
        <v>0</v>
      </c>
      <c r="CI1244" s="1011">
        <v>0</v>
      </c>
    </row>
    <row r="1245" spans="1:87" x14ac:dyDescent="0.2">
      <c r="A1245" s="449">
        <v>8</v>
      </c>
      <c r="B1245" s="453">
        <v>400047</v>
      </c>
      <c r="C1245" s="454" t="s">
        <v>10270</v>
      </c>
      <c r="D1245" s="454" t="s">
        <v>4613</v>
      </c>
      <c r="E1245" s="454" t="s">
        <v>10271</v>
      </c>
      <c r="F1245" s="454" t="s">
        <v>525</v>
      </c>
      <c r="G1245" s="454" t="s">
        <v>14377</v>
      </c>
      <c r="H1245" s="455">
        <v>8680444000127</v>
      </c>
      <c r="I1245" s="462">
        <v>38779</v>
      </c>
      <c r="J1245" s="457">
        <v>38243750</v>
      </c>
      <c r="K1245" s="454" t="s">
        <v>10273</v>
      </c>
      <c r="L1245" s="458">
        <v>30</v>
      </c>
      <c r="M1245" s="454" t="s">
        <v>6814</v>
      </c>
      <c r="N1245" s="459">
        <v>2161140</v>
      </c>
      <c r="O1245" s="460">
        <v>29316917</v>
      </c>
      <c r="P1245" s="462">
        <v>323279</v>
      </c>
      <c r="Q1245" s="462">
        <v>8</v>
      </c>
      <c r="R1245" s="462">
        <v>43950</v>
      </c>
      <c r="S1245" s="463">
        <v>162</v>
      </c>
      <c r="T1245" s="464">
        <v>3.6</v>
      </c>
      <c r="U1245" s="465">
        <v>583.20000000000005</v>
      </c>
      <c r="V1245" s="465">
        <v>10800</v>
      </c>
      <c r="W1245" s="466">
        <v>0</v>
      </c>
      <c r="X1245" s="467">
        <v>1</v>
      </c>
      <c r="Y1245" s="466">
        <v>17074.8</v>
      </c>
      <c r="Z1245" s="468" t="s">
        <v>516</v>
      </c>
      <c r="AA1245" s="466">
        <v>84870</v>
      </c>
      <c r="AB1245" s="466">
        <v>84870</v>
      </c>
      <c r="AC1245" s="467">
        <v>0</v>
      </c>
      <c r="AD1245" s="466">
        <v>0</v>
      </c>
      <c r="AE1245" s="468" t="s">
        <v>516</v>
      </c>
      <c r="AF1245" s="466">
        <v>0</v>
      </c>
      <c r="AG1245" s="466">
        <v>0</v>
      </c>
      <c r="AH1245" s="466">
        <v>27704.44</v>
      </c>
      <c r="AI1245" s="466">
        <v>2258.92</v>
      </c>
      <c r="AJ1245" s="469" t="s">
        <v>1448</v>
      </c>
      <c r="AK1245" s="470" t="s">
        <v>1449</v>
      </c>
      <c r="AL1245" s="471" t="s">
        <v>10274</v>
      </c>
      <c r="AM1245" s="470" t="s">
        <v>10275</v>
      </c>
      <c r="AN1245" s="470" t="s">
        <v>10272</v>
      </c>
      <c r="AO1245" s="470" t="s">
        <v>10276</v>
      </c>
      <c r="AP1245" s="470" t="s">
        <v>10277</v>
      </c>
      <c r="AQ1245" s="470" t="s">
        <v>10270</v>
      </c>
      <c r="AR1245" s="472" t="s">
        <v>515</v>
      </c>
      <c r="AS1245" s="473" t="s">
        <v>1385</v>
      </c>
      <c r="AT1245" s="472" t="s">
        <v>4613</v>
      </c>
      <c r="AU1245" s="472" t="s">
        <v>420</v>
      </c>
      <c r="AV1245" s="472">
        <v>2020</v>
      </c>
      <c r="AW1245" s="474" t="s">
        <v>15078</v>
      </c>
      <c r="AX1245" s="475" t="s">
        <v>15079</v>
      </c>
      <c r="AY1245" s="515">
        <v>1</v>
      </c>
      <c r="AZ1245" s="474" t="s">
        <v>15079</v>
      </c>
      <c r="BA1245" s="472" t="s">
        <v>4613</v>
      </c>
      <c r="BB1245" s="472" t="s">
        <v>1385</v>
      </c>
      <c r="BC1245" s="472" t="s">
        <v>1385</v>
      </c>
      <c r="BD1245" s="472" t="s">
        <v>1385</v>
      </c>
      <c r="BE1245" s="472" t="s">
        <v>1385</v>
      </c>
      <c r="BF1245" s="509">
        <v>17074.8</v>
      </c>
      <c r="BG1245" s="509">
        <v>0</v>
      </c>
      <c r="BH1245" s="472" t="s">
        <v>1385</v>
      </c>
      <c r="BI1245" s="510">
        <v>0</v>
      </c>
      <c r="BJ1245" s="510">
        <v>0</v>
      </c>
      <c r="BK1245" s="510">
        <v>0</v>
      </c>
      <c r="BL1245" s="510">
        <v>0</v>
      </c>
      <c r="BM1245" s="510">
        <v>0</v>
      </c>
      <c r="BN1245" s="510">
        <v>2000</v>
      </c>
      <c r="BO1245" s="510">
        <v>0</v>
      </c>
      <c r="BP1245" s="510">
        <v>0</v>
      </c>
      <c r="BQ1245" s="510">
        <v>0</v>
      </c>
      <c r="BR1245" s="510">
        <v>0</v>
      </c>
      <c r="BS1245" s="510">
        <v>0</v>
      </c>
      <c r="BT1245" s="510">
        <v>0</v>
      </c>
      <c r="BU1245" s="510">
        <v>0</v>
      </c>
      <c r="BV1245" s="510">
        <v>0</v>
      </c>
      <c r="BW1245" s="510">
        <v>0</v>
      </c>
      <c r="BX1245" s="510">
        <v>30000</v>
      </c>
      <c r="BY1245" s="1011">
        <v>0</v>
      </c>
      <c r="BZ1245" s="510">
        <v>0</v>
      </c>
      <c r="CA1245" s="1011">
        <v>0</v>
      </c>
      <c r="CB1245" s="510">
        <v>0</v>
      </c>
      <c r="CC1245" s="1011">
        <v>0</v>
      </c>
      <c r="CD1245" s="510">
        <v>0</v>
      </c>
      <c r="CE1245" s="1011">
        <v>0</v>
      </c>
      <c r="CF1245" s="510">
        <v>37795.199999999997</v>
      </c>
      <c r="CG1245" s="1011">
        <v>0</v>
      </c>
      <c r="CH1245" s="510">
        <v>0</v>
      </c>
      <c r="CI1245" s="1011">
        <v>0</v>
      </c>
    </row>
    <row r="1246" spans="1:87" x14ac:dyDescent="0.2">
      <c r="A1246" s="449">
        <v>9</v>
      </c>
      <c r="B1246" s="453">
        <v>400048</v>
      </c>
      <c r="C1246" s="454" t="s">
        <v>10278</v>
      </c>
      <c r="D1246" s="454" t="s">
        <v>4613</v>
      </c>
      <c r="E1246" s="454" t="s">
        <v>10279</v>
      </c>
      <c r="F1246" s="454" t="s">
        <v>525</v>
      </c>
      <c r="G1246" s="454" t="s">
        <v>14378</v>
      </c>
      <c r="H1246" s="455">
        <v>7995168000123</v>
      </c>
      <c r="I1246" s="462">
        <v>38831</v>
      </c>
      <c r="J1246" s="457">
        <v>37604872</v>
      </c>
      <c r="K1246" s="454" t="s">
        <v>10281</v>
      </c>
      <c r="L1246" s="458">
        <v>815</v>
      </c>
      <c r="M1246" s="454" t="s">
        <v>6858</v>
      </c>
      <c r="N1246" s="459">
        <v>2234001</v>
      </c>
      <c r="O1246" s="460">
        <v>22429767</v>
      </c>
      <c r="P1246" s="462">
        <v>323317</v>
      </c>
      <c r="Q1246" s="462">
        <v>9</v>
      </c>
      <c r="R1246" s="462">
        <v>43950</v>
      </c>
      <c r="S1246" s="463">
        <v>169</v>
      </c>
      <c r="T1246" s="464">
        <v>3.6</v>
      </c>
      <c r="U1246" s="465">
        <v>608.4</v>
      </c>
      <c r="V1246" s="465">
        <v>10800</v>
      </c>
      <c r="W1246" s="466">
        <v>0</v>
      </c>
      <c r="X1246" s="467">
        <v>1</v>
      </c>
      <c r="Y1246" s="466">
        <v>17112.599999999999</v>
      </c>
      <c r="Z1246" s="468" t="s">
        <v>516</v>
      </c>
      <c r="AA1246" s="466">
        <v>84871.8</v>
      </c>
      <c r="AB1246" s="466">
        <v>84871.8</v>
      </c>
      <c r="AC1246" s="467">
        <v>0</v>
      </c>
      <c r="AD1246" s="466">
        <v>0</v>
      </c>
      <c r="AE1246" s="468" t="s">
        <v>516</v>
      </c>
      <c r="AF1246" s="466">
        <v>0</v>
      </c>
      <c r="AG1246" s="466">
        <v>0</v>
      </c>
      <c r="AH1246" s="466">
        <v>13280.69</v>
      </c>
      <c r="AI1246" s="466">
        <v>243.36</v>
      </c>
      <c r="AJ1246" s="469" t="s">
        <v>1448</v>
      </c>
      <c r="AK1246" s="470" t="s">
        <v>1449</v>
      </c>
      <c r="AL1246" s="471" t="s">
        <v>10282</v>
      </c>
      <c r="AM1246" s="470" t="s">
        <v>10283</v>
      </c>
      <c r="AN1246" s="470" t="s">
        <v>10280</v>
      </c>
      <c r="AO1246" s="470" t="s">
        <v>10284</v>
      </c>
      <c r="AP1246" s="470" t="s">
        <v>10285</v>
      </c>
      <c r="AQ1246" s="470" t="s">
        <v>10278</v>
      </c>
      <c r="AR1246" s="472" t="s">
        <v>515</v>
      </c>
      <c r="AS1246" s="473" t="s">
        <v>1385</v>
      </c>
      <c r="AT1246" s="472" t="s">
        <v>4613</v>
      </c>
      <c r="AU1246" s="472" t="s">
        <v>420</v>
      </c>
      <c r="AV1246" s="472">
        <v>2020</v>
      </c>
      <c r="AW1246" s="474" t="s">
        <v>15078</v>
      </c>
      <c r="AX1246" s="475" t="s">
        <v>15079</v>
      </c>
      <c r="AY1246" s="515">
        <v>1</v>
      </c>
      <c r="AZ1246" s="474" t="s">
        <v>15079</v>
      </c>
      <c r="BA1246" s="472" t="s">
        <v>4613</v>
      </c>
      <c r="BB1246" s="472" t="s">
        <v>1385</v>
      </c>
      <c r="BC1246" s="472" t="s">
        <v>1385</v>
      </c>
      <c r="BD1246" s="472" t="s">
        <v>1385</v>
      </c>
      <c r="BE1246" s="472" t="s">
        <v>1385</v>
      </c>
      <c r="BF1246" s="472">
        <v>17112.599999999999</v>
      </c>
      <c r="BG1246" s="472">
        <v>0</v>
      </c>
      <c r="BH1246" s="472" t="s">
        <v>1385</v>
      </c>
      <c r="BI1246" s="510">
        <v>0</v>
      </c>
      <c r="BJ1246" s="510">
        <v>0</v>
      </c>
      <c r="BK1246" s="510">
        <v>0</v>
      </c>
      <c r="BL1246" s="510">
        <v>0</v>
      </c>
      <c r="BM1246" s="510">
        <v>0</v>
      </c>
      <c r="BN1246" s="510">
        <v>2000</v>
      </c>
      <c r="BO1246" s="510">
        <v>0</v>
      </c>
      <c r="BP1246" s="510">
        <v>0</v>
      </c>
      <c r="BQ1246" s="510">
        <v>0</v>
      </c>
      <c r="BR1246" s="510">
        <v>0</v>
      </c>
      <c r="BS1246" s="510">
        <v>0</v>
      </c>
      <c r="BT1246" s="510">
        <v>0</v>
      </c>
      <c r="BU1246" s="510">
        <v>0</v>
      </c>
      <c r="BV1246" s="510">
        <v>0</v>
      </c>
      <c r="BW1246" s="510">
        <v>0</v>
      </c>
      <c r="BX1246" s="510">
        <v>30000</v>
      </c>
      <c r="BY1246" s="1011">
        <v>0</v>
      </c>
      <c r="BZ1246" s="510">
        <v>0</v>
      </c>
      <c r="CA1246" s="1011">
        <v>0</v>
      </c>
      <c r="CB1246" s="510">
        <v>0</v>
      </c>
      <c r="CC1246" s="1011">
        <v>0</v>
      </c>
      <c r="CD1246" s="510">
        <v>0</v>
      </c>
      <c r="CE1246" s="1011">
        <v>0</v>
      </c>
      <c r="CF1246" s="510">
        <v>37759.199999999997</v>
      </c>
      <c r="CG1246" s="1011">
        <v>0</v>
      </c>
      <c r="CH1246" s="510">
        <v>0</v>
      </c>
      <c r="CI1246" s="1011">
        <v>0</v>
      </c>
    </row>
    <row r="1247" spans="1:87" x14ac:dyDescent="0.2">
      <c r="A1247" s="449">
        <v>3</v>
      </c>
      <c r="B1247" s="453">
        <v>400049</v>
      </c>
      <c r="C1247" s="454" t="s">
        <v>10286</v>
      </c>
      <c r="D1247" s="454" t="s">
        <v>4613</v>
      </c>
      <c r="E1247" s="454" t="s">
        <v>10287</v>
      </c>
      <c r="F1247" s="454" t="s">
        <v>524</v>
      </c>
      <c r="G1247" s="454" t="s">
        <v>14379</v>
      </c>
      <c r="H1247" s="455">
        <v>8322626000126</v>
      </c>
      <c r="I1247" s="462">
        <v>38919</v>
      </c>
      <c r="J1247" s="457">
        <v>37500619</v>
      </c>
      <c r="K1247" s="454" t="s">
        <v>10288</v>
      </c>
      <c r="L1247" s="458">
        <v>148</v>
      </c>
      <c r="M1247" s="454" t="s">
        <v>10289</v>
      </c>
      <c r="N1247" s="459">
        <v>4315050</v>
      </c>
      <c r="O1247" s="460">
        <v>50582917</v>
      </c>
      <c r="P1247" s="462">
        <v>204580</v>
      </c>
      <c r="Q1247" s="462">
        <v>4</v>
      </c>
      <c r="R1247" s="462">
        <v>43906</v>
      </c>
      <c r="S1247" s="463">
        <v>126</v>
      </c>
      <c r="T1247" s="464">
        <v>3.6</v>
      </c>
      <c r="U1247" s="465">
        <v>453.6</v>
      </c>
      <c r="V1247" s="465">
        <v>10800</v>
      </c>
      <c r="W1247" s="466">
        <v>0</v>
      </c>
      <c r="X1247" s="467">
        <v>1</v>
      </c>
      <c r="Y1247" s="466">
        <v>16880.400000000001</v>
      </c>
      <c r="Z1247" s="468" t="s">
        <v>516</v>
      </c>
      <c r="AA1247" s="466">
        <v>84337.2</v>
      </c>
      <c r="AB1247" s="466">
        <v>84337.2</v>
      </c>
      <c r="AC1247" s="467">
        <v>0</v>
      </c>
      <c r="AD1247" s="466">
        <v>0</v>
      </c>
      <c r="AE1247" s="468" t="s">
        <v>516</v>
      </c>
      <c r="AF1247" s="466">
        <v>0</v>
      </c>
      <c r="AG1247" s="466">
        <v>0</v>
      </c>
      <c r="AH1247" s="466">
        <v>15248.79</v>
      </c>
      <c r="AI1247" s="466">
        <v>6316.66</v>
      </c>
      <c r="AJ1247" s="469" t="s">
        <v>2511</v>
      </c>
      <c r="AK1247" s="470" t="s">
        <v>2512</v>
      </c>
      <c r="AL1247" s="471" t="s">
        <v>10290</v>
      </c>
      <c r="AM1247" s="470" t="s">
        <v>15086</v>
      </c>
      <c r="AN1247" s="470" t="s">
        <v>10291</v>
      </c>
      <c r="AO1247" s="470" t="s">
        <v>10292</v>
      </c>
      <c r="AP1247" s="470" t="s">
        <v>10293</v>
      </c>
      <c r="AQ1247" s="470" t="s">
        <v>10286</v>
      </c>
      <c r="AR1247" s="472" t="s">
        <v>515</v>
      </c>
      <c r="AS1247" s="473" t="s">
        <v>1385</v>
      </c>
      <c r="AT1247" s="472" t="s">
        <v>4613</v>
      </c>
      <c r="AU1247" s="472" t="s">
        <v>420</v>
      </c>
      <c r="AV1247" s="472">
        <v>2020</v>
      </c>
      <c r="AW1247" s="474" t="s">
        <v>15078</v>
      </c>
      <c r="AX1247" s="475" t="s">
        <v>15079</v>
      </c>
      <c r="AY1247" s="515">
        <v>1</v>
      </c>
      <c r="AZ1247" s="474" t="s">
        <v>15079</v>
      </c>
      <c r="BA1247" s="472" t="s">
        <v>4613</v>
      </c>
      <c r="BB1247" s="472" t="s">
        <v>1385</v>
      </c>
      <c r="BC1247" s="472" t="s">
        <v>1385</v>
      </c>
      <c r="BD1247" s="472" t="s">
        <v>1385</v>
      </c>
      <c r="BE1247" s="472" t="s">
        <v>1385</v>
      </c>
      <c r="BF1247" s="472">
        <v>16880.400000000001</v>
      </c>
      <c r="BG1247" s="472">
        <v>0</v>
      </c>
      <c r="BH1247" s="472" t="s">
        <v>1385</v>
      </c>
      <c r="BI1247" s="510">
        <v>0</v>
      </c>
      <c r="BJ1247" s="510">
        <v>0</v>
      </c>
      <c r="BK1247" s="510">
        <v>0</v>
      </c>
      <c r="BL1247" s="510">
        <v>0</v>
      </c>
      <c r="BM1247" s="510">
        <v>0</v>
      </c>
      <c r="BN1247" s="510">
        <v>1250</v>
      </c>
      <c r="BO1247" s="510">
        <v>0</v>
      </c>
      <c r="BP1247" s="510">
        <v>0</v>
      </c>
      <c r="BQ1247" s="510">
        <v>0</v>
      </c>
      <c r="BR1247" s="510">
        <v>0</v>
      </c>
      <c r="BS1247" s="510">
        <v>0</v>
      </c>
      <c r="BT1247" s="510">
        <v>0</v>
      </c>
      <c r="BU1247" s="510">
        <v>0</v>
      </c>
      <c r="BV1247" s="510">
        <v>0</v>
      </c>
      <c r="BW1247" s="510">
        <v>0</v>
      </c>
      <c r="BX1247" s="510">
        <v>30000</v>
      </c>
      <c r="BY1247" s="1011">
        <v>0</v>
      </c>
      <c r="BZ1247" s="510">
        <v>0</v>
      </c>
      <c r="CA1247" s="1011">
        <v>0</v>
      </c>
      <c r="CB1247" s="510">
        <v>0</v>
      </c>
      <c r="CC1247" s="1011">
        <v>0</v>
      </c>
      <c r="CD1247" s="510">
        <v>0</v>
      </c>
      <c r="CE1247" s="1011">
        <v>0</v>
      </c>
      <c r="CF1247" s="510">
        <v>37456.800000000003</v>
      </c>
      <c r="CG1247" s="1011">
        <v>0</v>
      </c>
      <c r="CH1247" s="510">
        <v>0</v>
      </c>
      <c r="CI1247" s="1011">
        <v>0</v>
      </c>
    </row>
    <row r="1248" spans="1:87" x14ac:dyDescent="0.2">
      <c r="A1248" s="449">
        <v>8</v>
      </c>
      <c r="B1248" s="453">
        <v>400050</v>
      </c>
      <c r="C1248" s="454" t="s">
        <v>10294</v>
      </c>
      <c r="D1248" s="454" t="s">
        <v>4613</v>
      </c>
      <c r="E1248" s="454" t="s">
        <v>10295</v>
      </c>
      <c r="F1248" s="454" t="s">
        <v>518</v>
      </c>
      <c r="G1248" s="454" t="s">
        <v>14380</v>
      </c>
      <c r="H1248" s="455">
        <v>8091775000121</v>
      </c>
      <c r="I1248" s="462">
        <v>38861</v>
      </c>
      <c r="J1248" s="457">
        <v>37474812</v>
      </c>
      <c r="K1248" s="454" t="s">
        <v>10297</v>
      </c>
      <c r="L1248" s="458">
        <v>67</v>
      </c>
      <c r="M1248" s="454" t="s">
        <v>10298</v>
      </c>
      <c r="N1248" s="459">
        <v>3462100</v>
      </c>
      <c r="O1248" s="460">
        <v>29169195</v>
      </c>
      <c r="P1248" s="462">
        <v>46445</v>
      </c>
      <c r="Q1248" s="462">
        <v>8</v>
      </c>
      <c r="R1248" s="462">
        <v>43943</v>
      </c>
      <c r="S1248" s="463">
        <v>125</v>
      </c>
      <c r="T1248" s="464">
        <v>3.6</v>
      </c>
      <c r="U1248" s="465">
        <v>450</v>
      </c>
      <c r="V1248" s="465">
        <v>10800</v>
      </c>
      <c r="W1248" s="466">
        <v>0</v>
      </c>
      <c r="X1248" s="467">
        <v>1</v>
      </c>
      <c r="Y1248" s="466">
        <v>16875</v>
      </c>
      <c r="Z1248" s="468" t="s">
        <v>516</v>
      </c>
      <c r="AA1248" s="466">
        <v>84346.2</v>
      </c>
      <c r="AB1248" s="466">
        <v>84346.2</v>
      </c>
      <c r="AC1248" s="467">
        <v>0</v>
      </c>
      <c r="AD1248" s="466">
        <v>0</v>
      </c>
      <c r="AE1248" s="468" t="s">
        <v>516</v>
      </c>
      <c r="AF1248" s="466">
        <v>0</v>
      </c>
      <c r="AG1248" s="466">
        <v>0</v>
      </c>
      <c r="AH1248" s="466">
        <v>18389.560000000001</v>
      </c>
      <c r="AI1248" s="466">
        <v>10803.28</v>
      </c>
      <c r="AJ1248" s="469" t="s">
        <v>2614</v>
      </c>
      <c r="AK1248" s="470" t="s">
        <v>10093</v>
      </c>
      <c r="AL1248" s="471" t="s">
        <v>10299</v>
      </c>
      <c r="AM1248" s="470" t="s">
        <v>14381</v>
      </c>
      <c r="AN1248" s="470" t="s">
        <v>10296</v>
      </c>
      <c r="AO1248" s="470" t="s">
        <v>15048</v>
      </c>
      <c r="AP1248" s="470" t="s">
        <v>10300</v>
      </c>
      <c r="AQ1248" s="470" t="s">
        <v>10294</v>
      </c>
      <c r="AR1248" s="472" t="s">
        <v>515</v>
      </c>
      <c r="AS1248" s="473" t="s">
        <v>1385</v>
      </c>
      <c r="AT1248" s="472" t="s">
        <v>4613</v>
      </c>
      <c r="AU1248" s="472" t="s">
        <v>420</v>
      </c>
      <c r="AV1248" s="472">
        <v>2020</v>
      </c>
      <c r="AW1248" s="474" t="s">
        <v>15078</v>
      </c>
      <c r="AX1248" s="475" t="s">
        <v>15079</v>
      </c>
      <c r="AY1248" s="515">
        <v>1</v>
      </c>
      <c r="AZ1248" s="474" t="s">
        <v>15079</v>
      </c>
      <c r="BA1248" s="472" t="s">
        <v>4613</v>
      </c>
      <c r="BB1248" s="472" t="s">
        <v>1385</v>
      </c>
      <c r="BC1248" s="472" t="s">
        <v>1385</v>
      </c>
      <c r="BD1248" s="472" t="s">
        <v>1385</v>
      </c>
      <c r="BE1248" s="472" t="s">
        <v>1385</v>
      </c>
      <c r="BF1248" s="472">
        <v>16875</v>
      </c>
      <c r="BG1248" s="472">
        <v>0</v>
      </c>
      <c r="BH1248" s="472" t="s">
        <v>1385</v>
      </c>
      <c r="BI1248" s="510">
        <v>0</v>
      </c>
      <c r="BJ1248" s="510">
        <v>0</v>
      </c>
      <c r="BK1248" s="510">
        <v>0</v>
      </c>
      <c r="BL1248" s="510">
        <v>0</v>
      </c>
      <c r="BM1248" s="510">
        <v>0</v>
      </c>
      <c r="BN1248" s="510">
        <v>2000</v>
      </c>
      <c r="BO1248" s="510">
        <v>0</v>
      </c>
      <c r="BP1248" s="510">
        <v>0</v>
      </c>
      <c r="BQ1248" s="510">
        <v>0</v>
      </c>
      <c r="BR1248" s="510">
        <v>0</v>
      </c>
      <c r="BS1248" s="510">
        <v>0</v>
      </c>
      <c r="BT1248" s="510">
        <v>0</v>
      </c>
      <c r="BU1248" s="510">
        <v>0</v>
      </c>
      <c r="BV1248" s="510">
        <v>0</v>
      </c>
      <c r="BW1248" s="510">
        <v>0</v>
      </c>
      <c r="BX1248" s="510">
        <v>30000</v>
      </c>
      <c r="BY1248" s="1011">
        <v>0</v>
      </c>
      <c r="BZ1248" s="510">
        <v>0</v>
      </c>
      <c r="CA1248" s="1011">
        <v>0</v>
      </c>
      <c r="CB1248" s="510">
        <v>0</v>
      </c>
      <c r="CC1248" s="1011">
        <v>0</v>
      </c>
      <c r="CD1248" s="510">
        <v>0</v>
      </c>
      <c r="CE1248" s="1011">
        <v>0</v>
      </c>
      <c r="CF1248" s="510">
        <v>37471.199999999997</v>
      </c>
      <c r="CG1248" s="1011">
        <v>0</v>
      </c>
      <c r="CH1248" s="510">
        <v>0</v>
      </c>
      <c r="CI1248" s="1011">
        <v>0</v>
      </c>
    </row>
    <row r="1249" spans="1:87" x14ac:dyDescent="0.2">
      <c r="A1249" s="449">
        <v>4</v>
      </c>
      <c r="B1249" s="453">
        <v>400051</v>
      </c>
      <c r="C1249" s="454" t="s">
        <v>10301</v>
      </c>
      <c r="D1249" s="454" t="s">
        <v>4613</v>
      </c>
      <c r="E1249" s="454" t="s">
        <v>10302</v>
      </c>
      <c r="F1249" s="454" t="s">
        <v>524</v>
      </c>
      <c r="G1249" s="454" t="s">
        <v>14382</v>
      </c>
      <c r="H1249" s="455">
        <v>8307132000172</v>
      </c>
      <c r="I1249" s="462">
        <v>38912</v>
      </c>
      <c r="J1249" s="457">
        <v>37498800</v>
      </c>
      <c r="K1249" s="454" t="s">
        <v>10303</v>
      </c>
      <c r="L1249" s="458">
        <v>740</v>
      </c>
      <c r="M1249" s="454" t="s">
        <v>2339</v>
      </c>
      <c r="N1249" s="459">
        <v>3150020</v>
      </c>
      <c r="O1249" s="460">
        <v>23470846</v>
      </c>
      <c r="P1249" s="462">
        <v>199438</v>
      </c>
      <c r="Q1249" s="462">
        <v>5</v>
      </c>
      <c r="R1249" s="462">
        <v>43906</v>
      </c>
      <c r="S1249" s="463">
        <v>40</v>
      </c>
      <c r="T1249" s="464">
        <v>3.6</v>
      </c>
      <c r="U1249" s="465">
        <v>144</v>
      </c>
      <c r="V1249" s="465">
        <v>10800</v>
      </c>
      <c r="W1249" s="466">
        <v>0</v>
      </c>
      <c r="X1249" s="467">
        <v>1</v>
      </c>
      <c r="Y1249" s="466">
        <v>16416</v>
      </c>
      <c r="Z1249" s="468" t="s">
        <v>516</v>
      </c>
      <c r="AA1249" s="466">
        <v>83304</v>
      </c>
      <c r="AB1249" s="466">
        <v>83304</v>
      </c>
      <c r="AC1249" s="467">
        <v>0</v>
      </c>
      <c r="AD1249" s="466">
        <v>0</v>
      </c>
      <c r="AE1249" s="468" t="s">
        <v>516</v>
      </c>
      <c r="AF1249" s="466">
        <v>0</v>
      </c>
      <c r="AG1249" s="466">
        <v>0</v>
      </c>
      <c r="AH1249" s="466">
        <v>23649.58</v>
      </c>
      <c r="AI1249" s="466">
        <v>5472</v>
      </c>
      <c r="AJ1249" s="469" t="s">
        <v>6985</v>
      </c>
      <c r="AK1249" s="470" t="s">
        <v>6986</v>
      </c>
      <c r="AL1249" s="471" t="s">
        <v>10304</v>
      </c>
      <c r="AM1249" s="470" t="s">
        <v>15087</v>
      </c>
      <c r="AN1249" s="470" t="s">
        <v>10305</v>
      </c>
      <c r="AO1249" s="470" t="s">
        <v>10306</v>
      </c>
      <c r="AP1249" s="470" t="s">
        <v>10307</v>
      </c>
      <c r="AQ1249" s="470" t="s">
        <v>10301</v>
      </c>
      <c r="AR1249" s="472" t="s">
        <v>515</v>
      </c>
      <c r="AS1249" s="473" t="s">
        <v>1385</v>
      </c>
      <c r="AT1249" s="472" t="s">
        <v>4613</v>
      </c>
      <c r="AU1249" s="472" t="s">
        <v>420</v>
      </c>
      <c r="AV1249" s="472">
        <v>2020</v>
      </c>
      <c r="AW1249" s="474" t="s">
        <v>15078</v>
      </c>
      <c r="AX1249" s="475" t="s">
        <v>15079</v>
      </c>
      <c r="AY1249" s="515">
        <v>1</v>
      </c>
      <c r="AZ1249" s="474" t="s">
        <v>15079</v>
      </c>
      <c r="BA1249" s="472" t="s">
        <v>4613</v>
      </c>
      <c r="BB1249" s="472" t="s">
        <v>1385</v>
      </c>
      <c r="BC1249" s="472" t="s">
        <v>1385</v>
      </c>
      <c r="BD1249" s="472" t="s">
        <v>1385</v>
      </c>
      <c r="BE1249" s="472" t="s">
        <v>1385</v>
      </c>
      <c r="BF1249" s="472">
        <v>16416</v>
      </c>
      <c r="BG1249" s="472">
        <v>0</v>
      </c>
      <c r="BH1249" s="472" t="s">
        <v>1385</v>
      </c>
      <c r="BI1249" s="510">
        <v>0</v>
      </c>
      <c r="BJ1249" s="510">
        <v>0</v>
      </c>
      <c r="BK1249" s="510">
        <v>0</v>
      </c>
      <c r="BL1249" s="510">
        <v>0</v>
      </c>
      <c r="BM1249" s="510">
        <v>0</v>
      </c>
      <c r="BN1249" s="510">
        <v>1500</v>
      </c>
      <c r="BO1249" s="510">
        <v>0</v>
      </c>
      <c r="BP1249" s="510">
        <v>0</v>
      </c>
      <c r="BQ1249" s="510">
        <v>0</v>
      </c>
      <c r="BR1249" s="510">
        <v>0</v>
      </c>
      <c r="BS1249" s="510">
        <v>0</v>
      </c>
      <c r="BT1249" s="510">
        <v>0</v>
      </c>
      <c r="BU1249" s="510">
        <v>0</v>
      </c>
      <c r="BV1249" s="510">
        <v>0</v>
      </c>
      <c r="BW1249" s="510">
        <v>0</v>
      </c>
      <c r="BX1249" s="510">
        <v>30000</v>
      </c>
      <c r="BY1249" s="1011">
        <v>0</v>
      </c>
      <c r="BZ1249" s="510">
        <v>0</v>
      </c>
      <c r="CA1249" s="1011">
        <v>0</v>
      </c>
      <c r="CB1249" s="510">
        <v>0</v>
      </c>
      <c r="CC1249" s="1011">
        <v>0</v>
      </c>
      <c r="CD1249" s="510">
        <v>0</v>
      </c>
      <c r="CE1249" s="1011">
        <v>0</v>
      </c>
      <c r="CF1249" s="510">
        <v>36888</v>
      </c>
      <c r="CG1249" s="1011">
        <v>0</v>
      </c>
      <c r="CH1249" s="510">
        <v>0</v>
      </c>
      <c r="CI1249" s="1011">
        <v>0</v>
      </c>
    </row>
    <row r="1250" spans="1:87" x14ac:dyDescent="0.2">
      <c r="A1250" s="449">
        <v>6</v>
      </c>
      <c r="B1250" s="453">
        <v>400052</v>
      </c>
      <c r="C1250" s="454" t="s">
        <v>10308</v>
      </c>
      <c r="D1250" s="454" t="s">
        <v>4613</v>
      </c>
      <c r="E1250" s="454" t="s">
        <v>10309</v>
      </c>
      <c r="F1250" s="454" t="s">
        <v>521</v>
      </c>
      <c r="G1250" s="454" t="s">
        <v>14383</v>
      </c>
      <c r="H1250" s="455">
        <v>7339176000111</v>
      </c>
      <c r="I1250" s="462">
        <v>38119</v>
      </c>
      <c r="J1250" s="457">
        <v>37552651</v>
      </c>
      <c r="K1250" s="454" t="s">
        <v>10310</v>
      </c>
      <c r="L1250" s="458">
        <v>23</v>
      </c>
      <c r="M1250" s="454" t="s">
        <v>3226</v>
      </c>
      <c r="N1250" s="459">
        <v>4810010</v>
      </c>
      <c r="O1250" s="460">
        <v>56661685</v>
      </c>
      <c r="P1250" s="462">
        <v>91025</v>
      </c>
      <c r="Q1250" s="462">
        <v>5</v>
      </c>
      <c r="R1250" s="462">
        <v>43934</v>
      </c>
      <c r="S1250" s="463">
        <v>84</v>
      </c>
      <c r="T1250" s="464">
        <v>3.6</v>
      </c>
      <c r="U1250" s="465">
        <v>302.39999999999998</v>
      </c>
      <c r="V1250" s="465">
        <v>10800</v>
      </c>
      <c r="W1250" s="466">
        <v>0</v>
      </c>
      <c r="X1250" s="467">
        <v>1</v>
      </c>
      <c r="Y1250" s="466">
        <v>16653.599999999999</v>
      </c>
      <c r="Z1250" s="468" t="s">
        <v>516</v>
      </c>
      <c r="AA1250" s="466">
        <v>83851.199999999997</v>
      </c>
      <c r="AB1250" s="466">
        <v>83851.199999999997</v>
      </c>
      <c r="AC1250" s="467">
        <v>0</v>
      </c>
      <c r="AD1250" s="466">
        <v>0</v>
      </c>
      <c r="AE1250" s="468" t="s">
        <v>516</v>
      </c>
      <c r="AF1250" s="466">
        <v>0</v>
      </c>
      <c r="AG1250" s="466">
        <v>0</v>
      </c>
      <c r="AH1250" s="466">
        <v>13996.72</v>
      </c>
      <c r="AI1250" s="466">
        <v>7125.01</v>
      </c>
      <c r="AJ1250" s="469" t="s">
        <v>1624</v>
      </c>
      <c r="AK1250" s="470" t="s">
        <v>1625</v>
      </c>
      <c r="AL1250" s="471" t="s">
        <v>10311</v>
      </c>
      <c r="AM1250" s="470" t="s">
        <v>10312</v>
      </c>
      <c r="AN1250" s="470" t="s">
        <v>1385</v>
      </c>
      <c r="AO1250" s="470" t="s">
        <v>14384</v>
      </c>
      <c r="AP1250" s="470" t="s">
        <v>10313</v>
      </c>
      <c r="AQ1250" s="470" t="s">
        <v>10308</v>
      </c>
      <c r="AR1250" s="472" t="s">
        <v>515</v>
      </c>
      <c r="AS1250" s="473" t="s">
        <v>1385</v>
      </c>
      <c r="AT1250" s="472" t="s">
        <v>4613</v>
      </c>
      <c r="AU1250" s="472" t="s">
        <v>420</v>
      </c>
      <c r="AV1250" s="472">
        <v>2020</v>
      </c>
      <c r="AW1250" s="474" t="s">
        <v>15078</v>
      </c>
      <c r="AX1250" s="475" t="s">
        <v>15079</v>
      </c>
      <c r="AY1250" s="515">
        <v>1</v>
      </c>
      <c r="AZ1250" s="474" t="s">
        <v>15079</v>
      </c>
      <c r="BA1250" s="472" t="s">
        <v>4613</v>
      </c>
      <c r="BB1250" s="472" t="s">
        <v>1385</v>
      </c>
      <c r="BC1250" s="472" t="s">
        <v>1385</v>
      </c>
      <c r="BD1250" s="472" t="s">
        <v>1385</v>
      </c>
      <c r="BE1250" s="472" t="s">
        <v>1385</v>
      </c>
      <c r="BF1250" s="472">
        <v>16653.599999999999</v>
      </c>
      <c r="BG1250" s="472">
        <v>0</v>
      </c>
      <c r="BH1250" s="472" t="s">
        <v>1385</v>
      </c>
      <c r="BI1250" s="510">
        <v>0</v>
      </c>
      <c r="BJ1250" s="510">
        <v>0</v>
      </c>
      <c r="BK1250" s="510">
        <v>0</v>
      </c>
      <c r="BL1250" s="510">
        <v>0</v>
      </c>
      <c r="BM1250" s="510">
        <v>0</v>
      </c>
      <c r="BN1250" s="510">
        <v>1500</v>
      </c>
      <c r="BO1250" s="510">
        <v>0</v>
      </c>
      <c r="BP1250" s="510">
        <v>0</v>
      </c>
      <c r="BQ1250" s="510">
        <v>0</v>
      </c>
      <c r="BR1250" s="510">
        <v>0</v>
      </c>
      <c r="BS1250" s="510">
        <v>0</v>
      </c>
      <c r="BT1250" s="510">
        <v>0</v>
      </c>
      <c r="BU1250" s="510">
        <v>0</v>
      </c>
      <c r="BV1250" s="510">
        <v>0</v>
      </c>
      <c r="BW1250" s="510">
        <v>0</v>
      </c>
      <c r="BX1250" s="510">
        <v>30000</v>
      </c>
      <c r="BY1250" s="1011">
        <v>0</v>
      </c>
      <c r="BZ1250" s="510">
        <v>0</v>
      </c>
      <c r="CA1250" s="1011">
        <v>0</v>
      </c>
      <c r="CB1250" s="510">
        <v>0</v>
      </c>
      <c r="CC1250" s="1011">
        <v>0</v>
      </c>
      <c r="CD1250" s="510">
        <v>0</v>
      </c>
      <c r="CE1250" s="1011">
        <v>0</v>
      </c>
      <c r="CF1250" s="510">
        <v>37197.599999999999</v>
      </c>
      <c r="CG1250" s="1011">
        <v>0</v>
      </c>
      <c r="CH1250" s="510">
        <v>0</v>
      </c>
      <c r="CI1250" s="1011">
        <v>0</v>
      </c>
    </row>
    <row r="1251" spans="1:87" x14ac:dyDescent="0.2">
      <c r="A1251" s="449">
        <v>6</v>
      </c>
      <c r="B1251" s="453">
        <v>400053</v>
      </c>
      <c r="C1251" s="454" t="s">
        <v>10314</v>
      </c>
      <c r="D1251" s="454" t="s">
        <v>4613</v>
      </c>
      <c r="E1251" s="454" t="s">
        <v>10315</v>
      </c>
      <c r="F1251" s="454" t="s">
        <v>523</v>
      </c>
      <c r="G1251" s="454" t="s">
        <v>14385</v>
      </c>
      <c r="H1251" s="455">
        <v>8266410000190</v>
      </c>
      <c r="I1251" s="462">
        <v>38929</v>
      </c>
      <c r="J1251" s="457">
        <v>35622946</v>
      </c>
      <c r="K1251" s="454" t="s">
        <v>10317</v>
      </c>
      <c r="L1251" s="458">
        <v>216</v>
      </c>
      <c r="M1251" s="454" t="s">
        <v>3472</v>
      </c>
      <c r="N1251" s="459">
        <v>8460230</v>
      </c>
      <c r="O1251" s="460">
        <v>25579956</v>
      </c>
      <c r="P1251" s="462">
        <v>267344</v>
      </c>
      <c r="Q1251" s="462">
        <v>6</v>
      </c>
      <c r="R1251" s="462">
        <v>43921</v>
      </c>
      <c r="S1251" s="463">
        <v>128</v>
      </c>
      <c r="T1251" s="464">
        <v>3.6</v>
      </c>
      <c r="U1251" s="465">
        <v>460.8</v>
      </c>
      <c r="V1251" s="465">
        <v>10800</v>
      </c>
      <c r="W1251" s="466">
        <v>0</v>
      </c>
      <c r="X1251" s="467">
        <v>1</v>
      </c>
      <c r="Y1251" s="466">
        <v>16891.2</v>
      </c>
      <c r="Z1251" s="468" t="s">
        <v>516</v>
      </c>
      <c r="AA1251" s="466">
        <v>84333.6</v>
      </c>
      <c r="AB1251" s="466">
        <v>84333.6</v>
      </c>
      <c r="AC1251" s="467">
        <v>0</v>
      </c>
      <c r="AD1251" s="466">
        <v>0</v>
      </c>
      <c r="AE1251" s="468" t="s">
        <v>516</v>
      </c>
      <c r="AF1251" s="466">
        <v>0</v>
      </c>
      <c r="AG1251" s="466">
        <v>0</v>
      </c>
      <c r="AH1251" s="466">
        <v>23844.240000000002</v>
      </c>
      <c r="AI1251" s="466">
        <v>72.930000000000007</v>
      </c>
      <c r="AJ1251" s="469" t="s">
        <v>1395</v>
      </c>
      <c r="AK1251" s="470" t="s">
        <v>523</v>
      </c>
      <c r="AL1251" s="471" t="s">
        <v>10318</v>
      </c>
      <c r="AM1251" s="470" t="s">
        <v>10319</v>
      </c>
      <c r="AN1251" s="470" t="s">
        <v>10316</v>
      </c>
      <c r="AO1251" s="470" t="s">
        <v>14386</v>
      </c>
      <c r="AP1251" s="470" t="s">
        <v>10320</v>
      </c>
      <c r="AQ1251" s="470" t="s">
        <v>10314</v>
      </c>
      <c r="AR1251" s="472" t="s">
        <v>515</v>
      </c>
      <c r="AS1251" s="473" t="s">
        <v>1385</v>
      </c>
      <c r="AT1251" s="472" t="s">
        <v>4613</v>
      </c>
      <c r="AU1251" s="472" t="s">
        <v>420</v>
      </c>
      <c r="AV1251" s="472">
        <v>2020</v>
      </c>
      <c r="AW1251" s="474" t="s">
        <v>15078</v>
      </c>
      <c r="AX1251" s="475" t="s">
        <v>15079</v>
      </c>
      <c r="AY1251" s="515">
        <v>1</v>
      </c>
      <c r="AZ1251" s="474" t="s">
        <v>15079</v>
      </c>
      <c r="BA1251" s="472" t="s">
        <v>4613</v>
      </c>
      <c r="BB1251" s="472" t="s">
        <v>1385</v>
      </c>
      <c r="BC1251" s="472" t="s">
        <v>1385</v>
      </c>
      <c r="BD1251" s="472" t="s">
        <v>1385</v>
      </c>
      <c r="BE1251" s="472" t="s">
        <v>1385</v>
      </c>
      <c r="BF1251" s="472">
        <v>16891.2</v>
      </c>
      <c r="BG1251" s="472">
        <v>0</v>
      </c>
      <c r="BH1251" s="472" t="s">
        <v>1385</v>
      </c>
      <c r="BI1251" s="510">
        <v>0</v>
      </c>
      <c r="BJ1251" s="510">
        <v>0</v>
      </c>
      <c r="BK1251" s="510">
        <v>0</v>
      </c>
      <c r="BL1251" s="510">
        <v>0</v>
      </c>
      <c r="BM1251" s="510">
        <v>0</v>
      </c>
      <c r="BN1251" s="510">
        <v>2000</v>
      </c>
      <c r="BO1251" s="510">
        <v>0</v>
      </c>
      <c r="BP1251" s="510">
        <v>0</v>
      </c>
      <c r="BQ1251" s="510">
        <v>0</v>
      </c>
      <c r="BR1251" s="510">
        <v>0</v>
      </c>
      <c r="BS1251" s="510">
        <v>0</v>
      </c>
      <c r="BT1251" s="510">
        <v>0</v>
      </c>
      <c r="BU1251" s="510">
        <v>0</v>
      </c>
      <c r="BV1251" s="510">
        <v>0</v>
      </c>
      <c r="BW1251" s="510">
        <v>0</v>
      </c>
      <c r="BX1251" s="510">
        <v>30000</v>
      </c>
      <c r="BY1251" s="1011">
        <v>0</v>
      </c>
      <c r="BZ1251" s="510">
        <v>0</v>
      </c>
      <c r="CA1251" s="1011">
        <v>0</v>
      </c>
      <c r="CB1251" s="510">
        <v>0</v>
      </c>
      <c r="CC1251" s="1011">
        <v>0</v>
      </c>
      <c r="CD1251" s="510">
        <v>0</v>
      </c>
      <c r="CE1251" s="1011">
        <v>0</v>
      </c>
      <c r="CF1251" s="510">
        <v>37442.400000000001</v>
      </c>
      <c r="CG1251" s="1011">
        <v>0</v>
      </c>
      <c r="CH1251" s="510">
        <v>0</v>
      </c>
      <c r="CI1251" s="1011">
        <v>0</v>
      </c>
    </row>
    <row r="1252" spans="1:87" x14ac:dyDescent="0.2">
      <c r="A1252" s="449">
        <v>6</v>
      </c>
      <c r="B1252" s="453">
        <v>400054</v>
      </c>
      <c r="C1252" s="454" t="s">
        <v>10321</v>
      </c>
      <c r="D1252" s="454" t="s">
        <v>4613</v>
      </c>
      <c r="E1252" s="454" t="s">
        <v>10321</v>
      </c>
      <c r="F1252" s="454" t="s">
        <v>520</v>
      </c>
      <c r="G1252" s="454" t="s">
        <v>14387</v>
      </c>
      <c r="H1252" s="455">
        <v>8876160000100</v>
      </c>
      <c r="I1252" s="462">
        <v>39171</v>
      </c>
      <c r="J1252" s="457">
        <v>37621440</v>
      </c>
      <c r="K1252" s="454" t="s">
        <v>7376</v>
      </c>
      <c r="L1252" s="458">
        <v>300</v>
      </c>
      <c r="M1252" s="454" t="s">
        <v>1812</v>
      </c>
      <c r="N1252" s="459">
        <v>5850270</v>
      </c>
      <c r="O1252" s="460">
        <v>58335671</v>
      </c>
      <c r="P1252" s="462">
        <v>291466</v>
      </c>
      <c r="Q1252" s="462">
        <v>6</v>
      </c>
      <c r="R1252" s="462">
        <v>43969</v>
      </c>
      <c r="S1252" s="463">
        <v>87</v>
      </c>
      <c r="T1252" s="464">
        <v>3.6</v>
      </c>
      <c r="U1252" s="465">
        <v>313.2</v>
      </c>
      <c r="V1252" s="465">
        <v>10800</v>
      </c>
      <c r="W1252" s="466">
        <v>0</v>
      </c>
      <c r="X1252" s="467">
        <v>1</v>
      </c>
      <c r="Y1252" s="466">
        <v>16669.8</v>
      </c>
      <c r="Z1252" s="468" t="s">
        <v>516</v>
      </c>
      <c r="AA1252" s="466">
        <v>83860.2</v>
      </c>
      <c r="AB1252" s="466">
        <v>83860.2</v>
      </c>
      <c r="AC1252" s="467">
        <v>0</v>
      </c>
      <c r="AD1252" s="466">
        <v>0</v>
      </c>
      <c r="AE1252" s="468" t="s">
        <v>516</v>
      </c>
      <c r="AF1252" s="466">
        <v>0</v>
      </c>
      <c r="AG1252" s="466">
        <v>0</v>
      </c>
      <c r="AH1252" s="466">
        <v>970.6</v>
      </c>
      <c r="AI1252" s="466">
        <v>1302.08</v>
      </c>
      <c r="AJ1252" s="469" t="s">
        <v>1515</v>
      </c>
      <c r="AK1252" s="470" t="s">
        <v>1516</v>
      </c>
      <c r="AL1252" s="471" t="s">
        <v>10323</v>
      </c>
      <c r="AM1252" s="470" t="s">
        <v>10324</v>
      </c>
      <c r="AN1252" s="470" t="s">
        <v>10322</v>
      </c>
      <c r="AO1252" s="470" t="s">
        <v>10325</v>
      </c>
      <c r="AP1252" s="470" t="s">
        <v>10326</v>
      </c>
      <c r="AQ1252" s="470" t="s">
        <v>10321</v>
      </c>
      <c r="AR1252" s="472" t="s">
        <v>515</v>
      </c>
      <c r="AS1252" s="473" t="s">
        <v>1385</v>
      </c>
      <c r="AT1252" s="472" t="s">
        <v>4613</v>
      </c>
      <c r="AU1252" s="472" t="s">
        <v>420</v>
      </c>
      <c r="AV1252" s="472">
        <v>2020</v>
      </c>
      <c r="AW1252" s="474" t="s">
        <v>15078</v>
      </c>
      <c r="AX1252" s="475" t="s">
        <v>15079</v>
      </c>
      <c r="AY1252" s="515">
        <v>1</v>
      </c>
      <c r="AZ1252" s="474" t="s">
        <v>15079</v>
      </c>
      <c r="BA1252" s="472" t="s">
        <v>4613</v>
      </c>
      <c r="BB1252" s="472" t="s">
        <v>1385</v>
      </c>
      <c r="BC1252" s="472" t="s">
        <v>1385</v>
      </c>
      <c r="BD1252" s="472" t="s">
        <v>1385</v>
      </c>
      <c r="BE1252" s="472" t="s">
        <v>1385</v>
      </c>
      <c r="BF1252" s="472">
        <v>16669.8</v>
      </c>
      <c r="BG1252" s="472">
        <v>0</v>
      </c>
      <c r="BH1252" s="472" t="s">
        <v>1385</v>
      </c>
      <c r="BI1252" s="510">
        <v>0</v>
      </c>
      <c r="BJ1252" s="510">
        <v>0</v>
      </c>
      <c r="BK1252" s="510">
        <v>0</v>
      </c>
      <c r="BL1252" s="510">
        <v>0</v>
      </c>
      <c r="BM1252" s="510">
        <v>0</v>
      </c>
      <c r="BN1252" s="510">
        <v>1500</v>
      </c>
      <c r="BO1252" s="510">
        <v>0</v>
      </c>
      <c r="BP1252" s="510">
        <v>0</v>
      </c>
      <c r="BQ1252" s="510">
        <v>0</v>
      </c>
      <c r="BR1252" s="510">
        <v>0</v>
      </c>
      <c r="BS1252" s="510">
        <v>0</v>
      </c>
      <c r="BT1252" s="510">
        <v>0</v>
      </c>
      <c r="BU1252" s="510">
        <v>0</v>
      </c>
      <c r="BV1252" s="510">
        <v>0</v>
      </c>
      <c r="BW1252" s="510">
        <v>0</v>
      </c>
      <c r="BX1252" s="510">
        <v>30000</v>
      </c>
      <c r="BY1252" s="1011">
        <v>0</v>
      </c>
      <c r="BZ1252" s="510">
        <v>0</v>
      </c>
      <c r="CA1252" s="1011">
        <v>0</v>
      </c>
      <c r="CB1252" s="510">
        <v>0</v>
      </c>
      <c r="CC1252" s="1011">
        <v>0</v>
      </c>
      <c r="CD1252" s="510">
        <v>0</v>
      </c>
      <c r="CE1252" s="1011">
        <v>0</v>
      </c>
      <c r="CF1252" s="510">
        <v>37190.400000000001</v>
      </c>
      <c r="CG1252" s="1011">
        <v>0</v>
      </c>
      <c r="CH1252" s="510">
        <v>0</v>
      </c>
      <c r="CI1252" s="1011">
        <v>0</v>
      </c>
    </row>
    <row r="1253" spans="1:87" x14ac:dyDescent="0.2">
      <c r="A1253" s="449">
        <v>4</v>
      </c>
      <c r="B1253" s="453">
        <v>400055</v>
      </c>
      <c r="C1253" s="454" t="s">
        <v>10327</v>
      </c>
      <c r="D1253" s="454" t="s">
        <v>4613</v>
      </c>
      <c r="E1253" s="454" t="s">
        <v>10328</v>
      </c>
      <c r="F1253" s="454" t="s">
        <v>529</v>
      </c>
      <c r="G1253" s="454" t="s">
        <v>14388</v>
      </c>
      <c r="H1253" s="455">
        <v>7462657000110</v>
      </c>
      <c r="I1253" s="462">
        <v>38138</v>
      </c>
      <c r="J1253" s="457">
        <v>37523953</v>
      </c>
      <c r="K1253" s="454" t="s">
        <v>10329</v>
      </c>
      <c r="L1253" s="458">
        <v>56</v>
      </c>
      <c r="M1253" s="454" t="s">
        <v>3864</v>
      </c>
      <c r="N1253" s="459">
        <v>4324240</v>
      </c>
      <c r="O1253" s="460">
        <v>55880087</v>
      </c>
      <c r="P1253" s="462">
        <v>563148</v>
      </c>
      <c r="Q1253" s="462">
        <v>6</v>
      </c>
      <c r="R1253" s="462">
        <v>43921</v>
      </c>
      <c r="S1253" s="463">
        <v>129</v>
      </c>
      <c r="T1253" s="464">
        <v>3.6</v>
      </c>
      <c r="U1253" s="465">
        <v>464.4</v>
      </c>
      <c r="V1253" s="465">
        <v>10800</v>
      </c>
      <c r="W1253" s="466">
        <v>0</v>
      </c>
      <c r="X1253" s="467">
        <v>1</v>
      </c>
      <c r="Y1253" s="466">
        <v>16896.599999999999</v>
      </c>
      <c r="Z1253" s="468" t="s">
        <v>516</v>
      </c>
      <c r="AA1253" s="466">
        <v>84454.2</v>
      </c>
      <c r="AB1253" s="466">
        <v>84454.2</v>
      </c>
      <c r="AC1253" s="467">
        <v>0</v>
      </c>
      <c r="AD1253" s="466">
        <v>0</v>
      </c>
      <c r="AE1253" s="468" t="s">
        <v>516</v>
      </c>
      <c r="AF1253" s="466">
        <v>0</v>
      </c>
      <c r="AG1253" s="466">
        <v>0</v>
      </c>
      <c r="AH1253" s="466">
        <v>6125.92</v>
      </c>
      <c r="AI1253" s="466">
        <v>82.2</v>
      </c>
      <c r="AJ1253" s="469" t="s">
        <v>3879</v>
      </c>
      <c r="AK1253" s="470" t="s">
        <v>3864</v>
      </c>
      <c r="AL1253" s="471" t="s">
        <v>10330</v>
      </c>
      <c r="AM1253" s="470" t="s">
        <v>10331</v>
      </c>
      <c r="AN1253" s="470" t="s">
        <v>14388</v>
      </c>
      <c r="AO1253" s="470" t="s">
        <v>10332</v>
      </c>
      <c r="AP1253" s="470" t="s">
        <v>10333</v>
      </c>
      <c r="AQ1253" s="470" t="s">
        <v>10327</v>
      </c>
      <c r="AR1253" s="472" t="s">
        <v>515</v>
      </c>
      <c r="AS1253" s="473" t="s">
        <v>1385</v>
      </c>
      <c r="AT1253" s="472" t="s">
        <v>4613</v>
      </c>
      <c r="AU1253" s="472" t="s">
        <v>420</v>
      </c>
      <c r="AV1253" s="472">
        <v>2020</v>
      </c>
      <c r="AW1253" s="474" t="s">
        <v>15078</v>
      </c>
      <c r="AX1253" s="475" t="s">
        <v>15079</v>
      </c>
      <c r="AY1253" s="515">
        <v>1</v>
      </c>
      <c r="AZ1253" s="474" t="s">
        <v>15079</v>
      </c>
      <c r="BA1253" s="472" t="s">
        <v>4613</v>
      </c>
      <c r="BB1253" s="472" t="s">
        <v>1385</v>
      </c>
      <c r="BC1253" s="472" t="s">
        <v>1385</v>
      </c>
      <c r="BD1253" s="472" t="s">
        <v>1385</v>
      </c>
      <c r="BE1253" s="472" t="s">
        <v>1385</v>
      </c>
      <c r="BF1253" s="472">
        <v>16896.599999999999</v>
      </c>
      <c r="BG1253" s="472">
        <v>0</v>
      </c>
      <c r="BH1253" s="472" t="s">
        <v>1385</v>
      </c>
      <c r="BI1253" s="510">
        <v>0</v>
      </c>
      <c r="BJ1253" s="510">
        <v>0</v>
      </c>
      <c r="BK1253" s="510">
        <v>0</v>
      </c>
      <c r="BL1253" s="510">
        <v>0</v>
      </c>
      <c r="BM1253" s="510">
        <v>0</v>
      </c>
      <c r="BN1253" s="510">
        <v>2000</v>
      </c>
      <c r="BO1253" s="510">
        <v>0</v>
      </c>
      <c r="BP1253" s="510">
        <v>0</v>
      </c>
      <c r="BQ1253" s="510">
        <v>0</v>
      </c>
      <c r="BR1253" s="510">
        <v>0</v>
      </c>
      <c r="BS1253" s="510">
        <v>0</v>
      </c>
      <c r="BT1253" s="510">
        <v>0</v>
      </c>
      <c r="BU1253" s="510">
        <v>0</v>
      </c>
      <c r="BV1253" s="510">
        <v>0</v>
      </c>
      <c r="BW1253" s="510">
        <v>0</v>
      </c>
      <c r="BX1253" s="510">
        <v>30000</v>
      </c>
      <c r="BY1253" s="1011">
        <v>0</v>
      </c>
      <c r="BZ1253" s="510">
        <v>0</v>
      </c>
      <c r="CA1253" s="1011">
        <v>0</v>
      </c>
      <c r="CB1253" s="510">
        <v>0</v>
      </c>
      <c r="CC1253" s="1011">
        <v>0</v>
      </c>
      <c r="CD1253" s="510">
        <v>0</v>
      </c>
      <c r="CE1253" s="1011">
        <v>0</v>
      </c>
      <c r="CF1253" s="510">
        <v>37557.599999999999</v>
      </c>
      <c r="CG1253" s="1011">
        <v>0</v>
      </c>
      <c r="CH1253" s="510">
        <v>0</v>
      </c>
      <c r="CI1253" s="1011">
        <v>0</v>
      </c>
    </row>
    <row r="1254" spans="1:87" x14ac:dyDescent="0.2">
      <c r="A1254" s="449">
        <v>7</v>
      </c>
      <c r="B1254" s="453">
        <v>400056</v>
      </c>
      <c r="C1254" s="454" t="s">
        <v>10334</v>
      </c>
      <c r="D1254" s="454" t="s">
        <v>4613</v>
      </c>
      <c r="E1254" s="454" t="s">
        <v>10335</v>
      </c>
      <c r="F1254" s="454" t="s">
        <v>526</v>
      </c>
      <c r="G1254" s="454" t="s">
        <v>14389</v>
      </c>
      <c r="H1254" s="455">
        <v>8314944000145</v>
      </c>
      <c r="I1254" s="462">
        <v>38974</v>
      </c>
      <c r="J1254" s="457">
        <v>37536907</v>
      </c>
      <c r="K1254" s="454" t="s">
        <v>10336</v>
      </c>
      <c r="L1254" s="458">
        <v>61</v>
      </c>
      <c r="M1254" s="454" t="s">
        <v>2799</v>
      </c>
      <c r="N1254" s="459">
        <v>8090460</v>
      </c>
      <c r="O1254" s="460">
        <v>25813962</v>
      </c>
      <c r="P1254" s="462">
        <v>139311</v>
      </c>
      <c r="Q1254" s="462">
        <v>7</v>
      </c>
      <c r="R1254" s="462">
        <v>43928</v>
      </c>
      <c r="S1254" s="463">
        <v>127</v>
      </c>
      <c r="T1254" s="464">
        <v>3.6</v>
      </c>
      <c r="U1254" s="465">
        <v>457.2</v>
      </c>
      <c r="V1254" s="465">
        <v>10800</v>
      </c>
      <c r="W1254" s="466">
        <v>0</v>
      </c>
      <c r="X1254" s="467">
        <v>1</v>
      </c>
      <c r="Y1254" s="466">
        <v>16885.8</v>
      </c>
      <c r="Z1254" s="468" t="s">
        <v>516</v>
      </c>
      <c r="AA1254" s="466">
        <v>85371.4</v>
      </c>
      <c r="AB1254" s="466">
        <v>85371.4</v>
      </c>
      <c r="AC1254" s="467">
        <v>0</v>
      </c>
      <c r="AD1254" s="466">
        <v>0</v>
      </c>
      <c r="AE1254" s="468" t="s">
        <v>516</v>
      </c>
      <c r="AF1254" s="466">
        <v>1000</v>
      </c>
      <c r="AG1254" s="466">
        <v>1000</v>
      </c>
      <c r="AH1254" s="466">
        <v>3358.4</v>
      </c>
      <c r="AI1254" s="466">
        <v>0</v>
      </c>
      <c r="AJ1254" s="469" t="s">
        <v>1839</v>
      </c>
      <c r="AK1254" s="470" t="s">
        <v>526</v>
      </c>
      <c r="AL1254" s="471" t="s">
        <v>10337</v>
      </c>
      <c r="AM1254" s="470" t="s">
        <v>10338</v>
      </c>
      <c r="AN1254" s="470" t="s">
        <v>1385</v>
      </c>
      <c r="AO1254" s="470" t="s">
        <v>14390</v>
      </c>
      <c r="AP1254" s="470" t="s">
        <v>10339</v>
      </c>
      <c r="AQ1254" s="470" t="s">
        <v>10334</v>
      </c>
      <c r="AR1254" s="472" t="s">
        <v>515</v>
      </c>
      <c r="AS1254" s="473" t="s">
        <v>1385</v>
      </c>
      <c r="AT1254" s="472" t="s">
        <v>4613</v>
      </c>
      <c r="AU1254" s="472" t="s">
        <v>420</v>
      </c>
      <c r="AV1254" s="472">
        <v>2020</v>
      </c>
      <c r="AW1254" s="474" t="s">
        <v>15078</v>
      </c>
      <c r="AX1254" s="475" t="s">
        <v>15079</v>
      </c>
      <c r="AY1254" s="515">
        <v>1</v>
      </c>
      <c r="AZ1254" s="474" t="s">
        <v>15079</v>
      </c>
      <c r="BA1254" s="472" t="s">
        <v>4613</v>
      </c>
      <c r="BB1254" s="472" t="s">
        <v>1385</v>
      </c>
      <c r="BC1254" s="472" t="s">
        <v>1385</v>
      </c>
      <c r="BD1254" s="472" t="s">
        <v>1385</v>
      </c>
      <c r="BE1254" s="472" t="s">
        <v>1385</v>
      </c>
      <c r="BF1254" s="472">
        <v>16885.8</v>
      </c>
      <c r="BG1254" s="472">
        <v>0</v>
      </c>
      <c r="BH1254" s="472" t="s">
        <v>1385</v>
      </c>
      <c r="BI1254" s="510">
        <v>0</v>
      </c>
      <c r="BJ1254" s="510">
        <v>0</v>
      </c>
      <c r="BK1254" s="510">
        <v>0</v>
      </c>
      <c r="BL1254" s="510">
        <v>0</v>
      </c>
      <c r="BM1254" s="510">
        <v>0</v>
      </c>
      <c r="BN1254" s="510">
        <v>2000</v>
      </c>
      <c r="BO1254" s="510">
        <v>1000</v>
      </c>
      <c r="BP1254" s="510">
        <v>1000</v>
      </c>
      <c r="BQ1254" s="510">
        <v>0</v>
      </c>
      <c r="BR1254" s="510">
        <v>0</v>
      </c>
      <c r="BS1254" s="510">
        <v>0</v>
      </c>
      <c r="BT1254" s="510">
        <v>0</v>
      </c>
      <c r="BU1254" s="510">
        <v>0</v>
      </c>
      <c r="BV1254" s="510">
        <v>0</v>
      </c>
      <c r="BW1254" s="510">
        <v>0</v>
      </c>
      <c r="BX1254" s="510">
        <v>30000</v>
      </c>
      <c r="BY1254" s="1011">
        <v>0</v>
      </c>
      <c r="BZ1254" s="510">
        <v>0</v>
      </c>
      <c r="CA1254" s="1011">
        <v>0</v>
      </c>
      <c r="CB1254" s="510">
        <v>0</v>
      </c>
      <c r="CC1254" s="1011">
        <v>0</v>
      </c>
      <c r="CD1254" s="510">
        <v>0</v>
      </c>
      <c r="CE1254" s="1011">
        <v>0</v>
      </c>
      <c r="CF1254" s="510">
        <v>37485.599999999999</v>
      </c>
      <c r="CG1254" s="1011">
        <v>0</v>
      </c>
      <c r="CH1254" s="510">
        <v>0</v>
      </c>
      <c r="CI1254" s="1011">
        <v>0</v>
      </c>
    </row>
    <row r="1255" spans="1:87" x14ac:dyDescent="0.2">
      <c r="A1255" s="449">
        <v>8</v>
      </c>
      <c r="B1255" s="453">
        <v>400057</v>
      </c>
      <c r="C1255" s="454" t="s">
        <v>10340</v>
      </c>
      <c r="D1255" s="454" t="s">
        <v>4613</v>
      </c>
      <c r="E1255" s="454" t="s">
        <v>10341</v>
      </c>
      <c r="F1255" s="454" t="s">
        <v>526</v>
      </c>
      <c r="G1255" s="454" t="s">
        <v>14391</v>
      </c>
      <c r="H1255" s="455">
        <v>8371224000111</v>
      </c>
      <c r="I1255" s="462">
        <v>38987</v>
      </c>
      <c r="J1255" s="457">
        <v>37531123</v>
      </c>
      <c r="K1255" s="454" t="s">
        <v>7999</v>
      </c>
      <c r="L1255" s="458">
        <v>19</v>
      </c>
      <c r="M1255" s="454" t="s">
        <v>10342</v>
      </c>
      <c r="N1255" s="459">
        <v>8190000</v>
      </c>
      <c r="O1255" s="460">
        <v>25866007</v>
      </c>
      <c r="P1255" s="462">
        <v>132457</v>
      </c>
      <c r="Q1255" s="462">
        <v>8</v>
      </c>
      <c r="R1255" s="462">
        <v>43928</v>
      </c>
      <c r="S1255" s="463">
        <v>96</v>
      </c>
      <c r="T1255" s="464">
        <v>3.6</v>
      </c>
      <c r="U1255" s="465">
        <v>345.6</v>
      </c>
      <c r="V1255" s="465">
        <v>10800</v>
      </c>
      <c r="W1255" s="466">
        <v>0</v>
      </c>
      <c r="X1255" s="467">
        <v>1</v>
      </c>
      <c r="Y1255" s="466">
        <v>16718.400000000001</v>
      </c>
      <c r="Z1255" s="468" t="s">
        <v>516</v>
      </c>
      <c r="AA1255" s="466">
        <v>83959.2</v>
      </c>
      <c r="AB1255" s="466">
        <v>83959.2</v>
      </c>
      <c r="AC1255" s="467">
        <v>0</v>
      </c>
      <c r="AD1255" s="466">
        <v>0</v>
      </c>
      <c r="AE1255" s="468" t="s">
        <v>516</v>
      </c>
      <c r="AF1255" s="466">
        <v>0</v>
      </c>
      <c r="AG1255" s="466">
        <v>0</v>
      </c>
      <c r="AH1255" s="466">
        <v>23796.79</v>
      </c>
      <c r="AI1255" s="466">
        <v>0</v>
      </c>
      <c r="AJ1255" s="469" t="s">
        <v>1410</v>
      </c>
      <c r="AK1255" s="470" t="s">
        <v>1411</v>
      </c>
      <c r="AL1255" s="471" t="s">
        <v>10343</v>
      </c>
      <c r="AM1255" s="470" t="s">
        <v>10344</v>
      </c>
      <c r="AN1255" s="470" t="s">
        <v>1385</v>
      </c>
      <c r="AO1255" s="470" t="s">
        <v>10345</v>
      </c>
      <c r="AP1255" s="470" t="s">
        <v>10346</v>
      </c>
      <c r="AQ1255" s="470" t="s">
        <v>10340</v>
      </c>
      <c r="AR1255" s="472" t="s">
        <v>515</v>
      </c>
      <c r="AS1255" s="473" t="s">
        <v>1385</v>
      </c>
      <c r="AT1255" s="472" t="s">
        <v>4613</v>
      </c>
      <c r="AU1255" s="472" t="s">
        <v>420</v>
      </c>
      <c r="AV1255" s="472">
        <v>2020</v>
      </c>
      <c r="AW1255" s="474" t="s">
        <v>15078</v>
      </c>
      <c r="AX1255" s="475" t="s">
        <v>15079</v>
      </c>
      <c r="AY1255" s="515">
        <v>1</v>
      </c>
      <c r="AZ1255" s="474" t="s">
        <v>15079</v>
      </c>
      <c r="BA1255" s="472" t="s">
        <v>4613</v>
      </c>
      <c r="BB1255" s="472" t="s">
        <v>1385</v>
      </c>
      <c r="BC1255" s="472" t="s">
        <v>1385</v>
      </c>
      <c r="BD1255" s="472" t="s">
        <v>1385</v>
      </c>
      <c r="BE1255" s="472" t="s">
        <v>1385</v>
      </c>
      <c r="BF1255" s="472">
        <v>16718.400000000001</v>
      </c>
      <c r="BG1255" s="472">
        <v>0</v>
      </c>
      <c r="BH1255" s="472" t="s">
        <v>1385</v>
      </c>
      <c r="BI1255" s="510">
        <v>0</v>
      </c>
      <c r="BJ1255" s="510">
        <v>0</v>
      </c>
      <c r="BK1255" s="510">
        <v>0</v>
      </c>
      <c r="BL1255" s="510">
        <v>0</v>
      </c>
      <c r="BM1255" s="510">
        <v>0</v>
      </c>
      <c r="BN1255" s="510">
        <v>750</v>
      </c>
      <c r="BO1255" s="510">
        <v>0</v>
      </c>
      <c r="BP1255" s="510">
        <v>0</v>
      </c>
      <c r="BQ1255" s="510">
        <v>0</v>
      </c>
      <c r="BR1255" s="510">
        <v>0</v>
      </c>
      <c r="BS1255" s="510">
        <v>0</v>
      </c>
      <c r="BT1255" s="510">
        <v>0</v>
      </c>
      <c r="BU1255" s="510">
        <v>0</v>
      </c>
      <c r="BV1255" s="510">
        <v>0</v>
      </c>
      <c r="BW1255" s="510">
        <v>0</v>
      </c>
      <c r="BX1255" s="510">
        <v>30000</v>
      </c>
      <c r="BY1255" s="1011">
        <v>0</v>
      </c>
      <c r="BZ1255" s="510">
        <v>0</v>
      </c>
      <c r="CA1255" s="1011">
        <v>0</v>
      </c>
      <c r="CB1255" s="510">
        <v>0</v>
      </c>
      <c r="CC1255" s="1011">
        <v>0</v>
      </c>
      <c r="CD1255" s="510">
        <v>0</v>
      </c>
      <c r="CE1255" s="1011">
        <v>0</v>
      </c>
      <c r="CF1255" s="510">
        <v>37240.800000000003</v>
      </c>
      <c r="CG1255" s="1011">
        <v>0</v>
      </c>
      <c r="CH1255" s="510">
        <v>0</v>
      </c>
      <c r="CI1255" s="1011">
        <v>0</v>
      </c>
    </row>
    <row r="1256" spans="1:87" x14ac:dyDescent="0.2">
      <c r="A1256" s="449">
        <v>5</v>
      </c>
      <c r="B1256" s="453">
        <v>400058</v>
      </c>
      <c r="C1256" s="454" t="s">
        <v>10347</v>
      </c>
      <c r="D1256" s="454" t="s">
        <v>4613</v>
      </c>
      <c r="E1256" s="454" t="s">
        <v>10348</v>
      </c>
      <c r="F1256" s="454" t="s">
        <v>528</v>
      </c>
      <c r="G1256" s="454" t="s">
        <v>14392</v>
      </c>
      <c r="H1256" s="455">
        <v>8381631000100</v>
      </c>
      <c r="I1256" s="462">
        <v>38660</v>
      </c>
      <c r="J1256" s="457">
        <v>37375717</v>
      </c>
      <c r="K1256" s="454" t="s">
        <v>10350</v>
      </c>
      <c r="L1256" s="458">
        <v>80</v>
      </c>
      <c r="M1256" s="454" t="s">
        <v>4463</v>
      </c>
      <c r="N1256" s="459">
        <v>5269010</v>
      </c>
      <c r="O1256" s="460">
        <v>39166007</v>
      </c>
      <c r="P1256" s="462">
        <v>209891</v>
      </c>
      <c r="Q1256" s="462">
        <v>5</v>
      </c>
      <c r="R1256" s="462">
        <v>43938</v>
      </c>
      <c r="S1256" s="463">
        <v>144</v>
      </c>
      <c r="T1256" s="464">
        <v>3.6</v>
      </c>
      <c r="U1256" s="465">
        <v>518.4</v>
      </c>
      <c r="V1256" s="465">
        <v>10800</v>
      </c>
      <c r="W1256" s="466">
        <v>0</v>
      </c>
      <c r="X1256" s="467">
        <v>1</v>
      </c>
      <c r="Y1256" s="466">
        <v>16977.599999999999</v>
      </c>
      <c r="Z1256" s="468" t="s">
        <v>516</v>
      </c>
      <c r="AA1256" s="466">
        <v>84607.2</v>
      </c>
      <c r="AB1256" s="466">
        <v>84607.2</v>
      </c>
      <c r="AC1256" s="467">
        <v>0</v>
      </c>
      <c r="AD1256" s="466">
        <v>0</v>
      </c>
      <c r="AE1256" s="468" t="s">
        <v>516</v>
      </c>
      <c r="AF1256" s="466">
        <v>0</v>
      </c>
      <c r="AG1256" s="466">
        <v>0</v>
      </c>
      <c r="AH1256" s="466">
        <v>2187.69</v>
      </c>
      <c r="AI1256" s="466">
        <v>6080.06</v>
      </c>
      <c r="AJ1256" s="469" t="s">
        <v>2242</v>
      </c>
      <c r="AK1256" s="470" t="s">
        <v>2241</v>
      </c>
      <c r="AL1256" s="471" t="s">
        <v>10351</v>
      </c>
      <c r="AM1256" s="470" t="s">
        <v>14393</v>
      </c>
      <c r="AN1256" s="470" t="s">
        <v>10349</v>
      </c>
      <c r="AO1256" s="470" t="s">
        <v>14394</v>
      </c>
      <c r="AP1256" s="470" t="s">
        <v>10352</v>
      </c>
      <c r="AQ1256" s="470" t="s">
        <v>10347</v>
      </c>
      <c r="AR1256" s="472" t="s">
        <v>515</v>
      </c>
      <c r="AS1256" s="473" t="s">
        <v>1385</v>
      </c>
      <c r="AT1256" s="472" t="s">
        <v>4613</v>
      </c>
      <c r="AU1256" s="472" t="s">
        <v>420</v>
      </c>
      <c r="AV1256" s="472">
        <v>2020</v>
      </c>
      <c r="AW1256" s="474" t="s">
        <v>15078</v>
      </c>
      <c r="AX1256" s="475" t="s">
        <v>15079</v>
      </c>
      <c r="AY1256" s="515">
        <v>1</v>
      </c>
      <c r="AZ1256" s="474" t="s">
        <v>15079</v>
      </c>
      <c r="BA1256" s="472" t="s">
        <v>4613</v>
      </c>
      <c r="BB1256" s="472" t="s">
        <v>1385</v>
      </c>
      <c r="BC1256" s="472" t="s">
        <v>1385</v>
      </c>
      <c r="BD1256" s="472" t="s">
        <v>1385</v>
      </c>
      <c r="BE1256" s="472" t="s">
        <v>1385</v>
      </c>
      <c r="BF1256" s="472">
        <v>16977.599999999999</v>
      </c>
      <c r="BG1256" s="472">
        <v>0</v>
      </c>
      <c r="BH1256" s="472" t="s">
        <v>1385</v>
      </c>
      <c r="BI1256" s="510">
        <v>0</v>
      </c>
      <c r="BJ1256" s="510">
        <v>0</v>
      </c>
      <c r="BK1256" s="510">
        <v>0</v>
      </c>
      <c r="BL1256" s="510">
        <v>0</v>
      </c>
      <c r="BM1256" s="510">
        <v>0</v>
      </c>
      <c r="BN1256" s="510">
        <v>2000</v>
      </c>
      <c r="BO1256" s="510">
        <v>0</v>
      </c>
      <c r="BP1256" s="510">
        <v>0</v>
      </c>
      <c r="BQ1256" s="510">
        <v>0</v>
      </c>
      <c r="BR1256" s="510">
        <v>0</v>
      </c>
      <c r="BS1256" s="510">
        <v>0</v>
      </c>
      <c r="BT1256" s="510">
        <v>0</v>
      </c>
      <c r="BU1256" s="510">
        <v>0</v>
      </c>
      <c r="BV1256" s="510">
        <v>0</v>
      </c>
      <c r="BW1256" s="510">
        <v>0</v>
      </c>
      <c r="BX1256" s="510">
        <v>30000</v>
      </c>
      <c r="BY1256" s="1011">
        <v>0</v>
      </c>
      <c r="BZ1256" s="510">
        <v>0</v>
      </c>
      <c r="CA1256" s="1011">
        <v>0</v>
      </c>
      <c r="CB1256" s="510">
        <v>0</v>
      </c>
      <c r="CC1256" s="1011">
        <v>0</v>
      </c>
      <c r="CD1256" s="510">
        <v>0</v>
      </c>
      <c r="CE1256" s="1011">
        <v>0</v>
      </c>
      <c r="CF1256" s="510">
        <v>37629.599999999999</v>
      </c>
      <c r="CG1256" s="1011">
        <v>0</v>
      </c>
      <c r="CH1256" s="510">
        <v>0</v>
      </c>
      <c r="CI1256" s="1011">
        <v>0</v>
      </c>
    </row>
    <row r="1257" spans="1:87" x14ac:dyDescent="0.2">
      <c r="A1257" s="449">
        <v>7</v>
      </c>
      <c r="B1257" s="453">
        <v>400059</v>
      </c>
      <c r="C1257" s="454" t="s">
        <v>10353</v>
      </c>
      <c r="D1257" s="454" t="s">
        <v>4613</v>
      </c>
      <c r="E1257" s="454" t="s">
        <v>10354</v>
      </c>
      <c r="F1257" s="454" t="s">
        <v>523</v>
      </c>
      <c r="G1257" s="454" t="s">
        <v>14395</v>
      </c>
      <c r="H1257" s="455">
        <v>7053215000110</v>
      </c>
      <c r="I1257" s="462">
        <v>38261</v>
      </c>
      <c r="J1257" s="457">
        <v>38089670</v>
      </c>
      <c r="K1257" s="454" t="s">
        <v>10355</v>
      </c>
      <c r="L1257" s="458">
        <v>225</v>
      </c>
      <c r="M1257" s="454" t="s">
        <v>1950</v>
      </c>
      <c r="N1257" s="459">
        <v>8472610</v>
      </c>
      <c r="O1257" s="460">
        <v>25555905</v>
      </c>
      <c r="P1257" s="462">
        <v>267352</v>
      </c>
      <c r="Q1257" s="462">
        <v>7</v>
      </c>
      <c r="R1257" s="462">
        <v>43921</v>
      </c>
      <c r="S1257" s="463">
        <v>118</v>
      </c>
      <c r="T1257" s="464">
        <v>3.6</v>
      </c>
      <c r="U1257" s="465">
        <v>424.8</v>
      </c>
      <c r="V1257" s="465">
        <v>10800</v>
      </c>
      <c r="W1257" s="466">
        <v>0</v>
      </c>
      <c r="X1257" s="467">
        <v>1</v>
      </c>
      <c r="Y1257" s="466">
        <v>16837.2</v>
      </c>
      <c r="Z1257" s="468" t="s">
        <v>516</v>
      </c>
      <c r="AA1257" s="466">
        <v>84207.6</v>
      </c>
      <c r="AB1257" s="466">
        <v>84207.6</v>
      </c>
      <c r="AC1257" s="467">
        <v>0</v>
      </c>
      <c r="AD1257" s="466">
        <v>0</v>
      </c>
      <c r="AE1257" s="468" t="s">
        <v>516</v>
      </c>
      <c r="AF1257" s="466">
        <v>0</v>
      </c>
      <c r="AG1257" s="466">
        <v>0</v>
      </c>
      <c r="AH1257" s="466">
        <v>10441.31</v>
      </c>
      <c r="AI1257" s="466">
        <v>3097.04</v>
      </c>
      <c r="AJ1257" s="469" t="s">
        <v>1395</v>
      </c>
      <c r="AK1257" s="470" t="s">
        <v>523</v>
      </c>
      <c r="AL1257" s="471" t="s">
        <v>10356</v>
      </c>
      <c r="AM1257" s="470" t="s">
        <v>10357</v>
      </c>
      <c r="AN1257" s="470" t="s">
        <v>10358</v>
      </c>
      <c r="AO1257" s="470" t="s">
        <v>10359</v>
      </c>
      <c r="AP1257" s="470" t="s">
        <v>3233</v>
      </c>
      <c r="AQ1257" s="470" t="s">
        <v>10353</v>
      </c>
      <c r="AR1257" s="472" t="s">
        <v>515</v>
      </c>
      <c r="AS1257" s="473" t="s">
        <v>1385</v>
      </c>
      <c r="AT1257" s="472" t="s">
        <v>4613</v>
      </c>
      <c r="AU1257" s="472" t="s">
        <v>420</v>
      </c>
      <c r="AV1257" s="472">
        <v>2020</v>
      </c>
      <c r="AW1257" s="474" t="s">
        <v>15078</v>
      </c>
      <c r="AX1257" s="475" t="s">
        <v>15079</v>
      </c>
      <c r="AY1257" s="515">
        <v>1</v>
      </c>
      <c r="AZ1257" s="474" t="s">
        <v>15079</v>
      </c>
      <c r="BA1257" s="472" t="s">
        <v>4613</v>
      </c>
      <c r="BB1257" s="472" t="s">
        <v>1385</v>
      </c>
      <c r="BC1257" s="472" t="s">
        <v>1385</v>
      </c>
      <c r="BD1257" s="472" t="s">
        <v>1385</v>
      </c>
      <c r="BE1257" s="472" t="s">
        <v>1385</v>
      </c>
      <c r="BF1257" s="472">
        <v>16837.2</v>
      </c>
      <c r="BG1257" s="472">
        <v>0</v>
      </c>
      <c r="BH1257" s="472" t="s">
        <v>1385</v>
      </c>
      <c r="BI1257" s="510">
        <v>0</v>
      </c>
      <c r="BJ1257" s="510">
        <v>0</v>
      </c>
      <c r="BK1257" s="510">
        <v>0</v>
      </c>
      <c r="BL1257" s="510">
        <v>0</v>
      </c>
      <c r="BM1257" s="510">
        <v>0</v>
      </c>
      <c r="BN1257" s="510">
        <v>2000</v>
      </c>
      <c r="BO1257" s="510">
        <v>0</v>
      </c>
      <c r="BP1257" s="510">
        <v>0</v>
      </c>
      <c r="BQ1257" s="510">
        <v>0</v>
      </c>
      <c r="BR1257" s="510">
        <v>0</v>
      </c>
      <c r="BS1257" s="510">
        <v>0</v>
      </c>
      <c r="BT1257" s="510">
        <v>0</v>
      </c>
      <c r="BU1257" s="510">
        <v>0</v>
      </c>
      <c r="BV1257" s="510">
        <v>0</v>
      </c>
      <c r="BW1257" s="510">
        <v>0</v>
      </c>
      <c r="BX1257" s="510">
        <v>30000</v>
      </c>
      <c r="BY1257" s="1011">
        <v>0</v>
      </c>
      <c r="BZ1257" s="510">
        <v>0</v>
      </c>
      <c r="CA1257" s="1011">
        <v>0</v>
      </c>
      <c r="CB1257" s="510">
        <v>0</v>
      </c>
      <c r="CC1257" s="1011">
        <v>0</v>
      </c>
      <c r="CD1257" s="510">
        <v>0</v>
      </c>
      <c r="CE1257" s="1011">
        <v>0</v>
      </c>
      <c r="CF1257" s="510">
        <v>37370.400000000001</v>
      </c>
      <c r="CG1257" s="1011">
        <v>0</v>
      </c>
      <c r="CH1257" s="510">
        <v>0</v>
      </c>
      <c r="CI1257" s="1011">
        <v>0</v>
      </c>
    </row>
    <row r="1258" spans="1:87" x14ac:dyDescent="0.2">
      <c r="A1258" s="449">
        <v>7</v>
      </c>
      <c r="B1258" s="453">
        <v>400060</v>
      </c>
      <c r="C1258" s="454" t="s">
        <v>10360</v>
      </c>
      <c r="D1258" s="454" t="s">
        <v>4613</v>
      </c>
      <c r="E1258" s="454" t="s">
        <v>10361</v>
      </c>
      <c r="F1258" s="454" t="s">
        <v>524</v>
      </c>
      <c r="G1258" s="454" t="s">
        <v>14396</v>
      </c>
      <c r="H1258" s="455">
        <v>9185474000120</v>
      </c>
      <c r="I1258" s="462">
        <v>39346</v>
      </c>
      <c r="J1258" s="457">
        <v>37499378</v>
      </c>
      <c r="K1258" s="454" t="s">
        <v>10362</v>
      </c>
      <c r="L1258" s="458">
        <v>10</v>
      </c>
      <c r="M1258" s="454" t="s">
        <v>10363</v>
      </c>
      <c r="N1258" s="459">
        <v>4173150</v>
      </c>
      <c r="O1258" s="460">
        <v>23355064</v>
      </c>
      <c r="P1258" s="462">
        <v>209166</v>
      </c>
      <c r="Q1258" s="462">
        <v>9</v>
      </c>
      <c r="R1258" s="462">
        <v>43906</v>
      </c>
      <c r="S1258" s="463">
        <v>155</v>
      </c>
      <c r="T1258" s="464">
        <v>3.6</v>
      </c>
      <c r="U1258" s="465">
        <v>558</v>
      </c>
      <c r="V1258" s="465">
        <v>10800</v>
      </c>
      <c r="W1258" s="466">
        <v>0</v>
      </c>
      <c r="X1258" s="467">
        <v>1</v>
      </c>
      <c r="Y1258" s="466">
        <v>17037</v>
      </c>
      <c r="Z1258" s="468" t="s">
        <v>516</v>
      </c>
      <c r="AA1258" s="466">
        <v>84760.2</v>
      </c>
      <c r="AB1258" s="466">
        <v>84760.2</v>
      </c>
      <c r="AC1258" s="467">
        <v>0</v>
      </c>
      <c r="AD1258" s="466">
        <v>0</v>
      </c>
      <c r="AE1258" s="468" t="s">
        <v>516</v>
      </c>
      <c r="AF1258" s="466">
        <v>0</v>
      </c>
      <c r="AG1258" s="466">
        <v>0</v>
      </c>
      <c r="AH1258" s="466">
        <v>22512.09</v>
      </c>
      <c r="AI1258" s="466">
        <v>6938.86</v>
      </c>
      <c r="AJ1258" s="469" t="s">
        <v>2511</v>
      </c>
      <c r="AK1258" s="470" t="s">
        <v>2512</v>
      </c>
      <c r="AL1258" s="471" t="s">
        <v>10364</v>
      </c>
      <c r="AM1258" s="470" t="s">
        <v>15090</v>
      </c>
      <c r="AN1258" s="470" t="s">
        <v>14397</v>
      </c>
      <c r="AO1258" s="470" t="s">
        <v>14398</v>
      </c>
      <c r="AP1258" s="470" t="s">
        <v>10365</v>
      </c>
      <c r="AQ1258" s="470" t="s">
        <v>10360</v>
      </c>
      <c r="AR1258" s="472" t="s">
        <v>515</v>
      </c>
      <c r="AS1258" s="473" t="s">
        <v>1385</v>
      </c>
      <c r="AT1258" s="472" t="s">
        <v>4613</v>
      </c>
      <c r="AU1258" s="472" t="s">
        <v>420</v>
      </c>
      <c r="AV1258" s="472">
        <v>2020</v>
      </c>
      <c r="AW1258" s="474" t="s">
        <v>15078</v>
      </c>
      <c r="AX1258" s="475" t="s">
        <v>15079</v>
      </c>
      <c r="AY1258" s="515">
        <v>1</v>
      </c>
      <c r="AZ1258" s="474" t="s">
        <v>15079</v>
      </c>
      <c r="BA1258" s="472" t="s">
        <v>4613</v>
      </c>
      <c r="BB1258" s="472" t="s">
        <v>1385</v>
      </c>
      <c r="BC1258" s="472" t="s">
        <v>1385</v>
      </c>
      <c r="BD1258" s="472" t="s">
        <v>1385</v>
      </c>
      <c r="BE1258" s="472" t="s">
        <v>1385</v>
      </c>
      <c r="BF1258" s="472">
        <v>17037</v>
      </c>
      <c r="BG1258" s="472">
        <v>0</v>
      </c>
      <c r="BH1258" s="472" t="s">
        <v>1385</v>
      </c>
      <c r="BI1258" s="510">
        <v>0</v>
      </c>
      <c r="BJ1258" s="510">
        <v>0</v>
      </c>
      <c r="BK1258" s="510">
        <v>0</v>
      </c>
      <c r="BL1258" s="510">
        <v>0</v>
      </c>
      <c r="BM1258" s="510">
        <v>0</v>
      </c>
      <c r="BN1258" s="510">
        <v>2000</v>
      </c>
      <c r="BO1258" s="510">
        <v>0</v>
      </c>
      <c r="BP1258" s="510">
        <v>0</v>
      </c>
      <c r="BQ1258" s="510">
        <v>0</v>
      </c>
      <c r="BR1258" s="510">
        <v>0</v>
      </c>
      <c r="BS1258" s="510">
        <v>0</v>
      </c>
      <c r="BT1258" s="510">
        <v>0</v>
      </c>
      <c r="BU1258" s="510">
        <v>0</v>
      </c>
      <c r="BV1258" s="510">
        <v>0</v>
      </c>
      <c r="BW1258" s="510">
        <v>0</v>
      </c>
      <c r="BX1258" s="510">
        <v>30000</v>
      </c>
      <c r="BY1258" s="1011">
        <v>0</v>
      </c>
      <c r="BZ1258" s="510">
        <v>0</v>
      </c>
      <c r="CA1258" s="1011">
        <v>0</v>
      </c>
      <c r="CB1258" s="510">
        <v>0</v>
      </c>
      <c r="CC1258" s="1011">
        <v>0</v>
      </c>
      <c r="CD1258" s="510">
        <v>0</v>
      </c>
      <c r="CE1258" s="1011">
        <v>0</v>
      </c>
      <c r="CF1258" s="510">
        <v>37723.199999999997</v>
      </c>
      <c r="CG1258" s="1011">
        <v>0</v>
      </c>
      <c r="CH1258" s="510">
        <v>0</v>
      </c>
      <c r="CI1258" s="1011">
        <v>0</v>
      </c>
    </row>
    <row r="1259" spans="1:87" x14ac:dyDescent="0.2">
      <c r="A1259" s="449">
        <v>10</v>
      </c>
      <c r="B1259" s="453">
        <v>400061</v>
      </c>
      <c r="C1259" s="454" t="s">
        <v>10366</v>
      </c>
      <c r="D1259" s="454" t="s">
        <v>4613</v>
      </c>
      <c r="E1259" s="454" t="s">
        <v>10367</v>
      </c>
      <c r="F1259" s="454" t="s">
        <v>518</v>
      </c>
      <c r="G1259" s="454" t="s">
        <v>14399</v>
      </c>
      <c r="H1259" s="455">
        <v>7875497000130</v>
      </c>
      <c r="I1259" s="462">
        <v>38756</v>
      </c>
      <c r="J1259" s="457">
        <v>37470868</v>
      </c>
      <c r="K1259" s="454" t="s">
        <v>5780</v>
      </c>
      <c r="L1259" s="458">
        <v>198</v>
      </c>
      <c r="M1259" s="454" t="s">
        <v>518</v>
      </c>
      <c r="N1259" s="459">
        <v>8253110</v>
      </c>
      <c r="O1259" s="460">
        <v>25216327</v>
      </c>
      <c r="P1259" s="462">
        <v>46500</v>
      </c>
      <c r="Q1259" s="462">
        <v>10</v>
      </c>
      <c r="R1259" s="462">
        <v>43943</v>
      </c>
      <c r="S1259" s="463">
        <v>121</v>
      </c>
      <c r="T1259" s="464">
        <v>3.6</v>
      </c>
      <c r="U1259" s="465">
        <v>435.6</v>
      </c>
      <c r="V1259" s="465">
        <v>10800</v>
      </c>
      <c r="W1259" s="466">
        <v>0</v>
      </c>
      <c r="X1259" s="467">
        <v>1</v>
      </c>
      <c r="Y1259" s="466">
        <v>16853.400000000001</v>
      </c>
      <c r="Z1259" s="468" t="s">
        <v>516</v>
      </c>
      <c r="AA1259" s="466">
        <v>84245.4</v>
      </c>
      <c r="AB1259" s="466">
        <v>84245.4</v>
      </c>
      <c r="AC1259" s="467">
        <v>0</v>
      </c>
      <c r="AD1259" s="466">
        <v>0</v>
      </c>
      <c r="AE1259" s="468" t="s">
        <v>516</v>
      </c>
      <c r="AF1259" s="466">
        <v>0</v>
      </c>
      <c r="AG1259" s="466">
        <v>0</v>
      </c>
      <c r="AH1259" s="466">
        <v>16522.5</v>
      </c>
      <c r="AI1259" s="466">
        <v>60</v>
      </c>
      <c r="AJ1259" s="469" t="s">
        <v>1674</v>
      </c>
      <c r="AK1259" s="470" t="s">
        <v>518</v>
      </c>
      <c r="AL1259" s="471" t="s">
        <v>10369</v>
      </c>
      <c r="AM1259" s="470" t="s">
        <v>10370</v>
      </c>
      <c r="AN1259" s="470" t="s">
        <v>10368</v>
      </c>
      <c r="AO1259" s="470" t="s">
        <v>15049</v>
      </c>
      <c r="AP1259" s="470" t="s">
        <v>10371</v>
      </c>
      <c r="AQ1259" s="470" t="s">
        <v>10366</v>
      </c>
      <c r="AR1259" s="472" t="s">
        <v>515</v>
      </c>
      <c r="AS1259" s="473" t="s">
        <v>1385</v>
      </c>
      <c r="AT1259" s="472" t="s">
        <v>4613</v>
      </c>
      <c r="AU1259" s="472" t="s">
        <v>420</v>
      </c>
      <c r="AV1259" s="472">
        <v>2020</v>
      </c>
      <c r="AW1259" s="474" t="s">
        <v>15078</v>
      </c>
      <c r="AX1259" s="475" t="s">
        <v>15079</v>
      </c>
      <c r="AY1259" s="515">
        <v>1</v>
      </c>
      <c r="AZ1259" s="474" t="s">
        <v>15079</v>
      </c>
      <c r="BA1259" s="472" t="s">
        <v>4613</v>
      </c>
      <c r="BB1259" s="472" t="s">
        <v>1385</v>
      </c>
      <c r="BC1259" s="472" t="s">
        <v>1385</v>
      </c>
      <c r="BD1259" s="472" t="s">
        <v>1385</v>
      </c>
      <c r="BE1259" s="472" t="s">
        <v>1385</v>
      </c>
      <c r="BF1259" s="472">
        <v>16853.400000000001</v>
      </c>
      <c r="BG1259" s="472">
        <v>0</v>
      </c>
      <c r="BH1259" s="472" t="s">
        <v>1385</v>
      </c>
      <c r="BI1259" s="510">
        <v>0</v>
      </c>
      <c r="BJ1259" s="510">
        <v>0</v>
      </c>
      <c r="BK1259" s="510">
        <v>0</v>
      </c>
      <c r="BL1259" s="510">
        <v>0</v>
      </c>
      <c r="BM1259" s="510">
        <v>0</v>
      </c>
      <c r="BN1259" s="510">
        <v>2000</v>
      </c>
      <c r="BO1259" s="510">
        <v>0</v>
      </c>
      <c r="BP1259" s="510">
        <v>0</v>
      </c>
      <c r="BQ1259" s="510">
        <v>0</v>
      </c>
      <c r="BR1259" s="510">
        <v>0</v>
      </c>
      <c r="BS1259" s="510">
        <v>0</v>
      </c>
      <c r="BT1259" s="510">
        <v>0</v>
      </c>
      <c r="BU1259" s="510">
        <v>0</v>
      </c>
      <c r="BV1259" s="510">
        <v>0</v>
      </c>
      <c r="BW1259" s="510">
        <v>0</v>
      </c>
      <c r="BX1259" s="510">
        <v>30000</v>
      </c>
      <c r="BY1259" s="1011">
        <v>0</v>
      </c>
      <c r="BZ1259" s="510">
        <v>0</v>
      </c>
      <c r="CA1259" s="1011">
        <v>0</v>
      </c>
      <c r="CB1259" s="510">
        <v>0</v>
      </c>
      <c r="CC1259" s="1011">
        <v>0</v>
      </c>
      <c r="CD1259" s="510">
        <v>0</v>
      </c>
      <c r="CE1259" s="1011">
        <v>0</v>
      </c>
      <c r="CF1259" s="510">
        <v>37392</v>
      </c>
      <c r="CG1259" s="1011">
        <v>0</v>
      </c>
      <c r="CH1259" s="510">
        <v>0</v>
      </c>
      <c r="CI1259" s="1011">
        <v>0</v>
      </c>
    </row>
    <row r="1260" spans="1:87" x14ac:dyDescent="0.2">
      <c r="A1260" s="449">
        <v>6</v>
      </c>
      <c r="B1260" s="453">
        <v>400062</v>
      </c>
      <c r="C1260" s="454" t="s">
        <v>10372</v>
      </c>
      <c r="D1260" s="454" t="s">
        <v>4613</v>
      </c>
      <c r="E1260" s="454" t="s">
        <v>10373</v>
      </c>
      <c r="F1260" s="454" t="s">
        <v>528</v>
      </c>
      <c r="G1260" s="454" t="s">
        <v>14400</v>
      </c>
      <c r="H1260" s="455">
        <v>8211111000159</v>
      </c>
      <c r="I1260" s="462">
        <v>38915</v>
      </c>
      <c r="J1260" s="457">
        <v>37375679</v>
      </c>
      <c r="K1260" s="454" t="s">
        <v>10374</v>
      </c>
      <c r="L1260" s="458" t="s">
        <v>1446</v>
      </c>
      <c r="M1260" s="454" t="s">
        <v>2241</v>
      </c>
      <c r="N1260" s="459">
        <v>5206110</v>
      </c>
      <c r="O1260" s="460">
        <v>39171448</v>
      </c>
      <c r="P1260" s="462">
        <v>276343</v>
      </c>
      <c r="Q1260" s="462">
        <v>6</v>
      </c>
      <c r="R1260" s="462">
        <v>43938</v>
      </c>
      <c r="S1260" s="463">
        <v>83</v>
      </c>
      <c r="T1260" s="464">
        <v>3.6</v>
      </c>
      <c r="U1260" s="465">
        <v>298.8</v>
      </c>
      <c r="V1260" s="465">
        <v>10800</v>
      </c>
      <c r="W1260" s="466">
        <v>0</v>
      </c>
      <c r="X1260" s="467">
        <v>1</v>
      </c>
      <c r="Y1260" s="466">
        <v>16648.2</v>
      </c>
      <c r="Z1260" s="468" t="s">
        <v>516</v>
      </c>
      <c r="AA1260" s="466">
        <v>83853</v>
      </c>
      <c r="AB1260" s="466">
        <v>83853</v>
      </c>
      <c r="AC1260" s="467">
        <v>0</v>
      </c>
      <c r="AD1260" s="466">
        <v>0</v>
      </c>
      <c r="AE1260" s="468" t="s">
        <v>516</v>
      </c>
      <c r="AF1260" s="466">
        <v>0</v>
      </c>
      <c r="AG1260" s="466">
        <v>0</v>
      </c>
      <c r="AH1260" s="466">
        <v>8431.17</v>
      </c>
      <c r="AI1260" s="466">
        <v>4914.96</v>
      </c>
      <c r="AJ1260" s="469" t="s">
        <v>2242</v>
      </c>
      <c r="AK1260" s="470" t="s">
        <v>2241</v>
      </c>
      <c r="AL1260" s="471" t="s">
        <v>10375</v>
      </c>
      <c r="AM1260" s="470" t="s">
        <v>14401</v>
      </c>
      <c r="AN1260" s="470" t="s">
        <v>10376</v>
      </c>
      <c r="AO1260" s="470" t="s">
        <v>10377</v>
      </c>
      <c r="AP1260" s="470" t="s">
        <v>10378</v>
      </c>
      <c r="AQ1260" s="470" t="s">
        <v>10372</v>
      </c>
      <c r="AR1260" s="472" t="s">
        <v>515</v>
      </c>
      <c r="AS1260" s="473" t="s">
        <v>1385</v>
      </c>
      <c r="AT1260" s="472" t="s">
        <v>4613</v>
      </c>
      <c r="AU1260" s="472" t="s">
        <v>420</v>
      </c>
      <c r="AV1260" s="472">
        <v>2020</v>
      </c>
      <c r="AW1260" s="474" t="s">
        <v>15078</v>
      </c>
      <c r="AX1260" s="475" t="s">
        <v>15079</v>
      </c>
      <c r="AY1260" s="515">
        <v>1</v>
      </c>
      <c r="AZ1260" s="474" t="s">
        <v>15079</v>
      </c>
      <c r="BA1260" s="472" t="s">
        <v>4613</v>
      </c>
      <c r="BB1260" s="472" t="s">
        <v>1385</v>
      </c>
      <c r="BC1260" s="472" t="s">
        <v>1385</v>
      </c>
      <c r="BD1260" s="472" t="s">
        <v>1385</v>
      </c>
      <c r="BE1260" s="472" t="s">
        <v>1385</v>
      </c>
      <c r="BF1260" s="472">
        <v>16648.2</v>
      </c>
      <c r="BG1260" s="472">
        <v>0</v>
      </c>
      <c r="BH1260" s="472" t="s">
        <v>1385</v>
      </c>
      <c r="BI1260" s="510">
        <v>0</v>
      </c>
      <c r="BJ1260" s="510">
        <v>10</v>
      </c>
      <c r="BK1260" s="510">
        <v>0</v>
      </c>
      <c r="BL1260" s="510">
        <v>0</v>
      </c>
      <c r="BM1260" s="510">
        <v>0</v>
      </c>
      <c r="BN1260" s="510">
        <v>1500</v>
      </c>
      <c r="BO1260" s="510">
        <v>0</v>
      </c>
      <c r="BP1260" s="510">
        <v>0</v>
      </c>
      <c r="BQ1260" s="510">
        <v>0</v>
      </c>
      <c r="BR1260" s="510">
        <v>0</v>
      </c>
      <c r="BS1260" s="510">
        <v>0</v>
      </c>
      <c r="BT1260" s="510">
        <v>0</v>
      </c>
      <c r="BU1260" s="510">
        <v>0</v>
      </c>
      <c r="BV1260" s="510">
        <v>0</v>
      </c>
      <c r="BW1260" s="510">
        <v>0</v>
      </c>
      <c r="BX1260" s="510">
        <v>30000</v>
      </c>
      <c r="BY1260" s="1011">
        <v>0</v>
      </c>
      <c r="BZ1260" s="510">
        <v>0</v>
      </c>
      <c r="CA1260" s="1011">
        <v>0</v>
      </c>
      <c r="CB1260" s="510">
        <v>0</v>
      </c>
      <c r="CC1260" s="1011">
        <v>0</v>
      </c>
      <c r="CD1260" s="510">
        <v>0</v>
      </c>
      <c r="CE1260" s="1011">
        <v>0</v>
      </c>
      <c r="CF1260" s="510">
        <v>37204.800000000003</v>
      </c>
      <c r="CG1260" s="1011">
        <v>0</v>
      </c>
      <c r="CH1260" s="510">
        <v>0</v>
      </c>
      <c r="CI1260" s="1011">
        <v>0</v>
      </c>
    </row>
    <row r="1261" spans="1:87" x14ac:dyDescent="0.2">
      <c r="A1261" s="449">
        <v>7</v>
      </c>
      <c r="B1261" s="453">
        <v>400063</v>
      </c>
      <c r="C1261" s="454" t="s">
        <v>10379</v>
      </c>
      <c r="D1261" s="454" t="s">
        <v>4613</v>
      </c>
      <c r="E1261" s="454" t="s">
        <v>10380</v>
      </c>
      <c r="F1261" s="454" t="s">
        <v>513</v>
      </c>
      <c r="G1261" s="454" t="s">
        <v>14402</v>
      </c>
      <c r="H1261" s="455">
        <v>7709697000113</v>
      </c>
      <c r="I1261" s="462">
        <v>38618</v>
      </c>
      <c r="J1261" s="457">
        <v>37530860</v>
      </c>
      <c r="K1261" s="454" t="s">
        <v>10381</v>
      </c>
      <c r="L1261" s="458">
        <v>187</v>
      </c>
      <c r="M1261" s="454" t="s">
        <v>9076</v>
      </c>
      <c r="N1261" s="459">
        <v>3978230</v>
      </c>
      <c r="O1261" s="460">
        <v>20159518</v>
      </c>
      <c r="P1261" s="462">
        <v>144501</v>
      </c>
      <c r="Q1261" s="462">
        <v>7</v>
      </c>
      <c r="R1261" s="462">
        <v>43937</v>
      </c>
      <c r="S1261" s="463">
        <v>108</v>
      </c>
      <c r="T1261" s="464">
        <v>3.6</v>
      </c>
      <c r="U1261" s="465">
        <v>388.8</v>
      </c>
      <c r="V1261" s="465">
        <v>10800</v>
      </c>
      <c r="W1261" s="466">
        <v>0</v>
      </c>
      <c r="X1261" s="467">
        <v>1</v>
      </c>
      <c r="Y1261" s="466">
        <v>16783.2</v>
      </c>
      <c r="Z1261" s="468" t="s">
        <v>516</v>
      </c>
      <c r="AA1261" s="466">
        <v>84088.8</v>
      </c>
      <c r="AB1261" s="466">
        <v>84088.8</v>
      </c>
      <c r="AC1261" s="467">
        <v>0</v>
      </c>
      <c r="AD1261" s="466">
        <v>0</v>
      </c>
      <c r="AE1261" s="468" t="s">
        <v>516</v>
      </c>
      <c r="AF1261" s="466">
        <v>0</v>
      </c>
      <c r="AG1261" s="466">
        <v>0</v>
      </c>
      <c r="AH1261" s="466">
        <v>9997.23</v>
      </c>
      <c r="AI1261" s="466">
        <v>2466.06</v>
      </c>
      <c r="AJ1261" s="469" t="s">
        <v>1972</v>
      </c>
      <c r="AK1261" s="470" t="s">
        <v>1973</v>
      </c>
      <c r="AL1261" s="471" t="s">
        <v>10382</v>
      </c>
      <c r="AM1261" s="470" t="s">
        <v>10383</v>
      </c>
      <c r="AN1261" s="470" t="s">
        <v>10384</v>
      </c>
      <c r="AO1261" s="470" t="s">
        <v>10385</v>
      </c>
      <c r="AP1261" s="470" t="s">
        <v>9076</v>
      </c>
      <c r="AQ1261" s="470" t="s">
        <v>10379</v>
      </c>
      <c r="AR1261" s="472" t="s">
        <v>515</v>
      </c>
      <c r="AS1261" s="473" t="s">
        <v>1385</v>
      </c>
      <c r="AT1261" s="472" t="s">
        <v>4613</v>
      </c>
      <c r="AU1261" s="472" t="s">
        <v>420</v>
      </c>
      <c r="AV1261" s="472">
        <v>2020</v>
      </c>
      <c r="AW1261" s="474" t="s">
        <v>15078</v>
      </c>
      <c r="AX1261" s="475" t="s">
        <v>15079</v>
      </c>
      <c r="AY1261" s="515">
        <v>1</v>
      </c>
      <c r="AZ1261" s="474" t="s">
        <v>15079</v>
      </c>
      <c r="BA1261" s="472" t="s">
        <v>4613</v>
      </c>
      <c r="BB1261" s="472" t="s">
        <v>1385</v>
      </c>
      <c r="BC1261" s="472" t="s">
        <v>1385</v>
      </c>
      <c r="BD1261" s="472" t="s">
        <v>1385</v>
      </c>
      <c r="BE1261" s="472" t="s">
        <v>1385</v>
      </c>
      <c r="BF1261" s="472">
        <v>16783.2</v>
      </c>
      <c r="BG1261" s="472">
        <v>0</v>
      </c>
      <c r="BH1261" s="472" t="s">
        <v>1385</v>
      </c>
      <c r="BI1261" s="510">
        <v>0</v>
      </c>
      <c r="BJ1261" s="510">
        <v>0</v>
      </c>
      <c r="BK1261" s="510">
        <v>0</v>
      </c>
      <c r="BL1261" s="510">
        <v>0</v>
      </c>
      <c r="BM1261" s="510">
        <v>0</v>
      </c>
      <c r="BN1261" s="510">
        <v>2000</v>
      </c>
      <c r="BO1261" s="510">
        <v>0</v>
      </c>
      <c r="BP1261" s="510">
        <v>0</v>
      </c>
      <c r="BQ1261" s="510">
        <v>0</v>
      </c>
      <c r="BR1261" s="510">
        <v>0</v>
      </c>
      <c r="BS1261" s="510">
        <v>0</v>
      </c>
      <c r="BT1261" s="510">
        <v>0</v>
      </c>
      <c r="BU1261" s="510">
        <v>0</v>
      </c>
      <c r="BV1261" s="510">
        <v>0</v>
      </c>
      <c r="BW1261" s="510">
        <v>0</v>
      </c>
      <c r="BX1261" s="510">
        <v>30000</v>
      </c>
      <c r="BY1261" s="1011">
        <v>0</v>
      </c>
      <c r="BZ1261" s="510">
        <v>0</v>
      </c>
      <c r="CA1261" s="1011">
        <v>0</v>
      </c>
      <c r="CB1261" s="510">
        <v>0</v>
      </c>
      <c r="CC1261" s="1011">
        <v>0</v>
      </c>
      <c r="CD1261" s="510">
        <v>0</v>
      </c>
      <c r="CE1261" s="1011">
        <v>0</v>
      </c>
      <c r="CF1261" s="510">
        <v>37305.599999999999</v>
      </c>
      <c r="CG1261" s="1011">
        <v>0</v>
      </c>
      <c r="CH1261" s="510">
        <v>0</v>
      </c>
      <c r="CI1261" s="1011">
        <v>0</v>
      </c>
    </row>
    <row r="1262" spans="1:87" x14ac:dyDescent="0.2">
      <c r="A1262" s="449">
        <v>14</v>
      </c>
      <c r="B1262" s="453">
        <v>400064</v>
      </c>
      <c r="C1262" s="454" t="s">
        <v>10386</v>
      </c>
      <c r="D1262" s="454" t="s">
        <v>4613</v>
      </c>
      <c r="E1262" s="454" t="s">
        <v>10387</v>
      </c>
      <c r="F1262" s="454" t="s">
        <v>518</v>
      </c>
      <c r="G1262" s="454" t="s">
        <v>14403</v>
      </c>
      <c r="H1262" s="455">
        <v>9048008000100</v>
      </c>
      <c r="I1262" s="462">
        <v>39303</v>
      </c>
      <c r="J1262" s="457">
        <v>37474731</v>
      </c>
      <c r="K1262" s="454" t="s">
        <v>10389</v>
      </c>
      <c r="L1262" s="458">
        <v>56</v>
      </c>
      <c r="M1262" s="454" t="s">
        <v>10390</v>
      </c>
      <c r="N1262" s="459">
        <v>3572230</v>
      </c>
      <c r="O1262" s="460">
        <v>27219491</v>
      </c>
      <c r="P1262" s="462">
        <v>46569</v>
      </c>
      <c r="Q1262" s="462">
        <v>14</v>
      </c>
      <c r="R1262" s="462">
        <v>43934</v>
      </c>
      <c r="S1262" s="463">
        <v>97</v>
      </c>
      <c r="T1262" s="464">
        <v>3.6</v>
      </c>
      <c r="U1262" s="465">
        <v>349.2</v>
      </c>
      <c r="V1262" s="465">
        <v>10800</v>
      </c>
      <c r="W1262" s="466">
        <v>0</v>
      </c>
      <c r="X1262" s="467">
        <v>1</v>
      </c>
      <c r="Y1262" s="466">
        <v>0</v>
      </c>
      <c r="Z1262" s="468" t="s">
        <v>514</v>
      </c>
      <c r="AA1262" s="466">
        <v>0</v>
      </c>
      <c r="AB1262" s="466">
        <v>0</v>
      </c>
      <c r="AC1262" s="467">
        <v>0</v>
      </c>
      <c r="AD1262" s="466">
        <v>0</v>
      </c>
      <c r="AE1262" s="468" t="s">
        <v>516</v>
      </c>
      <c r="AF1262" s="466">
        <v>0</v>
      </c>
      <c r="AG1262" s="466">
        <v>0</v>
      </c>
      <c r="AH1262" s="466">
        <v>0</v>
      </c>
      <c r="AI1262" s="466">
        <v>0</v>
      </c>
      <c r="AJ1262" s="469" t="s">
        <v>1560</v>
      </c>
      <c r="AK1262" s="470" t="s">
        <v>1776</v>
      </c>
      <c r="AL1262" s="471" t="s">
        <v>10391</v>
      </c>
      <c r="AM1262" s="470" t="s">
        <v>10392</v>
      </c>
      <c r="AN1262" s="470" t="s">
        <v>10388</v>
      </c>
      <c r="AO1262" s="470" t="s">
        <v>15050</v>
      </c>
      <c r="AP1262" s="470" t="s">
        <v>10393</v>
      </c>
      <c r="AQ1262" s="470" t="s">
        <v>10386</v>
      </c>
      <c r="AR1262" s="472" t="s">
        <v>515</v>
      </c>
      <c r="AS1262" s="473" t="s">
        <v>1385</v>
      </c>
      <c r="AT1262" s="472" t="s">
        <v>4613</v>
      </c>
      <c r="AU1262" s="472" t="s">
        <v>420</v>
      </c>
      <c r="AV1262" s="472">
        <v>2020</v>
      </c>
      <c r="AW1262" s="474" t="s">
        <v>15078</v>
      </c>
      <c r="AX1262" s="475" t="s">
        <v>15079</v>
      </c>
      <c r="AY1262" s="515">
        <v>1</v>
      </c>
      <c r="AZ1262" s="474" t="s">
        <v>15079</v>
      </c>
      <c r="BA1262" s="472" t="s">
        <v>1385</v>
      </c>
      <c r="BB1262" s="472" t="s">
        <v>1385</v>
      </c>
      <c r="BC1262" s="472" t="s">
        <v>1385</v>
      </c>
      <c r="BD1262" s="472" t="s">
        <v>1385</v>
      </c>
      <c r="BE1262" s="472" t="s">
        <v>1385</v>
      </c>
      <c r="BF1262" s="472">
        <v>16723.8</v>
      </c>
      <c r="BG1262" s="472">
        <v>0</v>
      </c>
      <c r="BH1262" s="472" t="s">
        <v>516</v>
      </c>
      <c r="BI1262" s="510">
        <v>0</v>
      </c>
      <c r="BJ1262" s="510">
        <v>0</v>
      </c>
      <c r="BK1262" s="510">
        <v>0</v>
      </c>
      <c r="BL1262" s="510">
        <v>0</v>
      </c>
      <c r="BM1262" s="510">
        <v>0</v>
      </c>
      <c r="BN1262" s="510">
        <v>0</v>
      </c>
      <c r="BO1262" s="510">
        <v>0</v>
      </c>
      <c r="BP1262" s="510">
        <v>0</v>
      </c>
      <c r="BQ1262" s="510">
        <v>0</v>
      </c>
      <c r="BR1262" s="510">
        <v>0</v>
      </c>
      <c r="BS1262" s="510">
        <v>0</v>
      </c>
      <c r="BT1262" s="510">
        <v>0</v>
      </c>
      <c r="BU1262" s="510">
        <v>0</v>
      </c>
      <c r="BV1262" s="510">
        <v>0</v>
      </c>
      <c r="BW1262" s="510">
        <v>0</v>
      </c>
      <c r="BX1262" s="510">
        <v>0</v>
      </c>
      <c r="BY1262" s="1011">
        <v>0</v>
      </c>
      <c r="BZ1262" s="510">
        <v>0</v>
      </c>
      <c r="CA1262" s="1011">
        <v>0</v>
      </c>
      <c r="CB1262" s="510">
        <v>0</v>
      </c>
      <c r="CC1262" s="1011">
        <v>0</v>
      </c>
      <c r="CD1262" s="510">
        <v>0</v>
      </c>
      <c r="CE1262" s="1011">
        <v>0</v>
      </c>
      <c r="CF1262" s="510">
        <v>0</v>
      </c>
      <c r="CG1262" s="1011">
        <v>0</v>
      </c>
      <c r="CH1262" s="510">
        <v>0</v>
      </c>
      <c r="CI1262" s="1011">
        <v>0</v>
      </c>
    </row>
    <row r="1263" spans="1:87" x14ac:dyDescent="0.2">
      <c r="A1263" s="449">
        <v>10</v>
      </c>
      <c r="B1263" s="453">
        <v>400065</v>
      </c>
      <c r="C1263" s="454" t="s">
        <v>10394</v>
      </c>
      <c r="D1263" s="454" t="s">
        <v>4613</v>
      </c>
      <c r="E1263" s="454" t="s">
        <v>10395</v>
      </c>
      <c r="F1263" s="454" t="s">
        <v>526</v>
      </c>
      <c r="G1263" s="454" t="s">
        <v>14404</v>
      </c>
      <c r="H1263" s="455">
        <v>8527944000123</v>
      </c>
      <c r="I1263" s="462">
        <v>39050</v>
      </c>
      <c r="J1263" s="457">
        <v>39013081</v>
      </c>
      <c r="K1263" s="454" t="s">
        <v>14405</v>
      </c>
      <c r="L1263" s="458">
        <v>40</v>
      </c>
      <c r="M1263" s="454" t="s">
        <v>10396</v>
      </c>
      <c r="N1263" s="459">
        <v>8121180</v>
      </c>
      <c r="O1263" s="460">
        <v>25722972</v>
      </c>
      <c r="P1263" s="462">
        <v>165355</v>
      </c>
      <c r="Q1263" s="462">
        <v>10</v>
      </c>
      <c r="R1263" s="462">
        <v>43928</v>
      </c>
      <c r="S1263" s="463">
        <v>308</v>
      </c>
      <c r="T1263" s="464">
        <v>3.6</v>
      </c>
      <c r="U1263" s="465">
        <v>1108.8</v>
      </c>
      <c r="V1263" s="465">
        <v>13680</v>
      </c>
      <c r="W1263" s="466">
        <v>0</v>
      </c>
      <c r="X1263" s="467">
        <v>1</v>
      </c>
      <c r="Y1263" s="466">
        <v>22183.200000000001</v>
      </c>
      <c r="Z1263" s="468" t="s">
        <v>516</v>
      </c>
      <c r="AA1263" s="466">
        <v>90079.2</v>
      </c>
      <c r="AB1263" s="466">
        <v>90079.2</v>
      </c>
      <c r="AC1263" s="467">
        <v>0</v>
      </c>
      <c r="AD1263" s="466">
        <v>0</v>
      </c>
      <c r="AE1263" s="468" t="s">
        <v>516</v>
      </c>
      <c r="AF1263" s="466">
        <v>0</v>
      </c>
      <c r="AG1263" s="466">
        <v>0</v>
      </c>
      <c r="AH1263" s="466">
        <v>12563.92</v>
      </c>
      <c r="AI1263" s="466">
        <v>228.15</v>
      </c>
      <c r="AJ1263" s="469" t="s">
        <v>1410</v>
      </c>
      <c r="AK1263" s="470" t="s">
        <v>1411</v>
      </c>
      <c r="AL1263" s="471" t="s">
        <v>10397</v>
      </c>
      <c r="AM1263" s="470" t="s">
        <v>10398</v>
      </c>
      <c r="AN1263" s="470" t="s">
        <v>1385</v>
      </c>
      <c r="AO1263" s="470" t="s">
        <v>10399</v>
      </c>
      <c r="AP1263" s="470" t="s">
        <v>10396</v>
      </c>
      <c r="AQ1263" s="470" t="s">
        <v>10394</v>
      </c>
      <c r="AR1263" s="472" t="s">
        <v>515</v>
      </c>
      <c r="AS1263" s="473" t="s">
        <v>1385</v>
      </c>
      <c r="AT1263" s="472" t="s">
        <v>4613</v>
      </c>
      <c r="AU1263" s="472" t="s">
        <v>420</v>
      </c>
      <c r="AV1263" s="472">
        <v>2020</v>
      </c>
      <c r="AW1263" s="474" t="s">
        <v>15078</v>
      </c>
      <c r="AX1263" s="475" t="s">
        <v>15079</v>
      </c>
      <c r="AY1263" s="515">
        <v>1</v>
      </c>
      <c r="AZ1263" s="474" t="s">
        <v>15079</v>
      </c>
      <c r="BA1263" s="472" t="s">
        <v>4613</v>
      </c>
      <c r="BB1263" s="472" t="s">
        <v>1385</v>
      </c>
      <c r="BC1263" s="472" t="s">
        <v>1385</v>
      </c>
      <c r="BD1263" s="472" t="s">
        <v>1385</v>
      </c>
      <c r="BE1263" s="472" t="s">
        <v>1385</v>
      </c>
      <c r="BF1263" s="472">
        <v>22183.200000000001</v>
      </c>
      <c r="BG1263" s="472">
        <v>0</v>
      </c>
      <c r="BH1263" s="472" t="s">
        <v>1385</v>
      </c>
      <c r="BI1263" s="510">
        <v>0</v>
      </c>
      <c r="BJ1263" s="510">
        <v>0</v>
      </c>
      <c r="BK1263" s="510">
        <v>0</v>
      </c>
      <c r="BL1263" s="510">
        <v>0</v>
      </c>
      <c r="BM1263" s="510">
        <v>0</v>
      </c>
      <c r="BN1263" s="510">
        <v>3000</v>
      </c>
      <c r="BO1263" s="510">
        <v>0</v>
      </c>
      <c r="BP1263" s="510">
        <v>0</v>
      </c>
      <c r="BQ1263" s="510">
        <v>0</v>
      </c>
      <c r="BR1263" s="510">
        <v>0</v>
      </c>
      <c r="BS1263" s="510">
        <v>0</v>
      </c>
      <c r="BT1263" s="510">
        <v>0</v>
      </c>
      <c r="BU1263" s="510">
        <v>0</v>
      </c>
      <c r="BV1263" s="510">
        <v>0</v>
      </c>
      <c r="BW1263" s="510">
        <v>0</v>
      </c>
      <c r="BX1263" s="510">
        <v>30000</v>
      </c>
      <c r="BY1263" s="1011">
        <v>0</v>
      </c>
      <c r="BZ1263" s="510">
        <v>0</v>
      </c>
      <c r="CA1263" s="1011">
        <v>0</v>
      </c>
      <c r="CB1263" s="510">
        <v>0</v>
      </c>
      <c r="CC1263" s="1011">
        <v>0</v>
      </c>
      <c r="CD1263" s="510">
        <v>0</v>
      </c>
      <c r="CE1263" s="1011">
        <v>0</v>
      </c>
      <c r="CF1263" s="510">
        <v>37896</v>
      </c>
      <c r="CG1263" s="1011">
        <v>0</v>
      </c>
      <c r="CH1263" s="510">
        <v>0</v>
      </c>
      <c r="CI1263" s="1011">
        <v>0</v>
      </c>
    </row>
    <row r="1264" spans="1:87" x14ac:dyDescent="0.2">
      <c r="A1264" s="449">
        <v>11</v>
      </c>
      <c r="B1264" s="453">
        <v>400066</v>
      </c>
      <c r="C1264" s="454" t="s">
        <v>10400</v>
      </c>
      <c r="D1264" s="454" t="s">
        <v>4613</v>
      </c>
      <c r="E1264" s="454" t="s">
        <v>10401</v>
      </c>
      <c r="F1264" s="454" t="s">
        <v>526</v>
      </c>
      <c r="G1264" s="454" t="s">
        <v>14406</v>
      </c>
      <c r="H1264" s="455">
        <v>8394432000136</v>
      </c>
      <c r="I1264" s="462">
        <v>38994</v>
      </c>
      <c r="J1264" s="457">
        <v>37411462</v>
      </c>
      <c r="K1264" s="454" t="s">
        <v>10402</v>
      </c>
      <c r="L1264" s="458">
        <v>322</v>
      </c>
      <c r="M1264" s="454" t="s">
        <v>1838</v>
      </c>
      <c r="N1264" s="459">
        <v>8120460</v>
      </c>
      <c r="O1264" s="460">
        <v>25615696</v>
      </c>
      <c r="P1264" s="462">
        <v>129693</v>
      </c>
      <c r="Q1264" s="462">
        <v>11</v>
      </c>
      <c r="R1264" s="462">
        <v>43928</v>
      </c>
      <c r="S1264" s="463">
        <v>128</v>
      </c>
      <c r="T1264" s="464">
        <v>3.6</v>
      </c>
      <c r="U1264" s="465">
        <v>460.8</v>
      </c>
      <c r="V1264" s="465">
        <v>10800</v>
      </c>
      <c r="W1264" s="466">
        <v>0</v>
      </c>
      <c r="X1264" s="467">
        <v>1</v>
      </c>
      <c r="Y1264" s="466">
        <v>16891.2</v>
      </c>
      <c r="Z1264" s="468" t="s">
        <v>516</v>
      </c>
      <c r="AA1264" s="466">
        <v>85369.600000000006</v>
      </c>
      <c r="AB1264" s="466">
        <v>85369.600000000006</v>
      </c>
      <c r="AC1264" s="467">
        <v>0</v>
      </c>
      <c r="AD1264" s="466">
        <v>0</v>
      </c>
      <c r="AE1264" s="468" t="s">
        <v>516</v>
      </c>
      <c r="AF1264" s="466">
        <v>1000</v>
      </c>
      <c r="AG1264" s="466">
        <v>1000</v>
      </c>
      <c r="AH1264" s="466">
        <v>15663.93</v>
      </c>
      <c r="AI1264" s="466">
        <v>3590.24</v>
      </c>
      <c r="AJ1264" s="469" t="s">
        <v>10403</v>
      </c>
      <c r="AK1264" s="470" t="s">
        <v>1411</v>
      </c>
      <c r="AL1264" s="471" t="s">
        <v>7479</v>
      </c>
      <c r="AM1264" s="470" t="s">
        <v>10404</v>
      </c>
      <c r="AN1264" s="470" t="s">
        <v>1385</v>
      </c>
      <c r="AO1264" s="470" t="s">
        <v>10405</v>
      </c>
      <c r="AP1264" s="470" t="s">
        <v>6086</v>
      </c>
      <c r="AQ1264" s="470" t="s">
        <v>10400</v>
      </c>
      <c r="AR1264" s="472" t="s">
        <v>515</v>
      </c>
      <c r="AS1264" s="473" t="s">
        <v>1385</v>
      </c>
      <c r="AT1264" s="472" t="s">
        <v>4613</v>
      </c>
      <c r="AU1264" s="472" t="s">
        <v>420</v>
      </c>
      <c r="AV1264" s="472">
        <v>2020</v>
      </c>
      <c r="AW1264" s="474" t="s">
        <v>15078</v>
      </c>
      <c r="AX1264" s="475" t="s">
        <v>15079</v>
      </c>
      <c r="AY1264" s="515">
        <v>1</v>
      </c>
      <c r="AZ1264" s="474" t="s">
        <v>15079</v>
      </c>
      <c r="BA1264" s="472" t="s">
        <v>4613</v>
      </c>
      <c r="BB1264" s="472" t="s">
        <v>1385</v>
      </c>
      <c r="BC1264" s="472" t="s">
        <v>1385</v>
      </c>
      <c r="BD1264" s="472" t="s">
        <v>1385</v>
      </c>
      <c r="BE1264" s="472" t="s">
        <v>1385</v>
      </c>
      <c r="BF1264" s="472">
        <v>16891.2</v>
      </c>
      <c r="BG1264" s="472">
        <v>0</v>
      </c>
      <c r="BH1264" s="472" t="s">
        <v>1385</v>
      </c>
      <c r="BI1264" s="510">
        <v>0</v>
      </c>
      <c r="BJ1264" s="510">
        <v>0</v>
      </c>
      <c r="BK1264" s="510">
        <v>0</v>
      </c>
      <c r="BL1264" s="510">
        <v>0</v>
      </c>
      <c r="BM1264" s="510">
        <v>0</v>
      </c>
      <c r="BN1264" s="510">
        <v>2000</v>
      </c>
      <c r="BO1264" s="510">
        <v>1000</v>
      </c>
      <c r="BP1264" s="510">
        <v>1000</v>
      </c>
      <c r="BQ1264" s="510">
        <v>0</v>
      </c>
      <c r="BR1264" s="510">
        <v>0</v>
      </c>
      <c r="BS1264" s="510">
        <v>0</v>
      </c>
      <c r="BT1264" s="510">
        <v>0</v>
      </c>
      <c r="BU1264" s="510">
        <v>0</v>
      </c>
      <c r="BV1264" s="510">
        <v>0</v>
      </c>
      <c r="BW1264" s="510">
        <v>0</v>
      </c>
      <c r="BX1264" s="510">
        <v>30000</v>
      </c>
      <c r="BY1264" s="1011">
        <v>0</v>
      </c>
      <c r="BZ1264" s="510">
        <v>0</v>
      </c>
      <c r="CA1264" s="1011">
        <v>0</v>
      </c>
      <c r="CB1264" s="510">
        <v>0</v>
      </c>
      <c r="CC1264" s="1011">
        <v>0</v>
      </c>
      <c r="CD1264" s="510">
        <v>0</v>
      </c>
      <c r="CE1264" s="1011">
        <v>0</v>
      </c>
      <c r="CF1264" s="510">
        <v>37478.400000000001</v>
      </c>
      <c r="CG1264" s="1011">
        <v>0</v>
      </c>
      <c r="CH1264" s="510">
        <v>0</v>
      </c>
      <c r="CI1264" s="1011">
        <v>0</v>
      </c>
    </row>
    <row r="1265" spans="1:87" x14ac:dyDescent="0.2">
      <c r="A1265" s="449">
        <v>23</v>
      </c>
      <c r="B1265" s="453">
        <v>400067</v>
      </c>
      <c r="C1265" s="454" t="s">
        <v>10406</v>
      </c>
      <c r="D1265" s="454" t="s">
        <v>4613</v>
      </c>
      <c r="E1265" s="454" t="s">
        <v>10407</v>
      </c>
      <c r="F1265" s="454" t="s">
        <v>521</v>
      </c>
      <c r="G1265" s="454" t="s">
        <v>14407</v>
      </c>
      <c r="H1265" s="455">
        <v>7708705000107</v>
      </c>
      <c r="I1265" s="462">
        <v>38614</v>
      </c>
      <c r="J1265" s="457">
        <v>37552430</v>
      </c>
      <c r="K1265" s="454" t="s">
        <v>10408</v>
      </c>
      <c r="L1265" s="458" t="s">
        <v>1446</v>
      </c>
      <c r="M1265" s="454" t="s">
        <v>1631</v>
      </c>
      <c r="N1265" s="459">
        <v>4858130</v>
      </c>
      <c r="O1265" s="460">
        <v>55267992</v>
      </c>
      <c r="P1265" s="462">
        <v>92315</v>
      </c>
      <c r="Q1265" s="462">
        <v>79</v>
      </c>
      <c r="R1265" s="462">
        <v>43934</v>
      </c>
      <c r="S1265" s="463">
        <v>139</v>
      </c>
      <c r="T1265" s="464">
        <v>3.6</v>
      </c>
      <c r="U1265" s="465">
        <v>500.4</v>
      </c>
      <c r="V1265" s="465">
        <v>10800</v>
      </c>
      <c r="W1265" s="466">
        <v>0</v>
      </c>
      <c r="X1265" s="467">
        <v>1</v>
      </c>
      <c r="Y1265" s="466">
        <v>16950.599999999999</v>
      </c>
      <c r="Z1265" s="468" t="s">
        <v>516</v>
      </c>
      <c r="AA1265" s="466">
        <v>84558.6</v>
      </c>
      <c r="AB1265" s="466">
        <v>84558.6</v>
      </c>
      <c r="AC1265" s="467">
        <v>0</v>
      </c>
      <c r="AD1265" s="466">
        <v>0</v>
      </c>
      <c r="AE1265" s="468" t="s">
        <v>516</v>
      </c>
      <c r="AF1265" s="466">
        <v>0</v>
      </c>
      <c r="AG1265" s="466">
        <v>0</v>
      </c>
      <c r="AH1265" s="466">
        <v>12623.27</v>
      </c>
      <c r="AI1265" s="466">
        <v>4619.9399999999996</v>
      </c>
      <c r="AJ1265" s="469" t="s">
        <v>1624</v>
      </c>
      <c r="AK1265" s="470" t="s">
        <v>1625</v>
      </c>
      <c r="AL1265" s="471" t="s">
        <v>10409</v>
      </c>
      <c r="AM1265" s="470" t="s">
        <v>10410</v>
      </c>
      <c r="AN1265" s="470" t="s">
        <v>1385</v>
      </c>
      <c r="AO1265" s="470" t="s">
        <v>14408</v>
      </c>
      <c r="AP1265" s="470" t="s">
        <v>10411</v>
      </c>
      <c r="AQ1265" s="470" t="s">
        <v>10406</v>
      </c>
      <c r="AR1265" s="472" t="s">
        <v>515</v>
      </c>
      <c r="AS1265" s="473" t="s">
        <v>1385</v>
      </c>
      <c r="AT1265" s="472" t="s">
        <v>4613</v>
      </c>
      <c r="AU1265" s="472" t="s">
        <v>420</v>
      </c>
      <c r="AV1265" s="472">
        <v>2020</v>
      </c>
      <c r="AW1265" s="474" t="s">
        <v>15078</v>
      </c>
      <c r="AX1265" s="475" t="s">
        <v>15079</v>
      </c>
      <c r="AY1265" s="515">
        <v>1</v>
      </c>
      <c r="AZ1265" s="474" t="s">
        <v>15079</v>
      </c>
      <c r="BA1265" s="472" t="s">
        <v>4613</v>
      </c>
      <c r="BB1265" s="472" t="s">
        <v>1385</v>
      </c>
      <c r="BC1265" s="472" t="s">
        <v>1385</v>
      </c>
      <c r="BD1265" s="472" t="s">
        <v>1385</v>
      </c>
      <c r="BE1265" s="472" t="s">
        <v>1385</v>
      </c>
      <c r="BF1265" s="472">
        <v>16950.599999999999</v>
      </c>
      <c r="BG1265" s="472">
        <v>0</v>
      </c>
      <c r="BH1265" s="472" t="s">
        <v>1385</v>
      </c>
      <c r="BI1265" s="510">
        <v>0</v>
      </c>
      <c r="BJ1265" s="510">
        <v>0</v>
      </c>
      <c r="BK1265" s="510">
        <v>0</v>
      </c>
      <c r="BL1265" s="510">
        <v>0</v>
      </c>
      <c r="BM1265" s="510">
        <v>0</v>
      </c>
      <c r="BN1265" s="510">
        <v>2000</v>
      </c>
      <c r="BO1265" s="510">
        <v>0</v>
      </c>
      <c r="BP1265" s="510">
        <v>0</v>
      </c>
      <c r="BQ1265" s="510">
        <v>0</v>
      </c>
      <c r="BR1265" s="510">
        <v>0</v>
      </c>
      <c r="BS1265" s="510">
        <v>0</v>
      </c>
      <c r="BT1265" s="510">
        <v>0</v>
      </c>
      <c r="BU1265" s="510">
        <v>0</v>
      </c>
      <c r="BV1265" s="510">
        <v>0</v>
      </c>
      <c r="BW1265" s="510">
        <v>0</v>
      </c>
      <c r="BX1265" s="510">
        <v>30000</v>
      </c>
      <c r="BY1265" s="1011">
        <v>0</v>
      </c>
      <c r="BZ1265" s="510">
        <v>0</v>
      </c>
      <c r="CA1265" s="1011">
        <v>0</v>
      </c>
      <c r="CB1265" s="510">
        <v>0</v>
      </c>
      <c r="CC1265" s="1011">
        <v>0</v>
      </c>
      <c r="CD1265" s="510">
        <v>0</v>
      </c>
      <c r="CE1265" s="1011">
        <v>0</v>
      </c>
      <c r="CF1265" s="510">
        <v>37608</v>
      </c>
      <c r="CG1265" s="1011">
        <v>0</v>
      </c>
      <c r="CH1265" s="510">
        <v>0</v>
      </c>
      <c r="CI1265" s="1011">
        <v>0</v>
      </c>
    </row>
    <row r="1266" spans="1:87" x14ac:dyDescent="0.2">
      <c r="A1266" s="449">
        <v>12</v>
      </c>
      <c r="B1266" s="453">
        <v>400068</v>
      </c>
      <c r="C1266" s="454" t="s">
        <v>10412</v>
      </c>
      <c r="D1266" s="454" t="s">
        <v>4613</v>
      </c>
      <c r="E1266" s="454" t="s">
        <v>10413</v>
      </c>
      <c r="F1266" s="454" t="s">
        <v>526</v>
      </c>
      <c r="G1266" s="454" t="s">
        <v>14409</v>
      </c>
      <c r="H1266" s="455">
        <v>7834317000172</v>
      </c>
      <c r="I1266" s="462">
        <v>38741</v>
      </c>
      <c r="J1266" s="457">
        <v>37411411</v>
      </c>
      <c r="K1266" s="454" t="s">
        <v>7959</v>
      </c>
      <c r="L1266" s="458">
        <v>32</v>
      </c>
      <c r="M1266" s="454" t="s">
        <v>7952</v>
      </c>
      <c r="N1266" s="459">
        <v>8151710</v>
      </c>
      <c r="O1266" s="460">
        <v>29577407</v>
      </c>
      <c r="P1266" s="462">
        <v>122249</v>
      </c>
      <c r="Q1266" s="462">
        <v>12</v>
      </c>
      <c r="R1266" s="462">
        <v>43928</v>
      </c>
      <c r="S1266" s="463">
        <v>109</v>
      </c>
      <c r="T1266" s="464">
        <v>3.6</v>
      </c>
      <c r="U1266" s="465">
        <v>392.4</v>
      </c>
      <c r="V1266" s="465">
        <v>10800</v>
      </c>
      <c r="W1266" s="466">
        <v>0</v>
      </c>
      <c r="X1266" s="467">
        <v>1</v>
      </c>
      <c r="Y1266" s="466">
        <v>16788.599999999999</v>
      </c>
      <c r="Z1266" s="468" t="s">
        <v>516</v>
      </c>
      <c r="AA1266" s="466">
        <v>84202.2</v>
      </c>
      <c r="AB1266" s="466">
        <v>84202.2</v>
      </c>
      <c r="AC1266" s="467">
        <v>0</v>
      </c>
      <c r="AD1266" s="466">
        <v>0</v>
      </c>
      <c r="AE1266" s="468" t="s">
        <v>516</v>
      </c>
      <c r="AF1266" s="466">
        <v>0</v>
      </c>
      <c r="AG1266" s="466">
        <v>0</v>
      </c>
      <c r="AH1266" s="466">
        <v>12035.53</v>
      </c>
      <c r="AI1266" s="466">
        <v>2187.08</v>
      </c>
      <c r="AJ1266" s="469" t="s">
        <v>1410</v>
      </c>
      <c r="AK1266" s="470" t="s">
        <v>1411</v>
      </c>
      <c r="AL1266" s="471" t="s">
        <v>10414</v>
      </c>
      <c r="AM1266" s="470" t="s">
        <v>11180</v>
      </c>
      <c r="AN1266" s="470" t="s">
        <v>1385</v>
      </c>
      <c r="AO1266" s="470" t="s">
        <v>10415</v>
      </c>
      <c r="AP1266" s="470" t="s">
        <v>7952</v>
      </c>
      <c r="AQ1266" s="470" t="s">
        <v>10412</v>
      </c>
      <c r="AR1266" s="472" t="s">
        <v>515</v>
      </c>
      <c r="AS1266" s="473" t="s">
        <v>1385</v>
      </c>
      <c r="AT1266" s="472" t="s">
        <v>4613</v>
      </c>
      <c r="AU1266" s="472" t="s">
        <v>420</v>
      </c>
      <c r="AV1266" s="472">
        <v>2020</v>
      </c>
      <c r="AW1266" s="474" t="s">
        <v>15078</v>
      </c>
      <c r="AX1266" s="475" t="s">
        <v>15079</v>
      </c>
      <c r="AY1266" s="515">
        <v>1</v>
      </c>
      <c r="AZ1266" s="474" t="s">
        <v>15079</v>
      </c>
      <c r="BA1266" s="472" t="s">
        <v>4613</v>
      </c>
      <c r="BB1266" s="472" t="s">
        <v>1385</v>
      </c>
      <c r="BC1266" s="472" t="s">
        <v>1385</v>
      </c>
      <c r="BD1266" s="472" t="s">
        <v>1385</v>
      </c>
      <c r="BE1266" s="472" t="s">
        <v>1385</v>
      </c>
      <c r="BF1266" s="472">
        <v>16788.599999999999</v>
      </c>
      <c r="BG1266" s="472">
        <v>0</v>
      </c>
      <c r="BH1266" s="472" t="s">
        <v>1385</v>
      </c>
      <c r="BI1266" s="510">
        <v>0</v>
      </c>
      <c r="BJ1266" s="510">
        <v>0</v>
      </c>
      <c r="BK1266" s="510">
        <v>0</v>
      </c>
      <c r="BL1266" s="510">
        <v>0</v>
      </c>
      <c r="BM1266" s="510">
        <v>0</v>
      </c>
      <c r="BN1266" s="510">
        <v>2000</v>
      </c>
      <c r="BO1266" s="510">
        <v>0</v>
      </c>
      <c r="BP1266" s="510">
        <v>0</v>
      </c>
      <c r="BQ1266" s="510">
        <v>0</v>
      </c>
      <c r="BR1266" s="510">
        <v>0</v>
      </c>
      <c r="BS1266" s="510">
        <v>0</v>
      </c>
      <c r="BT1266" s="510">
        <v>0</v>
      </c>
      <c r="BU1266" s="510">
        <v>0</v>
      </c>
      <c r="BV1266" s="510">
        <v>0</v>
      </c>
      <c r="BW1266" s="510">
        <v>0</v>
      </c>
      <c r="BX1266" s="510">
        <v>30000</v>
      </c>
      <c r="BY1266" s="1011">
        <v>0</v>
      </c>
      <c r="BZ1266" s="510">
        <v>0</v>
      </c>
      <c r="CA1266" s="1011">
        <v>0</v>
      </c>
      <c r="CB1266" s="510">
        <v>0</v>
      </c>
      <c r="CC1266" s="1011">
        <v>0</v>
      </c>
      <c r="CD1266" s="510">
        <v>0</v>
      </c>
      <c r="CE1266" s="1011">
        <v>0</v>
      </c>
      <c r="CF1266" s="510">
        <v>37413.599999999999</v>
      </c>
      <c r="CG1266" s="1011">
        <v>0</v>
      </c>
      <c r="CH1266" s="510">
        <v>0</v>
      </c>
      <c r="CI1266" s="1011">
        <v>0</v>
      </c>
    </row>
    <row r="1267" spans="1:87" x14ac:dyDescent="0.2">
      <c r="A1267" s="449">
        <v>7</v>
      </c>
      <c r="B1267" s="453">
        <v>400069</v>
      </c>
      <c r="C1267" s="454" t="s">
        <v>10416</v>
      </c>
      <c r="D1267" s="454" t="s">
        <v>4613</v>
      </c>
      <c r="E1267" s="454" t="s">
        <v>10416</v>
      </c>
      <c r="F1267" s="454" t="s">
        <v>520</v>
      </c>
      <c r="G1267" s="454" t="s">
        <v>14410</v>
      </c>
      <c r="H1267" s="455">
        <v>7907006000196</v>
      </c>
      <c r="I1267" s="462">
        <v>38686</v>
      </c>
      <c r="J1267" s="457">
        <v>44099517</v>
      </c>
      <c r="K1267" s="454" t="s">
        <v>10417</v>
      </c>
      <c r="L1267" s="458">
        <v>100</v>
      </c>
      <c r="M1267" s="454" t="s">
        <v>10418</v>
      </c>
      <c r="N1267" s="459">
        <v>4960090</v>
      </c>
      <c r="O1267" s="460">
        <v>35015666</v>
      </c>
      <c r="P1267" s="462">
        <v>431616</v>
      </c>
      <c r="Q1267" s="462">
        <v>7</v>
      </c>
      <c r="R1267" s="462">
        <v>43979</v>
      </c>
      <c r="S1267" s="463">
        <v>130</v>
      </c>
      <c r="T1267" s="464">
        <v>3.6</v>
      </c>
      <c r="U1267" s="465">
        <v>468</v>
      </c>
      <c r="V1267" s="465">
        <v>10800</v>
      </c>
      <c r="W1267" s="466">
        <v>0</v>
      </c>
      <c r="X1267" s="467">
        <v>1</v>
      </c>
      <c r="Y1267" s="466">
        <v>16902</v>
      </c>
      <c r="Z1267" s="468" t="s">
        <v>516</v>
      </c>
      <c r="AA1267" s="466">
        <v>84387.6</v>
      </c>
      <c r="AB1267" s="466">
        <v>84387.6</v>
      </c>
      <c r="AC1267" s="467">
        <v>0</v>
      </c>
      <c r="AD1267" s="466">
        <v>0</v>
      </c>
      <c r="AE1267" s="468" t="s">
        <v>516</v>
      </c>
      <c r="AF1267" s="466">
        <v>0</v>
      </c>
      <c r="AG1267" s="466">
        <v>0</v>
      </c>
      <c r="AH1267" s="466">
        <v>8330.14</v>
      </c>
      <c r="AI1267" s="466">
        <v>4975.53</v>
      </c>
      <c r="AJ1267" s="469" t="s">
        <v>1515</v>
      </c>
      <c r="AK1267" s="470" t="s">
        <v>1516</v>
      </c>
      <c r="AL1267" s="471" t="s">
        <v>10419</v>
      </c>
      <c r="AM1267" s="470" t="s">
        <v>10420</v>
      </c>
      <c r="AN1267" s="470" t="s">
        <v>10421</v>
      </c>
      <c r="AO1267" s="470" t="s">
        <v>14411</v>
      </c>
      <c r="AP1267" s="470" t="s">
        <v>10418</v>
      </c>
      <c r="AQ1267" s="470" t="s">
        <v>10416</v>
      </c>
      <c r="AR1267" s="472" t="s">
        <v>515</v>
      </c>
      <c r="AS1267" s="473" t="s">
        <v>1385</v>
      </c>
      <c r="AT1267" s="472" t="s">
        <v>4613</v>
      </c>
      <c r="AU1267" s="472" t="s">
        <v>420</v>
      </c>
      <c r="AV1267" s="472">
        <v>2020</v>
      </c>
      <c r="AW1267" s="474" t="s">
        <v>15078</v>
      </c>
      <c r="AX1267" s="475" t="s">
        <v>15079</v>
      </c>
      <c r="AY1267" s="515">
        <v>1</v>
      </c>
      <c r="AZ1267" s="474" t="s">
        <v>15079</v>
      </c>
      <c r="BA1267" s="472" t="s">
        <v>4613</v>
      </c>
      <c r="BB1267" s="472" t="s">
        <v>1385</v>
      </c>
      <c r="BC1267" s="472" t="s">
        <v>1385</v>
      </c>
      <c r="BD1267" s="472" t="s">
        <v>1385</v>
      </c>
      <c r="BE1267" s="472" t="s">
        <v>1385</v>
      </c>
      <c r="BF1267" s="472">
        <v>16902</v>
      </c>
      <c r="BG1267" s="472">
        <v>0</v>
      </c>
      <c r="BH1267" s="472" t="s">
        <v>1385</v>
      </c>
      <c r="BI1267" s="510">
        <v>0</v>
      </c>
      <c r="BJ1267" s="510">
        <v>715.39</v>
      </c>
      <c r="BK1267" s="510">
        <v>0</v>
      </c>
      <c r="BL1267" s="510">
        <v>0</v>
      </c>
      <c r="BM1267" s="510">
        <v>0</v>
      </c>
      <c r="BN1267" s="510">
        <v>2000</v>
      </c>
      <c r="BO1267" s="510">
        <v>0</v>
      </c>
      <c r="BP1267" s="510">
        <v>0</v>
      </c>
      <c r="BQ1267" s="510">
        <v>0</v>
      </c>
      <c r="BR1267" s="510">
        <v>0</v>
      </c>
      <c r="BS1267" s="510">
        <v>0</v>
      </c>
      <c r="BT1267" s="510">
        <v>0</v>
      </c>
      <c r="BU1267" s="510">
        <v>0</v>
      </c>
      <c r="BV1267" s="510">
        <v>0</v>
      </c>
      <c r="BW1267" s="510">
        <v>0</v>
      </c>
      <c r="BX1267" s="510">
        <v>30000</v>
      </c>
      <c r="BY1267" s="1011">
        <v>0</v>
      </c>
      <c r="BZ1267" s="510">
        <v>0</v>
      </c>
      <c r="CA1267" s="1011">
        <v>0</v>
      </c>
      <c r="CB1267" s="510">
        <v>0</v>
      </c>
      <c r="CC1267" s="1011">
        <v>0</v>
      </c>
      <c r="CD1267" s="510">
        <v>0</v>
      </c>
      <c r="CE1267" s="1011">
        <v>0</v>
      </c>
      <c r="CF1267" s="510">
        <v>37485.599999999999</v>
      </c>
      <c r="CG1267" s="1011">
        <v>0</v>
      </c>
      <c r="CH1267" s="510">
        <v>0</v>
      </c>
      <c r="CI1267" s="1011">
        <v>0</v>
      </c>
    </row>
    <row r="1268" spans="1:87" x14ac:dyDescent="0.2">
      <c r="A1268" s="449">
        <v>8</v>
      </c>
      <c r="B1268" s="453">
        <v>400070</v>
      </c>
      <c r="C1268" s="454" t="s">
        <v>10422</v>
      </c>
      <c r="D1268" s="454" t="s">
        <v>4613</v>
      </c>
      <c r="E1268" s="454" t="s">
        <v>10422</v>
      </c>
      <c r="F1268" s="454" t="s">
        <v>520</v>
      </c>
      <c r="G1268" s="454" t="s">
        <v>14412</v>
      </c>
      <c r="H1268" s="455">
        <v>6338688000109</v>
      </c>
      <c r="I1268" s="462">
        <v>38145</v>
      </c>
      <c r="J1268" s="457">
        <v>37629794</v>
      </c>
      <c r="K1268" s="454" t="s">
        <v>10424</v>
      </c>
      <c r="L1268" s="458" t="s">
        <v>1446</v>
      </c>
      <c r="M1268" s="454" t="s">
        <v>4257</v>
      </c>
      <c r="N1268" s="459">
        <v>5767350</v>
      </c>
      <c r="O1268" s="460">
        <v>58963386</v>
      </c>
      <c r="P1268" s="462">
        <v>291490</v>
      </c>
      <c r="Q1268" s="462">
        <v>8</v>
      </c>
      <c r="R1268" s="462">
        <v>43969</v>
      </c>
      <c r="S1268" s="463">
        <v>108</v>
      </c>
      <c r="T1268" s="464">
        <v>3.6</v>
      </c>
      <c r="U1268" s="465">
        <v>388.8</v>
      </c>
      <c r="V1268" s="465">
        <v>10800</v>
      </c>
      <c r="W1268" s="466">
        <v>0</v>
      </c>
      <c r="X1268" s="467">
        <v>1</v>
      </c>
      <c r="Y1268" s="466">
        <v>16783.2</v>
      </c>
      <c r="Z1268" s="468" t="s">
        <v>516</v>
      </c>
      <c r="AA1268" s="466">
        <v>84139.199999999997</v>
      </c>
      <c r="AB1268" s="466">
        <v>84139.199999999997</v>
      </c>
      <c r="AC1268" s="467">
        <v>0</v>
      </c>
      <c r="AD1268" s="466">
        <v>0</v>
      </c>
      <c r="AE1268" s="468" t="s">
        <v>516</v>
      </c>
      <c r="AF1268" s="466">
        <v>0</v>
      </c>
      <c r="AG1268" s="466">
        <v>0</v>
      </c>
      <c r="AH1268" s="466">
        <v>17993.310000000001</v>
      </c>
      <c r="AI1268" s="466">
        <v>1157.6400000000001</v>
      </c>
      <c r="AJ1268" s="469" t="s">
        <v>1489</v>
      </c>
      <c r="AK1268" s="470" t="s">
        <v>520</v>
      </c>
      <c r="AL1268" s="471" t="s">
        <v>10425</v>
      </c>
      <c r="AM1268" s="470" t="s">
        <v>10426</v>
      </c>
      <c r="AN1268" s="470" t="s">
        <v>10423</v>
      </c>
      <c r="AO1268" s="470" t="s">
        <v>10427</v>
      </c>
      <c r="AP1268" s="470" t="s">
        <v>4257</v>
      </c>
      <c r="AQ1268" s="470" t="s">
        <v>10422</v>
      </c>
      <c r="AR1268" s="472" t="s">
        <v>515</v>
      </c>
      <c r="AS1268" s="473" t="s">
        <v>1385</v>
      </c>
      <c r="AT1268" s="472" t="s">
        <v>4613</v>
      </c>
      <c r="AU1268" s="472" t="s">
        <v>420</v>
      </c>
      <c r="AV1268" s="472">
        <v>2020</v>
      </c>
      <c r="AW1268" s="474" t="s">
        <v>15078</v>
      </c>
      <c r="AX1268" s="475" t="s">
        <v>15079</v>
      </c>
      <c r="AY1268" s="515">
        <v>1</v>
      </c>
      <c r="AZ1268" s="474" t="s">
        <v>15079</v>
      </c>
      <c r="BA1268" s="472" t="s">
        <v>4613</v>
      </c>
      <c r="BB1268" s="472" t="s">
        <v>1385</v>
      </c>
      <c r="BC1268" s="472" t="s">
        <v>1385</v>
      </c>
      <c r="BD1268" s="472" t="s">
        <v>1385</v>
      </c>
      <c r="BE1268" s="472" t="s">
        <v>1385</v>
      </c>
      <c r="BF1268" s="472">
        <v>16783.2</v>
      </c>
      <c r="BG1268" s="472">
        <v>0</v>
      </c>
      <c r="BH1268" s="472" t="s">
        <v>1385</v>
      </c>
      <c r="BI1268" s="510">
        <v>0</v>
      </c>
      <c r="BJ1268" s="510">
        <v>0</v>
      </c>
      <c r="BK1268" s="510">
        <v>0</v>
      </c>
      <c r="BL1268" s="510">
        <v>0</v>
      </c>
      <c r="BM1268" s="510">
        <v>0</v>
      </c>
      <c r="BN1268" s="510">
        <v>2000</v>
      </c>
      <c r="BO1268" s="510">
        <v>0</v>
      </c>
      <c r="BP1268" s="510">
        <v>0</v>
      </c>
      <c r="BQ1268" s="510">
        <v>0</v>
      </c>
      <c r="BR1268" s="510">
        <v>0</v>
      </c>
      <c r="BS1268" s="510">
        <v>0</v>
      </c>
      <c r="BT1268" s="510">
        <v>0</v>
      </c>
      <c r="BU1268" s="510">
        <v>0</v>
      </c>
      <c r="BV1268" s="510">
        <v>0</v>
      </c>
      <c r="BW1268" s="510">
        <v>0</v>
      </c>
      <c r="BX1268" s="510">
        <v>30000</v>
      </c>
      <c r="BY1268" s="1011">
        <v>0</v>
      </c>
      <c r="BZ1268" s="510">
        <v>0</v>
      </c>
      <c r="CA1268" s="1011">
        <v>0</v>
      </c>
      <c r="CB1268" s="510">
        <v>0</v>
      </c>
      <c r="CC1268" s="1011">
        <v>0</v>
      </c>
      <c r="CD1268" s="510">
        <v>0</v>
      </c>
      <c r="CE1268" s="1011">
        <v>0</v>
      </c>
      <c r="CF1268" s="510">
        <v>37356</v>
      </c>
      <c r="CG1268" s="1011">
        <v>0</v>
      </c>
      <c r="CH1268" s="510">
        <v>0</v>
      </c>
      <c r="CI1268" s="1011">
        <v>0</v>
      </c>
    </row>
    <row r="1269" spans="1:87" x14ac:dyDescent="0.2">
      <c r="A1269" s="449">
        <v>5</v>
      </c>
      <c r="B1269" s="453">
        <v>400071</v>
      </c>
      <c r="C1269" s="454" t="s">
        <v>10428</v>
      </c>
      <c r="D1269" s="454" t="s">
        <v>4613</v>
      </c>
      <c r="E1269" s="454" t="s">
        <v>10429</v>
      </c>
      <c r="F1269" s="454" t="s">
        <v>518</v>
      </c>
      <c r="G1269" s="454" t="s">
        <v>14413</v>
      </c>
      <c r="H1269" s="455">
        <v>8638065000179</v>
      </c>
      <c r="I1269" s="462">
        <v>38895</v>
      </c>
      <c r="J1269" s="457">
        <v>37470841</v>
      </c>
      <c r="K1269" s="454" t="s">
        <v>10431</v>
      </c>
      <c r="L1269" s="458">
        <v>310</v>
      </c>
      <c r="M1269" s="454" t="s">
        <v>10432</v>
      </c>
      <c r="N1269" s="459">
        <v>3906000</v>
      </c>
      <c r="O1269" s="460">
        <v>27253445</v>
      </c>
      <c r="P1269" s="462">
        <v>46399</v>
      </c>
      <c r="Q1269" s="462">
        <v>5</v>
      </c>
      <c r="R1269" s="462">
        <v>43934</v>
      </c>
      <c r="S1269" s="463">
        <v>115</v>
      </c>
      <c r="T1269" s="464">
        <v>3.6</v>
      </c>
      <c r="U1269" s="465">
        <v>414</v>
      </c>
      <c r="V1269" s="465">
        <v>10800</v>
      </c>
      <c r="W1269" s="466">
        <v>0</v>
      </c>
      <c r="X1269" s="467">
        <v>1</v>
      </c>
      <c r="Y1269" s="466">
        <v>16821</v>
      </c>
      <c r="Z1269" s="468" t="s">
        <v>516</v>
      </c>
      <c r="AA1269" s="466">
        <v>84234.6</v>
      </c>
      <c r="AB1269" s="466">
        <v>84234.6</v>
      </c>
      <c r="AC1269" s="467">
        <v>0</v>
      </c>
      <c r="AD1269" s="466">
        <v>0</v>
      </c>
      <c r="AE1269" s="468" t="s">
        <v>516</v>
      </c>
      <c r="AF1269" s="466">
        <v>0</v>
      </c>
      <c r="AG1269" s="466">
        <v>0</v>
      </c>
      <c r="AH1269" s="466">
        <v>15013.28</v>
      </c>
      <c r="AI1269" s="466">
        <v>6891.41</v>
      </c>
      <c r="AJ1269" s="469" t="s">
        <v>3909</v>
      </c>
      <c r="AK1269" s="470" t="s">
        <v>2629</v>
      </c>
      <c r="AL1269" s="471" t="s">
        <v>10433</v>
      </c>
      <c r="AM1269" s="470" t="s">
        <v>10434</v>
      </c>
      <c r="AN1269" s="470" t="s">
        <v>10430</v>
      </c>
      <c r="AO1269" s="470" t="s">
        <v>10434</v>
      </c>
      <c r="AP1269" s="470" t="s">
        <v>10435</v>
      </c>
      <c r="AQ1269" s="470" t="s">
        <v>10428</v>
      </c>
      <c r="AR1269" s="472" t="s">
        <v>515</v>
      </c>
      <c r="AS1269" s="473" t="s">
        <v>1385</v>
      </c>
      <c r="AT1269" s="472" t="s">
        <v>4613</v>
      </c>
      <c r="AU1269" s="472" t="s">
        <v>420</v>
      </c>
      <c r="AV1269" s="472">
        <v>2020</v>
      </c>
      <c r="AW1269" s="474" t="s">
        <v>15078</v>
      </c>
      <c r="AX1269" s="475" t="s">
        <v>15079</v>
      </c>
      <c r="AY1269" s="515">
        <v>1</v>
      </c>
      <c r="AZ1269" s="474" t="s">
        <v>15079</v>
      </c>
      <c r="BA1269" s="472" t="s">
        <v>4613</v>
      </c>
      <c r="BB1269" s="472" t="s">
        <v>1385</v>
      </c>
      <c r="BC1269" s="472" t="s">
        <v>1385</v>
      </c>
      <c r="BD1269" s="472" t="s">
        <v>1385</v>
      </c>
      <c r="BE1269" s="472" t="s">
        <v>1385</v>
      </c>
      <c r="BF1269" s="472">
        <v>16821</v>
      </c>
      <c r="BG1269" s="472">
        <v>0</v>
      </c>
      <c r="BH1269" s="472" t="s">
        <v>1385</v>
      </c>
      <c r="BI1269" s="510">
        <v>0</v>
      </c>
      <c r="BJ1269" s="510">
        <v>0</v>
      </c>
      <c r="BK1269" s="510">
        <v>0</v>
      </c>
      <c r="BL1269" s="510">
        <v>0</v>
      </c>
      <c r="BM1269" s="510">
        <v>0</v>
      </c>
      <c r="BN1269" s="510">
        <v>2000</v>
      </c>
      <c r="BO1269" s="510">
        <v>0</v>
      </c>
      <c r="BP1269" s="510">
        <v>0</v>
      </c>
      <c r="BQ1269" s="510">
        <v>0</v>
      </c>
      <c r="BR1269" s="510">
        <v>0</v>
      </c>
      <c r="BS1269" s="510">
        <v>0</v>
      </c>
      <c r="BT1269" s="510">
        <v>0</v>
      </c>
      <c r="BU1269" s="510">
        <v>0</v>
      </c>
      <c r="BV1269" s="510">
        <v>0</v>
      </c>
      <c r="BW1269" s="510">
        <v>0</v>
      </c>
      <c r="BX1269" s="510">
        <v>30000</v>
      </c>
      <c r="BY1269" s="1011">
        <v>0</v>
      </c>
      <c r="BZ1269" s="510">
        <v>0</v>
      </c>
      <c r="CA1269" s="1011">
        <v>0</v>
      </c>
      <c r="CB1269" s="510">
        <v>0</v>
      </c>
      <c r="CC1269" s="1011">
        <v>0</v>
      </c>
      <c r="CD1269" s="510">
        <v>0</v>
      </c>
      <c r="CE1269" s="1011">
        <v>0</v>
      </c>
      <c r="CF1269" s="510">
        <v>37413.599999999999</v>
      </c>
      <c r="CG1269" s="1011">
        <v>0</v>
      </c>
      <c r="CH1269" s="510">
        <v>0</v>
      </c>
      <c r="CI1269" s="1011">
        <v>0</v>
      </c>
    </row>
    <row r="1270" spans="1:87" x14ac:dyDescent="0.2">
      <c r="A1270" s="449">
        <v>8</v>
      </c>
      <c r="B1270" s="453">
        <v>400072</v>
      </c>
      <c r="C1270" s="454" t="s">
        <v>10436</v>
      </c>
      <c r="D1270" s="454" t="s">
        <v>4613</v>
      </c>
      <c r="E1270" s="454" t="s">
        <v>10437</v>
      </c>
      <c r="F1270" s="454" t="s">
        <v>513</v>
      </c>
      <c r="G1270" s="454" t="s">
        <v>14414</v>
      </c>
      <c r="H1270" s="455">
        <v>7033138000136</v>
      </c>
      <c r="I1270" s="462">
        <v>38190</v>
      </c>
      <c r="J1270" s="457">
        <v>37530909</v>
      </c>
      <c r="K1270" s="454" t="s">
        <v>10438</v>
      </c>
      <c r="L1270" s="458">
        <v>494</v>
      </c>
      <c r="M1270" s="454" t="s">
        <v>2256</v>
      </c>
      <c r="N1270" s="459">
        <v>3968010</v>
      </c>
      <c r="O1270" s="460">
        <v>29190308</v>
      </c>
      <c r="P1270" s="462">
        <v>144536</v>
      </c>
      <c r="Q1270" s="462">
        <v>8</v>
      </c>
      <c r="R1270" s="462">
        <v>43937</v>
      </c>
      <c r="S1270" s="463">
        <v>123</v>
      </c>
      <c r="T1270" s="464">
        <v>3.6</v>
      </c>
      <c r="U1270" s="465">
        <v>442.8</v>
      </c>
      <c r="V1270" s="465">
        <v>10800</v>
      </c>
      <c r="W1270" s="466">
        <v>0</v>
      </c>
      <c r="X1270" s="467">
        <v>1</v>
      </c>
      <c r="Y1270" s="466">
        <v>16864.2</v>
      </c>
      <c r="Z1270" s="468" t="s">
        <v>516</v>
      </c>
      <c r="AA1270" s="466">
        <v>84285</v>
      </c>
      <c r="AB1270" s="466">
        <v>84285</v>
      </c>
      <c r="AC1270" s="467">
        <v>0</v>
      </c>
      <c r="AD1270" s="466">
        <v>0</v>
      </c>
      <c r="AE1270" s="468" t="s">
        <v>516</v>
      </c>
      <c r="AF1270" s="466">
        <v>0</v>
      </c>
      <c r="AG1270" s="466">
        <v>0</v>
      </c>
      <c r="AH1270" s="466">
        <v>11358</v>
      </c>
      <c r="AI1270" s="466">
        <v>0</v>
      </c>
      <c r="AJ1270" s="469" t="s">
        <v>2030</v>
      </c>
      <c r="AK1270" s="470" t="s">
        <v>513</v>
      </c>
      <c r="AL1270" s="471" t="s">
        <v>10439</v>
      </c>
      <c r="AM1270" s="470" t="s">
        <v>10440</v>
      </c>
      <c r="AN1270" s="470" t="s">
        <v>10441</v>
      </c>
      <c r="AO1270" s="470" t="s">
        <v>10442</v>
      </c>
      <c r="AP1270" s="470" t="s">
        <v>7805</v>
      </c>
      <c r="AQ1270" s="470" t="s">
        <v>10436</v>
      </c>
      <c r="AR1270" s="472" t="s">
        <v>515</v>
      </c>
      <c r="AS1270" s="473" t="s">
        <v>1385</v>
      </c>
      <c r="AT1270" s="472" t="s">
        <v>4613</v>
      </c>
      <c r="AU1270" s="472" t="s">
        <v>420</v>
      </c>
      <c r="AV1270" s="472">
        <v>2020</v>
      </c>
      <c r="AW1270" s="474" t="s">
        <v>15078</v>
      </c>
      <c r="AX1270" s="475" t="s">
        <v>15079</v>
      </c>
      <c r="AY1270" s="515">
        <v>1</v>
      </c>
      <c r="AZ1270" s="474" t="s">
        <v>15079</v>
      </c>
      <c r="BA1270" s="472" t="s">
        <v>4613</v>
      </c>
      <c r="BB1270" s="472" t="s">
        <v>1385</v>
      </c>
      <c r="BC1270" s="472" t="s">
        <v>1385</v>
      </c>
      <c r="BD1270" s="472" t="s">
        <v>1385</v>
      </c>
      <c r="BE1270" s="472" t="s">
        <v>1385</v>
      </c>
      <c r="BF1270" s="472">
        <v>16864.2</v>
      </c>
      <c r="BG1270" s="472">
        <v>0</v>
      </c>
      <c r="BH1270" s="472" t="s">
        <v>1385</v>
      </c>
      <c r="BI1270" s="510">
        <v>0</v>
      </c>
      <c r="BJ1270" s="510">
        <v>0</v>
      </c>
      <c r="BK1270" s="510">
        <v>0</v>
      </c>
      <c r="BL1270" s="510">
        <v>0</v>
      </c>
      <c r="BM1270" s="510">
        <v>0</v>
      </c>
      <c r="BN1270" s="510">
        <v>2000</v>
      </c>
      <c r="BO1270" s="510">
        <v>0</v>
      </c>
      <c r="BP1270" s="510">
        <v>0</v>
      </c>
      <c r="BQ1270" s="510">
        <v>0</v>
      </c>
      <c r="BR1270" s="510">
        <v>0</v>
      </c>
      <c r="BS1270" s="510">
        <v>0</v>
      </c>
      <c r="BT1270" s="510">
        <v>0</v>
      </c>
      <c r="BU1270" s="510">
        <v>0</v>
      </c>
      <c r="BV1270" s="510">
        <v>0</v>
      </c>
      <c r="BW1270" s="510">
        <v>0</v>
      </c>
      <c r="BX1270" s="510">
        <v>30000</v>
      </c>
      <c r="BY1270" s="1011">
        <v>0</v>
      </c>
      <c r="BZ1270" s="510">
        <v>0</v>
      </c>
      <c r="CA1270" s="1011">
        <v>0</v>
      </c>
      <c r="CB1270" s="510">
        <v>0</v>
      </c>
      <c r="CC1270" s="1011">
        <v>0</v>
      </c>
      <c r="CD1270" s="510">
        <v>0</v>
      </c>
      <c r="CE1270" s="1011">
        <v>0</v>
      </c>
      <c r="CF1270" s="510">
        <v>37420.800000000003</v>
      </c>
      <c r="CG1270" s="1011">
        <v>0</v>
      </c>
      <c r="CH1270" s="510">
        <v>0</v>
      </c>
      <c r="CI1270" s="1011">
        <v>0</v>
      </c>
    </row>
    <row r="1271" spans="1:87" x14ac:dyDescent="0.2">
      <c r="A1271" s="449">
        <v>9</v>
      </c>
      <c r="B1271" s="453">
        <v>400073</v>
      </c>
      <c r="C1271" s="454" t="s">
        <v>10443</v>
      </c>
      <c r="D1271" s="454" t="s">
        <v>4613</v>
      </c>
      <c r="E1271" s="454" t="s">
        <v>10444</v>
      </c>
      <c r="F1271" s="454" t="s">
        <v>513</v>
      </c>
      <c r="G1271" s="454" t="s">
        <v>14415</v>
      </c>
      <c r="H1271" s="455">
        <v>7758940000193</v>
      </c>
      <c r="I1271" s="462">
        <v>38667</v>
      </c>
      <c r="J1271" s="457">
        <v>35682663</v>
      </c>
      <c r="K1271" s="454" t="s">
        <v>10445</v>
      </c>
      <c r="L1271" s="458">
        <v>30</v>
      </c>
      <c r="M1271" s="454" t="s">
        <v>4456</v>
      </c>
      <c r="N1271" s="459">
        <v>8310240</v>
      </c>
      <c r="O1271" s="460">
        <v>27542551</v>
      </c>
      <c r="P1271" s="462">
        <v>144560</v>
      </c>
      <c r="Q1271" s="462">
        <v>9</v>
      </c>
      <c r="R1271" s="462">
        <v>43937</v>
      </c>
      <c r="S1271" s="463">
        <v>122</v>
      </c>
      <c r="T1271" s="464">
        <v>3.6</v>
      </c>
      <c r="U1271" s="465">
        <v>439.2</v>
      </c>
      <c r="V1271" s="465">
        <v>10800</v>
      </c>
      <c r="W1271" s="466">
        <v>0</v>
      </c>
      <c r="X1271" s="467">
        <v>1</v>
      </c>
      <c r="Y1271" s="466">
        <v>16858.8</v>
      </c>
      <c r="Z1271" s="468" t="s">
        <v>516</v>
      </c>
      <c r="AA1271" s="466">
        <v>84315.6</v>
      </c>
      <c r="AB1271" s="466">
        <v>84315.6</v>
      </c>
      <c r="AC1271" s="467">
        <v>0</v>
      </c>
      <c r="AD1271" s="466">
        <v>0</v>
      </c>
      <c r="AE1271" s="468" t="s">
        <v>516</v>
      </c>
      <c r="AF1271" s="466">
        <v>0</v>
      </c>
      <c r="AG1271" s="466">
        <v>0</v>
      </c>
      <c r="AH1271" s="466">
        <v>13824.93</v>
      </c>
      <c r="AI1271" s="466">
        <v>0</v>
      </c>
      <c r="AJ1271" s="469" t="s">
        <v>2030</v>
      </c>
      <c r="AK1271" s="470" t="s">
        <v>513</v>
      </c>
      <c r="AL1271" s="471" t="s">
        <v>8198</v>
      </c>
      <c r="AM1271" s="470" t="s">
        <v>10446</v>
      </c>
      <c r="AN1271" s="470" t="s">
        <v>280</v>
      </c>
      <c r="AO1271" s="470" t="s">
        <v>10447</v>
      </c>
      <c r="AP1271" s="470" t="s">
        <v>10448</v>
      </c>
      <c r="AQ1271" s="470" t="s">
        <v>10443</v>
      </c>
      <c r="AR1271" s="472" t="s">
        <v>515</v>
      </c>
      <c r="AS1271" s="473" t="s">
        <v>1385</v>
      </c>
      <c r="AT1271" s="472" t="s">
        <v>4613</v>
      </c>
      <c r="AU1271" s="472" t="s">
        <v>420</v>
      </c>
      <c r="AV1271" s="472">
        <v>2020</v>
      </c>
      <c r="AW1271" s="474" t="s">
        <v>15078</v>
      </c>
      <c r="AX1271" s="475" t="s">
        <v>15079</v>
      </c>
      <c r="AY1271" s="515">
        <v>1</v>
      </c>
      <c r="AZ1271" s="474" t="s">
        <v>15079</v>
      </c>
      <c r="BA1271" s="472" t="s">
        <v>4613</v>
      </c>
      <c r="BB1271" s="472" t="s">
        <v>1385</v>
      </c>
      <c r="BC1271" s="472" t="s">
        <v>1385</v>
      </c>
      <c r="BD1271" s="472" t="s">
        <v>1385</v>
      </c>
      <c r="BE1271" s="472" t="s">
        <v>1385</v>
      </c>
      <c r="BF1271" s="472">
        <v>16858.8</v>
      </c>
      <c r="BG1271" s="472">
        <v>0</v>
      </c>
      <c r="BH1271" s="472" t="s">
        <v>1385</v>
      </c>
      <c r="BI1271" s="510">
        <v>0</v>
      </c>
      <c r="BJ1271" s="510">
        <v>0</v>
      </c>
      <c r="BK1271" s="510">
        <v>0</v>
      </c>
      <c r="BL1271" s="510">
        <v>0</v>
      </c>
      <c r="BM1271" s="510">
        <v>0</v>
      </c>
      <c r="BN1271" s="510">
        <v>2000</v>
      </c>
      <c r="BO1271" s="510">
        <v>0</v>
      </c>
      <c r="BP1271" s="510">
        <v>0</v>
      </c>
      <c r="BQ1271" s="510">
        <v>0</v>
      </c>
      <c r="BR1271" s="510">
        <v>0</v>
      </c>
      <c r="BS1271" s="510">
        <v>0</v>
      </c>
      <c r="BT1271" s="510">
        <v>0</v>
      </c>
      <c r="BU1271" s="510">
        <v>0</v>
      </c>
      <c r="BV1271" s="510">
        <v>0</v>
      </c>
      <c r="BW1271" s="510">
        <v>0</v>
      </c>
      <c r="BX1271" s="510">
        <v>30000</v>
      </c>
      <c r="BY1271" s="1011">
        <v>0</v>
      </c>
      <c r="BZ1271" s="510">
        <v>0</v>
      </c>
      <c r="CA1271" s="1011">
        <v>0</v>
      </c>
      <c r="CB1271" s="510">
        <v>0</v>
      </c>
      <c r="CC1271" s="1011">
        <v>0</v>
      </c>
      <c r="CD1271" s="510">
        <v>0</v>
      </c>
      <c r="CE1271" s="1011">
        <v>0</v>
      </c>
      <c r="CF1271" s="510">
        <v>37456.800000000003</v>
      </c>
      <c r="CG1271" s="1011">
        <v>0</v>
      </c>
      <c r="CH1271" s="510">
        <v>0</v>
      </c>
      <c r="CI1271" s="1011">
        <v>0</v>
      </c>
    </row>
    <row r="1272" spans="1:87" x14ac:dyDescent="0.2">
      <c r="A1272" s="449">
        <v>9</v>
      </c>
      <c r="B1272" s="453">
        <v>400074</v>
      </c>
      <c r="C1272" s="454" t="s">
        <v>10449</v>
      </c>
      <c r="D1272" s="454" t="s">
        <v>4613</v>
      </c>
      <c r="E1272" s="454" t="s">
        <v>10449</v>
      </c>
      <c r="F1272" s="454" t="s">
        <v>520</v>
      </c>
      <c r="G1272" s="454" t="s">
        <v>14416</v>
      </c>
      <c r="H1272" s="455">
        <v>9214755000163</v>
      </c>
      <c r="I1272" s="462">
        <v>39260</v>
      </c>
      <c r="J1272" s="457">
        <v>37621459</v>
      </c>
      <c r="K1272" s="454" t="s">
        <v>10451</v>
      </c>
      <c r="L1272" s="458">
        <v>215</v>
      </c>
      <c r="M1272" s="454" t="s">
        <v>10452</v>
      </c>
      <c r="N1272" s="459">
        <v>4939170</v>
      </c>
      <c r="O1272" s="460">
        <v>58423100</v>
      </c>
      <c r="P1272" s="462">
        <v>291504</v>
      </c>
      <c r="Q1272" s="462">
        <v>9</v>
      </c>
      <c r="R1272" s="462">
        <v>43979</v>
      </c>
      <c r="S1272" s="463">
        <v>145</v>
      </c>
      <c r="T1272" s="464">
        <v>3.6</v>
      </c>
      <c r="U1272" s="465">
        <v>522</v>
      </c>
      <c r="V1272" s="465">
        <v>10800</v>
      </c>
      <c r="W1272" s="466">
        <v>0</v>
      </c>
      <c r="X1272" s="467">
        <v>1</v>
      </c>
      <c r="Y1272" s="466">
        <v>16983</v>
      </c>
      <c r="Z1272" s="468" t="s">
        <v>516</v>
      </c>
      <c r="AA1272" s="466">
        <v>84497.4</v>
      </c>
      <c r="AB1272" s="466">
        <v>84497.4</v>
      </c>
      <c r="AC1272" s="467">
        <v>0</v>
      </c>
      <c r="AD1272" s="466">
        <v>0</v>
      </c>
      <c r="AE1272" s="468" t="s">
        <v>516</v>
      </c>
      <c r="AF1272" s="466">
        <v>0</v>
      </c>
      <c r="AG1272" s="466">
        <v>0</v>
      </c>
      <c r="AH1272" s="466">
        <v>8454.61</v>
      </c>
      <c r="AI1272" s="466">
        <v>3359.32</v>
      </c>
      <c r="AJ1272" s="469" t="s">
        <v>2755</v>
      </c>
      <c r="AK1272" s="470" t="s">
        <v>2756</v>
      </c>
      <c r="AL1272" s="471" t="s">
        <v>10453</v>
      </c>
      <c r="AM1272" s="470" t="s">
        <v>10454</v>
      </c>
      <c r="AN1272" s="470" t="s">
        <v>10450</v>
      </c>
      <c r="AO1272" s="470" t="s">
        <v>10455</v>
      </c>
      <c r="AP1272" s="470" t="s">
        <v>10452</v>
      </c>
      <c r="AQ1272" s="470" t="s">
        <v>10449</v>
      </c>
      <c r="AR1272" s="472" t="s">
        <v>515</v>
      </c>
      <c r="AS1272" s="473" t="s">
        <v>1385</v>
      </c>
      <c r="AT1272" s="472" t="s">
        <v>4613</v>
      </c>
      <c r="AU1272" s="472" t="s">
        <v>420</v>
      </c>
      <c r="AV1272" s="472">
        <v>2020</v>
      </c>
      <c r="AW1272" s="474" t="s">
        <v>15078</v>
      </c>
      <c r="AX1272" s="475" t="s">
        <v>15079</v>
      </c>
      <c r="AY1272" s="515">
        <v>1</v>
      </c>
      <c r="AZ1272" s="474" t="s">
        <v>15079</v>
      </c>
      <c r="BA1272" s="472" t="s">
        <v>4613</v>
      </c>
      <c r="BB1272" s="472" t="s">
        <v>1385</v>
      </c>
      <c r="BC1272" s="472" t="s">
        <v>1385</v>
      </c>
      <c r="BD1272" s="472" t="s">
        <v>1385</v>
      </c>
      <c r="BE1272" s="472" t="s">
        <v>1385</v>
      </c>
      <c r="BF1272" s="472">
        <v>16983</v>
      </c>
      <c r="BG1272" s="472">
        <v>0</v>
      </c>
      <c r="BH1272" s="472" t="s">
        <v>1385</v>
      </c>
      <c r="BI1272" s="510">
        <v>0</v>
      </c>
      <c r="BJ1272" s="510">
        <v>5109.93</v>
      </c>
      <c r="BK1272" s="510">
        <v>0</v>
      </c>
      <c r="BL1272" s="510">
        <v>0</v>
      </c>
      <c r="BM1272" s="510">
        <v>0</v>
      </c>
      <c r="BN1272" s="510">
        <v>2000</v>
      </c>
      <c r="BO1272" s="510">
        <v>0</v>
      </c>
      <c r="BP1272" s="510">
        <v>0</v>
      </c>
      <c r="BQ1272" s="510">
        <v>0</v>
      </c>
      <c r="BR1272" s="510">
        <v>0</v>
      </c>
      <c r="BS1272" s="510">
        <v>0</v>
      </c>
      <c r="BT1272" s="510">
        <v>0</v>
      </c>
      <c r="BU1272" s="510">
        <v>0</v>
      </c>
      <c r="BV1272" s="510">
        <v>0</v>
      </c>
      <c r="BW1272" s="510">
        <v>0</v>
      </c>
      <c r="BX1272" s="510">
        <v>30000</v>
      </c>
      <c r="BY1272" s="1011">
        <v>0</v>
      </c>
      <c r="BZ1272" s="510">
        <v>0</v>
      </c>
      <c r="CA1272" s="1011">
        <v>0</v>
      </c>
      <c r="CB1272" s="510">
        <v>0</v>
      </c>
      <c r="CC1272" s="1011">
        <v>0</v>
      </c>
      <c r="CD1272" s="510">
        <v>0</v>
      </c>
      <c r="CE1272" s="1011">
        <v>0</v>
      </c>
      <c r="CF1272" s="510">
        <v>37514.400000000001</v>
      </c>
      <c r="CG1272" s="1011">
        <v>0</v>
      </c>
      <c r="CH1272" s="510">
        <v>0</v>
      </c>
      <c r="CI1272" s="1011">
        <v>0</v>
      </c>
    </row>
    <row r="1273" spans="1:87" x14ac:dyDescent="0.2">
      <c r="A1273" s="449">
        <v>9</v>
      </c>
      <c r="B1273" s="453">
        <v>400075</v>
      </c>
      <c r="C1273" s="454" t="s">
        <v>10456</v>
      </c>
      <c r="D1273" s="454" t="s">
        <v>4613</v>
      </c>
      <c r="E1273" s="454" t="s">
        <v>10457</v>
      </c>
      <c r="F1273" s="454" t="s">
        <v>527</v>
      </c>
      <c r="G1273" s="454" t="s">
        <v>14417</v>
      </c>
      <c r="H1273" s="455">
        <v>7911139000136</v>
      </c>
      <c r="I1273" s="462">
        <v>38765</v>
      </c>
      <c r="J1273" s="457">
        <v>37585770</v>
      </c>
      <c r="K1273" s="454" t="s">
        <v>10458</v>
      </c>
      <c r="L1273" s="458">
        <v>18</v>
      </c>
      <c r="M1273" s="454" t="s">
        <v>6008</v>
      </c>
      <c r="N1273" s="459">
        <v>3887040</v>
      </c>
      <c r="O1273" s="460">
        <v>22809976</v>
      </c>
      <c r="P1273" s="462">
        <v>178210</v>
      </c>
      <c r="Q1273" s="462">
        <v>9</v>
      </c>
      <c r="R1273" s="462">
        <v>43917</v>
      </c>
      <c r="S1273" s="463">
        <v>91</v>
      </c>
      <c r="T1273" s="464">
        <v>3.6</v>
      </c>
      <c r="U1273" s="465">
        <v>327.60000000000002</v>
      </c>
      <c r="V1273" s="465">
        <v>10800</v>
      </c>
      <c r="W1273" s="466">
        <v>0</v>
      </c>
      <c r="X1273" s="467">
        <v>1</v>
      </c>
      <c r="Y1273" s="466">
        <v>16691.400000000001</v>
      </c>
      <c r="Z1273" s="468" t="s">
        <v>516</v>
      </c>
      <c r="AA1273" s="466">
        <v>83946.6</v>
      </c>
      <c r="AB1273" s="466">
        <v>83946.6</v>
      </c>
      <c r="AC1273" s="467">
        <v>0</v>
      </c>
      <c r="AD1273" s="466">
        <v>0</v>
      </c>
      <c r="AE1273" s="468" t="s">
        <v>516</v>
      </c>
      <c r="AF1273" s="466">
        <v>0</v>
      </c>
      <c r="AG1273" s="466">
        <v>0</v>
      </c>
      <c r="AH1273" s="466">
        <v>14923.76</v>
      </c>
      <c r="AI1273" s="466">
        <v>5874.24</v>
      </c>
      <c r="AJ1273" s="469" t="s">
        <v>2004</v>
      </c>
      <c r="AK1273" s="470" t="s">
        <v>2005</v>
      </c>
      <c r="AL1273" s="471" t="s">
        <v>10459</v>
      </c>
      <c r="AM1273" s="470" t="s">
        <v>10460</v>
      </c>
      <c r="AN1273" s="470" t="s">
        <v>14417</v>
      </c>
      <c r="AO1273" s="470" t="s">
        <v>14418</v>
      </c>
      <c r="AP1273" s="470" t="s">
        <v>6008</v>
      </c>
      <c r="AQ1273" s="470" t="s">
        <v>10456</v>
      </c>
      <c r="AR1273" s="472" t="s">
        <v>515</v>
      </c>
      <c r="AS1273" s="473" t="s">
        <v>1385</v>
      </c>
      <c r="AT1273" s="472" t="s">
        <v>4613</v>
      </c>
      <c r="AU1273" s="472" t="s">
        <v>420</v>
      </c>
      <c r="AV1273" s="472">
        <v>2020</v>
      </c>
      <c r="AW1273" s="474" t="s">
        <v>15078</v>
      </c>
      <c r="AX1273" s="475" t="s">
        <v>15079</v>
      </c>
      <c r="AY1273" s="515">
        <v>1</v>
      </c>
      <c r="AZ1273" s="474" t="s">
        <v>15079</v>
      </c>
      <c r="BA1273" s="472" t="s">
        <v>4613</v>
      </c>
      <c r="BB1273" s="472" t="s">
        <v>1385</v>
      </c>
      <c r="BC1273" s="472" t="s">
        <v>1385</v>
      </c>
      <c r="BD1273" s="472" t="s">
        <v>1385</v>
      </c>
      <c r="BE1273" s="472" t="s">
        <v>1385</v>
      </c>
      <c r="BF1273" s="472">
        <v>16691.400000000001</v>
      </c>
      <c r="BG1273" s="472">
        <v>0</v>
      </c>
      <c r="BH1273" s="472" t="s">
        <v>1385</v>
      </c>
      <c r="BI1273" s="510">
        <v>0</v>
      </c>
      <c r="BJ1273" s="510">
        <v>375.21</v>
      </c>
      <c r="BK1273" s="510">
        <v>0</v>
      </c>
      <c r="BL1273" s="510">
        <v>0</v>
      </c>
      <c r="BM1273" s="510">
        <v>0</v>
      </c>
      <c r="BN1273" s="510">
        <v>1500</v>
      </c>
      <c r="BO1273" s="510">
        <v>0</v>
      </c>
      <c r="BP1273" s="510">
        <v>0</v>
      </c>
      <c r="BQ1273" s="510">
        <v>0</v>
      </c>
      <c r="BR1273" s="510">
        <v>0</v>
      </c>
      <c r="BS1273" s="510">
        <v>0</v>
      </c>
      <c r="BT1273" s="510">
        <v>0</v>
      </c>
      <c r="BU1273" s="510">
        <v>0</v>
      </c>
      <c r="BV1273" s="510">
        <v>0</v>
      </c>
      <c r="BW1273" s="510">
        <v>0</v>
      </c>
      <c r="BX1273" s="510">
        <v>30000</v>
      </c>
      <c r="BY1273" s="1011">
        <v>0</v>
      </c>
      <c r="BZ1273" s="510">
        <v>0</v>
      </c>
      <c r="CA1273" s="1011">
        <v>0</v>
      </c>
      <c r="CB1273" s="510">
        <v>0</v>
      </c>
      <c r="CC1273" s="1011">
        <v>0</v>
      </c>
      <c r="CD1273" s="510">
        <v>0</v>
      </c>
      <c r="CE1273" s="1011">
        <v>0</v>
      </c>
      <c r="CF1273" s="510">
        <v>37255.199999999997</v>
      </c>
      <c r="CG1273" s="1011">
        <v>0</v>
      </c>
      <c r="CH1273" s="510">
        <v>0</v>
      </c>
      <c r="CI1273" s="1011">
        <v>0</v>
      </c>
    </row>
    <row r="1274" spans="1:87" x14ac:dyDescent="0.2">
      <c r="A1274" s="449">
        <v>5</v>
      </c>
      <c r="B1274" s="453">
        <v>400076</v>
      </c>
      <c r="C1274" s="454" t="s">
        <v>10461</v>
      </c>
      <c r="D1274" s="454" t="s">
        <v>4613</v>
      </c>
      <c r="E1274" s="454" t="s">
        <v>10462</v>
      </c>
      <c r="F1274" s="454" t="s">
        <v>529</v>
      </c>
      <c r="G1274" s="454" t="s">
        <v>14419</v>
      </c>
      <c r="H1274" s="455">
        <v>7716306000198</v>
      </c>
      <c r="I1274" s="462">
        <v>38623</v>
      </c>
      <c r="J1274" s="457">
        <v>37523627</v>
      </c>
      <c r="K1274" s="454" t="s">
        <v>10463</v>
      </c>
      <c r="L1274" s="458">
        <v>401</v>
      </c>
      <c r="M1274" s="454" t="s">
        <v>1789</v>
      </c>
      <c r="N1274" s="459">
        <v>4652234</v>
      </c>
      <c r="O1274" s="460">
        <v>55623781</v>
      </c>
      <c r="P1274" s="462">
        <v>563202</v>
      </c>
      <c r="Q1274" s="462">
        <v>7</v>
      </c>
      <c r="R1274" s="462">
        <v>43921</v>
      </c>
      <c r="S1274" s="463">
        <v>128</v>
      </c>
      <c r="T1274" s="464">
        <v>3.6</v>
      </c>
      <c r="U1274" s="465">
        <v>460.8</v>
      </c>
      <c r="V1274" s="465">
        <v>10800</v>
      </c>
      <c r="W1274" s="466">
        <v>0</v>
      </c>
      <c r="X1274" s="467">
        <v>1</v>
      </c>
      <c r="Y1274" s="466">
        <v>0</v>
      </c>
      <c r="Z1274" s="468" t="s">
        <v>514</v>
      </c>
      <c r="AA1274" s="466">
        <v>0</v>
      </c>
      <c r="AB1274" s="466">
        <v>0</v>
      </c>
      <c r="AC1274" s="467">
        <v>0</v>
      </c>
      <c r="AD1274" s="466">
        <v>0</v>
      </c>
      <c r="AE1274" s="468" t="s">
        <v>516</v>
      </c>
      <c r="AF1274" s="466">
        <v>0</v>
      </c>
      <c r="AG1274" s="466">
        <v>0</v>
      </c>
      <c r="AH1274" s="466">
        <v>0</v>
      </c>
      <c r="AI1274" s="466">
        <v>65.41</v>
      </c>
      <c r="AJ1274" s="469" t="s">
        <v>1481</v>
      </c>
      <c r="AK1274" s="470" t="s">
        <v>1482</v>
      </c>
      <c r="AL1274" s="471" t="s">
        <v>10464</v>
      </c>
      <c r="AM1274" s="470" t="s">
        <v>14420</v>
      </c>
      <c r="AN1274" s="470" t="s">
        <v>14897</v>
      </c>
      <c r="AO1274" s="470" t="s">
        <v>10465</v>
      </c>
      <c r="AP1274" s="470" t="s">
        <v>10466</v>
      </c>
      <c r="AQ1274" s="470" t="s">
        <v>10461</v>
      </c>
      <c r="AR1274" s="472" t="s">
        <v>515</v>
      </c>
      <c r="AS1274" s="473" t="s">
        <v>1385</v>
      </c>
      <c r="AT1274" s="472" t="s">
        <v>4613</v>
      </c>
      <c r="AU1274" s="472" t="s">
        <v>420</v>
      </c>
      <c r="AV1274" s="472">
        <v>2020</v>
      </c>
      <c r="AW1274" s="474" t="s">
        <v>15078</v>
      </c>
      <c r="AX1274" s="475" t="s">
        <v>15079</v>
      </c>
      <c r="AY1274" s="515">
        <v>1</v>
      </c>
      <c r="AZ1274" s="474" t="s">
        <v>15079</v>
      </c>
      <c r="BA1274" s="472" t="s">
        <v>1385</v>
      </c>
      <c r="BB1274" s="472" t="s">
        <v>1385</v>
      </c>
      <c r="BC1274" s="472" t="s">
        <v>1385</v>
      </c>
      <c r="BD1274" s="472" t="s">
        <v>1385</v>
      </c>
      <c r="BE1274" s="472" t="s">
        <v>1385</v>
      </c>
      <c r="BF1274" s="472">
        <v>16891.2</v>
      </c>
      <c r="BG1274" s="472">
        <v>0</v>
      </c>
      <c r="BH1274" s="472" t="s">
        <v>516</v>
      </c>
      <c r="BI1274" s="510">
        <v>0</v>
      </c>
      <c r="BJ1274" s="510">
        <v>0</v>
      </c>
      <c r="BK1274" s="510">
        <v>0</v>
      </c>
      <c r="BL1274" s="510">
        <v>0</v>
      </c>
      <c r="BM1274" s="510">
        <v>0</v>
      </c>
      <c r="BN1274" s="510">
        <v>0</v>
      </c>
      <c r="BO1274" s="510">
        <v>0</v>
      </c>
      <c r="BP1274" s="510">
        <v>0</v>
      </c>
      <c r="BQ1274" s="510">
        <v>0</v>
      </c>
      <c r="BR1274" s="510">
        <v>0</v>
      </c>
      <c r="BS1274" s="510">
        <v>0</v>
      </c>
      <c r="BT1274" s="510">
        <v>0</v>
      </c>
      <c r="BU1274" s="510">
        <v>0</v>
      </c>
      <c r="BV1274" s="510">
        <v>0</v>
      </c>
      <c r="BW1274" s="510">
        <v>0</v>
      </c>
      <c r="BX1274" s="510">
        <v>0</v>
      </c>
      <c r="BY1274" s="1011">
        <v>0</v>
      </c>
      <c r="BZ1274" s="510">
        <v>0</v>
      </c>
      <c r="CA1274" s="1011">
        <v>0</v>
      </c>
      <c r="CB1274" s="510">
        <v>0</v>
      </c>
      <c r="CC1274" s="1011">
        <v>0</v>
      </c>
      <c r="CD1274" s="510">
        <v>0</v>
      </c>
      <c r="CE1274" s="1011">
        <v>0</v>
      </c>
      <c r="CF1274" s="510">
        <v>0</v>
      </c>
      <c r="CG1274" s="1011">
        <v>0</v>
      </c>
      <c r="CH1274" s="510">
        <v>0</v>
      </c>
      <c r="CI1274" s="1011">
        <v>0</v>
      </c>
    </row>
    <row r="1275" spans="1:87" x14ac:dyDescent="0.2">
      <c r="A1275" s="449">
        <v>10</v>
      </c>
      <c r="B1275" s="453">
        <v>400077</v>
      </c>
      <c r="C1275" s="454" t="s">
        <v>10467</v>
      </c>
      <c r="D1275" s="454" t="s">
        <v>4613</v>
      </c>
      <c r="E1275" s="454" t="s">
        <v>10468</v>
      </c>
      <c r="F1275" s="454" t="s">
        <v>525</v>
      </c>
      <c r="G1275" s="454" t="s">
        <v>14421</v>
      </c>
      <c r="H1275" s="455">
        <v>8071413000179</v>
      </c>
      <c r="I1275" s="462">
        <v>38762</v>
      </c>
      <c r="J1275" s="457">
        <v>37357670</v>
      </c>
      <c r="K1275" s="454" t="s">
        <v>10470</v>
      </c>
      <c r="L1275" s="458" t="s">
        <v>1446</v>
      </c>
      <c r="M1275" s="454" t="s">
        <v>10471</v>
      </c>
      <c r="N1275" s="459">
        <v>2367010</v>
      </c>
      <c r="O1275" s="460">
        <v>29925776</v>
      </c>
      <c r="P1275" s="462">
        <v>323341</v>
      </c>
      <c r="Q1275" s="462">
        <v>10</v>
      </c>
      <c r="R1275" s="462">
        <v>43950</v>
      </c>
      <c r="S1275" s="463">
        <v>217</v>
      </c>
      <c r="T1275" s="464">
        <v>3.6</v>
      </c>
      <c r="U1275" s="465">
        <v>781.2</v>
      </c>
      <c r="V1275" s="465">
        <v>11760</v>
      </c>
      <c r="W1275" s="466">
        <v>0</v>
      </c>
      <c r="X1275" s="467">
        <v>1</v>
      </c>
      <c r="Y1275" s="466">
        <v>18811.8</v>
      </c>
      <c r="Z1275" s="468" t="s">
        <v>516</v>
      </c>
      <c r="AA1275" s="466">
        <v>88800.6</v>
      </c>
      <c r="AB1275" s="466">
        <v>88800.6</v>
      </c>
      <c r="AC1275" s="467">
        <v>0</v>
      </c>
      <c r="AD1275" s="466">
        <v>0</v>
      </c>
      <c r="AE1275" s="468" t="s">
        <v>516</v>
      </c>
      <c r="AF1275" s="466">
        <v>0</v>
      </c>
      <c r="AG1275" s="466">
        <v>0</v>
      </c>
      <c r="AH1275" s="466">
        <v>23982.880000000001</v>
      </c>
      <c r="AI1275" s="466">
        <v>13729.16</v>
      </c>
      <c r="AJ1275" s="469" t="s">
        <v>1448</v>
      </c>
      <c r="AK1275" s="470" t="s">
        <v>1449</v>
      </c>
      <c r="AL1275" s="471" t="s">
        <v>10472</v>
      </c>
      <c r="AM1275" s="470" t="s">
        <v>14422</v>
      </c>
      <c r="AN1275" s="470" t="s">
        <v>10469</v>
      </c>
      <c r="AO1275" s="470" t="s">
        <v>10473</v>
      </c>
      <c r="AP1275" s="470" t="s">
        <v>10474</v>
      </c>
      <c r="AQ1275" s="470" t="s">
        <v>10467</v>
      </c>
      <c r="AR1275" s="472" t="s">
        <v>515</v>
      </c>
      <c r="AS1275" s="473" t="s">
        <v>1385</v>
      </c>
      <c r="AT1275" s="472" t="s">
        <v>4613</v>
      </c>
      <c r="AU1275" s="472" t="s">
        <v>420</v>
      </c>
      <c r="AV1275" s="472">
        <v>2020</v>
      </c>
      <c r="AW1275" s="474" t="s">
        <v>15078</v>
      </c>
      <c r="AX1275" s="475" t="s">
        <v>15079</v>
      </c>
      <c r="AY1275" s="515">
        <v>1</v>
      </c>
      <c r="AZ1275" s="474" t="s">
        <v>15079</v>
      </c>
      <c r="BA1275" s="472" t="s">
        <v>4613</v>
      </c>
      <c r="BB1275" s="472" t="s">
        <v>1385</v>
      </c>
      <c r="BC1275" s="472" t="s">
        <v>1385</v>
      </c>
      <c r="BD1275" s="472" t="s">
        <v>1385</v>
      </c>
      <c r="BE1275" s="472" t="s">
        <v>1385</v>
      </c>
      <c r="BF1275" s="472">
        <v>18811.8</v>
      </c>
      <c r="BG1275" s="472">
        <v>0</v>
      </c>
      <c r="BH1275" s="472" t="s">
        <v>1385</v>
      </c>
      <c r="BI1275" s="510">
        <v>0</v>
      </c>
      <c r="BJ1275" s="510">
        <v>296.5</v>
      </c>
      <c r="BK1275" s="510">
        <v>0</v>
      </c>
      <c r="BL1275" s="510">
        <v>0</v>
      </c>
      <c r="BM1275" s="510">
        <v>0</v>
      </c>
      <c r="BN1275" s="510">
        <v>2000</v>
      </c>
      <c r="BO1275" s="510">
        <v>0</v>
      </c>
      <c r="BP1275" s="510">
        <v>0</v>
      </c>
      <c r="BQ1275" s="510">
        <v>0</v>
      </c>
      <c r="BR1275" s="510">
        <v>0</v>
      </c>
      <c r="BS1275" s="510">
        <v>0</v>
      </c>
      <c r="BT1275" s="510">
        <v>0</v>
      </c>
      <c r="BU1275" s="510">
        <v>0</v>
      </c>
      <c r="BV1275" s="510">
        <v>0</v>
      </c>
      <c r="BW1275" s="510">
        <v>0</v>
      </c>
      <c r="BX1275" s="510">
        <v>30000</v>
      </c>
      <c r="BY1275" s="1011">
        <v>0</v>
      </c>
      <c r="BZ1275" s="510">
        <v>0</v>
      </c>
      <c r="CA1275" s="1011">
        <v>0</v>
      </c>
      <c r="CB1275" s="510">
        <v>0</v>
      </c>
      <c r="CC1275" s="1011">
        <v>0</v>
      </c>
      <c r="CD1275" s="510">
        <v>0</v>
      </c>
      <c r="CE1275" s="1011">
        <v>0</v>
      </c>
      <c r="CF1275" s="510">
        <v>39988.800000000003</v>
      </c>
      <c r="CG1275" s="1011">
        <v>0</v>
      </c>
      <c r="CH1275" s="510">
        <v>0</v>
      </c>
      <c r="CI1275" s="1011">
        <v>0</v>
      </c>
    </row>
    <row r="1276" spans="1:87" x14ac:dyDescent="0.2">
      <c r="A1276" s="449">
        <v>10</v>
      </c>
      <c r="B1276" s="453">
        <v>400078</v>
      </c>
      <c r="C1276" s="454" t="s">
        <v>10475</v>
      </c>
      <c r="D1276" s="454" t="s">
        <v>4613</v>
      </c>
      <c r="E1276" s="454" t="s">
        <v>10475</v>
      </c>
      <c r="F1276" s="454" t="s">
        <v>520</v>
      </c>
      <c r="G1276" s="454" t="s">
        <v>14423</v>
      </c>
      <c r="H1276" s="455">
        <v>8850236000129</v>
      </c>
      <c r="I1276" s="462">
        <v>39150</v>
      </c>
      <c r="J1276" s="457">
        <v>37629697</v>
      </c>
      <c r="K1276" s="454" t="s">
        <v>10477</v>
      </c>
      <c r="L1276" s="458">
        <v>2</v>
      </c>
      <c r="M1276" s="454" t="s">
        <v>10478</v>
      </c>
      <c r="N1276" s="459">
        <v>4935120</v>
      </c>
      <c r="O1276" s="460">
        <v>58735385</v>
      </c>
      <c r="P1276" s="462">
        <v>291598</v>
      </c>
      <c r="Q1276" s="462">
        <v>10</v>
      </c>
      <c r="R1276" s="462">
        <v>43969</v>
      </c>
      <c r="S1276" s="463">
        <v>154</v>
      </c>
      <c r="T1276" s="464">
        <v>3.6</v>
      </c>
      <c r="U1276" s="465">
        <v>554.4</v>
      </c>
      <c r="V1276" s="465">
        <v>10800</v>
      </c>
      <c r="W1276" s="466">
        <v>0</v>
      </c>
      <c r="X1276" s="467">
        <v>1</v>
      </c>
      <c r="Y1276" s="466">
        <v>17031.599999999999</v>
      </c>
      <c r="Z1276" s="468" t="s">
        <v>516</v>
      </c>
      <c r="AA1276" s="466">
        <v>84711.6</v>
      </c>
      <c r="AB1276" s="466">
        <v>84711.6</v>
      </c>
      <c r="AC1276" s="467">
        <v>0</v>
      </c>
      <c r="AD1276" s="466">
        <v>0</v>
      </c>
      <c r="AE1276" s="468" t="s">
        <v>516</v>
      </c>
      <c r="AF1276" s="466">
        <v>0</v>
      </c>
      <c r="AG1276" s="466">
        <v>0</v>
      </c>
      <c r="AH1276" s="466">
        <v>13952.78</v>
      </c>
      <c r="AI1276" s="466">
        <v>4541.76</v>
      </c>
      <c r="AJ1276" s="469" t="s">
        <v>1515</v>
      </c>
      <c r="AK1276" s="470" t="s">
        <v>1516</v>
      </c>
      <c r="AL1276" s="471" t="s">
        <v>10479</v>
      </c>
      <c r="AM1276" s="470" t="s">
        <v>10480</v>
      </c>
      <c r="AN1276" s="470" t="s">
        <v>10476</v>
      </c>
      <c r="AO1276" s="470" t="s">
        <v>10481</v>
      </c>
      <c r="AP1276" s="470" t="s">
        <v>10478</v>
      </c>
      <c r="AQ1276" s="470" t="s">
        <v>10475</v>
      </c>
      <c r="AR1276" s="472" t="s">
        <v>515</v>
      </c>
      <c r="AS1276" s="473" t="s">
        <v>1385</v>
      </c>
      <c r="AT1276" s="472" t="s">
        <v>4613</v>
      </c>
      <c r="AU1276" s="472" t="s">
        <v>420</v>
      </c>
      <c r="AV1276" s="472">
        <v>2020</v>
      </c>
      <c r="AW1276" s="474" t="s">
        <v>15078</v>
      </c>
      <c r="AX1276" s="475" t="s">
        <v>15079</v>
      </c>
      <c r="AY1276" s="515">
        <v>1</v>
      </c>
      <c r="AZ1276" s="474" t="s">
        <v>15079</v>
      </c>
      <c r="BA1276" s="472" t="s">
        <v>4613</v>
      </c>
      <c r="BB1276" s="472" t="s">
        <v>1385</v>
      </c>
      <c r="BC1276" s="472" t="s">
        <v>1385</v>
      </c>
      <c r="BD1276" s="472" t="s">
        <v>1385</v>
      </c>
      <c r="BE1276" s="472" t="s">
        <v>1385</v>
      </c>
      <c r="BF1276" s="472">
        <v>17031.599999999999</v>
      </c>
      <c r="BG1276" s="472">
        <v>0</v>
      </c>
      <c r="BH1276" s="472" t="s">
        <v>1385</v>
      </c>
      <c r="BI1276" s="510">
        <v>0</v>
      </c>
      <c r="BJ1276" s="510">
        <v>0</v>
      </c>
      <c r="BK1276" s="510">
        <v>0</v>
      </c>
      <c r="BL1276" s="510">
        <v>0</v>
      </c>
      <c r="BM1276" s="510">
        <v>0</v>
      </c>
      <c r="BN1276" s="510">
        <v>2000</v>
      </c>
      <c r="BO1276" s="510">
        <v>0</v>
      </c>
      <c r="BP1276" s="510">
        <v>0</v>
      </c>
      <c r="BQ1276" s="510">
        <v>0</v>
      </c>
      <c r="BR1276" s="510">
        <v>0</v>
      </c>
      <c r="BS1276" s="510">
        <v>0</v>
      </c>
      <c r="BT1276" s="510">
        <v>0</v>
      </c>
      <c r="BU1276" s="510">
        <v>0</v>
      </c>
      <c r="BV1276" s="510">
        <v>0</v>
      </c>
      <c r="BW1276" s="510">
        <v>0</v>
      </c>
      <c r="BX1276" s="510">
        <v>30000</v>
      </c>
      <c r="BY1276" s="1011">
        <v>0</v>
      </c>
      <c r="BZ1276" s="510">
        <v>0</v>
      </c>
      <c r="CA1276" s="1011">
        <v>0</v>
      </c>
      <c r="CB1276" s="510">
        <v>0</v>
      </c>
      <c r="CC1276" s="1011">
        <v>0</v>
      </c>
      <c r="CD1276" s="510">
        <v>0</v>
      </c>
      <c r="CE1276" s="1011">
        <v>0</v>
      </c>
      <c r="CF1276" s="510">
        <v>37680</v>
      </c>
      <c r="CG1276" s="1011">
        <v>0</v>
      </c>
      <c r="CH1276" s="510">
        <v>0</v>
      </c>
      <c r="CI1276" s="1011">
        <v>0</v>
      </c>
    </row>
    <row r="1277" spans="1:87" x14ac:dyDescent="0.2">
      <c r="A1277" s="449">
        <v>11</v>
      </c>
      <c r="B1277" s="453">
        <v>400079</v>
      </c>
      <c r="C1277" s="454" t="s">
        <v>10482</v>
      </c>
      <c r="D1277" s="454" t="s">
        <v>4613</v>
      </c>
      <c r="E1277" s="454" t="s">
        <v>10482</v>
      </c>
      <c r="F1277" s="454" t="s">
        <v>520</v>
      </c>
      <c r="G1277" s="454" t="s">
        <v>14424</v>
      </c>
      <c r="H1277" s="455">
        <v>7781946000181</v>
      </c>
      <c r="I1277" s="462">
        <v>38616</v>
      </c>
      <c r="J1277" s="457">
        <v>37629727</v>
      </c>
      <c r="K1277" s="454" t="s">
        <v>10483</v>
      </c>
      <c r="L1277" s="458">
        <v>255</v>
      </c>
      <c r="M1277" s="454" t="s">
        <v>4861</v>
      </c>
      <c r="N1277" s="459">
        <v>5887310</v>
      </c>
      <c r="O1277" s="460">
        <v>58191504</v>
      </c>
      <c r="P1277" s="462">
        <v>291750</v>
      </c>
      <c r="Q1277" s="462">
        <v>11</v>
      </c>
      <c r="R1277" s="462">
        <v>43979</v>
      </c>
      <c r="S1277" s="463">
        <v>84</v>
      </c>
      <c r="T1277" s="464">
        <v>3.6</v>
      </c>
      <c r="U1277" s="465">
        <v>302.39999999999998</v>
      </c>
      <c r="V1277" s="465">
        <v>10800</v>
      </c>
      <c r="W1277" s="466">
        <v>0</v>
      </c>
      <c r="X1277" s="467">
        <v>1</v>
      </c>
      <c r="Y1277" s="466">
        <v>16653.599999999999</v>
      </c>
      <c r="Z1277" s="468" t="s">
        <v>516</v>
      </c>
      <c r="AA1277" s="466">
        <v>83865.600000000006</v>
      </c>
      <c r="AB1277" s="466">
        <v>83865.600000000006</v>
      </c>
      <c r="AC1277" s="467">
        <v>0</v>
      </c>
      <c r="AD1277" s="466">
        <v>0</v>
      </c>
      <c r="AE1277" s="468" t="s">
        <v>516</v>
      </c>
      <c r="AF1277" s="466">
        <v>0</v>
      </c>
      <c r="AG1277" s="466">
        <v>0</v>
      </c>
      <c r="AH1277" s="466">
        <v>10900.47</v>
      </c>
      <c r="AI1277" s="466">
        <v>4440.96</v>
      </c>
      <c r="AJ1277" s="469" t="s">
        <v>1515</v>
      </c>
      <c r="AK1277" s="470" t="s">
        <v>1516</v>
      </c>
      <c r="AL1277" s="471" t="s">
        <v>10484</v>
      </c>
      <c r="AM1277" s="470" t="s">
        <v>14425</v>
      </c>
      <c r="AN1277" s="470" t="s">
        <v>10485</v>
      </c>
      <c r="AO1277" s="470" t="s">
        <v>10486</v>
      </c>
      <c r="AP1277" s="470" t="s">
        <v>4861</v>
      </c>
      <c r="AQ1277" s="470" t="s">
        <v>10482</v>
      </c>
      <c r="AR1277" s="472" t="s">
        <v>515</v>
      </c>
      <c r="AS1277" s="473" t="s">
        <v>1385</v>
      </c>
      <c r="AT1277" s="472" t="s">
        <v>4613</v>
      </c>
      <c r="AU1277" s="472" t="s">
        <v>420</v>
      </c>
      <c r="AV1277" s="472">
        <v>2020</v>
      </c>
      <c r="AW1277" s="474" t="s">
        <v>15078</v>
      </c>
      <c r="AX1277" s="475" t="s">
        <v>15079</v>
      </c>
      <c r="AY1277" s="515">
        <v>1</v>
      </c>
      <c r="AZ1277" s="474" t="s">
        <v>15079</v>
      </c>
      <c r="BA1277" s="472" t="s">
        <v>4613</v>
      </c>
      <c r="BB1277" s="472" t="s">
        <v>1385</v>
      </c>
      <c r="BC1277" s="472" t="s">
        <v>1385</v>
      </c>
      <c r="BD1277" s="472" t="s">
        <v>1385</v>
      </c>
      <c r="BE1277" s="472" t="s">
        <v>1385</v>
      </c>
      <c r="BF1277" s="472">
        <v>16653.599999999999</v>
      </c>
      <c r="BG1277" s="472">
        <v>0</v>
      </c>
      <c r="BH1277" s="472" t="s">
        <v>1385</v>
      </c>
      <c r="BI1277" s="510">
        <v>0</v>
      </c>
      <c r="BJ1277" s="510">
        <v>0</v>
      </c>
      <c r="BK1277" s="510">
        <v>0</v>
      </c>
      <c r="BL1277" s="510">
        <v>0</v>
      </c>
      <c r="BM1277" s="510">
        <v>0</v>
      </c>
      <c r="BN1277" s="510">
        <v>1500</v>
      </c>
      <c r="BO1277" s="510">
        <v>0</v>
      </c>
      <c r="BP1277" s="510">
        <v>0</v>
      </c>
      <c r="BQ1277" s="510">
        <v>0</v>
      </c>
      <c r="BR1277" s="510">
        <v>0</v>
      </c>
      <c r="BS1277" s="510">
        <v>0</v>
      </c>
      <c r="BT1277" s="510">
        <v>0</v>
      </c>
      <c r="BU1277" s="510">
        <v>0</v>
      </c>
      <c r="BV1277" s="510">
        <v>0</v>
      </c>
      <c r="BW1277" s="510">
        <v>0</v>
      </c>
      <c r="BX1277" s="510">
        <v>30000</v>
      </c>
      <c r="BY1277" s="1011">
        <v>0</v>
      </c>
      <c r="BZ1277" s="510">
        <v>0</v>
      </c>
      <c r="CA1277" s="1011">
        <v>0</v>
      </c>
      <c r="CB1277" s="510">
        <v>0</v>
      </c>
      <c r="CC1277" s="1011">
        <v>0</v>
      </c>
      <c r="CD1277" s="510">
        <v>0</v>
      </c>
      <c r="CE1277" s="1011">
        <v>0</v>
      </c>
      <c r="CF1277" s="510">
        <v>37212</v>
      </c>
      <c r="CG1277" s="1011">
        <v>0</v>
      </c>
      <c r="CH1277" s="510">
        <v>0</v>
      </c>
      <c r="CI1277" s="1011">
        <v>0</v>
      </c>
    </row>
    <row r="1278" spans="1:87" x14ac:dyDescent="0.2">
      <c r="A1278" s="449">
        <v>7</v>
      </c>
      <c r="B1278" s="453">
        <v>400080</v>
      </c>
      <c r="C1278" s="454" t="s">
        <v>10487</v>
      </c>
      <c r="D1278" s="454" t="s">
        <v>4613</v>
      </c>
      <c r="E1278" s="454" t="s">
        <v>10488</v>
      </c>
      <c r="F1278" s="454" t="s">
        <v>521</v>
      </c>
      <c r="G1278" s="454" t="s">
        <v>14426</v>
      </c>
      <c r="H1278" s="455">
        <v>7129560000190</v>
      </c>
      <c r="I1278" s="462">
        <v>38156</v>
      </c>
      <c r="J1278" s="457">
        <v>37586394</v>
      </c>
      <c r="K1278" s="454" t="s">
        <v>10489</v>
      </c>
      <c r="L1278" s="458">
        <v>88</v>
      </c>
      <c r="M1278" s="454" t="s">
        <v>10490</v>
      </c>
      <c r="N1278" s="459">
        <v>4851002</v>
      </c>
      <c r="O1278" s="460">
        <v>55281863</v>
      </c>
      <c r="P1278" s="462">
        <v>87826</v>
      </c>
      <c r="Q1278" s="462">
        <v>1</v>
      </c>
      <c r="R1278" s="462">
        <v>43934</v>
      </c>
      <c r="S1278" s="463">
        <v>217</v>
      </c>
      <c r="T1278" s="464">
        <v>3.6</v>
      </c>
      <c r="U1278" s="465">
        <v>781.2</v>
      </c>
      <c r="V1278" s="465">
        <v>11760</v>
      </c>
      <c r="W1278" s="466">
        <v>0</v>
      </c>
      <c r="X1278" s="467">
        <v>1</v>
      </c>
      <c r="Y1278" s="466">
        <v>18811.8</v>
      </c>
      <c r="Z1278" s="468" t="s">
        <v>516</v>
      </c>
      <c r="AA1278" s="466">
        <v>86441.4</v>
      </c>
      <c r="AB1278" s="466">
        <v>86441.4</v>
      </c>
      <c r="AC1278" s="467">
        <v>0</v>
      </c>
      <c r="AD1278" s="466">
        <v>0</v>
      </c>
      <c r="AE1278" s="468" t="s">
        <v>516</v>
      </c>
      <c r="AF1278" s="466">
        <v>0</v>
      </c>
      <c r="AG1278" s="466">
        <v>0</v>
      </c>
      <c r="AH1278" s="466">
        <v>12466.33</v>
      </c>
      <c r="AI1278" s="466">
        <v>5795.84</v>
      </c>
      <c r="AJ1278" s="469" t="s">
        <v>2546</v>
      </c>
      <c r="AK1278" s="470" t="s">
        <v>2966</v>
      </c>
      <c r="AL1278" s="471" t="s">
        <v>15091</v>
      </c>
      <c r="AM1278" s="470" t="s">
        <v>14427</v>
      </c>
      <c r="AN1278" s="470" t="s">
        <v>1385</v>
      </c>
      <c r="AO1278" s="470" t="s">
        <v>14428</v>
      </c>
      <c r="AP1278" s="470" t="s">
        <v>5178</v>
      </c>
      <c r="AQ1278" s="470" t="s">
        <v>10487</v>
      </c>
      <c r="AR1278" s="472" t="s">
        <v>515</v>
      </c>
      <c r="AS1278" s="473" t="s">
        <v>1385</v>
      </c>
      <c r="AT1278" s="472" t="s">
        <v>4613</v>
      </c>
      <c r="AU1278" s="472" t="s">
        <v>420</v>
      </c>
      <c r="AV1278" s="472">
        <v>2020</v>
      </c>
      <c r="AW1278" s="474" t="s">
        <v>15078</v>
      </c>
      <c r="AX1278" s="475" t="s">
        <v>15079</v>
      </c>
      <c r="AY1278" s="515">
        <v>1</v>
      </c>
      <c r="AZ1278" s="474" t="s">
        <v>15079</v>
      </c>
      <c r="BA1278" s="472" t="s">
        <v>4613</v>
      </c>
      <c r="BB1278" s="472" t="s">
        <v>1385</v>
      </c>
      <c r="BC1278" s="472" t="s">
        <v>1385</v>
      </c>
      <c r="BD1278" s="472" t="s">
        <v>1385</v>
      </c>
      <c r="BE1278" s="472" t="s">
        <v>1385</v>
      </c>
      <c r="BF1278" s="472">
        <v>18811.8</v>
      </c>
      <c r="BG1278" s="472">
        <v>0</v>
      </c>
      <c r="BH1278" s="472" t="s">
        <v>1385</v>
      </c>
      <c r="BI1278" s="510">
        <v>0</v>
      </c>
      <c r="BJ1278" s="510">
        <v>0</v>
      </c>
      <c r="BK1278" s="510">
        <v>0</v>
      </c>
      <c r="BL1278" s="510">
        <v>0</v>
      </c>
      <c r="BM1278" s="510">
        <v>0</v>
      </c>
      <c r="BN1278" s="510">
        <v>2000</v>
      </c>
      <c r="BO1278" s="510">
        <v>0</v>
      </c>
      <c r="BP1278" s="510">
        <v>0</v>
      </c>
      <c r="BQ1278" s="510">
        <v>0</v>
      </c>
      <c r="BR1278" s="510">
        <v>0</v>
      </c>
      <c r="BS1278" s="510">
        <v>0</v>
      </c>
      <c r="BT1278" s="510">
        <v>0</v>
      </c>
      <c r="BU1278" s="510">
        <v>0</v>
      </c>
      <c r="BV1278" s="510">
        <v>0</v>
      </c>
      <c r="BW1278" s="510">
        <v>0</v>
      </c>
      <c r="BX1278" s="510">
        <v>30000</v>
      </c>
      <c r="BY1278" s="1011">
        <v>0</v>
      </c>
      <c r="BZ1278" s="510">
        <v>0</v>
      </c>
      <c r="CA1278" s="1011">
        <v>0</v>
      </c>
      <c r="CB1278" s="510">
        <v>0</v>
      </c>
      <c r="CC1278" s="1011">
        <v>0</v>
      </c>
      <c r="CD1278" s="510">
        <v>0</v>
      </c>
      <c r="CE1278" s="1011">
        <v>0</v>
      </c>
      <c r="CF1278" s="510">
        <v>37629.599999999999</v>
      </c>
      <c r="CG1278" s="1011">
        <v>0</v>
      </c>
      <c r="CH1278" s="510">
        <v>0</v>
      </c>
      <c r="CI1278" s="1011">
        <v>0</v>
      </c>
    </row>
    <row r="1279" spans="1:87" x14ac:dyDescent="0.2">
      <c r="A1279" s="449">
        <v>13</v>
      </c>
      <c r="B1279" s="453">
        <v>400081</v>
      </c>
      <c r="C1279" s="454" t="s">
        <v>10491</v>
      </c>
      <c r="D1279" s="454" t="s">
        <v>4613</v>
      </c>
      <c r="E1279" s="454" t="s">
        <v>10492</v>
      </c>
      <c r="F1279" s="454" t="s">
        <v>526</v>
      </c>
      <c r="G1279" s="454" t="s">
        <v>14429</v>
      </c>
      <c r="H1279" s="455">
        <v>8335225000100</v>
      </c>
      <c r="I1279" s="462">
        <v>38971</v>
      </c>
      <c r="J1279" s="457">
        <v>37585541</v>
      </c>
      <c r="K1279" s="454" t="s">
        <v>10493</v>
      </c>
      <c r="L1279" s="458">
        <v>14</v>
      </c>
      <c r="M1279" s="454" t="s">
        <v>1838</v>
      </c>
      <c r="N1279" s="459">
        <v>8143070</v>
      </c>
      <c r="O1279" s="460">
        <v>25722256</v>
      </c>
      <c r="P1279" s="462">
        <v>144781</v>
      </c>
      <c r="Q1279" s="462">
        <v>13</v>
      </c>
      <c r="R1279" s="462">
        <v>43928</v>
      </c>
      <c r="S1279" s="463">
        <v>149</v>
      </c>
      <c r="T1279" s="464">
        <v>3.6</v>
      </c>
      <c r="U1279" s="465">
        <v>536.4</v>
      </c>
      <c r="V1279" s="465">
        <v>10800</v>
      </c>
      <c r="W1279" s="466">
        <v>0</v>
      </c>
      <c r="X1279" s="467">
        <v>1</v>
      </c>
      <c r="Y1279" s="466">
        <v>17004.599999999999</v>
      </c>
      <c r="Z1279" s="468" t="s">
        <v>516</v>
      </c>
      <c r="AA1279" s="466">
        <v>84504.6</v>
      </c>
      <c r="AB1279" s="466">
        <v>84504.6</v>
      </c>
      <c r="AC1279" s="467">
        <v>0</v>
      </c>
      <c r="AD1279" s="466">
        <v>0</v>
      </c>
      <c r="AE1279" s="468" t="s">
        <v>516</v>
      </c>
      <c r="AF1279" s="466">
        <v>0</v>
      </c>
      <c r="AG1279" s="466">
        <v>0</v>
      </c>
      <c r="AH1279" s="466">
        <v>9754.34</v>
      </c>
      <c r="AI1279" s="466">
        <v>0</v>
      </c>
      <c r="AJ1279" s="469" t="s">
        <v>2764</v>
      </c>
      <c r="AK1279" s="470" t="s">
        <v>2765</v>
      </c>
      <c r="AL1279" s="471" t="s">
        <v>10494</v>
      </c>
      <c r="AM1279" s="470" t="s">
        <v>10495</v>
      </c>
      <c r="AN1279" s="470" t="s">
        <v>1385</v>
      </c>
      <c r="AO1279" s="470" t="s">
        <v>10496</v>
      </c>
      <c r="AP1279" s="470" t="s">
        <v>10497</v>
      </c>
      <c r="AQ1279" s="470" t="s">
        <v>10491</v>
      </c>
      <c r="AR1279" s="472" t="s">
        <v>515</v>
      </c>
      <c r="AS1279" s="473" t="s">
        <v>1385</v>
      </c>
      <c r="AT1279" s="472" t="s">
        <v>4613</v>
      </c>
      <c r="AU1279" s="472" t="s">
        <v>420</v>
      </c>
      <c r="AV1279" s="472">
        <v>2020</v>
      </c>
      <c r="AW1279" s="474" t="s">
        <v>15078</v>
      </c>
      <c r="AX1279" s="475" t="s">
        <v>15079</v>
      </c>
      <c r="AY1279" s="515">
        <v>1</v>
      </c>
      <c r="AZ1279" s="474" t="s">
        <v>15079</v>
      </c>
      <c r="BA1279" s="472" t="s">
        <v>4613</v>
      </c>
      <c r="BB1279" s="472" t="s">
        <v>1385</v>
      </c>
      <c r="BC1279" s="472" t="s">
        <v>1385</v>
      </c>
      <c r="BD1279" s="472" t="s">
        <v>1385</v>
      </c>
      <c r="BE1279" s="472" t="s">
        <v>1385</v>
      </c>
      <c r="BF1279" s="472">
        <v>17004.599999999999</v>
      </c>
      <c r="BG1279" s="472">
        <v>0</v>
      </c>
      <c r="BH1279" s="472" t="s">
        <v>1385</v>
      </c>
      <c r="BI1279" s="510">
        <v>0</v>
      </c>
      <c r="BJ1279" s="510">
        <v>174.58</v>
      </c>
      <c r="BK1279" s="510">
        <v>0</v>
      </c>
      <c r="BL1279" s="510">
        <v>0</v>
      </c>
      <c r="BM1279" s="510">
        <v>0</v>
      </c>
      <c r="BN1279" s="510">
        <v>2000</v>
      </c>
      <c r="BO1279" s="510">
        <v>0</v>
      </c>
      <c r="BP1279" s="510">
        <v>0</v>
      </c>
      <c r="BQ1279" s="510">
        <v>0</v>
      </c>
      <c r="BR1279" s="510">
        <v>0</v>
      </c>
      <c r="BS1279" s="510">
        <v>0</v>
      </c>
      <c r="BT1279" s="510">
        <v>0</v>
      </c>
      <c r="BU1279" s="510">
        <v>0</v>
      </c>
      <c r="BV1279" s="510">
        <v>0</v>
      </c>
      <c r="BW1279" s="510">
        <v>0</v>
      </c>
      <c r="BX1279" s="510">
        <v>30000</v>
      </c>
      <c r="BY1279" s="1011">
        <v>0</v>
      </c>
      <c r="BZ1279" s="510">
        <v>0</v>
      </c>
      <c r="CA1279" s="1011">
        <v>0</v>
      </c>
      <c r="CB1279" s="510">
        <v>0</v>
      </c>
      <c r="CC1279" s="1011">
        <v>0</v>
      </c>
      <c r="CD1279" s="510">
        <v>0</v>
      </c>
      <c r="CE1279" s="1011">
        <v>0</v>
      </c>
      <c r="CF1279" s="510">
        <v>37500</v>
      </c>
      <c r="CG1279" s="1011">
        <v>0</v>
      </c>
      <c r="CH1279" s="510">
        <v>0</v>
      </c>
      <c r="CI1279" s="1011">
        <v>0</v>
      </c>
    </row>
    <row r="1280" spans="1:87" x14ac:dyDescent="0.2">
      <c r="A1280" s="449">
        <v>10</v>
      </c>
      <c r="B1280" s="453">
        <v>400082</v>
      </c>
      <c r="C1280" s="454" t="s">
        <v>10498</v>
      </c>
      <c r="D1280" s="454" t="s">
        <v>4613</v>
      </c>
      <c r="E1280" s="454" t="s">
        <v>10499</v>
      </c>
      <c r="F1280" s="454" t="s">
        <v>524</v>
      </c>
      <c r="G1280" s="454" t="s">
        <v>14430</v>
      </c>
      <c r="H1280" s="455">
        <v>9393496000185</v>
      </c>
      <c r="I1280" s="462">
        <v>39562</v>
      </c>
      <c r="J1280" s="457">
        <v>37498606</v>
      </c>
      <c r="K1280" s="454" t="s">
        <v>10501</v>
      </c>
      <c r="L1280" s="458">
        <v>217</v>
      </c>
      <c r="M1280" s="454" t="s">
        <v>9027</v>
      </c>
      <c r="N1280" s="459">
        <v>3244090</v>
      </c>
      <c r="O1280" s="460">
        <v>62138322</v>
      </c>
      <c r="P1280" s="462">
        <v>204504</v>
      </c>
      <c r="Q1280" s="462">
        <v>12</v>
      </c>
      <c r="R1280" s="462">
        <v>43906</v>
      </c>
      <c r="S1280" s="463">
        <v>114</v>
      </c>
      <c r="T1280" s="464">
        <v>3.6</v>
      </c>
      <c r="U1280" s="465">
        <v>410.4</v>
      </c>
      <c r="V1280" s="465">
        <v>10800</v>
      </c>
      <c r="W1280" s="466">
        <v>0</v>
      </c>
      <c r="X1280" s="467">
        <v>1</v>
      </c>
      <c r="Y1280" s="466">
        <v>16815.599999999999</v>
      </c>
      <c r="Z1280" s="468" t="s">
        <v>516</v>
      </c>
      <c r="AA1280" s="466">
        <v>84236.4</v>
      </c>
      <c r="AB1280" s="466">
        <v>84236.4</v>
      </c>
      <c r="AC1280" s="467">
        <v>0</v>
      </c>
      <c r="AD1280" s="466">
        <v>0</v>
      </c>
      <c r="AE1280" s="468" t="s">
        <v>516</v>
      </c>
      <c r="AF1280" s="466">
        <v>0</v>
      </c>
      <c r="AG1280" s="466">
        <v>0</v>
      </c>
      <c r="AH1280" s="466">
        <v>24487.599999999999</v>
      </c>
      <c r="AI1280" s="466">
        <v>0</v>
      </c>
      <c r="AJ1280" s="469" t="s">
        <v>1580</v>
      </c>
      <c r="AK1280" s="470" t="s">
        <v>1581</v>
      </c>
      <c r="AL1280" s="471" t="s">
        <v>10502</v>
      </c>
      <c r="AM1280" s="470" t="s">
        <v>15094</v>
      </c>
      <c r="AN1280" s="470" t="s">
        <v>10500</v>
      </c>
      <c r="AO1280" s="470" t="s">
        <v>14431</v>
      </c>
      <c r="AP1280" s="470" t="s">
        <v>9027</v>
      </c>
      <c r="AQ1280" s="470" t="s">
        <v>10498</v>
      </c>
      <c r="AR1280" s="472" t="s">
        <v>515</v>
      </c>
      <c r="AS1280" s="473" t="s">
        <v>1385</v>
      </c>
      <c r="AT1280" s="472" t="s">
        <v>4613</v>
      </c>
      <c r="AU1280" s="472" t="s">
        <v>420</v>
      </c>
      <c r="AV1280" s="472">
        <v>2020</v>
      </c>
      <c r="AW1280" s="474" t="s">
        <v>15078</v>
      </c>
      <c r="AX1280" s="475" t="s">
        <v>15079</v>
      </c>
      <c r="AY1280" s="515">
        <v>1</v>
      </c>
      <c r="AZ1280" s="474" t="s">
        <v>15079</v>
      </c>
      <c r="BA1280" s="472" t="s">
        <v>4613</v>
      </c>
      <c r="BB1280" s="472" t="s">
        <v>1385</v>
      </c>
      <c r="BC1280" s="472" t="s">
        <v>1385</v>
      </c>
      <c r="BD1280" s="472" t="s">
        <v>1385</v>
      </c>
      <c r="BE1280" s="472" t="s">
        <v>1385</v>
      </c>
      <c r="BF1280" s="472">
        <v>16815.599999999999</v>
      </c>
      <c r="BG1280" s="472">
        <v>0</v>
      </c>
      <c r="BH1280" s="472" t="s">
        <v>1385</v>
      </c>
      <c r="BI1280" s="510">
        <v>0</v>
      </c>
      <c r="BJ1280" s="510">
        <v>0</v>
      </c>
      <c r="BK1280" s="510">
        <v>0</v>
      </c>
      <c r="BL1280" s="510">
        <v>0</v>
      </c>
      <c r="BM1280" s="510">
        <v>0</v>
      </c>
      <c r="BN1280" s="510">
        <v>2000</v>
      </c>
      <c r="BO1280" s="510">
        <v>0</v>
      </c>
      <c r="BP1280" s="510">
        <v>0</v>
      </c>
      <c r="BQ1280" s="510">
        <v>0</v>
      </c>
      <c r="BR1280" s="510">
        <v>0</v>
      </c>
      <c r="BS1280" s="510">
        <v>0</v>
      </c>
      <c r="BT1280" s="510">
        <v>0</v>
      </c>
      <c r="BU1280" s="510">
        <v>0</v>
      </c>
      <c r="BV1280" s="510">
        <v>0</v>
      </c>
      <c r="BW1280" s="510">
        <v>0</v>
      </c>
      <c r="BX1280" s="510">
        <v>30000</v>
      </c>
      <c r="BY1280" s="1011">
        <v>0</v>
      </c>
      <c r="BZ1280" s="510">
        <v>0</v>
      </c>
      <c r="CA1280" s="1011">
        <v>0</v>
      </c>
      <c r="CB1280" s="510">
        <v>0</v>
      </c>
      <c r="CC1280" s="1011">
        <v>0</v>
      </c>
      <c r="CD1280" s="510">
        <v>0</v>
      </c>
      <c r="CE1280" s="1011">
        <v>0</v>
      </c>
      <c r="CF1280" s="510">
        <v>37420.800000000003</v>
      </c>
      <c r="CG1280" s="1011">
        <v>0</v>
      </c>
      <c r="CH1280" s="510">
        <v>0</v>
      </c>
      <c r="CI1280" s="1011">
        <v>0</v>
      </c>
    </row>
    <row r="1281" spans="1:87" x14ac:dyDescent="0.2">
      <c r="A1281" s="449">
        <v>12</v>
      </c>
      <c r="B1281" s="453">
        <v>400083</v>
      </c>
      <c r="C1281" s="454" t="s">
        <v>10503</v>
      </c>
      <c r="D1281" s="454" t="s">
        <v>4613</v>
      </c>
      <c r="E1281" s="454" t="s">
        <v>10504</v>
      </c>
      <c r="F1281" s="454" t="s">
        <v>520</v>
      </c>
      <c r="G1281" s="454" t="s">
        <v>14432</v>
      </c>
      <c r="H1281" s="455">
        <v>9517390000146</v>
      </c>
      <c r="I1281" s="462">
        <v>39538</v>
      </c>
      <c r="J1281" s="457">
        <v>45543666</v>
      </c>
      <c r="K1281" s="454" t="s">
        <v>10506</v>
      </c>
      <c r="L1281" s="458" t="s">
        <v>1446</v>
      </c>
      <c r="M1281" s="454" t="s">
        <v>5423</v>
      </c>
      <c r="N1281" s="459">
        <v>5877230</v>
      </c>
      <c r="O1281" s="460">
        <v>55170192</v>
      </c>
      <c r="P1281" s="462">
        <v>291776</v>
      </c>
      <c r="Q1281" s="462">
        <v>12</v>
      </c>
      <c r="R1281" s="462">
        <v>43979</v>
      </c>
      <c r="S1281" s="463">
        <v>127</v>
      </c>
      <c r="T1281" s="464">
        <v>3.6</v>
      </c>
      <c r="U1281" s="465">
        <v>457.2</v>
      </c>
      <c r="V1281" s="465">
        <v>10800</v>
      </c>
      <c r="W1281" s="466">
        <v>0</v>
      </c>
      <c r="X1281" s="467">
        <v>1</v>
      </c>
      <c r="Y1281" s="466">
        <v>16885.8</v>
      </c>
      <c r="Z1281" s="468" t="s">
        <v>516</v>
      </c>
      <c r="AA1281" s="466">
        <v>84407.4</v>
      </c>
      <c r="AB1281" s="466">
        <v>84407.4</v>
      </c>
      <c r="AC1281" s="467">
        <v>0</v>
      </c>
      <c r="AD1281" s="466">
        <v>0</v>
      </c>
      <c r="AE1281" s="468" t="s">
        <v>516</v>
      </c>
      <c r="AF1281" s="466">
        <v>0</v>
      </c>
      <c r="AG1281" s="466">
        <v>0</v>
      </c>
      <c r="AH1281" s="466">
        <v>12022.57</v>
      </c>
      <c r="AI1281" s="466">
        <v>4908.01</v>
      </c>
      <c r="AJ1281" s="469" t="s">
        <v>1470</v>
      </c>
      <c r="AK1281" s="470" t="s">
        <v>10111</v>
      </c>
      <c r="AL1281" s="471" t="s">
        <v>10507</v>
      </c>
      <c r="AM1281" s="470" t="s">
        <v>10508</v>
      </c>
      <c r="AN1281" s="470" t="s">
        <v>10505</v>
      </c>
      <c r="AO1281" s="470" t="s">
        <v>10509</v>
      </c>
      <c r="AP1281" s="470" t="s">
        <v>10510</v>
      </c>
      <c r="AQ1281" s="470" t="s">
        <v>10503</v>
      </c>
      <c r="AR1281" s="472" t="s">
        <v>515</v>
      </c>
      <c r="AS1281" s="473" t="s">
        <v>1385</v>
      </c>
      <c r="AT1281" s="472" t="s">
        <v>4613</v>
      </c>
      <c r="AU1281" s="472" t="s">
        <v>420</v>
      </c>
      <c r="AV1281" s="472">
        <v>2020</v>
      </c>
      <c r="AW1281" s="474" t="s">
        <v>15078</v>
      </c>
      <c r="AX1281" s="475" t="s">
        <v>15079</v>
      </c>
      <c r="AY1281" s="515">
        <v>1</v>
      </c>
      <c r="AZ1281" s="474" t="s">
        <v>15079</v>
      </c>
      <c r="BA1281" s="472" t="s">
        <v>4613</v>
      </c>
      <c r="BB1281" s="472" t="s">
        <v>1385</v>
      </c>
      <c r="BC1281" s="472" t="s">
        <v>1385</v>
      </c>
      <c r="BD1281" s="472" t="s">
        <v>1385</v>
      </c>
      <c r="BE1281" s="472" t="s">
        <v>1385</v>
      </c>
      <c r="BF1281" s="472">
        <v>16885.8</v>
      </c>
      <c r="BG1281" s="472">
        <v>0</v>
      </c>
      <c r="BH1281" s="472" t="s">
        <v>1385</v>
      </c>
      <c r="BI1281" s="510">
        <v>0</v>
      </c>
      <c r="BJ1281" s="510">
        <v>0</v>
      </c>
      <c r="BK1281" s="510">
        <v>0</v>
      </c>
      <c r="BL1281" s="510">
        <v>0</v>
      </c>
      <c r="BM1281" s="510">
        <v>0</v>
      </c>
      <c r="BN1281" s="510">
        <v>2000</v>
      </c>
      <c r="BO1281" s="510">
        <v>0</v>
      </c>
      <c r="BP1281" s="510">
        <v>0</v>
      </c>
      <c r="BQ1281" s="510">
        <v>0</v>
      </c>
      <c r="BR1281" s="510">
        <v>0</v>
      </c>
      <c r="BS1281" s="510">
        <v>0</v>
      </c>
      <c r="BT1281" s="510">
        <v>0</v>
      </c>
      <c r="BU1281" s="510">
        <v>0</v>
      </c>
      <c r="BV1281" s="510">
        <v>0</v>
      </c>
      <c r="BW1281" s="510">
        <v>0</v>
      </c>
      <c r="BX1281" s="510">
        <v>30000</v>
      </c>
      <c r="BY1281" s="1011">
        <v>0</v>
      </c>
      <c r="BZ1281" s="510">
        <v>0</v>
      </c>
      <c r="CA1281" s="1011">
        <v>0</v>
      </c>
      <c r="CB1281" s="510">
        <v>0</v>
      </c>
      <c r="CC1281" s="1011">
        <v>0</v>
      </c>
      <c r="CD1281" s="510">
        <v>0</v>
      </c>
      <c r="CE1281" s="1011">
        <v>0</v>
      </c>
      <c r="CF1281" s="510">
        <v>37521.599999999999</v>
      </c>
      <c r="CG1281" s="1011">
        <v>0</v>
      </c>
      <c r="CH1281" s="510">
        <v>0</v>
      </c>
      <c r="CI1281" s="1011">
        <v>0</v>
      </c>
    </row>
    <row r="1282" spans="1:87" x14ac:dyDescent="0.2">
      <c r="A1282" s="449">
        <v>10</v>
      </c>
      <c r="B1282" s="453">
        <v>400084</v>
      </c>
      <c r="C1282" s="454" t="s">
        <v>10511</v>
      </c>
      <c r="D1282" s="454" t="s">
        <v>4613</v>
      </c>
      <c r="E1282" s="454" t="s">
        <v>10512</v>
      </c>
      <c r="F1282" s="454" t="s">
        <v>513</v>
      </c>
      <c r="G1282" s="454" t="s">
        <v>14433</v>
      </c>
      <c r="H1282" s="455">
        <v>7763024000141</v>
      </c>
      <c r="I1282" s="462">
        <v>38702</v>
      </c>
      <c r="J1282" s="457">
        <v>36888028</v>
      </c>
      <c r="K1282" s="454" t="s">
        <v>10513</v>
      </c>
      <c r="L1282" s="458">
        <v>95</v>
      </c>
      <c r="M1282" s="454" t="s">
        <v>2799</v>
      </c>
      <c r="N1282" s="459">
        <v>8371190</v>
      </c>
      <c r="O1282" s="460">
        <v>27319930</v>
      </c>
      <c r="P1282" s="462">
        <v>144773</v>
      </c>
      <c r="Q1282" s="462">
        <v>10</v>
      </c>
      <c r="R1282" s="462">
        <v>43937</v>
      </c>
      <c r="S1282" s="463">
        <v>148</v>
      </c>
      <c r="T1282" s="464">
        <v>3.6</v>
      </c>
      <c r="U1282" s="465">
        <v>532.79999999999995</v>
      </c>
      <c r="V1282" s="465">
        <v>10800</v>
      </c>
      <c r="W1282" s="466">
        <v>0</v>
      </c>
      <c r="X1282" s="467">
        <v>1</v>
      </c>
      <c r="Y1282" s="466">
        <v>16999.2</v>
      </c>
      <c r="Z1282" s="468" t="s">
        <v>516</v>
      </c>
      <c r="AA1282" s="466">
        <v>84571.199999999997</v>
      </c>
      <c r="AB1282" s="466">
        <v>84571.199999999997</v>
      </c>
      <c r="AC1282" s="467">
        <v>0</v>
      </c>
      <c r="AD1282" s="466">
        <v>0</v>
      </c>
      <c r="AE1282" s="468" t="s">
        <v>516</v>
      </c>
      <c r="AF1282" s="466">
        <v>0</v>
      </c>
      <c r="AG1282" s="466">
        <v>0</v>
      </c>
      <c r="AH1282" s="466">
        <v>13431.3</v>
      </c>
      <c r="AI1282" s="466">
        <v>11931.13</v>
      </c>
      <c r="AJ1282" s="469" t="s">
        <v>2030</v>
      </c>
      <c r="AK1282" s="470" t="s">
        <v>513</v>
      </c>
      <c r="AL1282" s="471" t="s">
        <v>10514</v>
      </c>
      <c r="AM1282" s="470" t="s">
        <v>10515</v>
      </c>
      <c r="AN1282" s="470" t="s">
        <v>10516</v>
      </c>
      <c r="AO1282" s="470" t="s">
        <v>10517</v>
      </c>
      <c r="AP1282" s="470" t="s">
        <v>2799</v>
      </c>
      <c r="AQ1282" s="470" t="s">
        <v>10511</v>
      </c>
      <c r="AR1282" s="472" t="s">
        <v>515</v>
      </c>
      <c r="AS1282" s="473" t="s">
        <v>1385</v>
      </c>
      <c r="AT1282" s="472" t="s">
        <v>4613</v>
      </c>
      <c r="AU1282" s="472" t="s">
        <v>420</v>
      </c>
      <c r="AV1282" s="472">
        <v>2020</v>
      </c>
      <c r="AW1282" s="474" t="s">
        <v>15078</v>
      </c>
      <c r="AX1282" s="475" t="s">
        <v>15079</v>
      </c>
      <c r="AY1282" s="515">
        <v>1</v>
      </c>
      <c r="AZ1282" s="474" t="s">
        <v>15079</v>
      </c>
      <c r="BA1282" s="472" t="s">
        <v>4613</v>
      </c>
      <c r="BB1282" s="472" t="s">
        <v>1385</v>
      </c>
      <c r="BC1282" s="472" t="s">
        <v>1385</v>
      </c>
      <c r="BD1282" s="472" t="s">
        <v>1385</v>
      </c>
      <c r="BE1282" s="472" t="s">
        <v>1385</v>
      </c>
      <c r="BF1282" s="509">
        <v>16999.2</v>
      </c>
      <c r="BG1282" s="509">
        <v>0</v>
      </c>
      <c r="BH1282" s="472" t="s">
        <v>1385</v>
      </c>
      <c r="BI1282" s="510">
        <v>0</v>
      </c>
      <c r="BJ1282" s="510">
        <v>0</v>
      </c>
      <c r="BK1282" s="510">
        <v>0</v>
      </c>
      <c r="BL1282" s="510">
        <v>0</v>
      </c>
      <c r="BM1282" s="510">
        <v>0</v>
      </c>
      <c r="BN1282" s="510">
        <v>2000</v>
      </c>
      <c r="BO1282" s="510">
        <v>0</v>
      </c>
      <c r="BP1282" s="510">
        <v>0</v>
      </c>
      <c r="BQ1282" s="510">
        <v>0</v>
      </c>
      <c r="BR1282" s="510">
        <v>0</v>
      </c>
      <c r="BS1282" s="510">
        <v>0</v>
      </c>
      <c r="BT1282" s="510">
        <v>0</v>
      </c>
      <c r="BU1282" s="510">
        <v>0</v>
      </c>
      <c r="BV1282" s="510">
        <v>0</v>
      </c>
      <c r="BW1282" s="510">
        <v>0</v>
      </c>
      <c r="BX1282" s="510">
        <v>30000</v>
      </c>
      <c r="BY1282" s="1011">
        <v>0</v>
      </c>
      <c r="BZ1282" s="510">
        <v>0</v>
      </c>
      <c r="CA1282" s="1011">
        <v>0</v>
      </c>
      <c r="CB1282" s="510">
        <v>0</v>
      </c>
      <c r="CC1282" s="1011">
        <v>0</v>
      </c>
      <c r="CD1282" s="510">
        <v>0</v>
      </c>
      <c r="CE1282" s="1011">
        <v>0</v>
      </c>
      <c r="CF1282" s="510">
        <v>37572</v>
      </c>
      <c r="CG1282" s="1011">
        <v>0</v>
      </c>
      <c r="CH1282" s="510">
        <v>0</v>
      </c>
      <c r="CI1282" s="1011">
        <v>0</v>
      </c>
    </row>
    <row r="1283" spans="1:87" x14ac:dyDescent="0.2">
      <c r="A1283" s="449">
        <v>10</v>
      </c>
      <c r="B1283" s="453">
        <v>400085</v>
      </c>
      <c r="C1283" s="454" t="s">
        <v>10518</v>
      </c>
      <c r="D1283" s="454" t="s">
        <v>4613</v>
      </c>
      <c r="E1283" s="454" t="s">
        <v>10519</v>
      </c>
      <c r="F1283" s="454" t="s">
        <v>527</v>
      </c>
      <c r="G1283" s="454" t="s">
        <v>14434</v>
      </c>
      <c r="H1283" s="455">
        <v>8405274000172</v>
      </c>
      <c r="I1283" s="462">
        <v>38763</v>
      </c>
      <c r="J1283" s="457">
        <v>37556932</v>
      </c>
      <c r="K1283" s="454" t="s">
        <v>10520</v>
      </c>
      <c r="L1283" s="458">
        <v>46</v>
      </c>
      <c r="M1283" s="454" t="s">
        <v>2459</v>
      </c>
      <c r="N1283" s="459">
        <v>3558050</v>
      </c>
      <c r="O1283" s="460">
        <v>27490180</v>
      </c>
      <c r="P1283" s="462">
        <v>178686</v>
      </c>
      <c r="Q1283" s="462">
        <v>10</v>
      </c>
      <c r="R1283" s="462">
        <v>43917</v>
      </c>
      <c r="S1283" s="463">
        <v>118</v>
      </c>
      <c r="T1283" s="464">
        <v>3.6</v>
      </c>
      <c r="U1283" s="465">
        <v>424.8</v>
      </c>
      <c r="V1283" s="465">
        <v>10800</v>
      </c>
      <c r="W1283" s="466">
        <v>0</v>
      </c>
      <c r="X1283" s="467">
        <v>1</v>
      </c>
      <c r="Y1283" s="466">
        <v>16837.2</v>
      </c>
      <c r="Z1283" s="468" t="s">
        <v>516</v>
      </c>
      <c r="AA1283" s="466">
        <v>84286.8</v>
      </c>
      <c r="AB1283" s="466">
        <v>84286.8</v>
      </c>
      <c r="AC1283" s="467">
        <v>0</v>
      </c>
      <c r="AD1283" s="466">
        <v>0</v>
      </c>
      <c r="AE1283" s="468" t="s">
        <v>516</v>
      </c>
      <c r="AF1283" s="466">
        <v>0</v>
      </c>
      <c r="AG1283" s="466">
        <v>0</v>
      </c>
      <c r="AH1283" s="466">
        <v>15099.87</v>
      </c>
      <c r="AI1283" s="466">
        <v>2940.92</v>
      </c>
      <c r="AJ1283" s="469" t="s">
        <v>2196</v>
      </c>
      <c r="AK1283" s="470" t="s">
        <v>2197</v>
      </c>
      <c r="AL1283" s="471" t="s">
        <v>10521</v>
      </c>
      <c r="AM1283" s="470" t="s">
        <v>10522</v>
      </c>
      <c r="AN1283" s="470" t="s">
        <v>14434</v>
      </c>
      <c r="AO1283" s="470" t="s">
        <v>14435</v>
      </c>
      <c r="AP1283" s="470" t="s">
        <v>10523</v>
      </c>
      <c r="AQ1283" s="470" t="s">
        <v>10518</v>
      </c>
      <c r="AR1283" s="472" t="s">
        <v>515</v>
      </c>
      <c r="AS1283" s="473" t="s">
        <v>1385</v>
      </c>
      <c r="AT1283" s="472" t="s">
        <v>4613</v>
      </c>
      <c r="AU1283" s="472" t="s">
        <v>420</v>
      </c>
      <c r="AV1283" s="472">
        <v>2020</v>
      </c>
      <c r="AW1283" s="474" t="s">
        <v>15078</v>
      </c>
      <c r="AX1283" s="475" t="s">
        <v>15079</v>
      </c>
      <c r="AY1283" s="515">
        <v>1</v>
      </c>
      <c r="AZ1283" s="474" t="s">
        <v>15079</v>
      </c>
      <c r="BA1283" s="472" t="s">
        <v>4613</v>
      </c>
      <c r="BB1283" s="472" t="s">
        <v>1385</v>
      </c>
      <c r="BC1283" s="472" t="s">
        <v>1385</v>
      </c>
      <c r="BD1283" s="472" t="s">
        <v>1385</v>
      </c>
      <c r="BE1283" s="472" t="s">
        <v>1385</v>
      </c>
      <c r="BF1283" s="509">
        <v>16837.2</v>
      </c>
      <c r="BG1283" s="509">
        <v>0</v>
      </c>
      <c r="BH1283" s="472" t="s">
        <v>1385</v>
      </c>
      <c r="BI1283" s="510">
        <v>0</v>
      </c>
      <c r="BJ1283" s="510">
        <v>0.6</v>
      </c>
      <c r="BK1283" s="510">
        <v>0</v>
      </c>
      <c r="BL1283" s="510">
        <v>0</v>
      </c>
      <c r="BM1283" s="510">
        <v>0</v>
      </c>
      <c r="BN1283" s="510">
        <v>2000</v>
      </c>
      <c r="BO1283" s="510">
        <v>0</v>
      </c>
      <c r="BP1283" s="510">
        <v>0</v>
      </c>
      <c r="BQ1283" s="510">
        <v>0</v>
      </c>
      <c r="BR1283" s="510">
        <v>0</v>
      </c>
      <c r="BS1283" s="510">
        <v>0</v>
      </c>
      <c r="BT1283" s="510">
        <v>0</v>
      </c>
      <c r="BU1283" s="510">
        <v>0</v>
      </c>
      <c r="BV1283" s="510">
        <v>0</v>
      </c>
      <c r="BW1283" s="510">
        <v>0</v>
      </c>
      <c r="BX1283" s="510">
        <v>30000</v>
      </c>
      <c r="BY1283" s="1011">
        <v>0</v>
      </c>
      <c r="BZ1283" s="510">
        <v>0</v>
      </c>
      <c r="CA1283" s="1011">
        <v>0</v>
      </c>
      <c r="CB1283" s="510">
        <v>0</v>
      </c>
      <c r="CC1283" s="1011">
        <v>0</v>
      </c>
      <c r="CD1283" s="510">
        <v>0</v>
      </c>
      <c r="CE1283" s="1011">
        <v>0</v>
      </c>
      <c r="CF1283" s="510">
        <v>37449.599999999999</v>
      </c>
      <c r="CG1283" s="1011">
        <v>0</v>
      </c>
      <c r="CH1283" s="510">
        <v>0</v>
      </c>
      <c r="CI1283" s="1011">
        <v>0</v>
      </c>
    </row>
    <row r="1284" spans="1:87" x14ac:dyDescent="0.2">
      <c r="A1284" s="449">
        <v>3</v>
      </c>
      <c r="B1284" s="453">
        <v>400086</v>
      </c>
      <c r="C1284" s="454" t="s">
        <v>10524</v>
      </c>
      <c r="D1284" s="454" t="s">
        <v>4613</v>
      </c>
      <c r="E1284" s="454" t="s">
        <v>10525</v>
      </c>
      <c r="F1284" s="454" t="s">
        <v>520</v>
      </c>
      <c r="G1284" s="454" t="s">
        <v>14436</v>
      </c>
      <c r="H1284" s="455">
        <v>10258771000137</v>
      </c>
      <c r="I1284" s="462">
        <v>39637</v>
      </c>
      <c r="J1284" s="457">
        <v>43003109</v>
      </c>
      <c r="K1284" s="454" t="s">
        <v>4279</v>
      </c>
      <c r="L1284" s="458">
        <v>27</v>
      </c>
      <c r="M1284" s="454" t="s">
        <v>10527</v>
      </c>
      <c r="N1284" s="459">
        <v>5774300</v>
      </c>
      <c r="O1284" s="460">
        <v>58191571</v>
      </c>
      <c r="P1284" s="462">
        <v>291385</v>
      </c>
      <c r="Q1284" s="462">
        <v>3</v>
      </c>
      <c r="R1284" s="462">
        <v>43969</v>
      </c>
      <c r="S1284" s="463">
        <v>177</v>
      </c>
      <c r="T1284" s="464">
        <v>3.6</v>
      </c>
      <c r="U1284" s="465">
        <v>637.20000000000005</v>
      </c>
      <c r="V1284" s="465">
        <v>10800</v>
      </c>
      <c r="W1284" s="466">
        <v>0</v>
      </c>
      <c r="X1284" s="467">
        <v>1</v>
      </c>
      <c r="Y1284" s="466">
        <v>17155.8</v>
      </c>
      <c r="Z1284" s="468" t="s">
        <v>516</v>
      </c>
      <c r="AA1284" s="466">
        <v>84979.8</v>
      </c>
      <c r="AB1284" s="466">
        <v>84979.8</v>
      </c>
      <c r="AC1284" s="467">
        <v>0</v>
      </c>
      <c r="AD1284" s="466">
        <v>0</v>
      </c>
      <c r="AE1284" s="468" t="s">
        <v>516</v>
      </c>
      <c r="AF1284" s="466">
        <v>0</v>
      </c>
      <c r="AG1284" s="466">
        <v>0</v>
      </c>
      <c r="AH1284" s="466">
        <v>10366.540000000001</v>
      </c>
      <c r="AI1284" s="466">
        <v>8767.32</v>
      </c>
      <c r="AJ1284" s="469" t="s">
        <v>1470</v>
      </c>
      <c r="AK1284" s="470" t="s">
        <v>10111</v>
      </c>
      <c r="AL1284" s="471" t="s">
        <v>10528</v>
      </c>
      <c r="AM1284" s="470" t="s">
        <v>10529</v>
      </c>
      <c r="AN1284" s="470" t="s">
        <v>10526</v>
      </c>
      <c r="AO1284" s="470" t="s">
        <v>10530</v>
      </c>
      <c r="AP1284" s="470" t="s">
        <v>10531</v>
      </c>
      <c r="AQ1284" s="470" t="s">
        <v>10524</v>
      </c>
      <c r="AR1284" s="472" t="s">
        <v>515</v>
      </c>
      <c r="AS1284" s="473" t="s">
        <v>1385</v>
      </c>
      <c r="AT1284" s="472" t="s">
        <v>4613</v>
      </c>
      <c r="AU1284" s="472" t="s">
        <v>420</v>
      </c>
      <c r="AV1284" s="472">
        <v>2020</v>
      </c>
      <c r="AW1284" s="474" t="s">
        <v>15078</v>
      </c>
      <c r="AX1284" s="475" t="s">
        <v>15079</v>
      </c>
      <c r="AY1284" s="515">
        <v>1</v>
      </c>
      <c r="AZ1284" s="474" t="s">
        <v>15079</v>
      </c>
      <c r="BA1284" s="472" t="s">
        <v>4613</v>
      </c>
      <c r="BB1284" s="472" t="s">
        <v>1385</v>
      </c>
      <c r="BC1284" s="472" t="s">
        <v>1385</v>
      </c>
      <c r="BD1284" s="472" t="s">
        <v>1385</v>
      </c>
      <c r="BE1284" s="472" t="s">
        <v>1385</v>
      </c>
      <c r="BF1284" s="472">
        <v>17155.8</v>
      </c>
      <c r="BG1284" s="472">
        <v>0</v>
      </c>
      <c r="BH1284" s="472" t="s">
        <v>1385</v>
      </c>
      <c r="BI1284" s="510">
        <v>0</v>
      </c>
      <c r="BJ1284" s="510">
        <v>0</v>
      </c>
      <c r="BK1284" s="510">
        <v>0</v>
      </c>
      <c r="BL1284" s="510">
        <v>0</v>
      </c>
      <c r="BM1284" s="510">
        <v>0</v>
      </c>
      <c r="BN1284" s="510">
        <v>2000</v>
      </c>
      <c r="BO1284" s="510">
        <v>0</v>
      </c>
      <c r="BP1284" s="510">
        <v>0</v>
      </c>
      <c r="BQ1284" s="510">
        <v>0</v>
      </c>
      <c r="BR1284" s="510">
        <v>0</v>
      </c>
      <c r="BS1284" s="510">
        <v>0</v>
      </c>
      <c r="BT1284" s="510">
        <v>0</v>
      </c>
      <c r="BU1284" s="510">
        <v>0</v>
      </c>
      <c r="BV1284" s="510">
        <v>0</v>
      </c>
      <c r="BW1284" s="510">
        <v>0</v>
      </c>
      <c r="BX1284" s="510">
        <v>30000</v>
      </c>
      <c r="BY1284" s="1011">
        <v>0</v>
      </c>
      <c r="BZ1284" s="510">
        <v>0</v>
      </c>
      <c r="CA1284" s="1011">
        <v>0</v>
      </c>
      <c r="CB1284" s="510">
        <v>0</v>
      </c>
      <c r="CC1284" s="1011">
        <v>0</v>
      </c>
      <c r="CD1284" s="510">
        <v>0</v>
      </c>
      <c r="CE1284" s="1011">
        <v>0</v>
      </c>
      <c r="CF1284" s="510">
        <v>37824</v>
      </c>
      <c r="CG1284" s="1011">
        <v>0</v>
      </c>
      <c r="CH1284" s="510">
        <v>0</v>
      </c>
      <c r="CI1284" s="1011">
        <v>0</v>
      </c>
    </row>
    <row r="1285" spans="1:87" x14ac:dyDescent="0.2">
      <c r="A1285" s="449">
        <v>9</v>
      </c>
      <c r="B1285" s="453">
        <v>400087</v>
      </c>
      <c r="C1285" s="454" t="s">
        <v>10532</v>
      </c>
      <c r="D1285" s="454" t="s">
        <v>4613</v>
      </c>
      <c r="E1285" s="454" t="s">
        <v>10533</v>
      </c>
      <c r="F1285" s="454" t="s">
        <v>528</v>
      </c>
      <c r="G1285" s="454" t="s">
        <v>14437</v>
      </c>
      <c r="H1285" s="455">
        <v>9355438000167</v>
      </c>
      <c r="I1285" s="462">
        <v>39351</v>
      </c>
      <c r="J1285" s="457">
        <v>37605020</v>
      </c>
      <c r="K1285" s="454" t="s">
        <v>1569</v>
      </c>
      <c r="L1285" s="458">
        <v>107</v>
      </c>
      <c r="M1285" s="454" t="s">
        <v>1570</v>
      </c>
      <c r="N1285" s="459">
        <v>5187060</v>
      </c>
      <c r="O1285" s="460">
        <v>39413876</v>
      </c>
      <c r="P1285" s="462">
        <v>249230</v>
      </c>
      <c r="Q1285" s="462">
        <v>9</v>
      </c>
      <c r="R1285" s="462">
        <v>43938</v>
      </c>
      <c r="S1285" s="463">
        <v>114</v>
      </c>
      <c r="T1285" s="464">
        <v>3.6</v>
      </c>
      <c r="U1285" s="465">
        <v>410.4</v>
      </c>
      <c r="V1285" s="465">
        <v>10800</v>
      </c>
      <c r="W1285" s="466">
        <v>0</v>
      </c>
      <c r="X1285" s="467">
        <v>1</v>
      </c>
      <c r="Y1285" s="466">
        <v>16815.599999999999</v>
      </c>
      <c r="Z1285" s="468" t="s">
        <v>516</v>
      </c>
      <c r="AA1285" s="466">
        <v>84178.8</v>
      </c>
      <c r="AB1285" s="466">
        <v>84178.8</v>
      </c>
      <c r="AC1285" s="467">
        <v>0</v>
      </c>
      <c r="AD1285" s="466">
        <v>0</v>
      </c>
      <c r="AE1285" s="468" t="s">
        <v>516</v>
      </c>
      <c r="AF1285" s="466">
        <v>0</v>
      </c>
      <c r="AG1285" s="466">
        <v>0</v>
      </c>
      <c r="AH1285" s="466">
        <v>18662.89</v>
      </c>
      <c r="AI1285" s="466">
        <v>9885.0400000000009</v>
      </c>
      <c r="AJ1285" s="469" t="s">
        <v>1571</v>
      </c>
      <c r="AK1285" s="470" t="s">
        <v>528</v>
      </c>
      <c r="AL1285" s="471" t="s">
        <v>9128</v>
      </c>
      <c r="AM1285" s="470" t="s">
        <v>10534</v>
      </c>
      <c r="AN1285" s="470" t="s">
        <v>10535</v>
      </c>
      <c r="AO1285" s="470" t="s">
        <v>14438</v>
      </c>
      <c r="AP1285" s="470" t="s">
        <v>1570</v>
      </c>
      <c r="AQ1285" s="470" t="s">
        <v>10532</v>
      </c>
      <c r="AR1285" s="472" t="s">
        <v>515</v>
      </c>
      <c r="AS1285" s="473" t="s">
        <v>1385</v>
      </c>
      <c r="AT1285" s="472" t="s">
        <v>4613</v>
      </c>
      <c r="AU1285" s="472" t="s">
        <v>420</v>
      </c>
      <c r="AV1285" s="472">
        <v>2020</v>
      </c>
      <c r="AW1285" s="474" t="s">
        <v>15078</v>
      </c>
      <c r="AX1285" s="475" t="s">
        <v>15079</v>
      </c>
      <c r="AY1285" s="515">
        <v>1</v>
      </c>
      <c r="AZ1285" s="474" t="s">
        <v>15079</v>
      </c>
      <c r="BA1285" s="472" t="s">
        <v>4613</v>
      </c>
      <c r="BB1285" s="472" t="s">
        <v>1385</v>
      </c>
      <c r="BC1285" s="472" t="s">
        <v>1385</v>
      </c>
      <c r="BD1285" s="472" t="s">
        <v>1385</v>
      </c>
      <c r="BE1285" s="472" t="s">
        <v>1385</v>
      </c>
      <c r="BF1285" s="472">
        <v>16815.599999999999</v>
      </c>
      <c r="BG1285" s="472">
        <v>0</v>
      </c>
      <c r="BH1285" s="472" t="s">
        <v>1385</v>
      </c>
      <c r="BI1285" s="510">
        <v>0</v>
      </c>
      <c r="BJ1285" s="510">
        <v>0</v>
      </c>
      <c r="BK1285" s="510">
        <v>0</v>
      </c>
      <c r="BL1285" s="510">
        <v>0</v>
      </c>
      <c r="BM1285" s="510">
        <v>0</v>
      </c>
      <c r="BN1285" s="510">
        <v>2000</v>
      </c>
      <c r="BO1285" s="510">
        <v>0</v>
      </c>
      <c r="BP1285" s="510">
        <v>0</v>
      </c>
      <c r="BQ1285" s="510">
        <v>0</v>
      </c>
      <c r="BR1285" s="510">
        <v>0</v>
      </c>
      <c r="BS1285" s="510">
        <v>0</v>
      </c>
      <c r="BT1285" s="510">
        <v>0</v>
      </c>
      <c r="BU1285" s="510">
        <v>0</v>
      </c>
      <c r="BV1285" s="510">
        <v>0</v>
      </c>
      <c r="BW1285" s="510">
        <v>0</v>
      </c>
      <c r="BX1285" s="510">
        <v>30000</v>
      </c>
      <c r="BY1285" s="1011">
        <v>0</v>
      </c>
      <c r="BZ1285" s="510">
        <v>0</v>
      </c>
      <c r="CA1285" s="1011">
        <v>0</v>
      </c>
      <c r="CB1285" s="510">
        <v>0</v>
      </c>
      <c r="CC1285" s="1011">
        <v>0</v>
      </c>
      <c r="CD1285" s="510">
        <v>0</v>
      </c>
      <c r="CE1285" s="1011">
        <v>0</v>
      </c>
      <c r="CF1285" s="510">
        <v>37363.199999999997</v>
      </c>
      <c r="CG1285" s="1011">
        <v>0</v>
      </c>
      <c r="CH1285" s="510">
        <v>0</v>
      </c>
      <c r="CI1285" s="1011">
        <v>0</v>
      </c>
    </row>
    <row r="1286" spans="1:87" x14ac:dyDescent="0.2">
      <c r="A1286" s="449">
        <v>11</v>
      </c>
      <c r="B1286" s="453">
        <v>400088</v>
      </c>
      <c r="C1286" s="454" t="s">
        <v>10536</v>
      </c>
      <c r="D1286" s="454" t="s">
        <v>4613</v>
      </c>
      <c r="E1286" s="454" t="s">
        <v>10537</v>
      </c>
      <c r="F1286" s="454" t="s">
        <v>525</v>
      </c>
      <c r="G1286" s="454" t="s">
        <v>14439</v>
      </c>
      <c r="H1286" s="455">
        <v>8168869000151</v>
      </c>
      <c r="I1286" s="462">
        <v>38859</v>
      </c>
      <c r="J1286" s="457">
        <v>37585614</v>
      </c>
      <c r="K1286" s="454" t="s">
        <v>10539</v>
      </c>
      <c r="L1286" s="458">
        <v>270</v>
      </c>
      <c r="M1286" s="454" t="s">
        <v>1447</v>
      </c>
      <c r="N1286" s="459">
        <v>2132000</v>
      </c>
      <c r="O1286" s="460">
        <v>29318368</v>
      </c>
      <c r="P1286" s="462">
        <v>323376</v>
      </c>
      <c r="Q1286" s="462">
        <v>11</v>
      </c>
      <c r="R1286" s="462">
        <v>43950</v>
      </c>
      <c r="S1286" s="463">
        <v>165</v>
      </c>
      <c r="T1286" s="464">
        <v>3.6</v>
      </c>
      <c r="U1286" s="465">
        <v>594</v>
      </c>
      <c r="V1286" s="465">
        <v>10800</v>
      </c>
      <c r="W1286" s="466">
        <v>0</v>
      </c>
      <c r="X1286" s="467">
        <v>1</v>
      </c>
      <c r="Y1286" s="466">
        <v>17091</v>
      </c>
      <c r="Z1286" s="468" t="s">
        <v>516</v>
      </c>
      <c r="AA1286" s="466">
        <v>84771</v>
      </c>
      <c r="AB1286" s="466">
        <v>84771</v>
      </c>
      <c r="AC1286" s="467">
        <v>0</v>
      </c>
      <c r="AD1286" s="466">
        <v>0</v>
      </c>
      <c r="AE1286" s="468" t="s">
        <v>516</v>
      </c>
      <c r="AF1286" s="466">
        <v>0</v>
      </c>
      <c r="AG1286" s="466">
        <v>0</v>
      </c>
      <c r="AH1286" s="466">
        <v>12586.18</v>
      </c>
      <c r="AI1286" s="466">
        <v>416.55</v>
      </c>
      <c r="AJ1286" s="469" t="s">
        <v>10540</v>
      </c>
      <c r="AK1286" s="470" t="s">
        <v>10541</v>
      </c>
      <c r="AL1286" s="471" t="s">
        <v>10542</v>
      </c>
      <c r="AM1286" s="470" t="s">
        <v>10543</v>
      </c>
      <c r="AN1286" s="470" t="s">
        <v>10538</v>
      </c>
      <c r="AO1286" s="470" t="s">
        <v>10544</v>
      </c>
      <c r="AP1286" s="470" t="s">
        <v>10545</v>
      </c>
      <c r="AQ1286" s="470" t="s">
        <v>10536</v>
      </c>
      <c r="AR1286" s="472" t="s">
        <v>515</v>
      </c>
      <c r="AS1286" s="473" t="s">
        <v>1385</v>
      </c>
      <c r="AT1286" s="472" t="s">
        <v>4613</v>
      </c>
      <c r="AU1286" s="472" t="s">
        <v>420</v>
      </c>
      <c r="AV1286" s="472">
        <v>2020</v>
      </c>
      <c r="AW1286" s="474" t="s">
        <v>15078</v>
      </c>
      <c r="AX1286" s="475" t="s">
        <v>15079</v>
      </c>
      <c r="AY1286" s="515">
        <v>1</v>
      </c>
      <c r="AZ1286" s="474" t="s">
        <v>15079</v>
      </c>
      <c r="BA1286" s="472" t="s">
        <v>4613</v>
      </c>
      <c r="BB1286" s="472" t="s">
        <v>1385</v>
      </c>
      <c r="BC1286" s="472" t="s">
        <v>1385</v>
      </c>
      <c r="BD1286" s="472" t="s">
        <v>1385</v>
      </c>
      <c r="BE1286" s="472" t="s">
        <v>1385</v>
      </c>
      <c r="BF1286" s="509">
        <v>17091</v>
      </c>
      <c r="BG1286" s="509">
        <v>0</v>
      </c>
      <c r="BH1286" s="472" t="s">
        <v>1385</v>
      </c>
      <c r="BI1286" s="510">
        <v>0</v>
      </c>
      <c r="BJ1286" s="510">
        <v>0</v>
      </c>
      <c r="BK1286" s="510">
        <v>0</v>
      </c>
      <c r="BL1286" s="510">
        <v>0</v>
      </c>
      <c r="BM1286" s="510">
        <v>0</v>
      </c>
      <c r="BN1286" s="510">
        <v>2000</v>
      </c>
      <c r="BO1286" s="510">
        <v>0</v>
      </c>
      <c r="BP1286" s="510">
        <v>0</v>
      </c>
      <c r="BQ1286" s="510">
        <v>0</v>
      </c>
      <c r="BR1286" s="510">
        <v>0</v>
      </c>
      <c r="BS1286" s="510">
        <v>0</v>
      </c>
      <c r="BT1286" s="510">
        <v>0</v>
      </c>
      <c r="BU1286" s="510">
        <v>0</v>
      </c>
      <c r="BV1286" s="510">
        <v>0</v>
      </c>
      <c r="BW1286" s="510">
        <v>0</v>
      </c>
      <c r="BX1286" s="510">
        <v>30000</v>
      </c>
      <c r="BY1286" s="1011">
        <v>0</v>
      </c>
      <c r="BZ1286" s="510">
        <v>0</v>
      </c>
      <c r="CA1286" s="1011">
        <v>0</v>
      </c>
      <c r="CB1286" s="510">
        <v>0</v>
      </c>
      <c r="CC1286" s="1011">
        <v>0</v>
      </c>
      <c r="CD1286" s="510">
        <v>0</v>
      </c>
      <c r="CE1286" s="1011">
        <v>0</v>
      </c>
      <c r="CF1286" s="510">
        <v>37680</v>
      </c>
      <c r="CG1286" s="1011">
        <v>0</v>
      </c>
      <c r="CH1286" s="510">
        <v>0</v>
      </c>
      <c r="CI1286" s="1011">
        <v>0</v>
      </c>
    </row>
    <row r="1287" spans="1:87" x14ac:dyDescent="0.2">
      <c r="A1287" s="449">
        <v>7</v>
      </c>
      <c r="B1287" s="453">
        <v>400089</v>
      </c>
      <c r="C1287" s="454" t="s">
        <v>10546</v>
      </c>
      <c r="D1287" s="454" t="s">
        <v>4613</v>
      </c>
      <c r="E1287" s="454" t="s">
        <v>10547</v>
      </c>
      <c r="F1287" s="454" t="s">
        <v>519</v>
      </c>
      <c r="G1287" s="454" t="s">
        <v>14440</v>
      </c>
      <c r="H1287" s="455">
        <v>6536824000167</v>
      </c>
      <c r="I1287" s="462">
        <v>38142</v>
      </c>
      <c r="J1287" s="457">
        <v>37358332</v>
      </c>
      <c r="K1287" s="454" t="s">
        <v>10549</v>
      </c>
      <c r="L1287" s="458">
        <v>223</v>
      </c>
      <c r="M1287" s="454" t="s">
        <v>1941</v>
      </c>
      <c r="N1287" s="459">
        <v>5363110</v>
      </c>
      <c r="O1287" s="460">
        <v>37313819</v>
      </c>
      <c r="P1287" s="462">
        <v>116796</v>
      </c>
      <c r="Q1287" s="462">
        <v>74</v>
      </c>
      <c r="R1287" s="462">
        <v>43881</v>
      </c>
      <c r="S1287" s="463">
        <v>139</v>
      </c>
      <c r="T1287" s="464">
        <v>3.6</v>
      </c>
      <c r="U1287" s="465">
        <v>500.4</v>
      </c>
      <c r="V1287" s="465">
        <v>10800</v>
      </c>
      <c r="W1287" s="466">
        <v>0</v>
      </c>
      <c r="X1287" s="467">
        <v>1</v>
      </c>
      <c r="Y1287" s="466">
        <v>0</v>
      </c>
      <c r="Z1287" s="468" t="s">
        <v>514</v>
      </c>
      <c r="AA1287" s="466">
        <v>0</v>
      </c>
      <c r="AB1287" s="466">
        <v>0</v>
      </c>
      <c r="AC1287" s="467">
        <v>0</v>
      </c>
      <c r="AD1287" s="466">
        <v>0</v>
      </c>
      <c r="AE1287" s="468" t="s">
        <v>516</v>
      </c>
      <c r="AF1287" s="466">
        <v>0</v>
      </c>
      <c r="AG1287" s="466">
        <v>0</v>
      </c>
      <c r="AH1287" s="466">
        <v>9408.09</v>
      </c>
      <c r="AI1287" s="466">
        <v>0</v>
      </c>
      <c r="AJ1287" s="469" t="s">
        <v>1940</v>
      </c>
      <c r="AK1287" s="470" t="s">
        <v>1941</v>
      </c>
      <c r="AL1287" s="471" t="s">
        <v>10550</v>
      </c>
      <c r="AM1287" s="470" t="s">
        <v>10551</v>
      </c>
      <c r="AN1287" s="470" t="s">
        <v>10548</v>
      </c>
      <c r="AO1287" s="470" t="s">
        <v>10552</v>
      </c>
      <c r="AP1287" s="470" t="s">
        <v>10553</v>
      </c>
      <c r="AQ1287" s="470" t="s">
        <v>10546</v>
      </c>
      <c r="AR1287" s="472" t="s">
        <v>515</v>
      </c>
      <c r="AS1287" s="473" t="s">
        <v>1385</v>
      </c>
      <c r="AT1287" s="472" t="s">
        <v>4613</v>
      </c>
      <c r="AU1287" s="472" t="s">
        <v>420</v>
      </c>
      <c r="AV1287" s="472">
        <v>2020</v>
      </c>
      <c r="AW1287" s="474" t="s">
        <v>15078</v>
      </c>
      <c r="AX1287" s="475" t="s">
        <v>15079</v>
      </c>
      <c r="AY1287" s="515">
        <v>1</v>
      </c>
      <c r="AZ1287" s="474" t="s">
        <v>15079</v>
      </c>
      <c r="BA1287" s="472" t="s">
        <v>1385</v>
      </c>
      <c r="BB1287" s="472" t="s">
        <v>1385</v>
      </c>
      <c r="BC1287" s="472" t="s">
        <v>1385</v>
      </c>
      <c r="BD1287" s="472" t="s">
        <v>1385</v>
      </c>
      <c r="BE1287" s="472" t="s">
        <v>1385</v>
      </c>
      <c r="BF1287" s="472">
        <v>16950.599999999999</v>
      </c>
      <c r="BG1287" s="472">
        <v>0</v>
      </c>
      <c r="BH1287" s="472" t="s">
        <v>516</v>
      </c>
      <c r="BI1287" s="510">
        <v>0</v>
      </c>
      <c r="BJ1287" s="510">
        <v>0</v>
      </c>
      <c r="BK1287" s="510">
        <v>0</v>
      </c>
      <c r="BL1287" s="510">
        <v>0</v>
      </c>
      <c r="BM1287" s="510">
        <v>0</v>
      </c>
      <c r="BN1287" s="510">
        <v>0</v>
      </c>
      <c r="BO1287" s="510">
        <v>0</v>
      </c>
      <c r="BP1287" s="510">
        <v>0</v>
      </c>
      <c r="BQ1287" s="510">
        <v>0</v>
      </c>
      <c r="BR1287" s="510">
        <v>0</v>
      </c>
      <c r="BS1287" s="510">
        <v>0</v>
      </c>
      <c r="BT1287" s="510">
        <v>0</v>
      </c>
      <c r="BU1287" s="510">
        <v>0</v>
      </c>
      <c r="BV1287" s="510">
        <v>0</v>
      </c>
      <c r="BW1287" s="510">
        <v>0</v>
      </c>
      <c r="BX1287" s="510">
        <v>0</v>
      </c>
      <c r="BY1287" s="1011">
        <v>0</v>
      </c>
      <c r="BZ1287" s="510">
        <v>0</v>
      </c>
      <c r="CA1287" s="1011">
        <v>0</v>
      </c>
      <c r="CB1287" s="510">
        <v>0</v>
      </c>
      <c r="CC1287" s="1011">
        <v>0</v>
      </c>
      <c r="CD1287" s="510">
        <v>0</v>
      </c>
      <c r="CE1287" s="1011">
        <v>0</v>
      </c>
      <c r="CF1287" s="510">
        <v>0</v>
      </c>
      <c r="CG1287" s="1011">
        <v>0</v>
      </c>
      <c r="CH1287" s="510">
        <v>0</v>
      </c>
      <c r="CI1287" s="1011">
        <v>0</v>
      </c>
    </row>
    <row r="1288" spans="1:87" x14ac:dyDescent="0.2">
      <c r="A1288" s="449">
        <v>13</v>
      </c>
      <c r="B1288" s="453">
        <v>400090</v>
      </c>
      <c r="C1288" s="454" t="s">
        <v>10554</v>
      </c>
      <c r="D1288" s="454" t="s">
        <v>4613</v>
      </c>
      <c r="E1288" s="454" t="s">
        <v>10554</v>
      </c>
      <c r="F1288" s="454" t="s">
        <v>520</v>
      </c>
      <c r="G1288" s="454" t="s">
        <v>14441</v>
      </c>
      <c r="H1288" s="455">
        <v>8003092000175</v>
      </c>
      <c r="I1288" s="462">
        <v>38698</v>
      </c>
      <c r="J1288" s="457">
        <v>37620991</v>
      </c>
      <c r="K1288" s="454" t="s">
        <v>4722</v>
      </c>
      <c r="L1288" s="458">
        <v>120</v>
      </c>
      <c r="M1288" s="454" t="s">
        <v>4724</v>
      </c>
      <c r="N1288" s="459">
        <v>4938030</v>
      </c>
      <c r="O1288" s="460">
        <v>58411870</v>
      </c>
      <c r="P1288" s="462">
        <v>291792</v>
      </c>
      <c r="Q1288" s="462">
        <v>13</v>
      </c>
      <c r="R1288" s="462">
        <v>43979</v>
      </c>
      <c r="S1288" s="463">
        <v>167</v>
      </c>
      <c r="T1288" s="464">
        <v>3.6</v>
      </c>
      <c r="U1288" s="465">
        <v>601.20000000000005</v>
      </c>
      <c r="V1288" s="465">
        <v>10800</v>
      </c>
      <c r="W1288" s="466">
        <v>0</v>
      </c>
      <c r="X1288" s="467">
        <v>1</v>
      </c>
      <c r="Y1288" s="466">
        <v>0</v>
      </c>
      <c r="Z1288" s="468" t="s">
        <v>514</v>
      </c>
      <c r="AA1288" s="466">
        <v>0</v>
      </c>
      <c r="AB1288" s="466">
        <v>0</v>
      </c>
      <c r="AC1288" s="467">
        <v>0</v>
      </c>
      <c r="AD1288" s="466">
        <v>0</v>
      </c>
      <c r="AE1288" s="468" t="s">
        <v>516</v>
      </c>
      <c r="AF1288" s="466">
        <v>0</v>
      </c>
      <c r="AG1288" s="466">
        <v>0</v>
      </c>
      <c r="AH1288" s="466">
        <v>1364.83</v>
      </c>
      <c r="AI1288" s="466">
        <v>462.79</v>
      </c>
      <c r="AJ1288" s="469" t="s">
        <v>1657</v>
      </c>
      <c r="AK1288" s="470" t="s">
        <v>3421</v>
      </c>
      <c r="AL1288" s="471" t="s">
        <v>10555</v>
      </c>
      <c r="AM1288" s="470" t="s">
        <v>10556</v>
      </c>
      <c r="AN1288" s="470" t="s">
        <v>10557</v>
      </c>
      <c r="AO1288" s="470" t="s">
        <v>10558</v>
      </c>
      <c r="AP1288" s="470" t="s">
        <v>4724</v>
      </c>
      <c r="AQ1288" s="470" t="s">
        <v>10554</v>
      </c>
      <c r="AR1288" s="472" t="s">
        <v>515</v>
      </c>
      <c r="AS1288" s="473" t="s">
        <v>1385</v>
      </c>
      <c r="AT1288" s="472" t="s">
        <v>4613</v>
      </c>
      <c r="AU1288" s="472" t="s">
        <v>420</v>
      </c>
      <c r="AV1288" s="472">
        <v>2020</v>
      </c>
      <c r="AW1288" s="474" t="s">
        <v>15078</v>
      </c>
      <c r="AX1288" s="475" t="s">
        <v>15079</v>
      </c>
      <c r="AY1288" s="515">
        <v>1</v>
      </c>
      <c r="AZ1288" s="474" t="s">
        <v>15079</v>
      </c>
      <c r="BA1288" s="472" t="s">
        <v>1385</v>
      </c>
      <c r="BB1288" s="472" t="s">
        <v>1385</v>
      </c>
      <c r="BC1288" s="472" t="s">
        <v>1385</v>
      </c>
      <c r="BD1288" s="472" t="s">
        <v>1385</v>
      </c>
      <c r="BE1288" s="472" t="s">
        <v>1385</v>
      </c>
      <c r="BF1288" s="472">
        <v>17101.8</v>
      </c>
      <c r="BG1288" s="472">
        <v>0</v>
      </c>
      <c r="BH1288" s="472" t="s">
        <v>516</v>
      </c>
      <c r="BI1288" s="510">
        <v>0</v>
      </c>
      <c r="BJ1288" s="510">
        <v>0</v>
      </c>
      <c r="BK1288" s="510">
        <v>0</v>
      </c>
      <c r="BL1288" s="510">
        <v>0</v>
      </c>
      <c r="BM1288" s="510">
        <v>0</v>
      </c>
      <c r="BN1288" s="510">
        <v>0</v>
      </c>
      <c r="BO1288" s="510">
        <v>0</v>
      </c>
      <c r="BP1288" s="510">
        <v>0</v>
      </c>
      <c r="BQ1288" s="510">
        <v>0</v>
      </c>
      <c r="BR1288" s="510">
        <v>0</v>
      </c>
      <c r="BS1288" s="510">
        <v>0</v>
      </c>
      <c r="BT1288" s="510">
        <v>0</v>
      </c>
      <c r="BU1288" s="510">
        <v>0</v>
      </c>
      <c r="BV1288" s="510">
        <v>0</v>
      </c>
      <c r="BW1288" s="510">
        <v>0</v>
      </c>
      <c r="BX1288" s="510">
        <v>0</v>
      </c>
      <c r="BY1288" s="1011">
        <v>0</v>
      </c>
      <c r="BZ1288" s="510">
        <v>0</v>
      </c>
      <c r="CA1288" s="1011">
        <v>0</v>
      </c>
      <c r="CB1288" s="510">
        <v>0</v>
      </c>
      <c r="CC1288" s="1011">
        <v>0</v>
      </c>
      <c r="CD1288" s="510">
        <v>0</v>
      </c>
      <c r="CE1288" s="1011">
        <v>0</v>
      </c>
      <c r="CF1288" s="510">
        <v>0</v>
      </c>
      <c r="CG1288" s="1011">
        <v>0</v>
      </c>
      <c r="CH1288" s="510">
        <v>0</v>
      </c>
      <c r="CI1288" s="1011">
        <v>0</v>
      </c>
    </row>
    <row r="1289" spans="1:87" x14ac:dyDescent="0.2">
      <c r="A1289" s="449">
        <v>14</v>
      </c>
      <c r="B1289" s="453">
        <v>400091</v>
      </c>
      <c r="C1289" s="454" t="s">
        <v>10559</v>
      </c>
      <c r="D1289" s="454" t="s">
        <v>4613</v>
      </c>
      <c r="E1289" s="454" t="s">
        <v>10559</v>
      </c>
      <c r="F1289" s="454" t="s">
        <v>520</v>
      </c>
      <c r="G1289" s="454" t="s">
        <v>14442</v>
      </c>
      <c r="H1289" s="455">
        <v>8182835000111</v>
      </c>
      <c r="I1289" s="462">
        <v>38894</v>
      </c>
      <c r="J1289" s="457">
        <v>37620398</v>
      </c>
      <c r="K1289" s="454" t="s">
        <v>10560</v>
      </c>
      <c r="L1289" s="458">
        <v>143</v>
      </c>
      <c r="M1289" s="454" t="s">
        <v>10561</v>
      </c>
      <c r="N1289" s="459">
        <v>5831040</v>
      </c>
      <c r="O1289" s="460">
        <v>55145060</v>
      </c>
      <c r="P1289" s="462">
        <v>291814</v>
      </c>
      <c r="Q1289" s="462">
        <v>14</v>
      </c>
      <c r="R1289" s="462">
        <v>43979</v>
      </c>
      <c r="S1289" s="463">
        <v>162</v>
      </c>
      <c r="T1289" s="464">
        <v>3.6</v>
      </c>
      <c r="U1289" s="465">
        <v>583.20000000000005</v>
      </c>
      <c r="V1289" s="465">
        <v>10800</v>
      </c>
      <c r="W1289" s="466">
        <v>0</v>
      </c>
      <c r="X1289" s="467">
        <v>1</v>
      </c>
      <c r="Y1289" s="466">
        <v>17074.8</v>
      </c>
      <c r="Z1289" s="468" t="s">
        <v>516</v>
      </c>
      <c r="AA1289" s="466">
        <v>84834</v>
      </c>
      <c r="AB1289" s="466">
        <v>84834</v>
      </c>
      <c r="AC1289" s="467">
        <v>0</v>
      </c>
      <c r="AD1289" s="466">
        <v>0</v>
      </c>
      <c r="AE1289" s="468" t="s">
        <v>516</v>
      </c>
      <c r="AF1289" s="466">
        <v>0</v>
      </c>
      <c r="AG1289" s="466">
        <v>0</v>
      </c>
      <c r="AH1289" s="466">
        <v>14595.82</v>
      </c>
      <c r="AI1289" s="466">
        <v>4316.5200000000004</v>
      </c>
      <c r="AJ1289" s="469" t="s">
        <v>2755</v>
      </c>
      <c r="AK1289" s="470" t="s">
        <v>2756</v>
      </c>
      <c r="AL1289" s="471" t="s">
        <v>10562</v>
      </c>
      <c r="AM1289" s="470" t="s">
        <v>10563</v>
      </c>
      <c r="AN1289" s="470" t="s">
        <v>10564</v>
      </c>
      <c r="AO1289" s="470" t="s">
        <v>14443</v>
      </c>
      <c r="AP1289" s="470" t="s">
        <v>10561</v>
      </c>
      <c r="AQ1289" s="470" t="s">
        <v>10559</v>
      </c>
      <c r="AR1289" s="472" t="s">
        <v>515</v>
      </c>
      <c r="AS1289" s="473" t="s">
        <v>1385</v>
      </c>
      <c r="AT1289" s="472" t="s">
        <v>4613</v>
      </c>
      <c r="AU1289" s="472" t="s">
        <v>420</v>
      </c>
      <c r="AV1289" s="472">
        <v>2020</v>
      </c>
      <c r="AW1289" s="474" t="s">
        <v>15078</v>
      </c>
      <c r="AX1289" s="475" t="s">
        <v>15079</v>
      </c>
      <c r="AY1289" s="515">
        <v>1</v>
      </c>
      <c r="AZ1289" s="474" t="s">
        <v>15079</v>
      </c>
      <c r="BA1289" s="472" t="s">
        <v>4613</v>
      </c>
      <c r="BB1289" s="472" t="s">
        <v>1385</v>
      </c>
      <c r="BC1289" s="472" t="s">
        <v>1385</v>
      </c>
      <c r="BD1289" s="472" t="s">
        <v>1385</v>
      </c>
      <c r="BE1289" s="472" t="s">
        <v>1385</v>
      </c>
      <c r="BF1289" s="472">
        <v>17074.8</v>
      </c>
      <c r="BG1289" s="472">
        <v>0</v>
      </c>
      <c r="BH1289" s="472" t="s">
        <v>1385</v>
      </c>
      <c r="BI1289" s="510">
        <v>0</v>
      </c>
      <c r="BJ1289" s="510">
        <v>0</v>
      </c>
      <c r="BK1289" s="510">
        <v>0</v>
      </c>
      <c r="BL1289" s="510">
        <v>0</v>
      </c>
      <c r="BM1289" s="510">
        <v>0</v>
      </c>
      <c r="BN1289" s="510">
        <v>2000</v>
      </c>
      <c r="BO1289" s="510">
        <v>0</v>
      </c>
      <c r="BP1289" s="510">
        <v>0</v>
      </c>
      <c r="BQ1289" s="510">
        <v>0</v>
      </c>
      <c r="BR1289" s="510">
        <v>0</v>
      </c>
      <c r="BS1289" s="510">
        <v>0</v>
      </c>
      <c r="BT1289" s="510">
        <v>0</v>
      </c>
      <c r="BU1289" s="510">
        <v>0</v>
      </c>
      <c r="BV1289" s="510">
        <v>0</v>
      </c>
      <c r="BW1289" s="510">
        <v>0</v>
      </c>
      <c r="BX1289" s="510">
        <v>30000</v>
      </c>
      <c r="BY1289" s="1011">
        <v>0</v>
      </c>
      <c r="BZ1289" s="510">
        <v>0</v>
      </c>
      <c r="CA1289" s="1011">
        <v>0</v>
      </c>
      <c r="CB1289" s="510">
        <v>0</v>
      </c>
      <c r="CC1289" s="1011">
        <v>0</v>
      </c>
      <c r="CD1289" s="510">
        <v>0</v>
      </c>
      <c r="CE1289" s="1011">
        <v>0</v>
      </c>
      <c r="CF1289" s="510">
        <v>37759.199999999997</v>
      </c>
      <c r="CG1289" s="1011">
        <v>0</v>
      </c>
      <c r="CH1289" s="510">
        <v>0</v>
      </c>
      <c r="CI1289" s="1011">
        <v>0</v>
      </c>
    </row>
    <row r="1290" spans="1:87" x14ac:dyDescent="0.2">
      <c r="A1290" s="449">
        <v>6</v>
      </c>
      <c r="B1290" s="453">
        <v>400092</v>
      </c>
      <c r="C1290" s="454" t="s">
        <v>10565</v>
      </c>
      <c r="D1290" s="454" t="s">
        <v>4613</v>
      </c>
      <c r="E1290" s="454" t="s">
        <v>10566</v>
      </c>
      <c r="F1290" s="454" t="s">
        <v>529</v>
      </c>
      <c r="G1290" s="454" t="s">
        <v>14444</v>
      </c>
      <c r="H1290" s="455">
        <v>7738241000181</v>
      </c>
      <c r="I1290" s="462">
        <v>38624</v>
      </c>
      <c r="J1290" s="457">
        <v>37523651</v>
      </c>
      <c r="K1290" s="454" t="s">
        <v>10567</v>
      </c>
      <c r="L1290" s="458">
        <v>275</v>
      </c>
      <c r="M1290" s="454" t="s">
        <v>1789</v>
      </c>
      <c r="N1290" s="459">
        <v>4421000</v>
      </c>
      <c r="O1290" s="460">
        <v>56218005</v>
      </c>
      <c r="P1290" s="462">
        <v>563156</v>
      </c>
      <c r="Q1290" s="462">
        <v>8</v>
      </c>
      <c r="R1290" s="462">
        <v>43921</v>
      </c>
      <c r="S1290" s="463">
        <v>212</v>
      </c>
      <c r="T1290" s="464">
        <v>3.6</v>
      </c>
      <c r="U1290" s="465">
        <v>763.2</v>
      </c>
      <c r="V1290" s="465">
        <v>11760</v>
      </c>
      <c r="W1290" s="466">
        <v>0</v>
      </c>
      <c r="X1290" s="467">
        <v>1</v>
      </c>
      <c r="Y1290" s="466">
        <v>18784.8</v>
      </c>
      <c r="Z1290" s="468" t="s">
        <v>516</v>
      </c>
      <c r="AA1290" s="466">
        <v>88780.800000000003</v>
      </c>
      <c r="AB1290" s="466">
        <v>88780.800000000003</v>
      </c>
      <c r="AC1290" s="467">
        <v>0</v>
      </c>
      <c r="AD1290" s="466">
        <v>0</v>
      </c>
      <c r="AE1290" s="468" t="s">
        <v>516</v>
      </c>
      <c r="AF1290" s="466">
        <v>0</v>
      </c>
      <c r="AG1290" s="466">
        <v>0</v>
      </c>
      <c r="AH1290" s="466">
        <v>16241.97</v>
      </c>
      <c r="AI1290" s="466">
        <v>3926.5</v>
      </c>
      <c r="AJ1290" s="469" t="s">
        <v>1790</v>
      </c>
      <c r="AK1290" s="470" t="s">
        <v>1791</v>
      </c>
      <c r="AL1290" s="471" t="s">
        <v>10568</v>
      </c>
      <c r="AM1290" s="470" t="s">
        <v>10569</v>
      </c>
      <c r="AN1290" s="470" t="s">
        <v>14444</v>
      </c>
      <c r="AO1290" s="470" t="s">
        <v>10570</v>
      </c>
      <c r="AP1290" s="470" t="s">
        <v>10571</v>
      </c>
      <c r="AQ1290" s="470" t="s">
        <v>10565</v>
      </c>
      <c r="AR1290" s="472" t="s">
        <v>515</v>
      </c>
      <c r="AS1290" s="473" t="s">
        <v>1385</v>
      </c>
      <c r="AT1290" s="472" t="s">
        <v>4613</v>
      </c>
      <c r="AU1290" s="472" t="s">
        <v>420</v>
      </c>
      <c r="AV1290" s="472">
        <v>2020</v>
      </c>
      <c r="AW1290" s="474" t="s">
        <v>15078</v>
      </c>
      <c r="AX1290" s="475" t="s">
        <v>15079</v>
      </c>
      <c r="AY1290" s="515">
        <v>1</v>
      </c>
      <c r="AZ1290" s="474" t="s">
        <v>15079</v>
      </c>
      <c r="BA1290" s="472" t="s">
        <v>4613</v>
      </c>
      <c r="BB1290" s="472" t="s">
        <v>1385</v>
      </c>
      <c r="BC1290" s="472" t="s">
        <v>1385</v>
      </c>
      <c r="BD1290" s="472" t="s">
        <v>1385</v>
      </c>
      <c r="BE1290" s="472" t="s">
        <v>1385</v>
      </c>
      <c r="BF1290" s="472">
        <v>18784.8</v>
      </c>
      <c r="BG1290" s="472">
        <v>0</v>
      </c>
      <c r="BH1290" s="472" t="s">
        <v>1385</v>
      </c>
      <c r="BI1290" s="510">
        <v>0</v>
      </c>
      <c r="BJ1290" s="510">
        <v>0</v>
      </c>
      <c r="BK1290" s="510">
        <v>0</v>
      </c>
      <c r="BL1290" s="510">
        <v>0</v>
      </c>
      <c r="BM1290" s="510">
        <v>0</v>
      </c>
      <c r="BN1290" s="510">
        <v>2000</v>
      </c>
      <c r="BO1290" s="510">
        <v>0</v>
      </c>
      <c r="BP1290" s="510">
        <v>0</v>
      </c>
      <c r="BQ1290" s="510">
        <v>0</v>
      </c>
      <c r="BR1290" s="510">
        <v>0</v>
      </c>
      <c r="BS1290" s="510">
        <v>0</v>
      </c>
      <c r="BT1290" s="510">
        <v>0</v>
      </c>
      <c r="BU1290" s="510">
        <v>0</v>
      </c>
      <c r="BV1290" s="510">
        <v>0</v>
      </c>
      <c r="BW1290" s="510">
        <v>0</v>
      </c>
      <c r="BX1290" s="510">
        <v>30000</v>
      </c>
      <c r="BY1290" s="1011">
        <v>0</v>
      </c>
      <c r="BZ1290" s="510">
        <v>0</v>
      </c>
      <c r="CA1290" s="1011">
        <v>0</v>
      </c>
      <c r="CB1290" s="510">
        <v>0</v>
      </c>
      <c r="CC1290" s="1011">
        <v>0</v>
      </c>
      <c r="CD1290" s="510">
        <v>0</v>
      </c>
      <c r="CE1290" s="1011">
        <v>0</v>
      </c>
      <c r="CF1290" s="510">
        <v>39996</v>
      </c>
      <c r="CG1290" s="1011">
        <v>0</v>
      </c>
      <c r="CH1290" s="510">
        <v>0</v>
      </c>
      <c r="CI1290" s="1011">
        <v>0</v>
      </c>
    </row>
    <row r="1291" spans="1:87" x14ac:dyDescent="0.2">
      <c r="A1291" s="449">
        <v>15</v>
      </c>
      <c r="B1291" s="453">
        <v>400093</v>
      </c>
      <c r="C1291" s="454" t="s">
        <v>10572</v>
      </c>
      <c r="D1291" s="454" t="s">
        <v>4613</v>
      </c>
      <c r="E1291" s="454" t="s">
        <v>10572</v>
      </c>
      <c r="F1291" s="454" t="s">
        <v>520</v>
      </c>
      <c r="G1291" s="454" t="s">
        <v>14445</v>
      </c>
      <c r="H1291" s="455">
        <v>10903897000117</v>
      </c>
      <c r="I1291" s="462">
        <v>39703</v>
      </c>
      <c r="J1291" s="457">
        <v>41029518</v>
      </c>
      <c r="K1291" s="454" t="s">
        <v>10574</v>
      </c>
      <c r="L1291" s="458">
        <v>77</v>
      </c>
      <c r="M1291" s="454" t="s">
        <v>10575</v>
      </c>
      <c r="N1291" s="459">
        <v>5894440</v>
      </c>
      <c r="O1291" s="460">
        <v>58217979</v>
      </c>
      <c r="P1291" s="462">
        <v>292608</v>
      </c>
      <c r="Q1291" s="462">
        <v>15</v>
      </c>
      <c r="R1291" s="462">
        <v>43969</v>
      </c>
      <c r="S1291" s="463">
        <v>241</v>
      </c>
      <c r="T1291" s="464">
        <v>3.6</v>
      </c>
      <c r="U1291" s="465">
        <v>867.6</v>
      </c>
      <c r="V1291" s="465">
        <v>11760</v>
      </c>
      <c r="W1291" s="466">
        <v>0</v>
      </c>
      <c r="X1291" s="467">
        <v>1</v>
      </c>
      <c r="Y1291" s="466">
        <v>18941.400000000001</v>
      </c>
      <c r="Z1291" s="468" t="s">
        <v>516</v>
      </c>
      <c r="AA1291" s="466">
        <v>89196.6</v>
      </c>
      <c r="AB1291" s="466">
        <v>89196.6</v>
      </c>
      <c r="AC1291" s="467">
        <v>0</v>
      </c>
      <c r="AD1291" s="466">
        <v>0</v>
      </c>
      <c r="AE1291" s="468" t="s">
        <v>516</v>
      </c>
      <c r="AF1291" s="466">
        <v>0</v>
      </c>
      <c r="AG1291" s="466">
        <v>0</v>
      </c>
      <c r="AH1291" s="466">
        <v>2572.09</v>
      </c>
      <c r="AI1291" s="466">
        <v>3134.77</v>
      </c>
      <c r="AJ1291" s="469" t="s">
        <v>1515</v>
      </c>
      <c r="AK1291" s="470" t="s">
        <v>1516</v>
      </c>
      <c r="AL1291" s="471" t="s">
        <v>15098</v>
      </c>
      <c r="AM1291" s="470" t="s">
        <v>10576</v>
      </c>
      <c r="AN1291" s="470" t="s">
        <v>10573</v>
      </c>
      <c r="AO1291" s="470" t="s">
        <v>10577</v>
      </c>
      <c r="AP1291" s="470" t="s">
        <v>10575</v>
      </c>
      <c r="AQ1291" s="470" t="s">
        <v>10572</v>
      </c>
      <c r="AR1291" s="472" t="s">
        <v>515</v>
      </c>
      <c r="AS1291" s="473" t="s">
        <v>1385</v>
      </c>
      <c r="AT1291" s="472" t="s">
        <v>4613</v>
      </c>
      <c r="AU1291" s="472" t="s">
        <v>420</v>
      </c>
      <c r="AV1291" s="472">
        <v>2020</v>
      </c>
      <c r="AW1291" s="474" t="s">
        <v>15078</v>
      </c>
      <c r="AX1291" s="475" t="s">
        <v>15079</v>
      </c>
      <c r="AY1291" s="515">
        <v>1</v>
      </c>
      <c r="AZ1291" s="474" t="s">
        <v>15079</v>
      </c>
      <c r="BA1291" s="472" t="s">
        <v>4613</v>
      </c>
      <c r="BB1291" s="472" t="s">
        <v>1385</v>
      </c>
      <c r="BC1291" s="472" t="s">
        <v>1385</v>
      </c>
      <c r="BD1291" s="472" t="s">
        <v>1385</v>
      </c>
      <c r="BE1291" s="472" t="s">
        <v>1385</v>
      </c>
      <c r="BF1291" s="472">
        <v>18941.400000000001</v>
      </c>
      <c r="BG1291" s="472">
        <v>0</v>
      </c>
      <c r="BH1291" s="472" t="s">
        <v>1385</v>
      </c>
      <c r="BI1291" s="510">
        <v>0</v>
      </c>
      <c r="BJ1291" s="510">
        <v>0</v>
      </c>
      <c r="BK1291" s="510">
        <v>0</v>
      </c>
      <c r="BL1291" s="510">
        <v>0</v>
      </c>
      <c r="BM1291" s="510">
        <v>0</v>
      </c>
      <c r="BN1291" s="510">
        <v>2000</v>
      </c>
      <c r="BO1291" s="510">
        <v>0</v>
      </c>
      <c r="BP1291" s="510">
        <v>0</v>
      </c>
      <c r="BQ1291" s="510">
        <v>0</v>
      </c>
      <c r="BR1291" s="510">
        <v>0</v>
      </c>
      <c r="BS1291" s="510">
        <v>0</v>
      </c>
      <c r="BT1291" s="510">
        <v>0</v>
      </c>
      <c r="BU1291" s="510">
        <v>0</v>
      </c>
      <c r="BV1291" s="510">
        <v>0</v>
      </c>
      <c r="BW1291" s="510">
        <v>0</v>
      </c>
      <c r="BX1291" s="510">
        <v>30000</v>
      </c>
      <c r="BY1291" s="1011">
        <v>0</v>
      </c>
      <c r="BZ1291" s="510">
        <v>0</v>
      </c>
      <c r="CA1291" s="1011">
        <v>0</v>
      </c>
      <c r="CB1291" s="510">
        <v>0</v>
      </c>
      <c r="CC1291" s="1011">
        <v>0</v>
      </c>
      <c r="CD1291" s="510">
        <v>0</v>
      </c>
      <c r="CE1291" s="1011">
        <v>0</v>
      </c>
      <c r="CF1291" s="510">
        <v>40255.199999999997</v>
      </c>
      <c r="CG1291" s="1011">
        <v>0</v>
      </c>
      <c r="CH1291" s="510">
        <v>0</v>
      </c>
      <c r="CI1291" s="1011">
        <v>0</v>
      </c>
    </row>
    <row r="1292" spans="1:87" x14ac:dyDescent="0.2">
      <c r="A1292" s="449">
        <v>14</v>
      </c>
      <c r="B1292" s="453">
        <v>400094</v>
      </c>
      <c r="C1292" s="454" t="s">
        <v>10578</v>
      </c>
      <c r="D1292" s="454" t="s">
        <v>4613</v>
      </c>
      <c r="E1292" s="454" t="s">
        <v>10579</v>
      </c>
      <c r="F1292" s="454" t="s">
        <v>526</v>
      </c>
      <c r="G1292" s="454" t="s">
        <v>14446</v>
      </c>
      <c r="H1292" s="455">
        <v>7814629000114</v>
      </c>
      <c r="I1292" s="462">
        <v>38708</v>
      </c>
      <c r="J1292" s="457">
        <v>37585665</v>
      </c>
      <c r="K1292" s="454" t="s">
        <v>10580</v>
      </c>
      <c r="L1292" s="458">
        <v>287</v>
      </c>
      <c r="M1292" s="454" t="s">
        <v>10581</v>
      </c>
      <c r="N1292" s="459">
        <v>8180190</v>
      </c>
      <c r="O1292" s="460">
        <v>25816607</v>
      </c>
      <c r="P1292" s="462">
        <v>114220</v>
      </c>
      <c r="Q1292" s="462">
        <v>14</v>
      </c>
      <c r="R1292" s="462">
        <v>43928</v>
      </c>
      <c r="S1292" s="463">
        <v>133</v>
      </c>
      <c r="T1292" s="464">
        <v>3.6</v>
      </c>
      <c r="U1292" s="465">
        <v>478.8</v>
      </c>
      <c r="V1292" s="465">
        <v>10800</v>
      </c>
      <c r="W1292" s="466">
        <v>0</v>
      </c>
      <c r="X1292" s="467">
        <v>1</v>
      </c>
      <c r="Y1292" s="466">
        <v>16918.2</v>
      </c>
      <c r="Z1292" s="468" t="s">
        <v>516</v>
      </c>
      <c r="AA1292" s="466">
        <v>84396.6</v>
      </c>
      <c r="AB1292" s="466">
        <v>84396.6</v>
      </c>
      <c r="AC1292" s="467">
        <v>0</v>
      </c>
      <c r="AD1292" s="466">
        <v>0</v>
      </c>
      <c r="AE1292" s="468" t="s">
        <v>516</v>
      </c>
      <c r="AF1292" s="466">
        <v>0</v>
      </c>
      <c r="AG1292" s="466">
        <v>0</v>
      </c>
      <c r="AH1292" s="466">
        <v>20154.3</v>
      </c>
      <c r="AI1292" s="466">
        <v>778.53</v>
      </c>
      <c r="AJ1292" s="469" t="s">
        <v>1410</v>
      </c>
      <c r="AK1292" s="470" t="s">
        <v>1411</v>
      </c>
      <c r="AL1292" s="471" t="s">
        <v>10582</v>
      </c>
      <c r="AM1292" s="470" t="s">
        <v>10583</v>
      </c>
      <c r="AN1292" s="470" t="s">
        <v>1385</v>
      </c>
      <c r="AO1292" s="470" t="s">
        <v>10584</v>
      </c>
      <c r="AP1292" s="470" t="s">
        <v>10581</v>
      </c>
      <c r="AQ1292" s="470" t="s">
        <v>10578</v>
      </c>
      <c r="AR1292" s="472" t="s">
        <v>515</v>
      </c>
      <c r="AS1292" s="473" t="s">
        <v>1385</v>
      </c>
      <c r="AT1292" s="472" t="s">
        <v>4613</v>
      </c>
      <c r="AU1292" s="472" t="s">
        <v>420</v>
      </c>
      <c r="AV1292" s="472">
        <v>2020</v>
      </c>
      <c r="AW1292" s="474" t="s">
        <v>15078</v>
      </c>
      <c r="AX1292" s="475" t="s">
        <v>15079</v>
      </c>
      <c r="AY1292" s="515">
        <v>1</v>
      </c>
      <c r="AZ1292" s="474" t="s">
        <v>15079</v>
      </c>
      <c r="BA1292" s="472" t="s">
        <v>4613</v>
      </c>
      <c r="BB1292" s="472" t="s">
        <v>1385</v>
      </c>
      <c r="BC1292" s="472" t="s">
        <v>1385</v>
      </c>
      <c r="BD1292" s="472" t="s">
        <v>1385</v>
      </c>
      <c r="BE1292" s="472" t="s">
        <v>1385</v>
      </c>
      <c r="BF1292" s="472">
        <v>16918.2</v>
      </c>
      <c r="BG1292" s="472">
        <v>0</v>
      </c>
      <c r="BH1292" s="472" t="s">
        <v>1385</v>
      </c>
      <c r="BI1292" s="510">
        <v>0</v>
      </c>
      <c r="BJ1292" s="510">
        <v>0</v>
      </c>
      <c r="BK1292" s="510">
        <v>0</v>
      </c>
      <c r="BL1292" s="510">
        <v>0</v>
      </c>
      <c r="BM1292" s="510">
        <v>0</v>
      </c>
      <c r="BN1292" s="510">
        <v>2000</v>
      </c>
      <c r="BO1292" s="510">
        <v>0</v>
      </c>
      <c r="BP1292" s="510">
        <v>0</v>
      </c>
      <c r="BQ1292" s="510">
        <v>0</v>
      </c>
      <c r="BR1292" s="510">
        <v>0</v>
      </c>
      <c r="BS1292" s="510">
        <v>0</v>
      </c>
      <c r="BT1292" s="510">
        <v>0</v>
      </c>
      <c r="BU1292" s="510">
        <v>0</v>
      </c>
      <c r="BV1292" s="510">
        <v>0</v>
      </c>
      <c r="BW1292" s="510">
        <v>0</v>
      </c>
      <c r="BX1292" s="510">
        <v>30000</v>
      </c>
      <c r="BY1292" s="1011">
        <v>0</v>
      </c>
      <c r="BZ1292" s="510">
        <v>0</v>
      </c>
      <c r="CA1292" s="1011">
        <v>0</v>
      </c>
      <c r="CB1292" s="510">
        <v>0</v>
      </c>
      <c r="CC1292" s="1011">
        <v>0</v>
      </c>
      <c r="CD1292" s="510">
        <v>0</v>
      </c>
      <c r="CE1292" s="1011">
        <v>0</v>
      </c>
      <c r="CF1292" s="510">
        <v>37478.400000000001</v>
      </c>
      <c r="CG1292" s="1011">
        <v>0</v>
      </c>
      <c r="CH1292" s="510">
        <v>0</v>
      </c>
      <c r="CI1292" s="1011">
        <v>0</v>
      </c>
    </row>
    <row r="1293" spans="1:87" x14ac:dyDescent="0.2">
      <c r="A1293" s="449">
        <v>23</v>
      </c>
      <c r="B1293" s="453">
        <v>400095</v>
      </c>
      <c r="C1293" s="454" t="s">
        <v>10585</v>
      </c>
      <c r="D1293" s="454" t="s">
        <v>4613</v>
      </c>
      <c r="E1293" s="454" t="s">
        <v>10586</v>
      </c>
      <c r="F1293" s="454" t="s">
        <v>525</v>
      </c>
      <c r="G1293" s="454" t="s">
        <v>14447</v>
      </c>
      <c r="H1293" s="455">
        <v>7965351000186</v>
      </c>
      <c r="I1293" s="462">
        <v>38768</v>
      </c>
      <c r="J1293" s="457">
        <v>37357913</v>
      </c>
      <c r="K1293" s="454" t="s">
        <v>2038</v>
      </c>
      <c r="L1293" s="458">
        <v>717</v>
      </c>
      <c r="M1293" s="454" t="s">
        <v>10588</v>
      </c>
      <c r="N1293" s="459">
        <v>2475000</v>
      </c>
      <c r="O1293" s="460">
        <v>22398534</v>
      </c>
      <c r="P1293" s="462">
        <v>323538</v>
      </c>
      <c r="Q1293" s="462">
        <v>23</v>
      </c>
      <c r="R1293" s="462">
        <v>43950</v>
      </c>
      <c r="S1293" s="463">
        <v>144</v>
      </c>
      <c r="T1293" s="464">
        <v>3.6</v>
      </c>
      <c r="U1293" s="465">
        <v>518.4</v>
      </c>
      <c r="V1293" s="465">
        <v>10800</v>
      </c>
      <c r="W1293" s="466">
        <v>0</v>
      </c>
      <c r="X1293" s="467">
        <v>1</v>
      </c>
      <c r="Y1293" s="466">
        <v>16977.599999999999</v>
      </c>
      <c r="Z1293" s="468" t="s">
        <v>516</v>
      </c>
      <c r="AA1293" s="466">
        <v>84643.199999999997</v>
      </c>
      <c r="AB1293" s="466">
        <v>84643.199999999997</v>
      </c>
      <c r="AC1293" s="467">
        <v>0</v>
      </c>
      <c r="AD1293" s="466">
        <v>0</v>
      </c>
      <c r="AE1293" s="468" t="s">
        <v>516</v>
      </c>
      <c r="AF1293" s="466">
        <v>0</v>
      </c>
      <c r="AG1293" s="466">
        <v>0</v>
      </c>
      <c r="AH1293" s="466">
        <v>7922.88</v>
      </c>
      <c r="AI1293" s="466">
        <v>11133.85</v>
      </c>
      <c r="AJ1293" s="469" t="s">
        <v>1448</v>
      </c>
      <c r="AK1293" s="470" t="s">
        <v>1449</v>
      </c>
      <c r="AL1293" s="471" t="s">
        <v>10589</v>
      </c>
      <c r="AM1293" s="470" t="s">
        <v>10590</v>
      </c>
      <c r="AN1293" s="470" t="s">
        <v>10587</v>
      </c>
      <c r="AO1293" s="470" t="s">
        <v>10591</v>
      </c>
      <c r="AP1293" s="470" t="s">
        <v>10592</v>
      </c>
      <c r="AQ1293" s="470" t="s">
        <v>10585</v>
      </c>
      <c r="AR1293" s="472" t="s">
        <v>515</v>
      </c>
      <c r="AS1293" s="473" t="s">
        <v>1385</v>
      </c>
      <c r="AT1293" s="472" t="s">
        <v>4613</v>
      </c>
      <c r="AU1293" s="472" t="s">
        <v>420</v>
      </c>
      <c r="AV1293" s="472">
        <v>2020</v>
      </c>
      <c r="AW1293" s="474" t="s">
        <v>15078</v>
      </c>
      <c r="AX1293" s="475" t="s">
        <v>15079</v>
      </c>
      <c r="AY1293" s="515">
        <v>1</v>
      </c>
      <c r="AZ1293" s="474" t="s">
        <v>15079</v>
      </c>
      <c r="BA1293" s="472" t="s">
        <v>4613</v>
      </c>
      <c r="BB1293" s="472" t="s">
        <v>1385</v>
      </c>
      <c r="BC1293" s="472" t="s">
        <v>1385</v>
      </c>
      <c r="BD1293" s="472" t="s">
        <v>1385</v>
      </c>
      <c r="BE1293" s="472" t="s">
        <v>1385</v>
      </c>
      <c r="BF1293" s="472">
        <v>16977.599999999999</v>
      </c>
      <c r="BG1293" s="472">
        <v>0</v>
      </c>
      <c r="BH1293" s="472" t="s">
        <v>1385</v>
      </c>
      <c r="BI1293" s="510">
        <v>0</v>
      </c>
      <c r="BJ1293" s="510">
        <v>3276.4</v>
      </c>
      <c r="BK1293" s="510">
        <v>0</v>
      </c>
      <c r="BL1293" s="510">
        <v>0</v>
      </c>
      <c r="BM1293" s="510">
        <v>0</v>
      </c>
      <c r="BN1293" s="510">
        <v>2000</v>
      </c>
      <c r="BO1293" s="510">
        <v>0</v>
      </c>
      <c r="BP1293" s="510">
        <v>0</v>
      </c>
      <c r="BQ1293" s="510">
        <v>0</v>
      </c>
      <c r="BR1293" s="510">
        <v>0</v>
      </c>
      <c r="BS1293" s="510">
        <v>0</v>
      </c>
      <c r="BT1293" s="510">
        <v>0</v>
      </c>
      <c r="BU1293" s="510">
        <v>0</v>
      </c>
      <c r="BV1293" s="510">
        <v>0</v>
      </c>
      <c r="BW1293" s="510">
        <v>0</v>
      </c>
      <c r="BX1293" s="510">
        <v>30000</v>
      </c>
      <c r="BY1293" s="1011">
        <v>0</v>
      </c>
      <c r="BZ1293" s="510">
        <v>0</v>
      </c>
      <c r="CA1293" s="1011">
        <v>0</v>
      </c>
      <c r="CB1293" s="510">
        <v>0</v>
      </c>
      <c r="CC1293" s="1011">
        <v>0</v>
      </c>
      <c r="CD1293" s="510">
        <v>0</v>
      </c>
      <c r="CE1293" s="1011">
        <v>0</v>
      </c>
      <c r="CF1293" s="510">
        <v>37665.599999999999</v>
      </c>
      <c r="CG1293" s="1011">
        <v>0</v>
      </c>
      <c r="CH1293" s="510">
        <v>0</v>
      </c>
      <c r="CI1293" s="1011">
        <v>0</v>
      </c>
    </row>
    <row r="1294" spans="1:87" x14ac:dyDescent="0.2">
      <c r="A1294" s="449">
        <v>16</v>
      </c>
      <c r="B1294" s="453">
        <v>400096</v>
      </c>
      <c r="C1294" s="454" t="s">
        <v>10593</v>
      </c>
      <c r="D1294" s="454" t="s">
        <v>4613</v>
      </c>
      <c r="E1294" s="454" t="s">
        <v>10593</v>
      </c>
      <c r="F1294" s="454" t="s">
        <v>520</v>
      </c>
      <c r="G1294" s="454" t="s">
        <v>14448</v>
      </c>
      <c r="H1294" s="455">
        <v>8726513000196</v>
      </c>
      <c r="I1294" s="462">
        <v>39045</v>
      </c>
      <c r="J1294" s="457">
        <v>37620436</v>
      </c>
      <c r="K1294" s="454" t="s">
        <v>10595</v>
      </c>
      <c r="L1294" s="458">
        <v>350</v>
      </c>
      <c r="M1294" s="454" t="s">
        <v>10596</v>
      </c>
      <c r="N1294" s="459">
        <v>4932390</v>
      </c>
      <c r="O1294" s="460">
        <v>55143501</v>
      </c>
      <c r="P1294" s="462">
        <v>292659</v>
      </c>
      <c r="Q1294" s="462">
        <v>16</v>
      </c>
      <c r="R1294" s="462">
        <v>43979</v>
      </c>
      <c r="S1294" s="463">
        <v>160</v>
      </c>
      <c r="T1294" s="464">
        <v>3.6</v>
      </c>
      <c r="U1294" s="465">
        <v>576</v>
      </c>
      <c r="V1294" s="465">
        <v>10800</v>
      </c>
      <c r="W1294" s="466">
        <v>0</v>
      </c>
      <c r="X1294" s="467">
        <v>1</v>
      </c>
      <c r="Y1294" s="466">
        <v>17064</v>
      </c>
      <c r="Z1294" s="468" t="s">
        <v>516</v>
      </c>
      <c r="AA1294" s="466">
        <v>84852</v>
      </c>
      <c r="AB1294" s="466">
        <v>84852</v>
      </c>
      <c r="AC1294" s="467">
        <v>0</v>
      </c>
      <c r="AD1294" s="466">
        <v>0</v>
      </c>
      <c r="AE1294" s="468" t="s">
        <v>516</v>
      </c>
      <c r="AF1294" s="466">
        <v>0</v>
      </c>
      <c r="AG1294" s="466">
        <v>0</v>
      </c>
      <c r="AH1294" s="466">
        <v>14264.04</v>
      </c>
      <c r="AI1294" s="466">
        <v>13478.02</v>
      </c>
      <c r="AJ1294" s="469" t="s">
        <v>1515</v>
      </c>
      <c r="AK1294" s="470" t="s">
        <v>1516</v>
      </c>
      <c r="AL1294" s="471" t="s">
        <v>10597</v>
      </c>
      <c r="AM1294" s="470" t="s">
        <v>10598</v>
      </c>
      <c r="AN1294" s="470" t="s">
        <v>10594</v>
      </c>
      <c r="AO1294" s="470" t="s">
        <v>10599</v>
      </c>
      <c r="AP1294" s="470" t="s">
        <v>10600</v>
      </c>
      <c r="AQ1294" s="470" t="s">
        <v>10593</v>
      </c>
      <c r="AR1294" s="472" t="s">
        <v>515</v>
      </c>
      <c r="AS1294" s="473" t="s">
        <v>1385</v>
      </c>
      <c r="AT1294" s="472" t="s">
        <v>4613</v>
      </c>
      <c r="AU1294" s="472" t="s">
        <v>420</v>
      </c>
      <c r="AV1294" s="472">
        <v>2020</v>
      </c>
      <c r="AW1294" s="474" t="s">
        <v>15078</v>
      </c>
      <c r="AX1294" s="475" t="s">
        <v>15079</v>
      </c>
      <c r="AY1294" s="515">
        <v>1</v>
      </c>
      <c r="AZ1294" s="474" t="s">
        <v>15079</v>
      </c>
      <c r="BA1294" s="472" t="s">
        <v>4613</v>
      </c>
      <c r="BB1294" s="472" t="s">
        <v>1385</v>
      </c>
      <c r="BC1294" s="472" t="s">
        <v>1385</v>
      </c>
      <c r="BD1294" s="472" t="s">
        <v>1385</v>
      </c>
      <c r="BE1294" s="472" t="s">
        <v>1385</v>
      </c>
      <c r="BF1294" s="472">
        <v>17064</v>
      </c>
      <c r="BG1294" s="472">
        <v>0</v>
      </c>
      <c r="BH1294" s="472" t="s">
        <v>1385</v>
      </c>
      <c r="BI1294" s="510">
        <v>0</v>
      </c>
      <c r="BJ1294" s="510">
        <v>0</v>
      </c>
      <c r="BK1294" s="510">
        <v>0</v>
      </c>
      <c r="BL1294" s="510">
        <v>0</v>
      </c>
      <c r="BM1294" s="510">
        <v>0</v>
      </c>
      <c r="BN1294" s="510">
        <v>2000</v>
      </c>
      <c r="BO1294" s="510">
        <v>0</v>
      </c>
      <c r="BP1294" s="510">
        <v>0</v>
      </c>
      <c r="BQ1294" s="510">
        <v>0</v>
      </c>
      <c r="BR1294" s="510">
        <v>0</v>
      </c>
      <c r="BS1294" s="510">
        <v>0</v>
      </c>
      <c r="BT1294" s="510">
        <v>0</v>
      </c>
      <c r="BU1294" s="510">
        <v>0</v>
      </c>
      <c r="BV1294" s="510">
        <v>0</v>
      </c>
      <c r="BW1294" s="510">
        <v>0</v>
      </c>
      <c r="BX1294" s="510">
        <v>30000</v>
      </c>
      <c r="BY1294" s="1011">
        <v>0</v>
      </c>
      <c r="BZ1294" s="510">
        <v>0</v>
      </c>
      <c r="CA1294" s="1011">
        <v>0</v>
      </c>
      <c r="CB1294" s="510">
        <v>0</v>
      </c>
      <c r="CC1294" s="1011">
        <v>0</v>
      </c>
      <c r="CD1294" s="510">
        <v>0</v>
      </c>
      <c r="CE1294" s="1011">
        <v>0</v>
      </c>
      <c r="CF1294" s="510">
        <v>37788</v>
      </c>
      <c r="CG1294" s="1011">
        <v>0</v>
      </c>
      <c r="CH1294" s="510">
        <v>0</v>
      </c>
      <c r="CI1294" s="1011">
        <v>0</v>
      </c>
    </row>
    <row r="1295" spans="1:87" x14ac:dyDescent="0.2">
      <c r="A1295" s="449">
        <v>13</v>
      </c>
      <c r="B1295" s="453">
        <v>400097</v>
      </c>
      <c r="C1295" s="454" t="s">
        <v>10601</v>
      </c>
      <c r="D1295" s="454" t="s">
        <v>4613</v>
      </c>
      <c r="E1295" s="454" t="s">
        <v>10602</v>
      </c>
      <c r="F1295" s="454" t="s">
        <v>518</v>
      </c>
      <c r="G1295" s="454" t="s">
        <v>14449</v>
      </c>
      <c r="H1295" s="455">
        <v>8397658000190</v>
      </c>
      <c r="I1295" s="462">
        <v>38974</v>
      </c>
      <c r="J1295" s="457">
        <v>37470906</v>
      </c>
      <c r="K1295" s="454" t="s">
        <v>10604</v>
      </c>
      <c r="L1295" s="458">
        <v>48</v>
      </c>
      <c r="M1295" s="454" t="s">
        <v>9494</v>
      </c>
      <c r="N1295" s="459">
        <v>3579270</v>
      </c>
      <c r="O1295" s="460">
        <v>27420846</v>
      </c>
      <c r="P1295" s="462">
        <v>46542</v>
      </c>
      <c r="Q1295" s="462">
        <v>13</v>
      </c>
      <c r="R1295" s="462">
        <v>43934</v>
      </c>
      <c r="S1295" s="463">
        <v>192</v>
      </c>
      <c r="T1295" s="464">
        <v>3.6</v>
      </c>
      <c r="U1295" s="465">
        <v>691.2</v>
      </c>
      <c r="V1295" s="465">
        <v>10800</v>
      </c>
      <c r="W1295" s="466">
        <v>0</v>
      </c>
      <c r="X1295" s="467">
        <v>1</v>
      </c>
      <c r="Y1295" s="466">
        <v>17236.8</v>
      </c>
      <c r="Z1295" s="468" t="s">
        <v>516</v>
      </c>
      <c r="AA1295" s="466">
        <v>85176</v>
      </c>
      <c r="AB1295" s="466">
        <v>85176</v>
      </c>
      <c r="AC1295" s="467">
        <v>0</v>
      </c>
      <c r="AD1295" s="466">
        <v>0</v>
      </c>
      <c r="AE1295" s="468" t="s">
        <v>516</v>
      </c>
      <c r="AF1295" s="466">
        <v>0</v>
      </c>
      <c r="AG1295" s="466">
        <v>0</v>
      </c>
      <c r="AH1295" s="466">
        <v>6047.83</v>
      </c>
      <c r="AI1295" s="466">
        <v>3447.36</v>
      </c>
      <c r="AJ1295" s="469" t="s">
        <v>1560</v>
      </c>
      <c r="AK1295" s="470" t="s">
        <v>5718</v>
      </c>
      <c r="AL1295" s="471" t="s">
        <v>10605</v>
      </c>
      <c r="AM1295" s="470" t="s">
        <v>14450</v>
      </c>
      <c r="AN1295" s="470" t="s">
        <v>10603</v>
      </c>
      <c r="AO1295" s="470" t="s">
        <v>15051</v>
      </c>
      <c r="AP1295" s="470" t="s">
        <v>10606</v>
      </c>
      <c r="AQ1295" s="470" t="s">
        <v>10601</v>
      </c>
      <c r="AR1295" s="472" t="s">
        <v>515</v>
      </c>
      <c r="AS1295" s="473" t="s">
        <v>1385</v>
      </c>
      <c r="AT1295" s="472" t="s">
        <v>4613</v>
      </c>
      <c r="AU1295" s="472" t="s">
        <v>420</v>
      </c>
      <c r="AV1295" s="472">
        <v>2020</v>
      </c>
      <c r="AW1295" s="474" t="s">
        <v>15078</v>
      </c>
      <c r="AX1295" s="475" t="s">
        <v>15079</v>
      </c>
      <c r="AY1295" s="515">
        <v>1</v>
      </c>
      <c r="AZ1295" s="474" t="s">
        <v>15079</v>
      </c>
      <c r="BA1295" s="472" t="s">
        <v>4613</v>
      </c>
      <c r="BB1295" s="472" t="s">
        <v>1385</v>
      </c>
      <c r="BC1295" s="472" t="s">
        <v>1385</v>
      </c>
      <c r="BD1295" s="472" t="s">
        <v>1385</v>
      </c>
      <c r="BE1295" s="472" t="s">
        <v>1385</v>
      </c>
      <c r="BF1295" s="472">
        <v>17236.8</v>
      </c>
      <c r="BG1295" s="472">
        <v>0</v>
      </c>
      <c r="BH1295" s="472" t="s">
        <v>1385</v>
      </c>
      <c r="BI1295" s="510">
        <v>0</v>
      </c>
      <c r="BJ1295" s="510">
        <v>0</v>
      </c>
      <c r="BK1295" s="510">
        <v>0</v>
      </c>
      <c r="BL1295" s="510">
        <v>0</v>
      </c>
      <c r="BM1295" s="510">
        <v>0</v>
      </c>
      <c r="BN1295" s="510">
        <v>2000</v>
      </c>
      <c r="BO1295" s="510">
        <v>0</v>
      </c>
      <c r="BP1295" s="510">
        <v>0</v>
      </c>
      <c r="BQ1295" s="510">
        <v>0</v>
      </c>
      <c r="BR1295" s="510">
        <v>0</v>
      </c>
      <c r="BS1295" s="510">
        <v>0</v>
      </c>
      <c r="BT1295" s="510">
        <v>0</v>
      </c>
      <c r="BU1295" s="510">
        <v>0</v>
      </c>
      <c r="BV1295" s="510">
        <v>0</v>
      </c>
      <c r="BW1295" s="510">
        <v>0</v>
      </c>
      <c r="BX1295" s="510">
        <v>30000</v>
      </c>
      <c r="BY1295" s="1011">
        <v>0</v>
      </c>
      <c r="BZ1295" s="510">
        <v>0</v>
      </c>
      <c r="CA1295" s="1011">
        <v>0</v>
      </c>
      <c r="CB1295" s="510">
        <v>0</v>
      </c>
      <c r="CC1295" s="1011">
        <v>0</v>
      </c>
      <c r="CD1295" s="510">
        <v>0</v>
      </c>
      <c r="CE1295" s="1011">
        <v>0</v>
      </c>
      <c r="CF1295" s="510">
        <v>37939.199999999997</v>
      </c>
      <c r="CG1295" s="1011">
        <v>0</v>
      </c>
      <c r="CH1295" s="510">
        <v>0</v>
      </c>
      <c r="CI1295" s="1011">
        <v>0</v>
      </c>
    </row>
    <row r="1296" spans="1:87" x14ac:dyDescent="0.2">
      <c r="A1296" s="449">
        <v>11</v>
      </c>
      <c r="B1296" s="453">
        <v>400098</v>
      </c>
      <c r="C1296" s="454" t="s">
        <v>10607</v>
      </c>
      <c r="D1296" s="454" t="s">
        <v>4613</v>
      </c>
      <c r="E1296" s="454" t="s">
        <v>10608</v>
      </c>
      <c r="F1296" s="454" t="s">
        <v>527</v>
      </c>
      <c r="G1296" s="454" t="s">
        <v>14451</v>
      </c>
      <c r="H1296" s="455">
        <v>8503433000171</v>
      </c>
      <c r="I1296" s="462">
        <v>39014</v>
      </c>
      <c r="J1296" s="457">
        <v>37554530</v>
      </c>
      <c r="K1296" s="454" t="s">
        <v>10609</v>
      </c>
      <c r="L1296" s="458">
        <v>75</v>
      </c>
      <c r="M1296" s="454" t="s">
        <v>4092</v>
      </c>
      <c r="N1296" s="459">
        <v>3810080</v>
      </c>
      <c r="O1296" s="460">
        <v>25443075</v>
      </c>
      <c r="P1296" s="462">
        <v>210466</v>
      </c>
      <c r="Q1296" s="462">
        <v>11</v>
      </c>
      <c r="R1296" s="462">
        <v>43917</v>
      </c>
      <c r="S1296" s="463">
        <v>114</v>
      </c>
      <c r="T1296" s="464">
        <v>3.6</v>
      </c>
      <c r="U1296" s="465">
        <v>410.4</v>
      </c>
      <c r="V1296" s="465">
        <v>10800</v>
      </c>
      <c r="W1296" s="466">
        <v>0</v>
      </c>
      <c r="X1296" s="467">
        <v>1</v>
      </c>
      <c r="Y1296" s="466">
        <v>16815.599999999999</v>
      </c>
      <c r="Z1296" s="468" t="s">
        <v>516</v>
      </c>
      <c r="AA1296" s="466">
        <v>84214.8</v>
      </c>
      <c r="AB1296" s="466">
        <v>84214.8</v>
      </c>
      <c r="AC1296" s="467">
        <v>0</v>
      </c>
      <c r="AD1296" s="466">
        <v>0</v>
      </c>
      <c r="AE1296" s="468" t="s">
        <v>516</v>
      </c>
      <c r="AF1296" s="466">
        <v>0</v>
      </c>
      <c r="AG1296" s="466">
        <v>0</v>
      </c>
      <c r="AH1296" s="466">
        <v>14308.96</v>
      </c>
      <c r="AI1296" s="466">
        <v>0</v>
      </c>
      <c r="AJ1296" s="469" t="s">
        <v>1889</v>
      </c>
      <c r="AK1296" s="470" t="s">
        <v>10610</v>
      </c>
      <c r="AL1296" s="471" t="s">
        <v>10611</v>
      </c>
      <c r="AM1296" s="470" t="s">
        <v>10612</v>
      </c>
      <c r="AN1296" s="470" t="s">
        <v>14451</v>
      </c>
      <c r="AO1296" s="470" t="s">
        <v>14452</v>
      </c>
      <c r="AP1296" s="470" t="s">
        <v>4092</v>
      </c>
      <c r="AQ1296" s="470" t="s">
        <v>10607</v>
      </c>
      <c r="AR1296" s="472" t="s">
        <v>515</v>
      </c>
      <c r="AS1296" s="473" t="s">
        <v>1385</v>
      </c>
      <c r="AT1296" s="472" t="s">
        <v>4613</v>
      </c>
      <c r="AU1296" s="472" t="s">
        <v>420</v>
      </c>
      <c r="AV1296" s="472">
        <v>2020</v>
      </c>
      <c r="AW1296" s="474" t="s">
        <v>15078</v>
      </c>
      <c r="AX1296" s="475" t="s">
        <v>15079</v>
      </c>
      <c r="AY1296" s="515">
        <v>1</v>
      </c>
      <c r="AZ1296" s="474" t="s">
        <v>15079</v>
      </c>
      <c r="BA1296" s="472" t="s">
        <v>4613</v>
      </c>
      <c r="BB1296" s="472" t="s">
        <v>1385</v>
      </c>
      <c r="BC1296" s="472" t="s">
        <v>1385</v>
      </c>
      <c r="BD1296" s="472" t="s">
        <v>1385</v>
      </c>
      <c r="BE1296" s="472" t="s">
        <v>1385</v>
      </c>
      <c r="BF1296" s="472">
        <v>16815.599999999999</v>
      </c>
      <c r="BG1296" s="472">
        <v>0</v>
      </c>
      <c r="BH1296" s="472" t="s">
        <v>1385</v>
      </c>
      <c r="BI1296" s="510">
        <v>0</v>
      </c>
      <c r="BJ1296" s="510">
        <v>1292.47</v>
      </c>
      <c r="BK1296" s="510">
        <v>0</v>
      </c>
      <c r="BL1296" s="510">
        <v>0</v>
      </c>
      <c r="BM1296" s="510">
        <v>0</v>
      </c>
      <c r="BN1296" s="510">
        <v>2000</v>
      </c>
      <c r="BO1296" s="510">
        <v>0</v>
      </c>
      <c r="BP1296" s="510">
        <v>0</v>
      </c>
      <c r="BQ1296" s="510">
        <v>0</v>
      </c>
      <c r="BR1296" s="510">
        <v>0</v>
      </c>
      <c r="BS1296" s="510">
        <v>0</v>
      </c>
      <c r="BT1296" s="510">
        <v>0</v>
      </c>
      <c r="BU1296" s="510">
        <v>0</v>
      </c>
      <c r="BV1296" s="510">
        <v>0</v>
      </c>
      <c r="BW1296" s="510">
        <v>0</v>
      </c>
      <c r="BX1296" s="510">
        <v>30000</v>
      </c>
      <c r="BY1296" s="1011">
        <v>0</v>
      </c>
      <c r="BZ1296" s="510">
        <v>0</v>
      </c>
      <c r="CA1296" s="1011">
        <v>0</v>
      </c>
      <c r="CB1296" s="510">
        <v>0</v>
      </c>
      <c r="CC1296" s="1011">
        <v>0</v>
      </c>
      <c r="CD1296" s="510">
        <v>0</v>
      </c>
      <c r="CE1296" s="1011">
        <v>0</v>
      </c>
      <c r="CF1296" s="510">
        <v>37399.199999999997</v>
      </c>
      <c r="CG1296" s="1011">
        <v>0</v>
      </c>
      <c r="CH1296" s="510">
        <v>0</v>
      </c>
      <c r="CI1296" s="1011">
        <v>0</v>
      </c>
    </row>
    <row r="1297" spans="1:87" x14ac:dyDescent="0.2">
      <c r="A1297" s="449">
        <v>15</v>
      </c>
      <c r="B1297" s="453">
        <v>400099</v>
      </c>
      <c r="C1297" s="454" t="s">
        <v>10613</v>
      </c>
      <c r="D1297" s="454" t="s">
        <v>4613</v>
      </c>
      <c r="E1297" s="454" t="s">
        <v>10614</v>
      </c>
      <c r="F1297" s="454" t="s">
        <v>526</v>
      </c>
      <c r="G1297" s="454" t="s">
        <v>14453</v>
      </c>
      <c r="H1297" s="455">
        <v>8416970000184</v>
      </c>
      <c r="I1297" s="462">
        <v>39006</v>
      </c>
      <c r="J1297" s="457">
        <v>37585835</v>
      </c>
      <c r="K1297" s="454" t="s">
        <v>10615</v>
      </c>
      <c r="L1297" s="458">
        <v>437</v>
      </c>
      <c r="M1297" s="454" t="s">
        <v>1838</v>
      </c>
      <c r="N1297" s="459">
        <v>8122220</v>
      </c>
      <c r="O1297" s="460">
        <v>25618970</v>
      </c>
      <c r="P1297" s="462">
        <v>132660</v>
      </c>
      <c r="Q1297" s="462">
        <v>15</v>
      </c>
      <c r="R1297" s="462">
        <v>43928</v>
      </c>
      <c r="S1297" s="463">
        <v>137</v>
      </c>
      <c r="T1297" s="464">
        <v>3.6</v>
      </c>
      <c r="U1297" s="465">
        <v>493.2</v>
      </c>
      <c r="V1297" s="465">
        <v>10800</v>
      </c>
      <c r="W1297" s="466">
        <v>0</v>
      </c>
      <c r="X1297" s="467">
        <v>1</v>
      </c>
      <c r="Y1297" s="466">
        <v>16939.8</v>
      </c>
      <c r="Z1297" s="468" t="s">
        <v>516</v>
      </c>
      <c r="AA1297" s="466">
        <v>84475.8</v>
      </c>
      <c r="AB1297" s="466">
        <v>84475.8</v>
      </c>
      <c r="AC1297" s="467">
        <v>0</v>
      </c>
      <c r="AD1297" s="466">
        <v>0</v>
      </c>
      <c r="AE1297" s="468" t="s">
        <v>516</v>
      </c>
      <c r="AF1297" s="466">
        <v>0</v>
      </c>
      <c r="AG1297" s="466">
        <v>0</v>
      </c>
      <c r="AH1297" s="466">
        <v>15884.31</v>
      </c>
      <c r="AI1297" s="466">
        <v>6478.64</v>
      </c>
      <c r="AJ1297" s="469" t="s">
        <v>1839</v>
      </c>
      <c r="AK1297" s="470" t="s">
        <v>526</v>
      </c>
      <c r="AL1297" s="471" t="s">
        <v>10616</v>
      </c>
      <c r="AM1297" s="470" t="s">
        <v>10617</v>
      </c>
      <c r="AN1297" s="470" t="s">
        <v>1385</v>
      </c>
      <c r="AO1297" s="470" t="s">
        <v>10618</v>
      </c>
      <c r="AP1297" s="470" t="s">
        <v>2284</v>
      </c>
      <c r="AQ1297" s="470" t="s">
        <v>10613</v>
      </c>
      <c r="AR1297" s="472" t="s">
        <v>515</v>
      </c>
      <c r="AS1297" s="473" t="s">
        <v>1385</v>
      </c>
      <c r="AT1297" s="472" t="s">
        <v>4613</v>
      </c>
      <c r="AU1297" s="472" t="s">
        <v>420</v>
      </c>
      <c r="AV1297" s="472">
        <v>2020</v>
      </c>
      <c r="AW1297" s="474" t="s">
        <v>15078</v>
      </c>
      <c r="AX1297" s="475" t="s">
        <v>15079</v>
      </c>
      <c r="AY1297" s="515">
        <v>1</v>
      </c>
      <c r="AZ1297" s="474" t="s">
        <v>15079</v>
      </c>
      <c r="BA1297" s="472" t="s">
        <v>4613</v>
      </c>
      <c r="BB1297" s="472" t="s">
        <v>1385</v>
      </c>
      <c r="BC1297" s="472" t="s">
        <v>1385</v>
      </c>
      <c r="BD1297" s="472" t="s">
        <v>1385</v>
      </c>
      <c r="BE1297" s="472" t="s">
        <v>1385</v>
      </c>
      <c r="BF1297" s="472">
        <v>16939.8</v>
      </c>
      <c r="BG1297" s="472">
        <v>0</v>
      </c>
      <c r="BH1297" s="472" t="s">
        <v>1385</v>
      </c>
      <c r="BI1297" s="510">
        <v>0</v>
      </c>
      <c r="BJ1297" s="510">
        <v>0</v>
      </c>
      <c r="BK1297" s="510">
        <v>0</v>
      </c>
      <c r="BL1297" s="510">
        <v>0</v>
      </c>
      <c r="BM1297" s="510">
        <v>0</v>
      </c>
      <c r="BN1297" s="510">
        <v>2000</v>
      </c>
      <c r="BO1297" s="510">
        <v>0</v>
      </c>
      <c r="BP1297" s="510">
        <v>0</v>
      </c>
      <c r="BQ1297" s="510">
        <v>0</v>
      </c>
      <c r="BR1297" s="510">
        <v>0</v>
      </c>
      <c r="BS1297" s="510">
        <v>0</v>
      </c>
      <c r="BT1297" s="510">
        <v>0</v>
      </c>
      <c r="BU1297" s="510">
        <v>0</v>
      </c>
      <c r="BV1297" s="510">
        <v>0</v>
      </c>
      <c r="BW1297" s="510">
        <v>0</v>
      </c>
      <c r="BX1297" s="510">
        <v>30000</v>
      </c>
      <c r="BY1297" s="1011">
        <v>0</v>
      </c>
      <c r="BZ1297" s="510">
        <v>0</v>
      </c>
      <c r="CA1297" s="1011">
        <v>0</v>
      </c>
      <c r="CB1297" s="510">
        <v>0</v>
      </c>
      <c r="CC1297" s="1011">
        <v>0</v>
      </c>
      <c r="CD1297" s="510">
        <v>0</v>
      </c>
      <c r="CE1297" s="1011">
        <v>0</v>
      </c>
      <c r="CF1297" s="510">
        <v>37536</v>
      </c>
      <c r="CG1297" s="1011">
        <v>0</v>
      </c>
      <c r="CH1297" s="510">
        <v>0</v>
      </c>
      <c r="CI1297" s="1011">
        <v>0</v>
      </c>
    </row>
    <row r="1298" spans="1:87" x14ac:dyDescent="0.2">
      <c r="A1298" s="449">
        <v>2</v>
      </c>
      <c r="B1298" s="453">
        <v>400100</v>
      </c>
      <c r="C1298" s="454" t="s">
        <v>10619</v>
      </c>
      <c r="D1298" s="454" t="s">
        <v>4613</v>
      </c>
      <c r="E1298" s="454" t="s">
        <v>10620</v>
      </c>
      <c r="F1298" s="454" t="s">
        <v>520</v>
      </c>
      <c r="G1298" s="454" t="s">
        <v>14454</v>
      </c>
      <c r="H1298" s="455">
        <v>8729456000107</v>
      </c>
      <c r="I1298" s="462">
        <v>39049</v>
      </c>
      <c r="J1298" s="457">
        <v>37629646</v>
      </c>
      <c r="K1298" s="454" t="s">
        <v>10621</v>
      </c>
      <c r="L1298" s="458">
        <v>35</v>
      </c>
      <c r="M1298" s="454" t="s">
        <v>4845</v>
      </c>
      <c r="N1298" s="459">
        <v>5791190</v>
      </c>
      <c r="O1298" s="460">
        <v>58252321</v>
      </c>
      <c r="P1298" s="462">
        <v>291253</v>
      </c>
      <c r="Q1298" s="462">
        <v>2</v>
      </c>
      <c r="R1298" s="462">
        <v>43969</v>
      </c>
      <c r="S1298" s="463">
        <v>103</v>
      </c>
      <c r="T1298" s="464">
        <v>3.6</v>
      </c>
      <c r="U1298" s="465">
        <v>370.8</v>
      </c>
      <c r="V1298" s="465">
        <v>10800</v>
      </c>
      <c r="W1298" s="466">
        <v>0</v>
      </c>
      <c r="X1298" s="467">
        <v>1</v>
      </c>
      <c r="Y1298" s="466">
        <v>16756.2</v>
      </c>
      <c r="Z1298" s="468" t="s">
        <v>516</v>
      </c>
      <c r="AA1298" s="466">
        <v>84105</v>
      </c>
      <c r="AB1298" s="466">
        <v>84105</v>
      </c>
      <c r="AC1298" s="467">
        <v>0</v>
      </c>
      <c r="AD1298" s="466">
        <v>0</v>
      </c>
      <c r="AE1298" s="468" t="s">
        <v>516</v>
      </c>
      <c r="AF1298" s="466">
        <v>0</v>
      </c>
      <c r="AG1298" s="466">
        <v>0</v>
      </c>
      <c r="AH1298" s="466">
        <v>11929.51</v>
      </c>
      <c r="AI1298" s="466">
        <v>0</v>
      </c>
      <c r="AJ1298" s="469" t="s">
        <v>1489</v>
      </c>
      <c r="AK1298" s="470" t="s">
        <v>520</v>
      </c>
      <c r="AL1298" s="471" t="s">
        <v>10622</v>
      </c>
      <c r="AM1298" s="470" t="s">
        <v>10623</v>
      </c>
      <c r="AN1298" s="470" t="s">
        <v>10624</v>
      </c>
      <c r="AO1298" s="470" t="s">
        <v>10625</v>
      </c>
      <c r="AP1298" s="470" t="s">
        <v>10626</v>
      </c>
      <c r="AQ1298" s="470" t="s">
        <v>10619</v>
      </c>
      <c r="AR1298" s="472" t="s">
        <v>515</v>
      </c>
      <c r="AS1298" s="473" t="s">
        <v>1385</v>
      </c>
      <c r="AT1298" s="472" t="s">
        <v>4613</v>
      </c>
      <c r="AU1298" s="472" t="s">
        <v>420</v>
      </c>
      <c r="AV1298" s="472">
        <v>2020</v>
      </c>
      <c r="AW1298" s="474" t="s">
        <v>15078</v>
      </c>
      <c r="AX1298" s="475" t="s">
        <v>15079</v>
      </c>
      <c r="AY1298" s="515">
        <v>1</v>
      </c>
      <c r="AZ1298" s="474" t="s">
        <v>15079</v>
      </c>
      <c r="BA1298" s="472" t="s">
        <v>4613</v>
      </c>
      <c r="BB1298" s="472" t="s">
        <v>1385</v>
      </c>
      <c r="BC1298" s="472" t="s">
        <v>1385</v>
      </c>
      <c r="BD1298" s="472" t="s">
        <v>1385</v>
      </c>
      <c r="BE1298" s="472" t="s">
        <v>1385</v>
      </c>
      <c r="BF1298" s="472">
        <v>16756.2</v>
      </c>
      <c r="BG1298" s="472">
        <v>0</v>
      </c>
      <c r="BH1298" s="472" t="s">
        <v>1385</v>
      </c>
      <c r="BI1298" s="510">
        <v>0</v>
      </c>
      <c r="BJ1298" s="510">
        <v>0</v>
      </c>
      <c r="BK1298" s="510">
        <v>0</v>
      </c>
      <c r="BL1298" s="510">
        <v>0</v>
      </c>
      <c r="BM1298" s="510">
        <v>0</v>
      </c>
      <c r="BN1298" s="510">
        <v>2000</v>
      </c>
      <c r="BO1298" s="510">
        <v>0</v>
      </c>
      <c r="BP1298" s="510">
        <v>0</v>
      </c>
      <c r="BQ1298" s="510">
        <v>0</v>
      </c>
      <c r="BR1298" s="510">
        <v>0</v>
      </c>
      <c r="BS1298" s="510">
        <v>0</v>
      </c>
      <c r="BT1298" s="510">
        <v>0</v>
      </c>
      <c r="BU1298" s="510">
        <v>0</v>
      </c>
      <c r="BV1298" s="510">
        <v>0</v>
      </c>
      <c r="BW1298" s="510">
        <v>0</v>
      </c>
      <c r="BX1298" s="510">
        <v>30000</v>
      </c>
      <c r="BY1298" s="1011">
        <v>0</v>
      </c>
      <c r="BZ1298" s="510">
        <v>0</v>
      </c>
      <c r="CA1298" s="1011">
        <v>0</v>
      </c>
      <c r="CB1298" s="510">
        <v>0</v>
      </c>
      <c r="CC1298" s="1011">
        <v>0</v>
      </c>
      <c r="CD1298" s="510">
        <v>0</v>
      </c>
      <c r="CE1298" s="1011">
        <v>0</v>
      </c>
      <c r="CF1298" s="510">
        <v>37348.800000000003</v>
      </c>
      <c r="CG1298" s="1011">
        <v>0</v>
      </c>
      <c r="CH1298" s="510">
        <v>0</v>
      </c>
      <c r="CI1298" s="1011">
        <v>0</v>
      </c>
    </row>
    <row r="1299" spans="1:87" x14ac:dyDescent="0.2">
      <c r="A1299" s="449">
        <v>3</v>
      </c>
      <c r="B1299" s="453">
        <v>400101</v>
      </c>
      <c r="C1299" s="454" t="s">
        <v>10627</v>
      </c>
      <c r="D1299" s="454" t="s">
        <v>4613</v>
      </c>
      <c r="E1299" s="454" t="s">
        <v>10628</v>
      </c>
      <c r="F1299" s="454" t="s">
        <v>522</v>
      </c>
      <c r="G1299" s="454" t="s">
        <v>14455</v>
      </c>
      <c r="H1299" s="455">
        <v>7859261000100</v>
      </c>
      <c r="I1299" s="462">
        <v>38743</v>
      </c>
      <c r="J1299" s="457">
        <v>37585347</v>
      </c>
      <c r="K1299" s="454" t="s">
        <v>4517</v>
      </c>
      <c r="L1299" s="458">
        <v>442</v>
      </c>
      <c r="M1299" s="454" t="s">
        <v>4519</v>
      </c>
      <c r="N1299" s="459">
        <v>2961000</v>
      </c>
      <c r="O1299" s="460">
        <v>39753737</v>
      </c>
      <c r="P1299" s="462">
        <v>86285</v>
      </c>
      <c r="Q1299" s="462">
        <v>36</v>
      </c>
      <c r="R1299" s="462">
        <v>43911</v>
      </c>
      <c r="S1299" s="463">
        <v>142</v>
      </c>
      <c r="T1299" s="464">
        <v>3.6</v>
      </c>
      <c r="U1299" s="465">
        <v>511.2</v>
      </c>
      <c r="V1299" s="465">
        <v>10800</v>
      </c>
      <c r="W1299" s="466">
        <v>0</v>
      </c>
      <c r="X1299" s="467">
        <v>1</v>
      </c>
      <c r="Y1299" s="466">
        <v>16966.8</v>
      </c>
      <c r="Z1299" s="468" t="s">
        <v>516</v>
      </c>
      <c r="AA1299" s="466">
        <v>84589.2</v>
      </c>
      <c r="AB1299" s="466">
        <v>84589.2</v>
      </c>
      <c r="AC1299" s="467">
        <v>0</v>
      </c>
      <c r="AD1299" s="466">
        <v>0</v>
      </c>
      <c r="AE1299" s="468" t="s">
        <v>516</v>
      </c>
      <c r="AF1299" s="466">
        <v>0</v>
      </c>
      <c r="AG1299" s="466">
        <v>0</v>
      </c>
      <c r="AH1299" s="466">
        <v>10861.08</v>
      </c>
      <c r="AI1299" s="466">
        <v>7409.9</v>
      </c>
      <c r="AJ1299" s="469" t="s">
        <v>1438</v>
      </c>
      <c r="AK1299" s="470" t="s">
        <v>1990</v>
      </c>
      <c r="AL1299" s="471" t="s">
        <v>10629</v>
      </c>
      <c r="AM1299" s="470" t="s">
        <v>10630</v>
      </c>
      <c r="AN1299" s="470" t="s">
        <v>1385</v>
      </c>
      <c r="AO1299" s="470" t="s">
        <v>14456</v>
      </c>
      <c r="AP1299" s="470" t="s">
        <v>4519</v>
      </c>
      <c r="AQ1299" s="470" t="s">
        <v>10627</v>
      </c>
      <c r="AR1299" s="472" t="s">
        <v>515</v>
      </c>
      <c r="AS1299" s="473" t="s">
        <v>1385</v>
      </c>
      <c r="AT1299" s="472" t="s">
        <v>4613</v>
      </c>
      <c r="AU1299" s="472" t="s">
        <v>420</v>
      </c>
      <c r="AV1299" s="472">
        <v>2020</v>
      </c>
      <c r="AW1299" s="474" t="s">
        <v>15078</v>
      </c>
      <c r="AX1299" s="475" t="s">
        <v>15079</v>
      </c>
      <c r="AY1299" s="515">
        <v>1</v>
      </c>
      <c r="AZ1299" s="474" t="s">
        <v>15079</v>
      </c>
      <c r="BA1299" s="472" t="s">
        <v>4613</v>
      </c>
      <c r="BB1299" s="472" t="s">
        <v>1385</v>
      </c>
      <c r="BC1299" s="472" t="s">
        <v>1385</v>
      </c>
      <c r="BD1299" s="472" t="s">
        <v>1385</v>
      </c>
      <c r="BE1299" s="472" t="s">
        <v>1385</v>
      </c>
      <c r="BF1299" s="472">
        <v>16966.8</v>
      </c>
      <c r="BG1299" s="472">
        <v>0</v>
      </c>
      <c r="BH1299" s="472" t="s">
        <v>1385</v>
      </c>
      <c r="BI1299" s="510">
        <v>0</v>
      </c>
      <c r="BJ1299" s="510">
        <v>0</v>
      </c>
      <c r="BK1299" s="510">
        <v>0</v>
      </c>
      <c r="BL1299" s="510">
        <v>0</v>
      </c>
      <c r="BM1299" s="510">
        <v>0</v>
      </c>
      <c r="BN1299" s="510">
        <v>2000</v>
      </c>
      <c r="BO1299" s="510">
        <v>0</v>
      </c>
      <c r="BP1299" s="510">
        <v>0</v>
      </c>
      <c r="BQ1299" s="510">
        <v>0</v>
      </c>
      <c r="BR1299" s="510">
        <v>0</v>
      </c>
      <c r="BS1299" s="510">
        <v>0</v>
      </c>
      <c r="BT1299" s="510">
        <v>0</v>
      </c>
      <c r="BU1299" s="510">
        <v>0</v>
      </c>
      <c r="BV1299" s="510">
        <v>0</v>
      </c>
      <c r="BW1299" s="510">
        <v>0</v>
      </c>
      <c r="BX1299" s="510">
        <v>30000</v>
      </c>
      <c r="BY1299" s="1011">
        <v>0</v>
      </c>
      <c r="BZ1299" s="510">
        <v>0</v>
      </c>
      <c r="CA1299" s="1011">
        <v>0</v>
      </c>
      <c r="CB1299" s="510">
        <v>0</v>
      </c>
      <c r="CC1299" s="1011">
        <v>0</v>
      </c>
      <c r="CD1299" s="510">
        <v>0</v>
      </c>
      <c r="CE1299" s="1011">
        <v>0</v>
      </c>
      <c r="CF1299" s="510">
        <v>37622.400000000001</v>
      </c>
      <c r="CG1299" s="1011">
        <v>0</v>
      </c>
      <c r="CH1299" s="510">
        <v>0</v>
      </c>
      <c r="CI1299" s="1011">
        <v>0</v>
      </c>
    </row>
    <row r="1300" spans="1:87" x14ac:dyDescent="0.2">
      <c r="A1300" s="449">
        <v>4</v>
      </c>
      <c r="B1300" s="453">
        <v>400102</v>
      </c>
      <c r="C1300" s="454" t="s">
        <v>10631</v>
      </c>
      <c r="D1300" s="454" t="s">
        <v>4613</v>
      </c>
      <c r="E1300" s="454" t="s">
        <v>10632</v>
      </c>
      <c r="F1300" s="454" t="s">
        <v>522</v>
      </c>
      <c r="G1300" s="454" t="s">
        <v>14457</v>
      </c>
      <c r="H1300" s="455">
        <v>7882735000135</v>
      </c>
      <c r="I1300" s="462">
        <v>38692</v>
      </c>
      <c r="J1300" s="457">
        <v>37585304</v>
      </c>
      <c r="K1300" s="454" t="s">
        <v>6436</v>
      </c>
      <c r="L1300" s="458">
        <v>175</v>
      </c>
      <c r="M1300" s="454" t="s">
        <v>6437</v>
      </c>
      <c r="N1300" s="459">
        <v>2811020</v>
      </c>
      <c r="O1300" s="460">
        <v>39750954</v>
      </c>
      <c r="P1300" s="462">
        <v>86293</v>
      </c>
      <c r="Q1300" s="462">
        <v>37</v>
      </c>
      <c r="R1300" s="462">
        <v>43911</v>
      </c>
      <c r="S1300" s="463">
        <v>200</v>
      </c>
      <c r="T1300" s="464">
        <v>3.6</v>
      </c>
      <c r="U1300" s="465">
        <v>720</v>
      </c>
      <c r="V1300" s="465">
        <v>10800</v>
      </c>
      <c r="W1300" s="466">
        <v>0</v>
      </c>
      <c r="X1300" s="467">
        <v>1</v>
      </c>
      <c r="Y1300" s="466">
        <v>17280</v>
      </c>
      <c r="Z1300" s="468" t="s">
        <v>516</v>
      </c>
      <c r="AA1300" s="466">
        <v>85320</v>
      </c>
      <c r="AB1300" s="466">
        <v>85320</v>
      </c>
      <c r="AC1300" s="467">
        <v>0</v>
      </c>
      <c r="AD1300" s="466">
        <v>0</v>
      </c>
      <c r="AE1300" s="468" t="s">
        <v>516</v>
      </c>
      <c r="AF1300" s="466">
        <v>2000</v>
      </c>
      <c r="AG1300" s="466">
        <v>2000</v>
      </c>
      <c r="AH1300" s="466">
        <v>15254.08</v>
      </c>
      <c r="AI1300" s="466">
        <v>9800.92</v>
      </c>
      <c r="AJ1300" s="469" t="s">
        <v>1438</v>
      </c>
      <c r="AK1300" s="470" t="s">
        <v>12345</v>
      </c>
      <c r="AL1300" s="471" t="s">
        <v>10633</v>
      </c>
      <c r="AM1300" s="470" t="s">
        <v>10634</v>
      </c>
      <c r="AN1300" s="470" t="s">
        <v>1385</v>
      </c>
      <c r="AO1300" s="470" t="s">
        <v>10635</v>
      </c>
      <c r="AP1300" s="470" t="s">
        <v>6437</v>
      </c>
      <c r="AQ1300" s="470" t="s">
        <v>10631</v>
      </c>
      <c r="AR1300" s="472" t="s">
        <v>515</v>
      </c>
      <c r="AS1300" s="473" t="s">
        <v>1385</v>
      </c>
      <c r="AT1300" s="472" t="s">
        <v>4613</v>
      </c>
      <c r="AU1300" s="472" t="s">
        <v>420</v>
      </c>
      <c r="AV1300" s="472">
        <v>2020</v>
      </c>
      <c r="AW1300" s="474" t="s">
        <v>15078</v>
      </c>
      <c r="AX1300" s="475" t="s">
        <v>15079</v>
      </c>
      <c r="AY1300" s="515">
        <v>1</v>
      </c>
      <c r="AZ1300" s="474" t="s">
        <v>15079</v>
      </c>
      <c r="BA1300" s="472" t="s">
        <v>4613</v>
      </c>
      <c r="BB1300" s="472" t="s">
        <v>1385</v>
      </c>
      <c r="BC1300" s="472" t="s">
        <v>1385</v>
      </c>
      <c r="BD1300" s="472" t="s">
        <v>1385</v>
      </c>
      <c r="BE1300" s="472" t="s">
        <v>1385</v>
      </c>
      <c r="BF1300" s="472">
        <v>17280</v>
      </c>
      <c r="BG1300" s="472">
        <v>0</v>
      </c>
      <c r="BH1300" s="472" t="s">
        <v>1385</v>
      </c>
      <c r="BI1300" s="510">
        <v>0</v>
      </c>
      <c r="BJ1300" s="510">
        <v>0</v>
      </c>
      <c r="BK1300" s="510">
        <v>0</v>
      </c>
      <c r="BL1300" s="510">
        <v>0</v>
      </c>
      <c r="BM1300" s="510">
        <v>0</v>
      </c>
      <c r="BN1300" s="510">
        <v>2000</v>
      </c>
      <c r="BO1300" s="510">
        <v>0</v>
      </c>
      <c r="BP1300" s="510">
        <v>2000</v>
      </c>
      <c r="BQ1300" s="510">
        <v>0</v>
      </c>
      <c r="BR1300" s="510">
        <v>0</v>
      </c>
      <c r="BS1300" s="510">
        <v>0</v>
      </c>
      <c r="BT1300" s="510">
        <v>0</v>
      </c>
      <c r="BU1300" s="510">
        <v>0</v>
      </c>
      <c r="BV1300" s="510">
        <v>0</v>
      </c>
      <c r="BW1300" s="510">
        <v>0</v>
      </c>
      <c r="BX1300" s="510">
        <v>30000</v>
      </c>
      <c r="BY1300" s="1011">
        <v>0</v>
      </c>
      <c r="BZ1300" s="510">
        <v>0</v>
      </c>
      <c r="CA1300" s="1011">
        <v>0</v>
      </c>
      <c r="CB1300" s="510">
        <v>0</v>
      </c>
      <c r="CC1300" s="1011">
        <v>0</v>
      </c>
      <c r="CD1300" s="510">
        <v>0</v>
      </c>
      <c r="CE1300" s="1011">
        <v>0</v>
      </c>
      <c r="CF1300" s="510">
        <v>38040</v>
      </c>
      <c r="CG1300" s="1011">
        <v>0</v>
      </c>
      <c r="CH1300" s="510">
        <v>0</v>
      </c>
      <c r="CI1300" s="1011">
        <v>0</v>
      </c>
    </row>
    <row r="1301" spans="1:87" x14ac:dyDescent="0.2">
      <c r="A1301" s="449">
        <v>17</v>
      </c>
      <c r="B1301" s="453">
        <v>400103</v>
      </c>
      <c r="C1301" s="454" t="s">
        <v>10636</v>
      </c>
      <c r="D1301" s="454" t="s">
        <v>4613</v>
      </c>
      <c r="E1301" s="454" t="s">
        <v>10636</v>
      </c>
      <c r="F1301" s="454" t="s">
        <v>520</v>
      </c>
      <c r="G1301" s="454" t="s">
        <v>14458</v>
      </c>
      <c r="H1301" s="455">
        <v>10847130000118</v>
      </c>
      <c r="I1301" s="462">
        <v>39182</v>
      </c>
      <c r="J1301" s="457">
        <v>44574159</v>
      </c>
      <c r="K1301" s="454" t="s">
        <v>10638</v>
      </c>
      <c r="L1301" s="458">
        <v>68</v>
      </c>
      <c r="M1301" s="454" t="s">
        <v>5324</v>
      </c>
      <c r="N1301" s="459">
        <v>4942040</v>
      </c>
      <c r="O1301" s="460">
        <v>58327213</v>
      </c>
      <c r="P1301" s="462">
        <v>292713</v>
      </c>
      <c r="Q1301" s="462">
        <v>17</v>
      </c>
      <c r="R1301" s="462">
        <v>43979</v>
      </c>
      <c r="S1301" s="463">
        <v>156</v>
      </c>
      <c r="T1301" s="464">
        <v>3.6</v>
      </c>
      <c r="U1301" s="465">
        <v>561.6</v>
      </c>
      <c r="V1301" s="465">
        <v>10800</v>
      </c>
      <c r="W1301" s="466">
        <v>0</v>
      </c>
      <c r="X1301" s="467">
        <v>1</v>
      </c>
      <c r="Y1301" s="466">
        <v>17042.400000000001</v>
      </c>
      <c r="Z1301" s="468" t="s">
        <v>516</v>
      </c>
      <c r="AA1301" s="466">
        <v>84794.4</v>
      </c>
      <c r="AB1301" s="466">
        <v>84794.4</v>
      </c>
      <c r="AC1301" s="467">
        <v>0</v>
      </c>
      <c r="AD1301" s="466">
        <v>0</v>
      </c>
      <c r="AE1301" s="468" t="s">
        <v>516</v>
      </c>
      <c r="AF1301" s="466">
        <v>0</v>
      </c>
      <c r="AG1301" s="466">
        <v>0</v>
      </c>
      <c r="AH1301" s="466">
        <v>4259.01</v>
      </c>
      <c r="AI1301" s="466">
        <v>8946.35</v>
      </c>
      <c r="AJ1301" s="469" t="s">
        <v>1515</v>
      </c>
      <c r="AK1301" s="470" t="s">
        <v>1516</v>
      </c>
      <c r="AL1301" s="471" t="s">
        <v>10639</v>
      </c>
      <c r="AM1301" s="470" t="s">
        <v>10640</v>
      </c>
      <c r="AN1301" s="470" t="s">
        <v>10637</v>
      </c>
      <c r="AO1301" s="470" t="s">
        <v>14459</v>
      </c>
      <c r="AP1301" s="470" t="s">
        <v>5324</v>
      </c>
      <c r="AQ1301" s="470" t="s">
        <v>10636</v>
      </c>
      <c r="AR1301" s="472" t="s">
        <v>515</v>
      </c>
      <c r="AS1301" s="473" t="s">
        <v>1385</v>
      </c>
      <c r="AT1301" s="472" t="s">
        <v>4613</v>
      </c>
      <c r="AU1301" s="472" t="s">
        <v>420</v>
      </c>
      <c r="AV1301" s="472">
        <v>2020</v>
      </c>
      <c r="AW1301" s="474" t="s">
        <v>15078</v>
      </c>
      <c r="AX1301" s="475" t="s">
        <v>15079</v>
      </c>
      <c r="AY1301" s="515">
        <v>1</v>
      </c>
      <c r="AZ1301" s="474" t="s">
        <v>15079</v>
      </c>
      <c r="BA1301" s="472" t="s">
        <v>4613</v>
      </c>
      <c r="BB1301" s="472" t="s">
        <v>1385</v>
      </c>
      <c r="BC1301" s="472" t="s">
        <v>1385</v>
      </c>
      <c r="BD1301" s="472" t="s">
        <v>1385</v>
      </c>
      <c r="BE1301" s="472" t="s">
        <v>1385</v>
      </c>
      <c r="BF1301" s="472">
        <v>17042.400000000001</v>
      </c>
      <c r="BG1301" s="472">
        <v>0</v>
      </c>
      <c r="BH1301" s="472" t="s">
        <v>1385</v>
      </c>
      <c r="BI1301" s="510">
        <v>0</v>
      </c>
      <c r="BJ1301" s="510">
        <v>0.4</v>
      </c>
      <c r="BK1301" s="510">
        <v>0</v>
      </c>
      <c r="BL1301" s="510">
        <v>0</v>
      </c>
      <c r="BM1301" s="510">
        <v>0</v>
      </c>
      <c r="BN1301" s="510">
        <v>2000</v>
      </c>
      <c r="BO1301" s="510">
        <v>0</v>
      </c>
      <c r="BP1301" s="510">
        <v>0</v>
      </c>
      <c r="BQ1301" s="510">
        <v>0</v>
      </c>
      <c r="BR1301" s="510">
        <v>0</v>
      </c>
      <c r="BS1301" s="510">
        <v>0</v>
      </c>
      <c r="BT1301" s="510">
        <v>0</v>
      </c>
      <c r="BU1301" s="510">
        <v>0</v>
      </c>
      <c r="BV1301" s="510">
        <v>0</v>
      </c>
      <c r="BW1301" s="510">
        <v>0</v>
      </c>
      <c r="BX1301" s="510">
        <v>30000</v>
      </c>
      <c r="BY1301" s="1011">
        <v>0</v>
      </c>
      <c r="BZ1301" s="510">
        <v>0</v>
      </c>
      <c r="CA1301" s="1011">
        <v>0</v>
      </c>
      <c r="CB1301" s="510">
        <v>0</v>
      </c>
      <c r="CC1301" s="1011">
        <v>0</v>
      </c>
      <c r="CD1301" s="510">
        <v>0</v>
      </c>
      <c r="CE1301" s="1011">
        <v>0</v>
      </c>
      <c r="CF1301" s="510">
        <v>37752</v>
      </c>
      <c r="CG1301" s="1011">
        <v>0</v>
      </c>
      <c r="CH1301" s="510">
        <v>0</v>
      </c>
      <c r="CI1301" s="1011">
        <v>0</v>
      </c>
    </row>
    <row r="1302" spans="1:87" x14ac:dyDescent="0.2">
      <c r="A1302" s="449">
        <v>16</v>
      </c>
      <c r="B1302" s="453">
        <v>400104</v>
      </c>
      <c r="C1302" s="454" t="s">
        <v>10641</v>
      </c>
      <c r="D1302" s="454" t="s">
        <v>4613</v>
      </c>
      <c r="E1302" s="454" t="s">
        <v>10642</v>
      </c>
      <c r="F1302" s="454" t="s">
        <v>526</v>
      </c>
      <c r="G1302" s="454" t="s">
        <v>14460</v>
      </c>
      <c r="H1302" s="455">
        <v>8857639000108</v>
      </c>
      <c r="I1302" s="462">
        <v>39182</v>
      </c>
      <c r="J1302" s="457">
        <v>38278120</v>
      </c>
      <c r="K1302" s="454" t="s">
        <v>10643</v>
      </c>
      <c r="L1302" s="458">
        <v>45</v>
      </c>
      <c r="M1302" s="454" t="s">
        <v>2080</v>
      </c>
      <c r="N1302" s="459">
        <v>8151320</v>
      </c>
      <c r="O1302" s="460">
        <v>25118905</v>
      </c>
      <c r="P1302" s="462">
        <v>141960</v>
      </c>
      <c r="Q1302" s="462">
        <v>16</v>
      </c>
      <c r="R1302" s="462">
        <v>43928</v>
      </c>
      <c r="S1302" s="463">
        <v>135</v>
      </c>
      <c r="T1302" s="464">
        <v>3.6</v>
      </c>
      <c r="U1302" s="465">
        <v>486</v>
      </c>
      <c r="V1302" s="465">
        <v>10800</v>
      </c>
      <c r="W1302" s="466">
        <v>0</v>
      </c>
      <c r="X1302" s="467">
        <v>1</v>
      </c>
      <c r="Y1302" s="466">
        <v>16929</v>
      </c>
      <c r="Z1302" s="468" t="s">
        <v>516</v>
      </c>
      <c r="AA1302" s="466">
        <v>84450.6</v>
      </c>
      <c r="AB1302" s="466">
        <v>84450.6</v>
      </c>
      <c r="AC1302" s="467">
        <v>0</v>
      </c>
      <c r="AD1302" s="466">
        <v>0</v>
      </c>
      <c r="AE1302" s="468" t="s">
        <v>516</v>
      </c>
      <c r="AF1302" s="466">
        <v>0</v>
      </c>
      <c r="AG1302" s="466">
        <v>0</v>
      </c>
      <c r="AH1302" s="466">
        <v>2321.52</v>
      </c>
      <c r="AI1302" s="466">
        <v>2257.1999999999998</v>
      </c>
      <c r="AJ1302" s="469" t="s">
        <v>1839</v>
      </c>
      <c r="AK1302" s="470" t="s">
        <v>526</v>
      </c>
      <c r="AL1302" s="471" t="s">
        <v>10644</v>
      </c>
      <c r="AM1302" s="470" t="s">
        <v>10645</v>
      </c>
      <c r="AN1302" s="470" t="s">
        <v>1385</v>
      </c>
      <c r="AO1302" s="470" t="s">
        <v>10646</v>
      </c>
      <c r="AP1302" s="470" t="s">
        <v>10647</v>
      </c>
      <c r="AQ1302" s="470" t="s">
        <v>10641</v>
      </c>
      <c r="AR1302" s="472" t="s">
        <v>515</v>
      </c>
      <c r="AS1302" s="473" t="s">
        <v>1385</v>
      </c>
      <c r="AT1302" s="472" t="s">
        <v>4613</v>
      </c>
      <c r="AU1302" s="472" t="s">
        <v>420</v>
      </c>
      <c r="AV1302" s="472">
        <v>2020</v>
      </c>
      <c r="AW1302" s="474" t="s">
        <v>15078</v>
      </c>
      <c r="AX1302" s="475" t="s">
        <v>15079</v>
      </c>
      <c r="AY1302" s="515">
        <v>1</v>
      </c>
      <c r="AZ1302" s="474" t="s">
        <v>15079</v>
      </c>
      <c r="BA1302" s="472" t="s">
        <v>4613</v>
      </c>
      <c r="BB1302" s="472" t="s">
        <v>1385</v>
      </c>
      <c r="BC1302" s="472" t="s">
        <v>1385</v>
      </c>
      <c r="BD1302" s="472" t="s">
        <v>1385</v>
      </c>
      <c r="BE1302" s="472" t="s">
        <v>1385</v>
      </c>
      <c r="BF1302" s="509">
        <v>16929</v>
      </c>
      <c r="BG1302" s="509">
        <v>0</v>
      </c>
      <c r="BH1302" s="472" t="s">
        <v>1385</v>
      </c>
      <c r="BI1302" s="510">
        <v>0</v>
      </c>
      <c r="BJ1302" s="510">
        <v>0</v>
      </c>
      <c r="BK1302" s="510">
        <v>0</v>
      </c>
      <c r="BL1302" s="510">
        <v>0</v>
      </c>
      <c r="BM1302" s="510">
        <v>0</v>
      </c>
      <c r="BN1302" s="510">
        <v>2000</v>
      </c>
      <c r="BO1302" s="510">
        <v>0</v>
      </c>
      <c r="BP1302" s="510">
        <v>0</v>
      </c>
      <c r="BQ1302" s="510">
        <v>0</v>
      </c>
      <c r="BR1302" s="510">
        <v>0</v>
      </c>
      <c r="BS1302" s="510">
        <v>0</v>
      </c>
      <c r="BT1302" s="510">
        <v>0</v>
      </c>
      <c r="BU1302" s="510">
        <v>0</v>
      </c>
      <c r="BV1302" s="510">
        <v>0</v>
      </c>
      <c r="BW1302" s="510">
        <v>0</v>
      </c>
      <c r="BX1302" s="510">
        <v>30000</v>
      </c>
      <c r="BY1302" s="1011">
        <v>0</v>
      </c>
      <c r="BZ1302" s="510">
        <v>0</v>
      </c>
      <c r="CA1302" s="1011">
        <v>0</v>
      </c>
      <c r="CB1302" s="510">
        <v>0</v>
      </c>
      <c r="CC1302" s="1011">
        <v>0</v>
      </c>
      <c r="CD1302" s="510">
        <v>0</v>
      </c>
      <c r="CE1302" s="1011">
        <v>0</v>
      </c>
      <c r="CF1302" s="510">
        <v>37521.599999999999</v>
      </c>
      <c r="CG1302" s="1011">
        <v>0</v>
      </c>
      <c r="CH1302" s="510">
        <v>0</v>
      </c>
      <c r="CI1302" s="1011">
        <v>0</v>
      </c>
    </row>
    <row r="1303" spans="1:87" x14ac:dyDescent="0.2">
      <c r="A1303" s="449">
        <v>25</v>
      </c>
      <c r="B1303" s="453">
        <v>400105</v>
      </c>
      <c r="C1303" s="454" t="s">
        <v>10648</v>
      </c>
      <c r="D1303" s="454" t="s">
        <v>4613</v>
      </c>
      <c r="E1303" s="454" t="s">
        <v>10649</v>
      </c>
      <c r="F1303" s="454" t="s">
        <v>526</v>
      </c>
      <c r="G1303" s="454" t="s">
        <v>14461</v>
      </c>
      <c r="H1303" s="455">
        <v>8371259000150</v>
      </c>
      <c r="I1303" s="462">
        <v>38987</v>
      </c>
      <c r="J1303" s="457">
        <v>37531158</v>
      </c>
      <c r="K1303" s="454" t="s">
        <v>10650</v>
      </c>
      <c r="L1303" s="458">
        <v>217</v>
      </c>
      <c r="M1303" s="454" t="s">
        <v>1838</v>
      </c>
      <c r="N1303" s="459">
        <v>8121360</v>
      </c>
      <c r="O1303" s="460">
        <v>29632510</v>
      </c>
      <c r="P1303" s="462">
        <v>172530</v>
      </c>
      <c r="Q1303" s="462">
        <v>25</v>
      </c>
      <c r="R1303" s="462">
        <v>43928</v>
      </c>
      <c r="S1303" s="463">
        <v>122</v>
      </c>
      <c r="T1303" s="464">
        <v>3.6</v>
      </c>
      <c r="U1303" s="465">
        <v>439.2</v>
      </c>
      <c r="V1303" s="465">
        <v>10800</v>
      </c>
      <c r="W1303" s="466">
        <v>0</v>
      </c>
      <c r="X1303" s="467">
        <v>1</v>
      </c>
      <c r="Y1303" s="466">
        <v>16858.8</v>
      </c>
      <c r="Z1303" s="468" t="s">
        <v>516</v>
      </c>
      <c r="AA1303" s="466">
        <v>84366</v>
      </c>
      <c r="AB1303" s="466">
        <v>84366</v>
      </c>
      <c r="AC1303" s="467">
        <v>0</v>
      </c>
      <c r="AD1303" s="466">
        <v>0</v>
      </c>
      <c r="AE1303" s="468" t="s">
        <v>516</v>
      </c>
      <c r="AF1303" s="466">
        <v>0</v>
      </c>
      <c r="AG1303" s="466">
        <v>0</v>
      </c>
      <c r="AH1303" s="466">
        <v>15134.95</v>
      </c>
      <c r="AI1303" s="466">
        <v>2309.4899999999998</v>
      </c>
      <c r="AJ1303" s="469" t="s">
        <v>1410</v>
      </c>
      <c r="AK1303" s="470" t="s">
        <v>1411</v>
      </c>
      <c r="AL1303" s="471" t="s">
        <v>10651</v>
      </c>
      <c r="AM1303" s="470" t="s">
        <v>10652</v>
      </c>
      <c r="AN1303" s="470" t="s">
        <v>1385</v>
      </c>
      <c r="AO1303" s="470" t="s">
        <v>10653</v>
      </c>
      <c r="AP1303" s="470" t="s">
        <v>10654</v>
      </c>
      <c r="AQ1303" s="470" t="s">
        <v>10648</v>
      </c>
      <c r="AR1303" s="472" t="s">
        <v>515</v>
      </c>
      <c r="AS1303" s="473" t="s">
        <v>1385</v>
      </c>
      <c r="AT1303" s="472" t="s">
        <v>4613</v>
      </c>
      <c r="AU1303" s="472" t="s">
        <v>420</v>
      </c>
      <c r="AV1303" s="472">
        <v>2020</v>
      </c>
      <c r="AW1303" s="474" t="s">
        <v>15078</v>
      </c>
      <c r="AX1303" s="475" t="s">
        <v>15079</v>
      </c>
      <c r="AY1303" s="515">
        <v>1</v>
      </c>
      <c r="AZ1303" s="474" t="s">
        <v>15079</v>
      </c>
      <c r="BA1303" s="472" t="s">
        <v>4613</v>
      </c>
      <c r="BB1303" s="472" t="s">
        <v>1385</v>
      </c>
      <c r="BC1303" s="472" t="s">
        <v>1385</v>
      </c>
      <c r="BD1303" s="472" t="s">
        <v>1385</v>
      </c>
      <c r="BE1303" s="472" t="s">
        <v>1385</v>
      </c>
      <c r="BF1303" s="472">
        <v>16858.8</v>
      </c>
      <c r="BG1303" s="472">
        <v>0</v>
      </c>
      <c r="BH1303" s="472" t="s">
        <v>1385</v>
      </c>
      <c r="BI1303" s="510">
        <v>0</v>
      </c>
      <c r="BJ1303" s="510">
        <v>0</v>
      </c>
      <c r="BK1303" s="510">
        <v>0</v>
      </c>
      <c r="BL1303" s="510">
        <v>0</v>
      </c>
      <c r="BM1303" s="510">
        <v>0</v>
      </c>
      <c r="BN1303" s="510">
        <v>2000</v>
      </c>
      <c r="BO1303" s="510">
        <v>0</v>
      </c>
      <c r="BP1303" s="510">
        <v>0</v>
      </c>
      <c r="BQ1303" s="510">
        <v>0</v>
      </c>
      <c r="BR1303" s="510">
        <v>0</v>
      </c>
      <c r="BS1303" s="510">
        <v>0</v>
      </c>
      <c r="BT1303" s="510">
        <v>0</v>
      </c>
      <c r="BU1303" s="510">
        <v>0</v>
      </c>
      <c r="BV1303" s="510">
        <v>0</v>
      </c>
      <c r="BW1303" s="510">
        <v>0</v>
      </c>
      <c r="BX1303" s="510">
        <v>30000</v>
      </c>
      <c r="BY1303" s="1011">
        <v>0</v>
      </c>
      <c r="BZ1303" s="510">
        <v>0</v>
      </c>
      <c r="CA1303" s="1011">
        <v>0</v>
      </c>
      <c r="CB1303" s="510">
        <v>0</v>
      </c>
      <c r="CC1303" s="1011">
        <v>0</v>
      </c>
      <c r="CD1303" s="510">
        <v>0</v>
      </c>
      <c r="CE1303" s="1011">
        <v>0</v>
      </c>
      <c r="CF1303" s="510">
        <v>37507.199999999997</v>
      </c>
      <c r="CG1303" s="1011">
        <v>0</v>
      </c>
      <c r="CH1303" s="510">
        <v>0</v>
      </c>
      <c r="CI1303" s="1011">
        <v>0</v>
      </c>
    </row>
    <row r="1304" spans="1:87" x14ac:dyDescent="0.2">
      <c r="A1304" s="449">
        <v>11</v>
      </c>
      <c r="B1304" s="453">
        <v>400106</v>
      </c>
      <c r="C1304" s="454" t="s">
        <v>10655</v>
      </c>
      <c r="D1304" s="454" t="s">
        <v>4613</v>
      </c>
      <c r="E1304" s="454" t="s">
        <v>10656</v>
      </c>
      <c r="F1304" s="454" t="s">
        <v>513</v>
      </c>
      <c r="G1304" s="454" t="s">
        <v>14462</v>
      </c>
      <c r="H1304" s="455">
        <v>7805624000125</v>
      </c>
      <c r="I1304" s="462">
        <v>38615</v>
      </c>
      <c r="J1304" s="457">
        <v>37530925</v>
      </c>
      <c r="K1304" s="454" t="s">
        <v>10657</v>
      </c>
      <c r="L1304" s="458">
        <v>1</v>
      </c>
      <c r="M1304" s="454" t="s">
        <v>5882</v>
      </c>
      <c r="N1304" s="459">
        <v>3951070</v>
      </c>
      <c r="O1304" s="460">
        <v>20191425</v>
      </c>
      <c r="P1304" s="462">
        <v>144803</v>
      </c>
      <c r="Q1304" s="462">
        <v>11</v>
      </c>
      <c r="R1304" s="462">
        <v>43937</v>
      </c>
      <c r="S1304" s="463">
        <v>174</v>
      </c>
      <c r="T1304" s="464">
        <v>3.6</v>
      </c>
      <c r="U1304" s="465">
        <v>626.4</v>
      </c>
      <c r="V1304" s="465">
        <v>10800</v>
      </c>
      <c r="W1304" s="466">
        <v>0</v>
      </c>
      <c r="X1304" s="467">
        <v>1</v>
      </c>
      <c r="Y1304" s="466">
        <v>17139.599999999999</v>
      </c>
      <c r="Z1304" s="468" t="s">
        <v>516</v>
      </c>
      <c r="AA1304" s="466">
        <v>84985.2</v>
      </c>
      <c r="AB1304" s="466">
        <v>84985.2</v>
      </c>
      <c r="AC1304" s="467">
        <v>0</v>
      </c>
      <c r="AD1304" s="466">
        <v>0</v>
      </c>
      <c r="AE1304" s="468" t="s">
        <v>516</v>
      </c>
      <c r="AF1304" s="466">
        <v>0</v>
      </c>
      <c r="AG1304" s="466">
        <v>0</v>
      </c>
      <c r="AH1304" s="466">
        <v>9324.1</v>
      </c>
      <c r="AI1304" s="466">
        <v>7352.51</v>
      </c>
      <c r="AJ1304" s="469" t="s">
        <v>2030</v>
      </c>
      <c r="AK1304" s="470" t="s">
        <v>513</v>
      </c>
      <c r="AL1304" s="471" t="s">
        <v>10658</v>
      </c>
      <c r="AM1304" s="470" t="s">
        <v>14463</v>
      </c>
      <c r="AN1304" s="470" t="s">
        <v>1385</v>
      </c>
      <c r="AO1304" s="470" t="s">
        <v>10659</v>
      </c>
      <c r="AP1304" s="470" t="s">
        <v>5882</v>
      </c>
      <c r="AQ1304" s="470" t="s">
        <v>10655</v>
      </c>
      <c r="AR1304" s="472" t="s">
        <v>515</v>
      </c>
      <c r="AS1304" s="473" t="s">
        <v>1385</v>
      </c>
      <c r="AT1304" s="472" t="s">
        <v>4613</v>
      </c>
      <c r="AU1304" s="472" t="s">
        <v>420</v>
      </c>
      <c r="AV1304" s="472">
        <v>2020</v>
      </c>
      <c r="AW1304" s="474" t="s">
        <v>15078</v>
      </c>
      <c r="AX1304" s="475" t="s">
        <v>15079</v>
      </c>
      <c r="AY1304" s="515">
        <v>1</v>
      </c>
      <c r="AZ1304" s="474" t="s">
        <v>15079</v>
      </c>
      <c r="BA1304" s="472" t="s">
        <v>4613</v>
      </c>
      <c r="BB1304" s="472" t="s">
        <v>1385</v>
      </c>
      <c r="BC1304" s="472" t="s">
        <v>1385</v>
      </c>
      <c r="BD1304" s="472" t="s">
        <v>1385</v>
      </c>
      <c r="BE1304" s="472" t="s">
        <v>1385</v>
      </c>
      <c r="BF1304" s="472">
        <v>17139.599999999999</v>
      </c>
      <c r="BG1304" s="472">
        <v>0</v>
      </c>
      <c r="BH1304" s="472" t="s">
        <v>1385</v>
      </c>
      <c r="BI1304" s="510">
        <v>0</v>
      </c>
      <c r="BJ1304" s="510">
        <v>0</v>
      </c>
      <c r="BK1304" s="510">
        <v>0</v>
      </c>
      <c r="BL1304" s="510">
        <v>0</v>
      </c>
      <c r="BM1304" s="510">
        <v>0</v>
      </c>
      <c r="BN1304" s="510">
        <v>2000</v>
      </c>
      <c r="BO1304" s="510">
        <v>0</v>
      </c>
      <c r="BP1304" s="510">
        <v>0</v>
      </c>
      <c r="BQ1304" s="510">
        <v>0</v>
      </c>
      <c r="BR1304" s="510">
        <v>0</v>
      </c>
      <c r="BS1304" s="510">
        <v>0</v>
      </c>
      <c r="BT1304" s="510">
        <v>0</v>
      </c>
      <c r="BU1304" s="510">
        <v>0</v>
      </c>
      <c r="BV1304" s="510">
        <v>0</v>
      </c>
      <c r="BW1304" s="510">
        <v>0</v>
      </c>
      <c r="BX1304" s="510">
        <v>30000</v>
      </c>
      <c r="BY1304" s="1011">
        <v>0</v>
      </c>
      <c r="BZ1304" s="510">
        <v>0</v>
      </c>
      <c r="CA1304" s="1011">
        <v>0</v>
      </c>
      <c r="CB1304" s="510">
        <v>0</v>
      </c>
      <c r="CC1304" s="1011">
        <v>0</v>
      </c>
      <c r="CD1304" s="510">
        <v>0</v>
      </c>
      <c r="CE1304" s="1011">
        <v>0</v>
      </c>
      <c r="CF1304" s="510">
        <v>37845.599999999999</v>
      </c>
      <c r="CG1304" s="1011">
        <v>0</v>
      </c>
      <c r="CH1304" s="510">
        <v>0</v>
      </c>
      <c r="CI1304" s="1011">
        <v>0</v>
      </c>
    </row>
    <row r="1305" spans="1:87" x14ac:dyDescent="0.2">
      <c r="A1305" s="449">
        <v>8</v>
      </c>
      <c r="B1305" s="453">
        <v>400107</v>
      </c>
      <c r="C1305" s="454" t="s">
        <v>10660</v>
      </c>
      <c r="D1305" s="454" t="s">
        <v>4613</v>
      </c>
      <c r="E1305" s="454" t="s">
        <v>10661</v>
      </c>
      <c r="F1305" s="454" t="s">
        <v>521</v>
      </c>
      <c r="G1305" s="454" t="s">
        <v>14464</v>
      </c>
      <c r="H1305" s="455">
        <v>7414262000141</v>
      </c>
      <c r="I1305" s="462">
        <v>38159</v>
      </c>
      <c r="J1305" s="457">
        <v>37552635</v>
      </c>
      <c r="K1305" s="454" t="s">
        <v>10662</v>
      </c>
      <c r="L1305" s="458">
        <v>52</v>
      </c>
      <c r="M1305" s="454" t="s">
        <v>1916</v>
      </c>
      <c r="N1305" s="459">
        <v>4890630</v>
      </c>
      <c r="O1305" s="460">
        <v>59208840</v>
      </c>
      <c r="P1305" s="462">
        <v>88580</v>
      </c>
      <c r="Q1305" s="462">
        <v>21</v>
      </c>
      <c r="R1305" s="462">
        <v>43934</v>
      </c>
      <c r="S1305" s="463">
        <v>149</v>
      </c>
      <c r="T1305" s="464">
        <v>3.6</v>
      </c>
      <c r="U1305" s="465">
        <v>536.4</v>
      </c>
      <c r="V1305" s="465">
        <v>10800</v>
      </c>
      <c r="W1305" s="466">
        <v>0</v>
      </c>
      <c r="X1305" s="467">
        <v>1</v>
      </c>
      <c r="Y1305" s="466">
        <v>17004.599999999999</v>
      </c>
      <c r="Z1305" s="468" t="s">
        <v>516</v>
      </c>
      <c r="AA1305" s="466">
        <v>84670.2</v>
      </c>
      <c r="AB1305" s="466">
        <v>84670.2</v>
      </c>
      <c r="AC1305" s="467">
        <v>0</v>
      </c>
      <c r="AD1305" s="466">
        <v>0</v>
      </c>
      <c r="AE1305" s="468" t="s">
        <v>516</v>
      </c>
      <c r="AF1305" s="466">
        <v>0</v>
      </c>
      <c r="AG1305" s="466">
        <v>0</v>
      </c>
      <c r="AH1305" s="466">
        <v>16348.36</v>
      </c>
      <c r="AI1305" s="466">
        <v>0</v>
      </c>
      <c r="AJ1305" s="469" t="s">
        <v>1624</v>
      </c>
      <c r="AK1305" s="470" t="s">
        <v>1625</v>
      </c>
      <c r="AL1305" s="471" t="s">
        <v>10663</v>
      </c>
      <c r="AM1305" s="470" t="s">
        <v>10664</v>
      </c>
      <c r="AN1305" s="470" t="s">
        <v>1385</v>
      </c>
      <c r="AO1305" s="470" t="s">
        <v>14465</v>
      </c>
      <c r="AP1305" s="470" t="s">
        <v>3494</v>
      </c>
      <c r="AQ1305" s="470" t="s">
        <v>10660</v>
      </c>
      <c r="AR1305" s="472" t="s">
        <v>515</v>
      </c>
      <c r="AS1305" s="473" t="s">
        <v>1385</v>
      </c>
      <c r="AT1305" s="472" t="s">
        <v>4613</v>
      </c>
      <c r="AU1305" s="472" t="s">
        <v>420</v>
      </c>
      <c r="AV1305" s="472">
        <v>2020</v>
      </c>
      <c r="AW1305" s="474" t="s">
        <v>15078</v>
      </c>
      <c r="AX1305" s="475" t="s">
        <v>15079</v>
      </c>
      <c r="AY1305" s="515">
        <v>1</v>
      </c>
      <c r="AZ1305" s="474" t="s">
        <v>15079</v>
      </c>
      <c r="BA1305" s="472" t="s">
        <v>4613</v>
      </c>
      <c r="BB1305" s="472" t="s">
        <v>1385</v>
      </c>
      <c r="BC1305" s="472" t="s">
        <v>1385</v>
      </c>
      <c r="BD1305" s="472" t="s">
        <v>1385</v>
      </c>
      <c r="BE1305" s="472" t="s">
        <v>1385</v>
      </c>
      <c r="BF1305" s="472">
        <v>17004.599999999999</v>
      </c>
      <c r="BG1305" s="472">
        <v>0</v>
      </c>
      <c r="BH1305" s="472" t="s">
        <v>1385</v>
      </c>
      <c r="BI1305" s="510">
        <v>0</v>
      </c>
      <c r="BJ1305" s="510">
        <v>0</v>
      </c>
      <c r="BK1305" s="510">
        <v>0</v>
      </c>
      <c r="BL1305" s="510">
        <v>0</v>
      </c>
      <c r="BM1305" s="510">
        <v>0</v>
      </c>
      <c r="BN1305" s="510">
        <v>2000</v>
      </c>
      <c r="BO1305" s="510">
        <v>0</v>
      </c>
      <c r="BP1305" s="510">
        <v>0</v>
      </c>
      <c r="BQ1305" s="510">
        <v>0</v>
      </c>
      <c r="BR1305" s="510">
        <v>0</v>
      </c>
      <c r="BS1305" s="510">
        <v>0</v>
      </c>
      <c r="BT1305" s="510">
        <v>0</v>
      </c>
      <c r="BU1305" s="510">
        <v>0</v>
      </c>
      <c r="BV1305" s="510">
        <v>0</v>
      </c>
      <c r="BW1305" s="510">
        <v>0</v>
      </c>
      <c r="BX1305" s="510">
        <v>30000</v>
      </c>
      <c r="BY1305" s="1011">
        <v>0</v>
      </c>
      <c r="BZ1305" s="510">
        <v>0</v>
      </c>
      <c r="CA1305" s="1011">
        <v>0</v>
      </c>
      <c r="CB1305" s="510">
        <v>0</v>
      </c>
      <c r="CC1305" s="1011">
        <v>0</v>
      </c>
      <c r="CD1305" s="510">
        <v>0</v>
      </c>
      <c r="CE1305" s="1011">
        <v>0</v>
      </c>
      <c r="CF1305" s="510">
        <v>37665.599999999999</v>
      </c>
      <c r="CG1305" s="1011">
        <v>0</v>
      </c>
      <c r="CH1305" s="510">
        <v>0</v>
      </c>
      <c r="CI1305" s="1011">
        <v>0</v>
      </c>
    </row>
    <row r="1306" spans="1:87" x14ac:dyDescent="0.2">
      <c r="A1306" s="449">
        <v>10</v>
      </c>
      <c r="B1306" s="453">
        <v>400108</v>
      </c>
      <c r="C1306" s="454" t="s">
        <v>10665</v>
      </c>
      <c r="D1306" s="454" t="s">
        <v>4613</v>
      </c>
      <c r="E1306" s="454" t="s">
        <v>10666</v>
      </c>
      <c r="F1306" s="454" t="s">
        <v>528</v>
      </c>
      <c r="G1306" s="454" t="s">
        <v>14466</v>
      </c>
      <c r="H1306" s="455">
        <v>7666246000146</v>
      </c>
      <c r="I1306" s="462">
        <v>38608</v>
      </c>
      <c r="J1306" s="457">
        <v>37380320</v>
      </c>
      <c r="K1306" s="454" t="s">
        <v>10668</v>
      </c>
      <c r="L1306" s="458">
        <v>99</v>
      </c>
      <c r="M1306" s="454" t="s">
        <v>10669</v>
      </c>
      <c r="N1306" s="459">
        <v>2993000</v>
      </c>
      <c r="O1306" s="460">
        <v>39461206</v>
      </c>
      <c r="P1306" s="462">
        <v>273425</v>
      </c>
      <c r="Q1306" s="462">
        <v>10</v>
      </c>
      <c r="R1306" s="462">
        <v>43938</v>
      </c>
      <c r="S1306" s="463">
        <v>147</v>
      </c>
      <c r="T1306" s="464">
        <v>3.6</v>
      </c>
      <c r="U1306" s="465">
        <v>529.20000000000005</v>
      </c>
      <c r="V1306" s="465">
        <v>10800</v>
      </c>
      <c r="W1306" s="466">
        <v>0</v>
      </c>
      <c r="X1306" s="467">
        <v>1</v>
      </c>
      <c r="Y1306" s="466">
        <v>16993.8</v>
      </c>
      <c r="Z1306" s="468" t="s">
        <v>516</v>
      </c>
      <c r="AA1306" s="466">
        <v>84616.2</v>
      </c>
      <c r="AB1306" s="466">
        <v>84616.2</v>
      </c>
      <c r="AC1306" s="467">
        <v>0</v>
      </c>
      <c r="AD1306" s="466">
        <v>0</v>
      </c>
      <c r="AE1306" s="468" t="s">
        <v>516</v>
      </c>
      <c r="AF1306" s="466">
        <v>0</v>
      </c>
      <c r="AG1306" s="466">
        <v>0</v>
      </c>
      <c r="AH1306" s="466">
        <v>23220.23</v>
      </c>
      <c r="AI1306" s="466">
        <v>6811.14</v>
      </c>
      <c r="AJ1306" s="469" t="s">
        <v>10670</v>
      </c>
      <c r="AK1306" s="470" t="s">
        <v>10671</v>
      </c>
      <c r="AL1306" s="471" t="s">
        <v>10672</v>
      </c>
      <c r="AM1306" s="470" t="s">
        <v>10673</v>
      </c>
      <c r="AN1306" s="470" t="s">
        <v>10667</v>
      </c>
      <c r="AO1306" s="470" t="s">
        <v>10674</v>
      </c>
      <c r="AP1306" s="470" t="s">
        <v>4356</v>
      </c>
      <c r="AQ1306" s="470" t="s">
        <v>10665</v>
      </c>
      <c r="AR1306" s="472" t="s">
        <v>515</v>
      </c>
      <c r="AS1306" s="473" t="s">
        <v>1385</v>
      </c>
      <c r="AT1306" s="472" t="s">
        <v>4613</v>
      </c>
      <c r="AU1306" s="472" t="s">
        <v>420</v>
      </c>
      <c r="AV1306" s="472">
        <v>2020</v>
      </c>
      <c r="AW1306" s="474" t="s">
        <v>15078</v>
      </c>
      <c r="AX1306" s="475" t="s">
        <v>15079</v>
      </c>
      <c r="AY1306" s="515">
        <v>1</v>
      </c>
      <c r="AZ1306" s="474" t="s">
        <v>15079</v>
      </c>
      <c r="BA1306" s="472" t="s">
        <v>4613</v>
      </c>
      <c r="BB1306" s="472" t="s">
        <v>1385</v>
      </c>
      <c r="BC1306" s="472" t="s">
        <v>1385</v>
      </c>
      <c r="BD1306" s="472" t="s">
        <v>1385</v>
      </c>
      <c r="BE1306" s="472" t="s">
        <v>1385</v>
      </c>
      <c r="BF1306" s="472">
        <v>16993.8</v>
      </c>
      <c r="BG1306" s="472">
        <v>0</v>
      </c>
      <c r="BH1306" s="472" t="s">
        <v>1385</v>
      </c>
      <c r="BI1306" s="510">
        <v>0</v>
      </c>
      <c r="BJ1306" s="510">
        <v>5099.2</v>
      </c>
      <c r="BK1306" s="510">
        <v>0</v>
      </c>
      <c r="BL1306" s="510">
        <v>0</v>
      </c>
      <c r="BM1306" s="510">
        <v>0</v>
      </c>
      <c r="BN1306" s="510">
        <v>2000</v>
      </c>
      <c r="BO1306" s="510">
        <v>0</v>
      </c>
      <c r="BP1306" s="510">
        <v>0</v>
      </c>
      <c r="BQ1306" s="510">
        <v>0</v>
      </c>
      <c r="BR1306" s="510">
        <v>0</v>
      </c>
      <c r="BS1306" s="510">
        <v>0</v>
      </c>
      <c r="BT1306" s="510">
        <v>0</v>
      </c>
      <c r="BU1306" s="510">
        <v>0</v>
      </c>
      <c r="BV1306" s="510">
        <v>0</v>
      </c>
      <c r="BW1306" s="510">
        <v>0</v>
      </c>
      <c r="BX1306" s="510">
        <v>30000</v>
      </c>
      <c r="BY1306" s="1011">
        <v>0</v>
      </c>
      <c r="BZ1306" s="510">
        <v>0</v>
      </c>
      <c r="CA1306" s="1011">
        <v>0</v>
      </c>
      <c r="CB1306" s="510">
        <v>0</v>
      </c>
      <c r="CC1306" s="1011">
        <v>0</v>
      </c>
      <c r="CD1306" s="510">
        <v>0</v>
      </c>
      <c r="CE1306" s="1011">
        <v>0</v>
      </c>
      <c r="CF1306" s="510">
        <v>37622.400000000001</v>
      </c>
      <c r="CG1306" s="1011">
        <v>0</v>
      </c>
      <c r="CH1306" s="510">
        <v>0</v>
      </c>
      <c r="CI1306" s="1011">
        <v>0</v>
      </c>
    </row>
    <row r="1307" spans="1:87" x14ac:dyDescent="0.2">
      <c r="A1307" s="449">
        <v>5</v>
      </c>
      <c r="B1307" s="453">
        <v>400109</v>
      </c>
      <c r="C1307" s="454" t="s">
        <v>10675</v>
      </c>
      <c r="D1307" s="454" t="s">
        <v>4613</v>
      </c>
      <c r="E1307" s="454" t="s">
        <v>10676</v>
      </c>
      <c r="F1307" s="454" t="s">
        <v>522</v>
      </c>
      <c r="G1307" s="454" t="s">
        <v>14467</v>
      </c>
      <c r="H1307" s="455">
        <v>7811832000137</v>
      </c>
      <c r="I1307" s="462">
        <v>38708</v>
      </c>
      <c r="J1307" s="457">
        <v>37586092</v>
      </c>
      <c r="K1307" s="454" t="s">
        <v>10677</v>
      </c>
      <c r="L1307" s="458">
        <v>57</v>
      </c>
      <c r="M1307" s="454" t="s">
        <v>8253</v>
      </c>
      <c r="N1307" s="459">
        <v>2671100</v>
      </c>
      <c r="O1307" s="460">
        <v>38517646</v>
      </c>
      <c r="P1307" s="462">
        <v>86170</v>
      </c>
      <c r="Q1307" s="462">
        <v>38</v>
      </c>
      <c r="R1307" s="462">
        <v>43911</v>
      </c>
      <c r="S1307" s="463">
        <v>154</v>
      </c>
      <c r="T1307" s="464">
        <v>3.6</v>
      </c>
      <c r="U1307" s="465">
        <v>554.4</v>
      </c>
      <c r="V1307" s="465">
        <v>10800</v>
      </c>
      <c r="W1307" s="466">
        <v>0</v>
      </c>
      <c r="X1307" s="467">
        <v>1</v>
      </c>
      <c r="Y1307" s="466">
        <v>17031.599999999999</v>
      </c>
      <c r="Z1307" s="468" t="s">
        <v>516</v>
      </c>
      <c r="AA1307" s="466">
        <v>84690</v>
      </c>
      <c r="AB1307" s="466">
        <v>84690</v>
      </c>
      <c r="AC1307" s="467">
        <v>0</v>
      </c>
      <c r="AD1307" s="466">
        <v>0</v>
      </c>
      <c r="AE1307" s="468" t="s">
        <v>516</v>
      </c>
      <c r="AF1307" s="466">
        <v>0</v>
      </c>
      <c r="AG1307" s="466">
        <v>0</v>
      </c>
      <c r="AH1307" s="466">
        <v>7146.2</v>
      </c>
      <c r="AI1307" s="466">
        <v>2270.88</v>
      </c>
      <c r="AJ1307" s="469" t="s">
        <v>4024</v>
      </c>
      <c r="AK1307" s="470" t="s">
        <v>12893</v>
      </c>
      <c r="AL1307" s="471" t="s">
        <v>10678</v>
      </c>
      <c r="AM1307" s="470" t="s">
        <v>10679</v>
      </c>
      <c r="AN1307" s="470" t="s">
        <v>1385</v>
      </c>
      <c r="AO1307" s="470" t="s">
        <v>14468</v>
      </c>
      <c r="AP1307" s="470" t="s">
        <v>6302</v>
      </c>
      <c r="AQ1307" s="470" t="s">
        <v>10675</v>
      </c>
      <c r="AR1307" s="472" t="s">
        <v>515</v>
      </c>
      <c r="AS1307" s="473" t="s">
        <v>1385</v>
      </c>
      <c r="AT1307" s="472" t="s">
        <v>4613</v>
      </c>
      <c r="AU1307" s="472" t="s">
        <v>420</v>
      </c>
      <c r="AV1307" s="472">
        <v>2020</v>
      </c>
      <c r="AW1307" s="474" t="s">
        <v>15078</v>
      </c>
      <c r="AX1307" s="475" t="s">
        <v>15079</v>
      </c>
      <c r="AY1307" s="515">
        <v>1</v>
      </c>
      <c r="AZ1307" s="474" t="s">
        <v>15079</v>
      </c>
      <c r="BA1307" s="472" t="s">
        <v>4613</v>
      </c>
      <c r="BB1307" s="472" t="s">
        <v>1385</v>
      </c>
      <c r="BC1307" s="472" t="s">
        <v>1385</v>
      </c>
      <c r="BD1307" s="472" t="s">
        <v>1385</v>
      </c>
      <c r="BE1307" s="472" t="s">
        <v>1385</v>
      </c>
      <c r="BF1307" s="472">
        <v>17031.599999999999</v>
      </c>
      <c r="BG1307" s="472">
        <v>0</v>
      </c>
      <c r="BH1307" s="472" t="s">
        <v>1385</v>
      </c>
      <c r="BI1307" s="510">
        <v>0</v>
      </c>
      <c r="BJ1307" s="510">
        <v>0</v>
      </c>
      <c r="BK1307" s="510">
        <v>0</v>
      </c>
      <c r="BL1307" s="510">
        <v>0</v>
      </c>
      <c r="BM1307" s="510">
        <v>0</v>
      </c>
      <c r="BN1307" s="510">
        <v>2000</v>
      </c>
      <c r="BO1307" s="510">
        <v>0</v>
      </c>
      <c r="BP1307" s="510">
        <v>0</v>
      </c>
      <c r="BQ1307" s="510">
        <v>0</v>
      </c>
      <c r="BR1307" s="510">
        <v>0</v>
      </c>
      <c r="BS1307" s="510">
        <v>0</v>
      </c>
      <c r="BT1307" s="510">
        <v>0</v>
      </c>
      <c r="BU1307" s="510">
        <v>0</v>
      </c>
      <c r="BV1307" s="510">
        <v>0</v>
      </c>
      <c r="BW1307" s="510">
        <v>0</v>
      </c>
      <c r="BX1307" s="510">
        <v>30000</v>
      </c>
      <c r="BY1307" s="1011">
        <v>0</v>
      </c>
      <c r="BZ1307" s="510">
        <v>0</v>
      </c>
      <c r="CA1307" s="1011">
        <v>0</v>
      </c>
      <c r="CB1307" s="510">
        <v>0</v>
      </c>
      <c r="CC1307" s="1011">
        <v>0</v>
      </c>
      <c r="CD1307" s="510">
        <v>0</v>
      </c>
      <c r="CE1307" s="1011">
        <v>0</v>
      </c>
      <c r="CF1307" s="510">
        <v>37658.400000000001</v>
      </c>
      <c r="CG1307" s="1011">
        <v>0</v>
      </c>
      <c r="CH1307" s="510">
        <v>0</v>
      </c>
      <c r="CI1307" s="1011">
        <v>0</v>
      </c>
    </row>
    <row r="1308" spans="1:87" x14ac:dyDescent="0.2">
      <c r="A1308" s="449">
        <v>12</v>
      </c>
      <c r="B1308" s="453">
        <v>400110</v>
      </c>
      <c r="C1308" s="454" t="s">
        <v>10680</v>
      </c>
      <c r="D1308" s="454" t="s">
        <v>4613</v>
      </c>
      <c r="E1308" s="454" t="s">
        <v>10681</v>
      </c>
      <c r="F1308" s="454" t="s">
        <v>527</v>
      </c>
      <c r="G1308" s="454" t="s">
        <v>14469</v>
      </c>
      <c r="H1308" s="455">
        <v>8653709000106</v>
      </c>
      <c r="I1308" s="462">
        <v>39063</v>
      </c>
      <c r="J1308" s="457">
        <v>36156744</v>
      </c>
      <c r="K1308" s="454" t="s">
        <v>10682</v>
      </c>
      <c r="L1308" s="458">
        <v>80</v>
      </c>
      <c r="M1308" s="454" t="s">
        <v>5012</v>
      </c>
      <c r="N1308" s="459">
        <v>3671050</v>
      </c>
      <c r="O1308" s="460">
        <v>27916274</v>
      </c>
      <c r="P1308" s="462">
        <v>184112</v>
      </c>
      <c r="Q1308" s="462">
        <v>12</v>
      </c>
      <c r="R1308" s="462">
        <v>43917</v>
      </c>
      <c r="S1308" s="463">
        <v>106</v>
      </c>
      <c r="T1308" s="464">
        <v>3.6</v>
      </c>
      <c r="U1308" s="465">
        <v>381.6</v>
      </c>
      <c r="V1308" s="465">
        <v>10800</v>
      </c>
      <c r="W1308" s="466">
        <v>0</v>
      </c>
      <c r="X1308" s="467">
        <v>1</v>
      </c>
      <c r="Y1308" s="466">
        <v>16772.400000000001</v>
      </c>
      <c r="Z1308" s="468" t="s">
        <v>516</v>
      </c>
      <c r="AA1308" s="466">
        <v>84128.4</v>
      </c>
      <c r="AB1308" s="466">
        <v>84128.4</v>
      </c>
      <c r="AC1308" s="467">
        <v>0</v>
      </c>
      <c r="AD1308" s="466">
        <v>0</v>
      </c>
      <c r="AE1308" s="468" t="s">
        <v>516</v>
      </c>
      <c r="AF1308" s="466">
        <v>0</v>
      </c>
      <c r="AG1308" s="466">
        <v>0</v>
      </c>
      <c r="AH1308" s="466">
        <v>8712.7199999999993</v>
      </c>
      <c r="AI1308" s="466">
        <v>4211.92</v>
      </c>
      <c r="AJ1308" s="469" t="s">
        <v>4600</v>
      </c>
      <c r="AK1308" s="470" t="s">
        <v>9714</v>
      </c>
      <c r="AL1308" s="471" t="s">
        <v>10683</v>
      </c>
      <c r="AM1308" s="470" t="s">
        <v>10684</v>
      </c>
      <c r="AN1308" s="470" t="s">
        <v>14470</v>
      </c>
      <c r="AO1308" s="470" t="s">
        <v>14471</v>
      </c>
      <c r="AP1308" s="470" t="s">
        <v>5012</v>
      </c>
      <c r="AQ1308" s="470" t="s">
        <v>10680</v>
      </c>
      <c r="AR1308" s="472" t="s">
        <v>515</v>
      </c>
      <c r="AS1308" s="473" t="s">
        <v>1385</v>
      </c>
      <c r="AT1308" s="472" t="s">
        <v>4613</v>
      </c>
      <c r="AU1308" s="472" t="s">
        <v>420</v>
      </c>
      <c r="AV1308" s="472">
        <v>2020</v>
      </c>
      <c r="AW1308" s="474" t="s">
        <v>15078</v>
      </c>
      <c r="AX1308" s="475" t="s">
        <v>15079</v>
      </c>
      <c r="AY1308" s="515">
        <v>1</v>
      </c>
      <c r="AZ1308" s="474" t="s">
        <v>15079</v>
      </c>
      <c r="BA1308" s="472" t="s">
        <v>4613</v>
      </c>
      <c r="BB1308" s="472" t="s">
        <v>1385</v>
      </c>
      <c r="BC1308" s="472" t="s">
        <v>1385</v>
      </c>
      <c r="BD1308" s="472" t="s">
        <v>1385</v>
      </c>
      <c r="BE1308" s="472" t="s">
        <v>1385</v>
      </c>
      <c r="BF1308" s="472">
        <v>16772.400000000001</v>
      </c>
      <c r="BG1308" s="472">
        <v>0</v>
      </c>
      <c r="BH1308" s="472" t="s">
        <v>1385</v>
      </c>
      <c r="BI1308" s="510">
        <v>0</v>
      </c>
      <c r="BJ1308" s="510">
        <v>0</v>
      </c>
      <c r="BK1308" s="510">
        <v>0</v>
      </c>
      <c r="BL1308" s="510">
        <v>0</v>
      </c>
      <c r="BM1308" s="510">
        <v>0</v>
      </c>
      <c r="BN1308" s="510">
        <v>2000</v>
      </c>
      <c r="BO1308" s="510">
        <v>0</v>
      </c>
      <c r="BP1308" s="510">
        <v>0</v>
      </c>
      <c r="BQ1308" s="510">
        <v>0</v>
      </c>
      <c r="BR1308" s="510">
        <v>0</v>
      </c>
      <c r="BS1308" s="510">
        <v>0</v>
      </c>
      <c r="BT1308" s="510">
        <v>0</v>
      </c>
      <c r="BU1308" s="510">
        <v>0</v>
      </c>
      <c r="BV1308" s="510">
        <v>0</v>
      </c>
      <c r="BW1308" s="510">
        <v>0</v>
      </c>
      <c r="BX1308" s="510">
        <v>30000</v>
      </c>
      <c r="BY1308" s="1011">
        <v>0</v>
      </c>
      <c r="BZ1308" s="510">
        <v>0</v>
      </c>
      <c r="CA1308" s="1011">
        <v>0</v>
      </c>
      <c r="CB1308" s="510">
        <v>0</v>
      </c>
      <c r="CC1308" s="1011">
        <v>0</v>
      </c>
      <c r="CD1308" s="510">
        <v>0</v>
      </c>
      <c r="CE1308" s="1011">
        <v>0</v>
      </c>
      <c r="CF1308" s="510">
        <v>37356</v>
      </c>
      <c r="CG1308" s="1011">
        <v>0</v>
      </c>
      <c r="CH1308" s="510">
        <v>0</v>
      </c>
      <c r="CI1308" s="1011">
        <v>0</v>
      </c>
    </row>
    <row r="1309" spans="1:87" x14ac:dyDescent="0.2">
      <c r="A1309" s="449">
        <v>6</v>
      </c>
      <c r="B1309" s="453">
        <v>400111</v>
      </c>
      <c r="C1309" s="454" t="s">
        <v>10685</v>
      </c>
      <c r="D1309" s="454" t="s">
        <v>4613</v>
      </c>
      <c r="E1309" s="454" t="s">
        <v>10686</v>
      </c>
      <c r="F1309" s="454" t="s">
        <v>522</v>
      </c>
      <c r="G1309" s="454" t="s">
        <v>14472</v>
      </c>
      <c r="H1309" s="455">
        <v>7930882000133</v>
      </c>
      <c r="I1309" s="462">
        <v>38685</v>
      </c>
      <c r="J1309" s="457">
        <v>37588923</v>
      </c>
      <c r="K1309" s="454" t="s">
        <v>10687</v>
      </c>
      <c r="L1309" s="458">
        <v>526</v>
      </c>
      <c r="M1309" s="454" t="s">
        <v>10688</v>
      </c>
      <c r="N1309" s="459">
        <v>2756000</v>
      </c>
      <c r="O1309" s="460">
        <v>39354800</v>
      </c>
      <c r="P1309" s="462">
        <v>86129</v>
      </c>
      <c r="Q1309" s="462">
        <v>39</v>
      </c>
      <c r="R1309" s="462">
        <v>43911</v>
      </c>
      <c r="S1309" s="463">
        <v>147</v>
      </c>
      <c r="T1309" s="464">
        <v>3.6</v>
      </c>
      <c r="U1309" s="465">
        <v>529.20000000000005</v>
      </c>
      <c r="V1309" s="465">
        <v>10800</v>
      </c>
      <c r="W1309" s="466">
        <v>0</v>
      </c>
      <c r="X1309" s="467">
        <v>1</v>
      </c>
      <c r="Y1309" s="466">
        <v>16993.8</v>
      </c>
      <c r="Z1309" s="468" t="s">
        <v>516</v>
      </c>
      <c r="AA1309" s="466">
        <v>84637.8</v>
      </c>
      <c r="AB1309" s="466">
        <v>84637.8</v>
      </c>
      <c r="AC1309" s="467">
        <v>0</v>
      </c>
      <c r="AD1309" s="466">
        <v>0</v>
      </c>
      <c r="AE1309" s="468" t="s">
        <v>516</v>
      </c>
      <c r="AF1309" s="466">
        <v>0</v>
      </c>
      <c r="AG1309" s="466">
        <v>0</v>
      </c>
      <c r="AH1309" s="466">
        <v>12209.47</v>
      </c>
      <c r="AI1309" s="466">
        <v>9.4499999999999993</v>
      </c>
      <c r="AJ1309" s="469" t="s">
        <v>2555</v>
      </c>
      <c r="AK1309" s="470" t="s">
        <v>2556</v>
      </c>
      <c r="AL1309" s="471" t="s">
        <v>10689</v>
      </c>
      <c r="AM1309" s="470" t="s">
        <v>10690</v>
      </c>
      <c r="AN1309" s="470" t="s">
        <v>1385</v>
      </c>
      <c r="AO1309" s="470" t="s">
        <v>10691</v>
      </c>
      <c r="AP1309" s="470" t="s">
        <v>10692</v>
      </c>
      <c r="AQ1309" s="470" t="s">
        <v>10685</v>
      </c>
      <c r="AR1309" s="472" t="s">
        <v>515</v>
      </c>
      <c r="AS1309" s="473" t="s">
        <v>1385</v>
      </c>
      <c r="AT1309" s="472" t="s">
        <v>4613</v>
      </c>
      <c r="AU1309" s="472" t="s">
        <v>420</v>
      </c>
      <c r="AV1309" s="472">
        <v>2020</v>
      </c>
      <c r="AW1309" s="474" t="s">
        <v>15078</v>
      </c>
      <c r="AX1309" s="475" t="s">
        <v>15079</v>
      </c>
      <c r="AY1309" s="515">
        <v>1</v>
      </c>
      <c r="AZ1309" s="474" t="s">
        <v>15079</v>
      </c>
      <c r="BA1309" s="472" t="s">
        <v>4613</v>
      </c>
      <c r="BB1309" s="472" t="s">
        <v>1385</v>
      </c>
      <c r="BC1309" s="472" t="s">
        <v>1385</v>
      </c>
      <c r="BD1309" s="472" t="s">
        <v>1385</v>
      </c>
      <c r="BE1309" s="472" t="s">
        <v>1385</v>
      </c>
      <c r="BF1309" s="472">
        <v>16993.8</v>
      </c>
      <c r="BG1309" s="472">
        <v>0</v>
      </c>
      <c r="BH1309" s="472" t="s">
        <v>1385</v>
      </c>
      <c r="BI1309" s="510">
        <v>0</v>
      </c>
      <c r="BJ1309" s="510">
        <v>0</v>
      </c>
      <c r="BK1309" s="510">
        <v>0</v>
      </c>
      <c r="BL1309" s="510">
        <v>0</v>
      </c>
      <c r="BM1309" s="510">
        <v>0</v>
      </c>
      <c r="BN1309" s="510">
        <v>2000</v>
      </c>
      <c r="BO1309" s="510">
        <v>0</v>
      </c>
      <c r="BP1309" s="510">
        <v>0</v>
      </c>
      <c r="BQ1309" s="510">
        <v>0</v>
      </c>
      <c r="BR1309" s="510">
        <v>0</v>
      </c>
      <c r="BS1309" s="510">
        <v>0</v>
      </c>
      <c r="BT1309" s="510">
        <v>0</v>
      </c>
      <c r="BU1309" s="510">
        <v>0</v>
      </c>
      <c r="BV1309" s="510">
        <v>0</v>
      </c>
      <c r="BW1309" s="510">
        <v>0</v>
      </c>
      <c r="BX1309" s="510">
        <v>30000</v>
      </c>
      <c r="BY1309" s="1011">
        <v>0</v>
      </c>
      <c r="BZ1309" s="510">
        <v>0</v>
      </c>
      <c r="CA1309" s="1011">
        <v>0</v>
      </c>
      <c r="CB1309" s="510">
        <v>0</v>
      </c>
      <c r="CC1309" s="1011">
        <v>0</v>
      </c>
      <c r="CD1309" s="510">
        <v>0</v>
      </c>
      <c r="CE1309" s="1011">
        <v>0</v>
      </c>
      <c r="CF1309" s="510">
        <v>37644</v>
      </c>
      <c r="CG1309" s="1011">
        <v>0</v>
      </c>
      <c r="CH1309" s="510">
        <v>0</v>
      </c>
      <c r="CI1309" s="1011">
        <v>0</v>
      </c>
    </row>
    <row r="1310" spans="1:87" x14ac:dyDescent="0.2">
      <c r="A1310" s="449">
        <v>18</v>
      </c>
      <c r="B1310" s="453">
        <v>400112</v>
      </c>
      <c r="C1310" s="454" t="s">
        <v>10693</v>
      </c>
      <c r="D1310" s="454" t="s">
        <v>4613</v>
      </c>
      <c r="E1310" s="454" t="s">
        <v>10693</v>
      </c>
      <c r="F1310" s="454" t="s">
        <v>520</v>
      </c>
      <c r="G1310" s="454" t="s">
        <v>14473</v>
      </c>
      <c r="H1310" s="455">
        <v>7724273000128</v>
      </c>
      <c r="I1310" s="462">
        <v>38638</v>
      </c>
      <c r="J1310" s="457">
        <v>37629662</v>
      </c>
      <c r="K1310" s="454" t="s">
        <v>10695</v>
      </c>
      <c r="L1310" s="458" t="s">
        <v>1446</v>
      </c>
      <c r="M1310" s="454" t="s">
        <v>10696</v>
      </c>
      <c r="N1310" s="459">
        <v>5734050</v>
      </c>
      <c r="O1310" s="460">
        <v>58443760</v>
      </c>
      <c r="P1310" s="462">
        <v>291318</v>
      </c>
      <c r="Q1310" s="462">
        <v>18</v>
      </c>
      <c r="R1310" s="462">
        <v>43969</v>
      </c>
      <c r="S1310" s="463">
        <v>121</v>
      </c>
      <c r="T1310" s="464">
        <v>3.6</v>
      </c>
      <c r="U1310" s="465">
        <v>435.6</v>
      </c>
      <c r="V1310" s="465">
        <v>10800</v>
      </c>
      <c r="W1310" s="466">
        <v>0</v>
      </c>
      <c r="X1310" s="467">
        <v>1</v>
      </c>
      <c r="Y1310" s="466">
        <v>16853.400000000001</v>
      </c>
      <c r="Z1310" s="468" t="s">
        <v>516</v>
      </c>
      <c r="AA1310" s="466">
        <v>84216.6</v>
      </c>
      <c r="AB1310" s="466">
        <v>84216.6</v>
      </c>
      <c r="AC1310" s="467">
        <v>0</v>
      </c>
      <c r="AD1310" s="466">
        <v>0</v>
      </c>
      <c r="AE1310" s="468" t="s">
        <v>516</v>
      </c>
      <c r="AF1310" s="466">
        <v>0</v>
      </c>
      <c r="AG1310" s="466">
        <v>0</v>
      </c>
      <c r="AH1310" s="466">
        <v>14294.74</v>
      </c>
      <c r="AI1310" s="466">
        <v>5617.8</v>
      </c>
      <c r="AJ1310" s="469" t="s">
        <v>1470</v>
      </c>
      <c r="AK1310" s="470" t="s">
        <v>10111</v>
      </c>
      <c r="AL1310" s="471" t="s">
        <v>10697</v>
      </c>
      <c r="AM1310" s="470" t="s">
        <v>10698</v>
      </c>
      <c r="AN1310" s="470" t="s">
        <v>10694</v>
      </c>
      <c r="AO1310" s="470" t="s">
        <v>14474</v>
      </c>
      <c r="AP1310" s="470" t="s">
        <v>10699</v>
      </c>
      <c r="AQ1310" s="470" t="s">
        <v>10693</v>
      </c>
      <c r="AR1310" s="472" t="s">
        <v>515</v>
      </c>
      <c r="AS1310" s="473" t="s">
        <v>1385</v>
      </c>
      <c r="AT1310" s="472" t="s">
        <v>4613</v>
      </c>
      <c r="AU1310" s="472" t="s">
        <v>420</v>
      </c>
      <c r="AV1310" s="472">
        <v>2020</v>
      </c>
      <c r="AW1310" s="474" t="s">
        <v>15078</v>
      </c>
      <c r="AX1310" s="475" t="s">
        <v>15079</v>
      </c>
      <c r="AY1310" s="515">
        <v>1</v>
      </c>
      <c r="AZ1310" s="474" t="s">
        <v>15079</v>
      </c>
      <c r="BA1310" s="472" t="s">
        <v>4613</v>
      </c>
      <c r="BB1310" s="472" t="s">
        <v>1385</v>
      </c>
      <c r="BC1310" s="472" t="s">
        <v>1385</v>
      </c>
      <c r="BD1310" s="472" t="s">
        <v>1385</v>
      </c>
      <c r="BE1310" s="472" t="s">
        <v>1385</v>
      </c>
      <c r="BF1310" s="472">
        <v>16853.400000000001</v>
      </c>
      <c r="BG1310" s="472">
        <v>0</v>
      </c>
      <c r="BH1310" s="472" t="s">
        <v>1385</v>
      </c>
      <c r="BI1310" s="510">
        <v>0</v>
      </c>
      <c r="BJ1310" s="510">
        <v>0</v>
      </c>
      <c r="BK1310" s="510">
        <v>0</v>
      </c>
      <c r="BL1310" s="510">
        <v>0</v>
      </c>
      <c r="BM1310" s="510">
        <v>0</v>
      </c>
      <c r="BN1310" s="510">
        <v>2000</v>
      </c>
      <c r="BO1310" s="510">
        <v>0</v>
      </c>
      <c r="BP1310" s="510">
        <v>0</v>
      </c>
      <c r="BQ1310" s="510">
        <v>0</v>
      </c>
      <c r="BR1310" s="510">
        <v>0</v>
      </c>
      <c r="BS1310" s="510">
        <v>0</v>
      </c>
      <c r="BT1310" s="510">
        <v>0</v>
      </c>
      <c r="BU1310" s="510">
        <v>0</v>
      </c>
      <c r="BV1310" s="510">
        <v>0</v>
      </c>
      <c r="BW1310" s="510">
        <v>0</v>
      </c>
      <c r="BX1310" s="510">
        <v>30000</v>
      </c>
      <c r="BY1310" s="1011">
        <v>0</v>
      </c>
      <c r="BZ1310" s="510">
        <v>0</v>
      </c>
      <c r="CA1310" s="1011">
        <v>0</v>
      </c>
      <c r="CB1310" s="510">
        <v>0</v>
      </c>
      <c r="CC1310" s="1011">
        <v>0</v>
      </c>
      <c r="CD1310" s="510">
        <v>0</v>
      </c>
      <c r="CE1310" s="1011">
        <v>0</v>
      </c>
      <c r="CF1310" s="510">
        <v>37363.199999999997</v>
      </c>
      <c r="CG1310" s="1011">
        <v>0</v>
      </c>
      <c r="CH1310" s="510">
        <v>0</v>
      </c>
      <c r="CI1310" s="1011">
        <v>0</v>
      </c>
    </row>
    <row r="1311" spans="1:87" x14ac:dyDescent="0.2">
      <c r="A1311" s="449">
        <v>9</v>
      </c>
      <c r="B1311" s="453">
        <v>400113</v>
      </c>
      <c r="C1311" s="454" t="s">
        <v>10700</v>
      </c>
      <c r="D1311" s="454" t="s">
        <v>4613</v>
      </c>
      <c r="E1311" s="454" t="s">
        <v>10701</v>
      </c>
      <c r="F1311" s="454" t="s">
        <v>521</v>
      </c>
      <c r="G1311" s="454" t="s">
        <v>14475</v>
      </c>
      <c r="H1311" s="455">
        <v>7053588000190</v>
      </c>
      <c r="I1311" s="462">
        <v>38233</v>
      </c>
      <c r="J1311" s="457">
        <v>37586378</v>
      </c>
      <c r="K1311" s="454" t="s">
        <v>10702</v>
      </c>
      <c r="L1311" s="458">
        <v>74</v>
      </c>
      <c r="M1311" s="454" t="s">
        <v>3186</v>
      </c>
      <c r="N1311" s="459">
        <v>4845250</v>
      </c>
      <c r="O1311" s="460">
        <v>59289537</v>
      </c>
      <c r="P1311" s="462">
        <v>91505</v>
      </c>
      <c r="Q1311" s="462">
        <v>3</v>
      </c>
      <c r="R1311" s="462">
        <v>43934</v>
      </c>
      <c r="S1311" s="463">
        <v>218</v>
      </c>
      <c r="T1311" s="464">
        <v>3.6</v>
      </c>
      <c r="U1311" s="465">
        <v>784.8</v>
      </c>
      <c r="V1311" s="465">
        <v>11760</v>
      </c>
      <c r="W1311" s="466">
        <v>0</v>
      </c>
      <c r="X1311" s="467">
        <v>1</v>
      </c>
      <c r="Y1311" s="466">
        <v>18817.2</v>
      </c>
      <c r="Z1311" s="468" t="s">
        <v>516</v>
      </c>
      <c r="AA1311" s="466">
        <v>86839.6</v>
      </c>
      <c r="AB1311" s="466">
        <v>86839.6</v>
      </c>
      <c r="AC1311" s="467">
        <v>0</v>
      </c>
      <c r="AD1311" s="466">
        <v>0</v>
      </c>
      <c r="AE1311" s="468" t="s">
        <v>516</v>
      </c>
      <c r="AF1311" s="466">
        <v>1600</v>
      </c>
      <c r="AG1311" s="466">
        <v>1600</v>
      </c>
      <c r="AH1311" s="466">
        <v>3065.73</v>
      </c>
      <c r="AI1311" s="466">
        <v>5424.64</v>
      </c>
      <c r="AJ1311" s="469" t="s">
        <v>1624</v>
      </c>
      <c r="AK1311" s="470" t="s">
        <v>1625</v>
      </c>
      <c r="AL1311" s="471" t="s">
        <v>10703</v>
      </c>
      <c r="AM1311" s="470" t="s">
        <v>14476</v>
      </c>
      <c r="AN1311" s="470" t="s">
        <v>1385</v>
      </c>
      <c r="AO1311" s="470" t="s">
        <v>14477</v>
      </c>
      <c r="AP1311" s="470" t="s">
        <v>3186</v>
      </c>
      <c r="AQ1311" s="470" t="s">
        <v>10700</v>
      </c>
      <c r="AR1311" s="472" t="s">
        <v>515</v>
      </c>
      <c r="AS1311" s="473" t="s">
        <v>1385</v>
      </c>
      <c r="AT1311" s="472" t="s">
        <v>4613</v>
      </c>
      <c r="AU1311" s="472" t="s">
        <v>420</v>
      </c>
      <c r="AV1311" s="472">
        <v>2020</v>
      </c>
      <c r="AW1311" s="474" t="s">
        <v>15078</v>
      </c>
      <c r="AX1311" s="475" t="s">
        <v>15079</v>
      </c>
      <c r="AY1311" s="515">
        <v>1</v>
      </c>
      <c r="AZ1311" s="474" t="s">
        <v>15079</v>
      </c>
      <c r="BA1311" s="472" t="s">
        <v>4613</v>
      </c>
      <c r="BB1311" s="472" t="s">
        <v>1385</v>
      </c>
      <c r="BC1311" s="472" t="s">
        <v>1385</v>
      </c>
      <c r="BD1311" s="472" t="s">
        <v>1385</v>
      </c>
      <c r="BE1311" s="472" t="s">
        <v>1385</v>
      </c>
      <c r="BF1311" s="472">
        <v>18817.2</v>
      </c>
      <c r="BG1311" s="472">
        <v>0</v>
      </c>
      <c r="BH1311" s="472" t="s">
        <v>1385</v>
      </c>
      <c r="BI1311" s="510">
        <v>0</v>
      </c>
      <c r="BJ1311" s="510">
        <v>0</v>
      </c>
      <c r="BK1311" s="510">
        <v>0</v>
      </c>
      <c r="BL1311" s="510">
        <v>0</v>
      </c>
      <c r="BM1311" s="510">
        <v>0</v>
      </c>
      <c r="BN1311" s="510">
        <v>2000</v>
      </c>
      <c r="BO1311" s="510">
        <v>400</v>
      </c>
      <c r="BP1311" s="510">
        <v>1600</v>
      </c>
      <c r="BQ1311" s="510">
        <v>0</v>
      </c>
      <c r="BR1311" s="510">
        <v>0</v>
      </c>
      <c r="BS1311" s="510">
        <v>0</v>
      </c>
      <c r="BT1311" s="510">
        <v>0</v>
      </c>
      <c r="BU1311" s="510">
        <v>0</v>
      </c>
      <c r="BV1311" s="510">
        <v>0</v>
      </c>
      <c r="BW1311" s="510">
        <v>0</v>
      </c>
      <c r="BX1311" s="510">
        <v>30000</v>
      </c>
      <c r="BY1311" s="1011">
        <v>0</v>
      </c>
      <c r="BZ1311" s="510">
        <v>0</v>
      </c>
      <c r="CA1311" s="1011">
        <v>0</v>
      </c>
      <c r="CB1311" s="510">
        <v>0</v>
      </c>
      <c r="CC1311" s="1011">
        <v>0</v>
      </c>
      <c r="CD1311" s="510">
        <v>0</v>
      </c>
      <c r="CE1311" s="1011">
        <v>0</v>
      </c>
      <c r="CF1311" s="510">
        <v>37622.400000000001</v>
      </c>
      <c r="CG1311" s="1011">
        <v>0</v>
      </c>
      <c r="CH1311" s="510">
        <v>0</v>
      </c>
      <c r="CI1311" s="1011">
        <v>0</v>
      </c>
    </row>
    <row r="1312" spans="1:87" x14ac:dyDescent="0.2">
      <c r="A1312" s="449">
        <v>11</v>
      </c>
      <c r="B1312" s="453">
        <v>400114</v>
      </c>
      <c r="C1312" s="454" t="s">
        <v>10704</v>
      </c>
      <c r="D1312" s="454" t="s">
        <v>4613</v>
      </c>
      <c r="E1312" s="454" t="s">
        <v>10705</v>
      </c>
      <c r="F1312" s="454" t="s">
        <v>528</v>
      </c>
      <c r="G1312" s="454" t="s">
        <v>14478</v>
      </c>
      <c r="H1312" s="455">
        <v>7852210000157</v>
      </c>
      <c r="I1312" s="462">
        <v>38621</v>
      </c>
      <c r="J1312" s="457">
        <v>37375652</v>
      </c>
      <c r="K1312" s="454" t="s">
        <v>10706</v>
      </c>
      <c r="L1312" s="458">
        <v>100</v>
      </c>
      <c r="M1312" s="454" t="s">
        <v>2722</v>
      </c>
      <c r="N1312" s="459">
        <v>2991100</v>
      </c>
      <c r="O1312" s="460">
        <v>39411418</v>
      </c>
      <c r="P1312" s="462">
        <v>222367</v>
      </c>
      <c r="Q1312" s="462">
        <v>11</v>
      </c>
      <c r="R1312" s="462">
        <v>43938</v>
      </c>
      <c r="S1312" s="463">
        <v>137</v>
      </c>
      <c r="T1312" s="464">
        <v>3.6</v>
      </c>
      <c r="U1312" s="465">
        <v>493.2</v>
      </c>
      <c r="V1312" s="465">
        <v>10800</v>
      </c>
      <c r="W1312" s="466">
        <v>0</v>
      </c>
      <c r="X1312" s="467">
        <v>1</v>
      </c>
      <c r="Y1312" s="466">
        <v>16939.8</v>
      </c>
      <c r="Z1312" s="468" t="s">
        <v>516</v>
      </c>
      <c r="AA1312" s="466">
        <v>84490.2</v>
      </c>
      <c r="AB1312" s="466">
        <v>84490.2</v>
      </c>
      <c r="AC1312" s="467">
        <v>0</v>
      </c>
      <c r="AD1312" s="466">
        <v>0</v>
      </c>
      <c r="AE1312" s="468" t="s">
        <v>516</v>
      </c>
      <c r="AF1312" s="466">
        <v>0</v>
      </c>
      <c r="AG1312" s="466">
        <v>0</v>
      </c>
      <c r="AH1312" s="466">
        <v>5173.62</v>
      </c>
      <c r="AI1312" s="466">
        <v>8.64</v>
      </c>
      <c r="AJ1312" s="469" t="s">
        <v>1571</v>
      </c>
      <c r="AK1312" s="470" t="s">
        <v>528</v>
      </c>
      <c r="AL1312" s="471" t="s">
        <v>10707</v>
      </c>
      <c r="AM1312" s="470" t="s">
        <v>10708</v>
      </c>
      <c r="AN1312" s="470" t="s">
        <v>10709</v>
      </c>
      <c r="AO1312" s="470" t="s">
        <v>14479</v>
      </c>
      <c r="AP1312" s="470" t="s">
        <v>10710</v>
      </c>
      <c r="AQ1312" s="470" t="s">
        <v>10704</v>
      </c>
      <c r="AR1312" s="472" t="s">
        <v>515</v>
      </c>
      <c r="AS1312" s="473" t="s">
        <v>1385</v>
      </c>
      <c r="AT1312" s="472" t="s">
        <v>4613</v>
      </c>
      <c r="AU1312" s="472" t="s">
        <v>420</v>
      </c>
      <c r="AV1312" s="472">
        <v>2020</v>
      </c>
      <c r="AW1312" s="474" t="s">
        <v>15078</v>
      </c>
      <c r="AX1312" s="475" t="s">
        <v>15079</v>
      </c>
      <c r="AY1312" s="515">
        <v>1</v>
      </c>
      <c r="AZ1312" s="474" t="s">
        <v>15079</v>
      </c>
      <c r="BA1312" s="472" t="s">
        <v>4613</v>
      </c>
      <c r="BB1312" s="472" t="s">
        <v>1385</v>
      </c>
      <c r="BC1312" s="472" t="s">
        <v>1385</v>
      </c>
      <c r="BD1312" s="472" t="s">
        <v>1385</v>
      </c>
      <c r="BE1312" s="472" t="s">
        <v>1385</v>
      </c>
      <c r="BF1312" s="472">
        <v>16939.8</v>
      </c>
      <c r="BG1312" s="472">
        <v>0</v>
      </c>
      <c r="BH1312" s="472" t="s">
        <v>1385</v>
      </c>
      <c r="BI1312" s="510">
        <v>0</v>
      </c>
      <c r="BJ1312" s="510">
        <v>0</v>
      </c>
      <c r="BK1312" s="510">
        <v>0</v>
      </c>
      <c r="BL1312" s="510">
        <v>0</v>
      </c>
      <c r="BM1312" s="510">
        <v>0</v>
      </c>
      <c r="BN1312" s="510">
        <v>2000</v>
      </c>
      <c r="BO1312" s="510">
        <v>0</v>
      </c>
      <c r="BP1312" s="510">
        <v>0</v>
      </c>
      <c r="BQ1312" s="510">
        <v>0</v>
      </c>
      <c r="BR1312" s="510">
        <v>0</v>
      </c>
      <c r="BS1312" s="510">
        <v>0</v>
      </c>
      <c r="BT1312" s="510">
        <v>0</v>
      </c>
      <c r="BU1312" s="510">
        <v>0</v>
      </c>
      <c r="BV1312" s="510">
        <v>0</v>
      </c>
      <c r="BW1312" s="510">
        <v>0</v>
      </c>
      <c r="BX1312" s="510">
        <v>30000</v>
      </c>
      <c r="BY1312" s="1011">
        <v>0</v>
      </c>
      <c r="BZ1312" s="510">
        <v>0</v>
      </c>
      <c r="CA1312" s="1011">
        <v>0</v>
      </c>
      <c r="CB1312" s="510">
        <v>0</v>
      </c>
      <c r="CC1312" s="1011">
        <v>0</v>
      </c>
      <c r="CD1312" s="510">
        <v>0</v>
      </c>
      <c r="CE1312" s="1011">
        <v>0</v>
      </c>
      <c r="CF1312" s="510">
        <v>37550.400000000001</v>
      </c>
      <c r="CG1312" s="1011">
        <v>0</v>
      </c>
      <c r="CH1312" s="510">
        <v>0</v>
      </c>
      <c r="CI1312" s="1011">
        <v>0</v>
      </c>
    </row>
    <row r="1313" spans="1:87" x14ac:dyDescent="0.2">
      <c r="A1313" s="449">
        <v>9</v>
      </c>
      <c r="B1313" s="453">
        <v>400115</v>
      </c>
      <c r="C1313" s="454" t="s">
        <v>10711</v>
      </c>
      <c r="D1313" s="454" t="s">
        <v>4613</v>
      </c>
      <c r="E1313" s="454" t="s">
        <v>10712</v>
      </c>
      <c r="F1313" s="454" t="s">
        <v>526</v>
      </c>
      <c r="G1313" s="454" t="s">
        <v>14480</v>
      </c>
      <c r="H1313" s="455">
        <v>10348470000102</v>
      </c>
      <c r="I1313" s="462">
        <v>39696</v>
      </c>
      <c r="J1313" s="457">
        <v>38462559</v>
      </c>
      <c r="K1313" s="454" t="s">
        <v>10713</v>
      </c>
      <c r="L1313" s="458">
        <v>42</v>
      </c>
      <c r="M1313" s="454" t="s">
        <v>10714</v>
      </c>
      <c r="N1313" s="459">
        <v>8150280</v>
      </c>
      <c r="O1313" s="460">
        <v>25110244</v>
      </c>
      <c r="P1313" s="462">
        <v>156070</v>
      </c>
      <c r="Q1313" s="462">
        <v>9</v>
      </c>
      <c r="R1313" s="462">
        <v>43928</v>
      </c>
      <c r="S1313" s="463">
        <v>136</v>
      </c>
      <c r="T1313" s="464">
        <v>3.6</v>
      </c>
      <c r="U1313" s="465">
        <v>489.6</v>
      </c>
      <c r="V1313" s="465">
        <v>10800</v>
      </c>
      <c r="W1313" s="466">
        <v>0</v>
      </c>
      <c r="X1313" s="467">
        <v>1</v>
      </c>
      <c r="Y1313" s="466">
        <v>16934.400000000001</v>
      </c>
      <c r="Z1313" s="468" t="s">
        <v>516</v>
      </c>
      <c r="AA1313" s="466">
        <v>84369.600000000006</v>
      </c>
      <c r="AB1313" s="466">
        <v>84369.600000000006</v>
      </c>
      <c r="AC1313" s="467">
        <v>0</v>
      </c>
      <c r="AD1313" s="466">
        <v>0</v>
      </c>
      <c r="AE1313" s="468" t="s">
        <v>516</v>
      </c>
      <c r="AF1313" s="466">
        <v>0</v>
      </c>
      <c r="AG1313" s="466">
        <v>0</v>
      </c>
      <c r="AH1313" s="466">
        <v>358.99</v>
      </c>
      <c r="AI1313" s="466">
        <v>0</v>
      </c>
      <c r="AJ1313" s="469" t="s">
        <v>1674</v>
      </c>
      <c r="AK1313" s="470" t="s">
        <v>518</v>
      </c>
      <c r="AL1313" s="471" t="s">
        <v>10715</v>
      </c>
      <c r="AM1313" s="470" t="s">
        <v>10716</v>
      </c>
      <c r="AN1313" s="470" t="s">
        <v>1385</v>
      </c>
      <c r="AO1313" s="470" t="s">
        <v>10717</v>
      </c>
      <c r="AP1313" s="470" t="s">
        <v>10718</v>
      </c>
      <c r="AQ1313" s="470" t="s">
        <v>10711</v>
      </c>
      <c r="AR1313" s="472" t="s">
        <v>515</v>
      </c>
      <c r="AS1313" s="473" t="s">
        <v>1385</v>
      </c>
      <c r="AT1313" s="472" t="s">
        <v>4613</v>
      </c>
      <c r="AU1313" s="472" t="s">
        <v>420</v>
      </c>
      <c r="AV1313" s="472">
        <v>2020</v>
      </c>
      <c r="AW1313" s="474" t="s">
        <v>15078</v>
      </c>
      <c r="AX1313" s="475" t="s">
        <v>15079</v>
      </c>
      <c r="AY1313" s="515">
        <v>1</v>
      </c>
      <c r="AZ1313" s="474" t="s">
        <v>15079</v>
      </c>
      <c r="BA1313" s="472" t="s">
        <v>4613</v>
      </c>
      <c r="BB1313" s="472" t="s">
        <v>1385</v>
      </c>
      <c r="BC1313" s="472" t="s">
        <v>1385</v>
      </c>
      <c r="BD1313" s="472" t="s">
        <v>1385</v>
      </c>
      <c r="BE1313" s="472" t="s">
        <v>1385</v>
      </c>
      <c r="BF1313" s="472">
        <v>16934.400000000001</v>
      </c>
      <c r="BG1313" s="472">
        <v>0</v>
      </c>
      <c r="BH1313" s="472" t="s">
        <v>1385</v>
      </c>
      <c r="BI1313" s="510">
        <v>0</v>
      </c>
      <c r="BJ1313" s="510">
        <v>0</v>
      </c>
      <c r="BK1313" s="510">
        <v>0</v>
      </c>
      <c r="BL1313" s="510">
        <v>0</v>
      </c>
      <c r="BM1313" s="510">
        <v>0</v>
      </c>
      <c r="BN1313" s="510">
        <v>0</v>
      </c>
      <c r="BO1313" s="510">
        <v>0</v>
      </c>
      <c r="BP1313" s="510">
        <v>0</v>
      </c>
      <c r="BQ1313" s="510">
        <v>0</v>
      </c>
      <c r="BR1313" s="510">
        <v>0</v>
      </c>
      <c r="BS1313" s="510">
        <v>0</v>
      </c>
      <c r="BT1313" s="510">
        <v>0</v>
      </c>
      <c r="BU1313" s="510">
        <v>0</v>
      </c>
      <c r="BV1313" s="510">
        <v>0</v>
      </c>
      <c r="BW1313" s="510">
        <v>0</v>
      </c>
      <c r="BX1313" s="510">
        <v>30000</v>
      </c>
      <c r="BY1313" s="1011">
        <v>0</v>
      </c>
      <c r="BZ1313" s="510">
        <v>0</v>
      </c>
      <c r="CA1313" s="1011">
        <v>0</v>
      </c>
      <c r="CB1313" s="510">
        <v>0</v>
      </c>
      <c r="CC1313" s="1011">
        <v>0</v>
      </c>
      <c r="CD1313" s="510">
        <v>0</v>
      </c>
      <c r="CE1313" s="1011">
        <v>0</v>
      </c>
      <c r="CF1313" s="510">
        <v>37435.199999999997</v>
      </c>
      <c r="CG1313" s="1011">
        <v>0</v>
      </c>
      <c r="CH1313" s="510">
        <v>0</v>
      </c>
      <c r="CI1313" s="1011">
        <v>0</v>
      </c>
    </row>
    <row r="1314" spans="1:87" x14ac:dyDescent="0.2">
      <c r="A1314" s="449">
        <v>12</v>
      </c>
      <c r="B1314" s="453">
        <v>400116</v>
      </c>
      <c r="C1314" s="454" t="s">
        <v>10719</v>
      </c>
      <c r="D1314" s="454" t="s">
        <v>4613</v>
      </c>
      <c r="E1314" s="454" t="s">
        <v>10720</v>
      </c>
      <c r="F1314" s="454" t="s">
        <v>513</v>
      </c>
      <c r="G1314" s="454" t="s">
        <v>14481</v>
      </c>
      <c r="H1314" s="455">
        <v>7711630000113</v>
      </c>
      <c r="I1314" s="462">
        <v>38239</v>
      </c>
      <c r="J1314" s="457">
        <v>37530941</v>
      </c>
      <c r="K1314" s="454" t="s">
        <v>3276</v>
      </c>
      <c r="L1314" s="458">
        <v>20</v>
      </c>
      <c r="M1314" s="454" t="s">
        <v>3277</v>
      </c>
      <c r="N1314" s="459">
        <v>8395320</v>
      </c>
      <c r="O1314" s="460">
        <v>27514896</v>
      </c>
      <c r="P1314" s="462">
        <v>144811</v>
      </c>
      <c r="Q1314" s="462">
        <v>12</v>
      </c>
      <c r="R1314" s="462">
        <v>43937</v>
      </c>
      <c r="S1314" s="463">
        <v>111</v>
      </c>
      <c r="T1314" s="464">
        <v>3.6</v>
      </c>
      <c r="U1314" s="465">
        <v>399.6</v>
      </c>
      <c r="V1314" s="465">
        <v>10800</v>
      </c>
      <c r="W1314" s="466">
        <v>0</v>
      </c>
      <c r="X1314" s="467">
        <v>1</v>
      </c>
      <c r="Y1314" s="466">
        <v>16799.400000000001</v>
      </c>
      <c r="Z1314" s="468" t="s">
        <v>516</v>
      </c>
      <c r="AA1314" s="466">
        <v>84169.8</v>
      </c>
      <c r="AB1314" s="466">
        <v>84169.8</v>
      </c>
      <c r="AC1314" s="467">
        <v>0</v>
      </c>
      <c r="AD1314" s="466">
        <v>0</v>
      </c>
      <c r="AE1314" s="468" t="s">
        <v>516</v>
      </c>
      <c r="AF1314" s="466">
        <v>0</v>
      </c>
      <c r="AG1314" s="466">
        <v>0</v>
      </c>
      <c r="AH1314" s="466">
        <v>10915.14</v>
      </c>
      <c r="AI1314" s="466">
        <v>5685.82</v>
      </c>
      <c r="AJ1314" s="469" t="s">
        <v>6985</v>
      </c>
      <c r="AK1314" s="470" t="s">
        <v>9084</v>
      </c>
      <c r="AL1314" s="471" t="s">
        <v>2926</v>
      </c>
      <c r="AM1314" s="470" t="s">
        <v>10721</v>
      </c>
      <c r="AN1314" s="470" t="s">
        <v>10722</v>
      </c>
      <c r="AO1314" s="470" t="s">
        <v>10723</v>
      </c>
      <c r="AP1314" s="470" t="s">
        <v>4456</v>
      </c>
      <c r="AQ1314" s="470" t="s">
        <v>10719</v>
      </c>
      <c r="AR1314" s="472" t="s">
        <v>515</v>
      </c>
      <c r="AS1314" s="473" t="s">
        <v>1385</v>
      </c>
      <c r="AT1314" s="472" t="s">
        <v>4613</v>
      </c>
      <c r="AU1314" s="472" t="s">
        <v>420</v>
      </c>
      <c r="AV1314" s="472">
        <v>2020</v>
      </c>
      <c r="AW1314" s="474" t="s">
        <v>15078</v>
      </c>
      <c r="AX1314" s="475" t="s">
        <v>15079</v>
      </c>
      <c r="AY1314" s="515">
        <v>1</v>
      </c>
      <c r="AZ1314" s="474" t="s">
        <v>15079</v>
      </c>
      <c r="BA1314" s="472" t="s">
        <v>4613</v>
      </c>
      <c r="BB1314" s="472" t="s">
        <v>1385</v>
      </c>
      <c r="BC1314" s="472" t="s">
        <v>1385</v>
      </c>
      <c r="BD1314" s="472" t="s">
        <v>1385</v>
      </c>
      <c r="BE1314" s="472" t="s">
        <v>1385</v>
      </c>
      <c r="BF1314" s="472">
        <v>16799.400000000001</v>
      </c>
      <c r="BG1314" s="472">
        <v>0</v>
      </c>
      <c r="BH1314" s="472" t="s">
        <v>1385</v>
      </c>
      <c r="BI1314" s="510">
        <v>0</v>
      </c>
      <c r="BJ1314" s="510">
        <v>0</v>
      </c>
      <c r="BK1314" s="510">
        <v>0</v>
      </c>
      <c r="BL1314" s="510">
        <v>0</v>
      </c>
      <c r="BM1314" s="510">
        <v>0</v>
      </c>
      <c r="BN1314" s="510">
        <v>2000</v>
      </c>
      <c r="BO1314" s="510">
        <v>0</v>
      </c>
      <c r="BP1314" s="510">
        <v>0</v>
      </c>
      <c r="BQ1314" s="510">
        <v>0</v>
      </c>
      <c r="BR1314" s="510">
        <v>0</v>
      </c>
      <c r="BS1314" s="510">
        <v>0</v>
      </c>
      <c r="BT1314" s="510">
        <v>0</v>
      </c>
      <c r="BU1314" s="510">
        <v>0</v>
      </c>
      <c r="BV1314" s="510">
        <v>0</v>
      </c>
      <c r="BW1314" s="510">
        <v>0</v>
      </c>
      <c r="BX1314" s="510">
        <v>30000</v>
      </c>
      <c r="BY1314" s="1011">
        <v>0</v>
      </c>
      <c r="BZ1314" s="510">
        <v>0</v>
      </c>
      <c r="CA1314" s="1011">
        <v>0</v>
      </c>
      <c r="CB1314" s="510">
        <v>0</v>
      </c>
      <c r="CC1314" s="1011">
        <v>0</v>
      </c>
      <c r="CD1314" s="510">
        <v>0</v>
      </c>
      <c r="CE1314" s="1011">
        <v>0</v>
      </c>
      <c r="CF1314" s="510">
        <v>37370.400000000001</v>
      </c>
      <c r="CG1314" s="1011">
        <v>0</v>
      </c>
      <c r="CH1314" s="510">
        <v>0</v>
      </c>
      <c r="CI1314" s="1011">
        <v>0</v>
      </c>
    </row>
    <row r="1315" spans="1:87" x14ac:dyDescent="0.2">
      <c r="A1315" s="449">
        <v>12</v>
      </c>
      <c r="B1315" s="453">
        <v>400117</v>
      </c>
      <c r="C1315" s="454" t="s">
        <v>10724</v>
      </c>
      <c r="D1315" s="454" t="s">
        <v>4613</v>
      </c>
      <c r="E1315" s="454" t="s">
        <v>10725</v>
      </c>
      <c r="F1315" s="454" t="s">
        <v>528</v>
      </c>
      <c r="G1315" s="454" t="s">
        <v>14482</v>
      </c>
      <c r="H1315" s="455">
        <v>7711602000104</v>
      </c>
      <c r="I1315" s="462">
        <v>38651</v>
      </c>
      <c r="J1315" s="457">
        <v>37375253</v>
      </c>
      <c r="K1315" s="454" t="s">
        <v>10726</v>
      </c>
      <c r="L1315" s="458">
        <v>72</v>
      </c>
      <c r="M1315" s="454" t="s">
        <v>10727</v>
      </c>
      <c r="N1315" s="459">
        <v>2990350</v>
      </c>
      <c r="O1315" s="460">
        <v>39412323</v>
      </c>
      <c r="P1315" s="462">
        <v>258078</v>
      </c>
      <c r="Q1315" s="462">
        <v>12</v>
      </c>
      <c r="R1315" s="462">
        <v>43938</v>
      </c>
      <c r="S1315" s="463">
        <v>57</v>
      </c>
      <c r="T1315" s="464">
        <v>3.6</v>
      </c>
      <c r="U1315" s="465">
        <v>205.2</v>
      </c>
      <c r="V1315" s="465">
        <v>10800</v>
      </c>
      <c r="W1315" s="466">
        <v>0</v>
      </c>
      <c r="X1315" s="467">
        <v>1</v>
      </c>
      <c r="Y1315" s="466">
        <v>16507.8</v>
      </c>
      <c r="Z1315" s="468" t="s">
        <v>516</v>
      </c>
      <c r="AA1315" s="466">
        <v>83489.399999999994</v>
      </c>
      <c r="AB1315" s="466">
        <v>83489.399999999994</v>
      </c>
      <c r="AC1315" s="467">
        <v>0</v>
      </c>
      <c r="AD1315" s="466">
        <v>0</v>
      </c>
      <c r="AE1315" s="468" t="s">
        <v>516</v>
      </c>
      <c r="AF1315" s="466">
        <v>0</v>
      </c>
      <c r="AG1315" s="466">
        <v>0</v>
      </c>
      <c r="AH1315" s="466">
        <v>3395.47</v>
      </c>
      <c r="AI1315" s="466">
        <v>8744.68</v>
      </c>
      <c r="AJ1315" s="469" t="s">
        <v>1571</v>
      </c>
      <c r="AK1315" s="470" t="s">
        <v>528</v>
      </c>
      <c r="AL1315" s="471" t="s">
        <v>10728</v>
      </c>
      <c r="AM1315" s="470" t="s">
        <v>10729</v>
      </c>
      <c r="AN1315" s="470" t="s">
        <v>10730</v>
      </c>
      <c r="AO1315" s="470" t="s">
        <v>14483</v>
      </c>
      <c r="AP1315" s="470" t="s">
        <v>10731</v>
      </c>
      <c r="AQ1315" s="470" t="s">
        <v>10724</v>
      </c>
      <c r="AR1315" s="472" t="s">
        <v>515</v>
      </c>
      <c r="AS1315" s="473" t="s">
        <v>1385</v>
      </c>
      <c r="AT1315" s="472" t="s">
        <v>4613</v>
      </c>
      <c r="AU1315" s="472" t="s">
        <v>420</v>
      </c>
      <c r="AV1315" s="472">
        <v>2020</v>
      </c>
      <c r="AW1315" s="474" t="s">
        <v>15078</v>
      </c>
      <c r="AX1315" s="475" t="s">
        <v>15079</v>
      </c>
      <c r="AY1315" s="515">
        <v>1</v>
      </c>
      <c r="AZ1315" s="474" t="s">
        <v>15079</v>
      </c>
      <c r="BA1315" s="472" t="s">
        <v>4613</v>
      </c>
      <c r="BB1315" s="472" t="s">
        <v>1385</v>
      </c>
      <c r="BC1315" s="472" t="s">
        <v>1385</v>
      </c>
      <c r="BD1315" s="472" t="s">
        <v>1385</v>
      </c>
      <c r="BE1315" s="472" t="s">
        <v>1385</v>
      </c>
      <c r="BF1315" s="472">
        <v>16507.8</v>
      </c>
      <c r="BG1315" s="472">
        <v>0</v>
      </c>
      <c r="BH1315" s="472" t="s">
        <v>1385</v>
      </c>
      <c r="BI1315" s="510">
        <v>0</v>
      </c>
      <c r="BJ1315" s="510">
        <v>0</v>
      </c>
      <c r="BK1315" s="510">
        <v>0</v>
      </c>
      <c r="BL1315" s="510">
        <v>0</v>
      </c>
      <c r="BM1315" s="510">
        <v>0</v>
      </c>
      <c r="BN1315" s="510">
        <v>1500</v>
      </c>
      <c r="BO1315" s="510">
        <v>0</v>
      </c>
      <c r="BP1315" s="510">
        <v>0</v>
      </c>
      <c r="BQ1315" s="510">
        <v>0</v>
      </c>
      <c r="BR1315" s="510">
        <v>0</v>
      </c>
      <c r="BS1315" s="510">
        <v>0</v>
      </c>
      <c r="BT1315" s="510">
        <v>0</v>
      </c>
      <c r="BU1315" s="510">
        <v>0</v>
      </c>
      <c r="BV1315" s="510">
        <v>0</v>
      </c>
      <c r="BW1315" s="510">
        <v>0</v>
      </c>
      <c r="BX1315" s="510">
        <v>30000</v>
      </c>
      <c r="BY1315" s="1011">
        <v>0</v>
      </c>
      <c r="BZ1315" s="510">
        <v>0</v>
      </c>
      <c r="CA1315" s="1011">
        <v>0</v>
      </c>
      <c r="CB1315" s="510">
        <v>0</v>
      </c>
      <c r="CC1315" s="1011">
        <v>0</v>
      </c>
      <c r="CD1315" s="510">
        <v>0</v>
      </c>
      <c r="CE1315" s="1011">
        <v>0</v>
      </c>
      <c r="CF1315" s="510">
        <v>36981.599999999999</v>
      </c>
      <c r="CG1315" s="1011">
        <v>0</v>
      </c>
      <c r="CH1315" s="510">
        <v>0</v>
      </c>
      <c r="CI1315" s="1011">
        <v>0</v>
      </c>
    </row>
    <row r="1316" spans="1:87" x14ac:dyDescent="0.2">
      <c r="A1316" s="449">
        <v>13</v>
      </c>
      <c r="B1316" s="453">
        <v>400118</v>
      </c>
      <c r="C1316" s="454" t="s">
        <v>10732</v>
      </c>
      <c r="D1316" s="454" t="s">
        <v>4613</v>
      </c>
      <c r="E1316" s="454" t="s">
        <v>10733</v>
      </c>
      <c r="F1316" s="454" t="s">
        <v>513</v>
      </c>
      <c r="G1316" s="454" t="s">
        <v>14484</v>
      </c>
      <c r="H1316" s="455">
        <v>7818938000162</v>
      </c>
      <c r="I1316" s="462">
        <v>38694</v>
      </c>
      <c r="J1316" s="457">
        <v>35648880</v>
      </c>
      <c r="K1316" s="454" t="s">
        <v>10734</v>
      </c>
      <c r="L1316" s="458">
        <v>80</v>
      </c>
      <c r="M1316" s="454" t="s">
        <v>10735</v>
      </c>
      <c r="N1316" s="459">
        <v>8380550</v>
      </c>
      <c r="O1316" s="460">
        <v>27532330</v>
      </c>
      <c r="P1316" s="462">
        <v>145265</v>
      </c>
      <c r="Q1316" s="462">
        <v>13</v>
      </c>
      <c r="R1316" s="462">
        <v>43937</v>
      </c>
      <c r="S1316" s="463">
        <v>120</v>
      </c>
      <c r="T1316" s="464">
        <v>3.6</v>
      </c>
      <c r="U1316" s="465">
        <v>432</v>
      </c>
      <c r="V1316" s="465">
        <v>10800</v>
      </c>
      <c r="W1316" s="466">
        <v>0</v>
      </c>
      <c r="X1316" s="467">
        <v>1</v>
      </c>
      <c r="Y1316" s="466">
        <v>16848</v>
      </c>
      <c r="Z1316" s="468" t="s">
        <v>516</v>
      </c>
      <c r="AA1316" s="466">
        <v>84304.8</v>
      </c>
      <c r="AB1316" s="466">
        <v>84304.8</v>
      </c>
      <c r="AC1316" s="467">
        <v>0</v>
      </c>
      <c r="AD1316" s="466">
        <v>0</v>
      </c>
      <c r="AE1316" s="468" t="s">
        <v>516</v>
      </c>
      <c r="AF1316" s="466">
        <v>0</v>
      </c>
      <c r="AG1316" s="466">
        <v>0</v>
      </c>
      <c r="AH1316" s="466">
        <v>12832.43</v>
      </c>
      <c r="AI1316" s="466">
        <v>9794.0400000000009</v>
      </c>
      <c r="AJ1316" s="469" t="s">
        <v>5938</v>
      </c>
      <c r="AK1316" s="470" t="s">
        <v>6691</v>
      </c>
      <c r="AL1316" s="471" t="s">
        <v>10736</v>
      </c>
      <c r="AM1316" s="470" t="s">
        <v>10737</v>
      </c>
      <c r="AN1316" s="470" t="s">
        <v>10738</v>
      </c>
      <c r="AO1316" s="470" t="s">
        <v>10739</v>
      </c>
      <c r="AP1316" s="470" t="s">
        <v>5859</v>
      </c>
      <c r="AQ1316" s="470" t="s">
        <v>10732</v>
      </c>
      <c r="AR1316" s="472" t="s">
        <v>515</v>
      </c>
      <c r="AS1316" s="473" t="s">
        <v>1385</v>
      </c>
      <c r="AT1316" s="472" t="s">
        <v>4613</v>
      </c>
      <c r="AU1316" s="472" t="s">
        <v>420</v>
      </c>
      <c r="AV1316" s="472">
        <v>2020</v>
      </c>
      <c r="AW1316" s="474" t="s">
        <v>15078</v>
      </c>
      <c r="AX1316" s="475" t="s">
        <v>15079</v>
      </c>
      <c r="AY1316" s="515">
        <v>1</v>
      </c>
      <c r="AZ1316" s="474" t="s">
        <v>15079</v>
      </c>
      <c r="BA1316" s="472" t="s">
        <v>4613</v>
      </c>
      <c r="BB1316" s="472" t="s">
        <v>1385</v>
      </c>
      <c r="BC1316" s="472" t="s">
        <v>1385</v>
      </c>
      <c r="BD1316" s="472" t="s">
        <v>1385</v>
      </c>
      <c r="BE1316" s="472" t="s">
        <v>1385</v>
      </c>
      <c r="BF1316" s="509">
        <v>16848</v>
      </c>
      <c r="BG1316" s="472">
        <v>0</v>
      </c>
      <c r="BH1316" s="472" t="s">
        <v>1385</v>
      </c>
      <c r="BI1316" s="510">
        <v>0</v>
      </c>
      <c r="BJ1316" s="510">
        <v>0</v>
      </c>
      <c r="BK1316" s="510">
        <v>0</v>
      </c>
      <c r="BL1316" s="510">
        <v>0</v>
      </c>
      <c r="BM1316" s="510">
        <v>0</v>
      </c>
      <c r="BN1316" s="510">
        <v>2000</v>
      </c>
      <c r="BO1316" s="510">
        <v>0</v>
      </c>
      <c r="BP1316" s="510">
        <v>0</v>
      </c>
      <c r="BQ1316" s="510">
        <v>0</v>
      </c>
      <c r="BR1316" s="510">
        <v>0</v>
      </c>
      <c r="BS1316" s="510">
        <v>0</v>
      </c>
      <c r="BT1316" s="510">
        <v>0</v>
      </c>
      <c r="BU1316" s="510">
        <v>0</v>
      </c>
      <c r="BV1316" s="510">
        <v>0</v>
      </c>
      <c r="BW1316" s="510">
        <v>0</v>
      </c>
      <c r="BX1316" s="510">
        <v>30000</v>
      </c>
      <c r="BY1316" s="1011">
        <v>0</v>
      </c>
      <c r="BZ1316" s="510">
        <v>0</v>
      </c>
      <c r="CA1316" s="1011">
        <v>0</v>
      </c>
      <c r="CB1316" s="510">
        <v>0</v>
      </c>
      <c r="CC1316" s="1011">
        <v>0</v>
      </c>
      <c r="CD1316" s="510">
        <v>0</v>
      </c>
      <c r="CE1316" s="1011">
        <v>0</v>
      </c>
      <c r="CF1316" s="510">
        <v>37456.800000000003</v>
      </c>
      <c r="CG1316" s="1011">
        <v>0</v>
      </c>
      <c r="CH1316" s="510">
        <v>0</v>
      </c>
      <c r="CI1316" s="1011">
        <v>0</v>
      </c>
    </row>
    <row r="1317" spans="1:87" x14ac:dyDescent="0.2">
      <c r="A1317" s="449">
        <v>17</v>
      </c>
      <c r="B1317" s="453">
        <v>400119</v>
      </c>
      <c r="C1317" s="454" t="s">
        <v>10740</v>
      </c>
      <c r="D1317" s="454" t="s">
        <v>4613</v>
      </c>
      <c r="E1317" s="454" t="s">
        <v>10741</v>
      </c>
      <c r="F1317" s="454" t="s">
        <v>526</v>
      </c>
      <c r="G1317" s="454" t="s">
        <v>14485</v>
      </c>
      <c r="H1317" s="455">
        <v>8457886000109</v>
      </c>
      <c r="I1317" s="462">
        <v>39038</v>
      </c>
      <c r="J1317" s="457">
        <v>37585703</v>
      </c>
      <c r="K1317" s="454" t="s">
        <v>10742</v>
      </c>
      <c r="L1317" s="458">
        <v>45</v>
      </c>
      <c r="M1317" s="454" t="s">
        <v>10743</v>
      </c>
      <c r="N1317" s="459">
        <v>8040780</v>
      </c>
      <c r="O1317" s="460">
        <v>20516887</v>
      </c>
      <c r="P1317" s="462">
        <v>109919</v>
      </c>
      <c r="Q1317" s="462">
        <v>17</v>
      </c>
      <c r="R1317" s="462">
        <v>43928</v>
      </c>
      <c r="S1317" s="463">
        <v>111</v>
      </c>
      <c r="T1317" s="464">
        <v>3.6</v>
      </c>
      <c r="U1317" s="465">
        <v>399.6</v>
      </c>
      <c r="V1317" s="465">
        <v>10800</v>
      </c>
      <c r="W1317" s="466">
        <v>0</v>
      </c>
      <c r="X1317" s="467">
        <v>1</v>
      </c>
      <c r="Y1317" s="466">
        <v>16799.400000000001</v>
      </c>
      <c r="Z1317" s="468" t="s">
        <v>516</v>
      </c>
      <c r="AA1317" s="466">
        <v>84169.8</v>
      </c>
      <c r="AB1317" s="466">
        <v>84169.8</v>
      </c>
      <c r="AC1317" s="467">
        <v>0</v>
      </c>
      <c r="AD1317" s="466">
        <v>0</v>
      </c>
      <c r="AE1317" s="468" t="s">
        <v>516</v>
      </c>
      <c r="AF1317" s="466">
        <v>0</v>
      </c>
      <c r="AG1317" s="466">
        <v>0</v>
      </c>
      <c r="AH1317" s="466">
        <v>1844.79</v>
      </c>
      <c r="AI1317" s="466">
        <v>0</v>
      </c>
      <c r="AJ1317" s="469" t="s">
        <v>1839</v>
      </c>
      <c r="AK1317" s="470" t="s">
        <v>526</v>
      </c>
      <c r="AL1317" s="471" t="s">
        <v>10744</v>
      </c>
      <c r="AM1317" s="470" t="s">
        <v>10745</v>
      </c>
      <c r="AN1317" s="470" t="s">
        <v>1385</v>
      </c>
      <c r="AO1317" s="470" t="s">
        <v>10746</v>
      </c>
      <c r="AP1317" s="470" t="s">
        <v>10743</v>
      </c>
      <c r="AQ1317" s="470" t="s">
        <v>10740</v>
      </c>
      <c r="AR1317" s="472" t="s">
        <v>515</v>
      </c>
      <c r="AS1317" s="473" t="s">
        <v>1385</v>
      </c>
      <c r="AT1317" s="472" t="s">
        <v>4613</v>
      </c>
      <c r="AU1317" s="472" t="s">
        <v>420</v>
      </c>
      <c r="AV1317" s="472">
        <v>2020</v>
      </c>
      <c r="AW1317" s="474" t="s">
        <v>15078</v>
      </c>
      <c r="AX1317" s="475" t="s">
        <v>15079</v>
      </c>
      <c r="AY1317" s="515">
        <v>1</v>
      </c>
      <c r="AZ1317" s="474" t="s">
        <v>15079</v>
      </c>
      <c r="BA1317" s="472" t="s">
        <v>4613</v>
      </c>
      <c r="BB1317" s="472" t="s">
        <v>1385</v>
      </c>
      <c r="BC1317" s="472" t="s">
        <v>1385</v>
      </c>
      <c r="BD1317" s="472" t="s">
        <v>1385</v>
      </c>
      <c r="BE1317" s="472" t="s">
        <v>1385</v>
      </c>
      <c r="BF1317" s="472">
        <v>16799.400000000001</v>
      </c>
      <c r="BG1317" s="472">
        <v>0</v>
      </c>
      <c r="BH1317" s="472" t="s">
        <v>1385</v>
      </c>
      <c r="BI1317" s="510">
        <v>0</v>
      </c>
      <c r="BJ1317" s="510">
        <v>0</v>
      </c>
      <c r="BK1317" s="510">
        <v>0</v>
      </c>
      <c r="BL1317" s="510">
        <v>0</v>
      </c>
      <c r="BM1317" s="510">
        <v>0</v>
      </c>
      <c r="BN1317" s="510">
        <v>900</v>
      </c>
      <c r="BO1317" s="510">
        <v>0</v>
      </c>
      <c r="BP1317" s="510">
        <v>0</v>
      </c>
      <c r="BQ1317" s="510">
        <v>0</v>
      </c>
      <c r="BR1317" s="510">
        <v>0</v>
      </c>
      <c r="BS1317" s="510">
        <v>0</v>
      </c>
      <c r="BT1317" s="510">
        <v>0</v>
      </c>
      <c r="BU1317" s="510">
        <v>0</v>
      </c>
      <c r="BV1317" s="510">
        <v>0</v>
      </c>
      <c r="BW1317" s="510">
        <v>0</v>
      </c>
      <c r="BX1317" s="510">
        <v>30000</v>
      </c>
      <c r="BY1317" s="1011">
        <v>0</v>
      </c>
      <c r="BZ1317" s="510">
        <v>0</v>
      </c>
      <c r="CA1317" s="1011">
        <v>0</v>
      </c>
      <c r="CB1317" s="510">
        <v>0</v>
      </c>
      <c r="CC1317" s="1011">
        <v>0</v>
      </c>
      <c r="CD1317" s="510">
        <v>0</v>
      </c>
      <c r="CE1317" s="1011">
        <v>0</v>
      </c>
      <c r="CF1317" s="510">
        <v>37370.400000000001</v>
      </c>
      <c r="CG1317" s="1011">
        <v>0</v>
      </c>
      <c r="CH1317" s="510">
        <v>0</v>
      </c>
      <c r="CI1317" s="1011">
        <v>0</v>
      </c>
    </row>
    <row r="1318" spans="1:87" x14ac:dyDescent="0.2">
      <c r="A1318" s="449">
        <v>11</v>
      </c>
      <c r="B1318" s="453">
        <v>400120</v>
      </c>
      <c r="C1318" s="454" t="s">
        <v>10747</v>
      </c>
      <c r="D1318" s="454" t="s">
        <v>4613</v>
      </c>
      <c r="E1318" s="454" t="s">
        <v>10748</v>
      </c>
      <c r="F1318" s="454" t="s">
        <v>518</v>
      </c>
      <c r="G1318" s="454" t="s">
        <v>14486</v>
      </c>
      <c r="H1318" s="455">
        <v>8021473000187</v>
      </c>
      <c r="I1318" s="462">
        <v>38786</v>
      </c>
      <c r="J1318" s="457">
        <v>37470884</v>
      </c>
      <c r="K1318" s="454" t="s">
        <v>10750</v>
      </c>
      <c r="L1318" s="458">
        <v>256</v>
      </c>
      <c r="M1318" s="454" t="s">
        <v>10751</v>
      </c>
      <c r="N1318" s="459">
        <v>3574110</v>
      </c>
      <c r="O1318" s="460">
        <v>27839827</v>
      </c>
      <c r="P1318" s="462">
        <v>46518</v>
      </c>
      <c r="Q1318" s="462">
        <v>11</v>
      </c>
      <c r="R1318" s="462">
        <v>43943</v>
      </c>
      <c r="S1318" s="463">
        <v>114</v>
      </c>
      <c r="T1318" s="464">
        <v>3.6</v>
      </c>
      <c r="U1318" s="465">
        <v>410.4</v>
      </c>
      <c r="V1318" s="465">
        <v>10800</v>
      </c>
      <c r="W1318" s="466">
        <v>0</v>
      </c>
      <c r="X1318" s="467">
        <v>1</v>
      </c>
      <c r="Y1318" s="466">
        <v>16815.599999999999</v>
      </c>
      <c r="Z1318" s="468" t="s">
        <v>516</v>
      </c>
      <c r="AA1318" s="466">
        <v>84222</v>
      </c>
      <c r="AB1318" s="466">
        <v>84222</v>
      </c>
      <c r="AC1318" s="467">
        <v>0</v>
      </c>
      <c r="AD1318" s="466">
        <v>0</v>
      </c>
      <c r="AE1318" s="468" t="s">
        <v>516</v>
      </c>
      <c r="AF1318" s="466">
        <v>0</v>
      </c>
      <c r="AG1318" s="466">
        <v>0</v>
      </c>
      <c r="AH1318" s="466">
        <v>17846.169999999998</v>
      </c>
      <c r="AI1318" s="466">
        <v>99.21</v>
      </c>
      <c r="AJ1318" s="469" t="s">
        <v>1560</v>
      </c>
      <c r="AK1318" s="470" t="s">
        <v>1776</v>
      </c>
      <c r="AL1318" s="471" t="s">
        <v>10752</v>
      </c>
      <c r="AM1318" s="470" t="s">
        <v>14487</v>
      </c>
      <c r="AN1318" s="470" t="s">
        <v>10749</v>
      </c>
      <c r="AO1318" s="470" t="s">
        <v>15052</v>
      </c>
      <c r="AP1318" s="470" t="s">
        <v>10751</v>
      </c>
      <c r="AQ1318" s="470" t="s">
        <v>10747</v>
      </c>
      <c r="AR1318" s="472" t="s">
        <v>515</v>
      </c>
      <c r="AS1318" s="473" t="s">
        <v>1385</v>
      </c>
      <c r="AT1318" s="472" t="s">
        <v>4613</v>
      </c>
      <c r="AU1318" s="472" t="s">
        <v>420</v>
      </c>
      <c r="AV1318" s="472">
        <v>2020</v>
      </c>
      <c r="AW1318" s="474" t="s">
        <v>15078</v>
      </c>
      <c r="AX1318" s="475" t="s">
        <v>15079</v>
      </c>
      <c r="AY1318" s="515">
        <v>1</v>
      </c>
      <c r="AZ1318" s="474" t="s">
        <v>15079</v>
      </c>
      <c r="BA1318" s="472" t="s">
        <v>4613</v>
      </c>
      <c r="BB1318" s="472" t="s">
        <v>1385</v>
      </c>
      <c r="BC1318" s="472" t="s">
        <v>1385</v>
      </c>
      <c r="BD1318" s="472" t="s">
        <v>1385</v>
      </c>
      <c r="BE1318" s="472" t="s">
        <v>1385</v>
      </c>
      <c r="BF1318" s="472">
        <v>16815.599999999999</v>
      </c>
      <c r="BG1318" s="472">
        <v>0</v>
      </c>
      <c r="BH1318" s="472" t="s">
        <v>1385</v>
      </c>
      <c r="BI1318" s="510">
        <v>0</v>
      </c>
      <c r="BJ1318" s="510">
        <v>0</v>
      </c>
      <c r="BK1318" s="510">
        <v>0</v>
      </c>
      <c r="BL1318" s="510">
        <v>0</v>
      </c>
      <c r="BM1318" s="510">
        <v>0</v>
      </c>
      <c r="BN1318" s="510">
        <v>2000</v>
      </c>
      <c r="BO1318" s="510">
        <v>0</v>
      </c>
      <c r="BP1318" s="510">
        <v>0</v>
      </c>
      <c r="BQ1318" s="510">
        <v>0</v>
      </c>
      <c r="BR1318" s="510">
        <v>0</v>
      </c>
      <c r="BS1318" s="510">
        <v>0</v>
      </c>
      <c r="BT1318" s="510">
        <v>0</v>
      </c>
      <c r="BU1318" s="510">
        <v>0</v>
      </c>
      <c r="BV1318" s="510">
        <v>0</v>
      </c>
      <c r="BW1318" s="510">
        <v>0</v>
      </c>
      <c r="BX1318" s="510">
        <v>30000</v>
      </c>
      <c r="BY1318" s="1011">
        <v>0</v>
      </c>
      <c r="BZ1318" s="510">
        <v>0</v>
      </c>
      <c r="CA1318" s="1011">
        <v>0</v>
      </c>
      <c r="CB1318" s="510">
        <v>0</v>
      </c>
      <c r="CC1318" s="1011">
        <v>0</v>
      </c>
      <c r="CD1318" s="510">
        <v>0</v>
      </c>
      <c r="CE1318" s="1011">
        <v>0</v>
      </c>
      <c r="CF1318" s="510">
        <v>37406.400000000001</v>
      </c>
      <c r="CG1318" s="1011">
        <v>0</v>
      </c>
      <c r="CH1318" s="510">
        <v>0</v>
      </c>
      <c r="CI1318" s="1011">
        <v>0</v>
      </c>
    </row>
    <row r="1319" spans="1:87" x14ac:dyDescent="0.2">
      <c r="A1319" s="449">
        <v>14</v>
      </c>
      <c r="B1319" s="453">
        <v>400121</v>
      </c>
      <c r="C1319" s="454" t="s">
        <v>10753</v>
      </c>
      <c r="D1319" s="454" t="s">
        <v>4613</v>
      </c>
      <c r="E1319" s="454" t="s">
        <v>10754</v>
      </c>
      <c r="F1319" s="454" t="s">
        <v>513</v>
      </c>
      <c r="G1319" s="454" t="s">
        <v>14488</v>
      </c>
      <c r="H1319" s="455">
        <v>7834315000183</v>
      </c>
      <c r="I1319" s="462">
        <v>38740</v>
      </c>
      <c r="J1319" s="457">
        <v>37530976</v>
      </c>
      <c r="K1319" s="454" t="s">
        <v>10755</v>
      </c>
      <c r="L1319" s="458">
        <v>790</v>
      </c>
      <c r="M1319" s="454" t="s">
        <v>3575</v>
      </c>
      <c r="N1319" s="459">
        <v>8390240</v>
      </c>
      <c r="O1319" s="460">
        <v>27512330</v>
      </c>
      <c r="P1319" s="462">
        <v>145273</v>
      </c>
      <c r="Q1319" s="462">
        <v>14</v>
      </c>
      <c r="R1319" s="462">
        <v>43937</v>
      </c>
      <c r="S1319" s="463">
        <v>145</v>
      </c>
      <c r="T1319" s="464">
        <v>3.6</v>
      </c>
      <c r="U1319" s="465">
        <v>522</v>
      </c>
      <c r="V1319" s="465">
        <v>10800</v>
      </c>
      <c r="W1319" s="466">
        <v>0</v>
      </c>
      <c r="X1319" s="467">
        <v>1</v>
      </c>
      <c r="Y1319" s="466">
        <v>16983</v>
      </c>
      <c r="Z1319" s="468" t="s">
        <v>516</v>
      </c>
      <c r="AA1319" s="466">
        <v>84598.2</v>
      </c>
      <c r="AB1319" s="466">
        <v>84598.2</v>
      </c>
      <c r="AC1319" s="467">
        <v>0</v>
      </c>
      <c r="AD1319" s="466">
        <v>0</v>
      </c>
      <c r="AE1319" s="468" t="s">
        <v>516</v>
      </c>
      <c r="AF1319" s="466">
        <v>0</v>
      </c>
      <c r="AG1319" s="466">
        <v>0</v>
      </c>
      <c r="AH1319" s="466">
        <v>16699.52</v>
      </c>
      <c r="AI1319" s="466">
        <v>10601.59</v>
      </c>
      <c r="AJ1319" s="469" t="s">
        <v>2030</v>
      </c>
      <c r="AK1319" s="470" t="s">
        <v>513</v>
      </c>
      <c r="AL1319" s="471" t="s">
        <v>10756</v>
      </c>
      <c r="AM1319" s="470" t="s">
        <v>10757</v>
      </c>
      <c r="AN1319" s="470" t="s">
        <v>10758</v>
      </c>
      <c r="AO1319" s="470" t="s">
        <v>10759</v>
      </c>
      <c r="AP1319" s="470" t="s">
        <v>2877</v>
      </c>
      <c r="AQ1319" s="470" t="s">
        <v>10753</v>
      </c>
      <c r="AR1319" s="472" t="s">
        <v>515</v>
      </c>
      <c r="AS1319" s="473" t="s">
        <v>1385</v>
      </c>
      <c r="AT1319" s="472" t="s">
        <v>4613</v>
      </c>
      <c r="AU1319" s="472" t="s">
        <v>420</v>
      </c>
      <c r="AV1319" s="472">
        <v>2020</v>
      </c>
      <c r="AW1319" s="474" t="s">
        <v>15078</v>
      </c>
      <c r="AX1319" s="475" t="s">
        <v>15079</v>
      </c>
      <c r="AY1319" s="515">
        <v>1</v>
      </c>
      <c r="AZ1319" s="474" t="s">
        <v>15079</v>
      </c>
      <c r="BA1319" s="472" t="s">
        <v>4613</v>
      </c>
      <c r="BB1319" s="472" t="s">
        <v>1385</v>
      </c>
      <c r="BC1319" s="472" t="s">
        <v>1385</v>
      </c>
      <c r="BD1319" s="472" t="s">
        <v>1385</v>
      </c>
      <c r="BE1319" s="472" t="s">
        <v>1385</v>
      </c>
      <c r="BF1319" s="472">
        <v>16983</v>
      </c>
      <c r="BG1319" s="472">
        <v>0</v>
      </c>
      <c r="BH1319" s="472" t="s">
        <v>1385</v>
      </c>
      <c r="BI1319" s="510">
        <v>0</v>
      </c>
      <c r="BJ1319" s="510">
        <v>0</v>
      </c>
      <c r="BK1319" s="510">
        <v>0</v>
      </c>
      <c r="BL1319" s="510">
        <v>0</v>
      </c>
      <c r="BM1319" s="510">
        <v>0</v>
      </c>
      <c r="BN1319" s="510">
        <v>2000</v>
      </c>
      <c r="BO1319" s="510">
        <v>0</v>
      </c>
      <c r="BP1319" s="510">
        <v>0</v>
      </c>
      <c r="BQ1319" s="510">
        <v>0</v>
      </c>
      <c r="BR1319" s="510">
        <v>0</v>
      </c>
      <c r="BS1319" s="510">
        <v>0</v>
      </c>
      <c r="BT1319" s="510">
        <v>0</v>
      </c>
      <c r="BU1319" s="510">
        <v>0</v>
      </c>
      <c r="BV1319" s="510">
        <v>0</v>
      </c>
      <c r="BW1319" s="510">
        <v>0</v>
      </c>
      <c r="BX1319" s="510">
        <v>30000</v>
      </c>
      <c r="BY1319" s="1011">
        <v>0</v>
      </c>
      <c r="BZ1319" s="510">
        <v>0</v>
      </c>
      <c r="CA1319" s="1011">
        <v>0</v>
      </c>
      <c r="CB1319" s="510">
        <v>0</v>
      </c>
      <c r="CC1319" s="1011">
        <v>0</v>
      </c>
      <c r="CD1319" s="510">
        <v>0</v>
      </c>
      <c r="CE1319" s="1011">
        <v>0</v>
      </c>
      <c r="CF1319" s="510">
        <v>37615.199999999997</v>
      </c>
      <c r="CG1319" s="1011">
        <v>0</v>
      </c>
      <c r="CH1319" s="510">
        <v>0</v>
      </c>
      <c r="CI1319" s="1011">
        <v>0</v>
      </c>
    </row>
    <row r="1320" spans="1:87" x14ac:dyDescent="0.2">
      <c r="A1320" s="449">
        <v>20</v>
      </c>
      <c r="B1320" s="453">
        <v>400122</v>
      </c>
      <c r="C1320" s="454" t="s">
        <v>10760</v>
      </c>
      <c r="D1320" s="454" t="s">
        <v>4613</v>
      </c>
      <c r="E1320" s="454" t="s">
        <v>10760</v>
      </c>
      <c r="F1320" s="454" t="s">
        <v>520</v>
      </c>
      <c r="G1320" s="454" t="s">
        <v>14489</v>
      </c>
      <c r="H1320" s="455">
        <v>9180992000150</v>
      </c>
      <c r="I1320" s="462">
        <v>39231</v>
      </c>
      <c r="J1320" s="457">
        <v>37621483</v>
      </c>
      <c r="K1320" s="454" t="s">
        <v>10762</v>
      </c>
      <c r="L1320" s="458">
        <v>35</v>
      </c>
      <c r="M1320" s="454" t="s">
        <v>10763</v>
      </c>
      <c r="N1320" s="459">
        <v>5882360</v>
      </c>
      <c r="O1320" s="460">
        <v>58734105</v>
      </c>
      <c r="P1320" s="462">
        <v>292772</v>
      </c>
      <c r="Q1320" s="462">
        <v>20</v>
      </c>
      <c r="R1320" s="462">
        <v>43969</v>
      </c>
      <c r="S1320" s="463">
        <v>93</v>
      </c>
      <c r="T1320" s="464">
        <v>3.6</v>
      </c>
      <c r="U1320" s="465">
        <v>334.8</v>
      </c>
      <c r="V1320" s="465">
        <v>10800</v>
      </c>
      <c r="W1320" s="466">
        <v>0</v>
      </c>
      <c r="X1320" s="467">
        <v>1</v>
      </c>
      <c r="Y1320" s="466">
        <v>16702.2</v>
      </c>
      <c r="Z1320" s="468" t="s">
        <v>516</v>
      </c>
      <c r="AA1320" s="466">
        <v>84015</v>
      </c>
      <c r="AB1320" s="466">
        <v>84015</v>
      </c>
      <c r="AC1320" s="467">
        <v>0</v>
      </c>
      <c r="AD1320" s="466">
        <v>0</v>
      </c>
      <c r="AE1320" s="468" t="s">
        <v>516</v>
      </c>
      <c r="AF1320" s="466">
        <v>0</v>
      </c>
      <c r="AG1320" s="466">
        <v>0</v>
      </c>
      <c r="AH1320" s="466">
        <v>15248.35</v>
      </c>
      <c r="AI1320" s="466">
        <v>6190.52</v>
      </c>
      <c r="AJ1320" s="469" t="s">
        <v>1813</v>
      </c>
      <c r="AK1320" s="470" t="s">
        <v>10764</v>
      </c>
      <c r="AL1320" s="471" t="s">
        <v>10765</v>
      </c>
      <c r="AM1320" s="470" t="s">
        <v>10766</v>
      </c>
      <c r="AN1320" s="470" t="s">
        <v>10761</v>
      </c>
      <c r="AO1320" s="470" t="s">
        <v>14490</v>
      </c>
      <c r="AP1320" s="470" t="s">
        <v>10767</v>
      </c>
      <c r="AQ1320" s="470" t="s">
        <v>10760</v>
      </c>
      <c r="AR1320" s="472" t="s">
        <v>515</v>
      </c>
      <c r="AS1320" s="473" t="s">
        <v>1385</v>
      </c>
      <c r="AT1320" s="472" t="s">
        <v>4613</v>
      </c>
      <c r="AU1320" s="472" t="s">
        <v>420</v>
      </c>
      <c r="AV1320" s="472">
        <v>2020</v>
      </c>
      <c r="AW1320" s="474" t="s">
        <v>15078</v>
      </c>
      <c r="AX1320" s="475" t="s">
        <v>15079</v>
      </c>
      <c r="AY1320" s="515">
        <v>1</v>
      </c>
      <c r="AZ1320" s="474" t="s">
        <v>15079</v>
      </c>
      <c r="BA1320" s="472" t="s">
        <v>4613</v>
      </c>
      <c r="BB1320" s="472" t="s">
        <v>1385</v>
      </c>
      <c r="BC1320" s="472" t="s">
        <v>1385</v>
      </c>
      <c r="BD1320" s="472" t="s">
        <v>1385</v>
      </c>
      <c r="BE1320" s="472" t="s">
        <v>1385</v>
      </c>
      <c r="BF1320" s="472">
        <v>16702.2</v>
      </c>
      <c r="BG1320" s="472">
        <v>0</v>
      </c>
      <c r="BH1320" s="472" t="s">
        <v>1385</v>
      </c>
      <c r="BI1320" s="510">
        <v>0</v>
      </c>
      <c r="BJ1320" s="510">
        <v>0</v>
      </c>
      <c r="BK1320" s="510">
        <v>0</v>
      </c>
      <c r="BL1320" s="510">
        <v>0</v>
      </c>
      <c r="BM1320" s="510">
        <v>0</v>
      </c>
      <c r="BN1320" s="510">
        <v>1500</v>
      </c>
      <c r="BO1320" s="510">
        <v>0</v>
      </c>
      <c r="BP1320" s="510">
        <v>0</v>
      </c>
      <c r="BQ1320" s="510">
        <v>0</v>
      </c>
      <c r="BR1320" s="510">
        <v>0</v>
      </c>
      <c r="BS1320" s="510">
        <v>0</v>
      </c>
      <c r="BT1320" s="510">
        <v>0</v>
      </c>
      <c r="BU1320" s="510">
        <v>0</v>
      </c>
      <c r="BV1320" s="510">
        <v>0</v>
      </c>
      <c r="BW1320" s="510">
        <v>0</v>
      </c>
      <c r="BX1320" s="510">
        <v>30000</v>
      </c>
      <c r="BY1320" s="1011">
        <v>0</v>
      </c>
      <c r="BZ1320" s="510">
        <v>0</v>
      </c>
      <c r="CA1320" s="1011">
        <v>0</v>
      </c>
      <c r="CB1320" s="510">
        <v>0</v>
      </c>
      <c r="CC1320" s="1011">
        <v>0</v>
      </c>
      <c r="CD1320" s="510">
        <v>0</v>
      </c>
      <c r="CE1320" s="1011">
        <v>0</v>
      </c>
      <c r="CF1320" s="510">
        <v>37312.800000000003</v>
      </c>
      <c r="CG1320" s="1011">
        <v>0</v>
      </c>
      <c r="CH1320" s="510">
        <v>0</v>
      </c>
      <c r="CI1320" s="1011">
        <v>0</v>
      </c>
    </row>
    <row r="1321" spans="1:87" x14ac:dyDescent="0.2">
      <c r="A1321" s="449">
        <v>18</v>
      </c>
      <c r="B1321" s="453">
        <v>400123</v>
      </c>
      <c r="C1321" s="454" t="s">
        <v>10768</v>
      </c>
      <c r="D1321" s="454" t="s">
        <v>4613</v>
      </c>
      <c r="E1321" s="454" t="s">
        <v>10769</v>
      </c>
      <c r="F1321" s="454" t="s">
        <v>526</v>
      </c>
      <c r="G1321" s="454" t="s">
        <v>14491</v>
      </c>
      <c r="H1321" s="455">
        <v>7819383000173</v>
      </c>
      <c r="I1321" s="462">
        <v>38128</v>
      </c>
      <c r="J1321" s="457">
        <v>38121476</v>
      </c>
      <c r="K1321" s="454" t="s">
        <v>10770</v>
      </c>
      <c r="L1321" s="458">
        <v>101</v>
      </c>
      <c r="M1321" s="454" t="s">
        <v>526</v>
      </c>
      <c r="N1321" s="459">
        <v>8062300</v>
      </c>
      <c r="O1321" s="460">
        <v>22800494</v>
      </c>
      <c r="P1321" s="462">
        <v>126864</v>
      </c>
      <c r="Q1321" s="462">
        <v>18</v>
      </c>
      <c r="R1321" s="462">
        <v>43928</v>
      </c>
      <c r="S1321" s="463">
        <v>114</v>
      </c>
      <c r="T1321" s="464">
        <v>3.6</v>
      </c>
      <c r="U1321" s="465">
        <v>410.4</v>
      </c>
      <c r="V1321" s="465">
        <v>10800</v>
      </c>
      <c r="W1321" s="466">
        <v>0</v>
      </c>
      <c r="X1321" s="467">
        <v>1</v>
      </c>
      <c r="Y1321" s="466">
        <v>16815.599999999999</v>
      </c>
      <c r="Z1321" s="468" t="s">
        <v>516</v>
      </c>
      <c r="AA1321" s="466">
        <v>84200.4</v>
      </c>
      <c r="AB1321" s="466">
        <v>84200.4</v>
      </c>
      <c r="AC1321" s="467">
        <v>0</v>
      </c>
      <c r="AD1321" s="466">
        <v>0</v>
      </c>
      <c r="AE1321" s="468" t="s">
        <v>516</v>
      </c>
      <c r="AF1321" s="466">
        <v>0</v>
      </c>
      <c r="AG1321" s="466">
        <v>0</v>
      </c>
      <c r="AH1321" s="466">
        <v>14806.22</v>
      </c>
      <c r="AI1321" s="466">
        <v>2704.16</v>
      </c>
      <c r="AJ1321" s="469" t="s">
        <v>1839</v>
      </c>
      <c r="AK1321" s="470" t="s">
        <v>526</v>
      </c>
      <c r="AL1321" s="471" t="s">
        <v>10771</v>
      </c>
      <c r="AM1321" s="470" t="s">
        <v>10772</v>
      </c>
      <c r="AN1321" s="470" t="s">
        <v>1385</v>
      </c>
      <c r="AO1321" s="470" t="s">
        <v>14492</v>
      </c>
      <c r="AP1321" s="470" t="s">
        <v>10773</v>
      </c>
      <c r="AQ1321" s="470" t="s">
        <v>10768</v>
      </c>
      <c r="AR1321" s="472" t="s">
        <v>515</v>
      </c>
      <c r="AS1321" s="473" t="s">
        <v>1385</v>
      </c>
      <c r="AT1321" s="472" t="s">
        <v>4613</v>
      </c>
      <c r="AU1321" s="472" t="s">
        <v>420</v>
      </c>
      <c r="AV1321" s="472">
        <v>2020</v>
      </c>
      <c r="AW1321" s="474" t="s">
        <v>15078</v>
      </c>
      <c r="AX1321" s="475" t="s">
        <v>15079</v>
      </c>
      <c r="AY1321" s="515">
        <v>1</v>
      </c>
      <c r="AZ1321" s="474" t="s">
        <v>15079</v>
      </c>
      <c r="BA1321" s="472" t="s">
        <v>4613</v>
      </c>
      <c r="BB1321" s="472" t="s">
        <v>1385</v>
      </c>
      <c r="BC1321" s="472" t="s">
        <v>1385</v>
      </c>
      <c r="BD1321" s="472" t="s">
        <v>1385</v>
      </c>
      <c r="BE1321" s="472" t="s">
        <v>1385</v>
      </c>
      <c r="BF1321" s="472">
        <v>16815.599999999999</v>
      </c>
      <c r="BG1321" s="472">
        <v>0</v>
      </c>
      <c r="BH1321" s="472" t="s">
        <v>1385</v>
      </c>
      <c r="BI1321" s="510">
        <v>0</v>
      </c>
      <c r="BJ1321" s="510">
        <v>6.8</v>
      </c>
      <c r="BK1321" s="510">
        <v>0</v>
      </c>
      <c r="BL1321" s="510">
        <v>0</v>
      </c>
      <c r="BM1321" s="510">
        <v>0</v>
      </c>
      <c r="BN1321" s="510">
        <v>2000</v>
      </c>
      <c r="BO1321" s="510">
        <v>0</v>
      </c>
      <c r="BP1321" s="510">
        <v>0</v>
      </c>
      <c r="BQ1321" s="510">
        <v>0</v>
      </c>
      <c r="BR1321" s="510">
        <v>0</v>
      </c>
      <c r="BS1321" s="510">
        <v>0</v>
      </c>
      <c r="BT1321" s="510">
        <v>0</v>
      </c>
      <c r="BU1321" s="510">
        <v>0</v>
      </c>
      <c r="BV1321" s="510">
        <v>0</v>
      </c>
      <c r="BW1321" s="510">
        <v>0</v>
      </c>
      <c r="BX1321" s="510">
        <v>30000</v>
      </c>
      <c r="BY1321" s="1011">
        <v>0</v>
      </c>
      <c r="BZ1321" s="510">
        <v>0</v>
      </c>
      <c r="CA1321" s="1011">
        <v>0</v>
      </c>
      <c r="CB1321" s="510">
        <v>0</v>
      </c>
      <c r="CC1321" s="1011">
        <v>0</v>
      </c>
      <c r="CD1321" s="510">
        <v>0</v>
      </c>
      <c r="CE1321" s="1011">
        <v>0</v>
      </c>
      <c r="CF1321" s="510">
        <v>37384.800000000003</v>
      </c>
      <c r="CG1321" s="1011">
        <v>0</v>
      </c>
      <c r="CH1321" s="510">
        <v>0</v>
      </c>
      <c r="CI1321" s="1011">
        <v>0</v>
      </c>
    </row>
    <row r="1322" spans="1:87" x14ac:dyDescent="0.2">
      <c r="A1322" s="449">
        <v>21</v>
      </c>
      <c r="B1322" s="453">
        <v>400124</v>
      </c>
      <c r="C1322" s="454" t="s">
        <v>10774</v>
      </c>
      <c r="D1322" s="454" t="s">
        <v>4613</v>
      </c>
      <c r="E1322" s="454" t="s">
        <v>10774</v>
      </c>
      <c r="F1322" s="454" t="s">
        <v>520</v>
      </c>
      <c r="G1322" s="454" t="s">
        <v>14493</v>
      </c>
      <c r="H1322" s="455">
        <v>7951443000107</v>
      </c>
      <c r="I1322" s="462">
        <v>38686</v>
      </c>
      <c r="J1322" s="457">
        <v>42083303</v>
      </c>
      <c r="K1322" s="454" t="s">
        <v>2110</v>
      </c>
      <c r="L1322" s="458">
        <v>1100</v>
      </c>
      <c r="M1322" s="454" t="s">
        <v>2111</v>
      </c>
      <c r="N1322" s="459">
        <v>4917030</v>
      </c>
      <c r="O1322" s="460">
        <v>55146403</v>
      </c>
      <c r="P1322" s="462">
        <v>292829</v>
      </c>
      <c r="Q1322" s="462">
        <v>21</v>
      </c>
      <c r="R1322" s="462">
        <v>43979</v>
      </c>
      <c r="S1322" s="463">
        <v>103</v>
      </c>
      <c r="T1322" s="464">
        <v>3.6</v>
      </c>
      <c r="U1322" s="465">
        <v>370.8</v>
      </c>
      <c r="V1322" s="465">
        <v>10800</v>
      </c>
      <c r="W1322" s="466">
        <v>0</v>
      </c>
      <c r="X1322" s="467">
        <v>1</v>
      </c>
      <c r="Y1322" s="466">
        <v>16756.2</v>
      </c>
      <c r="Z1322" s="468" t="s">
        <v>516</v>
      </c>
      <c r="AA1322" s="466">
        <v>84241.8</v>
      </c>
      <c r="AB1322" s="466">
        <v>84241.8</v>
      </c>
      <c r="AC1322" s="467">
        <v>0</v>
      </c>
      <c r="AD1322" s="466">
        <v>0</v>
      </c>
      <c r="AE1322" s="468" t="s">
        <v>516</v>
      </c>
      <c r="AF1322" s="466">
        <v>2000</v>
      </c>
      <c r="AG1322" s="466">
        <v>2000</v>
      </c>
      <c r="AH1322" s="466">
        <v>29483.919999999998</v>
      </c>
      <c r="AI1322" s="466">
        <v>15593.54</v>
      </c>
      <c r="AJ1322" s="469" t="s">
        <v>1657</v>
      </c>
      <c r="AK1322" s="470" t="s">
        <v>10775</v>
      </c>
      <c r="AL1322" s="471" t="s">
        <v>10776</v>
      </c>
      <c r="AM1322" s="470" t="s">
        <v>14494</v>
      </c>
      <c r="AN1322" s="470" t="s">
        <v>10777</v>
      </c>
      <c r="AO1322" s="470" t="s">
        <v>10778</v>
      </c>
      <c r="AP1322" s="470" t="s">
        <v>10779</v>
      </c>
      <c r="AQ1322" s="470" t="s">
        <v>10774</v>
      </c>
      <c r="AR1322" s="472" t="s">
        <v>515</v>
      </c>
      <c r="AS1322" s="473" t="s">
        <v>1385</v>
      </c>
      <c r="AT1322" s="472" t="s">
        <v>4613</v>
      </c>
      <c r="AU1322" s="472" t="s">
        <v>420</v>
      </c>
      <c r="AV1322" s="472">
        <v>2020</v>
      </c>
      <c r="AW1322" s="474" t="s">
        <v>15078</v>
      </c>
      <c r="AX1322" s="475" t="s">
        <v>15079</v>
      </c>
      <c r="AY1322" s="515">
        <v>1</v>
      </c>
      <c r="AZ1322" s="474" t="s">
        <v>15079</v>
      </c>
      <c r="BA1322" s="472" t="s">
        <v>4613</v>
      </c>
      <c r="BB1322" s="472" t="s">
        <v>1385</v>
      </c>
      <c r="BC1322" s="472" t="s">
        <v>1385</v>
      </c>
      <c r="BD1322" s="472" t="s">
        <v>1385</v>
      </c>
      <c r="BE1322" s="472" t="s">
        <v>1385</v>
      </c>
      <c r="BF1322" s="472">
        <v>16756.2</v>
      </c>
      <c r="BG1322" s="472">
        <v>0</v>
      </c>
      <c r="BH1322" s="472" t="s">
        <v>1385</v>
      </c>
      <c r="BI1322" s="510">
        <v>0</v>
      </c>
      <c r="BJ1322" s="510">
        <v>103.4</v>
      </c>
      <c r="BK1322" s="510">
        <v>0</v>
      </c>
      <c r="BL1322" s="510">
        <v>0</v>
      </c>
      <c r="BM1322" s="510">
        <v>0</v>
      </c>
      <c r="BN1322" s="510">
        <v>2000</v>
      </c>
      <c r="BO1322" s="510">
        <v>0</v>
      </c>
      <c r="BP1322" s="510">
        <v>2000</v>
      </c>
      <c r="BQ1322" s="510">
        <v>0</v>
      </c>
      <c r="BR1322" s="510">
        <v>0</v>
      </c>
      <c r="BS1322" s="510">
        <v>0</v>
      </c>
      <c r="BT1322" s="510">
        <v>0</v>
      </c>
      <c r="BU1322" s="510">
        <v>0</v>
      </c>
      <c r="BV1322" s="510">
        <v>0</v>
      </c>
      <c r="BW1322" s="510">
        <v>0</v>
      </c>
      <c r="BX1322" s="510">
        <v>30000</v>
      </c>
      <c r="BY1322" s="1011">
        <v>0</v>
      </c>
      <c r="BZ1322" s="510">
        <v>0</v>
      </c>
      <c r="CA1322" s="1011">
        <v>0</v>
      </c>
      <c r="CB1322" s="510">
        <v>0</v>
      </c>
      <c r="CC1322" s="1011">
        <v>0</v>
      </c>
      <c r="CD1322" s="510">
        <v>0</v>
      </c>
      <c r="CE1322" s="1011">
        <v>0</v>
      </c>
      <c r="CF1322" s="510">
        <v>37485.599999999999</v>
      </c>
      <c r="CG1322" s="1011">
        <v>0</v>
      </c>
      <c r="CH1322" s="510">
        <v>0</v>
      </c>
      <c r="CI1322" s="1011">
        <v>0</v>
      </c>
    </row>
    <row r="1323" spans="1:87" x14ac:dyDescent="0.2">
      <c r="A1323" s="449">
        <v>22</v>
      </c>
      <c r="B1323" s="453">
        <v>400125</v>
      </c>
      <c r="C1323" s="454" t="s">
        <v>10780</v>
      </c>
      <c r="D1323" s="454" t="s">
        <v>4613</v>
      </c>
      <c r="E1323" s="454" t="s">
        <v>10780</v>
      </c>
      <c r="F1323" s="454" t="s">
        <v>520</v>
      </c>
      <c r="G1323" s="454" t="s">
        <v>14495</v>
      </c>
      <c r="H1323" s="455">
        <v>8227624000158</v>
      </c>
      <c r="I1323" s="462">
        <v>38846</v>
      </c>
      <c r="J1323" s="457">
        <v>37620525</v>
      </c>
      <c r="K1323" s="454" t="s">
        <v>10781</v>
      </c>
      <c r="L1323" s="458">
        <v>141</v>
      </c>
      <c r="M1323" s="454" t="s">
        <v>10782</v>
      </c>
      <c r="N1323" s="459">
        <v>5846100</v>
      </c>
      <c r="O1323" s="460">
        <v>55117298</v>
      </c>
      <c r="P1323" s="462">
        <v>292845</v>
      </c>
      <c r="Q1323" s="462">
        <v>22</v>
      </c>
      <c r="R1323" s="462">
        <v>43979</v>
      </c>
      <c r="S1323" s="463">
        <v>240</v>
      </c>
      <c r="T1323" s="464">
        <v>3.6</v>
      </c>
      <c r="U1323" s="465">
        <v>864</v>
      </c>
      <c r="V1323" s="465">
        <v>11760</v>
      </c>
      <c r="W1323" s="466">
        <v>0</v>
      </c>
      <c r="X1323" s="467">
        <v>1</v>
      </c>
      <c r="Y1323" s="466">
        <v>18936</v>
      </c>
      <c r="Z1323" s="468" t="s">
        <v>516</v>
      </c>
      <c r="AA1323" s="466">
        <v>86572.800000000003</v>
      </c>
      <c r="AB1323" s="466">
        <v>86572.800000000003</v>
      </c>
      <c r="AC1323" s="467">
        <v>0</v>
      </c>
      <c r="AD1323" s="466">
        <v>0</v>
      </c>
      <c r="AE1323" s="468" t="s">
        <v>516</v>
      </c>
      <c r="AF1323" s="466">
        <v>0</v>
      </c>
      <c r="AG1323" s="466">
        <v>0</v>
      </c>
      <c r="AH1323" s="466">
        <v>12855.52</v>
      </c>
      <c r="AI1323" s="466">
        <v>0</v>
      </c>
      <c r="AJ1323" s="469" t="s">
        <v>1515</v>
      </c>
      <c r="AK1323" s="470" t="s">
        <v>1516</v>
      </c>
      <c r="AL1323" s="471" t="s">
        <v>10783</v>
      </c>
      <c r="AM1323" s="470" t="s">
        <v>10654</v>
      </c>
      <c r="AN1323" s="470" t="s">
        <v>10784</v>
      </c>
      <c r="AO1323" s="470" t="s">
        <v>10785</v>
      </c>
      <c r="AP1323" s="470" t="s">
        <v>10786</v>
      </c>
      <c r="AQ1323" s="470" t="s">
        <v>10780</v>
      </c>
      <c r="AR1323" s="472" t="s">
        <v>515</v>
      </c>
      <c r="AS1323" s="473" t="s">
        <v>1385</v>
      </c>
      <c r="AT1323" s="472" t="s">
        <v>4613</v>
      </c>
      <c r="AU1323" s="472" t="s">
        <v>420</v>
      </c>
      <c r="AV1323" s="472">
        <v>2020</v>
      </c>
      <c r="AW1323" s="474" t="s">
        <v>15078</v>
      </c>
      <c r="AX1323" s="475" t="s">
        <v>15079</v>
      </c>
      <c r="AY1323" s="515">
        <v>1</v>
      </c>
      <c r="AZ1323" s="474" t="s">
        <v>15079</v>
      </c>
      <c r="BA1323" s="472" t="s">
        <v>4613</v>
      </c>
      <c r="BB1323" s="472" t="s">
        <v>1385</v>
      </c>
      <c r="BC1323" s="472" t="s">
        <v>1385</v>
      </c>
      <c r="BD1323" s="472" t="s">
        <v>1385</v>
      </c>
      <c r="BE1323" s="472" t="s">
        <v>1385</v>
      </c>
      <c r="BF1323" s="472">
        <v>18936</v>
      </c>
      <c r="BG1323" s="472">
        <v>0</v>
      </c>
      <c r="BH1323" s="472" t="s">
        <v>1385</v>
      </c>
      <c r="BI1323" s="510">
        <v>0</v>
      </c>
      <c r="BJ1323" s="510">
        <v>0</v>
      </c>
      <c r="BK1323" s="510">
        <v>0</v>
      </c>
      <c r="BL1323" s="510">
        <v>0</v>
      </c>
      <c r="BM1323" s="510">
        <v>0</v>
      </c>
      <c r="BN1323" s="510">
        <v>2000</v>
      </c>
      <c r="BO1323" s="510">
        <v>0</v>
      </c>
      <c r="BP1323" s="510">
        <v>0</v>
      </c>
      <c r="BQ1323" s="510">
        <v>0</v>
      </c>
      <c r="BR1323" s="510">
        <v>0</v>
      </c>
      <c r="BS1323" s="510">
        <v>0</v>
      </c>
      <c r="BT1323" s="510">
        <v>0</v>
      </c>
      <c r="BU1323" s="510">
        <v>0</v>
      </c>
      <c r="BV1323" s="510">
        <v>0</v>
      </c>
      <c r="BW1323" s="510">
        <v>0</v>
      </c>
      <c r="BX1323" s="510">
        <v>30000</v>
      </c>
      <c r="BY1323" s="1011">
        <v>0</v>
      </c>
      <c r="BZ1323" s="510">
        <v>0</v>
      </c>
      <c r="CA1323" s="1011">
        <v>0</v>
      </c>
      <c r="CB1323" s="510">
        <v>0</v>
      </c>
      <c r="CC1323" s="1011">
        <v>0</v>
      </c>
      <c r="CD1323" s="510">
        <v>0</v>
      </c>
      <c r="CE1323" s="1011">
        <v>0</v>
      </c>
      <c r="CF1323" s="510">
        <v>37636.800000000003</v>
      </c>
      <c r="CG1323" s="1011">
        <v>0</v>
      </c>
      <c r="CH1323" s="510">
        <v>0</v>
      </c>
      <c r="CI1323" s="1011">
        <v>0</v>
      </c>
    </row>
    <row r="1324" spans="1:87" x14ac:dyDescent="0.2">
      <c r="A1324" s="449">
        <v>23</v>
      </c>
      <c r="B1324" s="453">
        <v>400126</v>
      </c>
      <c r="C1324" s="454" t="s">
        <v>10787</v>
      </c>
      <c r="D1324" s="454" t="s">
        <v>4613</v>
      </c>
      <c r="E1324" s="454" t="s">
        <v>10787</v>
      </c>
      <c r="F1324" s="454" t="s">
        <v>520</v>
      </c>
      <c r="G1324" s="454" t="s">
        <v>14496</v>
      </c>
      <c r="H1324" s="455">
        <v>10299234000135</v>
      </c>
      <c r="I1324" s="462">
        <v>38824</v>
      </c>
      <c r="J1324" s="457">
        <v>45543550</v>
      </c>
      <c r="K1324" s="454" t="s">
        <v>10788</v>
      </c>
      <c r="L1324" s="458">
        <v>23</v>
      </c>
      <c r="M1324" s="454" t="s">
        <v>10782</v>
      </c>
      <c r="N1324" s="459">
        <v>5846210</v>
      </c>
      <c r="O1324" s="460">
        <v>58165196</v>
      </c>
      <c r="P1324" s="462">
        <v>292870</v>
      </c>
      <c r="Q1324" s="462">
        <v>23</v>
      </c>
      <c r="R1324" s="462">
        <v>43969</v>
      </c>
      <c r="S1324" s="463">
        <v>177</v>
      </c>
      <c r="T1324" s="464">
        <v>3.6</v>
      </c>
      <c r="U1324" s="465">
        <v>637.20000000000005</v>
      </c>
      <c r="V1324" s="465">
        <v>10800</v>
      </c>
      <c r="W1324" s="466">
        <v>0</v>
      </c>
      <c r="X1324" s="467">
        <v>1</v>
      </c>
      <c r="Y1324" s="466">
        <v>17155.8</v>
      </c>
      <c r="Z1324" s="468" t="s">
        <v>516</v>
      </c>
      <c r="AA1324" s="466">
        <v>84727.8</v>
      </c>
      <c r="AB1324" s="466">
        <v>84727.8</v>
      </c>
      <c r="AC1324" s="467">
        <v>0</v>
      </c>
      <c r="AD1324" s="466">
        <v>0</v>
      </c>
      <c r="AE1324" s="468" t="s">
        <v>516</v>
      </c>
      <c r="AF1324" s="466">
        <v>0</v>
      </c>
      <c r="AG1324" s="466">
        <v>0</v>
      </c>
      <c r="AH1324" s="466">
        <v>5378.25</v>
      </c>
      <c r="AI1324" s="466">
        <v>2811.84</v>
      </c>
      <c r="AJ1324" s="469" t="s">
        <v>1515</v>
      </c>
      <c r="AK1324" s="470" t="s">
        <v>1516</v>
      </c>
      <c r="AL1324" s="471" t="s">
        <v>10789</v>
      </c>
      <c r="AM1324" s="470" t="s">
        <v>10790</v>
      </c>
      <c r="AN1324" s="470" t="s">
        <v>10791</v>
      </c>
      <c r="AO1324" s="470" t="s">
        <v>14497</v>
      </c>
      <c r="AP1324" s="470" t="s">
        <v>10792</v>
      </c>
      <c r="AQ1324" s="470" t="s">
        <v>10787</v>
      </c>
      <c r="AR1324" s="472" t="s">
        <v>515</v>
      </c>
      <c r="AS1324" s="473" t="s">
        <v>1385</v>
      </c>
      <c r="AT1324" s="472" t="s">
        <v>4613</v>
      </c>
      <c r="AU1324" s="472" t="s">
        <v>420</v>
      </c>
      <c r="AV1324" s="472">
        <v>2020</v>
      </c>
      <c r="AW1324" s="474" t="s">
        <v>15078</v>
      </c>
      <c r="AX1324" s="475" t="s">
        <v>15079</v>
      </c>
      <c r="AY1324" s="515">
        <v>1</v>
      </c>
      <c r="AZ1324" s="474" t="s">
        <v>15079</v>
      </c>
      <c r="BA1324" s="472" t="s">
        <v>4613</v>
      </c>
      <c r="BB1324" s="472" t="s">
        <v>1385</v>
      </c>
      <c r="BC1324" s="472" t="s">
        <v>1385</v>
      </c>
      <c r="BD1324" s="472" t="s">
        <v>1385</v>
      </c>
      <c r="BE1324" s="472" t="s">
        <v>1385</v>
      </c>
      <c r="BF1324" s="472">
        <v>17155.8</v>
      </c>
      <c r="BG1324" s="472">
        <v>0</v>
      </c>
      <c r="BH1324" s="472" t="s">
        <v>1385</v>
      </c>
      <c r="BI1324" s="510">
        <v>0</v>
      </c>
      <c r="BJ1324" s="510">
        <v>0</v>
      </c>
      <c r="BK1324" s="510">
        <v>0</v>
      </c>
      <c r="BL1324" s="510">
        <v>0</v>
      </c>
      <c r="BM1324" s="510">
        <v>0</v>
      </c>
      <c r="BN1324" s="510">
        <v>2000</v>
      </c>
      <c r="BO1324" s="510">
        <v>0</v>
      </c>
      <c r="BP1324" s="510">
        <v>0</v>
      </c>
      <c r="BQ1324" s="510">
        <v>0</v>
      </c>
      <c r="BR1324" s="510">
        <v>0</v>
      </c>
      <c r="BS1324" s="510">
        <v>0</v>
      </c>
      <c r="BT1324" s="510">
        <v>0</v>
      </c>
      <c r="BU1324" s="510">
        <v>0</v>
      </c>
      <c r="BV1324" s="510">
        <v>0</v>
      </c>
      <c r="BW1324" s="510">
        <v>0</v>
      </c>
      <c r="BX1324" s="510">
        <v>30000</v>
      </c>
      <c r="BY1324" s="1011">
        <v>0</v>
      </c>
      <c r="BZ1324" s="510">
        <v>0</v>
      </c>
      <c r="CA1324" s="1011">
        <v>0</v>
      </c>
      <c r="CB1324" s="510">
        <v>0</v>
      </c>
      <c r="CC1324" s="1011">
        <v>0</v>
      </c>
      <c r="CD1324" s="510">
        <v>0</v>
      </c>
      <c r="CE1324" s="1011">
        <v>0</v>
      </c>
      <c r="CF1324" s="510">
        <v>37572</v>
      </c>
      <c r="CG1324" s="1011">
        <v>0</v>
      </c>
      <c r="CH1324" s="510">
        <v>0</v>
      </c>
      <c r="CI1324" s="1011">
        <v>0</v>
      </c>
    </row>
    <row r="1325" spans="1:87" x14ac:dyDescent="0.2">
      <c r="A1325" s="449">
        <v>24</v>
      </c>
      <c r="B1325" s="453">
        <v>400127</v>
      </c>
      <c r="C1325" s="454" t="s">
        <v>10793</v>
      </c>
      <c r="D1325" s="454" t="s">
        <v>4613</v>
      </c>
      <c r="E1325" s="454" t="s">
        <v>10793</v>
      </c>
      <c r="F1325" s="454" t="s">
        <v>520</v>
      </c>
      <c r="G1325" s="454" t="s">
        <v>14498</v>
      </c>
      <c r="H1325" s="455">
        <v>9397793000107</v>
      </c>
      <c r="I1325" s="462">
        <v>39498</v>
      </c>
      <c r="J1325" s="457">
        <v>37621467</v>
      </c>
      <c r="K1325" s="454" t="s">
        <v>10795</v>
      </c>
      <c r="L1325" s="458" t="s">
        <v>1446</v>
      </c>
      <c r="M1325" s="454" t="s">
        <v>10796</v>
      </c>
      <c r="N1325" s="459">
        <v>5871340</v>
      </c>
      <c r="O1325" s="460">
        <v>58313844</v>
      </c>
      <c r="P1325" s="462">
        <v>292934</v>
      </c>
      <c r="Q1325" s="462">
        <v>24</v>
      </c>
      <c r="R1325" s="462">
        <v>43969</v>
      </c>
      <c r="S1325" s="463">
        <v>109</v>
      </c>
      <c r="T1325" s="464">
        <v>3.6</v>
      </c>
      <c r="U1325" s="465">
        <v>392.4</v>
      </c>
      <c r="V1325" s="465">
        <v>10800</v>
      </c>
      <c r="W1325" s="466">
        <v>0</v>
      </c>
      <c r="X1325" s="467">
        <v>1</v>
      </c>
      <c r="Y1325" s="466">
        <v>16788.599999999999</v>
      </c>
      <c r="Z1325" s="468" t="s">
        <v>516</v>
      </c>
      <c r="AA1325" s="466">
        <v>84101.4</v>
      </c>
      <c r="AB1325" s="466">
        <v>84101.4</v>
      </c>
      <c r="AC1325" s="467">
        <v>0</v>
      </c>
      <c r="AD1325" s="466">
        <v>0</v>
      </c>
      <c r="AE1325" s="468" t="s">
        <v>516</v>
      </c>
      <c r="AF1325" s="466">
        <v>0</v>
      </c>
      <c r="AG1325" s="466">
        <v>0</v>
      </c>
      <c r="AH1325" s="466">
        <v>2321.9299999999998</v>
      </c>
      <c r="AI1325" s="466">
        <v>5.0999999999999996</v>
      </c>
      <c r="AJ1325" s="469" t="s">
        <v>1515</v>
      </c>
      <c r="AK1325" s="470" t="s">
        <v>1516</v>
      </c>
      <c r="AL1325" s="471" t="s">
        <v>10797</v>
      </c>
      <c r="AM1325" s="470" t="s">
        <v>10798</v>
      </c>
      <c r="AN1325" s="470" t="s">
        <v>10794</v>
      </c>
      <c r="AO1325" s="470" t="s">
        <v>14499</v>
      </c>
      <c r="AP1325" s="470" t="s">
        <v>10799</v>
      </c>
      <c r="AQ1325" s="470" t="s">
        <v>10793</v>
      </c>
      <c r="AR1325" s="472" t="s">
        <v>515</v>
      </c>
      <c r="AS1325" s="473" t="s">
        <v>1385</v>
      </c>
      <c r="AT1325" s="472" t="s">
        <v>4613</v>
      </c>
      <c r="AU1325" s="472" t="s">
        <v>420</v>
      </c>
      <c r="AV1325" s="472">
        <v>2020</v>
      </c>
      <c r="AW1325" s="474" t="s">
        <v>15078</v>
      </c>
      <c r="AX1325" s="475" t="s">
        <v>15079</v>
      </c>
      <c r="AY1325" s="515">
        <v>1</v>
      </c>
      <c r="AZ1325" s="474" t="s">
        <v>15079</v>
      </c>
      <c r="BA1325" s="472" t="s">
        <v>4613</v>
      </c>
      <c r="BB1325" s="472" t="s">
        <v>1385</v>
      </c>
      <c r="BC1325" s="472" t="s">
        <v>1385</v>
      </c>
      <c r="BD1325" s="472" t="s">
        <v>1385</v>
      </c>
      <c r="BE1325" s="472" t="s">
        <v>1385</v>
      </c>
      <c r="BF1325" s="472">
        <v>16788.599999999999</v>
      </c>
      <c r="BG1325" s="472">
        <v>0</v>
      </c>
      <c r="BH1325" s="472" t="s">
        <v>1385</v>
      </c>
      <c r="BI1325" s="510">
        <v>0</v>
      </c>
      <c r="BJ1325" s="510">
        <v>0</v>
      </c>
      <c r="BK1325" s="510">
        <v>0</v>
      </c>
      <c r="BL1325" s="510">
        <v>0</v>
      </c>
      <c r="BM1325" s="510">
        <v>0</v>
      </c>
      <c r="BN1325" s="510">
        <v>2000</v>
      </c>
      <c r="BO1325" s="510">
        <v>0</v>
      </c>
      <c r="BP1325" s="510">
        <v>0</v>
      </c>
      <c r="BQ1325" s="510">
        <v>0</v>
      </c>
      <c r="BR1325" s="510">
        <v>0</v>
      </c>
      <c r="BS1325" s="510">
        <v>0</v>
      </c>
      <c r="BT1325" s="510">
        <v>0</v>
      </c>
      <c r="BU1325" s="510">
        <v>0</v>
      </c>
      <c r="BV1325" s="510">
        <v>0</v>
      </c>
      <c r="BW1325" s="510">
        <v>0</v>
      </c>
      <c r="BX1325" s="510">
        <v>30000</v>
      </c>
      <c r="BY1325" s="1011">
        <v>0</v>
      </c>
      <c r="BZ1325" s="510">
        <v>0</v>
      </c>
      <c r="CA1325" s="1011">
        <v>0</v>
      </c>
      <c r="CB1325" s="510">
        <v>0</v>
      </c>
      <c r="CC1325" s="1011">
        <v>0</v>
      </c>
      <c r="CD1325" s="510">
        <v>0</v>
      </c>
      <c r="CE1325" s="1011">
        <v>0</v>
      </c>
      <c r="CF1325" s="510">
        <v>37312.800000000003</v>
      </c>
      <c r="CG1325" s="1011">
        <v>0</v>
      </c>
      <c r="CH1325" s="510">
        <v>0</v>
      </c>
      <c r="CI1325" s="1011">
        <v>0</v>
      </c>
    </row>
    <row r="1326" spans="1:87" x14ac:dyDescent="0.2">
      <c r="A1326" s="449">
        <v>19</v>
      </c>
      <c r="B1326" s="453">
        <v>400128</v>
      </c>
      <c r="C1326" s="454" t="s">
        <v>10800</v>
      </c>
      <c r="D1326" s="454" t="s">
        <v>4613</v>
      </c>
      <c r="E1326" s="454" t="s">
        <v>10801</v>
      </c>
      <c r="F1326" s="454" t="s">
        <v>526</v>
      </c>
      <c r="G1326" s="454" t="s">
        <v>14500</v>
      </c>
      <c r="H1326" s="455">
        <v>8334979000146</v>
      </c>
      <c r="I1326" s="462">
        <v>38987</v>
      </c>
      <c r="J1326" s="457">
        <v>37476122</v>
      </c>
      <c r="K1326" s="454" t="s">
        <v>10802</v>
      </c>
      <c r="L1326" s="458">
        <v>1505</v>
      </c>
      <c r="M1326" s="454" t="s">
        <v>10581</v>
      </c>
      <c r="N1326" s="459">
        <v>8180010</v>
      </c>
      <c r="O1326" s="460">
        <v>25843553</v>
      </c>
      <c r="P1326" s="462">
        <v>134093</v>
      </c>
      <c r="Q1326" s="462">
        <v>19</v>
      </c>
      <c r="R1326" s="462">
        <v>43928</v>
      </c>
      <c r="S1326" s="463">
        <v>124</v>
      </c>
      <c r="T1326" s="464">
        <v>3.6</v>
      </c>
      <c r="U1326" s="465">
        <v>446.4</v>
      </c>
      <c r="V1326" s="465">
        <v>10800</v>
      </c>
      <c r="W1326" s="466">
        <v>0</v>
      </c>
      <c r="X1326" s="467">
        <v>1</v>
      </c>
      <c r="Y1326" s="466">
        <v>16869.599999999999</v>
      </c>
      <c r="Z1326" s="468" t="s">
        <v>516</v>
      </c>
      <c r="AA1326" s="466">
        <v>84470.399999999994</v>
      </c>
      <c r="AB1326" s="466">
        <v>84470.399999999994</v>
      </c>
      <c r="AC1326" s="467">
        <v>0</v>
      </c>
      <c r="AD1326" s="466">
        <v>0</v>
      </c>
      <c r="AE1326" s="468" t="s">
        <v>516</v>
      </c>
      <c r="AF1326" s="466">
        <v>0</v>
      </c>
      <c r="AG1326" s="466">
        <v>0</v>
      </c>
      <c r="AH1326" s="466">
        <v>14687.08</v>
      </c>
      <c r="AI1326" s="466">
        <v>0</v>
      </c>
      <c r="AJ1326" s="469" t="s">
        <v>1839</v>
      </c>
      <c r="AK1326" s="470" t="s">
        <v>526</v>
      </c>
      <c r="AL1326" s="471" t="s">
        <v>10803</v>
      </c>
      <c r="AM1326" s="470" t="s">
        <v>10804</v>
      </c>
      <c r="AN1326" s="470" t="s">
        <v>1385</v>
      </c>
      <c r="AO1326" s="470" t="s">
        <v>10805</v>
      </c>
      <c r="AP1326" s="470" t="s">
        <v>10806</v>
      </c>
      <c r="AQ1326" s="470" t="s">
        <v>10800</v>
      </c>
      <c r="AR1326" s="472" t="s">
        <v>515</v>
      </c>
      <c r="AS1326" s="473" t="s">
        <v>1385</v>
      </c>
      <c r="AT1326" s="472" t="s">
        <v>4613</v>
      </c>
      <c r="AU1326" s="472" t="s">
        <v>420</v>
      </c>
      <c r="AV1326" s="472">
        <v>2020</v>
      </c>
      <c r="AW1326" s="474" t="s">
        <v>15078</v>
      </c>
      <c r="AX1326" s="475" t="s">
        <v>15079</v>
      </c>
      <c r="AY1326" s="515">
        <v>1</v>
      </c>
      <c r="AZ1326" s="474" t="s">
        <v>15079</v>
      </c>
      <c r="BA1326" s="472" t="s">
        <v>4613</v>
      </c>
      <c r="BB1326" s="472" t="s">
        <v>1385</v>
      </c>
      <c r="BC1326" s="472" t="s">
        <v>1385</v>
      </c>
      <c r="BD1326" s="472" t="s">
        <v>1385</v>
      </c>
      <c r="BE1326" s="472" t="s">
        <v>1385</v>
      </c>
      <c r="BF1326" s="472">
        <v>16869.599999999999</v>
      </c>
      <c r="BG1326" s="472">
        <v>0</v>
      </c>
      <c r="BH1326" s="472" t="s">
        <v>1385</v>
      </c>
      <c r="BI1326" s="510">
        <v>0</v>
      </c>
      <c r="BJ1326" s="510">
        <v>0</v>
      </c>
      <c r="BK1326" s="510">
        <v>0</v>
      </c>
      <c r="BL1326" s="510">
        <v>0</v>
      </c>
      <c r="BM1326" s="510">
        <v>0</v>
      </c>
      <c r="BN1326" s="510">
        <v>2000</v>
      </c>
      <c r="BO1326" s="510">
        <v>0</v>
      </c>
      <c r="BP1326" s="510">
        <v>0</v>
      </c>
      <c r="BQ1326" s="510">
        <v>0</v>
      </c>
      <c r="BR1326" s="510">
        <v>0</v>
      </c>
      <c r="BS1326" s="510">
        <v>0</v>
      </c>
      <c r="BT1326" s="510">
        <v>0</v>
      </c>
      <c r="BU1326" s="510">
        <v>0</v>
      </c>
      <c r="BV1326" s="510">
        <v>0</v>
      </c>
      <c r="BW1326" s="510">
        <v>0</v>
      </c>
      <c r="BX1326" s="510">
        <v>30000</v>
      </c>
      <c r="BY1326" s="1011">
        <v>0</v>
      </c>
      <c r="BZ1326" s="510">
        <v>0</v>
      </c>
      <c r="CA1326" s="1011">
        <v>0</v>
      </c>
      <c r="CB1326" s="510">
        <v>0</v>
      </c>
      <c r="CC1326" s="1011">
        <v>0</v>
      </c>
      <c r="CD1326" s="510">
        <v>0</v>
      </c>
      <c r="CE1326" s="1011">
        <v>0</v>
      </c>
      <c r="CF1326" s="510">
        <v>37600.800000000003</v>
      </c>
      <c r="CG1326" s="1011">
        <v>0</v>
      </c>
      <c r="CH1326" s="510">
        <v>0</v>
      </c>
      <c r="CI1326" s="1011">
        <v>0</v>
      </c>
    </row>
    <row r="1327" spans="1:87" x14ac:dyDescent="0.2">
      <c r="A1327" s="449">
        <v>9</v>
      </c>
      <c r="B1327" s="453">
        <v>400129</v>
      </c>
      <c r="C1327" s="454" t="s">
        <v>10807</v>
      </c>
      <c r="D1327" s="454" t="s">
        <v>4613</v>
      </c>
      <c r="E1327" s="454" t="s">
        <v>10808</v>
      </c>
      <c r="F1327" s="454" t="s">
        <v>523</v>
      </c>
      <c r="G1327" s="454" t="s">
        <v>14501</v>
      </c>
      <c r="H1327" s="455">
        <v>7912060000120</v>
      </c>
      <c r="I1327" s="462">
        <v>38757</v>
      </c>
      <c r="J1327" s="457">
        <v>35300108</v>
      </c>
      <c r="K1327" s="454" t="s">
        <v>10809</v>
      </c>
      <c r="L1327" s="458">
        <v>500</v>
      </c>
      <c r="M1327" s="454" t="s">
        <v>1394</v>
      </c>
      <c r="N1327" s="459">
        <v>8460365</v>
      </c>
      <c r="O1327" s="460">
        <v>25570343</v>
      </c>
      <c r="P1327" s="462">
        <v>267379</v>
      </c>
      <c r="Q1327" s="462">
        <v>9</v>
      </c>
      <c r="R1327" s="462">
        <v>43921</v>
      </c>
      <c r="S1327" s="463">
        <v>256</v>
      </c>
      <c r="T1327" s="464">
        <v>3.6</v>
      </c>
      <c r="U1327" s="465">
        <v>921.6</v>
      </c>
      <c r="V1327" s="465">
        <v>12720</v>
      </c>
      <c r="W1327" s="466">
        <v>0</v>
      </c>
      <c r="X1327" s="467">
        <v>1</v>
      </c>
      <c r="Y1327" s="466">
        <v>20462.400000000001</v>
      </c>
      <c r="Z1327" s="468" t="s">
        <v>516</v>
      </c>
      <c r="AA1327" s="466">
        <v>92875.199999999997</v>
      </c>
      <c r="AB1327" s="466">
        <v>92875.199999999997</v>
      </c>
      <c r="AC1327" s="467">
        <v>0</v>
      </c>
      <c r="AD1327" s="466">
        <v>0</v>
      </c>
      <c r="AE1327" s="468" t="s">
        <v>516</v>
      </c>
      <c r="AF1327" s="466">
        <v>0</v>
      </c>
      <c r="AG1327" s="466">
        <v>0</v>
      </c>
      <c r="AH1327" s="466">
        <v>13748.34</v>
      </c>
      <c r="AI1327" s="466">
        <v>4670.3599999999997</v>
      </c>
      <c r="AJ1327" s="469" t="s">
        <v>1395</v>
      </c>
      <c r="AK1327" s="470" t="s">
        <v>523</v>
      </c>
      <c r="AL1327" s="471" t="s">
        <v>10810</v>
      </c>
      <c r="AM1327" s="470" t="s">
        <v>14502</v>
      </c>
      <c r="AN1327" s="470" t="s">
        <v>1385</v>
      </c>
      <c r="AO1327" s="470" t="s">
        <v>14503</v>
      </c>
      <c r="AP1327" s="470" t="s">
        <v>10811</v>
      </c>
      <c r="AQ1327" s="470" t="s">
        <v>10807</v>
      </c>
      <c r="AR1327" s="472" t="s">
        <v>515</v>
      </c>
      <c r="AS1327" s="473" t="s">
        <v>1385</v>
      </c>
      <c r="AT1327" s="472" t="s">
        <v>4613</v>
      </c>
      <c r="AU1327" s="472" t="s">
        <v>420</v>
      </c>
      <c r="AV1327" s="472">
        <v>2020</v>
      </c>
      <c r="AW1327" s="474" t="s">
        <v>15078</v>
      </c>
      <c r="AX1327" s="475" t="s">
        <v>15079</v>
      </c>
      <c r="AY1327" s="515">
        <v>1</v>
      </c>
      <c r="AZ1327" s="474" t="s">
        <v>15079</v>
      </c>
      <c r="BA1327" s="472" t="s">
        <v>4613</v>
      </c>
      <c r="BB1327" s="472" t="s">
        <v>1385</v>
      </c>
      <c r="BC1327" s="472" t="s">
        <v>1385</v>
      </c>
      <c r="BD1327" s="472" t="s">
        <v>1385</v>
      </c>
      <c r="BE1327" s="472" t="s">
        <v>1385</v>
      </c>
      <c r="BF1327" s="472">
        <v>20462.400000000001</v>
      </c>
      <c r="BG1327" s="472">
        <v>0</v>
      </c>
      <c r="BH1327" s="472" t="s">
        <v>1385</v>
      </c>
      <c r="BI1327" s="510">
        <v>0</v>
      </c>
      <c r="BJ1327" s="510">
        <v>0</v>
      </c>
      <c r="BK1327" s="510">
        <v>0</v>
      </c>
      <c r="BL1327" s="510">
        <v>0</v>
      </c>
      <c r="BM1327" s="510">
        <v>0</v>
      </c>
      <c r="BN1327" s="510">
        <v>3000</v>
      </c>
      <c r="BO1327" s="510">
        <v>0</v>
      </c>
      <c r="BP1327" s="510">
        <v>0</v>
      </c>
      <c r="BQ1327" s="510">
        <v>0</v>
      </c>
      <c r="BR1327" s="510">
        <v>0</v>
      </c>
      <c r="BS1327" s="510">
        <v>0</v>
      </c>
      <c r="BT1327" s="510">
        <v>0</v>
      </c>
      <c r="BU1327" s="510">
        <v>0</v>
      </c>
      <c r="BV1327" s="510">
        <v>0</v>
      </c>
      <c r="BW1327" s="510">
        <v>0</v>
      </c>
      <c r="BX1327" s="510">
        <v>30000</v>
      </c>
      <c r="BY1327" s="1011">
        <v>0</v>
      </c>
      <c r="BZ1327" s="510">
        <v>0</v>
      </c>
      <c r="CA1327" s="1011">
        <v>0</v>
      </c>
      <c r="CB1327" s="510">
        <v>0</v>
      </c>
      <c r="CC1327" s="1011">
        <v>0</v>
      </c>
      <c r="CD1327" s="510">
        <v>0</v>
      </c>
      <c r="CE1327" s="1011">
        <v>0</v>
      </c>
      <c r="CF1327" s="510">
        <v>42412.800000000003</v>
      </c>
      <c r="CG1327" s="1011">
        <v>0</v>
      </c>
      <c r="CH1327" s="510">
        <v>0</v>
      </c>
      <c r="CI1327" s="1011">
        <v>0</v>
      </c>
    </row>
    <row r="1328" spans="1:87" x14ac:dyDescent="0.2">
      <c r="A1328" s="449">
        <v>12</v>
      </c>
      <c r="B1328" s="453">
        <v>400130</v>
      </c>
      <c r="C1328" s="454" t="s">
        <v>10812</v>
      </c>
      <c r="D1328" s="454" t="s">
        <v>4613</v>
      </c>
      <c r="E1328" s="454" t="s">
        <v>10813</v>
      </c>
      <c r="F1328" s="454" t="s">
        <v>518</v>
      </c>
      <c r="G1328" s="454" t="s">
        <v>14504</v>
      </c>
      <c r="H1328" s="455">
        <v>8235615000109</v>
      </c>
      <c r="I1328" s="462">
        <v>38790</v>
      </c>
      <c r="J1328" s="457">
        <v>37474863</v>
      </c>
      <c r="K1328" s="454" t="s">
        <v>10815</v>
      </c>
      <c r="L1328" s="458">
        <v>820</v>
      </c>
      <c r="M1328" s="454" t="s">
        <v>5831</v>
      </c>
      <c r="N1328" s="459">
        <v>8420750</v>
      </c>
      <c r="O1328" s="460">
        <v>25579001</v>
      </c>
      <c r="P1328" s="462">
        <v>46712</v>
      </c>
      <c r="Q1328" s="462">
        <v>12</v>
      </c>
      <c r="R1328" s="462">
        <v>43963</v>
      </c>
      <c r="S1328" s="463">
        <v>110</v>
      </c>
      <c r="T1328" s="464">
        <v>3.6</v>
      </c>
      <c r="U1328" s="465">
        <v>396</v>
      </c>
      <c r="V1328" s="465">
        <v>10800</v>
      </c>
      <c r="W1328" s="466">
        <v>0</v>
      </c>
      <c r="X1328" s="467">
        <v>1</v>
      </c>
      <c r="Y1328" s="466">
        <v>16794</v>
      </c>
      <c r="Z1328" s="468" t="s">
        <v>516</v>
      </c>
      <c r="AA1328" s="466">
        <v>84207.6</v>
      </c>
      <c r="AB1328" s="466">
        <v>84207.6</v>
      </c>
      <c r="AC1328" s="467">
        <v>0</v>
      </c>
      <c r="AD1328" s="466">
        <v>0</v>
      </c>
      <c r="AE1328" s="468" t="s">
        <v>516</v>
      </c>
      <c r="AF1328" s="466">
        <v>0</v>
      </c>
      <c r="AG1328" s="466">
        <v>0</v>
      </c>
      <c r="AH1328" s="466">
        <v>18410.04</v>
      </c>
      <c r="AI1328" s="466">
        <v>10413.84</v>
      </c>
      <c r="AJ1328" s="469" t="s">
        <v>1674</v>
      </c>
      <c r="AK1328" s="470" t="s">
        <v>518</v>
      </c>
      <c r="AL1328" s="471" t="s">
        <v>10816</v>
      </c>
      <c r="AM1328" s="470" t="s">
        <v>10817</v>
      </c>
      <c r="AN1328" s="470" t="s">
        <v>10814</v>
      </c>
      <c r="AO1328" s="470" t="s">
        <v>15053</v>
      </c>
      <c r="AP1328" s="470" t="s">
        <v>10818</v>
      </c>
      <c r="AQ1328" s="470" t="s">
        <v>10812</v>
      </c>
      <c r="AR1328" s="472" t="s">
        <v>515</v>
      </c>
      <c r="AS1328" s="473" t="s">
        <v>1385</v>
      </c>
      <c r="AT1328" s="472" t="s">
        <v>4613</v>
      </c>
      <c r="AU1328" s="472" t="s">
        <v>420</v>
      </c>
      <c r="AV1328" s="472">
        <v>2020</v>
      </c>
      <c r="AW1328" s="474" t="s">
        <v>15078</v>
      </c>
      <c r="AX1328" s="475" t="s">
        <v>15079</v>
      </c>
      <c r="AY1328" s="515">
        <v>1</v>
      </c>
      <c r="AZ1328" s="474" t="s">
        <v>15079</v>
      </c>
      <c r="BA1328" s="472" t="s">
        <v>4613</v>
      </c>
      <c r="BB1328" s="472" t="s">
        <v>1385</v>
      </c>
      <c r="BC1328" s="472" t="s">
        <v>1385</v>
      </c>
      <c r="BD1328" s="472" t="s">
        <v>1385</v>
      </c>
      <c r="BE1328" s="472" t="s">
        <v>1385</v>
      </c>
      <c r="BF1328" s="472">
        <v>16794</v>
      </c>
      <c r="BG1328" s="472">
        <v>0</v>
      </c>
      <c r="BH1328" s="472" t="s">
        <v>1385</v>
      </c>
      <c r="BI1328" s="510">
        <v>0</v>
      </c>
      <c r="BJ1328" s="510">
        <v>0</v>
      </c>
      <c r="BK1328" s="510">
        <v>0</v>
      </c>
      <c r="BL1328" s="510">
        <v>0</v>
      </c>
      <c r="BM1328" s="510">
        <v>0</v>
      </c>
      <c r="BN1328" s="510">
        <v>2000</v>
      </c>
      <c r="BO1328" s="510">
        <v>0</v>
      </c>
      <c r="BP1328" s="510">
        <v>0</v>
      </c>
      <c r="BQ1328" s="510">
        <v>0</v>
      </c>
      <c r="BR1328" s="510">
        <v>0</v>
      </c>
      <c r="BS1328" s="510">
        <v>0</v>
      </c>
      <c r="BT1328" s="510">
        <v>0</v>
      </c>
      <c r="BU1328" s="510">
        <v>0</v>
      </c>
      <c r="BV1328" s="510">
        <v>0</v>
      </c>
      <c r="BW1328" s="510">
        <v>0</v>
      </c>
      <c r="BX1328" s="510">
        <v>30000</v>
      </c>
      <c r="BY1328" s="1011">
        <v>0</v>
      </c>
      <c r="BZ1328" s="510">
        <v>0</v>
      </c>
      <c r="CA1328" s="1011">
        <v>0</v>
      </c>
      <c r="CB1328" s="510">
        <v>0</v>
      </c>
      <c r="CC1328" s="1011">
        <v>0</v>
      </c>
      <c r="CD1328" s="510">
        <v>0</v>
      </c>
      <c r="CE1328" s="1011">
        <v>0</v>
      </c>
      <c r="CF1328" s="510">
        <v>37413.599999999999</v>
      </c>
      <c r="CG1328" s="1011">
        <v>0</v>
      </c>
      <c r="CH1328" s="510">
        <v>0</v>
      </c>
      <c r="CI1328" s="1011">
        <v>0</v>
      </c>
    </row>
    <row r="1329" spans="1:87" x14ac:dyDescent="0.2">
      <c r="A1329" s="449">
        <v>20</v>
      </c>
      <c r="B1329" s="453">
        <v>400132</v>
      </c>
      <c r="C1329" s="454" t="s">
        <v>10819</v>
      </c>
      <c r="D1329" s="454" t="s">
        <v>4613</v>
      </c>
      <c r="E1329" s="454" t="s">
        <v>10820</v>
      </c>
      <c r="F1329" s="454" t="s">
        <v>526</v>
      </c>
      <c r="G1329" s="454" t="s">
        <v>14505</v>
      </c>
      <c r="H1329" s="455">
        <v>8416990000155</v>
      </c>
      <c r="I1329" s="462">
        <v>38978</v>
      </c>
      <c r="J1329" s="457">
        <v>38089564</v>
      </c>
      <c r="K1329" s="454" t="s">
        <v>10821</v>
      </c>
      <c r="L1329" s="458">
        <v>222</v>
      </c>
      <c r="M1329" s="454" t="s">
        <v>526</v>
      </c>
      <c r="N1329" s="459">
        <v>8042130</v>
      </c>
      <c r="O1329" s="460">
        <v>20539709</v>
      </c>
      <c r="P1329" s="462">
        <v>128344</v>
      </c>
      <c r="Q1329" s="462">
        <v>20</v>
      </c>
      <c r="R1329" s="462">
        <v>43928</v>
      </c>
      <c r="S1329" s="463">
        <v>99</v>
      </c>
      <c r="T1329" s="464">
        <v>3.6</v>
      </c>
      <c r="U1329" s="465">
        <v>356.4</v>
      </c>
      <c r="V1329" s="465">
        <v>10800</v>
      </c>
      <c r="W1329" s="466">
        <v>0</v>
      </c>
      <c r="X1329" s="467">
        <v>1</v>
      </c>
      <c r="Y1329" s="466">
        <v>16734.599999999999</v>
      </c>
      <c r="Z1329" s="468" t="s">
        <v>516</v>
      </c>
      <c r="AA1329" s="466">
        <v>83982.6</v>
      </c>
      <c r="AB1329" s="466">
        <v>83982.6</v>
      </c>
      <c r="AC1329" s="467">
        <v>0</v>
      </c>
      <c r="AD1329" s="466">
        <v>0</v>
      </c>
      <c r="AE1329" s="468" t="s">
        <v>516</v>
      </c>
      <c r="AF1329" s="466">
        <v>0</v>
      </c>
      <c r="AG1329" s="466">
        <v>0</v>
      </c>
      <c r="AH1329" s="466">
        <v>5852.85</v>
      </c>
      <c r="AI1329" s="466">
        <v>1115.6400000000001</v>
      </c>
      <c r="AJ1329" s="469" t="s">
        <v>1839</v>
      </c>
      <c r="AK1329" s="470" t="s">
        <v>526</v>
      </c>
      <c r="AL1329" s="471" t="s">
        <v>10822</v>
      </c>
      <c r="AM1329" s="470" t="s">
        <v>10823</v>
      </c>
      <c r="AN1329" s="470" t="s">
        <v>1385</v>
      </c>
      <c r="AO1329" s="470" t="s">
        <v>10824</v>
      </c>
      <c r="AP1329" s="470" t="s">
        <v>10825</v>
      </c>
      <c r="AQ1329" s="470" t="s">
        <v>10819</v>
      </c>
      <c r="AR1329" s="472" t="s">
        <v>515</v>
      </c>
      <c r="AS1329" s="473" t="s">
        <v>1385</v>
      </c>
      <c r="AT1329" s="472" t="s">
        <v>4613</v>
      </c>
      <c r="AU1329" s="472" t="s">
        <v>420</v>
      </c>
      <c r="AV1329" s="472">
        <v>2020</v>
      </c>
      <c r="AW1329" s="474" t="s">
        <v>15078</v>
      </c>
      <c r="AX1329" s="475" t="s">
        <v>15079</v>
      </c>
      <c r="AY1329" s="515">
        <v>1</v>
      </c>
      <c r="AZ1329" s="474" t="s">
        <v>15079</v>
      </c>
      <c r="BA1329" s="472" t="s">
        <v>4613</v>
      </c>
      <c r="BB1329" s="472" t="s">
        <v>1385</v>
      </c>
      <c r="BC1329" s="472" t="s">
        <v>1385</v>
      </c>
      <c r="BD1329" s="472" t="s">
        <v>1385</v>
      </c>
      <c r="BE1329" s="472" t="s">
        <v>1385</v>
      </c>
      <c r="BF1329" s="472">
        <v>16734.599999999999</v>
      </c>
      <c r="BG1329" s="472">
        <v>0</v>
      </c>
      <c r="BH1329" s="472" t="s">
        <v>1385</v>
      </c>
      <c r="BI1329" s="510">
        <v>0</v>
      </c>
      <c r="BJ1329" s="510">
        <v>0.01</v>
      </c>
      <c r="BK1329" s="510">
        <v>0</v>
      </c>
      <c r="BL1329" s="510">
        <v>0</v>
      </c>
      <c r="BM1329" s="510">
        <v>0</v>
      </c>
      <c r="BN1329" s="510">
        <v>1500</v>
      </c>
      <c r="BO1329" s="510">
        <v>0</v>
      </c>
      <c r="BP1329" s="510">
        <v>0</v>
      </c>
      <c r="BQ1329" s="510">
        <v>0</v>
      </c>
      <c r="BR1329" s="510">
        <v>0</v>
      </c>
      <c r="BS1329" s="510">
        <v>0</v>
      </c>
      <c r="BT1329" s="510">
        <v>0</v>
      </c>
      <c r="BU1329" s="510">
        <v>0</v>
      </c>
      <c r="BV1329" s="510">
        <v>0</v>
      </c>
      <c r="BW1329" s="510">
        <v>0</v>
      </c>
      <c r="BX1329" s="510">
        <v>30000</v>
      </c>
      <c r="BY1329" s="1011">
        <v>0</v>
      </c>
      <c r="BZ1329" s="510">
        <v>0</v>
      </c>
      <c r="CA1329" s="1011">
        <v>0</v>
      </c>
      <c r="CB1329" s="510">
        <v>0</v>
      </c>
      <c r="CC1329" s="1011">
        <v>0</v>
      </c>
      <c r="CD1329" s="510">
        <v>0</v>
      </c>
      <c r="CE1329" s="1011">
        <v>0</v>
      </c>
      <c r="CF1329" s="510">
        <v>37248</v>
      </c>
      <c r="CG1329" s="1011">
        <v>0</v>
      </c>
      <c r="CH1329" s="510">
        <v>0</v>
      </c>
      <c r="CI1329" s="1011">
        <v>0</v>
      </c>
    </row>
    <row r="1330" spans="1:87" x14ac:dyDescent="0.2">
      <c r="A1330" s="449">
        <v>20</v>
      </c>
      <c r="B1330" s="453">
        <v>400133</v>
      </c>
      <c r="C1330" s="454" t="s">
        <v>10826</v>
      </c>
      <c r="D1330" s="454" t="s">
        <v>4613</v>
      </c>
      <c r="E1330" s="454" t="s">
        <v>10827</v>
      </c>
      <c r="F1330" s="454" t="s">
        <v>528</v>
      </c>
      <c r="G1330" s="454" t="s">
        <v>14506</v>
      </c>
      <c r="H1330" s="455">
        <v>7868026000103</v>
      </c>
      <c r="I1330" s="462">
        <v>38698</v>
      </c>
      <c r="J1330" s="457">
        <v>37375466</v>
      </c>
      <c r="K1330" s="454" t="s">
        <v>10828</v>
      </c>
      <c r="L1330" s="458">
        <v>124</v>
      </c>
      <c r="M1330" s="454" t="s">
        <v>10829</v>
      </c>
      <c r="N1330" s="459">
        <v>2990050</v>
      </c>
      <c r="O1330" s="460">
        <v>39419684</v>
      </c>
      <c r="P1330" s="462">
        <v>251782</v>
      </c>
      <c r="Q1330" s="462">
        <v>20</v>
      </c>
      <c r="R1330" s="462">
        <v>43938</v>
      </c>
      <c r="S1330" s="463">
        <v>127</v>
      </c>
      <c r="T1330" s="464">
        <v>3.6</v>
      </c>
      <c r="U1330" s="465">
        <v>457.2</v>
      </c>
      <c r="V1330" s="465">
        <v>10800</v>
      </c>
      <c r="W1330" s="466">
        <v>0</v>
      </c>
      <c r="X1330" s="467">
        <v>1</v>
      </c>
      <c r="Y1330" s="466">
        <v>16885.8</v>
      </c>
      <c r="Z1330" s="468" t="s">
        <v>516</v>
      </c>
      <c r="AA1330" s="466">
        <v>84371.4</v>
      </c>
      <c r="AB1330" s="466">
        <v>84371.4</v>
      </c>
      <c r="AC1330" s="467">
        <v>0</v>
      </c>
      <c r="AD1330" s="466">
        <v>0</v>
      </c>
      <c r="AE1330" s="468" t="s">
        <v>516</v>
      </c>
      <c r="AF1330" s="466">
        <v>0</v>
      </c>
      <c r="AG1330" s="466">
        <v>0</v>
      </c>
      <c r="AH1330" s="466">
        <v>9425.0300000000007</v>
      </c>
      <c r="AI1330" s="466">
        <v>4502.88</v>
      </c>
      <c r="AJ1330" s="469" t="s">
        <v>2242</v>
      </c>
      <c r="AK1330" s="470" t="s">
        <v>2241</v>
      </c>
      <c r="AL1330" s="471" t="s">
        <v>10830</v>
      </c>
      <c r="AM1330" s="470" t="s">
        <v>14507</v>
      </c>
      <c r="AN1330" s="470" t="s">
        <v>10831</v>
      </c>
      <c r="AO1330" s="470" t="s">
        <v>14508</v>
      </c>
      <c r="AP1330" s="470" t="s">
        <v>10832</v>
      </c>
      <c r="AQ1330" s="470" t="s">
        <v>10826</v>
      </c>
      <c r="AR1330" s="472" t="s">
        <v>515</v>
      </c>
      <c r="AS1330" s="473" t="s">
        <v>1385</v>
      </c>
      <c r="AT1330" s="472" t="s">
        <v>4613</v>
      </c>
      <c r="AU1330" s="472" t="s">
        <v>420</v>
      </c>
      <c r="AV1330" s="472">
        <v>2020</v>
      </c>
      <c r="AW1330" s="474" t="s">
        <v>15078</v>
      </c>
      <c r="AX1330" s="475" t="s">
        <v>15079</v>
      </c>
      <c r="AY1330" s="515">
        <v>1</v>
      </c>
      <c r="AZ1330" s="474" t="s">
        <v>15079</v>
      </c>
      <c r="BA1330" s="472" t="s">
        <v>4613</v>
      </c>
      <c r="BB1330" s="472" t="s">
        <v>1385</v>
      </c>
      <c r="BC1330" s="472" t="s">
        <v>1385</v>
      </c>
      <c r="BD1330" s="472" t="s">
        <v>1385</v>
      </c>
      <c r="BE1330" s="472" t="s">
        <v>1385</v>
      </c>
      <c r="BF1330" s="472">
        <v>16885.8</v>
      </c>
      <c r="BG1330" s="472">
        <v>0</v>
      </c>
      <c r="BH1330" s="472" t="s">
        <v>1385</v>
      </c>
      <c r="BI1330" s="510">
        <v>0</v>
      </c>
      <c r="BJ1330" s="510">
        <v>0</v>
      </c>
      <c r="BK1330" s="510">
        <v>0</v>
      </c>
      <c r="BL1330" s="510">
        <v>0</v>
      </c>
      <c r="BM1330" s="510">
        <v>0</v>
      </c>
      <c r="BN1330" s="510">
        <v>2000</v>
      </c>
      <c r="BO1330" s="510">
        <v>0</v>
      </c>
      <c r="BP1330" s="510">
        <v>0</v>
      </c>
      <c r="BQ1330" s="510">
        <v>0</v>
      </c>
      <c r="BR1330" s="510">
        <v>0</v>
      </c>
      <c r="BS1330" s="510">
        <v>0</v>
      </c>
      <c r="BT1330" s="510">
        <v>0</v>
      </c>
      <c r="BU1330" s="510">
        <v>0</v>
      </c>
      <c r="BV1330" s="510">
        <v>0</v>
      </c>
      <c r="BW1330" s="510">
        <v>0</v>
      </c>
      <c r="BX1330" s="510">
        <v>30000</v>
      </c>
      <c r="BY1330" s="1011">
        <v>0</v>
      </c>
      <c r="BZ1330" s="510">
        <v>0</v>
      </c>
      <c r="CA1330" s="1011">
        <v>0</v>
      </c>
      <c r="CB1330" s="510">
        <v>0</v>
      </c>
      <c r="CC1330" s="1011">
        <v>0</v>
      </c>
      <c r="CD1330" s="510">
        <v>0</v>
      </c>
      <c r="CE1330" s="1011">
        <v>0</v>
      </c>
      <c r="CF1330" s="510">
        <v>37485.599999999999</v>
      </c>
      <c r="CG1330" s="1011">
        <v>0</v>
      </c>
      <c r="CH1330" s="510">
        <v>0</v>
      </c>
      <c r="CI1330" s="1011">
        <v>0</v>
      </c>
    </row>
    <row r="1331" spans="1:87" x14ac:dyDescent="0.2">
      <c r="A1331" s="449">
        <v>21</v>
      </c>
      <c r="B1331" s="453">
        <v>400134</v>
      </c>
      <c r="C1331" s="454" t="s">
        <v>10833</v>
      </c>
      <c r="D1331" s="454" t="s">
        <v>4613</v>
      </c>
      <c r="E1331" s="454" t="s">
        <v>10834</v>
      </c>
      <c r="F1331" s="454" t="s">
        <v>526</v>
      </c>
      <c r="G1331" s="454" t="s">
        <v>14509</v>
      </c>
      <c r="H1331" s="455">
        <v>9177907000103</v>
      </c>
      <c r="I1331" s="462">
        <v>39365</v>
      </c>
      <c r="J1331" s="457">
        <v>37411780</v>
      </c>
      <c r="K1331" s="454" t="s">
        <v>7967</v>
      </c>
      <c r="L1331" s="458">
        <v>587</v>
      </c>
      <c r="M1331" s="454" t="s">
        <v>1411</v>
      </c>
      <c r="N1331" s="459">
        <v>8160460</v>
      </c>
      <c r="O1331" s="460">
        <v>25611657</v>
      </c>
      <c r="P1331" s="462">
        <v>127291</v>
      </c>
      <c r="Q1331" s="462">
        <v>21</v>
      </c>
      <c r="R1331" s="462">
        <v>43928</v>
      </c>
      <c r="S1331" s="463">
        <v>112</v>
      </c>
      <c r="T1331" s="464">
        <v>3.6</v>
      </c>
      <c r="U1331" s="465">
        <v>403.2</v>
      </c>
      <c r="V1331" s="465">
        <v>10800</v>
      </c>
      <c r="W1331" s="466">
        <v>0</v>
      </c>
      <c r="X1331" s="467">
        <v>1</v>
      </c>
      <c r="Y1331" s="466">
        <v>16804.8</v>
      </c>
      <c r="Z1331" s="468" t="s">
        <v>516</v>
      </c>
      <c r="AA1331" s="466">
        <v>84225.600000000006</v>
      </c>
      <c r="AB1331" s="466">
        <v>84225.600000000006</v>
      </c>
      <c r="AC1331" s="467">
        <v>0</v>
      </c>
      <c r="AD1331" s="466">
        <v>0</v>
      </c>
      <c r="AE1331" s="468" t="s">
        <v>516</v>
      </c>
      <c r="AF1331" s="466">
        <v>0</v>
      </c>
      <c r="AG1331" s="466">
        <v>0</v>
      </c>
      <c r="AH1331" s="466">
        <v>5564.93</v>
      </c>
      <c r="AI1331" s="466">
        <v>555.20000000000005</v>
      </c>
      <c r="AJ1331" s="469" t="s">
        <v>1410</v>
      </c>
      <c r="AK1331" s="470" t="s">
        <v>1411</v>
      </c>
      <c r="AL1331" s="471" t="s">
        <v>10835</v>
      </c>
      <c r="AM1331" s="470" t="s">
        <v>10836</v>
      </c>
      <c r="AN1331" s="470" t="s">
        <v>1385</v>
      </c>
      <c r="AO1331" s="470" t="s">
        <v>10837</v>
      </c>
      <c r="AP1331" s="470" t="s">
        <v>10838</v>
      </c>
      <c r="AQ1331" s="470" t="s">
        <v>10833</v>
      </c>
      <c r="AR1331" s="472" t="s">
        <v>515</v>
      </c>
      <c r="AS1331" s="473" t="s">
        <v>1385</v>
      </c>
      <c r="AT1331" s="472" t="s">
        <v>4613</v>
      </c>
      <c r="AU1331" s="472" t="s">
        <v>420</v>
      </c>
      <c r="AV1331" s="472">
        <v>2020</v>
      </c>
      <c r="AW1331" s="474" t="s">
        <v>15078</v>
      </c>
      <c r="AX1331" s="475" t="s">
        <v>15079</v>
      </c>
      <c r="AY1331" s="515">
        <v>1</v>
      </c>
      <c r="AZ1331" s="474" t="s">
        <v>15079</v>
      </c>
      <c r="BA1331" s="472" t="s">
        <v>4613</v>
      </c>
      <c r="BB1331" s="472" t="s">
        <v>1385</v>
      </c>
      <c r="BC1331" s="472" t="s">
        <v>1385</v>
      </c>
      <c r="BD1331" s="472" t="s">
        <v>1385</v>
      </c>
      <c r="BE1331" s="472" t="s">
        <v>1385</v>
      </c>
      <c r="BF1331" s="472">
        <v>16804.8</v>
      </c>
      <c r="BG1331" s="472">
        <v>0</v>
      </c>
      <c r="BH1331" s="472" t="s">
        <v>1385</v>
      </c>
      <c r="BI1331" s="510">
        <v>0</v>
      </c>
      <c r="BJ1331" s="510">
        <v>0</v>
      </c>
      <c r="BK1331" s="510">
        <v>0</v>
      </c>
      <c r="BL1331" s="510">
        <v>0</v>
      </c>
      <c r="BM1331" s="510">
        <v>0</v>
      </c>
      <c r="BN1331" s="510">
        <v>0</v>
      </c>
      <c r="BO1331" s="510">
        <v>0</v>
      </c>
      <c r="BP1331" s="510">
        <v>0</v>
      </c>
      <c r="BQ1331" s="510">
        <v>0</v>
      </c>
      <c r="BR1331" s="510">
        <v>0</v>
      </c>
      <c r="BS1331" s="510">
        <v>0</v>
      </c>
      <c r="BT1331" s="510">
        <v>0</v>
      </c>
      <c r="BU1331" s="510">
        <v>0</v>
      </c>
      <c r="BV1331" s="510">
        <v>0</v>
      </c>
      <c r="BW1331" s="510">
        <v>0</v>
      </c>
      <c r="BX1331" s="510">
        <v>30000</v>
      </c>
      <c r="BY1331" s="1011">
        <v>0</v>
      </c>
      <c r="BZ1331" s="510">
        <v>0</v>
      </c>
      <c r="CA1331" s="1011">
        <v>0</v>
      </c>
      <c r="CB1331" s="510">
        <v>0</v>
      </c>
      <c r="CC1331" s="1011">
        <v>0</v>
      </c>
      <c r="CD1331" s="510">
        <v>0</v>
      </c>
      <c r="CE1331" s="1011">
        <v>0</v>
      </c>
      <c r="CF1331" s="510">
        <v>37420.800000000003</v>
      </c>
      <c r="CG1331" s="1011">
        <v>0</v>
      </c>
      <c r="CH1331" s="510">
        <v>0</v>
      </c>
      <c r="CI1331" s="1011">
        <v>0</v>
      </c>
    </row>
    <row r="1332" spans="1:87" x14ac:dyDescent="0.2">
      <c r="A1332" s="449">
        <v>11</v>
      </c>
      <c r="B1332" s="453">
        <v>400135</v>
      </c>
      <c r="C1332" s="454" t="s">
        <v>10839</v>
      </c>
      <c r="D1332" s="454" t="s">
        <v>4613</v>
      </c>
      <c r="E1332" s="454" t="s">
        <v>10840</v>
      </c>
      <c r="F1332" s="454" t="s">
        <v>521</v>
      </c>
      <c r="G1332" s="454" t="s">
        <v>14510</v>
      </c>
      <c r="H1332" s="455">
        <v>7865204000134</v>
      </c>
      <c r="I1332" s="462">
        <v>38168</v>
      </c>
      <c r="J1332" s="457">
        <v>37552627</v>
      </c>
      <c r="K1332" s="454" t="s">
        <v>2714</v>
      </c>
      <c r="L1332" s="458">
        <v>72</v>
      </c>
      <c r="M1332" s="454" t="s">
        <v>2715</v>
      </c>
      <c r="N1332" s="459">
        <v>4892100</v>
      </c>
      <c r="O1332" s="460">
        <v>59208709</v>
      </c>
      <c r="P1332" s="462">
        <v>94555</v>
      </c>
      <c r="Q1332" s="462">
        <v>80</v>
      </c>
      <c r="R1332" s="462">
        <v>43934</v>
      </c>
      <c r="S1332" s="463">
        <v>138</v>
      </c>
      <c r="T1332" s="464">
        <v>3.6</v>
      </c>
      <c r="U1332" s="465">
        <v>496.8</v>
      </c>
      <c r="V1332" s="465">
        <v>10800</v>
      </c>
      <c r="W1332" s="466">
        <v>0</v>
      </c>
      <c r="X1332" s="467">
        <v>1</v>
      </c>
      <c r="Y1332" s="466">
        <v>0</v>
      </c>
      <c r="Z1332" s="468" t="s">
        <v>514</v>
      </c>
      <c r="AA1332" s="466">
        <v>0</v>
      </c>
      <c r="AB1332" s="466">
        <v>0</v>
      </c>
      <c r="AC1332" s="467">
        <v>0</v>
      </c>
      <c r="AD1332" s="466">
        <v>0</v>
      </c>
      <c r="AE1332" s="468" t="s">
        <v>516</v>
      </c>
      <c r="AF1332" s="466">
        <v>0</v>
      </c>
      <c r="AG1332" s="466">
        <v>0</v>
      </c>
      <c r="AH1332" s="466">
        <v>0</v>
      </c>
      <c r="AI1332" s="466">
        <v>0</v>
      </c>
      <c r="AJ1332" s="469" t="s">
        <v>1624</v>
      </c>
      <c r="AK1332" s="470" t="s">
        <v>1625</v>
      </c>
      <c r="AL1332" s="471" t="s">
        <v>10841</v>
      </c>
      <c r="AM1332" s="470" t="s">
        <v>10842</v>
      </c>
      <c r="AN1332" s="470" t="s">
        <v>1385</v>
      </c>
      <c r="AO1332" s="470" t="s">
        <v>14511</v>
      </c>
      <c r="AP1332" s="470" t="s">
        <v>2715</v>
      </c>
      <c r="AQ1332" s="470" t="s">
        <v>10839</v>
      </c>
      <c r="AR1332" s="472" t="s">
        <v>515</v>
      </c>
      <c r="AS1332" s="473" t="s">
        <v>1385</v>
      </c>
      <c r="AT1332" s="472" t="s">
        <v>4613</v>
      </c>
      <c r="AU1332" s="472" t="s">
        <v>420</v>
      </c>
      <c r="AV1332" s="472">
        <v>2020</v>
      </c>
      <c r="AW1332" s="474" t="s">
        <v>15078</v>
      </c>
      <c r="AX1332" s="475" t="s">
        <v>15079</v>
      </c>
      <c r="AY1332" s="515">
        <v>1</v>
      </c>
      <c r="AZ1332" s="474" t="s">
        <v>15079</v>
      </c>
      <c r="BA1332" s="472" t="s">
        <v>1385</v>
      </c>
      <c r="BB1332" s="472" t="s">
        <v>1385</v>
      </c>
      <c r="BC1332" s="472" t="s">
        <v>1385</v>
      </c>
      <c r="BD1332" s="472" t="s">
        <v>1385</v>
      </c>
      <c r="BE1332" s="472" t="s">
        <v>1385</v>
      </c>
      <c r="BF1332" s="472">
        <v>16945.2</v>
      </c>
      <c r="BG1332" s="472">
        <v>0</v>
      </c>
      <c r="BH1332" s="472" t="s">
        <v>516</v>
      </c>
      <c r="BI1332" s="510">
        <v>0</v>
      </c>
      <c r="BJ1332" s="510">
        <v>0</v>
      </c>
      <c r="BK1332" s="510">
        <v>0</v>
      </c>
      <c r="BL1332" s="510">
        <v>0</v>
      </c>
      <c r="BM1332" s="510">
        <v>0</v>
      </c>
      <c r="BN1332" s="510">
        <v>0</v>
      </c>
      <c r="BO1332" s="510">
        <v>0</v>
      </c>
      <c r="BP1332" s="510">
        <v>0</v>
      </c>
      <c r="BQ1332" s="510">
        <v>0</v>
      </c>
      <c r="BR1332" s="510">
        <v>0</v>
      </c>
      <c r="BS1332" s="510">
        <v>0</v>
      </c>
      <c r="BT1332" s="510">
        <v>0</v>
      </c>
      <c r="BU1332" s="510">
        <v>0</v>
      </c>
      <c r="BV1332" s="510">
        <v>0</v>
      </c>
      <c r="BW1332" s="510">
        <v>0</v>
      </c>
      <c r="BX1332" s="510">
        <v>0</v>
      </c>
      <c r="BY1332" s="1011">
        <v>0</v>
      </c>
      <c r="BZ1332" s="510">
        <v>0</v>
      </c>
      <c r="CA1332" s="1011">
        <v>0</v>
      </c>
      <c r="CB1332" s="510">
        <v>0</v>
      </c>
      <c r="CC1332" s="1011">
        <v>0</v>
      </c>
      <c r="CD1332" s="510">
        <v>0</v>
      </c>
      <c r="CE1332" s="1011">
        <v>0</v>
      </c>
      <c r="CF1332" s="510">
        <v>0</v>
      </c>
      <c r="CG1332" s="1011">
        <v>0</v>
      </c>
      <c r="CH1332" s="510">
        <v>0</v>
      </c>
      <c r="CI1332" s="1011">
        <v>0</v>
      </c>
    </row>
    <row r="1333" spans="1:87" x14ac:dyDescent="0.2">
      <c r="A1333" s="449">
        <v>12</v>
      </c>
      <c r="B1333" s="453">
        <v>400136</v>
      </c>
      <c r="C1333" s="454" t="s">
        <v>10843</v>
      </c>
      <c r="D1333" s="454" t="s">
        <v>4613</v>
      </c>
      <c r="E1333" s="454" t="s">
        <v>10844</v>
      </c>
      <c r="F1333" s="454" t="s">
        <v>521</v>
      </c>
      <c r="G1333" s="454" t="s">
        <v>14512</v>
      </c>
      <c r="H1333" s="455">
        <v>6969056000135</v>
      </c>
      <c r="I1333" s="462">
        <v>38112</v>
      </c>
      <c r="J1333" s="457">
        <v>37552619</v>
      </c>
      <c r="K1333" s="454" t="s">
        <v>10845</v>
      </c>
      <c r="L1333" s="458">
        <v>35</v>
      </c>
      <c r="M1333" s="454" t="s">
        <v>10846</v>
      </c>
      <c r="N1333" s="459">
        <v>4845000</v>
      </c>
      <c r="O1333" s="460">
        <v>59280251</v>
      </c>
      <c r="P1333" s="462">
        <v>89063</v>
      </c>
      <c r="Q1333" s="462">
        <v>4</v>
      </c>
      <c r="R1333" s="462">
        <v>43934</v>
      </c>
      <c r="S1333" s="463">
        <v>151</v>
      </c>
      <c r="T1333" s="464">
        <v>3.6</v>
      </c>
      <c r="U1333" s="465">
        <v>543.6</v>
      </c>
      <c r="V1333" s="465">
        <v>10800</v>
      </c>
      <c r="W1333" s="466">
        <v>0</v>
      </c>
      <c r="X1333" s="467">
        <v>1</v>
      </c>
      <c r="Y1333" s="466">
        <v>17015.400000000001</v>
      </c>
      <c r="Z1333" s="468" t="s">
        <v>516</v>
      </c>
      <c r="AA1333" s="466">
        <v>84637.8</v>
      </c>
      <c r="AB1333" s="466">
        <v>84637.8</v>
      </c>
      <c r="AC1333" s="467">
        <v>0</v>
      </c>
      <c r="AD1333" s="466">
        <v>0</v>
      </c>
      <c r="AE1333" s="468" t="s">
        <v>516</v>
      </c>
      <c r="AF1333" s="466">
        <v>0</v>
      </c>
      <c r="AG1333" s="466">
        <v>0</v>
      </c>
      <c r="AH1333" s="466">
        <v>16261.87</v>
      </c>
      <c r="AI1333" s="466">
        <v>5160.32</v>
      </c>
      <c r="AJ1333" s="469" t="s">
        <v>1624</v>
      </c>
      <c r="AK1333" s="470" t="s">
        <v>1625</v>
      </c>
      <c r="AL1333" s="471" t="s">
        <v>10847</v>
      </c>
      <c r="AM1333" s="470" t="s">
        <v>10848</v>
      </c>
      <c r="AN1333" s="470" t="s">
        <v>10849</v>
      </c>
      <c r="AO1333" s="470" t="s">
        <v>14513</v>
      </c>
      <c r="AP1333" s="470" t="s">
        <v>10846</v>
      </c>
      <c r="AQ1333" s="470" t="s">
        <v>10843</v>
      </c>
      <c r="AR1333" s="472" t="s">
        <v>515</v>
      </c>
      <c r="AS1333" s="473" t="s">
        <v>1385</v>
      </c>
      <c r="AT1333" s="472" t="s">
        <v>4613</v>
      </c>
      <c r="AU1333" s="472" t="s">
        <v>420</v>
      </c>
      <c r="AV1333" s="472">
        <v>2020</v>
      </c>
      <c r="AW1333" s="474" t="s">
        <v>15078</v>
      </c>
      <c r="AX1333" s="475" t="s">
        <v>15079</v>
      </c>
      <c r="AY1333" s="515">
        <v>1</v>
      </c>
      <c r="AZ1333" s="474" t="s">
        <v>15079</v>
      </c>
      <c r="BA1333" s="472" t="s">
        <v>4613</v>
      </c>
      <c r="BB1333" s="472" t="s">
        <v>1385</v>
      </c>
      <c r="BC1333" s="472" t="s">
        <v>1385</v>
      </c>
      <c r="BD1333" s="472" t="s">
        <v>1385</v>
      </c>
      <c r="BE1333" s="472" t="s">
        <v>1385</v>
      </c>
      <c r="BF1333" s="472">
        <v>17015.400000000001</v>
      </c>
      <c r="BG1333" s="472">
        <v>0</v>
      </c>
      <c r="BH1333" s="472" t="s">
        <v>1385</v>
      </c>
      <c r="BI1333" s="510">
        <v>0</v>
      </c>
      <c r="BJ1333" s="510">
        <v>0</v>
      </c>
      <c r="BK1333" s="510">
        <v>0</v>
      </c>
      <c r="BL1333" s="510">
        <v>0</v>
      </c>
      <c r="BM1333" s="510">
        <v>0</v>
      </c>
      <c r="BN1333" s="510">
        <v>2000</v>
      </c>
      <c r="BO1333" s="510">
        <v>0</v>
      </c>
      <c r="BP1333" s="510">
        <v>0</v>
      </c>
      <c r="BQ1333" s="510">
        <v>0</v>
      </c>
      <c r="BR1333" s="510">
        <v>0</v>
      </c>
      <c r="BS1333" s="510">
        <v>0</v>
      </c>
      <c r="BT1333" s="510">
        <v>0</v>
      </c>
      <c r="BU1333" s="510">
        <v>0</v>
      </c>
      <c r="BV1333" s="510">
        <v>0</v>
      </c>
      <c r="BW1333" s="510">
        <v>0</v>
      </c>
      <c r="BX1333" s="510">
        <v>30000</v>
      </c>
      <c r="BY1333" s="1011">
        <v>0</v>
      </c>
      <c r="BZ1333" s="510">
        <v>0</v>
      </c>
      <c r="CA1333" s="1011">
        <v>0</v>
      </c>
      <c r="CB1333" s="510">
        <v>0</v>
      </c>
      <c r="CC1333" s="1011">
        <v>0</v>
      </c>
      <c r="CD1333" s="510">
        <v>0</v>
      </c>
      <c r="CE1333" s="1011">
        <v>0</v>
      </c>
      <c r="CF1333" s="510">
        <v>37622.400000000001</v>
      </c>
      <c r="CG1333" s="1011">
        <v>0</v>
      </c>
      <c r="CH1333" s="510">
        <v>0</v>
      </c>
      <c r="CI1333" s="1011">
        <v>0</v>
      </c>
    </row>
    <row r="1334" spans="1:87" x14ac:dyDescent="0.2">
      <c r="A1334" s="449">
        <v>25</v>
      </c>
      <c r="B1334" s="453">
        <v>400137</v>
      </c>
      <c r="C1334" s="454" t="s">
        <v>10850</v>
      </c>
      <c r="D1334" s="454" t="s">
        <v>4613</v>
      </c>
      <c r="E1334" s="454" t="s">
        <v>10850</v>
      </c>
      <c r="F1334" s="454" t="s">
        <v>520</v>
      </c>
      <c r="G1334" s="454" t="s">
        <v>14514</v>
      </c>
      <c r="H1334" s="455">
        <v>7919638000170</v>
      </c>
      <c r="I1334" s="462">
        <v>38587</v>
      </c>
      <c r="J1334" s="457">
        <v>37629816</v>
      </c>
      <c r="K1334" s="454" t="s">
        <v>10852</v>
      </c>
      <c r="L1334" s="458" t="s">
        <v>1446</v>
      </c>
      <c r="M1334" s="454" t="s">
        <v>10853</v>
      </c>
      <c r="N1334" s="459">
        <v>4917120</v>
      </c>
      <c r="O1334" s="460">
        <v>55146407</v>
      </c>
      <c r="P1334" s="462">
        <v>292985</v>
      </c>
      <c r="Q1334" s="462">
        <v>25</v>
      </c>
      <c r="R1334" s="462">
        <v>43969</v>
      </c>
      <c r="S1334" s="463">
        <v>142</v>
      </c>
      <c r="T1334" s="464">
        <v>3.6</v>
      </c>
      <c r="U1334" s="465">
        <v>511.2</v>
      </c>
      <c r="V1334" s="465">
        <v>10800</v>
      </c>
      <c r="W1334" s="466">
        <v>0</v>
      </c>
      <c r="X1334" s="467">
        <v>1</v>
      </c>
      <c r="Y1334" s="466">
        <v>16966.8</v>
      </c>
      <c r="Z1334" s="468" t="s">
        <v>516</v>
      </c>
      <c r="AA1334" s="466">
        <v>84596.4</v>
      </c>
      <c r="AB1334" s="466">
        <v>84596.4</v>
      </c>
      <c r="AC1334" s="467">
        <v>0</v>
      </c>
      <c r="AD1334" s="466">
        <v>0</v>
      </c>
      <c r="AE1334" s="468" t="s">
        <v>516</v>
      </c>
      <c r="AF1334" s="466">
        <v>0</v>
      </c>
      <c r="AG1334" s="466">
        <v>0</v>
      </c>
      <c r="AH1334" s="466">
        <v>9989.74</v>
      </c>
      <c r="AI1334" s="466">
        <v>0</v>
      </c>
      <c r="AJ1334" s="469" t="s">
        <v>1515</v>
      </c>
      <c r="AK1334" s="470" t="s">
        <v>1516</v>
      </c>
      <c r="AL1334" s="471" t="s">
        <v>10854</v>
      </c>
      <c r="AM1334" s="470" t="s">
        <v>10855</v>
      </c>
      <c r="AN1334" s="470" t="s">
        <v>10851</v>
      </c>
      <c r="AO1334" s="470" t="s">
        <v>14515</v>
      </c>
      <c r="AP1334" s="470" t="s">
        <v>10853</v>
      </c>
      <c r="AQ1334" s="470" t="s">
        <v>10850</v>
      </c>
      <c r="AR1334" s="472" t="s">
        <v>515</v>
      </c>
      <c r="AS1334" s="473" t="s">
        <v>1385</v>
      </c>
      <c r="AT1334" s="472" t="s">
        <v>4613</v>
      </c>
      <c r="AU1334" s="472" t="s">
        <v>420</v>
      </c>
      <c r="AV1334" s="472">
        <v>2020</v>
      </c>
      <c r="AW1334" s="474" t="s">
        <v>15078</v>
      </c>
      <c r="AX1334" s="475" t="s">
        <v>15079</v>
      </c>
      <c r="AY1334" s="515">
        <v>1</v>
      </c>
      <c r="AZ1334" s="474" t="s">
        <v>15079</v>
      </c>
      <c r="BA1334" s="472" t="s">
        <v>4613</v>
      </c>
      <c r="BB1334" s="472" t="s">
        <v>1385</v>
      </c>
      <c r="BC1334" s="472" t="s">
        <v>1385</v>
      </c>
      <c r="BD1334" s="472" t="s">
        <v>1385</v>
      </c>
      <c r="BE1334" s="472" t="s">
        <v>1385</v>
      </c>
      <c r="BF1334" s="472">
        <v>16966.8</v>
      </c>
      <c r="BG1334" s="472">
        <v>0</v>
      </c>
      <c r="BH1334" s="472" t="s">
        <v>1385</v>
      </c>
      <c r="BI1334" s="510">
        <v>0</v>
      </c>
      <c r="BJ1334" s="510">
        <v>0.4</v>
      </c>
      <c r="BK1334" s="510">
        <v>0</v>
      </c>
      <c r="BL1334" s="510">
        <v>0</v>
      </c>
      <c r="BM1334" s="510">
        <v>0</v>
      </c>
      <c r="BN1334" s="510">
        <v>2000</v>
      </c>
      <c r="BO1334" s="510">
        <v>0</v>
      </c>
      <c r="BP1334" s="510">
        <v>0</v>
      </c>
      <c r="BQ1334" s="510">
        <v>0</v>
      </c>
      <c r="BR1334" s="510">
        <v>0</v>
      </c>
      <c r="BS1334" s="510">
        <v>0</v>
      </c>
      <c r="BT1334" s="510">
        <v>0</v>
      </c>
      <c r="BU1334" s="510">
        <v>0</v>
      </c>
      <c r="BV1334" s="510">
        <v>0</v>
      </c>
      <c r="BW1334" s="510">
        <v>0</v>
      </c>
      <c r="BX1334" s="510">
        <v>30000</v>
      </c>
      <c r="BY1334" s="1011">
        <v>0</v>
      </c>
      <c r="BZ1334" s="510">
        <v>0</v>
      </c>
      <c r="CA1334" s="1011">
        <v>0</v>
      </c>
      <c r="CB1334" s="510">
        <v>0</v>
      </c>
      <c r="CC1334" s="1011">
        <v>0</v>
      </c>
      <c r="CD1334" s="510">
        <v>0</v>
      </c>
      <c r="CE1334" s="1011">
        <v>0</v>
      </c>
      <c r="CF1334" s="510">
        <v>37629.599999999999</v>
      </c>
      <c r="CG1334" s="1011">
        <v>0</v>
      </c>
      <c r="CH1334" s="510">
        <v>0</v>
      </c>
      <c r="CI1334" s="1011">
        <v>0</v>
      </c>
    </row>
    <row r="1335" spans="1:87" x14ac:dyDescent="0.2">
      <c r="A1335" s="449">
        <v>13</v>
      </c>
      <c r="B1335" s="453">
        <v>400138</v>
      </c>
      <c r="C1335" s="454" t="s">
        <v>10856</v>
      </c>
      <c r="D1335" s="454" t="s">
        <v>4613</v>
      </c>
      <c r="E1335" s="454" t="s">
        <v>10857</v>
      </c>
      <c r="F1335" s="454" t="s">
        <v>528</v>
      </c>
      <c r="G1335" s="454" t="s">
        <v>14516</v>
      </c>
      <c r="H1335" s="455">
        <v>8260670000159</v>
      </c>
      <c r="I1335" s="462">
        <v>38482</v>
      </c>
      <c r="J1335" s="457">
        <v>37375237</v>
      </c>
      <c r="K1335" s="454" t="s">
        <v>10859</v>
      </c>
      <c r="L1335" s="458">
        <v>135</v>
      </c>
      <c r="M1335" s="454" t="s">
        <v>10860</v>
      </c>
      <c r="N1335" s="459">
        <v>2986110</v>
      </c>
      <c r="O1335" s="460">
        <v>39413282</v>
      </c>
      <c r="P1335" s="462">
        <v>249524</v>
      </c>
      <c r="Q1335" s="462">
        <v>13</v>
      </c>
      <c r="R1335" s="462">
        <v>43938</v>
      </c>
      <c r="S1335" s="463">
        <v>143</v>
      </c>
      <c r="T1335" s="464">
        <v>3.6</v>
      </c>
      <c r="U1335" s="465">
        <v>514.79999999999995</v>
      </c>
      <c r="V1335" s="465">
        <v>10800</v>
      </c>
      <c r="W1335" s="466">
        <v>0</v>
      </c>
      <c r="X1335" s="467">
        <v>1</v>
      </c>
      <c r="Y1335" s="466">
        <v>16972.2</v>
      </c>
      <c r="Z1335" s="468" t="s">
        <v>516</v>
      </c>
      <c r="AA1335" s="466">
        <v>84537</v>
      </c>
      <c r="AB1335" s="466">
        <v>84537</v>
      </c>
      <c r="AC1335" s="467">
        <v>0</v>
      </c>
      <c r="AD1335" s="466">
        <v>0</v>
      </c>
      <c r="AE1335" s="468" t="s">
        <v>516</v>
      </c>
      <c r="AF1335" s="466">
        <v>0</v>
      </c>
      <c r="AG1335" s="466">
        <v>0</v>
      </c>
      <c r="AH1335" s="466">
        <v>9269.68</v>
      </c>
      <c r="AI1335" s="466">
        <v>3048.66</v>
      </c>
      <c r="AJ1335" s="469" t="s">
        <v>1571</v>
      </c>
      <c r="AK1335" s="470" t="s">
        <v>528</v>
      </c>
      <c r="AL1335" s="471" t="s">
        <v>10861</v>
      </c>
      <c r="AM1335" s="470" t="s">
        <v>10862</v>
      </c>
      <c r="AN1335" s="470" t="s">
        <v>10858</v>
      </c>
      <c r="AO1335" s="470" t="s">
        <v>14517</v>
      </c>
      <c r="AP1335" s="470" t="s">
        <v>10727</v>
      </c>
      <c r="AQ1335" s="470" t="s">
        <v>10856</v>
      </c>
      <c r="AR1335" s="472" t="s">
        <v>515</v>
      </c>
      <c r="AS1335" s="473" t="s">
        <v>1385</v>
      </c>
      <c r="AT1335" s="472" t="s">
        <v>4613</v>
      </c>
      <c r="AU1335" s="472" t="s">
        <v>420</v>
      </c>
      <c r="AV1335" s="472">
        <v>2020</v>
      </c>
      <c r="AW1335" s="474" t="s">
        <v>15078</v>
      </c>
      <c r="AX1335" s="475" t="s">
        <v>15079</v>
      </c>
      <c r="AY1335" s="515">
        <v>1</v>
      </c>
      <c r="AZ1335" s="474" t="s">
        <v>15079</v>
      </c>
      <c r="BA1335" s="472" t="s">
        <v>4613</v>
      </c>
      <c r="BB1335" s="472" t="s">
        <v>1385</v>
      </c>
      <c r="BC1335" s="472" t="s">
        <v>1385</v>
      </c>
      <c r="BD1335" s="472" t="s">
        <v>1385</v>
      </c>
      <c r="BE1335" s="472" t="s">
        <v>1385</v>
      </c>
      <c r="BF1335" s="472">
        <v>16972.2</v>
      </c>
      <c r="BG1335" s="472">
        <v>0</v>
      </c>
      <c r="BH1335" s="472" t="s">
        <v>1385</v>
      </c>
      <c r="BI1335" s="510">
        <v>0</v>
      </c>
      <c r="BJ1335" s="510">
        <v>0</v>
      </c>
      <c r="BK1335" s="510">
        <v>0</v>
      </c>
      <c r="BL1335" s="510">
        <v>0</v>
      </c>
      <c r="BM1335" s="510">
        <v>0</v>
      </c>
      <c r="BN1335" s="510">
        <v>2000</v>
      </c>
      <c r="BO1335" s="510">
        <v>0</v>
      </c>
      <c r="BP1335" s="510">
        <v>0</v>
      </c>
      <c r="BQ1335" s="510">
        <v>0</v>
      </c>
      <c r="BR1335" s="510">
        <v>0</v>
      </c>
      <c r="BS1335" s="510">
        <v>0</v>
      </c>
      <c r="BT1335" s="510">
        <v>0</v>
      </c>
      <c r="BU1335" s="510">
        <v>0</v>
      </c>
      <c r="BV1335" s="510">
        <v>0</v>
      </c>
      <c r="BW1335" s="510">
        <v>0</v>
      </c>
      <c r="BX1335" s="510">
        <v>30000</v>
      </c>
      <c r="BY1335" s="1011">
        <v>0</v>
      </c>
      <c r="BZ1335" s="510">
        <v>0</v>
      </c>
      <c r="CA1335" s="1011">
        <v>0</v>
      </c>
      <c r="CB1335" s="510">
        <v>0</v>
      </c>
      <c r="CC1335" s="1011">
        <v>0</v>
      </c>
      <c r="CD1335" s="510">
        <v>0</v>
      </c>
      <c r="CE1335" s="1011">
        <v>0</v>
      </c>
      <c r="CF1335" s="510">
        <v>37564.800000000003</v>
      </c>
      <c r="CG1335" s="1011">
        <v>0</v>
      </c>
      <c r="CH1335" s="510">
        <v>0</v>
      </c>
      <c r="CI1335" s="1011">
        <v>0</v>
      </c>
    </row>
    <row r="1336" spans="1:87" x14ac:dyDescent="0.2">
      <c r="A1336" s="449">
        <v>15</v>
      </c>
      <c r="B1336" s="453">
        <v>400139</v>
      </c>
      <c r="C1336" s="454" t="s">
        <v>10863</v>
      </c>
      <c r="D1336" s="454" t="s">
        <v>4613</v>
      </c>
      <c r="E1336" s="454" t="s">
        <v>10864</v>
      </c>
      <c r="F1336" s="454" t="s">
        <v>513</v>
      </c>
      <c r="G1336" s="454" t="s">
        <v>14518</v>
      </c>
      <c r="H1336" s="455">
        <v>7753781000134</v>
      </c>
      <c r="I1336" s="462">
        <v>38554</v>
      </c>
      <c r="J1336" s="457">
        <v>37530992</v>
      </c>
      <c r="K1336" s="454" t="s">
        <v>10865</v>
      </c>
      <c r="L1336" s="458">
        <v>40</v>
      </c>
      <c r="M1336" s="454" t="s">
        <v>8869</v>
      </c>
      <c r="N1336" s="459">
        <v>3944000</v>
      </c>
      <c r="O1336" s="460">
        <v>29192957</v>
      </c>
      <c r="P1336" s="462">
        <v>145281</v>
      </c>
      <c r="Q1336" s="462">
        <v>15</v>
      </c>
      <c r="R1336" s="462">
        <v>43937</v>
      </c>
      <c r="S1336" s="463">
        <v>130</v>
      </c>
      <c r="T1336" s="464">
        <v>3.6</v>
      </c>
      <c r="U1336" s="465">
        <v>468</v>
      </c>
      <c r="V1336" s="465">
        <v>10800</v>
      </c>
      <c r="W1336" s="466">
        <v>0</v>
      </c>
      <c r="X1336" s="467">
        <v>1</v>
      </c>
      <c r="Y1336" s="466">
        <v>16902</v>
      </c>
      <c r="Z1336" s="468" t="s">
        <v>516</v>
      </c>
      <c r="AA1336" s="466">
        <v>84387.6</v>
      </c>
      <c r="AB1336" s="466">
        <v>84387.6</v>
      </c>
      <c r="AC1336" s="467">
        <v>0</v>
      </c>
      <c r="AD1336" s="466">
        <v>0</v>
      </c>
      <c r="AE1336" s="468" t="s">
        <v>516</v>
      </c>
      <c r="AF1336" s="466">
        <v>0</v>
      </c>
      <c r="AG1336" s="466">
        <v>0</v>
      </c>
      <c r="AH1336" s="466">
        <v>25436.57</v>
      </c>
      <c r="AI1336" s="466">
        <v>1871.36</v>
      </c>
      <c r="AJ1336" s="469" t="s">
        <v>2030</v>
      </c>
      <c r="AK1336" s="470" t="s">
        <v>513</v>
      </c>
      <c r="AL1336" s="471" t="s">
        <v>10866</v>
      </c>
      <c r="AM1336" s="470" t="s">
        <v>10867</v>
      </c>
      <c r="AN1336" s="470" t="s">
        <v>10868</v>
      </c>
      <c r="AO1336" s="470" t="s">
        <v>10869</v>
      </c>
      <c r="AP1336" s="470" t="s">
        <v>8869</v>
      </c>
      <c r="AQ1336" s="470" t="s">
        <v>10863</v>
      </c>
      <c r="AR1336" s="472" t="s">
        <v>515</v>
      </c>
      <c r="AS1336" s="473" t="s">
        <v>1385</v>
      </c>
      <c r="AT1336" s="472" t="s">
        <v>4613</v>
      </c>
      <c r="AU1336" s="472" t="s">
        <v>420</v>
      </c>
      <c r="AV1336" s="472">
        <v>2020</v>
      </c>
      <c r="AW1336" s="474" t="s">
        <v>15078</v>
      </c>
      <c r="AX1336" s="475" t="s">
        <v>15079</v>
      </c>
      <c r="AY1336" s="515">
        <v>1</v>
      </c>
      <c r="AZ1336" s="474" t="s">
        <v>15079</v>
      </c>
      <c r="BA1336" s="472" t="s">
        <v>4613</v>
      </c>
      <c r="BB1336" s="472" t="s">
        <v>1385</v>
      </c>
      <c r="BC1336" s="472" t="s">
        <v>1385</v>
      </c>
      <c r="BD1336" s="472" t="s">
        <v>1385</v>
      </c>
      <c r="BE1336" s="472" t="s">
        <v>1385</v>
      </c>
      <c r="BF1336" s="472">
        <v>16902</v>
      </c>
      <c r="BG1336" s="472">
        <v>0</v>
      </c>
      <c r="BH1336" s="472" t="s">
        <v>1385</v>
      </c>
      <c r="BI1336" s="510">
        <v>0</v>
      </c>
      <c r="BJ1336" s="510">
        <v>0</v>
      </c>
      <c r="BK1336" s="510">
        <v>0</v>
      </c>
      <c r="BL1336" s="510">
        <v>0</v>
      </c>
      <c r="BM1336" s="510">
        <v>0</v>
      </c>
      <c r="BN1336" s="510">
        <v>2000</v>
      </c>
      <c r="BO1336" s="510">
        <v>0</v>
      </c>
      <c r="BP1336" s="510">
        <v>0</v>
      </c>
      <c r="BQ1336" s="510">
        <v>0</v>
      </c>
      <c r="BR1336" s="510">
        <v>0</v>
      </c>
      <c r="BS1336" s="510">
        <v>0</v>
      </c>
      <c r="BT1336" s="510">
        <v>0</v>
      </c>
      <c r="BU1336" s="510">
        <v>0</v>
      </c>
      <c r="BV1336" s="510">
        <v>0</v>
      </c>
      <c r="BW1336" s="510">
        <v>0</v>
      </c>
      <c r="BX1336" s="510">
        <v>30000</v>
      </c>
      <c r="BY1336" s="1011">
        <v>0</v>
      </c>
      <c r="BZ1336" s="510">
        <v>0</v>
      </c>
      <c r="CA1336" s="1011">
        <v>0</v>
      </c>
      <c r="CB1336" s="510">
        <v>0</v>
      </c>
      <c r="CC1336" s="1011">
        <v>0</v>
      </c>
      <c r="CD1336" s="510">
        <v>0</v>
      </c>
      <c r="CE1336" s="1011">
        <v>0</v>
      </c>
      <c r="CF1336" s="510">
        <v>37485.599999999999</v>
      </c>
      <c r="CG1336" s="1011">
        <v>0</v>
      </c>
      <c r="CH1336" s="510">
        <v>0</v>
      </c>
      <c r="CI1336" s="1011">
        <v>0</v>
      </c>
    </row>
    <row r="1337" spans="1:87" x14ac:dyDescent="0.2">
      <c r="A1337" s="449">
        <v>13</v>
      </c>
      <c r="B1337" s="453">
        <v>400140</v>
      </c>
      <c r="C1337" s="454" t="s">
        <v>10870</v>
      </c>
      <c r="D1337" s="454" t="s">
        <v>4613</v>
      </c>
      <c r="E1337" s="454" t="s">
        <v>10871</v>
      </c>
      <c r="F1337" s="454" t="s">
        <v>521</v>
      </c>
      <c r="G1337" s="454" t="s">
        <v>14519</v>
      </c>
      <c r="H1337" s="455">
        <v>6941956000174</v>
      </c>
      <c r="I1337" s="462">
        <v>38135</v>
      </c>
      <c r="J1337" s="457">
        <v>37553224</v>
      </c>
      <c r="K1337" s="454" t="s">
        <v>10872</v>
      </c>
      <c r="L1337" s="458">
        <v>65</v>
      </c>
      <c r="M1337" s="454" t="s">
        <v>10873</v>
      </c>
      <c r="N1337" s="459">
        <v>4856080</v>
      </c>
      <c r="O1337" s="460">
        <v>55262313</v>
      </c>
      <c r="P1337" s="462">
        <v>99859</v>
      </c>
      <c r="Q1337" s="462">
        <v>2</v>
      </c>
      <c r="R1337" s="462">
        <v>43934</v>
      </c>
      <c r="S1337" s="463">
        <v>194</v>
      </c>
      <c r="T1337" s="464">
        <v>3.6</v>
      </c>
      <c r="U1337" s="465">
        <v>698.4</v>
      </c>
      <c r="V1337" s="465">
        <v>10800</v>
      </c>
      <c r="W1337" s="466">
        <v>0</v>
      </c>
      <c r="X1337" s="467">
        <v>1</v>
      </c>
      <c r="Y1337" s="466">
        <v>17247.599999999999</v>
      </c>
      <c r="Z1337" s="468" t="s">
        <v>516</v>
      </c>
      <c r="AA1337" s="466">
        <v>85222.8</v>
      </c>
      <c r="AB1337" s="466">
        <v>85222.8</v>
      </c>
      <c r="AC1337" s="467">
        <v>0</v>
      </c>
      <c r="AD1337" s="466">
        <v>0</v>
      </c>
      <c r="AE1337" s="468" t="s">
        <v>516</v>
      </c>
      <c r="AF1337" s="466">
        <v>0</v>
      </c>
      <c r="AG1337" s="466">
        <v>0</v>
      </c>
      <c r="AH1337" s="466">
        <v>11378.05</v>
      </c>
      <c r="AI1337" s="466">
        <v>7089.6</v>
      </c>
      <c r="AJ1337" s="469" t="s">
        <v>1624</v>
      </c>
      <c r="AK1337" s="470" t="s">
        <v>1625</v>
      </c>
      <c r="AL1337" s="471" t="s">
        <v>10874</v>
      </c>
      <c r="AM1337" s="470" t="s">
        <v>14520</v>
      </c>
      <c r="AN1337" s="470" t="s">
        <v>1385</v>
      </c>
      <c r="AO1337" s="470" t="s">
        <v>10875</v>
      </c>
      <c r="AP1337" s="470" t="s">
        <v>10876</v>
      </c>
      <c r="AQ1337" s="470" t="s">
        <v>10870</v>
      </c>
      <c r="AR1337" s="472" t="s">
        <v>515</v>
      </c>
      <c r="AS1337" s="473" t="s">
        <v>1385</v>
      </c>
      <c r="AT1337" s="472" t="s">
        <v>4613</v>
      </c>
      <c r="AU1337" s="472" t="s">
        <v>420</v>
      </c>
      <c r="AV1337" s="472">
        <v>2020</v>
      </c>
      <c r="AW1337" s="474" t="s">
        <v>15078</v>
      </c>
      <c r="AX1337" s="475" t="s">
        <v>15079</v>
      </c>
      <c r="AY1337" s="515">
        <v>1</v>
      </c>
      <c r="AZ1337" s="474" t="s">
        <v>15079</v>
      </c>
      <c r="BA1337" s="472" t="s">
        <v>4613</v>
      </c>
      <c r="BB1337" s="472" t="s">
        <v>1385</v>
      </c>
      <c r="BC1337" s="472" t="s">
        <v>1385</v>
      </c>
      <c r="BD1337" s="472" t="s">
        <v>1385</v>
      </c>
      <c r="BE1337" s="472" t="s">
        <v>1385</v>
      </c>
      <c r="BF1337" s="472">
        <v>17247.599999999999</v>
      </c>
      <c r="BG1337" s="472">
        <v>0</v>
      </c>
      <c r="BH1337" s="472" t="s">
        <v>1385</v>
      </c>
      <c r="BI1337" s="510">
        <v>0</v>
      </c>
      <c r="BJ1337" s="510">
        <v>0</v>
      </c>
      <c r="BK1337" s="510">
        <v>0</v>
      </c>
      <c r="BL1337" s="510">
        <v>0</v>
      </c>
      <c r="BM1337" s="510">
        <v>0</v>
      </c>
      <c r="BN1337" s="510">
        <v>2000</v>
      </c>
      <c r="BO1337" s="510">
        <v>0</v>
      </c>
      <c r="BP1337" s="510">
        <v>0</v>
      </c>
      <c r="BQ1337" s="510">
        <v>0</v>
      </c>
      <c r="BR1337" s="510">
        <v>0</v>
      </c>
      <c r="BS1337" s="510">
        <v>0</v>
      </c>
      <c r="BT1337" s="510">
        <v>0</v>
      </c>
      <c r="BU1337" s="510">
        <v>0</v>
      </c>
      <c r="BV1337" s="510">
        <v>0</v>
      </c>
      <c r="BW1337" s="510">
        <v>0</v>
      </c>
      <c r="BX1337" s="510">
        <v>30000</v>
      </c>
      <c r="BY1337" s="1011">
        <v>0</v>
      </c>
      <c r="BZ1337" s="510">
        <v>0</v>
      </c>
      <c r="CA1337" s="1011">
        <v>0</v>
      </c>
      <c r="CB1337" s="510">
        <v>0</v>
      </c>
      <c r="CC1337" s="1011">
        <v>0</v>
      </c>
      <c r="CD1337" s="510">
        <v>0</v>
      </c>
      <c r="CE1337" s="1011">
        <v>0</v>
      </c>
      <c r="CF1337" s="510">
        <v>37975.199999999997</v>
      </c>
      <c r="CG1337" s="1011">
        <v>0</v>
      </c>
      <c r="CH1337" s="510">
        <v>0</v>
      </c>
      <c r="CI1337" s="1011">
        <v>0</v>
      </c>
    </row>
    <row r="1338" spans="1:87" x14ac:dyDescent="0.2">
      <c r="A1338" s="449">
        <v>26</v>
      </c>
      <c r="B1338" s="453">
        <v>400141</v>
      </c>
      <c r="C1338" s="454" t="s">
        <v>10877</v>
      </c>
      <c r="D1338" s="454" t="s">
        <v>4613</v>
      </c>
      <c r="E1338" s="454" t="s">
        <v>10877</v>
      </c>
      <c r="F1338" s="454" t="s">
        <v>520</v>
      </c>
      <c r="G1338" s="454" t="s">
        <v>14521</v>
      </c>
      <c r="H1338" s="455">
        <v>8349753000119</v>
      </c>
      <c r="I1338" s="462">
        <v>38541</v>
      </c>
      <c r="J1338" s="457">
        <v>37620754</v>
      </c>
      <c r="K1338" s="454" t="s">
        <v>10879</v>
      </c>
      <c r="L1338" s="458">
        <v>174</v>
      </c>
      <c r="M1338" s="454" t="s">
        <v>10880</v>
      </c>
      <c r="N1338" s="459">
        <v>5863250</v>
      </c>
      <c r="O1338" s="460">
        <v>55143315</v>
      </c>
      <c r="P1338" s="462">
        <v>301526</v>
      </c>
      <c r="Q1338" s="462">
        <v>26</v>
      </c>
      <c r="R1338" s="462">
        <v>43969</v>
      </c>
      <c r="S1338" s="463">
        <v>137</v>
      </c>
      <c r="T1338" s="464">
        <v>3.6</v>
      </c>
      <c r="U1338" s="465">
        <v>493.2</v>
      </c>
      <c r="V1338" s="465">
        <v>10800</v>
      </c>
      <c r="W1338" s="466">
        <v>0</v>
      </c>
      <c r="X1338" s="467">
        <v>1</v>
      </c>
      <c r="Y1338" s="466">
        <v>16939.8</v>
      </c>
      <c r="Z1338" s="468" t="s">
        <v>516</v>
      </c>
      <c r="AA1338" s="466">
        <v>84519</v>
      </c>
      <c r="AB1338" s="466">
        <v>84519</v>
      </c>
      <c r="AC1338" s="467">
        <v>0</v>
      </c>
      <c r="AD1338" s="466">
        <v>0</v>
      </c>
      <c r="AE1338" s="468" t="s">
        <v>516</v>
      </c>
      <c r="AF1338" s="466">
        <v>0</v>
      </c>
      <c r="AG1338" s="466">
        <v>0</v>
      </c>
      <c r="AH1338" s="466">
        <v>16962.62</v>
      </c>
      <c r="AI1338" s="466">
        <v>0</v>
      </c>
      <c r="AJ1338" s="469" t="s">
        <v>1515</v>
      </c>
      <c r="AK1338" s="470" t="s">
        <v>1516</v>
      </c>
      <c r="AL1338" s="471" t="s">
        <v>10881</v>
      </c>
      <c r="AM1338" s="470" t="s">
        <v>14522</v>
      </c>
      <c r="AN1338" s="470" t="s">
        <v>10878</v>
      </c>
      <c r="AO1338" s="470" t="s">
        <v>10882</v>
      </c>
      <c r="AP1338" s="470" t="s">
        <v>10883</v>
      </c>
      <c r="AQ1338" s="470" t="s">
        <v>10877</v>
      </c>
      <c r="AR1338" s="472" t="s">
        <v>515</v>
      </c>
      <c r="AS1338" s="473" t="s">
        <v>1385</v>
      </c>
      <c r="AT1338" s="472" t="s">
        <v>4613</v>
      </c>
      <c r="AU1338" s="472" t="s">
        <v>420</v>
      </c>
      <c r="AV1338" s="472">
        <v>2020</v>
      </c>
      <c r="AW1338" s="474" t="s">
        <v>15078</v>
      </c>
      <c r="AX1338" s="475" t="s">
        <v>15079</v>
      </c>
      <c r="AY1338" s="515">
        <v>1</v>
      </c>
      <c r="AZ1338" s="474" t="s">
        <v>15079</v>
      </c>
      <c r="BA1338" s="472" t="s">
        <v>4613</v>
      </c>
      <c r="BB1338" s="472" t="s">
        <v>1385</v>
      </c>
      <c r="BC1338" s="472" t="s">
        <v>1385</v>
      </c>
      <c r="BD1338" s="472" t="s">
        <v>1385</v>
      </c>
      <c r="BE1338" s="472" t="s">
        <v>1385</v>
      </c>
      <c r="BF1338" s="472">
        <v>16939.8</v>
      </c>
      <c r="BG1338" s="472">
        <v>0</v>
      </c>
      <c r="BH1338" s="472" t="s">
        <v>1385</v>
      </c>
      <c r="BI1338" s="510">
        <v>0</v>
      </c>
      <c r="BJ1338" s="510">
        <v>0</v>
      </c>
      <c r="BK1338" s="510">
        <v>0</v>
      </c>
      <c r="BL1338" s="510">
        <v>0</v>
      </c>
      <c r="BM1338" s="510">
        <v>0</v>
      </c>
      <c r="BN1338" s="510">
        <v>2000</v>
      </c>
      <c r="BO1338" s="510">
        <v>0</v>
      </c>
      <c r="BP1338" s="510">
        <v>0</v>
      </c>
      <c r="BQ1338" s="510">
        <v>0</v>
      </c>
      <c r="BR1338" s="510">
        <v>0</v>
      </c>
      <c r="BS1338" s="510">
        <v>0</v>
      </c>
      <c r="BT1338" s="510">
        <v>0</v>
      </c>
      <c r="BU1338" s="510">
        <v>0</v>
      </c>
      <c r="BV1338" s="510">
        <v>0</v>
      </c>
      <c r="BW1338" s="510">
        <v>0</v>
      </c>
      <c r="BX1338" s="510">
        <v>30000</v>
      </c>
      <c r="BY1338" s="1011">
        <v>0</v>
      </c>
      <c r="BZ1338" s="510">
        <v>0</v>
      </c>
      <c r="CA1338" s="1011">
        <v>0</v>
      </c>
      <c r="CB1338" s="510">
        <v>0</v>
      </c>
      <c r="CC1338" s="1011">
        <v>0</v>
      </c>
      <c r="CD1338" s="510">
        <v>0</v>
      </c>
      <c r="CE1338" s="1011">
        <v>0</v>
      </c>
      <c r="CF1338" s="510">
        <v>37579.199999999997</v>
      </c>
      <c r="CG1338" s="1011">
        <v>0</v>
      </c>
      <c r="CH1338" s="510">
        <v>0</v>
      </c>
      <c r="CI1338" s="1011">
        <v>0</v>
      </c>
    </row>
    <row r="1339" spans="1:87" x14ac:dyDescent="0.2">
      <c r="A1339" s="449">
        <v>13</v>
      </c>
      <c r="B1339" s="453">
        <v>400142</v>
      </c>
      <c r="C1339" s="454" t="s">
        <v>10884</v>
      </c>
      <c r="D1339" s="454" t="s">
        <v>4613</v>
      </c>
      <c r="E1339" s="454" t="s">
        <v>10885</v>
      </c>
      <c r="F1339" s="454" t="s">
        <v>527</v>
      </c>
      <c r="G1339" s="454" t="s">
        <v>14523</v>
      </c>
      <c r="H1339" s="455">
        <v>7944448000102</v>
      </c>
      <c r="I1339" s="462">
        <v>38772</v>
      </c>
      <c r="J1339" s="457">
        <v>37585762</v>
      </c>
      <c r="K1339" s="454" t="s">
        <v>10886</v>
      </c>
      <c r="L1339" s="458">
        <v>55</v>
      </c>
      <c r="M1339" s="454" t="s">
        <v>7850</v>
      </c>
      <c r="N1339" s="459">
        <v>3675030</v>
      </c>
      <c r="O1339" s="460">
        <v>20434598</v>
      </c>
      <c r="P1339" s="462">
        <v>178724</v>
      </c>
      <c r="Q1339" s="462">
        <v>13</v>
      </c>
      <c r="R1339" s="462">
        <v>43917</v>
      </c>
      <c r="S1339" s="463">
        <v>136</v>
      </c>
      <c r="T1339" s="464">
        <v>3.6</v>
      </c>
      <c r="U1339" s="465">
        <v>489.6</v>
      </c>
      <c r="V1339" s="465">
        <v>10800</v>
      </c>
      <c r="W1339" s="466">
        <v>0</v>
      </c>
      <c r="X1339" s="467">
        <v>1</v>
      </c>
      <c r="Y1339" s="466">
        <v>16934.400000000001</v>
      </c>
      <c r="Z1339" s="468" t="s">
        <v>516</v>
      </c>
      <c r="AA1339" s="466">
        <v>84528</v>
      </c>
      <c r="AB1339" s="466">
        <v>84528</v>
      </c>
      <c r="AC1339" s="467">
        <v>0</v>
      </c>
      <c r="AD1339" s="466">
        <v>0</v>
      </c>
      <c r="AE1339" s="468" t="s">
        <v>516</v>
      </c>
      <c r="AF1339" s="466">
        <v>0</v>
      </c>
      <c r="AG1339" s="466">
        <v>0</v>
      </c>
      <c r="AH1339" s="466">
        <v>10181.709999999999</v>
      </c>
      <c r="AI1339" s="466">
        <v>6047.87</v>
      </c>
      <c r="AJ1339" s="469" t="s">
        <v>4600</v>
      </c>
      <c r="AK1339" s="470" t="s">
        <v>9714</v>
      </c>
      <c r="AL1339" s="471" t="s">
        <v>10887</v>
      </c>
      <c r="AM1339" s="470" t="s">
        <v>10888</v>
      </c>
      <c r="AN1339" s="470" t="s">
        <v>14523</v>
      </c>
      <c r="AO1339" s="470" t="s">
        <v>14524</v>
      </c>
      <c r="AP1339" s="470" t="s">
        <v>10889</v>
      </c>
      <c r="AQ1339" s="470" t="s">
        <v>10884</v>
      </c>
      <c r="AR1339" s="472" t="s">
        <v>515</v>
      </c>
      <c r="AS1339" s="473" t="s">
        <v>1385</v>
      </c>
      <c r="AT1339" s="472" t="s">
        <v>4613</v>
      </c>
      <c r="AU1339" s="472" t="s">
        <v>420</v>
      </c>
      <c r="AV1339" s="472">
        <v>2020</v>
      </c>
      <c r="AW1339" s="474" t="s">
        <v>15078</v>
      </c>
      <c r="AX1339" s="475" t="s">
        <v>15079</v>
      </c>
      <c r="AY1339" s="515">
        <v>1</v>
      </c>
      <c r="AZ1339" s="474" t="s">
        <v>15079</v>
      </c>
      <c r="BA1339" s="472" t="s">
        <v>4613</v>
      </c>
      <c r="BB1339" s="472" t="s">
        <v>1385</v>
      </c>
      <c r="BC1339" s="472" t="s">
        <v>1385</v>
      </c>
      <c r="BD1339" s="472" t="s">
        <v>1385</v>
      </c>
      <c r="BE1339" s="472" t="s">
        <v>1385</v>
      </c>
      <c r="BF1339" s="472">
        <v>16934.400000000001</v>
      </c>
      <c r="BG1339" s="472">
        <v>0</v>
      </c>
      <c r="BH1339" s="472" t="s">
        <v>1385</v>
      </c>
      <c r="BI1339" s="510">
        <v>0</v>
      </c>
      <c r="BJ1339" s="510">
        <v>0</v>
      </c>
      <c r="BK1339" s="510">
        <v>0</v>
      </c>
      <c r="BL1339" s="510">
        <v>0</v>
      </c>
      <c r="BM1339" s="510">
        <v>0</v>
      </c>
      <c r="BN1339" s="510">
        <v>2000</v>
      </c>
      <c r="BO1339" s="510">
        <v>0</v>
      </c>
      <c r="BP1339" s="510">
        <v>0</v>
      </c>
      <c r="BQ1339" s="510">
        <v>0</v>
      </c>
      <c r="BR1339" s="510">
        <v>0</v>
      </c>
      <c r="BS1339" s="510">
        <v>0</v>
      </c>
      <c r="BT1339" s="510">
        <v>0</v>
      </c>
      <c r="BU1339" s="510">
        <v>0</v>
      </c>
      <c r="BV1339" s="510">
        <v>0</v>
      </c>
      <c r="BW1339" s="510">
        <v>0</v>
      </c>
      <c r="BX1339" s="510">
        <v>30000</v>
      </c>
      <c r="BY1339" s="1011">
        <v>0</v>
      </c>
      <c r="BZ1339" s="510">
        <v>0</v>
      </c>
      <c r="CA1339" s="1011">
        <v>0</v>
      </c>
      <c r="CB1339" s="510">
        <v>0</v>
      </c>
      <c r="CC1339" s="1011">
        <v>0</v>
      </c>
      <c r="CD1339" s="510">
        <v>0</v>
      </c>
      <c r="CE1339" s="1011">
        <v>0</v>
      </c>
      <c r="CF1339" s="510">
        <v>37593.599999999999</v>
      </c>
      <c r="CG1339" s="1011">
        <v>0</v>
      </c>
      <c r="CH1339" s="510">
        <v>0</v>
      </c>
      <c r="CI1339" s="1011">
        <v>0</v>
      </c>
    </row>
    <row r="1340" spans="1:87" x14ac:dyDescent="0.2">
      <c r="A1340" s="449">
        <v>27</v>
      </c>
      <c r="B1340" s="453">
        <v>400143</v>
      </c>
      <c r="C1340" s="454" t="s">
        <v>10890</v>
      </c>
      <c r="D1340" s="454" t="s">
        <v>4613</v>
      </c>
      <c r="E1340" s="454" t="s">
        <v>10890</v>
      </c>
      <c r="F1340" s="454" t="s">
        <v>520</v>
      </c>
      <c r="G1340" s="454" t="s">
        <v>14525</v>
      </c>
      <c r="H1340" s="455">
        <v>7681054000109</v>
      </c>
      <c r="I1340" s="462">
        <v>38495</v>
      </c>
      <c r="J1340" s="457">
        <v>37620550</v>
      </c>
      <c r="K1340" s="454" t="s">
        <v>10891</v>
      </c>
      <c r="L1340" s="458">
        <v>139</v>
      </c>
      <c r="M1340" s="454" t="s">
        <v>5378</v>
      </c>
      <c r="N1340" s="459">
        <v>5754040</v>
      </c>
      <c r="O1340" s="460">
        <v>58448884</v>
      </c>
      <c r="P1340" s="462">
        <v>293019</v>
      </c>
      <c r="Q1340" s="462">
        <v>27</v>
      </c>
      <c r="R1340" s="462">
        <v>43969</v>
      </c>
      <c r="S1340" s="463">
        <v>137</v>
      </c>
      <c r="T1340" s="464">
        <v>3.6</v>
      </c>
      <c r="U1340" s="465">
        <v>493.2</v>
      </c>
      <c r="V1340" s="465">
        <v>10800</v>
      </c>
      <c r="W1340" s="466">
        <v>0</v>
      </c>
      <c r="X1340" s="467">
        <v>1</v>
      </c>
      <c r="Y1340" s="466">
        <v>16939.8</v>
      </c>
      <c r="Z1340" s="468" t="s">
        <v>516</v>
      </c>
      <c r="AA1340" s="466">
        <v>84483</v>
      </c>
      <c r="AB1340" s="466">
        <v>84483</v>
      </c>
      <c r="AC1340" s="467">
        <v>0</v>
      </c>
      <c r="AD1340" s="466">
        <v>0</v>
      </c>
      <c r="AE1340" s="468" t="s">
        <v>516</v>
      </c>
      <c r="AF1340" s="466">
        <v>0</v>
      </c>
      <c r="AG1340" s="466">
        <v>0</v>
      </c>
      <c r="AH1340" s="466">
        <v>16545.79</v>
      </c>
      <c r="AI1340" s="466">
        <v>0</v>
      </c>
      <c r="AJ1340" s="469" t="s">
        <v>2443</v>
      </c>
      <c r="AK1340" s="470" t="s">
        <v>10892</v>
      </c>
      <c r="AL1340" s="471" t="s">
        <v>10893</v>
      </c>
      <c r="AM1340" s="470" t="s">
        <v>10894</v>
      </c>
      <c r="AN1340" s="470" t="s">
        <v>10895</v>
      </c>
      <c r="AO1340" s="470" t="s">
        <v>10896</v>
      </c>
      <c r="AP1340" s="470" t="s">
        <v>5378</v>
      </c>
      <c r="AQ1340" s="470" t="s">
        <v>10890</v>
      </c>
      <c r="AR1340" s="472" t="s">
        <v>515</v>
      </c>
      <c r="AS1340" s="473" t="s">
        <v>1385</v>
      </c>
      <c r="AT1340" s="472" t="s">
        <v>4613</v>
      </c>
      <c r="AU1340" s="472" t="s">
        <v>420</v>
      </c>
      <c r="AV1340" s="472">
        <v>2020</v>
      </c>
      <c r="AW1340" s="474" t="s">
        <v>15078</v>
      </c>
      <c r="AX1340" s="475" t="s">
        <v>15079</v>
      </c>
      <c r="AY1340" s="515">
        <v>1</v>
      </c>
      <c r="AZ1340" s="474" t="s">
        <v>15079</v>
      </c>
      <c r="BA1340" s="472" t="s">
        <v>4613</v>
      </c>
      <c r="BB1340" s="472" t="s">
        <v>1385</v>
      </c>
      <c r="BC1340" s="472" t="s">
        <v>1385</v>
      </c>
      <c r="BD1340" s="472" t="s">
        <v>1385</v>
      </c>
      <c r="BE1340" s="472" t="s">
        <v>1385</v>
      </c>
      <c r="BF1340" s="472">
        <v>16939.8</v>
      </c>
      <c r="BG1340" s="472">
        <v>0</v>
      </c>
      <c r="BH1340" s="472" t="s">
        <v>1385</v>
      </c>
      <c r="BI1340" s="510">
        <v>0</v>
      </c>
      <c r="BJ1340" s="510">
        <v>0</v>
      </c>
      <c r="BK1340" s="510">
        <v>0</v>
      </c>
      <c r="BL1340" s="510">
        <v>0</v>
      </c>
      <c r="BM1340" s="510">
        <v>0</v>
      </c>
      <c r="BN1340" s="510">
        <v>2000</v>
      </c>
      <c r="BO1340" s="510">
        <v>0</v>
      </c>
      <c r="BP1340" s="510">
        <v>0</v>
      </c>
      <c r="BQ1340" s="510">
        <v>0</v>
      </c>
      <c r="BR1340" s="510">
        <v>0</v>
      </c>
      <c r="BS1340" s="510">
        <v>0</v>
      </c>
      <c r="BT1340" s="510">
        <v>0</v>
      </c>
      <c r="BU1340" s="510">
        <v>0</v>
      </c>
      <c r="BV1340" s="510">
        <v>0</v>
      </c>
      <c r="BW1340" s="510">
        <v>0</v>
      </c>
      <c r="BX1340" s="510">
        <v>30000</v>
      </c>
      <c r="BY1340" s="1011">
        <v>0</v>
      </c>
      <c r="BZ1340" s="510">
        <v>0</v>
      </c>
      <c r="CA1340" s="1011">
        <v>0</v>
      </c>
      <c r="CB1340" s="510">
        <v>0</v>
      </c>
      <c r="CC1340" s="1011">
        <v>0</v>
      </c>
      <c r="CD1340" s="510">
        <v>0</v>
      </c>
      <c r="CE1340" s="1011">
        <v>0</v>
      </c>
      <c r="CF1340" s="510">
        <v>37543.199999999997</v>
      </c>
      <c r="CG1340" s="1011">
        <v>0</v>
      </c>
      <c r="CH1340" s="510">
        <v>0</v>
      </c>
      <c r="CI1340" s="1011">
        <v>0</v>
      </c>
    </row>
    <row r="1341" spans="1:87" x14ac:dyDescent="0.2">
      <c r="A1341" s="449">
        <v>14</v>
      </c>
      <c r="B1341" s="453">
        <v>400144</v>
      </c>
      <c r="C1341" s="454" t="s">
        <v>10897</v>
      </c>
      <c r="D1341" s="454" t="s">
        <v>4613</v>
      </c>
      <c r="E1341" s="454" t="s">
        <v>10898</v>
      </c>
      <c r="F1341" s="454" t="s">
        <v>521</v>
      </c>
      <c r="G1341" s="454" t="s">
        <v>14526</v>
      </c>
      <c r="H1341" s="455">
        <v>7035935000152</v>
      </c>
      <c r="I1341" s="462">
        <v>38124</v>
      </c>
      <c r="J1341" s="457">
        <v>37553097</v>
      </c>
      <c r="K1341" s="454" t="s">
        <v>10899</v>
      </c>
      <c r="L1341" s="458" t="s">
        <v>1446</v>
      </c>
      <c r="M1341" s="454" t="s">
        <v>10900</v>
      </c>
      <c r="N1341" s="459">
        <v>4829500</v>
      </c>
      <c r="O1341" s="460">
        <v>59294840</v>
      </c>
      <c r="P1341" s="462">
        <v>88814</v>
      </c>
      <c r="Q1341" s="462">
        <v>9</v>
      </c>
      <c r="R1341" s="462">
        <v>43934</v>
      </c>
      <c r="S1341" s="463">
        <v>132</v>
      </c>
      <c r="T1341" s="464">
        <v>3.6</v>
      </c>
      <c r="U1341" s="465">
        <v>475.2</v>
      </c>
      <c r="V1341" s="465">
        <v>10800</v>
      </c>
      <c r="W1341" s="466">
        <v>0</v>
      </c>
      <c r="X1341" s="467">
        <v>1</v>
      </c>
      <c r="Y1341" s="466">
        <v>16912.8</v>
      </c>
      <c r="Z1341" s="468" t="s">
        <v>516</v>
      </c>
      <c r="AA1341" s="466">
        <v>84456</v>
      </c>
      <c r="AB1341" s="466">
        <v>84456</v>
      </c>
      <c r="AC1341" s="467">
        <v>0</v>
      </c>
      <c r="AD1341" s="466">
        <v>0</v>
      </c>
      <c r="AE1341" s="468" t="s">
        <v>516</v>
      </c>
      <c r="AF1341" s="466">
        <v>0</v>
      </c>
      <c r="AG1341" s="466">
        <v>0</v>
      </c>
      <c r="AH1341" s="466">
        <v>20025.13</v>
      </c>
      <c r="AI1341" s="466">
        <v>9837.9</v>
      </c>
      <c r="AJ1341" s="469" t="s">
        <v>1624</v>
      </c>
      <c r="AK1341" s="470" t="s">
        <v>1625</v>
      </c>
      <c r="AL1341" s="471" t="s">
        <v>10901</v>
      </c>
      <c r="AM1341" s="470" t="s">
        <v>14527</v>
      </c>
      <c r="AN1341" s="470" t="s">
        <v>1385</v>
      </c>
      <c r="AO1341" s="470" t="s">
        <v>14528</v>
      </c>
      <c r="AP1341" s="470" t="s">
        <v>10902</v>
      </c>
      <c r="AQ1341" s="470" t="s">
        <v>10897</v>
      </c>
      <c r="AR1341" s="472" t="s">
        <v>515</v>
      </c>
      <c r="AS1341" s="473" t="s">
        <v>1385</v>
      </c>
      <c r="AT1341" s="472" t="s">
        <v>4613</v>
      </c>
      <c r="AU1341" s="472" t="s">
        <v>420</v>
      </c>
      <c r="AV1341" s="472">
        <v>2020</v>
      </c>
      <c r="AW1341" s="474" t="s">
        <v>15078</v>
      </c>
      <c r="AX1341" s="475" t="s">
        <v>15079</v>
      </c>
      <c r="AY1341" s="515">
        <v>1</v>
      </c>
      <c r="AZ1341" s="474" t="s">
        <v>15079</v>
      </c>
      <c r="BA1341" s="472" t="s">
        <v>4613</v>
      </c>
      <c r="BB1341" s="472" t="s">
        <v>1385</v>
      </c>
      <c r="BC1341" s="472" t="s">
        <v>1385</v>
      </c>
      <c r="BD1341" s="472" t="s">
        <v>1385</v>
      </c>
      <c r="BE1341" s="472" t="s">
        <v>1385</v>
      </c>
      <c r="BF1341" s="472">
        <v>16912.8</v>
      </c>
      <c r="BG1341" s="472">
        <v>0</v>
      </c>
      <c r="BH1341" s="472" t="s">
        <v>1385</v>
      </c>
      <c r="BI1341" s="510">
        <v>0</v>
      </c>
      <c r="BJ1341" s="510">
        <v>0</v>
      </c>
      <c r="BK1341" s="510">
        <v>0</v>
      </c>
      <c r="BL1341" s="510">
        <v>0</v>
      </c>
      <c r="BM1341" s="510">
        <v>0</v>
      </c>
      <c r="BN1341" s="510">
        <v>2000</v>
      </c>
      <c r="BO1341" s="510">
        <v>0</v>
      </c>
      <c r="BP1341" s="510">
        <v>0</v>
      </c>
      <c r="BQ1341" s="510">
        <v>0</v>
      </c>
      <c r="BR1341" s="510">
        <v>0</v>
      </c>
      <c r="BS1341" s="510">
        <v>0</v>
      </c>
      <c r="BT1341" s="510">
        <v>0</v>
      </c>
      <c r="BU1341" s="510">
        <v>0</v>
      </c>
      <c r="BV1341" s="510">
        <v>0</v>
      </c>
      <c r="BW1341" s="510">
        <v>0</v>
      </c>
      <c r="BX1341" s="510">
        <v>30000</v>
      </c>
      <c r="BY1341" s="1011">
        <v>0</v>
      </c>
      <c r="BZ1341" s="510">
        <v>0</v>
      </c>
      <c r="CA1341" s="1011">
        <v>0</v>
      </c>
      <c r="CB1341" s="510">
        <v>0</v>
      </c>
      <c r="CC1341" s="1011">
        <v>0</v>
      </c>
      <c r="CD1341" s="510">
        <v>0</v>
      </c>
      <c r="CE1341" s="1011">
        <v>0</v>
      </c>
      <c r="CF1341" s="510">
        <v>37543.199999999997</v>
      </c>
      <c r="CG1341" s="1011">
        <v>0</v>
      </c>
      <c r="CH1341" s="510">
        <v>0</v>
      </c>
      <c r="CI1341" s="1011">
        <v>0</v>
      </c>
    </row>
    <row r="1342" spans="1:87" x14ac:dyDescent="0.2">
      <c r="A1342" s="449">
        <v>16</v>
      </c>
      <c r="B1342" s="453">
        <v>400145</v>
      </c>
      <c r="C1342" s="454" t="s">
        <v>10903</v>
      </c>
      <c r="D1342" s="454" t="s">
        <v>4613</v>
      </c>
      <c r="E1342" s="454" t="s">
        <v>10904</v>
      </c>
      <c r="F1342" s="454" t="s">
        <v>513</v>
      </c>
      <c r="G1342" s="454" t="s">
        <v>14529</v>
      </c>
      <c r="H1342" s="455">
        <v>7919522000130</v>
      </c>
      <c r="I1342" s="462">
        <v>38748</v>
      </c>
      <c r="J1342" s="457">
        <v>37531000</v>
      </c>
      <c r="K1342" s="454" t="s">
        <v>10905</v>
      </c>
      <c r="L1342" s="458">
        <v>54</v>
      </c>
      <c r="M1342" s="454" t="s">
        <v>4951</v>
      </c>
      <c r="N1342" s="459">
        <v>8310640</v>
      </c>
      <c r="O1342" s="460">
        <v>20153204</v>
      </c>
      <c r="P1342" s="462">
        <v>145290</v>
      </c>
      <c r="Q1342" s="462">
        <v>16</v>
      </c>
      <c r="R1342" s="462">
        <v>43937</v>
      </c>
      <c r="S1342" s="463">
        <v>134</v>
      </c>
      <c r="T1342" s="464">
        <v>3.6</v>
      </c>
      <c r="U1342" s="465">
        <v>482.4</v>
      </c>
      <c r="V1342" s="465">
        <v>10800</v>
      </c>
      <c r="W1342" s="466">
        <v>0</v>
      </c>
      <c r="X1342" s="467">
        <v>1</v>
      </c>
      <c r="Y1342" s="466">
        <v>16923.599999999999</v>
      </c>
      <c r="Z1342" s="468" t="s">
        <v>516</v>
      </c>
      <c r="AA1342" s="466">
        <v>84445.2</v>
      </c>
      <c r="AB1342" s="466">
        <v>84445.2</v>
      </c>
      <c r="AC1342" s="467">
        <v>0</v>
      </c>
      <c r="AD1342" s="466">
        <v>0</v>
      </c>
      <c r="AE1342" s="468" t="s">
        <v>516</v>
      </c>
      <c r="AF1342" s="466">
        <v>0</v>
      </c>
      <c r="AG1342" s="466">
        <v>0</v>
      </c>
      <c r="AH1342" s="466">
        <v>8203.6299999999992</v>
      </c>
      <c r="AI1342" s="466">
        <v>8685.19</v>
      </c>
      <c r="AJ1342" s="469" t="s">
        <v>2030</v>
      </c>
      <c r="AK1342" s="470" t="s">
        <v>513</v>
      </c>
      <c r="AL1342" s="471" t="s">
        <v>10906</v>
      </c>
      <c r="AM1342" s="470" t="s">
        <v>10907</v>
      </c>
      <c r="AN1342" s="470" t="s">
        <v>1385</v>
      </c>
      <c r="AO1342" s="470" t="s">
        <v>10908</v>
      </c>
      <c r="AP1342" s="470" t="s">
        <v>4951</v>
      </c>
      <c r="AQ1342" s="470" t="s">
        <v>10903</v>
      </c>
      <c r="AR1342" s="472" t="s">
        <v>515</v>
      </c>
      <c r="AS1342" s="473" t="s">
        <v>1385</v>
      </c>
      <c r="AT1342" s="472" t="s">
        <v>4613</v>
      </c>
      <c r="AU1342" s="472" t="s">
        <v>420</v>
      </c>
      <c r="AV1342" s="472">
        <v>2020</v>
      </c>
      <c r="AW1342" s="474" t="s">
        <v>15078</v>
      </c>
      <c r="AX1342" s="475" t="s">
        <v>15079</v>
      </c>
      <c r="AY1342" s="515">
        <v>1</v>
      </c>
      <c r="AZ1342" s="474" t="s">
        <v>15079</v>
      </c>
      <c r="BA1342" s="472" t="s">
        <v>4613</v>
      </c>
      <c r="BB1342" s="472" t="s">
        <v>1385</v>
      </c>
      <c r="BC1342" s="472" t="s">
        <v>1385</v>
      </c>
      <c r="BD1342" s="472" t="s">
        <v>1385</v>
      </c>
      <c r="BE1342" s="472" t="s">
        <v>1385</v>
      </c>
      <c r="BF1342" s="472">
        <v>16923.599999999999</v>
      </c>
      <c r="BG1342" s="472">
        <v>0</v>
      </c>
      <c r="BH1342" s="472" t="s">
        <v>1385</v>
      </c>
      <c r="BI1342" s="510">
        <v>0</v>
      </c>
      <c r="BJ1342" s="510">
        <v>0</v>
      </c>
      <c r="BK1342" s="510">
        <v>0</v>
      </c>
      <c r="BL1342" s="510">
        <v>0</v>
      </c>
      <c r="BM1342" s="510">
        <v>0</v>
      </c>
      <c r="BN1342" s="510">
        <v>2000</v>
      </c>
      <c r="BO1342" s="510">
        <v>0</v>
      </c>
      <c r="BP1342" s="510">
        <v>0</v>
      </c>
      <c r="BQ1342" s="510">
        <v>0</v>
      </c>
      <c r="BR1342" s="510">
        <v>0</v>
      </c>
      <c r="BS1342" s="510">
        <v>0</v>
      </c>
      <c r="BT1342" s="510">
        <v>0</v>
      </c>
      <c r="BU1342" s="510">
        <v>0</v>
      </c>
      <c r="BV1342" s="510">
        <v>0</v>
      </c>
      <c r="BW1342" s="510">
        <v>0</v>
      </c>
      <c r="BX1342" s="510">
        <v>30000</v>
      </c>
      <c r="BY1342" s="1011">
        <v>0</v>
      </c>
      <c r="BZ1342" s="510">
        <v>0</v>
      </c>
      <c r="CA1342" s="1011">
        <v>0</v>
      </c>
      <c r="CB1342" s="510">
        <v>0</v>
      </c>
      <c r="CC1342" s="1011">
        <v>0</v>
      </c>
      <c r="CD1342" s="510">
        <v>0</v>
      </c>
      <c r="CE1342" s="1011">
        <v>0</v>
      </c>
      <c r="CF1342" s="510">
        <v>37521.599999999999</v>
      </c>
      <c r="CG1342" s="1011">
        <v>0</v>
      </c>
      <c r="CH1342" s="510">
        <v>0</v>
      </c>
      <c r="CI1342" s="1011">
        <v>0</v>
      </c>
    </row>
    <row r="1343" spans="1:87" x14ac:dyDescent="0.2">
      <c r="A1343" s="449">
        <v>14</v>
      </c>
      <c r="B1343" s="453">
        <v>400146</v>
      </c>
      <c r="C1343" s="454" t="s">
        <v>10909</v>
      </c>
      <c r="D1343" s="454" t="s">
        <v>4613</v>
      </c>
      <c r="E1343" s="454" t="s">
        <v>10910</v>
      </c>
      <c r="F1343" s="454" t="s">
        <v>527</v>
      </c>
      <c r="G1343" s="454" t="s">
        <v>14530</v>
      </c>
      <c r="H1343" s="455">
        <v>9158267000186</v>
      </c>
      <c r="I1343" s="462">
        <v>39353</v>
      </c>
      <c r="J1343" s="457">
        <v>38326558</v>
      </c>
      <c r="K1343" s="454" t="s">
        <v>10911</v>
      </c>
      <c r="L1343" s="458">
        <v>30</v>
      </c>
      <c r="M1343" s="454" t="s">
        <v>5170</v>
      </c>
      <c r="N1343" s="459">
        <v>3816100</v>
      </c>
      <c r="O1343" s="460">
        <v>25464974</v>
      </c>
      <c r="P1343" s="462">
        <v>184228</v>
      </c>
      <c r="Q1343" s="462">
        <v>14</v>
      </c>
      <c r="R1343" s="462">
        <v>43917</v>
      </c>
      <c r="S1343" s="463">
        <v>136</v>
      </c>
      <c r="T1343" s="464">
        <v>3.6</v>
      </c>
      <c r="U1343" s="465">
        <v>489.6</v>
      </c>
      <c r="V1343" s="465">
        <v>10800</v>
      </c>
      <c r="W1343" s="466">
        <v>0</v>
      </c>
      <c r="X1343" s="467">
        <v>1</v>
      </c>
      <c r="Y1343" s="466">
        <v>16934.400000000001</v>
      </c>
      <c r="Z1343" s="468" t="s">
        <v>516</v>
      </c>
      <c r="AA1343" s="466">
        <v>84499.199999999997</v>
      </c>
      <c r="AB1343" s="466">
        <v>84499.199999999997</v>
      </c>
      <c r="AC1343" s="467">
        <v>0</v>
      </c>
      <c r="AD1343" s="466">
        <v>0</v>
      </c>
      <c r="AE1343" s="468" t="s">
        <v>516</v>
      </c>
      <c r="AF1343" s="466">
        <v>0</v>
      </c>
      <c r="AG1343" s="466">
        <v>0</v>
      </c>
      <c r="AH1343" s="466">
        <v>17551.55</v>
      </c>
      <c r="AI1343" s="466">
        <v>2438.96</v>
      </c>
      <c r="AJ1343" s="469" t="s">
        <v>2004</v>
      </c>
      <c r="AK1343" s="470" t="s">
        <v>2005</v>
      </c>
      <c r="AL1343" s="471" t="s">
        <v>10912</v>
      </c>
      <c r="AM1343" s="470" t="s">
        <v>10913</v>
      </c>
      <c r="AN1343" s="470" t="s">
        <v>14530</v>
      </c>
      <c r="AO1343" s="470" t="s">
        <v>14531</v>
      </c>
      <c r="AP1343" s="470" t="s">
        <v>10914</v>
      </c>
      <c r="AQ1343" s="470" t="s">
        <v>10909</v>
      </c>
      <c r="AR1343" s="472" t="s">
        <v>515</v>
      </c>
      <c r="AS1343" s="473" t="s">
        <v>1385</v>
      </c>
      <c r="AT1343" s="472" t="s">
        <v>4613</v>
      </c>
      <c r="AU1343" s="472" t="s">
        <v>420</v>
      </c>
      <c r="AV1343" s="472">
        <v>2020</v>
      </c>
      <c r="AW1343" s="474" t="s">
        <v>15078</v>
      </c>
      <c r="AX1343" s="475" t="s">
        <v>15079</v>
      </c>
      <c r="AY1343" s="515">
        <v>1</v>
      </c>
      <c r="AZ1343" s="474" t="s">
        <v>15079</v>
      </c>
      <c r="BA1343" s="472" t="s">
        <v>4613</v>
      </c>
      <c r="BB1343" s="472" t="s">
        <v>1385</v>
      </c>
      <c r="BC1343" s="472" t="s">
        <v>1385</v>
      </c>
      <c r="BD1343" s="472" t="s">
        <v>1385</v>
      </c>
      <c r="BE1343" s="472" t="s">
        <v>1385</v>
      </c>
      <c r="BF1343" s="472">
        <v>16934.400000000001</v>
      </c>
      <c r="BG1343" s="472">
        <v>0</v>
      </c>
      <c r="BH1343" s="472" t="s">
        <v>1385</v>
      </c>
      <c r="BI1343" s="510">
        <v>0</v>
      </c>
      <c r="BJ1343" s="510">
        <v>0</v>
      </c>
      <c r="BK1343" s="510">
        <v>0</v>
      </c>
      <c r="BL1343" s="510">
        <v>0</v>
      </c>
      <c r="BM1343" s="510">
        <v>0</v>
      </c>
      <c r="BN1343" s="510">
        <v>2000</v>
      </c>
      <c r="BO1343" s="510">
        <v>0</v>
      </c>
      <c r="BP1343" s="510">
        <v>0</v>
      </c>
      <c r="BQ1343" s="510">
        <v>0</v>
      </c>
      <c r="BR1343" s="510">
        <v>0</v>
      </c>
      <c r="BS1343" s="510">
        <v>0</v>
      </c>
      <c r="BT1343" s="510">
        <v>0</v>
      </c>
      <c r="BU1343" s="510">
        <v>0</v>
      </c>
      <c r="BV1343" s="510">
        <v>0</v>
      </c>
      <c r="BW1343" s="510">
        <v>0</v>
      </c>
      <c r="BX1343" s="510">
        <v>30000</v>
      </c>
      <c r="BY1343" s="1011">
        <v>0</v>
      </c>
      <c r="BZ1343" s="510">
        <v>0</v>
      </c>
      <c r="CA1343" s="1011">
        <v>0</v>
      </c>
      <c r="CB1343" s="510">
        <v>0</v>
      </c>
      <c r="CC1343" s="1011">
        <v>0</v>
      </c>
      <c r="CD1343" s="510">
        <v>0</v>
      </c>
      <c r="CE1343" s="1011">
        <v>0</v>
      </c>
      <c r="CF1343" s="510">
        <v>37564.800000000003</v>
      </c>
      <c r="CG1343" s="1011">
        <v>0</v>
      </c>
      <c r="CH1343" s="510">
        <v>0</v>
      </c>
      <c r="CI1343" s="1011">
        <v>0</v>
      </c>
    </row>
    <row r="1344" spans="1:87" x14ac:dyDescent="0.2">
      <c r="A1344" s="449">
        <v>17</v>
      </c>
      <c r="B1344" s="453">
        <v>400147</v>
      </c>
      <c r="C1344" s="454" t="s">
        <v>10915</v>
      </c>
      <c r="D1344" s="454" t="s">
        <v>4613</v>
      </c>
      <c r="E1344" s="454" t="s">
        <v>10916</v>
      </c>
      <c r="F1344" s="454" t="s">
        <v>513</v>
      </c>
      <c r="G1344" s="454" t="s">
        <v>14532</v>
      </c>
      <c r="H1344" s="455">
        <v>7849142000177</v>
      </c>
      <c r="I1344" s="462">
        <v>38667</v>
      </c>
      <c r="J1344" s="457">
        <v>37536915</v>
      </c>
      <c r="K1344" s="454" t="s">
        <v>10917</v>
      </c>
      <c r="L1344" s="458">
        <v>40</v>
      </c>
      <c r="M1344" s="454" t="s">
        <v>10918</v>
      </c>
      <c r="N1344" s="459">
        <v>8340360</v>
      </c>
      <c r="O1344" s="460">
        <v>27542387</v>
      </c>
      <c r="P1344" s="462">
        <v>145303</v>
      </c>
      <c r="Q1344" s="462">
        <v>17</v>
      </c>
      <c r="R1344" s="462">
        <v>43937</v>
      </c>
      <c r="S1344" s="463">
        <v>128</v>
      </c>
      <c r="T1344" s="464">
        <v>3.6</v>
      </c>
      <c r="U1344" s="465">
        <v>460.8</v>
      </c>
      <c r="V1344" s="465">
        <v>10800</v>
      </c>
      <c r="W1344" s="466">
        <v>0</v>
      </c>
      <c r="X1344" s="467">
        <v>1</v>
      </c>
      <c r="Y1344" s="466">
        <v>16891.2</v>
      </c>
      <c r="Z1344" s="468" t="s">
        <v>516</v>
      </c>
      <c r="AA1344" s="466">
        <v>84441.600000000006</v>
      </c>
      <c r="AB1344" s="466">
        <v>84441.600000000006</v>
      </c>
      <c r="AC1344" s="467">
        <v>0</v>
      </c>
      <c r="AD1344" s="466">
        <v>0</v>
      </c>
      <c r="AE1344" s="468" t="s">
        <v>516</v>
      </c>
      <c r="AF1344" s="466">
        <v>0</v>
      </c>
      <c r="AG1344" s="466">
        <v>0</v>
      </c>
      <c r="AH1344" s="466">
        <v>4215.76</v>
      </c>
      <c r="AI1344" s="466">
        <v>2347.98</v>
      </c>
      <c r="AJ1344" s="469" t="s">
        <v>2030</v>
      </c>
      <c r="AK1344" s="470" t="s">
        <v>513</v>
      </c>
      <c r="AL1344" s="471" t="s">
        <v>10919</v>
      </c>
      <c r="AM1344" s="470" t="s">
        <v>10920</v>
      </c>
      <c r="AN1344" s="470" t="s">
        <v>1385</v>
      </c>
      <c r="AO1344" s="470" t="s">
        <v>10921</v>
      </c>
      <c r="AP1344" s="470" t="s">
        <v>10922</v>
      </c>
      <c r="AQ1344" s="470" t="s">
        <v>10915</v>
      </c>
      <c r="AR1344" s="472" t="s">
        <v>515</v>
      </c>
      <c r="AS1344" s="473" t="s">
        <v>1385</v>
      </c>
      <c r="AT1344" s="472" t="s">
        <v>4613</v>
      </c>
      <c r="AU1344" s="472" t="s">
        <v>420</v>
      </c>
      <c r="AV1344" s="472">
        <v>2020</v>
      </c>
      <c r="AW1344" s="474" t="s">
        <v>15078</v>
      </c>
      <c r="AX1344" s="475" t="s">
        <v>15079</v>
      </c>
      <c r="AY1344" s="515">
        <v>1</v>
      </c>
      <c r="AZ1344" s="474" t="s">
        <v>15079</v>
      </c>
      <c r="BA1344" s="472" t="s">
        <v>4613</v>
      </c>
      <c r="BB1344" s="472" t="s">
        <v>1385</v>
      </c>
      <c r="BC1344" s="472" t="s">
        <v>1385</v>
      </c>
      <c r="BD1344" s="472" t="s">
        <v>1385</v>
      </c>
      <c r="BE1344" s="472" t="s">
        <v>1385</v>
      </c>
      <c r="BF1344" s="472">
        <v>16891.2</v>
      </c>
      <c r="BG1344" s="472">
        <v>0</v>
      </c>
      <c r="BH1344" s="472" t="s">
        <v>1385</v>
      </c>
      <c r="BI1344" s="510">
        <v>0</v>
      </c>
      <c r="BJ1344" s="510">
        <v>0</v>
      </c>
      <c r="BK1344" s="510">
        <v>0</v>
      </c>
      <c r="BL1344" s="510">
        <v>0</v>
      </c>
      <c r="BM1344" s="510">
        <v>0</v>
      </c>
      <c r="BN1344" s="510">
        <v>2000</v>
      </c>
      <c r="BO1344" s="510">
        <v>0</v>
      </c>
      <c r="BP1344" s="510">
        <v>0</v>
      </c>
      <c r="BQ1344" s="510">
        <v>0</v>
      </c>
      <c r="BR1344" s="510">
        <v>0</v>
      </c>
      <c r="BS1344" s="510">
        <v>0</v>
      </c>
      <c r="BT1344" s="510">
        <v>0</v>
      </c>
      <c r="BU1344" s="510">
        <v>0</v>
      </c>
      <c r="BV1344" s="510">
        <v>0</v>
      </c>
      <c r="BW1344" s="510">
        <v>0</v>
      </c>
      <c r="BX1344" s="510">
        <v>30000</v>
      </c>
      <c r="BY1344" s="1011">
        <v>0</v>
      </c>
      <c r="BZ1344" s="510">
        <v>0</v>
      </c>
      <c r="CA1344" s="1011">
        <v>0</v>
      </c>
      <c r="CB1344" s="510">
        <v>0</v>
      </c>
      <c r="CC1344" s="1011">
        <v>0</v>
      </c>
      <c r="CD1344" s="510">
        <v>0</v>
      </c>
      <c r="CE1344" s="1011">
        <v>0</v>
      </c>
      <c r="CF1344" s="510">
        <v>37550.400000000001</v>
      </c>
      <c r="CG1344" s="1011">
        <v>0</v>
      </c>
      <c r="CH1344" s="510">
        <v>0</v>
      </c>
      <c r="CI1344" s="1011">
        <v>0</v>
      </c>
    </row>
    <row r="1345" spans="1:87" x14ac:dyDescent="0.2">
      <c r="A1345" s="449">
        <v>22</v>
      </c>
      <c r="B1345" s="453">
        <v>400148</v>
      </c>
      <c r="C1345" s="454" t="s">
        <v>10923</v>
      </c>
      <c r="D1345" s="454" t="s">
        <v>4613</v>
      </c>
      <c r="E1345" s="454" t="s">
        <v>10924</v>
      </c>
      <c r="F1345" s="454" t="s">
        <v>526</v>
      </c>
      <c r="G1345" s="454" t="s">
        <v>14533</v>
      </c>
      <c r="H1345" s="455">
        <v>8315332000177</v>
      </c>
      <c r="I1345" s="462">
        <v>38978</v>
      </c>
      <c r="J1345" s="457">
        <v>37411799</v>
      </c>
      <c r="K1345" s="454" t="s">
        <v>10925</v>
      </c>
      <c r="L1345" s="458">
        <v>20</v>
      </c>
      <c r="M1345" s="454" t="s">
        <v>526</v>
      </c>
      <c r="N1345" s="459">
        <v>8020020</v>
      </c>
      <c r="O1345" s="460">
        <v>22974121</v>
      </c>
      <c r="P1345" s="462">
        <v>129774</v>
      </c>
      <c r="Q1345" s="462">
        <v>22</v>
      </c>
      <c r="R1345" s="462">
        <v>43928</v>
      </c>
      <c r="S1345" s="463">
        <v>105</v>
      </c>
      <c r="T1345" s="464">
        <v>3.6</v>
      </c>
      <c r="U1345" s="465">
        <v>378</v>
      </c>
      <c r="V1345" s="465">
        <v>10800</v>
      </c>
      <c r="W1345" s="466">
        <v>0</v>
      </c>
      <c r="X1345" s="467">
        <v>1</v>
      </c>
      <c r="Y1345" s="466">
        <v>16767</v>
      </c>
      <c r="Z1345" s="468" t="s">
        <v>516</v>
      </c>
      <c r="AA1345" s="466">
        <v>84094.2</v>
      </c>
      <c r="AB1345" s="466">
        <v>84094.2</v>
      </c>
      <c r="AC1345" s="467">
        <v>0</v>
      </c>
      <c r="AD1345" s="466">
        <v>0</v>
      </c>
      <c r="AE1345" s="468" t="s">
        <v>516</v>
      </c>
      <c r="AF1345" s="466">
        <v>0</v>
      </c>
      <c r="AG1345" s="466">
        <v>0</v>
      </c>
      <c r="AH1345" s="466">
        <v>11388.95</v>
      </c>
      <c r="AI1345" s="466">
        <v>198.23</v>
      </c>
      <c r="AJ1345" s="469" t="s">
        <v>10926</v>
      </c>
      <c r="AK1345" s="470" t="s">
        <v>10927</v>
      </c>
      <c r="AL1345" s="471" t="s">
        <v>10928</v>
      </c>
      <c r="AM1345" s="470" t="s">
        <v>10929</v>
      </c>
      <c r="AN1345" s="470" t="s">
        <v>1385</v>
      </c>
      <c r="AO1345" s="470" t="s">
        <v>14534</v>
      </c>
      <c r="AP1345" s="470" t="s">
        <v>10930</v>
      </c>
      <c r="AQ1345" s="470" t="s">
        <v>10923</v>
      </c>
      <c r="AR1345" s="472" t="s">
        <v>515</v>
      </c>
      <c r="AS1345" s="473" t="s">
        <v>1385</v>
      </c>
      <c r="AT1345" s="472" t="s">
        <v>4613</v>
      </c>
      <c r="AU1345" s="472" t="s">
        <v>420</v>
      </c>
      <c r="AV1345" s="472">
        <v>2020</v>
      </c>
      <c r="AW1345" s="474" t="s">
        <v>15078</v>
      </c>
      <c r="AX1345" s="475" t="s">
        <v>15079</v>
      </c>
      <c r="AY1345" s="515">
        <v>1</v>
      </c>
      <c r="AZ1345" s="474" t="s">
        <v>15079</v>
      </c>
      <c r="BA1345" s="472" t="s">
        <v>4613</v>
      </c>
      <c r="BB1345" s="472" t="s">
        <v>1385</v>
      </c>
      <c r="BC1345" s="472" t="s">
        <v>1385</v>
      </c>
      <c r="BD1345" s="472" t="s">
        <v>1385</v>
      </c>
      <c r="BE1345" s="472" t="s">
        <v>1385</v>
      </c>
      <c r="BF1345" s="472">
        <v>16767</v>
      </c>
      <c r="BG1345" s="472">
        <v>0</v>
      </c>
      <c r="BH1345" s="472" t="s">
        <v>1385</v>
      </c>
      <c r="BI1345" s="510">
        <v>0</v>
      </c>
      <c r="BJ1345" s="510">
        <v>0</v>
      </c>
      <c r="BK1345" s="510">
        <v>0</v>
      </c>
      <c r="BL1345" s="510">
        <v>0</v>
      </c>
      <c r="BM1345" s="510">
        <v>0</v>
      </c>
      <c r="BN1345" s="510">
        <v>2000</v>
      </c>
      <c r="BO1345" s="510">
        <v>0</v>
      </c>
      <c r="BP1345" s="510">
        <v>0</v>
      </c>
      <c r="BQ1345" s="510">
        <v>0</v>
      </c>
      <c r="BR1345" s="510">
        <v>0</v>
      </c>
      <c r="BS1345" s="510">
        <v>0</v>
      </c>
      <c r="BT1345" s="510">
        <v>0</v>
      </c>
      <c r="BU1345" s="510">
        <v>0</v>
      </c>
      <c r="BV1345" s="510">
        <v>0</v>
      </c>
      <c r="BW1345" s="510">
        <v>0</v>
      </c>
      <c r="BX1345" s="510">
        <v>30000</v>
      </c>
      <c r="BY1345" s="1011">
        <v>0</v>
      </c>
      <c r="BZ1345" s="510">
        <v>0</v>
      </c>
      <c r="CA1345" s="1011">
        <v>0</v>
      </c>
      <c r="CB1345" s="510">
        <v>0</v>
      </c>
      <c r="CC1345" s="1011">
        <v>0</v>
      </c>
      <c r="CD1345" s="510">
        <v>0</v>
      </c>
      <c r="CE1345" s="1011">
        <v>0</v>
      </c>
      <c r="CF1345" s="510">
        <v>37327.199999999997</v>
      </c>
      <c r="CG1345" s="1011">
        <v>0</v>
      </c>
      <c r="CH1345" s="510">
        <v>0</v>
      </c>
      <c r="CI1345" s="1011">
        <v>0</v>
      </c>
    </row>
    <row r="1346" spans="1:87" x14ac:dyDescent="0.2">
      <c r="A1346" s="449">
        <v>7</v>
      </c>
      <c r="B1346" s="453">
        <v>400149</v>
      </c>
      <c r="C1346" s="454" t="s">
        <v>10931</v>
      </c>
      <c r="D1346" s="454" t="s">
        <v>4613</v>
      </c>
      <c r="E1346" s="454" t="s">
        <v>10932</v>
      </c>
      <c r="F1346" s="454" t="s">
        <v>522</v>
      </c>
      <c r="G1346" s="454" t="s">
        <v>14535</v>
      </c>
      <c r="H1346" s="455">
        <v>7845182000140</v>
      </c>
      <c r="I1346" s="462">
        <v>38685</v>
      </c>
      <c r="J1346" s="457">
        <v>37586084</v>
      </c>
      <c r="K1346" s="454" t="s">
        <v>6294</v>
      </c>
      <c r="L1346" s="458">
        <v>200</v>
      </c>
      <c r="M1346" s="454" t="s">
        <v>6295</v>
      </c>
      <c r="N1346" s="459">
        <v>2878080</v>
      </c>
      <c r="O1346" s="460">
        <v>38519767</v>
      </c>
      <c r="P1346" s="462">
        <v>86080</v>
      </c>
      <c r="Q1346" s="462">
        <v>40</v>
      </c>
      <c r="R1346" s="462">
        <v>43911</v>
      </c>
      <c r="S1346" s="463">
        <v>157</v>
      </c>
      <c r="T1346" s="464">
        <v>3.6</v>
      </c>
      <c r="U1346" s="465">
        <v>565.20000000000005</v>
      </c>
      <c r="V1346" s="465">
        <v>10800</v>
      </c>
      <c r="W1346" s="466">
        <v>0</v>
      </c>
      <c r="X1346" s="467">
        <v>1</v>
      </c>
      <c r="Y1346" s="466">
        <v>17047.8</v>
      </c>
      <c r="Z1346" s="468" t="s">
        <v>516</v>
      </c>
      <c r="AA1346" s="466">
        <v>84771</v>
      </c>
      <c r="AB1346" s="466">
        <v>84771</v>
      </c>
      <c r="AC1346" s="467">
        <v>0</v>
      </c>
      <c r="AD1346" s="466">
        <v>0</v>
      </c>
      <c r="AE1346" s="468" t="s">
        <v>516</v>
      </c>
      <c r="AF1346" s="466">
        <v>0</v>
      </c>
      <c r="AG1346" s="466">
        <v>0</v>
      </c>
      <c r="AH1346" s="466">
        <v>4614.1099999999997</v>
      </c>
      <c r="AI1346" s="466">
        <v>3504.22</v>
      </c>
      <c r="AJ1346" s="469" t="s">
        <v>1438</v>
      </c>
      <c r="AK1346" s="470" t="s">
        <v>12345</v>
      </c>
      <c r="AL1346" s="471" t="s">
        <v>10933</v>
      </c>
      <c r="AM1346" s="470" t="s">
        <v>10934</v>
      </c>
      <c r="AN1346" s="470" t="s">
        <v>1385</v>
      </c>
      <c r="AO1346" s="470" t="s">
        <v>14536</v>
      </c>
      <c r="AP1346" s="470" t="s">
        <v>6295</v>
      </c>
      <c r="AQ1346" s="470" t="s">
        <v>10931</v>
      </c>
      <c r="AR1346" s="472" t="s">
        <v>515</v>
      </c>
      <c r="AS1346" s="473" t="s">
        <v>1385</v>
      </c>
      <c r="AT1346" s="472" t="s">
        <v>4613</v>
      </c>
      <c r="AU1346" s="472" t="s">
        <v>420</v>
      </c>
      <c r="AV1346" s="472">
        <v>2020</v>
      </c>
      <c r="AW1346" s="474" t="s">
        <v>15078</v>
      </c>
      <c r="AX1346" s="475" t="s">
        <v>15079</v>
      </c>
      <c r="AY1346" s="515">
        <v>1</v>
      </c>
      <c r="AZ1346" s="474" t="s">
        <v>15079</v>
      </c>
      <c r="BA1346" s="472" t="s">
        <v>4613</v>
      </c>
      <c r="BB1346" s="472" t="s">
        <v>1385</v>
      </c>
      <c r="BC1346" s="472" t="s">
        <v>1385</v>
      </c>
      <c r="BD1346" s="472" t="s">
        <v>1385</v>
      </c>
      <c r="BE1346" s="472" t="s">
        <v>1385</v>
      </c>
      <c r="BF1346" s="472">
        <v>17047.8</v>
      </c>
      <c r="BG1346" s="472">
        <v>0</v>
      </c>
      <c r="BH1346" s="472" t="s">
        <v>1385</v>
      </c>
      <c r="BI1346" s="510">
        <v>0</v>
      </c>
      <c r="BJ1346" s="510">
        <v>0</v>
      </c>
      <c r="BK1346" s="510">
        <v>0</v>
      </c>
      <c r="BL1346" s="510">
        <v>0</v>
      </c>
      <c r="BM1346" s="510">
        <v>0</v>
      </c>
      <c r="BN1346" s="510">
        <v>2000</v>
      </c>
      <c r="BO1346" s="510">
        <v>0</v>
      </c>
      <c r="BP1346" s="510">
        <v>0</v>
      </c>
      <c r="BQ1346" s="510">
        <v>0</v>
      </c>
      <c r="BR1346" s="510">
        <v>0</v>
      </c>
      <c r="BS1346" s="510">
        <v>0</v>
      </c>
      <c r="BT1346" s="510">
        <v>0</v>
      </c>
      <c r="BU1346" s="510">
        <v>0</v>
      </c>
      <c r="BV1346" s="510">
        <v>0</v>
      </c>
      <c r="BW1346" s="510">
        <v>0</v>
      </c>
      <c r="BX1346" s="510">
        <v>30000</v>
      </c>
      <c r="BY1346" s="1011">
        <v>0</v>
      </c>
      <c r="BZ1346" s="510">
        <v>0</v>
      </c>
      <c r="CA1346" s="1011">
        <v>0</v>
      </c>
      <c r="CB1346" s="510">
        <v>0</v>
      </c>
      <c r="CC1346" s="1011">
        <v>0</v>
      </c>
      <c r="CD1346" s="510">
        <v>0</v>
      </c>
      <c r="CE1346" s="1011">
        <v>0</v>
      </c>
      <c r="CF1346" s="510">
        <v>37723.199999999997</v>
      </c>
      <c r="CG1346" s="1011">
        <v>0</v>
      </c>
      <c r="CH1346" s="510">
        <v>0</v>
      </c>
      <c r="CI1346" s="1011">
        <v>0</v>
      </c>
    </row>
    <row r="1347" spans="1:87" x14ac:dyDescent="0.2">
      <c r="A1347" s="449">
        <v>23</v>
      </c>
      <c r="B1347" s="453">
        <v>400150</v>
      </c>
      <c r="C1347" s="454" t="s">
        <v>10935</v>
      </c>
      <c r="D1347" s="454" t="s">
        <v>4613</v>
      </c>
      <c r="E1347" s="454" t="s">
        <v>10936</v>
      </c>
      <c r="F1347" s="454" t="s">
        <v>526</v>
      </c>
      <c r="G1347" s="454" t="s">
        <v>14537</v>
      </c>
      <c r="H1347" s="455">
        <v>8371241000159</v>
      </c>
      <c r="I1347" s="462">
        <v>38987</v>
      </c>
      <c r="J1347" s="457">
        <v>37411330</v>
      </c>
      <c r="K1347" s="454" t="s">
        <v>10937</v>
      </c>
      <c r="L1347" s="458">
        <v>561</v>
      </c>
      <c r="M1347" s="454" t="s">
        <v>10938</v>
      </c>
      <c r="N1347" s="459">
        <v>8191260</v>
      </c>
      <c r="O1347" s="460">
        <v>25817475</v>
      </c>
      <c r="P1347" s="462">
        <v>138749</v>
      </c>
      <c r="Q1347" s="462">
        <v>23</v>
      </c>
      <c r="R1347" s="462">
        <v>43928</v>
      </c>
      <c r="S1347" s="463">
        <v>128</v>
      </c>
      <c r="T1347" s="464">
        <v>3.6</v>
      </c>
      <c r="U1347" s="465">
        <v>460.8</v>
      </c>
      <c r="V1347" s="465">
        <v>10800</v>
      </c>
      <c r="W1347" s="466">
        <v>0</v>
      </c>
      <c r="X1347" s="467">
        <v>1</v>
      </c>
      <c r="Y1347" s="466">
        <v>16891.2</v>
      </c>
      <c r="Z1347" s="468" t="s">
        <v>516</v>
      </c>
      <c r="AA1347" s="466">
        <v>84412.800000000003</v>
      </c>
      <c r="AB1347" s="466">
        <v>84412.800000000003</v>
      </c>
      <c r="AC1347" s="467">
        <v>0</v>
      </c>
      <c r="AD1347" s="466">
        <v>0</v>
      </c>
      <c r="AE1347" s="468" t="s">
        <v>516</v>
      </c>
      <c r="AF1347" s="466">
        <v>0</v>
      </c>
      <c r="AG1347" s="466">
        <v>0</v>
      </c>
      <c r="AH1347" s="466">
        <v>13507.2</v>
      </c>
      <c r="AI1347" s="466">
        <v>0</v>
      </c>
      <c r="AJ1347" s="469" t="s">
        <v>1410</v>
      </c>
      <c r="AK1347" s="470" t="s">
        <v>1411</v>
      </c>
      <c r="AL1347" s="471" t="s">
        <v>10939</v>
      </c>
      <c r="AM1347" s="470" t="s">
        <v>10940</v>
      </c>
      <c r="AN1347" s="470" t="s">
        <v>1385</v>
      </c>
      <c r="AO1347" s="470" t="s">
        <v>10941</v>
      </c>
      <c r="AP1347" s="470" t="s">
        <v>10942</v>
      </c>
      <c r="AQ1347" s="470" t="s">
        <v>10935</v>
      </c>
      <c r="AR1347" s="472" t="s">
        <v>515</v>
      </c>
      <c r="AS1347" s="473" t="s">
        <v>1385</v>
      </c>
      <c r="AT1347" s="472" t="s">
        <v>4613</v>
      </c>
      <c r="AU1347" s="472" t="s">
        <v>420</v>
      </c>
      <c r="AV1347" s="472">
        <v>2020</v>
      </c>
      <c r="AW1347" s="474" t="s">
        <v>15078</v>
      </c>
      <c r="AX1347" s="475" t="s">
        <v>15079</v>
      </c>
      <c r="AY1347" s="515">
        <v>1</v>
      </c>
      <c r="AZ1347" s="474" t="s">
        <v>15079</v>
      </c>
      <c r="BA1347" s="472" t="s">
        <v>4613</v>
      </c>
      <c r="BB1347" s="472" t="s">
        <v>1385</v>
      </c>
      <c r="BC1347" s="472" t="s">
        <v>1385</v>
      </c>
      <c r="BD1347" s="472" t="s">
        <v>1385</v>
      </c>
      <c r="BE1347" s="472" t="s">
        <v>1385</v>
      </c>
      <c r="BF1347" s="472">
        <v>16891.2</v>
      </c>
      <c r="BG1347" s="472">
        <v>0</v>
      </c>
      <c r="BH1347" s="472" t="s">
        <v>1385</v>
      </c>
      <c r="BI1347" s="510">
        <v>0</v>
      </c>
      <c r="BJ1347" s="510">
        <v>0</v>
      </c>
      <c r="BK1347" s="510">
        <v>0</v>
      </c>
      <c r="BL1347" s="510">
        <v>0</v>
      </c>
      <c r="BM1347" s="510">
        <v>0</v>
      </c>
      <c r="BN1347" s="510">
        <v>2000</v>
      </c>
      <c r="BO1347" s="510">
        <v>0</v>
      </c>
      <c r="BP1347" s="510">
        <v>0</v>
      </c>
      <c r="BQ1347" s="510">
        <v>0</v>
      </c>
      <c r="BR1347" s="510">
        <v>0</v>
      </c>
      <c r="BS1347" s="510">
        <v>0</v>
      </c>
      <c r="BT1347" s="510">
        <v>0</v>
      </c>
      <c r="BU1347" s="510">
        <v>0</v>
      </c>
      <c r="BV1347" s="510">
        <v>0</v>
      </c>
      <c r="BW1347" s="510">
        <v>0</v>
      </c>
      <c r="BX1347" s="510">
        <v>30000</v>
      </c>
      <c r="BY1347" s="1011">
        <v>0</v>
      </c>
      <c r="BZ1347" s="510">
        <v>0</v>
      </c>
      <c r="CA1347" s="1011">
        <v>0</v>
      </c>
      <c r="CB1347" s="510">
        <v>0</v>
      </c>
      <c r="CC1347" s="1011">
        <v>0</v>
      </c>
      <c r="CD1347" s="510">
        <v>0</v>
      </c>
      <c r="CE1347" s="1011">
        <v>0</v>
      </c>
      <c r="CF1347" s="510">
        <v>37521.599999999999</v>
      </c>
      <c r="CG1347" s="1011">
        <v>0</v>
      </c>
      <c r="CH1347" s="510">
        <v>0</v>
      </c>
      <c r="CI1347" s="1011">
        <v>0</v>
      </c>
    </row>
    <row r="1348" spans="1:87" x14ac:dyDescent="0.2">
      <c r="A1348" s="449">
        <v>18</v>
      </c>
      <c r="B1348" s="453">
        <v>400151</v>
      </c>
      <c r="C1348" s="454" t="s">
        <v>10943</v>
      </c>
      <c r="D1348" s="454" t="s">
        <v>4613</v>
      </c>
      <c r="E1348" s="454" t="s">
        <v>10944</v>
      </c>
      <c r="F1348" s="454" t="s">
        <v>513</v>
      </c>
      <c r="G1348" s="454" t="s">
        <v>14538</v>
      </c>
      <c r="H1348" s="455">
        <v>7290051000144</v>
      </c>
      <c r="I1348" s="462">
        <v>38223</v>
      </c>
      <c r="J1348" s="457">
        <v>37531026</v>
      </c>
      <c r="K1348" s="454" t="s">
        <v>10945</v>
      </c>
      <c r="L1348" s="458">
        <v>559</v>
      </c>
      <c r="M1348" s="454" t="s">
        <v>6729</v>
      </c>
      <c r="N1348" s="459">
        <v>3921000</v>
      </c>
      <c r="O1348" s="460">
        <v>29105854</v>
      </c>
      <c r="P1348" s="462">
        <v>145311</v>
      </c>
      <c r="Q1348" s="462">
        <v>18</v>
      </c>
      <c r="R1348" s="462">
        <v>43937</v>
      </c>
      <c r="S1348" s="463">
        <v>95</v>
      </c>
      <c r="T1348" s="464">
        <v>3.6</v>
      </c>
      <c r="U1348" s="465">
        <v>342</v>
      </c>
      <c r="V1348" s="465">
        <v>10800</v>
      </c>
      <c r="W1348" s="466">
        <v>0</v>
      </c>
      <c r="X1348" s="467">
        <v>1</v>
      </c>
      <c r="Y1348" s="466">
        <v>16713</v>
      </c>
      <c r="Z1348" s="468" t="s">
        <v>516</v>
      </c>
      <c r="AA1348" s="466">
        <v>83982.6</v>
      </c>
      <c r="AB1348" s="466">
        <v>83982.6</v>
      </c>
      <c r="AC1348" s="467">
        <v>0</v>
      </c>
      <c r="AD1348" s="466">
        <v>0</v>
      </c>
      <c r="AE1348" s="468" t="s">
        <v>516</v>
      </c>
      <c r="AF1348" s="466">
        <v>0</v>
      </c>
      <c r="AG1348" s="466">
        <v>0</v>
      </c>
      <c r="AH1348" s="466">
        <v>16306.4</v>
      </c>
      <c r="AI1348" s="466">
        <v>2231.1999999999998</v>
      </c>
      <c r="AJ1348" s="469" t="s">
        <v>3909</v>
      </c>
      <c r="AK1348" s="470" t="s">
        <v>6737</v>
      </c>
      <c r="AL1348" s="471" t="s">
        <v>10946</v>
      </c>
      <c r="AM1348" s="470" t="s">
        <v>10947</v>
      </c>
      <c r="AN1348" s="470" t="s">
        <v>10948</v>
      </c>
      <c r="AO1348" s="470" t="s">
        <v>10949</v>
      </c>
      <c r="AP1348" s="470" t="s">
        <v>10950</v>
      </c>
      <c r="AQ1348" s="470" t="s">
        <v>10943</v>
      </c>
      <c r="AR1348" s="472" t="s">
        <v>515</v>
      </c>
      <c r="AS1348" s="473" t="s">
        <v>1385</v>
      </c>
      <c r="AT1348" s="472" t="s">
        <v>4613</v>
      </c>
      <c r="AU1348" s="472" t="s">
        <v>420</v>
      </c>
      <c r="AV1348" s="472">
        <v>2020</v>
      </c>
      <c r="AW1348" s="474" t="s">
        <v>15078</v>
      </c>
      <c r="AX1348" s="475" t="s">
        <v>15079</v>
      </c>
      <c r="AY1348" s="515">
        <v>1</v>
      </c>
      <c r="AZ1348" s="474" t="s">
        <v>15079</v>
      </c>
      <c r="BA1348" s="472" t="s">
        <v>4613</v>
      </c>
      <c r="BB1348" s="472" t="s">
        <v>1385</v>
      </c>
      <c r="BC1348" s="472" t="s">
        <v>1385</v>
      </c>
      <c r="BD1348" s="472" t="s">
        <v>1385</v>
      </c>
      <c r="BE1348" s="472" t="s">
        <v>1385</v>
      </c>
      <c r="BF1348" s="472">
        <v>16713</v>
      </c>
      <c r="BG1348" s="472">
        <v>0</v>
      </c>
      <c r="BH1348" s="472" t="s">
        <v>1385</v>
      </c>
      <c r="BI1348" s="510">
        <v>0</v>
      </c>
      <c r="BJ1348" s="510">
        <v>0</v>
      </c>
      <c r="BK1348" s="510">
        <v>0</v>
      </c>
      <c r="BL1348" s="510">
        <v>0</v>
      </c>
      <c r="BM1348" s="510">
        <v>0</v>
      </c>
      <c r="BN1348" s="510">
        <v>1500</v>
      </c>
      <c r="BO1348" s="510">
        <v>0</v>
      </c>
      <c r="BP1348" s="510">
        <v>0</v>
      </c>
      <c r="BQ1348" s="510">
        <v>0</v>
      </c>
      <c r="BR1348" s="510">
        <v>0</v>
      </c>
      <c r="BS1348" s="510">
        <v>0</v>
      </c>
      <c r="BT1348" s="510">
        <v>0</v>
      </c>
      <c r="BU1348" s="510">
        <v>0</v>
      </c>
      <c r="BV1348" s="510">
        <v>0</v>
      </c>
      <c r="BW1348" s="510">
        <v>0</v>
      </c>
      <c r="BX1348" s="510">
        <v>30000</v>
      </c>
      <c r="BY1348" s="1011">
        <v>0</v>
      </c>
      <c r="BZ1348" s="510">
        <v>0</v>
      </c>
      <c r="CA1348" s="1011">
        <v>0</v>
      </c>
      <c r="CB1348" s="510">
        <v>0</v>
      </c>
      <c r="CC1348" s="1011">
        <v>0</v>
      </c>
      <c r="CD1348" s="510">
        <v>0</v>
      </c>
      <c r="CE1348" s="1011">
        <v>0</v>
      </c>
      <c r="CF1348" s="510">
        <v>37269.599999999999</v>
      </c>
      <c r="CG1348" s="1011">
        <v>0</v>
      </c>
      <c r="CH1348" s="510">
        <v>0</v>
      </c>
      <c r="CI1348" s="1011">
        <v>0</v>
      </c>
    </row>
    <row r="1349" spans="1:87" x14ac:dyDescent="0.2">
      <c r="A1349" s="449">
        <v>8</v>
      </c>
      <c r="B1349" s="453">
        <v>400152</v>
      </c>
      <c r="C1349" s="454" t="s">
        <v>10951</v>
      </c>
      <c r="D1349" s="454" t="s">
        <v>4613</v>
      </c>
      <c r="E1349" s="454" t="s">
        <v>10952</v>
      </c>
      <c r="F1349" s="454" t="s">
        <v>522</v>
      </c>
      <c r="G1349" s="454" t="s">
        <v>14539</v>
      </c>
      <c r="H1349" s="455">
        <v>7925372000178</v>
      </c>
      <c r="I1349" s="462">
        <v>22298</v>
      </c>
      <c r="J1349" s="457">
        <v>37586696</v>
      </c>
      <c r="K1349" s="454" t="s">
        <v>6254</v>
      </c>
      <c r="L1349" s="458">
        <v>180</v>
      </c>
      <c r="M1349" s="454" t="s">
        <v>1437</v>
      </c>
      <c r="N1349" s="459">
        <v>2965140</v>
      </c>
      <c r="O1349" s="460">
        <v>39911359</v>
      </c>
      <c r="P1349" s="462">
        <v>86277</v>
      </c>
      <c r="Q1349" s="462">
        <v>41</v>
      </c>
      <c r="R1349" s="462">
        <v>43922</v>
      </c>
      <c r="S1349" s="463">
        <v>137</v>
      </c>
      <c r="T1349" s="464">
        <v>3.6</v>
      </c>
      <c r="U1349" s="465">
        <v>493.2</v>
      </c>
      <c r="V1349" s="465">
        <v>10800</v>
      </c>
      <c r="W1349" s="466">
        <v>0</v>
      </c>
      <c r="X1349" s="467">
        <v>1</v>
      </c>
      <c r="Y1349" s="466">
        <v>16939.8</v>
      </c>
      <c r="Z1349" s="468" t="s">
        <v>516</v>
      </c>
      <c r="AA1349" s="466">
        <v>84533.4</v>
      </c>
      <c r="AB1349" s="466">
        <v>84533.4</v>
      </c>
      <c r="AC1349" s="467">
        <v>0</v>
      </c>
      <c r="AD1349" s="466">
        <v>0</v>
      </c>
      <c r="AE1349" s="468" t="s">
        <v>516</v>
      </c>
      <c r="AF1349" s="466">
        <v>0</v>
      </c>
      <c r="AG1349" s="466">
        <v>0</v>
      </c>
      <c r="AH1349" s="466">
        <v>12261.2</v>
      </c>
      <c r="AI1349" s="466">
        <v>3663.51</v>
      </c>
      <c r="AJ1349" s="469" t="s">
        <v>1729</v>
      </c>
      <c r="AK1349" s="470" t="s">
        <v>2936</v>
      </c>
      <c r="AL1349" s="471" t="s">
        <v>10953</v>
      </c>
      <c r="AM1349" s="470" t="s">
        <v>10954</v>
      </c>
      <c r="AN1349" s="470" t="s">
        <v>1385</v>
      </c>
      <c r="AO1349" s="470" t="s">
        <v>14540</v>
      </c>
      <c r="AP1349" s="470" t="s">
        <v>10955</v>
      </c>
      <c r="AQ1349" s="470" t="s">
        <v>10951</v>
      </c>
      <c r="AR1349" s="472" t="s">
        <v>515</v>
      </c>
      <c r="AS1349" s="473" t="s">
        <v>1385</v>
      </c>
      <c r="AT1349" s="472" t="s">
        <v>4613</v>
      </c>
      <c r="AU1349" s="472" t="s">
        <v>420</v>
      </c>
      <c r="AV1349" s="472">
        <v>2020</v>
      </c>
      <c r="AW1349" s="474" t="s">
        <v>15078</v>
      </c>
      <c r="AX1349" s="475" t="s">
        <v>15079</v>
      </c>
      <c r="AY1349" s="515">
        <v>1</v>
      </c>
      <c r="AZ1349" s="474" t="s">
        <v>15079</v>
      </c>
      <c r="BA1349" s="472" t="s">
        <v>4613</v>
      </c>
      <c r="BB1349" s="472" t="s">
        <v>1385</v>
      </c>
      <c r="BC1349" s="472" t="s">
        <v>1385</v>
      </c>
      <c r="BD1349" s="472" t="s">
        <v>1385</v>
      </c>
      <c r="BE1349" s="472" t="s">
        <v>1385</v>
      </c>
      <c r="BF1349" s="472">
        <v>16939.8</v>
      </c>
      <c r="BG1349" s="472">
        <v>0</v>
      </c>
      <c r="BH1349" s="472" t="s">
        <v>1385</v>
      </c>
      <c r="BI1349" s="510">
        <v>0</v>
      </c>
      <c r="BJ1349" s="510">
        <v>0</v>
      </c>
      <c r="BK1349" s="510">
        <v>0</v>
      </c>
      <c r="BL1349" s="510">
        <v>0</v>
      </c>
      <c r="BM1349" s="510">
        <v>0</v>
      </c>
      <c r="BN1349" s="510">
        <v>2000</v>
      </c>
      <c r="BO1349" s="510">
        <v>0</v>
      </c>
      <c r="BP1349" s="510">
        <v>0</v>
      </c>
      <c r="BQ1349" s="510">
        <v>0</v>
      </c>
      <c r="BR1349" s="510">
        <v>0</v>
      </c>
      <c r="BS1349" s="510">
        <v>0</v>
      </c>
      <c r="BT1349" s="510">
        <v>0</v>
      </c>
      <c r="BU1349" s="510">
        <v>0</v>
      </c>
      <c r="BV1349" s="510">
        <v>0</v>
      </c>
      <c r="BW1349" s="510">
        <v>0</v>
      </c>
      <c r="BX1349" s="510">
        <v>30000</v>
      </c>
      <c r="BY1349" s="1011">
        <v>0</v>
      </c>
      <c r="BZ1349" s="510">
        <v>0</v>
      </c>
      <c r="CA1349" s="1011">
        <v>0</v>
      </c>
      <c r="CB1349" s="510">
        <v>0</v>
      </c>
      <c r="CC1349" s="1011">
        <v>0</v>
      </c>
      <c r="CD1349" s="510">
        <v>0</v>
      </c>
      <c r="CE1349" s="1011">
        <v>0</v>
      </c>
      <c r="CF1349" s="510">
        <v>37593.599999999999</v>
      </c>
      <c r="CG1349" s="1011">
        <v>0</v>
      </c>
      <c r="CH1349" s="510">
        <v>0</v>
      </c>
      <c r="CI1349" s="1011">
        <v>0</v>
      </c>
    </row>
    <row r="1350" spans="1:87" x14ac:dyDescent="0.2">
      <c r="A1350" s="449">
        <v>10</v>
      </c>
      <c r="B1350" s="453">
        <v>400153</v>
      </c>
      <c r="C1350" s="454" t="s">
        <v>10956</v>
      </c>
      <c r="D1350" s="454" t="s">
        <v>4613</v>
      </c>
      <c r="E1350" s="454" t="s">
        <v>10957</v>
      </c>
      <c r="F1350" s="454" t="s">
        <v>523</v>
      </c>
      <c r="G1350" s="454" t="s">
        <v>14541</v>
      </c>
      <c r="H1350" s="455">
        <v>7881786000142</v>
      </c>
      <c r="I1350" s="462">
        <v>38761</v>
      </c>
      <c r="J1350" s="457">
        <v>36293911</v>
      </c>
      <c r="K1350" s="454" t="s">
        <v>10959</v>
      </c>
      <c r="L1350" s="458">
        <v>8</v>
      </c>
      <c r="M1350" s="454" t="s">
        <v>3510</v>
      </c>
      <c r="N1350" s="459">
        <v>8450180</v>
      </c>
      <c r="O1350" s="460">
        <v>25579947</v>
      </c>
      <c r="P1350" s="462">
        <v>267395</v>
      </c>
      <c r="Q1350" s="462">
        <v>10</v>
      </c>
      <c r="R1350" s="462">
        <v>43921</v>
      </c>
      <c r="S1350" s="463">
        <v>157</v>
      </c>
      <c r="T1350" s="464">
        <v>3.6</v>
      </c>
      <c r="U1350" s="465">
        <v>565.20000000000005</v>
      </c>
      <c r="V1350" s="465">
        <v>10800</v>
      </c>
      <c r="W1350" s="466">
        <v>0</v>
      </c>
      <c r="X1350" s="467">
        <v>1</v>
      </c>
      <c r="Y1350" s="466">
        <v>17047.8</v>
      </c>
      <c r="Z1350" s="468" t="s">
        <v>516</v>
      </c>
      <c r="AA1350" s="466">
        <v>84807</v>
      </c>
      <c r="AB1350" s="466">
        <v>84807</v>
      </c>
      <c r="AC1350" s="467">
        <v>0</v>
      </c>
      <c r="AD1350" s="466">
        <v>0</v>
      </c>
      <c r="AE1350" s="468" t="s">
        <v>516</v>
      </c>
      <c r="AF1350" s="466">
        <v>0</v>
      </c>
      <c r="AG1350" s="466">
        <v>0</v>
      </c>
      <c r="AH1350" s="466">
        <v>6975.66</v>
      </c>
      <c r="AI1350" s="466">
        <v>6762</v>
      </c>
      <c r="AJ1350" s="469" t="s">
        <v>1395</v>
      </c>
      <c r="AK1350" s="470" t="s">
        <v>523</v>
      </c>
      <c r="AL1350" s="471" t="s">
        <v>10960</v>
      </c>
      <c r="AM1350" s="470" t="s">
        <v>14542</v>
      </c>
      <c r="AN1350" s="470" t="s">
        <v>10958</v>
      </c>
      <c r="AO1350" s="470" t="s">
        <v>10961</v>
      </c>
      <c r="AP1350" s="470" t="s">
        <v>10962</v>
      </c>
      <c r="AQ1350" s="470" t="s">
        <v>10956</v>
      </c>
      <c r="AR1350" s="472" t="s">
        <v>515</v>
      </c>
      <c r="AS1350" s="473" t="s">
        <v>1385</v>
      </c>
      <c r="AT1350" s="472" t="s">
        <v>4613</v>
      </c>
      <c r="AU1350" s="472" t="s">
        <v>420</v>
      </c>
      <c r="AV1350" s="472">
        <v>2020</v>
      </c>
      <c r="AW1350" s="474" t="s">
        <v>15078</v>
      </c>
      <c r="AX1350" s="475" t="s">
        <v>15079</v>
      </c>
      <c r="AY1350" s="515">
        <v>1</v>
      </c>
      <c r="AZ1350" s="474" t="s">
        <v>15079</v>
      </c>
      <c r="BA1350" s="472" t="s">
        <v>4613</v>
      </c>
      <c r="BB1350" s="472" t="s">
        <v>1385</v>
      </c>
      <c r="BC1350" s="472" t="s">
        <v>1385</v>
      </c>
      <c r="BD1350" s="472" t="s">
        <v>1385</v>
      </c>
      <c r="BE1350" s="472" t="s">
        <v>1385</v>
      </c>
      <c r="BF1350" s="509">
        <v>17047.8</v>
      </c>
      <c r="BG1350" s="509">
        <v>0</v>
      </c>
      <c r="BH1350" s="472" t="s">
        <v>1385</v>
      </c>
      <c r="BI1350" s="510">
        <v>0</v>
      </c>
      <c r="BJ1350" s="510">
        <v>0</v>
      </c>
      <c r="BK1350" s="510">
        <v>0</v>
      </c>
      <c r="BL1350" s="510">
        <v>0</v>
      </c>
      <c r="BM1350" s="510">
        <v>0</v>
      </c>
      <c r="BN1350" s="510">
        <v>2000</v>
      </c>
      <c r="BO1350" s="510">
        <v>0</v>
      </c>
      <c r="BP1350" s="510">
        <v>0</v>
      </c>
      <c r="BQ1350" s="510">
        <v>0</v>
      </c>
      <c r="BR1350" s="510">
        <v>0</v>
      </c>
      <c r="BS1350" s="510">
        <v>0</v>
      </c>
      <c r="BT1350" s="510">
        <v>0</v>
      </c>
      <c r="BU1350" s="510">
        <v>0</v>
      </c>
      <c r="BV1350" s="510">
        <v>0</v>
      </c>
      <c r="BW1350" s="510">
        <v>0</v>
      </c>
      <c r="BX1350" s="510">
        <v>30000</v>
      </c>
      <c r="BY1350" s="1011">
        <v>0</v>
      </c>
      <c r="BZ1350" s="510">
        <v>0</v>
      </c>
      <c r="CA1350" s="1011">
        <v>0</v>
      </c>
      <c r="CB1350" s="510">
        <v>0</v>
      </c>
      <c r="CC1350" s="1011">
        <v>0</v>
      </c>
      <c r="CD1350" s="510">
        <v>0</v>
      </c>
      <c r="CE1350" s="1011">
        <v>0</v>
      </c>
      <c r="CF1350" s="510">
        <v>37759.199999999997</v>
      </c>
      <c r="CG1350" s="1011">
        <v>0</v>
      </c>
      <c r="CH1350" s="510">
        <v>0</v>
      </c>
      <c r="CI1350" s="1011">
        <v>0</v>
      </c>
    </row>
    <row r="1351" spans="1:87" x14ac:dyDescent="0.2">
      <c r="A1351" s="449">
        <v>12</v>
      </c>
      <c r="B1351" s="453">
        <v>400154</v>
      </c>
      <c r="C1351" s="454" t="s">
        <v>10963</v>
      </c>
      <c r="D1351" s="454" t="s">
        <v>4613</v>
      </c>
      <c r="E1351" s="454" t="s">
        <v>10964</v>
      </c>
      <c r="F1351" s="454" t="s">
        <v>525</v>
      </c>
      <c r="G1351" s="454" t="s">
        <v>14543</v>
      </c>
      <c r="H1351" s="455">
        <v>7982483000116</v>
      </c>
      <c r="I1351" s="462">
        <v>38777</v>
      </c>
      <c r="J1351" s="457">
        <v>37357948</v>
      </c>
      <c r="K1351" s="454" t="s">
        <v>10966</v>
      </c>
      <c r="L1351" s="458">
        <v>243</v>
      </c>
      <c r="M1351" s="454" t="s">
        <v>2662</v>
      </c>
      <c r="N1351" s="459">
        <v>2635110</v>
      </c>
      <c r="O1351" s="460">
        <v>22582741</v>
      </c>
      <c r="P1351" s="462">
        <v>323384</v>
      </c>
      <c r="Q1351" s="462">
        <v>12</v>
      </c>
      <c r="R1351" s="462">
        <v>43950</v>
      </c>
      <c r="S1351" s="463">
        <v>161</v>
      </c>
      <c r="T1351" s="464">
        <v>3.6</v>
      </c>
      <c r="U1351" s="465">
        <v>579.6</v>
      </c>
      <c r="V1351" s="465">
        <v>10800</v>
      </c>
      <c r="W1351" s="466">
        <v>0</v>
      </c>
      <c r="X1351" s="467">
        <v>1</v>
      </c>
      <c r="Y1351" s="466">
        <v>17069.400000000001</v>
      </c>
      <c r="Z1351" s="468" t="s">
        <v>516</v>
      </c>
      <c r="AA1351" s="466">
        <v>84814.2</v>
      </c>
      <c r="AB1351" s="466">
        <v>84814.2</v>
      </c>
      <c r="AC1351" s="467">
        <v>0</v>
      </c>
      <c r="AD1351" s="466">
        <v>0</v>
      </c>
      <c r="AE1351" s="468" t="s">
        <v>516</v>
      </c>
      <c r="AF1351" s="466">
        <v>0</v>
      </c>
      <c r="AG1351" s="466">
        <v>0</v>
      </c>
      <c r="AH1351" s="466">
        <v>11379.6</v>
      </c>
      <c r="AI1351" s="466">
        <v>2054.4699999999998</v>
      </c>
      <c r="AJ1351" s="469" t="s">
        <v>1448</v>
      </c>
      <c r="AK1351" s="470" t="s">
        <v>1449</v>
      </c>
      <c r="AL1351" s="471" t="s">
        <v>10967</v>
      </c>
      <c r="AM1351" s="470" t="s">
        <v>10968</v>
      </c>
      <c r="AN1351" s="470" t="s">
        <v>10965</v>
      </c>
      <c r="AO1351" s="470" t="s">
        <v>10969</v>
      </c>
      <c r="AP1351" s="470" t="s">
        <v>10970</v>
      </c>
      <c r="AQ1351" s="470" t="s">
        <v>10963</v>
      </c>
      <c r="AR1351" s="472" t="s">
        <v>515</v>
      </c>
      <c r="AS1351" s="473" t="s">
        <v>1385</v>
      </c>
      <c r="AT1351" s="472" t="s">
        <v>4613</v>
      </c>
      <c r="AU1351" s="472" t="s">
        <v>420</v>
      </c>
      <c r="AV1351" s="472">
        <v>2020</v>
      </c>
      <c r="AW1351" s="474" t="s">
        <v>15078</v>
      </c>
      <c r="AX1351" s="475" t="s">
        <v>15079</v>
      </c>
      <c r="AY1351" s="515">
        <v>1</v>
      </c>
      <c r="AZ1351" s="474" t="s">
        <v>15079</v>
      </c>
      <c r="BA1351" s="472" t="s">
        <v>4613</v>
      </c>
      <c r="BB1351" s="472" t="s">
        <v>1385</v>
      </c>
      <c r="BC1351" s="472" t="s">
        <v>1385</v>
      </c>
      <c r="BD1351" s="472" t="s">
        <v>1385</v>
      </c>
      <c r="BE1351" s="472" t="s">
        <v>1385</v>
      </c>
      <c r="BF1351" s="472">
        <v>17069.400000000001</v>
      </c>
      <c r="BG1351" s="472">
        <v>0</v>
      </c>
      <c r="BH1351" s="472" t="s">
        <v>1385</v>
      </c>
      <c r="BI1351" s="510">
        <v>0</v>
      </c>
      <c r="BJ1351" s="510">
        <v>0</v>
      </c>
      <c r="BK1351" s="510">
        <v>0</v>
      </c>
      <c r="BL1351" s="510">
        <v>0</v>
      </c>
      <c r="BM1351" s="510">
        <v>0</v>
      </c>
      <c r="BN1351" s="510">
        <v>2000</v>
      </c>
      <c r="BO1351" s="510">
        <v>0</v>
      </c>
      <c r="BP1351" s="510">
        <v>0</v>
      </c>
      <c r="BQ1351" s="510">
        <v>0</v>
      </c>
      <c r="BR1351" s="510">
        <v>0</v>
      </c>
      <c r="BS1351" s="510">
        <v>0</v>
      </c>
      <c r="BT1351" s="510">
        <v>0</v>
      </c>
      <c r="BU1351" s="510">
        <v>0</v>
      </c>
      <c r="BV1351" s="510">
        <v>0</v>
      </c>
      <c r="BW1351" s="510">
        <v>0</v>
      </c>
      <c r="BX1351" s="510">
        <v>30000</v>
      </c>
      <c r="BY1351" s="1011">
        <v>0</v>
      </c>
      <c r="BZ1351" s="510">
        <v>0</v>
      </c>
      <c r="CA1351" s="1011">
        <v>0</v>
      </c>
      <c r="CB1351" s="510">
        <v>0</v>
      </c>
      <c r="CC1351" s="1011">
        <v>0</v>
      </c>
      <c r="CD1351" s="510">
        <v>0</v>
      </c>
      <c r="CE1351" s="1011">
        <v>0</v>
      </c>
      <c r="CF1351" s="510">
        <v>37744.800000000003</v>
      </c>
      <c r="CG1351" s="1011">
        <v>0</v>
      </c>
      <c r="CH1351" s="510">
        <v>0</v>
      </c>
      <c r="CI1351" s="1011">
        <v>0</v>
      </c>
    </row>
    <row r="1352" spans="1:87" x14ac:dyDescent="0.2">
      <c r="A1352" s="449">
        <v>11</v>
      </c>
      <c r="B1352" s="453">
        <v>400155</v>
      </c>
      <c r="C1352" s="454" t="s">
        <v>10971</v>
      </c>
      <c r="D1352" s="454" t="s">
        <v>4613</v>
      </c>
      <c r="E1352" s="454" t="s">
        <v>10972</v>
      </c>
      <c r="F1352" s="454" t="s">
        <v>523</v>
      </c>
      <c r="G1352" s="454" t="s">
        <v>14544</v>
      </c>
      <c r="H1352" s="455">
        <v>8254014000143</v>
      </c>
      <c r="I1352" s="462">
        <v>38930</v>
      </c>
      <c r="J1352" s="457">
        <v>37621289</v>
      </c>
      <c r="K1352" s="454" t="s">
        <v>10973</v>
      </c>
      <c r="L1352" s="458">
        <v>280</v>
      </c>
      <c r="M1352" s="454" t="s">
        <v>10974</v>
      </c>
      <c r="N1352" s="459">
        <v>8465000</v>
      </c>
      <c r="O1352" s="460">
        <v>25552577</v>
      </c>
      <c r="P1352" s="462">
        <v>267476</v>
      </c>
      <c r="Q1352" s="462">
        <v>11</v>
      </c>
      <c r="R1352" s="462">
        <v>43921</v>
      </c>
      <c r="S1352" s="463">
        <v>148</v>
      </c>
      <c r="T1352" s="464">
        <v>3.6</v>
      </c>
      <c r="U1352" s="465">
        <v>532.79999999999995</v>
      </c>
      <c r="V1352" s="465">
        <v>10800</v>
      </c>
      <c r="W1352" s="466">
        <v>0</v>
      </c>
      <c r="X1352" s="467">
        <v>1</v>
      </c>
      <c r="Y1352" s="466">
        <v>16999.2</v>
      </c>
      <c r="Z1352" s="468" t="s">
        <v>516</v>
      </c>
      <c r="AA1352" s="466">
        <v>84636</v>
      </c>
      <c r="AB1352" s="466">
        <v>84636</v>
      </c>
      <c r="AC1352" s="467">
        <v>0</v>
      </c>
      <c r="AD1352" s="466">
        <v>0</v>
      </c>
      <c r="AE1352" s="468" t="s">
        <v>516</v>
      </c>
      <c r="AF1352" s="466">
        <v>0</v>
      </c>
      <c r="AG1352" s="466">
        <v>0</v>
      </c>
      <c r="AH1352" s="466">
        <v>18019.34</v>
      </c>
      <c r="AI1352" s="466">
        <v>0</v>
      </c>
      <c r="AJ1352" s="469" t="s">
        <v>1395</v>
      </c>
      <c r="AK1352" s="470" t="s">
        <v>523</v>
      </c>
      <c r="AL1352" s="471" t="s">
        <v>10975</v>
      </c>
      <c r="AM1352" s="470" t="s">
        <v>10976</v>
      </c>
      <c r="AN1352" s="470" t="s">
        <v>10977</v>
      </c>
      <c r="AO1352" s="470" t="s">
        <v>10978</v>
      </c>
      <c r="AP1352" s="470" t="s">
        <v>10979</v>
      </c>
      <c r="AQ1352" s="470" t="s">
        <v>10971</v>
      </c>
      <c r="AR1352" s="472" t="s">
        <v>515</v>
      </c>
      <c r="AS1352" s="473" t="s">
        <v>1385</v>
      </c>
      <c r="AT1352" s="472" t="s">
        <v>4613</v>
      </c>
      <c r="AU1352" s="472" t="s">
        <v>420</v>
      </c>
      <c r="AV1352" s="472">
        <v>2020</v>
      </c>
      <c r="AW1352" s="474" t="s">
        <v>15078</v>
      </c>
      <c r="AX1352" s="475" t="s">
        <v>15079</v>
      </c>
      <c r="AY1352" s="515">
        <v>1</v>
      </c>
      <c r="AZ1352" s="474" t="s">
        <v>15079</v>
      </c>
      <c r="BA1352" s="472" t="s">
        <v>4613</v>
      </c>
      <c r="BB1352" s="472" t="s">
        <v>1385</v>
      </c>
      <c r="BC1352" s="472" t="s">
        <v>1385</v>
      </c>
      <c r="BD1352" s="472" t="s">
        <v>1385</v>
      </c>
      <c r="BE1352" s="472" t="s">
        <v>1385</v>
      </c>
      <c r="BF1352" s="472">
        <v>16999.2</v>
      </c>
      <c r="BG1352" s="472">
        <v>0</v>
      </c>
      <c r="BH1352" s="472" t="s">
        <v>1385</v>
      </c>
      <c r="BI1352" s="510">
        <v>0</v>
      </c>
      <c r="BJ1352" s="510">
        <v>0</v>
      </c>
      <c r="BK1352" s="510">
        <v>0</v>
      </c>
      <c r="BL1352" s="510">
        <v>0</v>
      </c>
      <c r="BM1352" s="510">
        <v>0</v>
      </c>
      <c r="BN1352" s="510">
        <v>2000</v>
      </c>
      <c r="BO1352" s="510">
        <v>0</v>
      </c>
      <c r="BP1352" s="510">
        <v>0</v>
      </c>
      <c r="BQ1352" s="510">
        <v>0</v>
      </c>
      <c r="BR1352" s="510">
        <v>0</v>
      </c>
      <c r="BS1352" s="510">
        <v>0</v>
      </c>
      <c r="BT1352" s="510">
        <v>0</v>
      </c>
      <c r="BU1352" s="510">
        <v>0</v>
      </c>
      <c r="BV1352" s="510">
        <v>0</v>
      </c>
      <c r="BW1352" s="510">
        <v>0</v>
      </c>
      <c r="BX1352" s="510">
        <v>30000</v>
      </c>
      <c r="BY1352" s="1011">
        <v>0</v>
      </c>
      <c r="BZ1352" s="510">
        <v>0</v>
      </c>
      <c r="CA1352" s="1011">
        <v>0</v>
      </c>
      <c r="CB1352" s="510">
        <v>0</v>
      </c>
      <c r="CC1352" s="1011">
        <v>0</v>
      </c>
      <c r="CD1352" s="510">
        <v>0</v>
      </c>
      <c r="CE1352" s="1011">
        <v>0</v>
      </c>
      <c r="CF1352" s="510">
        <v>37636.800000000003</v>
      </c>
      <c r="CG1352" s="1011">
        <v>0</v>
      </c>
      <c r="CH1352" s="510">
        <v>0</v>
      </c>
      <c r="CI1352" s="1011">
        <v>0</v>
      </c>
    </row>
    <row r="1353" spans="1:87" x14ac:dyDescent="0.2">
      <c r="A1353" s="449">
        <v>15</v>
      </c>
      <c r="B1353" s="453">
        <v>400156</v>
      </c>
      <c r="C1353" s="454" t="s">
        <v>10980</v>
      </c>
      <c r="D1353" s="454" t="s">
        <v>4613</v>
      </c>
      <c r="E1353" s="454" t="s">
        <v>10981</v>
      </c>
      <c r="F1353" s="454" t="s">
        <v>521</v>
      </c>
      <c r="G1353" s="454" t="s">
        <v>14545</v>
      </c>
      <c r="H1353" s="455">
        <v>7213410000160</v>
      </c>
      <c r="I1353" s="462">
        <v>38195</v>
      </c>
      <c r="J1353" s="457">
        <v>37586343</v>
      </c>
      <c r="K1353" s="454" t="s">
        <v>1622</v>
      </c>
      <c r="L1353" s="458">
        <v>410</v>
      </c>
      <c r="M1353" s="454" t="s">
        <v>5000</v>
      </c>
      <c r="N1353" s="459">
        <v>4844590</v>
      </c>
      <c r="O1353" s="460">
        <v>59285855</v>
      </c>
      <c r="P1353" s="462">
        <v>90983</v>
      </c>
      <c r="Q1353" s="462">
        <v>16</v>
      </c>
      <c r="R1353" s="462">
        <v>43934</v>
      </c>
      <c r="S1353" s="463">
        <v>109</v>
      </c>
      <c r="T1353" s="464">
        <v>3.6</v>
      </c>
      <c r="U1353" s="465">
        <v>392.4</v>
      </c>
      <c r="V1353" s="465">
        <v>10800</v>
      </c>
      <c r="W1353" s="466">
        <v>0</v>
      </c>
      <c r="X1353" s="467">
        <v>1</v>
      </c>
      <c r="Y1353" s="466">
        <v>16788.599999999999</v>
      </c>
      <c r="Z1353" s="468" t="s">
        <v>516</v>
      </c>
      <c r="AA1353" s="466">
        <v>84180.6</v>
      </c>
      <c r="AB1353" s="466">
        <v>84180.6</v>
      </c>
      <c r="AC1353" s="467">
        <v>0</v>
      </c>
      <c r="AD1353" s="466">
        <v>0</v>
      </c>
      <c r="AE1353" s="468" t="s">
        <v>516</v>
      </c>
      <c r="AF1353" s="466">
        <v>0</v>
      </c>
      <c r="AG1353" s="466">
        <v>0</v>
      </c>
      <c r="AH1353" s="466">
        <v>7430.46</v>
      </c>
      <c r="AI1353" s="466">
        <v>0</v>
      </c>
      <c r="AJ1353" s="469" t="s">
        <v>1624</v>
      </c>
      <c r="AK1353" s="470" t="s">
        <v>1625</v>
      </c>
      <c r="AL1353" s="471" t="s">
        <v>10982</v>
      </c>
      <c r="AM1353" s="470" t="s">
        <v>10983</v>
      </c>
      <c r="AN1353" s="470" t="s">
        <v>1385</v>
      </c>
      <c r="AO1353" s="470" t="s">
        <v>14546</v>
      </c>
      <c r="AP1353" s="470" t="s">
        <v>10984</v>
      </c>
      <c r="AQ1353" s="470" t="s">
        <v>10980</v>
      </c>
      <c r="AR1353" s="472" t="s">
        <v>515</v>
      </c>
      <c r="AS1353" s="473" t="s">
        <v>1385</v>
      </c>
      <c r="AT1353" s="472" t="s">
        <v>4613</v>
      </c>
      <c r="AU1353" s="472" t="s">
        <v>420</v>
      </c>
      <c r="AV1353" s="472">
        <v>2020</v>
      </c>
      <c r="AW1353" s="474" t="s">
        <v>15078</v>
      </c>
      <c r="AX1353" s="475" t="s">
        <v>15079</v>
      </c>
      <c r="AY1353" s="515">
        <v>1</v>
      </c>
      <c r="AZ1353" s="474" t="s">
        <v>15079</v>
      </c>
      <c r="BA1353" s="472" t="s">
        <v>4613</v>
      </c>
      <c r="BB1353" s="472" t="s">
        <v>1385</v>
      </c>
      <c r="BC1353" s="472" t="s">
        <v>1385</v>
      </c>
      <c r="BD1353" s="472" t="s">
        <v>1385</v>
      </c>
      <c r="BE1353" s="472" t="s">
        <v>1385</v>
      </c>
      <c r="BF1353" s="472">
        <v>16788.599999999999</v>
      </c>
      <c r="BG1353" s="472">
        <v>0</v>
      </c>
      <c r="BH1353" s="472" t="s">
        <v>1385</v>
      </c>
      <c r="BI1353" s="510">
        <v>0</v>
      </c>
      <c r="BJ1353" s="510">
        <v>0</v>
      </c>
      <c r="BK1353" s="510">
        <v>0</v>
      </c>
      <c r="BL1353" s="510">
        <v>0</v>
      </c>
      <c r="BM1353" s="510">
        <v>0</v>
      </c>
      <c r="BN1353" s="510">
        <v>2000</v>
      </c>
      <c r="BO1353" s="510">
        <v>0</v>
      </c>
      <c r="BP1353" s="510">
        <v>0</v>
      </c>
      <c r="BQ1353" s="510">
        <v>0</v>
      </c>
      <c r="BR1353" s="510">
        <v>0</v>
      </c>
      <c r="BS1353" s="510">
        <v>0</v>
      </c>
      <c r="BT1353" s="510">
        <v>0</v>
      </c>
      <c r="BU1353" s="510">
        <v>0</v>
      </c>
      <c r="BV1353" s="510">
        <v>0</v>
      </c>
      <c r="BW1353" s="510">
        <v>0</v>
      </c>
      <c r="BX1353" s="510">
        <v>30000</v>
      </c>
      <c r="BY1353" s="1011">
        <v>0</v>
      </c>
      <c r="BZ1353" s="510">
        <v>0</v>
      </c>
      <c r="CA1353" s="1011">
        <v>0</v>
      </c>
      <c r="CB1353" s="510">
        <v>0</v>
      </c>
      <c r="CC1353" s="1011">
        <v>0</v>
      </c>
      <c r="CD1353" s="510">
        <v>0</v>
      </c>
      <c r="CE1353" s="1011">
        <v>0</v>
      </c>
      <c r="CF1353" s="510">
        <v>37392</v>
      </c>
      <c r="CG1353" s="1011">
        <v>0</v>
      </c>
      <c r="CH1353" s="510">
        <v>0</v>
      </c>
      <c r="CI1353" s="1011">
        <v>0</v>
      </c>
    </row>
    <row r="1354" spans="1:87" x14ac:dyDescent="0.2">
      <c r="A1354" s="449">
        <v>15</v>
      </c>
      <c r="B1354" s="453">
        <v>400157</v>
      </c>
      <c r="C1354" s="454" t="s">
        <v>10985</v>
      </c>
      <c r="D1354" s="454" t="s">
        <v>4613</v>
      </c>
      <c r="E1354" s="454" t="s">
        <v>10986</v>
      </c>
      <c r="F1354" s="454" t="s">
        <v>527</v>
      </c>
      <c r="G1354" s="454" t="s">
        <v>14547</v>
      </c>
      <c r="H1354" s="455">
        <v>8627129000136</v>
      </c>
      <c r="I1354" s="462">
        <v>39052</v>
      </c>
      <c r="J1354" s="457">
        <v>37555324</v>
      </c>
      <c r="K1354" s="454" t="s">
        <v>10987</v>
      </c>
      <c r="L1354" s="458">
        <v>872</v>
      </c>
      <c r="M1354" s="454" t="s">
        <v>9714</v>
      </c>
      <c r="N1354" s="459">
        <v>3657000</v>
      </c>
      <c r="O1354" s="460">
        <v>24980017</v>
      </c>
      <c r="P1354" s="462">
        <v>204997</v>
      </c>
      <c r="Q1354" s="462">
        <v>15</v>
      </c>
      <c r="R1354" s="462">
        <v>43917</v>
      </c>
      <c r="S1354" s="463">
        <v>122</v>
      </c>
      <c r="T1354" s="464">
        <v>3.6</v>
      </c>
      <c r="U1354" s="465">
        <v>439.2</v>
      </c>
      <c r="V1354" s="465">
        <v>10800</v>
      </c>
      <c r="W1354" s="466">
        <v>0</v>
      </c>
      <c r="X1354" s="467">
        <v>1</v>
      </c>
      <c r="Y1354" s="466">
        <v>16858.8</v>
      </c>
      <c r="Z1354" s="468" t="s">
        <v>516</v>
      </c>
      <c r="AA1354" s="466">
        <v>84358.8</v>
      </c>
      <c r="AB1354" s="466">
        <v>84358.8</v>
      </c>
      <c r="AC1354" s="467">
        <v>0</v>
      </c>
      <c r="AD1354" s="466">
        <v>0</v>
      </c>
      <c r="AE1354" s="468" t="s">
        <v>516</v>
      </c>
      <c r="AF1354" s="466">
        <v>0</v>
      </c>
      <c r="AG1354" s="466">
        <v>0</v>
      </c>
      <c r="AH1354" s="466">
        <v>24570.17</v>
      </c>
      <c r="AI1354" s="466">
        <v>5148.33</v>
      </c>
      <c r="AJ1354" s="469" t="s">
        <v>4600</v>
      </c>
      <c r="AK1354" s="470" t="s">
        <v>4601</v>
      </c>
      <c r="AL1354" s="471" t="s">
        <v>10988</v>
      </c>
      <c r="AM1354" s="470" t="s">
        <v>14548</v>
      </c>
      <c r="AN1354" s="470" t="s">
        <v>14549</v>
      </c>
      <c r="AO1354" s="470" t="s">
        <v>10989</v>
      </c>
      <c r="AP1354" s="470" t="s">
        <v>10990</v>
      </c>
      <c r="AQ1354" s="470" t="s">
        <v>10985</v>
      </c>
      <c r="AR1354" s="472" t="s">
        <v>515</v>
      </c>
      <c r="AS1354" s="473" t="s">
        <v>1385</v>
      </c>
      <c r="AT1354" s="472" t="s">
        <v>4613</v>
      </c>
      <c r="AU1354" s="472" t="s">
        <v>420</v>
      </c>
      <c r="AV1354" s="472">
        <v>2020</v>
      </c>
      <c r="AW1354" s="474" t="s">
        <v>15078</v>
      </c>
      <c r="AX1354" s="475" t="s">
        <v>15079</v>
      </c>
      <c r="AY1354" s="515">
        <v>1</v>
      </c>
      <c r="AZ1354" s="474" t="s">
        <v>15079</v>
      </c>
      <c r="BA1354" s="472" t="s">
        <v>4613</v>
      </c>
      <c r="BB1354" s="472" t="s">
        <v>1385</v>
      </c>
      <c r="BC1354" s="472" t="s">
        <v>1385</v>
      </c>
      <c r="BD1354" s="472" t="s">
        <v>1385</v>
      </c>
      <c r="BE1354" s="472" t="s">
        <v>1385</v>
      </c>
      <c r="BF1354" s="472">
        <v>16858.8</v>
      </c>
      <c r="BG1354" s="472">
        <v>0</v>
      </c>
      <c r="BH1354" s="472" t="s">
        <v>1385</v>
      </c>
      <c r="BI1354" s="510">
        <v>0</v>
      </c>
      <c r="BJ1354" s="510">
        <v>4289.2</v>
      </c>
      <c r="BK1354" s="510">
        <v>0</v>
      </c>
      <c r="BL1354" s="510">
        <v>0</v>
      </c>
      <c r="BM1354" s="510">
        <v>0</v>
      </c>
      <c r="BN1354" s="510">
        <v>2000</v>
      </c>
      <c r="BO1354" s="510">
        <v>0</v>
      </c>
      <c r="BP1354" s="510">
        <v>0</v>
      </c>
      <c r="BQ1354" s="510">
        <v>0</v>
      </c>
      <c r="BR1354" s="510">
        <v>0</v>
      </c>
      <c r="BS1354" s="510">
        <v>0</v>
      </c>
      <c r="BT1354" s="510">
        <v>0</v>
      </c>
      <c r="BU1354" s="510">
        <v>0</v>
      </c>
      <c r="BV1354" s="510">
        <v>0</v>
      </c>
      <c r="BW1354" s="510">
        <v>0</v>
      </c>
      <c r="BX1354" s="510">
        <v>30000</v>
      </c>
      <c r="BY1354" s="1011">
        <v>0</v>
      </c>
      <c r="BZ1354" s="510">
        <v>0</v>
      </c>
      <c r="CA1354" s="1011">
        <v>0</v>
      </c>
      <c r="CB1354" s="510">
        <v>0</v>
      </c>
      <c r="CC1354" s="1011">
        <v>0</v>
      </c>
      <c r="CD1354" s="510">
        <v>0</v>
      </c>
      <c r="CE1354" s="1011">
        <v>0</v>
      </c>
      <c r="CF1354" s="510">
        <v>37500</v>
      </c>
      <c r="CG1354" s="1011">
        <v>0</v>
      </c>
      <c r="CH1354" s="510">
        <v>0</v>
      </c>
      <c r="CI1354" s="1011">
        <v>0</v>
      </c>
    </row>
    <row r="1355" spans="1:87" x14ac:dyDescent="0.2">
      <c r="A1355" s="449">
        <v>11</v>
      </c>
      <c r="B1355" s="453">
        <v>400158</v>
      </c>
      <c r="C1355" s="454" t="s">
        <v>10991</v>
      </c>
      <c r="D1355" s="454" t="s">
        <v>4613</v>
      </c>
      <c r="E1355" s="454" t="s">
        <v>10992</v>
      </c>
      <c r="F1355" s="454" t="s">
        <v>524</v>
      </c>
      <c r="G1355" s="454" t="s">
        <v>14550</v>
      </c>
      <c r="H1355" s="455">
        <v>8251499000111</v>
      </c>
      <c r="I1355" s="462">
        <v>38022</v>
      </c>
      <c r="J1355" s="457">
        <v>37499017</v>
      </c>
      <c r="K1355" s="454" t="s">
        <v>10993</v>
      </c>
      <c r="L1355" s="458">
        <v>157</v>
      </c>
      <c r="M1355" s="454" t="s">
        <v>1527</v>
      </c>
      <c r="N1355" s="459">
        <v>3106010</v>
      </c>
      <c r="O1355" s="460">
        <v>32086399</v>
      </c>
      <c r="P1355" s="462">
        <v>198970</v>
      </c>
      <c r="Q1355" s="462">
        <v>13</v>
      </c>
      <c r="R1355" s="462">
        <v>43924</v>
      </c>
      <c r="S1355" s="463">
        <v>112</v>
      </c>
      <c r="T1355" s="464">
        <v>3.6</v>
      </c>
      <c r="U1355" s="465">
        <v>403.2</v>
      </c>
      <c r="V1355" s="465">
        <v>10800</v>
      </c>
      <c r="W1355" s="466">
        <v>0</v>
      </c>
      <c r="X1355" s="467">
        <v>1</v>
      </c>
      <c r="Y1355" s="466">
        <v>16804.8</v>
      </c>
      <c r="Z1355" s="468" t="s">
        <v>516</v>
      </c>
      <c r="AA1355" s="466">
        <v>84139.199999999997</v>
      </c>
      <c r="AB1355" s="466">
        <v>84139.199999999997</v>
      </c>
      <c r="AC1355" s="467">
        <v>0</v>
      </c>
      <c r="AD1355" s="466">
        <v>0</v>
      </c>
      <c r="AE1355" s="468" t="s">
        <v>516</v>
      </c>
      <c r="AF1355" s="466">
        <v>0</v>
      </c>
      <c r="AG1355" s="466">
        <v>0</v>
      </c>
      <c r="AH1355" s="466">
        <v>8239.3700000000008</v>
      </c>
      <c r="AI1355" s="466">
        <v>2240.64</v>
      </c>
      <c r="AJ1355" s="469" t="s">
        <v>6665</v>
      </c>
      <c r="AK1355" s="470" t="s">
        <v>10994</v>
      </c>
      <c r="AL1355" s="471" t="s">
        <v>10995</v>
      </c>
      <c r="AM1355" s="470" t="s">
        <v>15095</v>
      </c>
      <c r="AN1355" s="470" t="s">
        <v>10996</v>
      </c>
      <c r="AO1355" s="470" t="s">
        <v>14551</v>
      </c>
      <c r="AP1355" s="470" t="s">
        <v>10997</v>
      </c>
      <c r="AQ1355" s="470" t="s">
        <v>10991</v>
      </c>
      <c r="AR1355" s="472" t="s">
        <v>515</v>
      </c>
      <c r="AS1355" s="473" t="s">
        <v>1385</v>
      </c>
      <c r="AT1355" s="472" t="s">
        <v>4613</v>
      </c>
      <c r="AU1355" s="472" t="s">
        <v>420</v>
      </c>
      <c r="AV1355" s="472">
        <v>2020</v>
      </c>
      <c r="AW1355" s="474" t="s">
        <v>15078</v>
      </c>
      <c r="AX1355" s="475" t="s">
        <v>15079</v>
      </c>
      <c r="AY1355" s="515">
        <v>1</v>
      </c>
      <c r="AZ1355" s="474" t="s">
        <v>15079</v>
      </c>
      <c r="BA1355" s="472" t="s">
        <v>4613</v>
      </c>
      <c r="BB1355" s="472" t="s">
        <v>1385</v>
      </c>
      <c r="BC1355" s="472" t="s">
        <v>1385</v>
      </c>
      <c r="BD1355" s="472" t="s">
        <v>1385</v>
      </c>
      <c r="BE1355" s="472" t="s">
        <v>1385</v>
      </c>
      <c r="BF1355" s="472">
        <v>16804.8</v>
      </c>
      <c r="BG1355" s="472">
        <v>0</v>
      </c>
      <c r="BH1355" s="472" t="s">
        <v>1385</v>
      </c>
      <c r="BI1355" s="510">
        <v>0</v>
      </c>
      <c r="BJ1355" s="510">
        <v>0</v>
      </c>
      <c r="BK1355" s="510">
        <v>0</v>
      </c>
      <c r="BL1355" s="510">
        <v>0</v>
      </c>
      <c r="BM1355" s="510">
        <v>0</v>
      </c>
      <c r="BN1355" s="510">
        <v>2000</v>
      </c>
      <c r="BO1355" s="510">
        <v>0</v>
      </c>
      <c r="BP1355" s="510">
        <v>0</v>
      </c>
      <c r="BQ1355" s="510">
        <v>0</v>
      </c>
      <c r="BR1355" s="510">
        <v>0</v>
      </c>
      <c r="BS1355" s="510">
        <v>0</v>
      </c>
      <c r="BT1355" s="510">
        <v>0</v>
      </c>
      <c r="BU1355" s="510">
        <v>0</v>
      </c>
      <c r="BV1355" s="510">
        <v>0</v>
      </c>
      <c r="BW1355" s="510">
        <v>0</v>
      </c>
      <c r="BX1355" s="510">
        <v>30000</v>
      </c>
      <c r="BY1355" s="1011">
        <v>0</v>
      </c>
      <c r="BZ1355" s="510">
        <v>0</v>
      </c>
      <c r="CA1355" s="1011">
        <v>0</v>
      </c>
      <c r="CB1355" s="510">
        <v>0</v>
      </c>
      <c r="CC1355" s="1011">
        <v>0</v>
      </c>
      <c r="CD1355" s="510">
        <v>0</v>
      </c>
      <c r="CE1355" s="1011">
        <v>0</v>
      </c>
      <c r="CF1355" s="510">
        <v>37334.400000000001</v>
      </c>
      <c r="CG1355" s="1011">
        <v>0</v>
      </c>
      <c r="CH1355" s="510">
        <v>0</v>
      </c>
      <c r="CI1355" s="1011">
        <v>0</v>
      </c>
    </row>
    <row r="1356" spans="1:87" x14ac:dyDescent="0.2">
      <c r="A1356" s="449">
        <v>16</v>
      </c>
      <c r="B1356" s="453">
        <v>400159</v>
      </c>
      <c r="C1356" s="454" t="s">
        <v>10998</v>
      </c>
      <c r="D1356" s="454" t="s">
        <v>4613</v>
      </c>
      <c r="E1356" s="454" t="s">
        <v>10999</v>
      </c>
      <c r="F1356" s="454" t="s">
        <v>521</v>
      </c>
      <c r="G1356" s="454" t="s">
        <v>14552</v>
      </c>
      <c r="H1356" s="455">
        <v>7098514000170</v>
      </c>
      <c r="I1356" s="462">
        <v>38180</v>
      </c>
      <c r="J1356" s="457">
        <v>37552562</v>
      </c>
      <c r="K1356" s="454" t="s">
        <v>11000</v>
      </c>
      <c r="L1356" s="458" t="s">
        <v>1446</v>
      </c>
      <c r="M1356" s="454" t="s">
        <v>7635</v>
      </c>
      <c r="N1356" s="459">
        <v>4837270</v>
      </c>
      <c r="O1356" s="460">
        <v>59289432</v>
      </c>
      <c r="P1356" s="462">
        <v>89160</v>
      </c>
      <c r="Q1356" s="462">
        <v>20</v>
      </c>
      <c r="R1356" s="462">
        <v>43934</v>
      </c>
      <c r="S1356" s="463">
        <v>141</v>
      </c>
      <c r="T1356" s="464">
        <v>3.6</v>
      </c>
      <c r="U1356" s="465">
        <v>507.6</v>
      </c>
      <c r="V1356" s="465">
        <v>10800</v>
      </c>
      <c r="W1356" s="466">
        <v>0</v>
      </c>
      <c r="X1356" s="467">
        <v>1</v>
      </c>
      <c r="Y1356" s="466">
        <v>16961.400000000001</v>
      </c>
      <c r="Z1356" s="468" t="s">
        <v>516</v>
      </c>
      <c r="AA1356" s="466">
        <v>84533.4</v>
      </c>
      <c r="AB1356" s="466">
        <v>84533.4</v>
      </c>
      <c r="AC1356" s="467">
        <v>0</v>
      </c>
      <c r="AD1356" s="466">
        <v>0</v>
      </c>
      <c r="AE1356" s="468" t="s">
        <v>516</v>
      </c>
      <c r="AF1356" s="466">
        <v>0</v>
      </c>
      <c r="AG1356" s="466">
        <v>0</v>
      </c>
      <c r="AH1356" s="466">
        <v>6223.94</v>
      </c>
      <c r="AI1356" s="466">
        <v>3549.13</v>
      </c>
      <c r="AJ1356" s="469" t="s">
        <v>11001</v>
      </c>
      <c r="AK1356" s="470" t="s">
        <v>1625</v>
      </c>
      <c r="AL1356" s="471" t="s">
        <v>11002</v>
      </c>
      <c r="AM1356" s="470" t="s">
        <v>14553</v>
      </c>
      <c r="AN1356" s="470" t="s">
        <v>1385</v>
      </c>
      <c r="AO1356" s="470" t="s">
        <v>14554</v>
      </c>
      <c r="AP1356" s="470" t="s">
        <v>11003</v>
      </c>
      <c r="AQ1356" s="470" t="s">
        <v>10998</v>
      </c>
      <c r="AR1356" s="472" t="s">
        <v>515</v>
      </c>
      <c r="AS1356" s="473" t="s">
        <v>1385</v>
      </c>
      <c r="AT1356" s="472" t="s">
        <v>4613</v>
      </c>
      <c r="AU1356" s="472" t="s">
        <v>420</v>
      </c>
      <c r="AV1356" s="472">
        <v>2020</v>
      </c>
      <c r="AW1356" s="474" t="s">
        <v>15078</v>
      </c>
      <c r="AX1356" s="475" t="s">
        <v>15079</v>
      </c>
      <c r="AY1356" s="515">
        <v>1</v>
      </c>
      <c r="AZ1356" s="474" t="s">
        <v>15079</v>
      </c>
      <c r="BA1356" s="472" t="s">
        <v>4613</v>
      </c>
      <c r="BB1356" s="472" t="s">
        <v>1385</v>
      </c>
      <c r="BC1356" s="472" t="s">
        <v>1385</v>
      </c>
      <c r="BD1356" s="472" t="s">
        <v>1385</v>
      </c>
      <c r="BE1356" s="472" t="s">
        <v>1385</v>
      </c>
      <c r="BF1356" s="472">
        <v>16961.400000000001</v>
      </c>
      <c r="BG1356" s="472">
        <v>0</v>
      </c>
      <c r="BH1356" s="472" t="s">
        <v>1385</v>
      </c>
      <c r="BI1356" s="510">
        <v>0</v>
      </c>
      <c r="BJ1356" s="510">
        <v>0</v>
      </c>
      <c r="BK1356" s="510">
        <v>0</v>
      </c>
      <c r="BL1356" s="510">
        <v>0</v>
      </c>
      <c r="BM1356" s="510">
        <v>0</v>
      </c>
      <c r="BN1356" s="510">
        <v>2000</v>
      </c>
      <c r="BO1356" s="510">
        <v>0</v>
      </c>
      <c r="BP1356" s="510">
        <v>0</v>
      </c>
      <c r="BQ1356" s="510">
        <v>0</v>
      </c>
      <c r="BR1356" s="510">
        <v>0</v>
      </c>
      <c r="BS1356" s="510">
        <v>0</v>
      </c>
      <c r="BT1356" s="510">
        <v>0</v>
      </c>
      <c r="BU1356" s="510">
        <v>0</v>
      </c>
      <c r="BV1356" s="510">
        <v>0</v>
      </c>
      <c r="BW1356" s="510">
        <v>0</v>
      </c>
      <c r="BX1356" s="510">
        <v>30000</v>
      </c>
      <c r="BY1356" s="1011">
        <v>0</v>
      </c>
      <c r="BZ1356" s="510">
        <v>0</v>
      </c>
      <c r="CA1356" s="1011">
        <v>0</v>
      </c>
      <c r="CB1356" s="510">
        <v>0</v>
      </c>
      <c r="CC1356" s="1011">
        <v>0</v>
      </c>
      <c r="CD1356" s="510">
        <v>0</v>
      </c>
      <c r="CE1356" s="1011">
        <v>0</v>
      </c>
      <c r="CF1356" s="510">
        <v>37572</v>
      </c>
      <c r="CG1356" s="1011">
        <v>0</v>
      </c>
      <c r="CH1356" s="510">
        <v>0</v>
      </c>
      <c r="CI1356" s="1011">
        <v>0</v>
      </c>
    </row>
    <row r="1357" spans="1:87" x14ac:dyDescent="0.2">
      <c r="A1357" s="449">
        <v>12</v>
      </c>
      <c r="B1357" s="453">
        <v>400160</v>
      </c>
      <c r="C1357" s="454" t="s">
        <v>11004</v>
      </c>
      <c r="D1357" s="454" t="s">
        <v>4613</v>
      </c>
      <c r="E1357" s="454" t="s">
        <v>11005</v>
      </c>
      <c r="F1357" s="454" t="s">
        <v>524</v>
      </c>
      <c r="G1357" s="454" t="s">
        <v>14555</v>
      </c>
      <c r="H1357" s="455">
        <v>8482187000119</v>
      </c>
      <c r="I1357" s="462">
        <v>38985</v>
      </c>
      <c r="J1357" s="457">
        <v>37499386</v>
      </c>
      <c r="K1357" s="454" t="s">
        <v>11007</v>
      </c>
      <c r="L1357" s="458">
        <v>262</v>
      </c>
      <c r="M1357" s="454" t="s">
        <v>8725</v>
      </c>
      <c r="N1357" s="459">
        <v>4161060</v>
      </c>
      <c r="O1357" s="460">
        <v>29472482</v>
      </c>
      <c r="P1357" s="462">
        <v>199608</v>
      </c>
      <c r="Q1357" s="462">
        <v>14</v>
      </c>
      <c r="R1357" s="462">
        <v>43906</v>
      </c>
      <c r="S1357" s="463">
        <v>105</v>
      </c>
      <c r="T1357" s="464">
        <v>3.6</v>
      </c>
      <c r="U1357" s="465">
        <v>378</v>
      </c>
      <c r="V1357" s="465">
        <v>10800</v>
      </c>
      <c r="W1357" s="466">
        <v>0</v>
      </c>
      <c r="X1357" s="467">
        <v>1</v>
      </c>
      <c r="Y1357" s="466">
        <v>0</v>
      </c>
      <c r="Z1357" s="468" t="s">
        <v>514</v>
      </c>
      <c r="AA1357" s="466">
        <v>0</v>
      </c>
      <c r="AB1357" s="466">
        <v>0</v>
      </c>
      <c r="AC1357" s="467">
        <v>0</v>
      </c>
      <c r="AD1357" s="466">
        <v>0</v>
      </c>
      <c r="AE1357" s="468" t="s">
        <v>516</v>
      </c>
      <c r="AF1357" s="466">
        <v>0</v>
      </c>
      <c r="AG1357" s="466">
        <v>0</v>
      </c>
      <c r="AH1357" s="466">
        <v>0</v>
      </c>
      <c r="AI1357" s="466">
        <v>0</v>
      </c>
      <c r="AJ1357" s="469" t="s">
        <v>2511</v>
      </c>
      <c r="AK1357" s="470" t="s">
        <v>2512</v>
      </c>
      <c r="AL1357" s="471" t="s">
        <v>11008</v>
      </c>
      <c r="AM1357" s="470" t="s">
        <v>15080</v>
      </c>
      <c r="AN1357" s="470" t="s">
        <v>11006</v>
      </c>
      <c r="AO1357" s="470" t="s">
        <v>14556</v>
      </c>
      <c r="AP1357" s="470" t="s">
        <v>11009</v>
      </c>
      <c r="AQ1357" s="470" t="s">
        <v>11004</v>
      </c>
      <c r="AR1357" s="472" t="s">
        <v>515</v>
      </c>
      <c r="AS1357" s="473" t="s">
        <v>1385</v>
      </c>
      <c r="AT1357" s="472" t="s">
        <v>4613</v>
      </c>
      <c r="AU1357" s="472" t="s">
        <v>420</v>
      </c>
      <c r="AV1357" s="472">
        <v>2020</v>
      </c>
      <c r="AW1357" s="474" t="s">
        <v>15078</v>
      </c>
      <c r="AX1357" s="475" t="s">
        <v>15079</v>
      </c>
      <c r="AY1357" s="515">
        <v>1</v>
      </c>
      <c r="AZ1357" s="474" t="s">
        <v>15079</v>
      </c>
      <c r="BA1357" s="472" t="s">
        <v>1385</v>
      </c>
      <c r="BB1357" s="472" t="s">
        <v>1385</v>
      </c>
      <c r="BC1357" s="472" t="s">
        <v>1385</v>
      </c>
      <c r="BD1357" s="472" t="s">
        <v>1385</v>
      </c>
      <c r="BE1357" s="472" t="s">
        <v>1385</v>
      </c>
      <c r="BF1357" s="472">
        <v>16767</v>
      </c>
      <c r="BG1357" s="472">
        <v>0</v>
      </c>
      <c r="BH1357" s="472" t="s">
        <v>516</v>
      </c>
      <c r="BI1357" s="510">
        <v>0</v>
      </c>
      <c r="BJ1357" s="510">
        <v>0</v>
      </c>
      <c r="BK1357" s="510">
        <v>0</v>
      </c>
      <c r="BL1357" s="510">
        <v>0</v>
      </c>
      <c r="BM1357" s="510">
        <v>0</v>
      </c>
      <c r="BN1357" s="510">
        <v>0</v>
      </c>
      <c r="BO1357" s="510">
        <v>0</v>
      </c>
      <c r="BP1357" s="510">
        <v>0</v>
      </c>
      <c r="BQ1357" s="510">
        <v>0</v>
      </c>
      <c r="BR1357" s="510">
        <v>0</v>
      </c>
      <c r="BS1357" s="510">
        <v>0</v>
      </c>
      <c r="BT1357" s="510">
        <v>0</v>
      </c>
      <c r="BU1357" s="510">
        <v>0</v>
      </c>
      <c r="BV1357" s="510">
        <v>0</v>
      </c>
      <c r="BW1357" s="510">
        <v>0</v>
      </c>
      <c r="BX1357" s="510">
        <v>0</v>
      </c>
      <c r="BY1357" s="1011">
        <v>0</v>
      </c>
      <c r="BZ1357" s="510">
        <v>0</v>
      </c>
      <c r="CA1357" s="1011">
        <v>0</v>
      </c>
      <c r="CB1357" s="510">
        <v>0</v>
      </c>
      <c r="CC1357" s="1011">
        <v>0</v>
      </c>
      <c r="CD1357" s="510">
        <v>0</v>
      </c>
      <c r="CE1357" s="1011">
        <v>0</v>
      </c>
      <c r="CF1357" s="510">
        <v>0</v>
      </c>
      <c r="CG1357" s="1011">
        <v>0</v>
      </c>
      <c r="CH1357" s="510">
        <v>0</v>
      </c>
      <c r="CI1357" s="1011">
        <v>0</v>
      </c>
    </row>
    <row r="1358" spans="1:87" x14ac:dyDescent="0.2">
      <c r="A1358" s="449">
        <v>17</v>
      </c>
      <c r="B1358" s="453">
        <v>400161</v>
      </c>
      <c r="C1358" s="454" t="s">
        <v>11010</v>
      </c>
      <c r="D1358" s="454" t="s">
        <v>4613</v>
      </c>
      <c r="E1358" s="454" t="s">
        <v>11011</v>
      </c>
      <c r="F1358" s="454" t="s">
        <v>521</v>
      </c>
      <c r="G1358" s="454" t="s">
        <v>14557</v>
      </c>
      <c r="H1358" s="455">
        <v>7093904000158</v>
      </c>
      <c r="I1358" s="462">
        <v>38124</v>
      </c>
      <c r="J1358" s="457">
        <v>37552252</v>
      </c>
      <c r="K1358" s="454" t="s">
        <v>11012</v>
      </c>
      <c r="L1358" s="458" t="s">
        <v>1446</v>
      </c>
      <c r="M1358" s="454" t="s">
        <v>11013</v>
      </c>
      <c r="N1358" s="459">
        <v>4814100</v>
      </c>
      <c r="O1358" s="460">
        <v>56619087</v>
      </c>
      <c r="P1358" s="462">
        <v>76107</v>
      </c>
      <c r="Q1358" s="462">
        <v>10</v>
      </c>
      <c r="R1358" s="462">
        <v>43934</v>
      </c>
      <c r="S1358" s="463">
        <v>132</v>
      </c>
      <c r="T1358" s="464">
        <v>3.6</v>
      </c>
      <c r="U1358" s="465">
        <v>475.2</v>
      </c>
      <c r="V1358" s="465">
        <v>10800</v>
      </c>
      <c r="W1358" s="466">
        <v>0</v>
      </c>
      <c r="X1358" s="467">
        <v>1</v>
      </c>
      <c r="Y1358" s="466">
        <v>16912.8</v>
      </c>
      <c r="Z1358" s="468" t="s">
        <v>516</v>
      </c>
      <c r="AA1358" s="466">
        <v>84448.8</v>
      </c>
      <c r="AB1358" s="466">
        <v>84448.8</v>
      </c>
      <c r="AC1358" s="467">
        <v>0</v>
      </c>
      <c r="AD1358" s="466">
        <v>0</v>
      </c>
      <c r="AE1358" s="468" t="s">
        <v>516</v>
      </c>
      <c r="AF1358" s="466">
        <v>0</v>
      </c>
      <c r="AG1358" s="466">
        <v>0</v>
      </c>
      <c r="AH1358" s="466">
        <v>11158.21</v>
      </c>
      <c r="AI1358" s="466">
        <v>1912.36</v>
      </c>
      <c r="AJ1358" s="469" t="s">
        <v>1624</v>
      </c>
      <c r="AK1358" s="470" t="s">
        <v>1625</v>
      </c>
      <c r="AL1358" s="471" t="s">
        <v>15101</v>
      </c>
      <c r="AM1358" s="470" t="s">
        <v>11014</v>
      </c>
      <c r="AN1358" s="470" t="s">
        <v>1385</v>
      </c>
      <c r="AO1358" s="470" t="s">
        <v>14558</v>
      </c>
      <c r="AP1358" s="470" t="s">
        <v>11015</v>
      </c>
      <c r="AQ1358" s="470" t="s">
        <v>11010</v>
      </c>
      <c r="AR1358" s="472" t="s">
        <v>515</v>
      </c>
      <c r="AS1358" s="473" t="s">
        <v>1385</v>
      </c>
      <c r="AT1358" s="472" t="s">
        <v>4613</v>
      </c>
      <c r="AU1358" s="472" t="s">
        <v>420</v>
      </c>
      <c r="AV1358" s="472">
        <v>2020</v>
      </c>
      <c r="AW1358" s="474" t="s">
        <v>15078</v>
      </c>
      <c r="AX1358" s="475" t="s">
        <v>15079</v>
      </c>
      <c r="AY1358" s="515">
        <v>1</v>
      </c>
      <c r="AZ1358" s="474" t="s">
        <v>15079</v>
      </c>
      <c r="BA1358" s="472" t="s">
        <v>4613</v>
      </c>
      <c r="BB1358" s="472" t="s">
        <v>1385</v>
      </c>
      <c r="BC1358" s="472" t="s">
        <v>1385</v>
      </c>
      <c r="BD1358" s="472" t="s">
        <v>1385</v>
      </c>
      <c r="BE1358" s="472" t="s">
        <v>1385</v>
      </c>
      <c r="BF1358" s="472">
        <v>16912.8</v>
      </c>
      <c r="BG1358" s="472">
        <v>0</v>
      </c>
      <c r="BH1358" s="472" t="s">
        <v>1385</v>
      </c>
      <c r="BI1358" s="510">
        <v>0</v>
      </c>
      <c r="BJ1358" s="510">
        <v>121.21</v>
      </c>
      <c r="BK1358" s="510">
        <v>0</v>
      </c>
      <c r="BL1358" s="510">
        <v>0</v>
      </c>
      <c r="BM1358" s="510">
        <v>0</v>
      </c>
      <c r="BN1358" s="510">
        <v>2000</v>
      </c>
      <c r="BO1358" s="510">
        <v>0</v>
      </c>
      <c r="BP1358" s="510">
        <v>0</v>
      </c>
      <c r="BQ1358" s="510">
        <v>0</v>
      </c>
      <c r="BR1358" s="510">
        <v>0</v>
      </c>
      <c r="BS1358" s="510">
        <v>0</v>
      </c>
      <c r="BT1358" s="510">
        <v>0</v>
      </c>
      <c r="BU1358" s="510">
        <v>0</v>
      </c>
      <c r="BV1358" s="510">
        <v>0</v>
      </c>
      <c r="BW1358" s="510">
        <v>0</v>
      </c>
      <c r="BX1358" s="510">
        <v>30000</v>
      </c>
      <c r="BY1358" s="1011">
        <v>0</v>
      </c>
      <c r="BZ1358" s="510">
        <v>0</v>
      </c>
      <c r="CA1358" s="1011">
        <v>0</v>
      </c>
      <c r="CB1358" s="510">
        <v>0</v>
      </c>
      <c r="CC1358" s="1011">
        <v>0</v>
      </c>
      <c r="CD1358" s="510">
        <v>0</v>
      </c>
      <c r="CE1358" s="1011">
        <v>0</v>
      </c>
      <c r="CF1358" s="510">
        <v>37536</v>
      </c>
      <c r="CG1358" s="1011">
        <v>0</v>
      </c>
      <c r="CH1358" s="510">
        <v>0</v>
      </c>
      <c r="CI1358" s="1011">
        <v>0</v>
      </c>
    </row>
    <row r="1359" spans="1:87" x14ac:dyDescent="0.2">
      <c r="A1359" s="449">
        <v>28</v>
      </c>
      <c r="B1359" s="453">
        <v>400162</v>
      </c>
      <c r="C1359" s="454" t="s">
        <v>11016</v>
      </c>
      <c r="D1359" s="454" t="s">
        <v>4613</v>
      </c>
      <c r="E1359" s="454" t="s">
        <v>11016</v>
      </c>
      <c r="F1359" s="454" t="s">
        <v>520</v>
      </c>
      <c r="G1359" s="454" t="s">
        <v>14559</v>
      </c>
      <c r="H1359" s="455">
        <v>9062638000121</v>
      </c>
      <c r="I1359" s="462">
        <v>39224</v>
      </c>
      <c r="J1359" s="457">
        <v>37621092</v>
      </c>
      <c r="K1359" s="454" t="s">
        <v>11018</v>
      </c>
      <c r="L1359" s="458">
        <v>180</v>
      </c>
      <c r="M1359" s="454" t="s">
        <v>3716</v>
      </c>
      <c r="N1359" s="459">
        <v>5862150</v>
      </c>
      <c r="O1359" s="460">
        <v>58163965</v>
      </c>
      <c r="P1359" s="462">
        <v>293051</v>
      </c>
      <c r="Q1359" s="462">
        <v>28</v>
      </c>
      <c r="R1359" s="462">
        <v>43969</v>
      </c>
      <c r="S1359" s="463">
        <v>101</v>
      </c>
      <c r="T1359" s="464">
        <v>3.6</v>
      </c>
      <c r="U1359" s="465">
        <v>363.6</v>
      </c>
      <c r="V1359" s="465">
        <v>10800</v>
      </c>
      <c r="W1359" s="466">
        <v>0</v>
      </c>
      <c r="X1359" s="467">
        <v>1</v>
      </c>
      <c r="Y1359" s="466">
        <v>16745.400000000001</v>
      </c>
      <c r="Z1359" s="468" t="s">
        <v>516</v>
      </c>
      <c r="AA1359" s="466">
        <v>84094.2</v>
      </c>
      <c r="AB1359" s="466">
        <v>84094.2</v>
      </c>
      <c r="AC1359" s="467">
        <v>0</v>
      </c>
      <c r="AD1359" s="466">
        <v>0</v>
      </c>
      <c r="AE1359" s="468" t="s">
        <v>516</v>
      </c>
      <c r="AF1359" s="466">
        <v>0</v>
      </c>
      <c r="AG1359" s="466">
        <v>0</v>
      </c>
      <c r="AH1359" s="466">
        <v>12221.97</v>
      </c>
      <c r="AI1359" s="466">
        <v>2416.9</v>
      </c>
      <c r="AJ1359" s="469" t="s">
        <v>1515</v>
      </c>
      <c r="AK1359" s="470" t="s">
        <v>1516</v>
      </c>
      <c r="AL1359" s="471" t="s">
        <v>11019</v>
      </c>
      <c r="AM1359" s="470" t="s">
        <v>11020</v>
      </c>
      <c r="AN1359" s="470" t="s">
        <v>11017</v>
      </c>
      <c r="AO1359" s="470" t="s">
        <v>11021</v>
      </c>
      <c r="AP1359" s="470" t="s">
        <v>11022</v>
      </c>
      <c r="AQ1359" s="470" t="s">
        <v>11016</v>
      </c>
      <c r="AR1359" s="472" t="s">
        <v>515</v>
      </c>
      <c r="AS1359" s="473" t="s">
        <v>1385</v>
      </c>
      <c r="AT1359" s="472" t="s">
        <v>4613</v>
      </c>
      <c r="AU1359" s="472" t="s">
        <v>420</v>
      </c>
      <c r="AV1359" s="472">
        <v>2020</v>
      </c>
      <c r="AW1359" s="474" t="s">
        <v>15078</v>
      </c>
      <c r="AX1359" s="475" t="s">
        <v>15079</v>
      </c>
      <c r="AY1359" s="515">
        <v>1</v>
      </c>
      <c r="AZ1359" s="474" t="s">
        <v>15079</v>
      </c>
      <c r="BA1359" s="472" t="s">
        <v>4613</v>
      </c>
      <c r="BB1359" s="472" t="s">
        <v>1385</v>
      </c>
      <c r="BC1359" s="472" t="s">
        <v>1385</v>
      </c>
      <c r="BD1359" s="472" t="s">
        <v>1385</v>
      </c>
      <c r="BE1359" s="472" t="s">
        <v>1385</v>
      </c>
      <c r="BF1359" s="472">
        <v>16745.400000000001</v>
      </c>
      <c r="BG1359" s="472">
        <v>0</v>
      </c>
      <c r="BH1359" s="472" t="s">
        <v>1385</v>
      </c>
      <c r="BI1359" s="510">
        <v>0</v>
      </c>
      <c r="BJ1359" s="510">
        <v>0</v>
      </c>
      <c r="BK1359" s="510">
        <v>0</v>
      </c>
      <c r="BL1359" s="510">
        <v>0</v>
      </c>
      <c r="BM1359" s="510">
        <v>0</v>
      </c>
      <c r="BN1359" s="510">
        <v>2000</v>
      </c>
      <c r="BO1359" s="510">
        <v>0</v>
      </c>
      <c r="BP1359" s="510">
        <v>0</v>
      </c>
      <c r="BQ1359" s="510">
        <v>0</v>
      </c>
      <c r="BR1359" s="510">
        <v>0</v>
      </c>
      <c r="BS1359" s="510">
        <v>0</v>
      </c>
      <c r="BT1359" s="510">
        <v>0</v>
      </c>
      <c r="BU1359" s="510">
        <v>0</v>
      </c>
      <c r="BV1359" s="510">
        <v>0</v>
      </c>
      <c r="BW1359" s="510">
        <v>0</v>
      </c>
      <c r="BX1359" s="510">
        <v>30000</v>
      </c>
      <c r="BY1359" s="1011">
        <v>0</v>
      </c>
      <c r="BZ1359" s="510">
        <v>0</v>
      </c>
      <c r="CA1359" s="1011">
        <v>0</v>
      </c>
      <c r="CB1359" s="510">
        <v>0</v>
      </c>
      <c r="CC1359" s="1011">
        <v>0</v>
      </c>
      <c r="CD1359" s="510">
        <v>0</v>
      </c>
      <c r="CE1359" s="1011">
        <v>0</v>
      </c>
      <c r="CF1359" s="510">
        <v>37348.800000000003</v>
      </c>
      <c r="CG1359" s="1011">
        <v>0</v>
      </c>
      <c r="CH1359" s="510">
        <v>0</v>
      </c>
      <c r="CI1359" s="1011">
        <v>0</v>
      </c>
    </row>
    <row r="1360" spans="1:87" x14ac:dyDescent="0.2">
      <c r="A1360" s="449">
        <v>8</v>
      </c>
      <c r="B1360" s="453">
        <v>400163</v>
      </c>
      <c r="C1360" s="454" t="s">
        <v>11023</v>
      </c>
      <c r="D1360" s="454" t="s">
        <v>4613</v>
      </c>
      <c r="E1360" s="454" t="s">
        <v>11024</v>
      </c>
      <c r="F1360" s="454" t="s">
        <v>519</v>
      </c>
      <c r="G1360" s="454" t="s">
        <v>14560</v>
      </c>
      <c r="H1360" s="455">
        <v>6998112000160</v>
      </c>
      <c r="I1360" s="462">
        <v>38154</v>
      </c>
      <c r="J1360" s="457">
        <v>37358286</v>
      </c>
      <c r="K1360" s="454" t="s">
        <v>11026</v>
      </c>
      <c r="L1360" s="458">
        <v>200</v>
      </c>
      <c r="M1360" s="454" t="s">
        <v>11027</v>
      </c>
      <c r="N1360" s="459">
        <v>5364030</v>
      </c>
      <c r="O1360" s="460">
        <v>37683587</v>
      </c>
      <c r="P1360" s="462">
        <v>123709</v>
      </c>
      <c r="Q1360" s="462">
        <v>75</v>
      </c>
      <c r="R1360" s="462">
        <v>43881</v>
      </c>
      <c r="S1360" s="463">
        <v>57</v>
      </c>
      <c r="T1360" s="464">
        <v>3.6</v>
      </c>
      <c r="U1360" s="465">
        <v>205.2</v>
      </c>
      <c r="V1360" s="465">
        <v>10800</v>
      </c>
      <c r="W1360" s="466">
        <v>0</v>
      </c>
      <c r="X1360" s="467">
        <v>1</v>
      </c>
      <c r="Y1360" s="466">
        <v>0</v>
      </c>
      <c r="Z1360" s="468" t="s">
        <v>514</v>
      </c>
      <c r="AA1360" s="466">
        <v>0</v>
      </c>
      <c r="AB1360" s="466">
        <v>0</v>
      </c>
      <c r="AC1360" s="467">
        <v>0</v>
      </c>
      <c r="AD1360" s="466">
        <v>0</v>
      </c>
      <c r="AE1360" s="468" t="s">
        <v>516</v>
      </c>
      <c r="AF1360" s="466">
        <v>0</v>
      </c>
      <c r="AG1360" s="466">
        <v>0</v>
      </c>
      <c r="AH1360" s="466">
        <v>691.86</v>
      </c>
      <c r="AI1360" s="466">
        <v>5150.08</v>
      </c>
      <c r="AJ1360" s="469" t="s">
        <v>1940</v>
      </c>
      <c r="AK1360" s="470" t="s">
        <v>1941</v>
      </c>
      <c r="AL1360" s="471" t="s">
        <v>11028</v>
      </c>
      <c r="AM1360" s="470" t="s">
        <v>11029</v>
      </c>
      <c r="AN1360" s="470" t="s">
        <v>11025</v>
      </c>
      <c r="AO1360" s="470" t="s">
        <v>11030</v>
      </c>
      <c r="AP1360" s="470" t="s">
        <v>11031</v>
      </c>
      <c r="AQ1360" s="470" t="s">
        <v>11023</v>
      </c>
      <c r="AR1360" s="472" t="s">
        <v>515</v>
      </c>
      <c r="AS1360" s="473" t="s">
        <v>1385</v>
      </c>
      <c r="AT1360" s="472" t="s">
        <v>4613</v>
      </c>
      <c r="AU1360" s="472" t="s">
        <v>420</v>
      </c>
      <c r="AV1360" s="472">
        <v>2020</v>
      </c>
      <c r="AW1360" s="474" t="s">
        <v>15078</v>
      </c>
      <c r="AX1360" s="475" t="s">
        <v>15079</v>
      </c>
      <c r="AY1360" s="515">
        <v>1</v>
      </c>
      <c r="AZ1360" s="474" t="s">
        <v>15079</v>
      </c>
      <c r="BA1360" s="472" t="s">
        <v>1385</v>
      </c>
      <c r="BB1360" s="472" t="s">
        <v>1385</v>
      </c>
      <c r="BC1360" s="472" t="s">
        <v>1385</v>
      </c>
      <c r="BD1360" s="472" t="s">
        <v>1385</v>
      </c>
      <c r="BE1360" s="472" t="s">
        <v>1385</v>
      </c>
      <c r="BF1360" s="509">
        <v>16507.8</v>
      </c>
      <c r="BG1360" s="472">
        <v>0</v>
      </c>
      <c r="BH1360" s="472" t="s">
        <v>516</v>
      </c>
      <c r="BI1360" s="510">
        <v>0</v>
      </c>
      <c r="BJ1360" s="510">
        <v>0</v>
      </c>
      <c r="BK1360" s="510">
        <v>0</v>
      </c>
      <c r="BL1360" s="510">
        <v>0</v>
      </c>
      <c r="BM1360" s="510">
        <v>0</v>
      </c>
      <c r="BN1360" s="510">
        <v>0</v>
      </c>
      <c r="BO1360" s="510">
        <v>0</v>
      </c>
      <c r="BP1360" s="510">
        <v>0</v>
      </c>
      <c r="BQ1360" s="510">
        <v>0</v>
      </c>
      <c r="BR1360" s="510">
        <v>0</v>
      </c>
      <c r="BS1360" s="510">
        <v>0</v>
      </c>
      <c r="BT1360" s="510">
        <v>0</v>
      </c>
      <c r="BU1360" s="510">
        <v>0</v>
      </c>
      <c r="BV1360" s="510">
        <v>0</v>
      </c>
      <c r="BW1360" s="510">
        <v>0</v>
      </c>
      <c r="BX1360" s="510">
        <v>0</v>
      </c>
      <c r="BY1360" s="1011">
        <v>0</v>
      </c>
      <c r="BZ1360" s="510">
        <v>0</v>
      </c>
      <c r="CA1360" s="1011">
        <v>0</v>
      </c>
      <c r="CB1360" s="510">
        <v>0</v>
      </c>
      <c r="CC1360" s="1011">
        <v>0</v>
      </c>
      <c r="CD1360" s="510">
        <v>0</v>
      </c>
      <c r="CE1360" s="1011">
        <v>0</v>
      </c>
      <c r="CF1360" s="510">
        <v>0</v>
      </c>
      <c r="CG1360" s="1011">
        <v>0</v>
      </c>
      <c r="CH1360" s="510">
        <v>0</v>
      </c>
      <c r="CI1360" s="1011">
        <v>0</v>
      </c>
    </row>
    <row r="1361" spans="1:87" x14ac:dyDescent="0.2">
      <c r="A1361" s="449">
        <v>7</v>
      </c>
      <c r="B1361" s="453">
        <v>400164</v>
      </c>
      <c r="C1361" s="454" t="s">
        <v>11032</v>
      </c>
      <c r="D1361" s="454" t="s">
        <v>4613</v>
      </c>
      <c r="E1361" s="454" t="s">
        <v>11033</v>
      </c>
      <c r="F1361" s="454" t="s">
        <v>529</v>
      </c>
      <c r="G1361" s="454" t="s">
        <v>14561</v>
      </c>
      <c r="H1361" s="455">
        <v>7881125000117</v>
      </c>
      <c r="I1361" s="462">
        <v>38750</v>
      </c>
      <c r="J1361" s="457">
        <v>37523660</v>
      </c>
      <c r="K1361" s="454" t="s">
        <v>11034</v>
      </c>
      <c r="L1361" s="458">
        <v>201</v>
      </c>
      <c r="M1361" s="454" t="s">
        <v>5590</v>
      </c>
      <c r="N1361" s="459">
        <v>4606000</v>
      </c>
      <c r="O1361" s="460">
        <v>55314921</v>
      </c>
      <c r="P1361" s="462">
        <v>563164</v>
      </c>
      <c r="Q1361" s="462">
        <v>9</v>
      </c>
      <c r="R1361" s="462">
        <v>43921</v>
      </c>
      <c r="S1361" s="463">
        <v>156</v>
      </c>
      <c r="T1361" s="464">
        <v>3.6</v>
      </c>
      <c r="U1361" s="465">
        <v>561.6</v>
      </c>
      <c r="V1361" s="465">
        <v>10800</v>
      </c>
      <c r="W1361" s="466">
        <v>0</v>
      </c>
      <c r="X1361" s="467">
        <v>1</v>
      </c>
      <c r="Y1361" s="466">
        <v>17042.400000000001</v>
      </c>
      <c r="Z1361" s="468" t="s">
        <v>516</v>
      </c>
      <c r="AA1361" s="466">
        <v>84736.8</v>
      </c>
      <c r="AB1361" s="466">
        <v>84736.8</v>
      </c>
      <c r="AC1361" s="467">
        <v>0</v>
      </c>
      <c r="AD1361" s="466">
        <v>0</v>
      </c>
      <c r="AE1361" s="468" t="s">
        <v>516</v>
      </c>
      <c r="AF1361" s="466">
        <v>0</v>
      </c>
      <c r="AG1361" s="466">
        <v>0</v>
      </c>
      <c r="AH1361" s="466">
        <v>3218.78</v>
      </c>
      <c r="AI1361" s="466">
        <v>447.24</v>
      </c>
      <c r="AJ1361" s="469" t="s">
        <v>5591</v>
      </c>
      <c r="AK1361" s="470" t="s">
        <v>5592</v>
      </c>
      <c r="AL1361" s="471" t="s">
        <v>11035</v>
      </c>
      <c r="AM1361" s="470" t="s">
        <v>14901</v>
      </c>
      <c r="AN1361" s="470" t="s">
        <v>14561</v>
      </c>
      <c r="AO1361" s="470" t="s">
        <v>1385</v>
      </c>
      <c r="AP1361" s="470" t="s">
        <v>11036</v>
      </c>
      <c r="AQ1361" s="470" t="s">
        <v>11032</v>
      </c>
      <c r="AR1361" s="472" t="s">
        <v>515</v>
      </c>
      <c r="AS1361" s="473" t="s">
        <v>1385</v>
      </c>
      <c r="AT1361" s="472" t="s">
        <v>4613</v>
      </c>
      <c r="AU1361" s="472" t="s">
        <v>420</v>
      </c>
      <c r="AV1361" s="472">
        <v>2020</v>
      </c>
      <c r="AW1361" s="474" t="s">
        <v>15078</v>
      </c>
      <c r="AX1361" s="475" t="s">
        <v>15079</v>
      </c>
      <c r="AY1361" s="515">
        <v>1</v>
      </c>
      <c r="AZ1361" s="474" t="s">
        <v>15079</v>
      </c>
      <c r="BA1361" s="472" t="s">
        <v>4613</v>
      </c>
      <c r="BB1361" s="472" t="s">
        <v>1385</v>
      </c>
      <c r="BC1361" s="472" t="s">
        <v>1385</v>
      </c>
      <c r="BD1361" s="472" t="s">
        <v>1385</v>
      </c>
      <c r="BE1361" s="472" t="s">
        <v>1385</v>
      </c>
      <c r="BF1361" s="472">
        <v>17042.400000000001</v>
      </c>
      <c r="BG1361" s="472">
        <v>0</v>
      </c>
      <c r="BH1361" s="472" t="s">
        <v>1385</v>
      </c>
      <c r="BI1361" s="510">
        <v>0</v>
      </c>
      <c r="BJ1361" s="510">
        <v>0</v>
      </c>
      <c r="BK1361" s="510">
        <v>0</v>
      </c>
      <c r="BL1361" s="510">
        <v>0</v>
      </c>
      <c r="BM1361" s="510">
        <v>0</v>
      </c>
      <c r="BN1361" s="510">
        <v>2000</v>
      </c>
      <c r="BO1361" s="510">
        <v>0</v>
      </c>
      <c r="BP1361" s="510">
        <v>0</v>
      </c>
      <c r="BQ1361" s="510">
        <v>0</v>
      </c>
      <c r="BR1361" s="510">
        <v>0</v>
      </c>
      <c r="BS1361" s="510">
        <v>0</v>
      </c>
      <c r="BT1361" s="510">
        <v>0</v>
      </c>
      <c r="BU1361" s="510">
        <v>0</v>
      </c>
      <c r="BV1361" s="510">
        <v>0</v>
      </c>
      <c r="BW1361" s="510">
        <v>0</v>
      </c>
      <c r="BX1361" s="510">
        <v>30000</v>
      </c>
      <c r="BY1361" s="1011">
        <v>0</v>
      </c>
      <c r="BZ1361" s="510">
        <v>0</v>
      </c>
      <c r="CA1361" s="1011">
        <v>0</v>
      </c>
      <c r="CB1361" s="510">
        <v>0</v>
      </c>
      <c r="CC1361" s="1011">
        <v>0</v>
      </c>
      <c r="CD1361" s="510">
        <v>0</v>
      </c>
      <c r="CE1361" s="1011">
        <v>0</v>
      </c>
      <c r="CF1361" s="510">
        <v>37694.400000000001</v>
      </c>
      <c r="CG1361" s="1011">
        <v>0</v>
      </c>
      <c r="CH1361" s="510">
        <v>0</v>
      </c>
      <c r="CI1361" s="1011">
        <v>0</v>
      </c>
    </row>
    <row r="1362" spans="1:87" x14ac:dyDescent="0.2">
      <c r="A1362" s="449">
        <v>12</v>
      </c>
      <c r="B1362" s="453">
        <v>400165</v>
      </c>
      <c r="C1362" s="454" t="s">
        <v>11037</v>
      </c>
      <c r="D1362" s="454" t="s">
        <v>4613</v>
      </c>
      <c r="E1362" s="454" t="s">
        <v>11038</v>
      </c>
      <c r="F1362" s="454" t="s">
        <v>523</v>
      </c>
      <c r="G1362" s="454" t="s">
        <v>14562</v>
      </c>
      <c r="H1362" s="455">
        <v>8171695000186</v>
      </c>
      <c r="I1362" s="462">
        <v>38898</v>
      </c>
      <c r="J1362" s="457">
        <v>37620185</v>
      </c>
      <c r="K1362" s="454" t="s">
        <v>11039</v>
      </c>
      <c r="L1362" s="458">
        <v>80</v>
      </c>
      <c r="M1362" s="454" t="s">
        <v>523</v>
      </c>
      <c r="N1362" s="459">
        <v>8461380</v>
      </c>
      <c r="O1362" s="460">
        <v>25565025</v>
      </c>
      <c r="P1362" s="462">
        <v>267450</v>
      </c>
      <c r="Q1362" s="462">
        <v>12</v>
      </c>
      <c r="R1362" s="462">
        <v>43921</v>
      </c>
      <c r="S1362" s="463">
        <v>152</v>
      </c>
      <c r="T1362" s="464">
        <v>3.6</v>
      </c>
      <c r="U1362" s="465">
        <v>547.20000000000005</v>
      </c>
      <c r="V1362" s="465">
        <v>10800</v>
      </c>
      <c r="W1362" s="466">
        <v>0</v>
      </c>
      <c r="X1362" s="467">
        <v>1</v>
      </c>
      <c r="Y1362" s="466">
        <v>17020.8</v>
      </c>
      <c r="Z1362" s="468" t="s">
        <v>516</v>
      </c>
      <c r="AA1362" s="466">
        <v>84679.2</v>
      </c>
      <c r="AB1362" s="466">
        <v>84679.2</v>
      </c>
      <c r="AC1362" s="467">
        <v>0</v>
      </c>
      <c r="AD1362" s="466">
        <v>0</v>
      </c>
      <c r="AE1362" s="468" t="s">
        <v>516</v>
      </c>
      <c r="AF1362" s="466">
        <v>0</v>
      </c>
      <c r="AG1362" s="466">
        <v>0</v>
      </c>
      <c r="AH1362" s="466">
        <v>11822.58</v>
      </c>
      <c r="AI1362" s="466">
        <v>0</v>
      </c>
      <c r="AJ1362" s="469" t="s">
        <v>1395</v>
      </c>
      <c r="AK1362" s="470" t="s">
        <v>523</v>
      </c>
      <c r="AL1362" s="471" t="s">
        <v>11040</v>
      </c>
      <c r="AM1362" s="470" t="s">
        <v>11041</v>
      </c>
      <c r="AN1362" s="470" t="s">
        <v>1385</v>
      </c>
      <c r="AO1362" s="470" t="s">
        <v>11042</v>
      </c>
      <c r="AP1362" s="470" t="s">
        <v>11043</v>
      </c>
      <c r="AQ1362" s="470" t="s">
        <v>11037</v>
      </c>
      <c r="AR1362" s="472" t="s">
        <v>515</v>
      </c>
      <c r="AS1362" s="473" t="s">
        <v>1385</v>
      </c>
      <c r="AT1362" s="472" t="s">
        <v>4613</v>
      </c>
      <c r="AU1362" s="472" t="s">
        <v>420</v>
      </c>
      <c r="AV1362" s="472">
        <v>2020</v>
      </c>
      <c r="AW1362" s="474" t="s">
        <v>15078</v>
      </c>
      <c r="AX1362" s="475" t="s">
        <v>15079</v>
      </c>
      <c r="AY1362" s="515">
        <v>1</v>
      </c>
      <c r="AZ1362" s="474" t="s">
        <v>15079</v>
      </c>
      <c r="BA1362" s="472" t="s">
        <v>4613</v>
      </c>
      <c r="BB1362" s="472" t="s">
        <v>1385</v>
      </c>
      <c r="BC1362" s="472" t="s">
        <v>1385</v>
      </c>
      <c r="BD1362" s="472" t="s">
        <v>1385</v>
      </c>
      <c r="BE1362" s="472" t="s">
        <v>1385</v>
      </c>
      <c r="BF1362" s="472">
        <v>17020.8</v>
      </c>
      <c r="BG1362" s="472">
        <v>0</v>
      </c>
      <c r="BH1362" s="472" t="s">
        <v>1385</v>
      </c>
      <c r="BI1362" s="510">
        <v>0</v>
      </c>
      <c r="BJ1362" s="510">
        <v>0</v>
      </c>
      <c r="BK1362" s="510">
        <v>0</v>
      </c>
      <c r="BL1362" s="510">
        <v>0</v>
      </c>
      <c r="BM1362" s="510">
        <v>0</v>
      </c>
      <c r="BN1362" s="510">
        <v>2000</v>
      </c>
      <c r="BO1362" s="510">
        <v>0</v>
      </c>
      <c r="BP1362" s="510">
        <v>0</v>
      </c>
      <c r="BQ1362" s="510">
        <v>0</v>
      </c>
      <c r="BR1362" s="510">
        <v>0</v>
      </c>
      <c r="BS1362" s="510">
        <v>0</v>
      </c>
      <c r="BT1362" s="510">
        <v>0</v>
      </c>
      <c r="BU1362" s="510">
        <v>0</v>
      </c>
      <c r="BV1362" s="510">
        <v>0</v>
      </c>
      <c r="BW1362" s="510">
        <v>0</v>
      </c>
      <c r="BX1362" s="510">
        <v>30000</v>
      </c>
      <c r="BY1362" s="1011">
        <v>0</v>
      </c>
      <c r="BZ1362" s="510">
        <v>0</v>
      </c>
      <c r="CA1362" s="1011">
        <v>0</v>
      </c>
      <c r="CB1362" s="510">
        <v>0</v>
      </c>
      <c r="CC1362" s="1011">
        <v>0</v>
      </c>
      <c r="CD1362" s="510">
        <v>0</v>
      </c>
      <c r="CE1362" s="1011">
        <v>0</v>
      </c>
      <c r="CF1362" s="510">
        <v>37658.400000000001</v>
      </c>
      <c r="CG1362" s="1011">
        <v>0</v>
      </c>
      <c r="CH1362" s="510">
        <v>0</v>
      </c>
      <c r="CI1362" s="1011">
        <v>0</v>
      </c>
    </row>
    <row r="1363" spans="1:87" x14ac:dyDescent="0.2">
      <c r="A1363" s="449">
        <v>14</v>
      </c>
      <c r="B1363" s="453">
        <v>400166</v>
      </c>
      <c r="C1363" s="454" t="s">
        <v>11044</v>
      </c>
      <c r="D1363" s="454" t="s">
        <v>4613</v>
      </c>
      <c r="E1363" s="454" t="s">
        <v>11045</v>
      </c>
      <c r="F1363" s="454" t="s">
        <v>528</v>
      </c>
      <c r="G1363" s="454" t="s">
        <v>14563</v>
      </c>
      <c r="H1363" s="455">
        <v>7897780000163</v>
      </c>
      <c r="I1363" s="462">
        <v>38779</v>
      </c>
      <c r="J1363" s="457">
        <v>37375563</v>
      </c>
      <c r="K1363" s="454" t="s">
        <v>11046</v>
      </c>
      <c r="L1363" s="458">
        <v>44</v>
      </c>
      <c r="M1363" s="454" t="s">
        <v>3930</v>
      </c>
      <c r="N1363" s="459">
        <v>5158340</v>
      </c>
      <c r="O1363" s="460">
        <v>39041391</v>
      </c>
      <c r="P1363" s="462">
        <v>210237</v>
      </c>
      <c r="Q1363" s="462">
        <v>14</v>
      </c>
      <c r="R1363" s="462">
        <v>43938</v>
      </c>
      <c r="S1363" s="463">
        <v>92</v>
      </c>
      <c r="T1363" s="464">
        <v>3.6</v>
      </c>
      <c r="U1363" s="465">
        <v>331.2</v>
      </c>
      <c r="V1363" s="465">
        <v>10800</v>
      </c>
      <c r="W1363" s="466">
        <v>0</v>
      </c>
      <c r="X1363" s="467">
        <v>1</v>
      </c>
      <c r="Y1363" s="466">
        <v>16696.8</v>
      </c>
      <c r="Z1363" s="468" t="s">
        <v>516</v>
      </c>
      <c r="AA1363" s="466">
        <v>83966.399999999994</v>
      </c>
      <c r="AB1363" s="466">
        <v>83966.399999999994</v>
      </c>
      <c r="AC1363" s="467">
        <v>0</v>
      </c>
      <c r="AD1363" s="466">
        <v>0</v>
      </c>
      <c r="AE1363" s="468" t="s">
        <v>516</v>
      </c>
      <c r="AF1363" s="466">
        <v>0</v>
      </c>
      <c r="AG1363" s="466">
        <v>0</v>
      </c>
      <c r="AH1363" s="466">
        <v>9688.8700000000008</v>
      </c>
      <c r="AI1363" s="466">
        <v>6679.91</v>
      </c>
      <c r="AJ1363" s="469" t="s">
        <v>5530</v>
      </c>
      <c r="AK1363" s="470" t="s">
        <v>5531</v>
      </c>
      <c r="AL1363" s="471" t="s">
        <v>11047</v>
      </c>
      <c r="AM1363" s="470" t="s">
        <v>11048</v>
      </c>
      <c r="AN1363" s="470" t="s">
        <v>11049</v>
      </c>
      <c r="AO1363" s="470" t="s">
        <v>14564</v>
      </c>
      <c r="AP1363" s="470" t="s">
        <v>11050</v>
      </c>
      <c r="AQ1363" s="470" t="s">
        <v>11044</v>
      </c>
      <c r="AR1363" s="472" t="s">
        <v>515</v>
      </c>
      <c r="AS1363" s="473" t="s">
        <v>1385</v>
      </c>
      <c r="AT1363" s="472" t="s">
        <v>4613</v>
      </c>
      <c r="AU1363" s="472" t="s">
        <v>420</v>
      </c>
      <c r="AV1363" s="472">
        <v>2020</v>
      </c>
      <c r="AW1363" s="474" t="s">
        <v>15078</v>
      </c>
      <c r="AX1363" s="475" t="s">
        <v>15079</v>
      </c>
      <c r="AY1363" s="515">
        <v>1</v>
      </c>
      <c r="AZ1363" s="474" t="s">
        <v>15079</v>
      </c>
      <c r="BA1363" s="472" t="s">
        <v>4613</v>
      </c>
      <c r="BB1363" s="472" t="s">
        <v>1385</v>
      </c>
      <c r="BC1363" s="472" t="s">
        <v>1385</v>
      </c>
      <c r="BD1363" s="472" t="s">
        <v>1385</v>
      </c>
      <c r="BE1363" s="472" t="s">
        <v>1385</v>
      </c>
      <c r="BF1363" s="472">
        <v>16696.8</v>
      </c>
      <c r="BG1363" s="472">
        <v>0</v>
      </c>
      <c r="BH1363" s="472" t="s">
        <v>1385</v>
      </c>
      <c r="BI1363" s="510">
        <v>0</v>
      </c>
      <c r="BJ1363" s="510">
        <v>0</v>
      </c>
      <c r="BK1363" s="510">
        <v>0</v>
      </c>
      <c r="BL1363" s="510">
        <v>0</v>
      </c>
      <c r="BM1363" s="510">
        <v>0</v>
      </c>
      <c r="BN1363" s="510">
        <v>1500</v>
      </c>
      <c r="BO1363" s="510">
        <v>0</v>
      </c>
      <c r="BP1363" s="510">
        <v>0</v>
      </c>
      <c r="BQ1363" s="510">
        <v>0</v>
      </c>
      <c r="BR1363" s="510">
        <v>0</v>
      </c>
      <c r="BS1363" s="510">
        <v>0</v>
      </c>
      <c r="BT1363" s="510">
        <v>0</v>
      </c>
      <c r="BU1363" s="510">
        <v>0</v>
      </c>
      <c r="BV1363" s="510">
        <v>0</v>
      </c>
      <c r="BW1363" s="510">
        <v>0</v>
      </c>
      <c r="BX1363" s="510">
        <v>30000</v>
      </c>
      <c r="BY1363" s="1011">
        <v>0</v>
      </c>
      <c r="BZ1363" s="510">
        <v>0</v>
      </c>
      <c r="CA1363" s="1011">
        <v>0</v>
      </c>
      <c r="CB1363" s="510">
        <v>0</v>
      </c>
      <c r="CC1363" s="1011">
        <v>0</v>
      </c>
      <c r="CD1363" s="510">
        <v>0</v>
      </c>
      <c r="CE1363" s="1011">
        <v>0</v>
      </c>
      <c r="CF1363" s="510">
        <v>37269.599999999999</v>
      </c>
      <c r="CG1363" s="1011">
        <v>0</v>
      </c>
      <c r="CH1363" s="510">
        <v>0</v>
      </c>
      <c r="CI1363" s="1011">
        <v>0</v>
      </c>
    </row>
    <row r="1364" spans="1:87" x14ac:dyDescent="0.2">
      <c r="A1364" s="449">
        <v>13</v>
      </c>
      <c r="B1364" s="453">
        <v>400167</v>
      </c>
      <c r="C1364" s="454" t="s">
        <v>11051</v>
      </c>
      <c r="D1364" s="454" t="s">
        <v>4613</v>
      </c>
      <c r="E1364" s="454" t="s">
        <v>11052</v>
      </c>
      <c r="F1364" s="454" t="s">
        <v>525</v>
      </c>
      <c r="G1364" s="454" t="s">
        <v>14565</v>
      </c>
      <c r="H1364" s="455">
        <v>7959327000134</v>
      </c>
      <c r="I1364" s="462">
        <v>38770</v>
      </c>
      <c r="J1364" s="457">
        <v>37358006</v>
      </c>
      <c r="K1364" s="454" t="s">
        <v>11054</v>
      </c>
      <c r="L1364" s="458">
        <v>25</v>
      </c>
      <c r="M1364" s="454" t="s">
        <v>1740</v>
      </c>
      <c r="N1364" s="459">
        <v>2443102</v>
      </c>
      <c r="O1364" s="460">
        <v>22317455</v>
      </c>
      <c r="P1364" s="462">
        <v>323406</v>
      </c>
      <c r="Q1364" s="462">
        <v>13</v>
      </c>
      <c r="R1364" s="462">
        <v>43950</v>
      </c>
      <c r="S1364" s="463">
        <v>36</v>
      </c>
      <c r="T1364" s="464">
        <v>3.6</v>
      </c>
      <c r="U1364" s="465">
        <v>129.6</v>
      </c>
      <c r="V1364" s="465">
        <v>10800</v>
      </c>
      <c r="W1364" s="466">
        <v>0</v>
      </c>
      <c r="X1364" s="467">
        <v>1</v>
      </c>
      <c r="Y1364" s="466">
        <v>16394.400000000001</v>
      </c>
      <c r="Z1364" s="468" t="s">
        <v>516</v>
      </c>
      <c r="AA1364" s="466">
        <v>83253.600000000006</v>
      </c>
      <c r="AB1364" s="466">
        <v>83253.600000000006</v>
      </c>
      <c r="AC1364" s="467">
        <v>0</v>
      </c>
      <c r="AD1364" s="466">
        <v>0</v>
      </c>
      <c r="AE1364" s="468" t="s">
        <v>516</v>
      </c>
      <c r="AF1364" s="466">
        <v>0</v>
      </c>
      <c r="AG1364" s="466">
        <v>0</v>
      </c>
      <c r="AH1364" s="466">
        <v>16901.22</v>
      </c>
      <c r="AI1364" s="466">
        <v>7053.84</v>
      </c>
      <c r="AJ1364" s="469" t="s">
        <v>1448</v>
      </c>
      <c r="AK1364" s="470" t="s">
        <v>1449</v>
      </c>
      <c r="AL1364" s="471" t="s">
        <v>11055</v>
      </c>
      <c r="AM1364" s="470" t="s">
        <v>11056</v>
      </c>
      <c r="AN1364" s="470" t="s">
        <v>11053</v>
      </c>
      <c r="AO1364" s="470" t="s">
        <v>11057</v>
      </c>
      <c r="AP1364" s="470" t="s">
        <v>1740</v>
      </c>
      <c r="AQ1364" s="470" t="s">
        <v>11051</v>
      </c>
      <c r="AR1364" s="472" t="s">
        <v>515</v>
      </c>
      <c r="AS1364" s="473" t="s">
        <v>1385</v>
      </c>
      <c r="AT1364" s="472" t="s">
        <v>4613</v>
      </c>
      <c r="AU1364" s="472" t="s">
        <v>420</v>
      </c>
      <c r="AV1364" s="472">
        <v>2020</v>
      </c>
      <c r="AW1364" s="474" t="s">
        <v>15078</v>
      </c>
      <c r="AX1364" s="475" t="s">
        <v>15079</v>
      </c>
      <c r="AY1364" s="515">
        <v>1</v>
      </c>
      <c r="AZ1364" s="474" t="s">
        <v>15079</v>
      </c>
      <c r="BA1364" s="472" t="s">
        <v>4613</v>
      </c>
      <c r="BB1364" s="472" t="s">
        <v>1385</v>
      </c>
      <c r="BC1364" s="472" t="s">
        <v>1385</v>
      </c>
      <c r="BD1364" s="472" t="s">
        <v>1385</v>
      </c>
      <c r="BE1364" s="472" t="s">
        <v>1385</v>
      </c>
      <c r="BF1364" s="472">
        <v>16394.400000000001</v>
      </c>
      <c r="BG1364" s="472">
        <v>0</v>
      </c>
      <c r="BH1364" s="472" t="s">
        <v>1385</v>
      </c>
      <c r="BI1364" s="510">
        <v>0</v>
      </c>
      <c r="BJ1364" s="510">
        <v>0</v>
      </c>
      <c r="BK1364" s="510">
        <v>0</v>
      </c>
      <c r="BL1364" s="510">
        <v>0</v>
      </c>
      <c r="BM1364" s="510">
        <v>0</v>
      </c>
      <c r="BN1364" s="510">
        <v>1500</v>
      </c>
      <c r="BO1364" s="510">
        <v>0</v>
      </c>
      <c r="BP1364" s="510">
        <v>0</v>
      </c>
      <c r="BQ1364" s="510">
        <v>0</v>
      </c>
      <c r="BR1364" s="510">
        <v>0</v>
      </c>
      <c r="BS1364" s="510">
        <v>0</v>
      </c>
      <c r="BT1364" s="510">
        <v>0</v>
      </c>
      <c r="BU1364" s="510">
        <v>0</v>
      </c>
      <c r="BV1364" s="510">
        <v>0</v>
      </c>
      <c r="BW1364" s="510">
        <v>0</v>
      </c>
      <c r="BX1364" s="510">
        <v>30000</v>
      </c>
      <c r="BY1364" s="1011">
        <v>0</v>
      </c>
      <c r="BZ1364" s="510">
        <v>0</v>
      </c>
      <c r="CA1364" s="1011">
        <v>0</v>
      </c>
      <c r="CB1364" s="510">
        <v>0</v>
      </c>
      <c r="CC1364" s="1011">
        <v>0</v>
      </c>
      <c r="CD1364" s="510">
        <v>0</v>
      </c>
      <c r="CE1364" s="1011">
        <v>0</v>
      </c>
      <c r="CF1364" s="510">
        <v>36859.199999999997</v>
      </c>
      <c r="CG1364" s="1011">
        <v>0</v>
      </c>
      <c r="CH1364" s="510">
        <v>0</v>
      </c>
      <c r="CI1364" s="1011">
        <v>0</v>
      </c>
    </row>
    <row r="1365" spans="1:87" x14ac:dyDescent="0.2">
      <c r="A1365" s="449">
        <v>24</v>
      </c>
      <c r="B1365" s="453">
        <v>400168</v>
      </c>
      <c r="C1365" s="454" t="s">
        <v>11058</v>
      </c>
      <c r="D1365" s="454" t="s">
        <v>4613</v>
      </c>
      <c r="E1365" s="454" t="s">
        <v>11059</v>
      </c>
      <c r="F1365" s="454" t="s">
        <v>526</v>
      </c>
      <c r="G1365" s="454" t="s">
        <v>14566</v>
      </c>
      <c r="H1365" s="455">
        <v>8924498000190</v>
      </c>
      <c r="I1365" s="462">
        <v>39224</v>
      </c>
      <c r="J1365" s="457">
        <v>37476173</v>
      </c>
      <c r="K1365" s="454" t="s">
        <v>11060</v>
      </c>
      <c r="L1365" s="458">
        <v>13</v>
      </c>
      <c r="M1365" s="454" t="s">
        <v>10714</v>
      </c>
      <c r="N1365" s="459">
        <v>8031070</v>
      </c>
      <c r="O1365" s="460">
        <v>20351638</v>
      </c>
      <c r="P1365" s="462">
        <v>130730</v>
      </c>
      <c r="Q1365" s="462">
        <v>24</v>
      </c>
      <c r="R1365" s="462">
        <v>43928</v>
      </c>
      <c r="S1365" s="463">
        <v>135</v>
      </c>
      <c r="T1365" s="464">
        <v>3.6</v>
      </c>
      <c r="U1365" s="465">
        <v>486</v>
      </c>
      <c r="V1365" s="465">
        <v>10800</v>
      </c>
      <c r="W1365" s="466">
        <v>0</v>
      </c>
      <c r="X1365" s="467">
        <v>1</v>
      </c>
      <c r="Y1365" s="466">
        <v>16929</v>
      </c>
      <c r="Z1365" s="468" t="s">
        <v>516</v>
      </c>
      <c r="AA1365" s="466">
        <v>84529.8</v>
      </c>
      <c r="AB1365" s="466">
        <v>84529.8</v>
      </c>
      <c r="AC1365" s="467">
        <v>0</v>
      </c>
      <c r="AD1365" s="466">
        <v>0</v>
      </c>
      <c r="AE1365" s="468" t="s">
        <v>516</v>
      </c>
      <c r="AF1365" s="466">
        <v>0</v>
      </c>
      <c r="AG1365" s="466">
        <v>0</v>
      </c>
      <c r="AH1365" s="466">
        <v>12756.79</v>
      </c>
      <c r="AI1365" s="466">
        <v>0</v>
      </c>
      <c r="AJ1365" s="469" t="s">
        <v>1839</v>
      </c>
      <c r="AK1365" s="470" t="s">
        <v>526</v>
      </c>
      <c r="AL1365" s="471" t="s">
        <v>11061</v>
      </c>
      <c r="AM1365" s="470" t="s">
        <v>11062</v>
      </c>
      <c r="AN1365" s="470" t="s">
        <v>1385</v>
      </c>
      <c r="AO1365" s="470" t="s">
        <v>11063</v>
      </c>
      <c r="AP1365" s="470" t="s">
        <v>11064</v>
      </c>
      <c r="AQ1365" s="470" t="s">
        <v>11058</v>
      </c>
      <c r="AR1365" s="472" t="s">
        <v>515</v>
      </c>
      <c r="AS1365" s="473" t="s">
        <v>1385</v>
      </c>
      <c r="AT1365" s="472" t="s">
        <v>4613</v>
      </c>
      <c r="AU1365" s="472" t="s">
        <v>420</v>
      </c>
      <c r="AV1365" s="472">
        <v>2020</v>
      </c>
      <c r="AW1365" s="474" t="s">
        <v>15078</v>
      </c>
      <c r="AX1365" s="475" t="s">
        <v>15079</v>
      </c>
      <c r="AY1365" s="515">
        <v>1</v>
      </c>
      <c r="AZ1365" s="474" t="s">
        <v>15079</v>
      </c>
      <c r="BA1365" s="472" t="s">
        <v>4613</v>
      </c>
      <c r="BB1365" s="472" t="s">
        <v>1385</v>
      </c>
      <c r="BC1365" s="472" t="s">
        <v>1385</v>
      </c>
      <c r="BD1365" s="472" t="s">
        <v>1385</v>
      </c>
      <c r="BE1365" s="472" t="s">
        <v>1385</v>
      </c>
      <c r="BF1365" s="472">
        <v>16929</v>
      </c>
      <c r="BG1365" s="472">
        <v>0</v>
      </c>
      <c r="BH1365" s="472" t="s">
        <v>1385</v>
      </c>
      <c r="BI1365" s="510">
        <v>0</v>
      </c>
      <c r="BJ1365" s="510">
        <v>0</v>
      </c>
      <c r="BK1365" s="510">
        <v>0</v>
      </c>
      <c r="BL1365" s="510">
        <v>0</v>
      </c>
      <c r="BM1365" s="510">
        <v>0</v>
      </c>
      <c r="BN1365" s="510">
        <v>2000</v>
      </c>
      <c r="BO1365" s="510">
        <v>0</v>
      </c>
      <c r="BP1365" s="510">
        <v>0</v>
      </c>
      <c r="BQ1365" s="510">
        <v>0</v>
      </c>
      <c r="BR1365" s="510">
        <v>0</v>
      </c>
      <c r="BS1365" s="510">
        <v>0</v>
      </c>
      <c r="BT1365" s="510">
        <v>0</v>
      </c>
      <c r="BU1365" s="510">
        <v>0</v>
      </c>
      <c r="BV1365" s="510">
        <v>0</v>
      </c>
      <c r="BW1365" s="510">
        <v>0</v>
      </c>
      <c r="BX1365" s="510">
        <v>30000</v>
      </c>
      <c r="BY1365" s="1011">
        <v>0</v>
      </c>
      <c r="BZ1365" s="510">
        <v>0</v>
      </c>
      <c r="CA1365" s="1011">
        <v>0</v>
      </c>
      <c r="CB1365" s="510">
        <v>0</v>
      </c>
      <c r="CC1365" s="1011">
        <v>0</v>
      </c>
      <c r="CD1365" s="510">
        <v>0</v>
      </c>
      <c r="CE1365" s="1011">
        <v>0</v>
      </c>
      <c r="CF1365" s="510">
        <v>37600.800000000003</v>
      </c>
      <c r="CG1365" s="1011">
        <v>0</v>
      </c>
      <c r="CH1365" s="510">
        <v>0</v>
      </c>
      <c r="CI1365" s="1011">
        <v>0</v>
      </c>
    </row>
    <row r="1366" spans="1:87" x14ac:dyDescent="0.2">
      <c r="A1366" s="449">
        <v>19</v>
      </c>
      <c r="B1366" s="453">
        <v>400169</v>
      </c>
      <c r="C1366" s="454" t="s">
        <v>11065</v>
      </c>
      <c r="D1366" s="454" t="s">
        <v>4613</v>
      </c>
      <c r="E1366" s="454" t="s">
        <v>11066</v>
      </c>
      <c r="F1366" s="454" t="s">
        <v>513</v>
      </c>
      <c r="G1366" s="454" t="s">
        <v>14567</v>
      </c>
      <c r="H1366" s="455">
        <v>7906545000100</v>
      </c>
      <c r="I1366" s="462">
        <v>38701</v>
      </c>
      <c r="J1366" s="457">
        <v>37536940</v>
      </c>
      <c r="K1366" s="454" t="s">
        <v>11067</v>
      </c>
      <c r="L1366" s="458">
        <v>719</v>
      </c>
      <c r="M1366" s="454" t="s">
        <v>2999</v>
      </c>
      <c r="N1366" s="459">
        <v>3971010</v>
      </c>
      <c r="O1366" s="460">
        <v>29191522</v>
      </c>
      <c r="P1366" s="462">
        <v>145320</v>
      </c>
      <c r="Q1366" s="462">
        <v>19</v>
      </c>
      <c r="R1366" s="462">
        <v>43937</v>
      </c>
      <c r="S1366" s="463">
        <v>132</v>
      </c>
      <c r="T1366" s="464">
        <v>3.6</v>
      </c>
      <c r="U1366" s="465">
        <v>475.2</v>
      </c>
      <c r="V1366" s="465">
        <v>10800</v>
      </c>
      <c r="W1366" s="466">
        <v>0</v>
      </c>
      <c r="X1366" s="467">
        <v>1</v>
      </c>
      <c r="Y1366" s="466">
        <v>16912.8</v>
      </c>
      <c r="Z1366" s="468" t="s">
        <v>516</v>
      </c>
      <c r="AA1366" s="466">
        <v>84470.399999999994</v>
      </c>
      <c r="AB1366" s="466">
        <v>84470.399999999994</v>
      </c>
      <c r="AC1366" s="467">
        <v>0</v>
      </c>
      <c r="AD1366" s="466">
        <v>0</v>
      </c>
      <c r="AE1366" s="468" t="s">
        <v>516</v>
      </c>
      <c r="AF1366" s="466">
        <v>0</v>
      </c>
      <c r="AG1366" s="466">
        <v>0</v>
      </c>
      <c r="AH1366" s="466">
        <v>12237.69</v>
      </c>
      <c r="AI1366" s="466">
        <v>2651.34</v>
      </c>
      <c r="AJ1366" s="469" t="s">
        <v>2030</v>
      </c>
      <c r="AK1366" s="470" t="s">
        <v>513</v>
      </c>
      <c r="AL1366" s="471" t="s">
        <v>11068</v>
      </c>
      <c r="AM1366" s="470" t="s">
        <v>11069</v>
      </c>
      <c r="AN1366" s="470" t="s">
        <v>11070</v>
      </c>
      <c r="AO1366" s="470" t="s">
        <v>11071</v>
      </c>
      <c r="AP1366" s="470" t="s">
        <v>11072</v>
      </c>
      <c r="AQ1366" s="470" t="s">
        <v>11065</v>
      </c>
      <c r="AR1366" s="472" t="s">
        <v>515</v>
      </c>
      <c r="AS1366" s="473" t="s">
        <v>1385</v>
      </c>
      <c r="AT1366" s="472" t="s">
        <v>4613</v>
      </c>
      <c r="AU1366" s="472" t="s">
        <v>420</v>
      </c>
      <c r="AV1366" s="472">
        <v>2020</v>
      </c>
      <c r="AW1366" s="474" t="s">
        <v>15078</v>
      </c>
      <c r="AX1366" s="475" t="s">
        <v>15079</v>
      </c>
      <c r="AY1366" s="515">
        <v>1</v>
      </c>
      <c r="AZ1366" s="474" t="s">
        <v>15079</v>
      </c>
      <c r="BA1366" s="472" t="s">
        <v>4613</v>
      </c>
      <c r="BB1366" s="472" t="s">
        <v>1385</v>
      </c>
      <c r="BC1366" s="472" t="s">
        <v>1385</v>
      </c>
      <c r="BD1366" s="472" t="s">
        <v>1385</v>
      </c>
      <c r="BE1366" s="472" t="s">
        <v>1385</v>
      </c>
      <c r="BF1366" s="472">
        <v>16912.8</v>
      </c>
      <c r="BG1366" s="472">
        <v>0</v>
      </c>
      <c r="BH1366" s="472" t="s">
        <v>1385</v>
      </c>
      <c r="BI1366" s="510">
        <v>0</v>
      </c>
      <c r="BJ1366" s="510">
        <v>0</v>
      </c>
      <c r="BK1366" s="510">
        <v>0</v>
      </c>
      <c r="BL1366" s="510">
        <v>0</v>
      </c>
      <c r="BM1366" s="510">
        <v>0</v>
      </c>
      <c r="BN1366" s="510">
        <v>2000</v>
      </c>
      <c r="BO1366" s="510">
        <v>0</v>
      </c>
      <c r="BP1366" s="510">
        <v>0</v>
      </c>
      <c r="BQ1366" s="510">
        <v>0</v>
      </c>
      <c r="BR1366" s="510">
        <v>0</v>
      </c>
      <c r="BS1366" s="510">
        <v>0</v>
      </c>
      <c r="BT1366" s="510">
        <v>0</v>
      </c>
      <c r="BU1366" s="510">
        <v>0</v>
      </c>
      <c r="BV1366" s="510">
        <v>0</v>
      </c>
      <c r="BW1366" s="510">
        <v>0</v>
      </c>
      <c r="BX1366" s="510">
        <v>30000</v>
      </c>
      <c r="BY1366" s="1011">
        <v>0</v>
      </c>
      <c r="BZ1366" s="510">
        <v>0</v>
      </c>
      <c r="CA1366" s="1011">
        <v>0</v>
      </c>
      <c r="CB1366" s="510">
        <v>0</v>
      </c>
      <c r="CC1366" s="1011">
        <v>0</v>
      </c>
      <c r="CD1366" s="510">
        <v>0</v>
      </c>
      <c r="CE1366" s="1011">
        <v>0</v>
      </c>
      <c r="CF1366" s="510">
        <v>37557.599999999999</v>
      </c>
      <c r="CG1366" s="1011">
        <v>0</v>
      </c>
      <c r="CH1366" s="510">
        <v>0</v>
      </c>
      <c r="CI1366" s="1011">
        <v>0</v>
      </c>
    </row>
    <row r="1367" spans="1:87" x14ac:dyDescent="0.2">
      <c r="A1367" s="449">
        <v>16</v>
      </c>
      <c r="B1367" s="453">
        <v>400170</v>
      </c>
      <c r="C1367" s="454" t="s">
        <v>11073</v>
      </c>
      <c r="D1367" s="454" t="s">
        <v>4613</v>
      </c>
      <c r="E1367" s="454" t="s">
        <v>11074</v>
      </c>
      <c r="F1367" s="454" t="s">
        <v>527</v>
      </c>
      <c r="G1367" s="454" t="s">
        <v>14568</v>
      </c>
      <c r="H1367" s="455">
        <v>7892612000185</v>
      </c>
      <c r="I1367" s="462">
        <v>38708</v>
      </c>
      <c r="J1367" s="457">
        <v>38326540</v>
      </c>
      <c r="K1367" s="454" t="s">
        <v>5729</v>
      </c>
      <c r="L1367" s="458" t="s">
        <v>11075</v>
      </c>
      <c r="M1367" s="454" t="s">
        <v>2197</v>
      </c>
      <c r="N1367" s="459">
        <v>3590010</v>
      </c>
      <c r="O1367" s="460">
        <v>27413183</v>
      </c>
      <c r="P1367" s="462">
        <v>216170</v>
      </c>
      <c r="Q1367" s="462">
        <v>16</v>
      </c>
      <c r="R1367" s="462">
        <v>43917</v>
      </c>
      <c r="S1367" s="463">
        <v>93</v>
      </c>
      <c r="T1367" s="464">
        <v>3.6</v>
      </c>
      <c r="U1367" s="465">
        <v>334.8</v>
      </c>
      <c r="V1367" s="465">
        <v>10800</v>
      </c>
      <c r="W1367" s="466">
        <v>0</v>
      </c>
      <c r="X1367" s="467">
        <v>1</v>
      </c>
      <c r="Y1367" s="466">
        <v>16702.2</v>
      </c>
      <c r="Z1367" s="468" t="s">
        <v>516</v>
      </c>
      <c r="AA1367" s="466">
        <v>84015</v>
      </c>
      <c r="AB1367" s="466">
        <v>84015</v>
      </c>
      <c r="AC1367" s="467">
        <v>0</v>
      </c>
      <c r="AD1367" s="466">
        <v>0</v>
      </c>
      <c r="AE1367" s="468" t="s">
        <v>516</v>
      </c>
      <c r="AF1367" s="466">
        <v>0</v>
      </c>
      <c r="AG1367" s="466">
        <v>0</v>
      </c>
      <c r="AH1367" s="466">
        <v>14549.72</v>
      </c>
      <c r="AI1367" s="466">
        <v>5.71</v>
      </c>
      <c r="AJ1367" s="469" t="s">
        <v>2196</v>
      </c>
      <c r="AK1367" s="470" t="s">
        <v>2197</v>
      </c>
      <c r="AL1367" s="471" t="s">
        <v>11076</v>
      </c>
      <c r="AM1367" s="470" t="s">
        <v>11077</v>
      </c>
      <c r="AN1367" s="470" t="s">
        <v>14568</v>
      </c>
      <c r="AO1367" s="470" t="s">
        <v>14569</v>
      </c>
      <c r="AP1367" s="470" t="s">
        <v>11078</v>
      </c>
      <c r="AQ1367" s="470" t="s">
        <v>11073</v>
      </c>
      <c r="AR1367" s="472" t="s">
        <v>515</v>
      </c>
      <c r="AS1367" s="473" t="s">
        <v>1385</v>
      </c>
      <c r="AT1367" s="472" t="s">
        <v>4613</v>
      </c>
      <c r="AU1367" s="472" t="s">
        <v>420</v>
      </c>
      <c r="AV1367" s="472">
        <v>2020</v>
      </c>
      <c r="AW1367" s="474" t="s">
        <v>15078</v>
      </c>
      <c r="AX1367" s="475" t="s">
        <v>15079</v>
      </c>
      <c r="AY1367" s="515">
        <v>1</v>
      </c>
      <c r="AZ1367" s="474" t="s">
        <v>15079</v>
      </c>
      <c r="BA1367" s="472" t="s">
        <v>4613</v>
      </c>
      <c r="BB1367" s="472" t="s">
        <v>1385</v>
      </c>
      <c r="BC1367" s="472" t="s">
        <v>1385</v>
      </c>
      <c r="BD1367" s="472" t="s">
        <v>1385</v>
      </c>
      <c r="BE1367" s="472" t="s">
        <v>1385</v>
      </c>
      <c r="BF1367" s="472">
        <v>16702.2</v>
      </c>
      <c r="BG1367" s="472">
        <v>0</v>
      </c>
      <c r="BH1367" s="472" t="s">
        <v>1385</v>
      </c>
      <c r="BI1367" s="510">
        <v>0</v>
      </c>
      <c r="BJ1367" s="510">
        <v>0</v>
      </c>
      <c r="BK1367" s="510">
        <v>0</v>
      </c>
      <c r="BL1367" s="510">
        <v>0</v>
      </c>
      <c r="BM1367" s="510">
        <v>0</v>
      </c>
      <c r="BN1367" s="510">
        <v>1500</v>
      </c>
      <c r="BO1367" s="510">
        <v>0</v>
      </c>
      <c r="BP1367" s="510">
        <v>0</v>
      </c>
      <c r="BQ1367" s="510">
        <v>0</v>
      </c>
      <c r="BR1367" s="510">
        <v>0</v>
      </c>
      <c r="BS1367" s="510">
        <v>0</v>
      </c>
      <c r="BT1367" s="510">
        <v>0</v>
      </c>
      <c r="BU1367" s="510">
        <v>0</v>
      </c>
      <c r="BV1367" s="510">
        <v>0</v>
      </c>
      <c r="BW1367" s="510">
        <v>0</v>
      </c>
      <c r="BX1367" s="510">
        <v>30000</v>
      </c>
      <c r="BY1367" s="1011">
        <v>0</v>
      </c>
      <c r="BZ1367" s="510">
        <v>0</v>
      </c>
      <c r="CA1367" s="1011">
        <v>0</v>
      </c>
      <c r="CB1367" s="510">
        <v>0</v>
      </c>
      <c r="CC1367" s="1011">
        <v>0</v>
      </c>
      <c r="CD1367" s="510">
        <v>0</v>
      </c>
      <c r="CE1367" s="1011">
        <v>0</v>
      </c>
      <c r="CF1367" s="510">
        <v>37312.800000000003</v>
      </c>
      <c r="CG1367" s="1011">
        <v>0</v>
      </c>
      <c r="CH1367" s="510">
        <v>0</v>
      </c>
      <c r="CI1367" s="1011">
        <v>0</v>
      </c>
    </row>
    <row r="1368" spans="1:87" x14ac:dyDescent="0.2">
      <c r="A1368" s="449">
        <v>9</v>
      </c>
      <c r="B1368" s="453">
        <v>400171</v>
      </c>
      <c r="C1368" s="454" t="s">
        <v>11079</v>
      </c>
      <c r="D1368" s="454" t="s">
        <v>4613</v>
      </c>
      <c r="E1368" s="454" t="s">
        <v>11080</v>
      </c>
      <c r="F1368" s="454" t="s">
        <v>522</v>
      </c>
      <c r="G1368" s="454" t="s">
        <v>14570</v>
      </c>
      <c r="H1368" s="455">
        <v>8683984000164</v>
      </c>
      <c r="I1368" s="462">
        <v>39100</v>
      </c>
      <c r="J1368" s="457">
        <v>37586025</v>
      </c>
      <c r="K1368" s="454" t="s">
        <v>11081</v>
      </c>
      <c r="L1368" s="458">
        <v>58</v>
      </c>
      <c r="M1368" s="454" t="s">
        <v>8223</v>
      </c>
      <c r="N1368" s="459">
        <v>2863020</v>
      </c>
      <c r="O1368" s="460">
        <v>38515777</v>
      </c>
      <c r="P1368" s="462">
        <v>86099</v>
      </c>
      <c r="Q1368" s="462">
        <v>42</v>
      </c>
      <c r="R1368" s="462">
        <v>43911</v>
      </c>
      <c r="S1368" s="463">
        <v>172</v>
      </c>
      <c r="T1368" s="464">
        <v>3.6</v>
      </c>
      <c r="U1368" s="465">
        <v>619.20000000000005</v>
      </c>
      <c r="V1368" s="465">
        <v>10800</v>
      </c>
      <c r="W1368" s="466">
        <v>0</v>
      </c>
      <c r="X1368" s="467">
        <v>1</v>
      </c>
      <c r="Y1368" s="466">
        <v>17128.8</v>
      </c>
      <c r="Z1368" s="468" t="s">
        <v>516</v>
      </c>
      <c r="AA1368" s="466">
        <v>84938.4</v>
      </c>
      <c r="AB1368" s="466">
        <v>84938.4</v>
      </c>
      <c r="AC1368" s="467">
        <v>0</v>
      </c>
      <c r="AD1368" s="466">
        <v>0</v>
      </c>
      <c r="AE1368" s="468" t="s">
        <v>516</v>
      </c>
      <c r="AF1368" s="466">
        <v>0</v>
      </c>
      <c r="AG1368" s="466">
        <v>0</v>
      </c>
      <c r="AH1368" s="466">
        <v>15925.15</v>
      </c>
      <c r="AI1368" s="466">
        <v>5002.57</v>
      </c>
      <c r="AJ1368" s="469" t="s">
        <v>1498</v>
      </c>
      <c r="AK1368" s="470" t="s">
        <v>12355</v>
      </c>
      <c r="AL1368" s="471" t="s">
        <v>11082</v>
      </c>
      <c r="AM1368" s="470" t="s">
        <v>11083</v>
      </c>
      <c r="AN1368" s="470" t="s">
        <v>1385</v>
      </c>
      <c r="AO1368" s="470" t="s">
        <v>11084</v>
      </c>
      <c r="AP1368" s="470" t="s">
        <v>11085</v>
      </c>
      <c r="AQ1368" s="470" t="s">
        <v>11079</v>
      </c>
      <c r="AR1368" s="472" t="s">
        <v>515</v>
      </c>
      <c r="AS1368" s="473" t="s">
        <v>1385</v>
      </c>
      <c r="AT1368" s="472" t="s">
        <v>4613</v>
      </c>
      <c r="AU1368" s="472" t="s">
        <v>420</v>
      </c>
      <c r="AV1368" s="472">
        <v>2020</v>
      </c>
      <c r="AW1368" s="474" t="s">
        <v>15078</v>
      </c>
      <c r="AX1368" s="475" t="s">
        <v>15079</v>
      </c>
      <c r="AY1368" s="515">
        <v>1</v>
      </c>
      <c r="AZ1368" s="474" t="s">
        <v>15079</v>
      </c>
      <c r="BA1368" s="472" t="s">
        <v>4613</v>
      </c>
      <c r="BB1368" s="472" t="s">
        <v>1385</v>
      </c>
      <c r="BC1368" s="472" t="s">
        <v>1385</v>
      </c>
      <c r="BD1368" s="472" t="s">
        <v>1385</v>
      </c>
      <c r="BE1368" s="472" t="s">
        <v>1385</v>
      </c>
      <c r="BF1368" s="472">
        <v>17128.8</v>
      </c>
      <c r="BG1368" s="472">
        <v>0</v>
      </c>
      <c r="BH1368" s="472" t="s">
        <v>1385</v>
      </c>
      <c r="BI1368" s="510">
        <v>0</v>
      </c>
      <c r="BJ1368" s="510">
        <v>0</v>
      </c>
      <c r="BK1368" s="510">
        <v>0</v>
      </c>
      <c r="BL1368" s="510">
        <v>0</v>
      </c>
      <c r="BM1368" s="510">
        <v>0</v>
      </c>
      <c r="BN1368" s="510">
        <v>2000</v>
      </c>
      <c r="BO1368" s="510">
        <v>0</v>
      </c>
      <c r="BP1368" s="510">
        <v>0</v>
      </c>
      <c r="BQ1368" s="510">
        <v>0</v>
      </c>
      <c r="BR1368" s="510">
        <v>0</v>
      </c>
      <c r="BS1368" s="510">
        <v>0</v>
      </c>
      <c r="BT1368" s="510">
        <v>0</v>
      </c>
      <c r="BU1368" s="510">
        <v>0</v>
      </c>
      <c r="BV1368" s="510">
        <v>0</v>
      </c>
      <c r="BW1368" s="510">
        <v>0</v>
      </c>
      <c r="BX1368" s="510">
        <v>30000</v>
      </c>
      <c r="BY1368" s="1011">
        <v>0</v>
      </c>
      <c r="BZ1368" s="510">
        <v>0</v>
      </c>
      <c r="CA1368" s="1011">
        <v>0</v>
      </c>
      <c r="CB1368" s="510">
        <v>0</v>
      </c>
      <c r="CC1368" s="1011">
        <v>0</v>
      </c>
      <c r="CD1368" s="510">
        <v>0</v>
      </c>
      <c r="CE1368" s="1011">
        <v>0</v>
      </c>
      <c r="CF1368" s="510">
        <v>37809.599999999999</v>
      </c>
      <c r="CG1368" s="1011">
        <v>0</v>
      </c>
      <c r="CH1368" s="510">
        <v>0</v>
      </c>
      <c r="CI1368" s="1011">
        <v>0</v>
      </c>
    </row>
    <row r="1369" spans="1:87" x14ac:dyDescent="0.2">
      <c r="A1369" s="449">
        <v>20</v>
      </c>
      <c r="B1369" s="453">
        <v>400172</v>
      </c>
      <c r="C1369" s="454" t="s">
        <v>11086</v>
      </c>
      <c r="D1369" s="454" t="s">
        <v>4613</v>
      </c>
      <c r="E1369" s="454" t="s">
        <v>11087</v>
      </c>
      <c r="F1369" s="454" t="s">
        <v>513</v>
      </c>
      <c r="G1369" s="454" t="s">
        <v>14571</v>
      </c>
      <c r="H1369" s="455">
        <v>7127157000121</v>
      </c>
      <c r="I1369" s="462">
        <v>38250</v>
      </c>
      <c r="J1369" s="457">
        <v>37531034</v>
      </c>
      <c r="K1369" s="454" t="s">
        <v>11088</v>
      </c>
      <c r="L1369" s="458">
        <v>270</v>
      </c>
      <c r="M1369" s="454" t="s">
        <v>7315</v>
      </c>
      <c r="N1369" s="459">
        <v>3984050</v>
      </c>
      <c r="O1369" s="460">
        <v>27047499</v>
      </c>
      <c r="P1369" s="462">
        <v>145338</v>
      </c>
      <c r="Q1369" s="462">
        <v>20</v>
      </c>
      <c r="R1369" s="462">
        <v>43937</v>
      </c>
      <c r="S1369" s="463">
        <v>96</v>
      </c>
      <c r="T1369" s="464">
        <v>3.6</v>
      </c>
      <c r="U1369" s="465">
        <v>345.6</v>
      </c>
      <c r="V1369" s="465">
        <v>10800</v>
      </c>
      <c r="W1369" s="466">
        <v>0</v>
      </c>
      <c r="X1369" s="467">
        <v>1</v>
      </c>
      <c r="Y1369" s="466">
        <v>16718.400000000001</v>
      </c>
      <c r="Z1369" s="468" t="s">
        <v>516</v>
      </c>
      <c r="AA1369" s="466">
        <v>84009.600000000006</v>
      </c>
      <c r="AB1369" s="466">
        <v>84009.600000000006</v>
      </c>
      <c r="AC1369" s="467">
        <v>0</v>
      </c>
      <c r="AD1369" s="466">
        <v>0</v>
      </c>
      <c r="AE1369" s="468" t="s">
        <v>516</v>
      </c>
      <c r="AF1369" s="466">
        <v>0</v>
      </c>
      <c r="AG1369" s="466">
        <v>0</v>
      </c>
      <c r="AH1369" s="466">
        <v>9463.9</v>
      </c>
      <c r="AI1369" s="466">
        <v>7184.04</v>
      </c>
      <c r="AJ1369" s="469" t="s">
        <v>1972</v>
      </c>
      <c r="AK1369" s="470" t="s">
        <v>1973</v>
      </c>
      <c r="AL1369" s="471" t="s">
        <v>11089</v>
      </c>
      <c r="AM1369" s="470" t="s">
        <v>14572</v>
      </c>
      <c r="AN1369" s="470" t="s">
        <v>11090</v>
      </c>
      <c r="AO1369" s="470" t="s">
        <v>11091</v>
      </c>
      <c r="AP1369" s="470" t="s">
        <v>11092</v>
      </c>
      <c r="AQ1369" s="470" t="s">
        <v>11086</v>
      </c>
      <c r="AR1369" s="472" t="s">
        <v>515</v>
      </c>
      <c r="AS1369" s="473" t="s">
        <v>1385</v>
      </c>
      <c r="AT1369" s="472" t="s">
        <v>4613</v>
      </c>
      <c r="AU1369" s="472" t="s">
        <v>420</v>
      </c>
      <c r="AV1369" s="472">
        <v>2020</v>
      </c>
      <c r="AW1369" s="474" t="s">
        <v>15078</v>
      </c>
      <c r="AX1369" s="475" t="s">
        <v>15079</v>
      </c>
      <c r="AY1369" s="515">
        <v>1</v>
      </c>
      <c r="AZ1369" s="474" t="s">
        <v>15079</v>
      </c>
      <c r="BA1369" s="472" t="s">
        <v>4613</v>
      </c>
      <c r="BB1369" s="472" t="s">
        <v>1385</v>
      </c>
      <c r="BC1369" s="472" t="s">
        <v>1385</v>
      </c>
      <c r="BD1369" s="472" t="s">
        <v>1385</v>
      </c>
      <c r="BE1369" s="472" t="s">
        <v>1385</v>
      </c>
      <c r="BF1369" s="472">
        <v>16718.400000000001</v>
      </c>
      <c r="BG1369" s="472">
        <v>0</v>
      </c>
      <c r="BH1369" s="472" t="s">
        <v>1385</v>
      </c>
      <c r="BI1369" s="510">
        <v>0</v>
      </c>
      <c r="BJ1369" s="510">
        <v>0</v>
      </c>
      <c r="BK1369" s="510">
        <v>0</v>
      </c>
      <c r="BL1369" s="510">
        <v>0</v>
      </c>
      <c r="BM1369" s="510">
        <v>0</v>
      </c>
      <c r="BN1369" s="510">
        <v>1500</v>
      </c>
      <c r="BO1369" s="510">
        <v>0</v>
      </c>
      <c r="BP1369" s="510">
        <v>0</v>
      </c>
      <c r="BQ1369" s="510">
        <v>0</v>
      </c>
      <c r="BR1369" s="510">
        <v>0</v>
      </c>
      <c r="BS1369" s="510">
        <v>0</v>
      </c>
      <c r="BT1369" s="510">
        <v>0</v>
      </c>
      <c r="BU1369" s="510">
        <v>0</v>
      </c>
      <c r="BV1369" s="510">
        <v>0</v>
      </c>
      <c r="BW1369" s="510">
        <v>0</v>
      </c>
      <c r="BX1369" s="510">
        <v>30000</v>
      </c>
      <c r="BY1369" s="1011">
        <v>0</v>
      </c>
      <c r="BZ1369" s="510">
        <v>0</v>
      </c>
      <c r="CA1369" s="1011">
        <v>0</v>
      </c>
      <c r="CB1369" s="510">
        <v>0</v>
      </c>
      <c r="CC1369" s="1011">
        <v>0</v>
      </c>
      <c r="CD1369" s="510">
        <v>0</v>
      </c>
      <c r="CE1369" s="1011">
        <v>0</v>
      </c>
      <c r="CF1369" s="510">
        <v>37291.199999999997</v>
      </c>
      <c r="CG1369" s="1011">
        <v>0</v>
      </c>
      <c r="CH1369" s="510">
        <v>0</v>
      </c>
      <c r="CI1369" s="1011">
        <v>0</v>
      </c>
    </row>
    <row r="1370" spans="1:87" x14ac:dyDescent="0.2">
      <c r="A1370" s="449">
        <v>14</v>
      </c>
      <c r="B1370" s="453">
        <v>400173</v>
      </c>
      <c r="C1370" s="454" t="s">
        <v>11093</v>
      </c>
      <c r="D1370" s="454" t="s">
        <v>4613</v>
      </c>
      <c r="E1370" s="454" t="s">
        <v>11094</v>
      </c>
      <c r="F1370" s="454" t="s">
        <v>525</v>
      </c>
      <c r="G1370" s="454" t="s">
        <v>14573</v>
      </c>
      <c r="H1370" s="455">
        <v>8184492000124</v>
      </c>
      <c r="I1370" s="462">
        <v>38896</v>
      </c>
      <c r="J1370" s="457">
        <v>35446900</v>
      </c>
      <c r="K1370" s="454" t="s">
        <v>11096</v>
      </c>
      <c r="L1370" s="458">
        <v>145</v>
      </c>
      <c r="M1370" s="454" t="s">
        <v>1536</v>
      </c>
      <c r="N1370" s="459">
        <v>2276100</v>
      </c>
      <c r="O1370" s="460">
        <v>22422973</v>
      </c>
      <c r="P1370" s="462">
        <v>323414</v>
      </c>
      <c r="Q1370" s="462">
        <v>14</v>
      </c>
      <c r="R1370" s="462">
        <v>43950</v>
      </c>
      <c r="S1370" s="463">
        <v>165</v>
      </c>
      <c r="T1370" s="464">
        <v>3.6</v>
      </c>
      <c r="U1370" s="465">
        <v>594</v>
      </c>
      <c r="V1370" s="465">
        <v>10800</v>
      </c>
      <c r="W1370" s="466">
        <v>0</v>
      </c>
      <c r="X1370" s="467">
        <v>1</v>
      </c>
      <c r="Y1370" s="466">
        <v>17091</v>
      </c>
      <c r="Z1370" s="468" t="s">
        <v>516</v>
      </c>
      <c r="AA1370" s="466">
        <v>84871.8</v>
      </c>
      <c r="AB1370" s="466">
        <v>84871.8</v>
      </c>
      <c r="AC1370" s="467">
        <v>0</v>
      </c>
      <c r="AD1370" s="466">
        <v>0</v>
      </c>
      <c r="AE1370" s="468" t="s">
        <v>516</v>
      </c>
      <c r="AF1370" s="466">
        <v>0</v>
      </c>
      <c r="AG1370" s="466">
        <v>0</v>
      </c>
      <c r="AH1370" s="466">
        <v>14024.88</v>
      </c>
      <c r="AI1370" s="466">
        <v>1894.8</v>
      </c>
      <c r="AJ1370" s="469" t="s">
        <v>1448</v>
      </c>
      <c r="AK1370" s="470" t="s">
        <v>1449</v>
      </c>
      <c r="AL1370" s="471" t="s">
        <v>11097</v>
      </c>
      <c r="AM1370" s="470" t="s">
        <v>11098</v>
      </c>
      <c r="AN1370" s="470" t="s">
        <v>11095</v>
      </c>
      <c r="AO1370" s="470" t="s">
        <v>11099</v>
      </c>
      <c r="AP1370" s="470" t="s">
        <v>11100</v>
      </c>
      <c r="AQ1370" s="470" t="s">
        <v>11093</v>
      </c>
      <c r="AR1370" s="472" t="s">
        <v>515</v>
      </c>
      <c r="AS1370" s="473" t="s">
        <v>1385</v>
      </c>
      <c r="AT1370" s="472" t="s">
        <v>4613</v>
      </c>
      <c r="AU1370" s="472" t="s">
        <v>420</v>
      </c>
      <c r="AV1370" s="472">
        <v>2020</v>
      </c>
      <c r="AW1370" s="474" t="s">
        <v>15078</v>
      </c>
      <c r="AX1370" s="475" t="s">
        <v>15079</v>
      </c>
      <c r="AY1370" s="515">
        <v>1</v>
      </c>
      <c r="AZ1370" s="474" t="s">
        <v>15079</v>
      </c>
      <c r="BA1370" s="472" t="s">
        <v>4613</v>
      </c>
      <c r="BB1370" s="472" t="s">
        <v>1385</v>
      </c>
      <c r="BC1370" s="472" t="s">
        <v>1385</v>
      </c>
      <c r="BD1370" s="472" t="s">
        <v>1385</v>
      </c>
      <c r="BE1370" s="472" t="s">
        <v>1385</v>
      </c>
      <c r="BF1370" s="472">
        <v>17091</v>
      </c>
      <c r="BG1370" s="472">
        <v>0</v>
      </c>
      <c r="BH1370" s="472" t="s">
        <v>1385</v>
      </c>
      <c r="BI1370" s="510">
        <v>0</v>
      </c>
      <c r="BJ1370" s="510">
        <v>0</v>
      </c>
      <c r="BK1370" s="510">
        <v>0</v>
      </c>
      <c r="BL1370" s="510">
        <v>0</v>
      </c>
      <c r="BM1370" s="510">
        <v>0</v>
      </c>
      <c r="BN1370" s="510">
        <v>2000</v>
      </c>
      <c r="BO1370" s="510">
        <v>0</v>
      </c>
      <c r="BP1370" s="510">
        <v>0</v>
      </c>
      <c r="BQ1370" s="510">
        <v>0</v>
      </c>
      <c r="BR1370" s="510">
        <v>0</v>
      </c>
      <c r="BS1370" s="510">
        <v>0</v>
      </c>
      <c r="BT1370" s="510">
        <v>0</v>
      </c>
      <c r="BU1370" s="510">
        <v>0</v>
      </c>
      <c r="BV1370" s="510">
        <v>0</v>
      </c>
      <c r="BW1370" s="510">
        <v>0</v>
      </c>
      <c r="BX1370" s="510">
        <v>30000</v>
      </c>
      <c r="BY1370" s="1011">
        <v>0</v>
      </c>
      <c r="BZ1370" s="510">
        <v>0</v>
      </c>
      <c r="CA1370" s="1011">
        <v>0</v>
      </c>
      <c r="CB1370" s="510">
        <v>0</v>
      </c>
      <c r="CC1370" s="1011">
        <v>0</v>
      </c>
      <c r="CD1370" s="510">
        <v>0</v>
      </c>
      <c r="CE1370" s="1011">
        <v>0</v>
      </c>
      <c r="CF1370" s="510">
        <v>37780.800000000003</v>
      </c>
      <c r="CG1370" s="1011">
        <v>0</v>
      </c>
      <c r="CH1370" s="510">
        <v>0</v>
      </c>
      <c r="CI1370" s="1011">
        <v>0</v>
      </c>
    </row>
    <row r="1371" spans="1:87" x14ac:dyDescent="0.2">
      <c r="A1371" s="449">
        <v>21</v>
      </c>
      <c r="B1371" s="453">
        <v>400174</v>
      </c>
      <c r="C1371" s="454" t="s">
        <v>11101</v>
      </c>
      <c r="D1371" s="454" t="s">
        <v>4613</v>
      </c>
      <c r="E1371" s="454" t="s">
        <v>11102</v>
      </c>
      <c r="F1371" s="454" t="s">
        <v>513</v>
      </c>
      <c r="G1371" s="454" t="s">
        <v>14574</v>
      </c>
      <c r="H1371" s="455">
        <v>7717026000102</v>
      </c>
      <c r="I1371" s="462">
        <v>38701</v>
      </c>
      <c r="J1371" s="457">
        <v>37529404</v>
      </c>
      <c r="K1371" s="454" t="s">
        <v>11103</v>
      </c>
      <c r="L1371" s="458">
        <v>560</v>
      </c>
      <c r="M1371" s="454" t="s">
        <v>11104</v>
      </c>
      <c r="N1371" s="459">
        <v>3962040</v>
      </c>
      <c r="O1371" s="460">
        <v>29625733</v>
      </c>
      <c r="P1371" s="462">
        <v>145354</v>
      </c>
      <c r="Q1371" s="462">
        <v>21</v>
      </c>
      <c r="R1371" s="462">
        <v>43937</v>
      </c>
      <c r="S1371" s="463">
        <v>147</v>
      </c>
      <c r="T1371" s="464">
        <v>3.6</v>
      </c>
      <c r="U1371" s="465">
        <v>529.20000000000005</v>
      </c>
      <c r="V1371" s="465">
        <v>10800</v>
      </c>
      <c r="W1371" s="466">
        <v>0</v>
      </c>
      <c r="X1371" s="467">
        <v>1</v>
      </c>
      <c r="Y1371" s="466">
        <v>16993.8</v>
      </c>
      <c r="Z1371" s="468" t="s">
        <v>516</v>
      </c>
      <c r="AA1371" s="466">
        <v>84630.6</v>
      </c>
      <c r="AB1371" s="466">
        <v>84630.6</v>
      </c>
      <c r="AC1371" s="467">
        <v>0</v>
      </c>
      <c r="AD1371" s="466">
        <v>0</v>
      </c>
      <c r="AE1371" s="468" t="s">
        <v>516</v>
      </c>
      <c r="AF1371" s="466">
        <v>0</v>
      </c>
      <c r="AG1371" s="466">
        <v>0</v>
      </c>
      <c r="AH1371" s="466">
        <v>11728.42</v>
      </c>
      <c r="AI1371" s="466">
        <v>0</v>
      </c>
      <c r="AJ1371" s="469" t="s">
        <v>2030</v>
      </c>
      <c r="AK1371" s="470" t="s">
        <v>513</v>
      </c>
      <c r="AL1371" s="471" t="s">
        <v>11105</v>
      </c>
      <c r="AM1371" s="470" t="s">
        <v>11106</v>
      </c>
      <c r="AN1371" s="470" t="s">
        <v>11107</v>
      </c>
      <c r="AO1371" s="470" t="s">
        <v>11108</v>
      </c>
      <c r="AP1371" s="470" t="s">
        <v>11109</v>
      </c>
      <c r="AQ1371" s="470" t="s">
        <v>11101</v>
      </c>
      <c r="AR1371" s="472" t="s">
        <v>515</v>
      </c>
      <c r="AS1371" s="473" t="s">
        <v>1385</v>
      </c>
      <c r="AT1371" s="472" t="s">
        <v>4613</v>
      </c>
      <c r="AU1371" s="472" t="s">
        <v>420</v>
      </c>
      <c r="AV1371" s="472">
        <v>2020</v>
      </c>
      <c r="AW1371" s="474" t="s">
        <v>15078</v>
      </c>
      <c r="AX1371" s="475" t="s">
        <v>15079</v>
      </c>
      <c r="AY1371" s="515">
        <v>1</v>
      </c>
      <c r="AZ1371" s="474" t="s">
        <v>15079</v>
      </c>
      <c r="BA1371" s="472" t="s">
        <v>4613</v>
      </c>
      <c r="BB1371" s="472" t="s">
        <v>1385</v>
      </c>
      <c r="BC1371" s="472" t="s">
        <v>1385</v>
      </c>
      <c r="BD1371" s="472" t="s">
        <v>1385</v>
      </c>
      <c r="BE1371" s="472" t="s">
        <v>1385</v>
      </c>
      <c r="BF1371" s="472">
        <v>16993.8</v>
      </c>
      <c r="BG1371" s="472">
        <v>0</v>
      </c>
      <c r="BH1371" s="472" t="s">
        <v>1385</v>
      </c>
      <c r="BI1371" s="510">
        <v>0</v>
      </c>
      <c r="BJ1371" s="510">
        <v>0</v>
      </c>
      <c r="BK1371" s="510">
        <v>0</v>
      </c>
      <c r="BL1371" s="510">
        <v>0</v>
      </c>
      <c r="BM1371" s="510">
        <v>0</v>
      </c>
      <c r="BN1371" s="510">
        <v>2000</v>
      </c>
      <c r="BO1371" s="510">
        <v>0</v>
      </c>
      <c r="BP1371" s="510">
        <v>0</v>
      </c>
      <c r="BQ1371" s="510">
        <v>0</v>
      </c>
      <c r="BR1371" s="510">
        <v>0</v>
      </c>
      <c r="BS1371" s="510">
        <v>0</v>
      </c>
      <c r="BT1371" s="510">
        <v>0</v>
      </c>
      <c r="BU1371" s="510">
        <v>0</v>
      </c>
      <c r="BV1371" s="510">
        <v>0</v>
      </c>
      <c r="BW1371" s="510">
        <v>0</v>
      </c>
      <c r="BX1371" s="510">
        <v>30000</v>
      </c>
      <c r="BY1371" s="1011">
        <v>0</v>
      </c>
      <c r="BZ1371" s="510">
        <v>0</v>
      </c>
      <c r="CA1371" s="1011">
        <v>0</v>
      </c>
      <c r="CB1371" s="510">
        <v>0</v>
      </c>
      <c r="CC1371" s="1011">
        <v>0</v>
      </c>
      <c r="CD1371" s="510">
        <v>0</v>
      </c>
      <c r="CE1371" s="1011">
        <v>0</v>
      </c>
      <c r="CF1371" s="510">
        <v>37636.800000000003</v>
      </c>
      <c r="CG1371" s="1011">
        <v>0</v>
      </c>
      <c r="CH1371" s="510">
        <v>0</v>
      </c>
      <c r="CI1371" s="1011">
        <v>0</v>
      </c>
    </row>
    <row r="1372" spans="1:87" x14ac:dyDescent="0.2">
      <c r="A1372" s="449">
        <v>15</v>
      </c>
      <c r="B1372" s="453">
        <v>400175</v>
      </c>
      <c r="C1372" s="454" t="s">
        <v>11110</v>
      </c>
      <c r="D1372" s="454" t="s">
        <v>4613</v>
      </c>
      <c r="E1372" s="454" t="s">
        <v>11111</v>
      </c>
      <c r="F1372" s="454" t="s">
        <v>525</v>
      </c>
      <c r="G1372" s="454" t="s">
        <v>14575</v>
      </c>
      <c r="H1372" s="455">
        <v>7905329000140</v>
      </c>
      <c r="I1372" s="462">
        <v>38757</v>
      </c>
      <c r="J1372" s="457">
        <v>37585657</v>
      </c>
      <c r="K1372" s="454" t="s">
        <v>11113</v>
      </c>
      <c r="L1372" s="458">
        <v>1000</v>
      </c>
      <c r="M1372" s="454" t="s">
        <v>3936</v>
      </c>
      <c r="N1372" s="459">
        <v>2118001</v>
      </c>
      <c r="O1372" s="460">
        <v>29546099</v>
      </c>
      <c r="P1372" s="462">
        <v>323422</v>
      </c>
      <c r="Q1372" s="462">
        <v>15</v>
      </c>
      <c r="R1372" s="462">
        <v>43950</v>
      </c>
      <c r="S1372" s="463">
        <v>171</v>
      </c>
      <c r="T1372" s="464">
        <v>3.6</v>
      </c>
      <c r="U1372" s="465">
        <v>615.6</v>
      </c>
      <c r="V1372" s="465">
        <v>10800</v>
      </c>
      <c r="W1372" s="466">
        <v>0</v>
      </c>
      <c r="X1372" s="467">
        <v>1</v>
      </c>
      <c r="Y1372" s="466">
        <v>17123.400000000001</v>
      </c>
      <c r="Z1372" s="468" t="s">
        <v>516</v>
      </c>
      <c r="AA1372" s="466">
        <v>86396.2</v>
      </c>
      <c r="AB1372" s="466">
        <v>86396.2</v>
      </c>
      <c r="AC1372" s="467">
        <v>0</v>
      </c>
      <c r="AD1372" s="466">
        <v>0</v>
      </c>
      <c r="AE1372" s="468" t="s">
        <v>516</v>
      </c>
      <c r="AF1372" s="466">
        <v>400</v>
      </c>
      <c r="AG1372" s="466">
        <v>400</v>
      </c>
      <c r="AH1372" s="466">
        <v>13131.99</v>
      </c>
      <c r="AI1372" s="466">
        <v>0</v>
      </c>
      <c r="AJ1372" s="469" t="s">
        <v>1448</v>
      </c>
      <c r="AK1372" s="470" t="s">
        <v>1449</v>
      </c>
      <c r="AL1372" s="471" t="s">
        <v>11114</v>
      </c>
      <c r="AM1372" s="470" t="s">
        <v>14576</v>
      </c>
      <c r="AN1372" s="470" t="s">
        <v>11112</v>
      </c>
      <c r="AO1372" s="470" t="s">
        <v>11115</v>
      </c>
      <c r="AP1372" s="470" t="s">
        <v>11116</v>
      </c>
      <c r="AQ1372" s="470" t="s">
        <v>11110</v>
      </c>
      <c r="AR1372" s="472" t="s">
        <v>515</v>
      </c>
      <c r="AS1372" s="473" t="s">
        <v>1385</v>
      </c>
      <c r="AT1372" s="472" t="s">
        <v>4613</v>
      </c>
      <c r="AU1372" s="472" t="s">
        <v>420</v>
      </c>
      <c r="AV1372" s="472">
        <v>2020</v>
      </c>
      <c r="AW1372" s="474" t="s">
        <v>15078</v>
      </c>
      <c r="AX1372" s="475" t="s">
        <v>15079</v>
      </c>
      <c r="AY1372" s="515">
        <v>1</v>
      </c>
      <c r="AZ1372" s="474" t="s">
        <v>15079</v>
      </c>
      <c r="BA1372" s="472" t="s">
        <v>4613</v>
      </c>
      <c r="BB1372" s="472" t="s">
        <v>1385</v>
      </c>
      <c r="BC1372" s="472" t="s">
        <v>1385</v>
      </c>
      <c r="BD1372" s="472" t="s">
        <v>1385</v>
      </c>
      <c r="BE1372" s="472" t="s">
        <v>1385</v>
      </c>
      <c r="BF1372" s="472">
        <v>17123.400000000001</v>
      </c>
      <c r="BG1372" s="472">
        <v>0</v>
      </c>
      <c r="BH1372" s="472" t="s">
        <v>1385</v>
      </c>
      <c r="BI1372" s="510">
        <v>0</v>
      </c>
      <c r="BJ1372" s="510">
        <v>0</v>
      </c>
      <c r="BK1372" s="510">
        <v>0</v>
      </c>
      <c r="BL1372" s="510">
        <v>0</v>
      </c>
      <c r="BM1372" s="510">
        <v>0</v>
      </c>
      <c r="BN1372" s="510">
        <v>2000</v>
      </c>
      <c r="BO1372" s="510">
        <v>1600</v>
      </c>
      <c r="BP1372" s="510">
        <v>400</v>
      </c>
      <c r="BQ1372" s="510">
        <v>0</v>
      </c>
      <c r="BR1372" s="510">
        <v>0</v>
      </c>
      <c r="BS1372" s="510">
        <v>0</v>
      </c>
      <c r="BT1372" s="510">
        <v>0</v>
      </c>
      <c r="BU1372" s="510">
        <v>0</v>
      </c>
      <c r="BV1372" s="510">
        <v>0</v>
      </c>
      <c r="BW1372" s="510">
        <v>0</v>
      </c>
      <c r="BX1372" s="510">
        <v>30000</v>
      </c>
      <c r="BY1372" s="1011">
        <v>0</v>
      </c>
      <c r="BZ1372" s="510">
        <v>0</v>
      </c>
      <c r="CA1372" s="1011">
        <v>0</v>
      </c>
      <c r="CB1372" s="510">
        <v>0</v>
      </c>
      <c r="CC1372" s="1011">
        <v>0</v>
      </c>
      <c r="CD1372" s="510">
        <v>0</v>
      </c>
      <c r="CE1372" s="1011">
        <v>0</v>
      </c>
      <c r="CF1372" s="510">
        <v>37672.800000000003</v>
      </c>
      <c r="CG1372" s="1011">
        <v>0</v>
      </c>
      <c r="CH1372" s="510">
        <v>0</v>
      </c>
      <c r="CI1372" s="1011">
        <v>0</v>
      </c>
    </row>
    <row r="1373" spans="1:87" x14ac:dyDescent="0.2">
      <c r="A1373" s="449">
        <v>10</v>
      </c>
      <c r="B1373" s="453">
        <v>400176</v>
      </c>
      <c r="C1373" s="454" t="s">
        <v>11117</v>
      </c>
      <c r="D1373" s="454" t="s">
        <v>4613</v>
      </c>
      <c r="E1373" s="454" t="s">
        <v>11118</v>
      </c>
      <c r="F1373" s="454" t="s">
        <v>522</v>
      </c>
      <c r="G1373" s="454" t="s">
        <v>14577</v>
      </c>
      <c r="H1373" s="455">
        <v>7990861000103</v>
      </c>
      <c r="I1373" s="462">
        <v>38685</v>
      </c>
      <c r="J1373" s="457">
        <v>37586831</v>
      </c>
      <c r="K1373" s="454" t="s">
        <v>6260</v>
      </c>
      <c r="L1373" s="458">
        <v>50</v>
      </c>
      <c r="M1373" s="454" t="s">
        <v>6261</v>
      </c>
      <c r="N1373" s="459">
        <v>2855030</v>
      </c>
      <c r="O1373" s="460">
        <v>39218715</v>
      </c>
      <c r="P1373" s="462">
        <v>86064</v>
      </c>
      <c r="Q1373" s="462">
        <v>43</v>
      </c>
      <c r="R1373" s="462">
        <v>43911</v>
      </c>
      <c r="S1373" s="463">
        <v>107</v>
      </c>
      <c r="T1373" s="464">
        <v>3.6</v>
      </c>
      <c r="U1373" s="465">
        <v>385.2</v>
      </c>
      <c r="V1373" s="465">
        <v>10800</v>
      </c>
      <c r="W1373" s="466">
        <v>0</v>
      </c>
      <c r="X1373" s="467">
        <v>1</v>
      </c>
      <c r="Y1373" s="466">
        <v>16777.8</v>
      </c>
      <c r="Z1373" s="468" t="s">
        <v>516</v>
      </c>
      <c r="AA1373" s="466">
        <v>84126.6</v>
      </c>
      <c r="AB1373" s="466">
        <v>84126.6</v>
      </c>
      <c r="AC1373" s="467">
        <v>0</v>
      </c>
      <c r="AD1373" s="466">
        <v>0</v>
      </c>
      <c r="AE1373" s="468" t="s">
        <v>516</v>
      </c>
      <c r="AF1373" s="466">
        <v>0</v>
      </c>
      <c r="AG1373" s="466">
        <v>0</v>
      </c>
      <c r="AH1373" s="466">
        <v>3184.1</v>
      </c>
      <c r="AI1373" s="466">
        <v>25.34</v>
      </c>
      <c r="AJ1373" s="469" t="s">
        <v>1438</v>
      </c>
      <c r="AK1373" s="470" t="s">
        <v>12345</v>
      </c>
      <c r="AL1373" s="471" t="s">
        <v>11119</v>
      </c>
      <c r="AM1373" s="470" t="s">
        <v>11120</v>
      </c>
      <c r="AN1373" s="470" t="s">
        <v>1385</v>
      </c>
      <c r="AO1373" s="470" t="s">
        <v>14578</v>
      </c>
      <c r="AP1373" s="470" t="s">
        <v>11121</v>
      </c>
      <c r="AQ1373" s="470" t="s">
        <v>11117</v>
      </c>
      <c r="AR1373" s="472" t="s">
        <v>515</v>
      </c>
      <c r="AS1373" s="473" t="s">
        <v>1385</v>
      </c>
      <c r="AT1373" s="472" t="s">
        <v>4613</v>
      </c>
      <c r="AU1373" s="472" t="s">
        <v>420</v>
      </c>
      <c r="AV1373" s="472">
        <v>2020</v>
      </c>
      <c r="AW1373" s="474" t="s">
        <v>15078</v>
      </c>
      <c r="AX1373" s="475" t="s">
        <v>15079</v>
      </c>
      <c r="AY1373" s="515">
        <v>1</v>
      </c>
      <c r="AZ1373" s="474" t="s">
        <v>15079</v>
      </c>
      <c r="BA1373" s="472" t="s">
        <v>4613</v>
      </c>
      <c r="BB1373" s="472" t="s">
        <v>1385</v>
      </c>
      <c r="BC1373" s="472" t="s">
        <v>1385</v>
      </c>
      <c r="BD1373" s="472" t="s">
        <v>1385</v>
      </c>
      <c r="BE1373" s="472" t="s">
        <v>1385</v>
      </c>
      <c r="BF1373" s="472">
        <v>16777.8</v>
      </c>
      <c r="BG1373" s="472">
        <v>0</v>
      </c>
      <c r="BH1373" s="472" t="s">
        <v>1385</v>
      </c>
      <c r="BI1373" s="510">
        <v>0</v>
      </c>
      <c r="BJ1373" s="510">
        <v>0</v>
      </c>
      <c r="BK1373" s="510">
        <v>0</v>
      </c>
      <c r="BL1373" s="510">
        <v>0</v>
      </c>
      <c r="BM1373" s="510">
        <v>0</v>
      </c>
      <c r="BN1373" s="510">
        <v>2000</v>
      </c>
      <c r="BO1373" s="510">
        <v>0</v>
      </c>
      <c r="BP1373" s="510">
        <v>0</v>
      </c>
      <c r="BQ1373" s="510">
        <v>0</v>
      </c>
      <c r="BR1373" s="510">
        <v>0</v>
      </c>
      <c r="BS1373" s="510">
        <v>0</v>
      </c>
      <c r="BT1373" s="510">
        <v>0</v>
      </c>
      <c r="BU1373" s="510">
        <v>0</v>
      </c>
      <c r="BV1373" s="510">
        <v>0</v>
      </c>
      <c r="BW1373" s="510">
        <v>0</v>
      </c>
      <c r="BX1373" s="510">
        <v>30000</v>
      </c>
      <c r="BY1373" s="1011">
        <v>0</v>
      </c>
      <c r="BZ1373" s="510">
        <v>0</v>
      </c>
      <c r="CA1373" s="1011">
        <v>0</v>
      </c>
      <c r="CB1373" s="510">
        <v>0</v>
      </c>
      <c r="CC1373" s="1011">
        <v>0</v>
      </c>
      <c r="CD1373" s="510">
        <v>0</v>
      </c>
      <c r="CE1373" s="1011">
        <v>0</v>
      </c>
      <c r="CF1373" s="510">
        <v>37348.800000000003</v>
      </c>
      <c r="CG1373" s="1011">
        <v>0</v>
      </c>
      <c r="CH1373" s="510">
        <v>0</v>
      </c>
      <c r="CI1373" s="1011">
        <v>0</v>
      </c>
    </row>
    <row r="1374" spans="1:87" x14ac:dyDescent="0.2">
      <c r="A1374" s="449">
        <v>15</v>
      </c>
      <c r="B1374" s="453">
        <v>400177</v>
      </c>
      <c r="C1374" s="454" t="s">
        <v>11122</v>
      </c>
      <c r="D1374" s="454" t="s">
        <v>4613</v>
      </c>
      <c r="E1374" s="454" t="s">
        <v>11123</v>
      </c>
      <c r="F1374" s="454" t="s">
        <v>528</v>
      </c>
      <c r="G1374" s="454" t="s">
        <v>14579</v>
      </c>
      <c r="H1374" s="455">
        <v>7958061000105</v>
      </c>
      <c r="I1374" s="462">
        <v>38771</v>
      </c>
      <c r="J1374" s="457">
        <v>37375490</v>
      </c>
      <c r="K1374" s="454" t="s">
        <v>11124</v>
      </c>
      <c r="L1374" s="458">
        <v>262</v>
      </c>
      <c r="M1374" s="454" t="s">
        <v>528</v>
      </c>
      <c r="N1374" s="459">
        <v>5177000</v>
      </c>
      <c r="O1374" s="460">
        <v>39042543</v>
      </c>
      <c r="P1374" s="462">
        <v>283145</v>
      </c>
      <c r="Q1374" s="462">
        <v>15</v>
      </c>
      <c r="R1374" s="462">
        <v>43938</v>
      </c>
      <c r="S1374" s="463">
        <v>174</v>
      </c>
      <c r="T1374" s="464">
        <v>3.6</v>
      </c>
      <c r="U1374" s="465">
        <v>626.4</v>
      </c>
      <c r="V1374" s="465">
        <v>10800</v>
      </c>
      <c r="W1374" s="466">
        <v>0</v>
      </c>
      <c r="X1374" s="467">
        <v>1</v>
      </c>
      <c r="Y1374" s="466">
        <v>17139.599999999999</v>
      </c>
      <c r="Z1374" s="468" t="s">
        <v>516</v>
      </c>
      <c r="AA1374" s="466">
        <v>84934.8</v>
      </c>
      <c r="AB1374" s="466">
        <v>84934.8</v>
      </c>
      <c r="AC1374" s="467">
        <v>0</v>
      </c>
      <c r="AD1374" s="466">
        <v>0</v>
      </c>
      <c r="AE1374" s="468" t="s">
        <v>516</v>
      </c>
      <c r="AF1374" s="466">
        <v>0</v>
      </c>
      <c r="AG1374" s="466">
        <v>0</v>
      </c>
      <c r="AH1374" s="466">
        <v>9310.5</v>
      </c>
      <c r="AI1374" s="466">
        <v>6855.84</v>
      </c>
      <c r="AJ1374" s="469" t="s">
        <v>1571</v>
      </c>
      <c r="AK1374" s="470" t="s">
        <v>528</v>
      </c>
      <c r="AL1374" s="471" t="s">
        <v>11125</v>
      </c>
      <c r="AM1374" s="470" t="s">
        <v>14580</v>
      </c>
      <c r="AN1374" s="470" t="s">
        <v>11126</v>
      </c>
      <c r="AO1374" s="470" t="s">
        <v>14581</v>
      </c>
      <c r="AP1374" s="470" t="s">
        <v>11127</v>
      </c>
      <c r="AQ1374" s="470" t="s">
        <v>11122</v>
      </c>
      <c r="AR1374" s="472" t="s">
        <v>515</v>
      </c>
      <c r="AS1374" s="473" t="s">
        <v>1385</v>
      </c>
      <c r="AT1374" s="472" t="s">
        <v>4613</v>
      </c>
      <c r="AU1374" s="472" t="s">
        <v>420</v>
      </c>
      <c r="AV1374" s="472">
        <v>2020</v>
      </c>
      <c r="AW1374" s="474" t="s">
        <v>15078</v>
      </c>
      <c r="AX1374" s="475" t="s">
        <v>15079</v>
      </c>
      <c r="AY1374" s="515">
        <v>1</v>
      </c>
      <c r="AZ1374" s="474" t="s">
        <v>15079</v>
      </c>
      <c r="BA1374" s="472" t="s">
        <v>4613</v>
      </c>
      <c r="BB1374" s="472" t="s">
        <v>1385</v>
      </c>
      <c r="BC1374" s="472" t="s">
        <v>1385</v>
      </c>
      <c r="BD1374" s="472" t="s">
        <v>1385</v>
      </c>
      <c r="BE1374" s="472" t="s">
        <v>1385</v>
      </c>
      <c r="BF1374" s="472">
        <v>17139.599999999999</v>
      </c>
      <c r="BG1374" s="472">
        <v>0</v>
      </c>
      <c r="BH1374" s="472" t="s">
        <v>1385</v>
      </c>
      <c r="BI1374" s="510">
        <v>0</v>
      </c>
      <c r="BJ1374" s="510">
        <v>0</v>
      </c>
      <c r="BK1374" s="510">
        <v>0</v>
      </c>
      <c r="BL1374" s="510">
        <v>0</v>
      </c>
      <c r="BM1374" s="510">
        <v>0</v>
      </c>
      <c r="BN1374" s="510">
        <v>2000</v>
      </c>
      <c r="BO1374" s="510">
        <v>0</v>
      </c>
      <c r="BP1374" s="510">
        <v>0</v>
      </c>
      <c r="BQ1374" s="510">
        <v>0</v>
      </c>
      <c r="BR1374" s="510">
        <v>0</v>
      </c>
      <c r="BS1374" s="510">
        <v>0</v>
      </c>
      <c r="BT1374" s="510">
        <v>0</v>
      </c>
      <c r="BU1374" s="510">
        <v>0</v>
      </c>
      <c r="BV1374" s="510">
        <v>0</v>
      </c>
      <c r="BW1374" s="510">
        <v>0</v>
      </c>
      <c r="BX1374" s="510">
        <v>30000</v>
      </c>
      <c r="BY1374" s="1011">
        <v>0</v>
      </c>
      <c r="BZ1374" s="510">
        <v>0</v>
      </c>
      <c r="CA1374" s="1011">
        <v>0</v>
      </c>
      <c r="CB1374" s="510">
        <v>0</v>
      </c>
      <c r="CC1374" s="1011">
        <v>0</v>
      </c>
      <c r="CD1374" s="510">
        <v>0</v>
      </c>
      <c r="CE1374" s="1011">
        <v>0</v>
      </c>
      <c r="CF1374" s="510">
        <v>37795.199999999997</v>
      </c>
      <c r="CG1374" s="1011">
        <v>0</v>
      </c>
      <c r="CH1374" s="510">
        <v>0</v>
      </c>
      <c r="CI1374" s="1011">
        <v>0</v>
      </c>
    </row>
    <row r="1375" spans="1:87" x14ac:dyDescent="0.2">
      <c r="A1375" s="449">
        <v>18</v>
      </c>
      <c r="B1375" s="453">
        <v>400178</v>
      </c>
      <c r="C1375" s="454" t="s">
        <v>11128</v>
      </c>
      <c r="D1375" s="454" t="s">
        <v>4613</v>
      </c>
      <c r="E1375" s="454" t="s">
        <v>11129</v>
      </c>
      <c r="F1375" s="454" t="s">
        <v>523</v>
      </c>
      <c r="G1375" s="454" t="s">
        <v>14582</v>
      </c>
      <c r="H1375" s="455">
        <v>7933684000123</v>
      </c>
      <c r="I1375" s="462">
        <v>38784</v>
      </c>
      <c r="J1375" s="457">
        <v>35793244</v>
      </c>
      <c r="K1375" s="454" t="s">
        <v>11130</v>
      </c>
      <c r="L1375" s="458">
        <v>43</v>
      </c>
      <c r="M1375" s="454" t="s">
        <v>523</v>
      </c>
      <c r="N1375" s="459">
        <v>8471790</v>
      </c>
      <c r="O1375" s="460">
        <v>22821211</v>
      </c>
      <c r="P1375" s="462">
        <v>267581</v>
      </c>
      <c r="Q1375" s="462">
        <v>18</v>
      </c>
      <c r="R1375" s="462">
        <v>43921</v>
      </c>
      <c r="S1375" s="463">
        <v>101</v>
      </c>
      <c r="T1375" s="464">
        <v>3.6</v>
      </c>
      <c r="U1375" s="465">
        <v>363.6</v>
      </c>
      <c r="V1375" s="465">
        <v>10800</v>
      </c>
      <c r="W1375" s="466">
        <v>0</v>
      </c>
      <c r="X1375" s="467">
        <v>1</v>
      </c>
      <c r="Y1375" s="466">
        <v>0</v>
      </c>
      <c r="Z1375" s="468" t="s">
        <v>514</v>
      </c>
      <c r="AA1375" s="466">
        <v>0</v>
      </c>
      <c r="AB1375" s="466">
        <v>0</v>
      </c>
      <c r="AC1375" s="467">
        <v>0</v>
      </c>
      <c r="AD1375" s="466">
        <v>0</v>
      </c>
      <c r="AE1375" s="468" t="s">
        <v>514</v>
      </c>
      <c r="AF1375" s="466">
        <v>0</v>
      </c>
      <c r="AG1375" s="466">
        <v>0</v>
      </c>
      <c r="AH1375" s="466">
        <v>0</v>
      </c>
      <c r="AI1375" s="466">
        <v>0</v>
      </c>
      <c r="AJ1375" s="469" t="s">
        <v>1385</v>
      </c>
      <c r="AK1375" s="470" t="s">
        <v>12480</v>
      </c>
      <c r="AL1375" s="471" t="s">
        <v>1385</v>
      </c>
      <c r="AM1375" s="470" t="s">
        <v>11131</v>
      </c>
      <c r="AN1375" s="470" t="s">
        <v>1385</v>
      </c>
      <c r="AO1375" s="470" t="s">
        <v>11132</v>
      </c>
      <c r="AP1375" s="470" t="s">
        <v>11133</v>
      </c>
      <c r="AQ1375" s="470" t="s">
        <v>11128</v>
      </c>
      <c r="AR1375" s="472" t="s">
        <v>515</v>
      </c>
      <c r="AS1375" s="473" t="s">
        <v>1385</v>
      </c>
      <c r="AT1375" s="472" t="s">
        <v>4613</v>
      </c>
      <c r="AU1375" s="472" t="s">
        <v>420</v>
      </c>
      <c r="AV1375" s="472">
        <v>2020</v>
      </c>
      <c r="AW1375" s="474" t="s">
        <v>15078</v>
      </c>
      <c r="AX1375" s="475" t="s">
        <v>15079</v>
      </c>
      <c r="AY1375" s="515">
        <v>1</v>
      </c>
      <c r="AZ1375" s="474" t="s">
        <v>15079</v>
      </c>
      <c r="BA1375" s="472" t="s">
        <v>1385</v>
      </c>
      <c r="BB1375" s="472" t="s">
        <v>1385</v>
      </c>
      <c r="BC1375" s="472" t="s">
        <v>1385</v>
      </c>
      <c r="BD1375" s="472" t="s">
        <v>1385</v>
      </c>
      <c r="BE1375" s="472" t="s">
        <v>1385</v>
      </c>
      <c r="BF1375" s="472">
        <v>16745.400000000001</v>
      </c>
      <c r="BG1375" s="472">
        <v>0</v>
      </c>
      <c r="BH1375" s="472" t="s">
        <v>516</v>
      </c>
      <c r="BI1375" s="510">
        <v>0</v>
      </c>
      <c r="BJ1375" s="510">
        <v>0</v>
      </c>
      <c r="BK1375" s="510">
        <v>0</v>
      </c>
      <c r="BL1375" s="510">
        <v>0</v>
      </c>
      <c r="BM1375" s="510">
        <v>0</v>
      </c>
      <c r="BN1375" s="510">
        <v>0</v>
      </c>
      <c r="BO1375" s="510">
        <v>0</v>
      </c>
      <c r="BP1375" s="510">
        <v>2000</v>
      </c>
      <c r="BQ1375" s="510">
        <v>0</v>
      </c>
      <c r="BR1375" s="510">
        <v>0</v>
      </c>
      <c r="BS1375" s="510">
        <v>0</v>
      </c>
      <c r="BT1375" s="510">
        <v>0</v>
      </c>
      <c r="BU1375" s="510">
        <v>0</v>
      </c>
      <c r="BV1375" s="510">
        <v>0</v>
      </c>
      <c r="BW1375" s="510">
        <v>0</v>
      </c>
      <c r="BX1375" s="510">
        <v>0</v>
      </c>
      <c r="BY1375" s="1011">
        <v>0</v>
      </c>
      <c r="BZ1375" s="510">
        <v>0</v>
      </c>
      <c r="CA1375" s="1011">
        <v>0</v>
      </c>
      <c r="CB1375" s="510">
        <v>0</v>
      </c>
      <c r="CC1375" s="1011">
        <v>0</v>
      </c>
      <c r="CD1375" s="510">
        <v>0</v>
      </c>
      <c r="CE1375" s="1011">
        <v>0</v>
      </c>
      <c r="CF1375" s="510">
        <v>0</v>
      </c>
      <c r="CG1375" s="1011">
        <v>0</v>
      </c>
      <c r="CH1375" s="510">
        <v>0</v>
      </c>
      <c r="CI1375" s="1011">
        <v>0</v>
      </c>
    </row>
    <row r="1376" spans="1:87" x14ac:dyDescent="0.2">
      <c r="A1376" s="449">
        <v>18</v>
      </c>
      <c r="B1376" s="453">
        <v>400179</v>
      </c>
      <c r="C1376" s="454" t="s">
        <v>11134</v>
      </c>
      <c r="D1376" s="454" t="s">
        <v>4613</v>
      </c>
      <c r="E1376" s="454" t="s">
        <v>11135</v>
      </c>
      <c r="F1376" s="454" t="s">
        <v>527</v>
      </c>
      <c r="G1376" s="454" t="s">
        <v>14583</v>
      </c>
      <c r="H1376" s="455">
        <v>7931582000179</v>
      </c>
      <c r="I1376" s="462">
        <v>38702</v>
      </c>
      <c r="J1376" s="457">
        <v>37555596</v>
      </c>
      <c r="K1376" s="454" t="s">
        <v>11136</v>
      </c>
      <c r="L1376" s="458">
        <v>258</v>
      </c>
      <c r="M1376" s="454" t="s">
        <v>6179</v>
      </c>
      <c r="N1376" s="459">
        <v>3732100</v>
      </c>
      <c r="O1376" s="460">
        <v>26418611</v>
      </c>
      <c r="P1376" s="462">
        <v>184279</v>
      </c>
      <c r="Q1376" s="462">
        <v>18</v>
      </c>
      <c r="R1376" s="462">
        <v>43917</v>
      </c>
      <c r="S1376" s="463">
        <v>157</v>
      </c>
      <c r="T1376" s="464">
        <v>3.6</v>
      </c>
      <c r="U1376" s="465">
        <v>565.20000000000005</v>
      </c>
      <c r="V1376" s="465">
        <v>10800</v>
      </c>
      <c r="W1376" s="466">
        <v>0</v>
      </c>
      <c r="X1376" s="467">
        <v>1</v>
      </c>
      <c r="Y1376" s="466">
        <v>17047.8</v>
      </c>
      <c r="Z1376" s="468" t="s">
        <v>516</v>
      </c>
      <c r="AA1376" s="466">
        <v>84519</v>
      </c>
      <c r="AB1376" s="466">
        <v>84519</v>
      </c>
      <c r="AC1376" s="467">
        <v>0</v>
      </c>
      <c r="AD1376" s="466">
        <v>0</v>
      </c>
      <c r="AE1376" s="468" t="s">
        <v>516</v>
      </c>
      <c r="AF1376" s="466">
        <v>2000</v>
      </c>
      <c r="AG1376" s="466">
        <v>2000</v>
      </c>
      <c r="AH1376" s="466">
        <v>19010.62</v>
      </c>
      <c r="AI1376" s="466">
        <v>8849.01</v>
      </c>
      <c r="AJ1376" s="469" t="s">
        <v>2233</v>
      </c>
      <c r="AK1376" s="470" t="s">
        <v>2653</v>
      </c>
      <c r="AL1376" s="471" t="s">
        <v>11137</v>
      </c>
      <c r="AM1376" s="470" t="s">
        <v>11138</v>
      </c>
      <c r="AN1376" s="470" t="s">
        <v>14583</v>
      </c>
      <c r="AO1376" s="470" t="s">
        <v>14584</v>
      </c>
      <c r="AP1376" s="470" t="s">
        <v>11139</v>
      </c>
      <c r="AQ1376" s="470" t="s">
        <v>11134</v>
      </c>
      <c r="AR1376" s="472" t="s">
        <v>515</v>
      </c>
      <c r="AS1376" s="473" t="s">
        <v>1385</v>
      </c>
      <c r="AT1376" s="472" t="s">
        <v>4613</v>
      </c>
      <c r="AU1376" s="472" t="s">
        <v>420</v>
      </c>
      <c r="AV1376" s="472">
        <v>2020</v>
      </c>
      <c r="AW1376" s="474" t="s">
        <v>15078</v>
      </c>
      <c r="AX1376" s="475" t="s">
        <v>15079</v>
      </c>
      <c r="AY1376" s="515">
        <v>1</v>
      </c>
      <c r="AZ1376" s="474" t="s">
        <v>15079</v>
      </c>
      <c r="BA1376" s="472" t="s">
        <v>4613</v>
      </c>
      <c r="BB1376" s="472" t="s">
        <v>1385</v>
      </c>
      <c r="BC1376" s="472" t="s">
        <v>1385</v>
      </c>
      <c r="BD1376" s="472" t="s">
        <v>1385</v>
      </c>
      <c r="BE1376" s="472" t="s">
        <v>1385</v>
      </c>
      <c r="BF1376" s="472">
        <v>17047.8</v>
      </c>
      <c r="BG1376" s="472">
        <v>0</v>
      </c>
      <c r="BH1376" s="472" t="s">
        <v>1385</v>
      </c>
      <c r="BI1376" s="510">
        <v>0</v>
      </c>
      <c r="BJ1376" s="510">
        <v>6983.2</v>
      </c>
      <c r="BK1376" s="510">
        <v>0</v>
      </c>
      <c r="BL1376" s="510">
        <v>0</v>
      </c>
      <c r="BM1376" s="510">
        <v>0</v>
      </c>
      <c r="BN1376" s="510">
        <v>2000</v>
      </c>
      <c r="BO1376" s="510">
        <v>0</v>
      </c>
      <c r="BP1376" s="510">
        <v>2000</v>
      </c>
      <c r="BQ1376" s="510">
        <v>0</v>
      </c>
      <c r="BR1376" s="510">
        <v>0</v>
      </c>
      <c r="BS1376" s="510">
        <v>0</v>
      </c>
      <c r="BT1376" s="510">
        <v>0</v>
      </c>
      <c r="BU1376" s="510">
        <v>0</v>
      </c>
      <c r="BV1376" s="510">
        <v>0</v>
      </c>
      <c r="BW1376" s="510">
        <v>0</v>
      </c>
      <c r="BX1376" s="510">
        <v>30000</v>
      </c>
      <c r="BY1376" s="1011">
        <v>0</v>
      </c>
      <c r="BZ1376" s="510">
        <v>0</v>
      </c>
      <c r="CA1376" s="1011">
        <v>0</v>
      </c>
      <c r="CB1376" s="510">
        <v>0</v>
      </c>
      <c r="CC1376" s="1011">
        <v>0</v>
      </c>
      <c r="CD1376" s="510">
        <v>0</v>
      </c>
      <c r="CE1376" s="1011">
        <v>0</v>
      </c>
      <c r="CF1376" s="510">
        <v>37471.199999999997</v>
      </c>
      <c r="CG1376" s="1011">
        <v>0</v>
      </c>
      <c r="CH1376" s="510">
        <v>0</v>
      </c>
      <c r="CI1376" s="1011">
        <v>0</v>
      </c>
    </row>
    <row r="1377" spans="1:87" x14ac:dyDescent="0.2">
      <c r="A1377" s="449">
        <v>16</v>
      </c>
      <c r="B1377" s="453">
        <v>400180</v>
      </c>
      <c r="C1377" s="454" t="s">
        <v>11140</v>
      </c>
      <c r="D1377" s="454" t="s">
        <v>4613</v>
      </c>
      <c r="E1377" s="454" t="s">
        <v>11141</v>
      </c>
      <c r="F1377" s="454" t="s">
        <v>525</v>
      </c>
      <c r="G1377" s="454" t="s">
        <v>14585</v>
      </c>
      <c r="H1377" s="455">
        <v>8511696000122</v>
      </c>
      <c r="I1377" s="462">
        <v>38881</v>
      </c>
      <c r="J1377" s="457">
        <v>37604961</v>
      </c>
      <c r="K1377" s="454" t="s">
        <v>11143</v>
      </c>
      <c r="L1377" s="458">
        <v>121</v>
      </c>
      <c r="M1377" s="454" t="s">
        <v>2594</v>
      </c>
      <c r="N1377" s="459">
        <v>2188070</v>
      </c>
      <c r="O1377" s="460">
        <v>26365810</v>
      </c>
      <c r="P1377" s="462">
        <v>323430</v>
      </c>
      <c r="Q1377" s="462">
        <v>16</v>
      </c>
      <c r="R1377" s="462">
        <v>43950</v>
      </c>
      <c r="S1377" s="463">
        <v>151</v>
      </c>
      <c r="T1377" s="464">
        <v>3.6</v>
      </c>
      <c r="U1377" s="465">
        <v>543.6</v>
      </c>
      <c r="V1377" s="465">
        <v>10800</v>
      </c>
      <c r="W1377" s="466">
        <v>0</v>
      </c>
      <c r="X1377" s="467">
        <v>1</v>
      </c>
      <c r="Y1377" s="466">
        <v>17015.400000000001</v>
      </c>
      <c r="Z1377" s="468" t="s">
        <v>516</v>
      </c>
      <c r="AA1377" s="466">
        <v>84695.4</v>
      </c>
      <c r="AB1377" s="466">
        <v>84695.4</v>
      </c>
      <c r="AC1377" s="467">
        <v>0</v>
      </c>
      <c r="AD1377" s="466">
        <v>0</v>
      </c>
      <c r="AE1377" s="468" t="s">
        <v>516</v>
      </c>
      <c r="AF1377" s="466">
        <v>0</v>
      </c>
      <c r="AG1377" s="466">
        <v>0</v>
      </c>
      <c r="AH1377" s="466">
        <v>14922.77</v>
      </c>
      <c r="AI1377" s="466">
        <v>10534.06</v>
      </c>
      <c r="AJ1377" s="469" t="s">
        <v>1448</v>
      </c>
      <c r="AK1377" s="470" t="s">
        <v>1449</v>
      </c>
      <c r="AL1377" s="471" t="s">
        <v>11144</v>
      </c>
      <c r="AM1377" s="470" t="s">
        <v>11145</v>
      </c>
      <c r="AN1377" s="470" t="s">
        <v>11142</v>
      </c>
      <c r="AO1377" s="470" t="s">
        <v>11146</v>
      </c>
      <c r="AP1377" s="470" t="s">
        <v>11147</v>
      </c>
      <c r="AQ1377" s="470" t="s">
        <v>11140</v>
      </c>
      <c r="AR1377" s="472" t="s">
        <v>515</v>
      </c>
      <c r="AS1377" s="473" t="s">
        <v>1385</v>
      </c>
      <c r="AT1377" s="472" t="s">
        <v>4613</v>
      </c>
      <c r="AU1377" s="472" t="s">
        <v>420</v>
      </c>
      <c r="AV1377" s="472">
        <v>2020</v>
      </c>
      <c r="AW1377" s="474" t="s">
        <v>15078</v>
      </c>
      <c r="AX1377" s="475" t="s">
        <v>15079</v>
      </c>
      <c r="AY1377" s="515">
        <v>1</v>
      </c>
      <c r="AZ1377" s="474" t="s">
        <v>15079</v>
      </c>
      <c r="BA1377" s="472" t="s">
        <v>4613</v>
      </c>
      <c r="BB1377" s="472" t="s">
        <v>1385</v>
      </c>
      <c r="BC1377" s="472" t="s">
        <v>1385</v>
      </c>
      <c r="BD1377" s="472" t="s">
        <v>1385</v>
      </c>
      <c r="BE1377" s="472" t="s">
        <v>1385</v>
      </c>
      <c r="BF1377" s="472">
        <v>17015.400000000001</v>
      </c>
      <c r="BG1377" s="472">
        <v>0</v>
      </c>
      <c r="BH1377" s="472" t="s">
        <v>1385</v>
      </c>
      <c r="BI1377" s="510">
        <v>0</v>
      </c>
      <c r="BJ1377" s="510">
        <v>0</v>
      </c>
      <c r="BK1377" s="510">
        <v>0</v>
      </c>
      <c r="BL1377" s="510">
        <v>0</v>
      </c>
      <c r="BM1377" s="510">
        <v>0</v>
      </c>
      <c r="BN1377" s="510">
        <v>2000</v>
      </c>
      <c r="BO1377" s="510">
        <v>0</v>
      </c>
      <c r="BP1377" s="510">
        <v>0</v>
      </c>
      <c r="BQ1377" s="510">
        <v>0</v>
      </c>
      <c r="BR1377" s="510">
        <v>0</v>
      </c>
      <c r="BS1377" s="510">
        <v>0</v>
      </c>
      <c r="BT1377" s="510">
        <v>0</v>
      </c>
      <c r="BU1377" s="510">
        <v>0</v>
      </c>
      <c r="BV1377" s="510">
        <v>0</v>
      </c>
      <c r="BW1377" s="510">
        <v>0</v>
      </c>
      <c r="BX1377" s="510">
        <v>30000</v>
      </c>
      <c r="BY1377" s="1011">
        <v>0</v>
      </c>
      <c r="BZ1377" s="510">
        <v>0</v>
      </c>
      <c r="CA1377" s="1011">
        <v>0</v>
      </c>
      <c r="CB1377" s="510">
        <v>0</v>
      </c>
      <c r="CC1377" s="1011">
        <v>0</v>
      </c>
      <c r="CD1377" s="510">
        <v>0</v>
      </c>
      <c r="CE1377" s="1011">
        <v>0</v>
      </c>
      <c r="CF1377" s="510">
        <v>37680</v>
      </c>
      <c r="CG1377" s="1011">
        <v>0</v>
      </c>
      <c r="CH1377" s="510">
        <v>0</v>
      </c>
      <c r="CI1377" s="1011">
        <v>0</v>
      </c>
    </row>
    <row r="1378" spans="1:87" x14ac:dyDescent="0.2">
      <c r="A1378" s="449">
        <v>16</v>
      </c>
      <c r="B1378" s="453">
        <v>400181</v>
      </c>
      <c r="C1378" s="454" t="s">
        <v>11148</v>
      </c>
      <c r="D1378" s="454" t="s">
        <v>4613</v>
      </c>
      <c r="E1378" s="454" t="s">
        <v>11149</v>
      </c>
      <c r="F1378" s="454" t="s">
        <v>528</v>
      </c>
      <c r="G1378" s="454" t="s">
        <v>14586</v>
      </c>
      <c r="H1378" s="455">
        <v>12483563000167</v>
      </c>
      <c r="I1378" s="462">
        <v>40416</v>
      </c>
      <c r="J1378" s="457">
        <v>43396380</v>
      </c>
      <c r="K1378" s="454" t="s">
        <v>8342</v>
      </c>
      <c r="L1378" s="458">
        <v>15</v>
      </c>
      <c r="M1378" s="454" t="s">
        <v>2291</v>
      </c>
      <c r="N1378" s="459">
        <v>2942000</v>
      </c>
      <c r="O1378" s="460">
        <v>39747971</v>
      </c>
      <c r="P1378" s="462">
        <v>258124</v>
      </c>
      <c r="Q1378" s="462">
        <v>16</v>
      </c>
      <c r="R1378" s="462">
        <v>43938</v>
      </c>
      <c r="S1378" s="463">
        <v>116</v>
      </c>
      <c r="T1378" s="464">
        <v>3.6</v>
      </c>
      <c r="U1378" s="465">
        <v>417.6</v>
      </c>
      <c r="V1378" s="465">
        <v>10800</v>
      </c>
      <c r="W1378" s="466">
        <v>0</v>
      </c>
      <c r="X1378" s="467">
        <v>1</v>
      </c>
      <c r="Y1378" s="466">
        <v>16826.400000000001</v>
      </c>
      <c r="Z1378" s="468" t="s">
        <v>516</v>
      </c>
      <c r="AA1378" s="466">
        <v>84240</v>
      </c>
      <c r="AB1378" s="466">
        <v>84240</v>
      </c>
      <c r="AC1378" s="467">
        <v>0</v>
      </c>
      <c r="AD1378" s="466">
        <v>0</v>
      </c>
      <c r="AE1378" s="468" t="s">
        <v>516</v>
      </c>
      <c r="AF1378" s="466">
        <v>0</v>
      </c>
      <c r="AG1378" s="466">
        <v>0</v>
      </c>
      <c r="AH1378" s="466">
        <v>17626.88</v>
      </c>
      <c r="AI1378" s="466">
        <v>5837.52</v>
      </c>
      <c r="AJ1378" s="469" t="s">
        <v>1571</v>
      </c>
      <c r="AK1378" s="470" t="s">
        <v>528</v>
      </c>
      <c r="AL1378" s="471" t="s">
        <v>11150</v>
      </c>
      <c r="AM1378" s="470" t="s">
        <v>11151</v>
      </c>
      <c r="AN1378" s="470" t="s">
        <v>11152</v>
      </c>
      <c r="AO1378" s="470" t="s">
        <v>14587</v>
      </c>
      <c r="AP1378" s="470" t="s">
        <v>11153</v>
      </c>
      <c r="AQ1378" s="470" t="s">
        <v>11148</v>
      </c>
      <c r="AR1378" s="472" t="s">
        <v>515</v>
      </c>
      <c r="AS1378" s="473" t="s">
        <v>1385</v>
      </c>
      <c r="AT1378" s="472" t="s">
        <v>4613</v>
      </c>
      <c r="AU1378" s="472" t="s">
        <v>420</v>
      </c>
      <c r="AV1378" s="472">
        <v>2020</v>
      </c>
      <c r="AW1378" s="474" t="s">
        <v>15078</v>
      </c>
      <c r="AX1378" s="475" t="s">
        <v>15079</v>
      </c>
      <c r="AY1378" s="515">
        <v>1</v>
      </c>
      <c r="AZ1378" s="474" t="s">
        <v>15079</v>
      </c>
      <c r="BA1378" s="472" t="s">
        <v>4613</v>
      </c>
      <c r="BB1378" s="472" t="s">
        <v>1385</v>
      </c>
      <c r="BC1378" s="472" t="s">
        <v>1385</v>
      </c>
      <c r="BD1378" s="472" t="s">
        <v>1385</v>
      </c>
      <c r="BE1378" s="472" t="s">
        <v>1385</v>
      </c>
      <c r="BF1378" s="472">
        <v>16826.400000000001</v>
      </c>
      <c r="BG1378" s="472">
        <v>0</v>
      </c>
      <c r="BH1378" s="472" t="s">
        <v>1385</v>
      </c>
      <c r="BI1378" s="510">
        <v>0</v>
      </c>
      <c r="BJ1378" s="510">
        <v>3396.6</v>
      </c>
      <c r="BK1378" s="510">
        <v>0</v>
      </c>
      <c r="BL1378" s="510">
        <v>0</v>
      </c>
      <c r="BM1378" s="510">
        <v>0</v>
      </c>
      <c r="BN1378" s="510">
        <v>2000</v>
      </c>
      <c r="BO1378" s="510">
        <v>0</v>
      </c>
      <c r="BP1378" s="510">
        <v>0</v>
      </c>
      <c r="BQ1378" s="510">
        <v>0</v>
      </c>
      <c r="BR1378" s="510">
        <v>0</v>
      </c>
      <c r="BS1378" s="510">
        <v>0</v>
      </c>
      <c r="BT1378" s="510">
        <v>0</v>
      </c>
      <c r="BU1378" s="510">
        <v>0</v>
      </c>
      <c r="BV1378" s="510">
        <v>0</v>
      </c>
      <c r="BW1378" s="510">
        <v>0</v>
      </c>
      <c r="BX1378" s="510">
        <v>30000</v>
      </c>
      <c r="BY1378" s="1011">
        <v>0</v>
      </c>
      <c r="BZ1378" s="510">
        <v>0</v>
      </c>
      <c r="CA1378" s="1011">
        <v>0</v>
      </c>
      <c r="CB1378" s="510">
        <v>0</v>
      </c>
      <c r="CC1378" s="1011">
        <v>0</v>
      </c>
      <c r="CD1378" s="510">
        <v>0</v>
      </c>
      <c r="CE1378" s="1011">
        <v>0</v>
      </c>
      <c r="CF1378" s="510">
        <v>37413.599999999999</v>
      </c>
      <c r="CG1378" s="1011">
        <v>0</v>
      </c>
      <c r="CH1378" s="510">
        <v>0</v>
      </c>
      <c r="CI1378" s="1011">
        <v>0</v>
      </c>
    </row>
    <row r="1379" spans="1:87" x14ac:dyDescent="0.2">
      <c r="A1379" s="449">
        <v>18</v>
      </c>
      <c r="B1379" s="453">
        <v>400182</v>
      </c>
      <c r="C1379" s="454" t="s">
        <v>11154</v>
      </c>
      <c r="D1379" s="454" t="s">
        <v>4613</v>
      </c>
      <c r="E1379" s="454" t="s">
        <v>11155</v>
      </c>
      <c r="F1379" s="454" t="s">
        <v>521</v>
      </c>
      <c r="G1379" s="454" t="s">
        <v>14588</v>
      </c>
      <c r="H1379" s="455">
        <v>7265863000130</v>
      </c>
      <c r="I1379" s="462">
        <v>38289</v>
      </c>
      <c r="J1379" s="457">
        <v>37552538</v>
      </c>
      <c r="K1379" s="454" t="s">
        <v>11156</v>
      </c>
      <c r="L1379" s="458">
        <v>15</v>
      </c>
      <c r="M1379" s="454" t="s">
        <v>11157</v>
      </c>
      <c r="N1379" s="459">
        <v>4857380</v>
      </c>
      <c r="O1379" s="460">
        <v>55267944</v>
      </c>
      <c r="P1379" s="462">
        <v>99832</v>
      </c>
      <c r="Q1379" s="462">
        <v>11</v>
      </c>
      <c r="R1379" s="462">
        <v>43934</v>
      </c>
      <c r="S1379" s="463">
        <v>261</v>
      </c>
      <c r="T1379" s="464">
        <v>3.6</v>
      </c>
      <c r="U1379" s="465">
        <v>939.6</v>
      </c>
      <c r="V1379" s="465">
        <v>12720</v>
      </c>
      <c r="W1379" s="466">
        <v>0</v>
      </c>
      <c r="X1379" s="467">
        <v>1</v>
      </c>
      <c r="Y1379" s="466">
        <v>20489.400000000001</v>
      </c>
      <c r="Z1379" s="468" t="s">
        <v>516</v>
      </c>
      <c r="AA1379" s="466">
        <v>92866.2</v>
      </c>
      <c r="AB1379" s="466">
        <v>92866.2</v>
      </c>
      <c r="AC1379" s="467">
        <v>0</v>
      </c>
      <c r="AD1379" s="466">
        <v>0</v>
      </c>
      <c r="AE1379" s="468" t="s">
        <v>516</v>
      </c>
      <c r="AF1379" s="466">
        <v>0</v>
      </c>
      <c r="AG1379" s="466">
        <v>0</v>
      </c>
      <c r="AH1379" s="466">
        <v>15021.72</v>
      </c>
      <c r="AI1379" s="466">
        <v>9649.7199999999993</v>
      </c>
      <c r="AJ1379" s="469" t="s">
        <v>11158</v>
      </c>
      <c r="AK1379" s="470" t="s">
        <v>1625</v>
      </c>
      <c r="AL1379" s="471" t="s">
        <v>11159</v>
      </c>
      <c r="AM1379" s="470" t="s">
        <v>11160</v>
      </c>
      <c r="AN1379" s="470" t="s">
        <v>1385</v>
      </c>
      <c r="AO1379" s="470" t="s">
        <v>14589</v>
      </c>
      <c r="AP1379" s="470" t="s">
        <v>11161</v>
      </c>
      <c r="AQ1379" s="470" t="s">
        <v>11154</v>
      </c>
      <c r="AR1379" s="472" t="s">
        <v>515</v>
      </c>
      <c r="AS1379" s="473" t="s">
        <v>1385</v>
      </c>
      <c r="AT1379" s="472" t="s">
        <v>4613</v>
      </c>
      <c r="AU1379" s="472" t="s">
        <v>420</v>
      </c>
      <c r="AV1379" s="472">
        <v>2020</v>
      </c>
      <c r="AW1379" s="474" t="s">
        <v>15078</v>
      </c>
      <c r="AX1379" s="475" t="s">
        <v>15079</v>
      </c>
      <c r="AY1379" s="515">
        <v>1</v>
      </c>
      <c r="AZ1379" s="474" t="s">
        <v>15079</v>
      </c>
      <c r="BA1379" s="472" t="s">
        <v>4613</v>
      </c>
      <c r="BB1379" s="472" t="s">
        <v>1385</v>
      </c>
      <c r="BC1379" s="472" t="s">
        <v>1385</v>
      </c>
      <c r="BD1379" s="472" t="s">
        <v>1385</v>
      </c>
      <c r="BE1379" s="472" t="s">
        <v>1385</v>
      </c>
      <c r="BF1379" s="472">
        <v>20489.400000000001</v>
      </c>
      <c r="BG1379" s="472">
        <v>0</v>
      </c>
      <c r="BH1379" s="472" t="s">
        <v>1385</v>
      </c>
      <c r="BI1379" s="510">
        <v>0</v>
      </c>
      <c r="BJ1379" s="510">
        <v>0</v>
      </c>
      <c r="BK1379" s="510">
        <v>0</v>
      </c>
      <c r="BL1379" s="510">
        <v>0</v>
      </c>
      <c r="BM1379" s="510">
        <v>0</v>
      </c>
      <c r="BN1379" s="510">
        <v>1660</v>
      </c>
      <c r="BO1379" s="510">
        <v>0</v>
      </c>
      <c r="BP1379" s="510">
        <v>0</v>
      </c>
      <c r="BQ1379" s="510">
        <v>0</v>
      </c>
      <c r="BR1379" s="510">
        <v>0</v>
      </c>
      <c r="BS1379" s="510">
        <v>0</v>
      </c>
      <c r="BT1379" s="510">
        <v>0</v>
      </c>
      <c r="BU1379" s="510">
        <v>0</v>
      </c>
      <c r="BV1379" s="510">
        <v>0</v>
      </c>
      <c r="BW1379" s="510">
        <v>0</v>
      </c>
      <c r="BX1379" s="510">
        <v>30000</v>
      </c>
      <c r="BY1379" s="1011">
        <v>0</v>
      </c>
      <c r="BZ1379" s="510">
        <v>0</v>
      </c>
      <c r="CA1379" s="1011">
        <v>0</v>
      </c>
      <c r="CB1379" s="510">
        <v>0</v>
      </c>
      <c r="CC1379" s="1011">
        <v>0</v>
      </c>
      <c r="CD1379" s="510">
        <v>0</v>
      </c>
      <c r="CE1379" s="1011">
        <v>0</v>
      </c>
      <c r="CF1379" s="510">
        <v>42376.800000000003</v>
      </c>
      <c r="CG1379" s="1011">
        <v>0</v>
      </c>
      <c r="CH1379" s="510">
        <v>0</v>
      </c>
      <c r="CI1379" s="1011">
        <v>0</v>
      </c>
    </row>
    <row r="1380" spans="1:87" x14ac:dyDescent="0.2">
      <c r="A1380" s="449">
        <v>13</v>
      </c>
      <c r="B1380" s="453">
        <v>400183</v>
      </c>
      <c r="C1380" s="454" t="s">
        <v>11162</v>
      </c>
      <c r="D1380" s="454" t="s">
        <v>4613</v>
      </c>
      <c r="E1380" s="454" t="s">
        <v>11163</v>
      </c>
      <c r="F1380" s="454" t="s">
        <v>524</v>
      </c>
      <c r="G1380" s="454" t="s">
        <v>14590</v>
      </c>
      <c r="H1380" s="455">
        <v>9721716000152</v>
      </c>
      <c r="I1380" s="462">
        <v>39689</v>
      </c>
      <c r="J1380" s="457">
        <v>38004577</v>
      </c>
      <c r="K1380" s="454" t="s">
        <v>11165</v>
      </c>
      <c r="L1380" s="458">
        <v>22</v>
      </c>
      <c r="M1380" s="454" t="s">
        <v>524</v>
      </c>
      <c r="N1380" s="459">
        <v>4202010</v>
      </c>
      <c r="O1380" s="460">
        <v>29466434</v>
      </c>
      <c r="P1380" s="462">
        <v>199942</v>
      </c>
      <c r="Q1380" s="462">
        <v>15</v>
      </c>
      <c r="R1380" s="462">
        <v>43906</v>
      </c>
      <c r="S1380" s="463">
        <v>78</v>
      </c>
      <c r="T1380" s="464">
        <v>3.6</v>
      </c>
      <c r="U1380" s="465">
        <v>280.8</v>
      </c>
      <c r="V1380" s="465">
        <v>10800</v>
      </c>
      <c r="W1380" s="466">
        <v>0</v>
      </c>
      <c r="X1380" s="467">
        <v>1</v>
      </c>
      <c r="Y1380" s="466">
        <v>16621.2</v>
      </c>
      <c r="Z1380" s="468" t="s">
        <v>516</v>
      </c>
      <c r="AA1380" s="466">
        <v>83710.8</v>
      </c>
      <c r="AB1380" s="466">
        <v>83710.8</v>
      </c>
      <c r="AC1380" s="467">
        <v>0</v>
      </c>
      <c r="AD1380" s="466">
        <v>0</v>
      </c>
      <c r="AE1380" s="468" t="s">
        <v>516</v>
      </c>
      <c r="AF1380" s="466">
        <v>0</v>
      </c>
      <c r="AG1380" s="466">
        <v>0</v>
      </c>
      <c r="AH1380" s="466">
        <v>10296.24</v>
      </c>
      <c r="AI1380" s="466">
        <v>5077.3599999999997</v>
      </c>
      <c r="AJ1380" s="469" t="s">
        <v>2402</v>
      </c>
      <c r="AK1380" s="470" t="s">
        <v>2403</v>
      </c>
      <c r="AL1380" s="471" t="s">
        <v>11166</v>
      </c>
      <c r="AM1380" s="470" t="s">
        <v>15096</v>
      </c>
      <c r="AN1380" s="470" t="s">
        <v>11164</v>
      </c>
      <c r="AO1380" s="470" t="s">
        <v>14591</v>
      </c>
      <c r="AP1380" s="470" t="s">
        <v>11167</v>
      </c>
      <c r="AQ1380" s="470" t="s">
        <v>11162</v>
      </c>
      <c r="AR1380" s="472" t="s">
        <v>515</v>
      </c>
      <c r="AS1380" s="473" t="s">
        <v>1385</v>
      </c>
      <c r="AT1380" s="472" t="s">
        <v>4613</v>
      </c>
      <c r="AU1380" s="472" t="s">
        <v>420</v>
      </c>
      <c r="AV1380" s="472">
        <v>2020</v>
      </c>
      <c r="AW1380" s="474" t="s">
        <v>15078</v>
      </c>
      <c r="AX1380" s="475" t="s">
        <v>15079</v>
      </c>
      <c r="AY1380" s="515">
        <v>1</v>
      </c>
      <c r="AZ1380" s="474" t="s">
        <v>15079</v>
      </c>
      <c r="BA1380" s="472" t="s">
        <v>4613</v>
      </c>
      <c r="BB1380" s="472" t="s">
        <v>1385</v>
      </c>
      <c r="BC1380" s="472" t="s">
        <v>1385</v>
      </c>
      <c r="BD1380" s="472" t="s">
        <v>1385</v>
      </c>
      <c r="BE1380" s="472" t="s">
        <v>1385</v>
      </c>
      <c r="BF1380" s="472">
        <v>16621.2</v>
      </c>
      <c r="BG1380" s="472">
        <v>0</v>
      </c>
      <c r="BH1380" s="472" t="s">
        <v>1385</v>
      </c>
      <c r="BI1380" s="510">
        <v>0</v>
      </c>
      <c r="BJ1380" s="510">
        <v>0</v>
      </c>
      <c r="BK1380" s="510">
        <v>0</v>
      </c>
      <c r="BL1380" s="510">
        <v>0</v>
      </c>
      <c r="BM1380" s="510">
        <v>0</v>
      </c>
      <c r="BN1380" s="510">
        <v>1500</v>
      </c>
      <c r="BO1380" s="510">
        <v>0</v>
      </c>
      <c r="BP1380" s="510">
        <v>0</v>
      </c>
      <c r="BQ1380" s="510">
        <v>0</v>
      </c>
      <c r="BR1380" s="510">
        <v>0</v>
      </c>
      <c r="BS1380" s="510">
        <v>0</v>
      </c>
      <c r="BT1380" s="510">
        <v>0</v>
      </c>
      <c r="BU1380" s="510">
        <v>0</v>
      </c>
      <c r="BV1380" s="510">
        <v>0</v>
      </c>
      <c r="BW1380" s="510">
        <v>0</v>
      </c>
      <c r="BX1380" s="510">
        <v>30000</v>
      </c>
      <c r="BY1380" s="1011">
        <v>0</v>
      </c>
      <c r="BZ1380" s="510">
        <v>0</v>
      </c>
      <c r="CA1380" s="1011">
        <v>0</v>
      </c>
      <c r="CB1380" s="510">
        <v>0</v>
      </c>
      <c r="CC1380" s="1011">
        <v>0</v>
      </c>
      <c r="CD1380" s="510">
        <v>0</v>
      </c>
      <c r="CE1380" s="1011">
        <v>0</v>
      </c>
      <c r="CF1380" s="510">
        <v>37089.599999999999</v>
      </c>
      <c r="CG1380" s="1011">
        <v>0</v>
      </c>
      <c r="CH1380" s="510">
        <v>0</v>
      </c>
      <c r="CI1380" s="1011">
        <v>0</v>
      </c>
    </row>
    <row r="1381" spans="1:87" x14ac:dyDescent="0.2">
      <c r="A1381" s="449">
        <v>29</v>
      </c>
      <c r="B1381" s="453">
        <v>400184</v>
      </c>
      <c r="C1381" s="454" t="s">
        <v>11168</v>
      </c>
      <c r="D1381" s="454" t="s">
        <v>4613</v>
      </c>
      <c r="E1381" s="454" t="s">
        <v>11168</v>
      </c>
      <c r="F1381" s="454" t="s">
        <v>520</v>
      </c>
      <c r="G1381" s="454" t="s">
        <v>14592</v>
      </c>
      <c r="H1381" s="455">
        <v>8578495000142</v>
      </c>
      <c r="I1381" s="462">
        <v>39022</v>
      </c>
      <c r="J1381" s="457">
        <v>37621041</v>
      </c>
      <c r="K1381" s="454" t="s">
        <v>11169</v>
      </c>
      <c r="L1381" s="458">
        <v>50</v>
      </c>
      <c r="M1381" s="454" t="s">
        <v>11170</v>
      </c>
      <c r="N1381" s="459">
        <v>5788230</v>
      </c>
      <c r="O1381" s="460">
        <v>58414010</v>
      </c>
      <c r="P1381" s="462">
        <v>293108</v>
      </c>
      <c r="Q1381" s="462">
        <v>29</v>
      </c>
      <c r="R1381" s="462">
        <v>43969</v>
      </c>
      <c r="S1381" s="463">
        <v>134</v>
      </c>
      <c r="T1381" s="464">
        <v>3.6</v>
      </c>
      <c r="U1381" s="465">
        <v>482.4</v>
      </c>
      <c r="V1381" s="465">
        <v>10800</v>
      </c>
      <c r="W1381" s="466">
        <v>0</v>
      </c>
      <c r="X1381" s="467">
        <v>1</v>
      </c>
      <c r="Y1381" s="466">
        <v>16923.599999999999</v>
      </c>
      <c r="Z1381" s="468" t="s">
        <v>516</v>
      </c>
      <c r="AA1381" s="466">
        <v>84258</v>
      </c>
      <c r="AB1381" s="466">
        <v>84258</v>
      </c>
      <c r="AC1381" s="467">
        <v>0</v>
      </c>
      <c r="AD1381" s="466">
        <v>0</v>
      </c>
      <c r="AE1381" s="468" t="s">
        <v>516</v>
      </c>
      <c r="AF1381" s="466">
        <v>0</v>
      </c>
      <c r="AG1381" s="466">
        <v>0</v>
      </c>
      <c r="AH1381" s="466">
        <v>8734.19</v>
      </c>
      <c r="AI1381" s="466">
        <v>6645.76</v>
      </c>
      <c r="AJ1381" s="469" t="s">
        <v>1489</v>
      </c>
      <c r="AK1381" s="470" t="s">
        <v>520</v>
      </c>
      <c r="AL1381" s="471" t="s">
        <v>11171</v>
      </c>
      <c r="AM1381" s="470" t="s">
        <v>11172</v>
      </c>
      <c r="AN1381" s="470" t="s">
        <v>11173</v>
      </c>
      <c r="AO1381" s="470" t="s">
        <v>11174</v>
      </c>
      <c r="AP1381" s="470" t="s">
        <v>11175</v>
      </c>
      <c r="AQ1381" s="470" t="s">
        <v>11168</v>
      </c>
      <c r="AR1381" s="472" t="s">
        <v>515</v>
      </c>
      <c r="AS1381" s="473" t="s">
        <v>1385</v>
      </c>
      <c r="AT1381" s="472" t="s">
        <v>4613</v>
      </c>
      <c r="AU1381" s="472" t="s">
        <v>420</v>
      </c>
      <c r="AV1381" s="472">
        <v>2020</v>
      </c>
      <c r="AW1381" s="474" t="s">
        <v>15078</v>
      </c>
      <c r="AX1381" s="475" t="s">
        <v>15079</v>
      </c>
      <c r="AY1381" s="515">
        <v>1</v>
      </c>
      <c r="AZ1381" s="474" t="s">
        <v>15079</v>
      </c>
      <c r="BA1381" s="472" t="s">
        <v>4613</v>
      </c>
      <c r="BB1381" s="472" t="s">
        <v>1385</v>
      </c>
      <c r="BC1381" s="472" t="s">
        <v>1385</v>
      </c>
      <c r="BD1381" s="472" t="s">
        <v>1385</v>
      </c>
      <c r="BE1381" s="472" t="s">
        <v>1385</v>
      </c>
      <c r="BF1381" s="472">
        <v>16923.599999999999</v>
      </c>
      <c r="BG1381" s="472">
        <v>0</v>
      </c>
      <c r="BH1381" s="472" t="s">
        <v>1385</v>
      </c>
      <c r="BI1381" s="510">
        <v>0</v>
      </c>
      <c r="BJ1381" s="510">
        <v>0</v>
      </c>
      <c r="BK1381" s="510">
        <v>0</v>
      </c>
      <c r="BL1381" s="510">
        <v>0</v>
      </c>
      <c r="BM1381" s="510">
        <v>0</v>
      </c>
      <c r="BN1381" s="510">
        <v>2000</v>
      </c>
      <c r="BO1381" s="510">
        <v>0</v>
      </c>
      <c r="BP1381" s="510">
        <v>0</v>
      </c>
      <c r="BQ1381" s="510">
        <v>0</v>
      </c>
      <c r="BR1381" s="510">
        <v>0</v>
      </c>
      <c r="BS1381" s="510">
        <v>0</v>
      </c>
      <c r="BT1381" s="510">
        <v>0</v>
      </c>
      <c r="BU1381" s="510">
        <v>0</v>
      </c>
      <c r="BV1381" s="510">
        <v>0</v>
      </c>
      <c r="BW1381" s="510">
        <v>0</v>
      </c>
      <c r="BX1381" s="510">
        <v>30000</v>
      </c>
      <c r="BY1381" s="1011">
        <v>0</v>
      </c>
      <c r="BZ1381" s="510">
        <v>0</v>
      </c>
      <c r="CA1381" s="1011">
        <v>0</v>
      </c>
      <c r="CB1381" s="510">
        <v>0</v>
      </c>
      <c r="CC1381" s="1011">
        <v>0</v>
      </c>
      <c r="CD1381" s="510">
        <v>0</v>
      </c>
      <c r="CE1381" s="1011">
        <v>0</v>
      </c>
      <c r="CF1381" s="510">
        <v>37334.400000000001</v>
      </c>
      <c r="CG1381" s="1011">
        <v>0</v>
      </c>
      <c r="CH1381" s="510">
        <v>0</v>
      </c>
      <c r="CI1381" s="1011">
        <v>0</v>
      </c>
    </row>
    <row r="1382" spans="1:87" x14ac:dyDescent="0.2">
      <c r="A1382" s="449">
        <v>26</v>
      </c>
      <c r="B1382" s="453">
        <v>400185</v>
      </c>
      <c r="C1382" s="454" t="s">
        <v>11176</v>
      </c>
      <c r="D1382" s="454" t="s">
        <v>4613</v>
      </c>
      <c r="E1382" s="454" t="s">
        <v>11177</v>
      </c>
      <c r="F1382" s="454" t="s">
        <v>526</v>
      </c>
      <c r="G1382" s="454" t="s">
        <v>14593</v>
      </c>
      <c r="H1382" s="455">
        <v>7961594000146</v>
      </c>
      <c r="I1382" s="462">
        <v>38812</v>
      </c>
      <c r="J1382" s="457">
        <v>37411381</v>
      </c>
      <c r="K1382" s="454" t="s">
        <v>11178</v>
      </c>
      <c r="L1382" s="458">
        <v>140</v>
      </c>
      <c r="M1382" s="454" t="s">
        <v>1838</v>
      </c>
      <c r="N1382" s="459">
        <v>8152060</v>
      </c>
      <c r="O1382" s="460">
        <v>25722620</v>
      </c>
      <c r="P1382" s="462">
        <v>114610</v>
      </c>
      <c r="Q1382" s="462">
        <v>26</v>
      </c>
      <c r="R1382" s="462">
        <v>43928</v>
      </c>
      <c r="S1382" s="463">
        <v>111</v>
      </c>
      <c r="T1382" s="464">
        <v>3.6</v>
      </c>
      <c r="U1382" s="465">
        <v>399.6</v>
      </c>
      <c r="V1382" s="465">
        <v>10800</v>
      </c>
      <c r="W1382" s="466">
        <v>0</v>
      </c>
      <c r="X1382" s="467">
        <v>1</v>
      </c>
      <c r="Y1382" s="466">
        <v>16799.400000000001</v>
      </c>
      <c r="Z1382" s="468" t="s">
        <v>516</v>
      </c>
      <c r="AA1382" s="466">
        <v>84263.4</v>
      </c>
      <c r="AB1382" s="466">
        <v>84263.4</v>
      </c>
      <c r="AC1382" s="467">
        <v>0</v>
      </c>
      <c r="AD1382" s="466">
        <v>0</v>
      </c>
      <c r="AE1382" s="468" t="s">
        <v>516</v>
      </c>
      <c r="AF1382" s="466">
        <v>0</v>
      </c>
      <c r="AG1382" s="466">
        <v>0</v>
      </c>
      <c r="AH1382" s="466">
        <v>10575.64</v>
      </c>
      <c r="AI1382" s="466">
        <v>0</v>
      </c>
      <c r="AJ1382" s="469" t="s">
        <v>1410</v>
      </c>
      <c r="AK1382" s="470" t="s">
        <v>1411</v>
      </c>
      <c r="AL1382" s="471" t="s">
        <v>11179</v>
      </c>
      <c r="AM1382" s="470" t="s">
        <v>14594</v>
      </c>
      <c r="AN1382" s="470" t="s">
        <v>1385</v>
      </c>
      <c r="AO1382" s="470" t="s">
        <v>11181</v>
      </c>
      <c r="AP1382" s="470" t="s">
        <v>11182</v>
      </c>
      <c r="AQ1382" s="470" t="s">
        <v>11176</v>
      </c>
      <c r="AR1382" s="472" t="s">
        <v>515</v>
      </c>
      <c r="AS1382" s="473" t="s">
        <v>1385</v>
      </c>
      <c r="AT1382" s="472" t="s">
        <v>4613</v>
      </c>
      <c r="AU1382" s="472" t="s">
        <v>420</v>
      </c>
      <c r="AV1382" s="472">
        <v>2020</v>
      </c>
      <c r="AW1382" s="474" t="s">
        <v>15078</v>
      </c>
      <c r="AX1382" s="475" t="s">
        <v>15079</v>
      </c>
      <c r="AY1382" s="515">
        <v>1</v>
      </c>
      <c r="AZ1382" s="474" t="s">
        <v>15079</v>
      </c>
      <c r="BA1382" s="472" t="s">
        <v>4613</v>
      </c>
      <c r="BB1382" s="472" t="s">
        <v>1385</v>
      </c>
      <c r="BC1382" s="472" t="s">
        <v>1385</v>
      </c>
      <c r="BD1382" s="472" t="s">
        <v>1385</v>
      </c>
      <c r="BE1382" s="472" t="s">
        <v>1385</v>
      </c>
      <c r="BF1382" s="472">
        <v>16799.400000000001</v>
      </c>
      <c r="BG1382" s="472">
        <v>0</v>
      </c>
      <c r="BH1382" s="472" t="s">
        <v>1385</v>
      </c>
      <c r="BI1382" s="510">
        <v>0</v>
      </c>
      <c r="BJ1382" s="510">
        <v>0</v>
      </c>
      <c r="BK1382" s="510">
        <v>0</v>
      </c>
      <c r="BL1382" s="510">
        <v>0</v>
      </c>
      <c r="BM1382" s="510">
        <v>0</v>
      </c>
      <c r="BN1382" s="510">
        <v>2000</v>
      </c>
      <c r="BO1382" s="510">
        <v>0</v>
      </c>
      <c r="BP1382" s="510">
        <v>0</v>
      </c>
      <c r="BQ1382" s="510">
        <v>0</v>
      </c>
      <c r="BR1382" s="510">
        <v>0</v>
      </c>
      <c r="BS1382" s="510">
        <v>0</v>
      </c>
      <c r="BT1382" s="510">
        <v>0</v>
      </c>
      <c r="BU1382" s="510">
        <v>0</v>
      </c>
      <c r="BV1382" s="510">
        <v>0</v>
      </c>
      <c r="BW1382" s="510">
        <v>0</v>
      </c>
      <c r="BX1382" s="510">
        <v>30000</v>
      </c>
      <c r="BY1382" s="1011">
        <v>0</v>
      </c>
      <c r="BZ1382" s="510">
        <v>0</v>
      </c>
      <c r="CA1382" s="1011">
        <v>0</v>
      </c>
      <c r="CB1382" s="510">
        <v>0</v>
      </c>
      <c r="CC1382" s="1011">
        <v>0</v>
      </c>
      <c r="CD1382" s="510">
        <v>0</v>
      </c>
      <c r="CE1382" s="1011">
        <v>0</v>
      </c>
      <c r="CF1382" s="510">
        <v>37464</v>
      </c>
      <c r="CG1382" s="1011">
        <v>0</v>
      </c>
      <c r="CH1382" s="510">
        <v>0</v>
      </c>
      <c r="CI1382" s="1011">
        <v>0</v>
      </c>
    </row>
    <row r="1383" spans="1:87" x14ac:dyDescent="0.2">
      <c r="A1383" s="449">
        <v>20</v>
      </c>
      <c r="B1383" s="453">
        <v>400186</v>
      </c>
      <c r="C1383" s="454" t="s">
        <v>11183</v>
      </c>
      <c r="D1383" s="454" t="s">
        <v>4613</v>
      </c>
      <c r="E1383" s="454" t="s">
        <v>11184</v>
      </c>
      <c r="F1383" s="454" t="s">
        <v>527</v>
      </c>
      <c r="G1383" s="454" t="s">
        <v>14595</v>
      </c>
      <c r="H1383" s="455">
        <v>8626443000102</v>
      </c>
      <c r="I1383" s="462">
        <v>39052</v>
      </c>
      <c r="J1383" s="457">
        <v>37585754</v>
      </c>
      <c r="K1383" s="454" t="s">
        <v>11185</v>
      </c>
      <c r="L1383" s="458">
        <v>210</v>
      </c>
      <c r="M1383" s="454" t="s">
        <v>2529</v>
      </c>
      <c r="N1383" s="459">
        <v>3043040</v>
      </c>
      <c r="O1383" s="460">
        <v>32084521</v>
      </c>
      <c r="P1383" s="462">
        <v>184309</v>
      </c>
      <c r="Q1383" s="462">
        <v>20</v>
      </c>
      <c r="R1383" s="462">
        <v>43917</v>
      </c>
      <c r="S1383" s="463">
        <v>131</v>
      </c>
      <c r="T1383" s="464">
        <v>3.6</v>
      </c>
      <c r="U1383" s="465">
        <v>471.6</v>
      </c>
      <c r="V1383" s="465">
        <v>10800</v>
      </c>
      <c r="W1383" s="466">
        <v>0</v>
      </c>
      <c r="X1383" s="467">
        <v>1</v>
      </c>
      <c r="Y1383" s="466">
        <v>16907.400000000001</v>
      </c>
      <c r="Z1383" s="468" t="s">
        <v>516</v>
      </c>
      <c r="AA1383" s="466">
        <v>84544.2</v>
      </c>
      <c r="AB1383" s="466">
        <v>84544.2</v>
      </c>
      <c r="AC1383" s="467">
        <v>0</v>
      </c>
      <c r="AD1383" s="466">
        <v>0</v>
      </c>
      <c r="AE1383" s="468" t="s">
        <v>516</v>
      </c>
      <c r="AF1383" s="466">
        <v>0</v>
      </c>
      <c r="AG1383" s="466">
        <v>0</v>
      </c>
      <c r="AH1383" s="466">
        <v>5069.5</v>
      </c>
      <c r="AI1383" s="466">
        <v>3455.39</v>
      </c>
      <c r="AJ1383" s="469" t="s">
        <v>11186</v>
      </c>
      <c r="AK1383" s="470" t="s">
        <v>2529</v>
      </c>
      <c r="AL1383" s="471" t="s">
        <v>11187</v>
      </c>
      <c r="AM1383" s="470" t="s">
        <v>11188</v>
      </c>
      <c r="AN1383" s="470" t="s">
        <v>14595</v>
      </c>
      <c r="AO1383" s="470" t="s">
        <v>14596</v>
      </c>
      <c r="AP1383" s="470" t="s">
        <v>11189</v>
      </c>
      <c r="AQ1383" s="470" t="s">
        <v>11183</v>
      </c>
      <c r="AR1383" s="472" t="s">
        <v>515</v>
      </c>
      <c r="AS1383" s="473" t="s">
        <v>1385</v>
      </c>
      <c r="AT1383" s="472" t="s">
        <v>4613</v>
      </c>
      <c r="AU1383" s="472" t="s">
        <v>420</v>
      </c>
      <c r="AV1383" s="472">
        <v>2020</v>
      </c>
      <c r="AW1383" s="474" t="s">
        <v>15078</v>
      </c>
      <c r="AX1383" s="475" t="s">
        <v>15079</v>
      </c>
      <c r="AY1383" s="515">
        <v>1</v>
      </c>
      <c r="AZ1383" s="474" t="s">
        <v>15079</v>
      </c>
      <c r="BA1383" s="472" t="s">
        <v>4613</v>
      </c>
      <c r="BB1383" s="472" t="s">
        <v>1385</v>
      </c>
      <c r="BC1383" s="472" t="s">
        <v>1385</v>
      </c>
      <c r="BD1383" s="509" t="s">
        <v>1385</v>
      </c>
      <c r="BE1383" s="472" t="s">
        <v>1385</v>
      </c>
      <c r="BF1383" s="509">
        <v>16907.400000000001</v>
      </c>
      <c r="BG1383" s="472">
        <v>0</v>
      </c>
      <c r="BH1383" s="472" t="s">
        <v>1385</v>
      </c>
      <c r="BI1383" s="510">
        <v>0</v>
      </c>
      <c r="BJ1383" s="510">
        <v>279.2</v>
      </c>
      <c r="BK1383" s="510">
        <v>0</v>
      </c>
      <c r="BL1383" s="510">
        <v>0</v>
      </c>
      <c r="BM1383" s="510">
        <v>0</v>
      </c>
      <c r="BN1383" s="510">
        <v>2000</v>
      </c>
      <c r="BO1383" s="510">
        <v>0</v>
      </c>
      <c r="BP1383" s="510">
        <v>0</v>
      </c>
      <c r="BQ1383" s="510">
        <v>0</v>
      </c>
      <c r="BR1383" s="510">
        <v>0</v>
      </c>
      <c r="BS1383" s="510">
        <v>0</v>
      </c>
      <c r="BT1383" s="510">
        <v>0</v>
      </c>
      <c r="BU1383" s="510">
        <v>0</v>
      </c>
      <c r="BV1383" s="510">
        <v>0</v>
      </c>
      <c r="BW1383" s="510">
        <v>0</v>
      </c>
      <c r="BX1383" s="510">
        <v>30000</v>
      </c>
      <c r="BY1383" s="1011">
        <v>0</v>
      </c>
      <c r="BZ1383" s="510">
        <v>0</v>
      </c>
      <c r="CA1383" s="1011">
        <v>0</v>
      </c>
      <c r="CB1383" s="510">
        <v>0</v>
      </c>
      <c r="CC1383" s="1011">
        <v>0</v>
      </c>
      <c r="CD1383" s="510">
        <v>0</v>
      </c>
      <c r="CE1383" s="1011">
        <v>0</v>
      </c>
      <c r="CF1383" s="510">
        <v>37636.800000000003</v>
      </c>
      <c r="CG1383" s="1011">
        <v>0</v>
      </c>
      <c r="CH1383" s="510">
        <v>0</v>
      </c>
      <c r="CI1383" s="1011">
        <v>0</v>
      </c>
    </row>
    <row r="1384" spans="1:87" x14ac:dyDescent="0.2">
      <c r="A1384" s="449">
        <v>20</v>
      </c>
      <c r="B1384" s="453">
        <v>400187</v>
      </c>
      <c r="C1384" s="454" t="s">
        <v>11190</v>
      </c>
      <c r="D1384" s="454" t="s">
        <v>4613</v>
      </c>
      <c r="E1384" s="454" t="s">
        <v>11191</v>
      </c>
      <c r="F1384" s="454" t="s">
        <v>523</v>
      </c>
      <c r="G1384" s="454" t="s">
        <v>14597</v>
      </c>
      <c r="H1384" s="455">
        <v>7953332000130</v>
      </c>
      <c r="I1384" s="462">
        <v>38814</v>
      </c>
      <c r="J1384" s="457">
        <v>37621297</v>
      </c>
      <c r="K1384" s="454" t="s">
        <v>11192</v>
      </c>
      <c r="L1384" s="458">
        <v>312</v>
      </c>
      <c r="M1384" s="454" t="s">
        <v>11193</v>
      </c>
      <c r="N1384" s="459">
        <v>8431160</v>
      </c>
      <c r="O1384" s="460">
        <v>20357921</v>
      </c>
      <c r="P1384" s="462">
        <v>267611</v>
      </c>
      <c r="Q1384" s="462">
        <v>20</v>
      </c>
      <c r="R1384" s="462">
        <v>43921</v>
      </c>
      <c r="S1384" s="463">
        <v>224</v>
      </c>
      <c r="T1384" s="464">
        <v>3.6</v>
      </c>
      <c r="U1384" s="465">
        <v>806.4</v>
      </c>
      <c r="V1384" s="465">
        <v>11760</v>
      </c>
      <c r="W1384" s="466">
        <v>0</v>
      </c>
      <c r="X1384" s="467">
        <v>1</v>
      </c>
      <c r="Y1384" s="466">
        <v>18849.599999999999</v>
      </c>
      <c r="Z1384" s="468" t="s">
        <v>516</v>
      </c>
      <c r="AA1384" s="466">
        <v>88982.399999999994</v>
      </c>
      <c r="AB1384" s="466">
        <v>88982.399999999994</v>
      </c>
      <c r="AC1384" s="467">
        <v>0</v>
      </c>
      <c r="AD1384" s="466">
        <v>0</v>
      </c>
      <c r="AE1384" s="468" t="s">
        <v>516</v>
      </c>
      <c r="AF1384" s="466">
        <v>0</v>
      </c>
      <c r="AG1384" s="466">
        <v>0</v>
      </c>
      <c r="AH1384" s="466">
        <v>23521.58</v>
      </c>
      <c r="AI1384" s="466">
        <v>0</v>
      </c>
      <c r="AJ1384" s="469" t="s">
        <v>1395</v>
      </c>
      <c r="AK1384" s="470" t="s">
        <v>523</v>
      </c>
      <c r="AL1384" s="471" t="s">
        <v>11194</v>
      </c>
      <c r="AM1384" s="470" t="s">
        <v>11195</v>
      </c>
      <c r="AN1384" s="470" t="s">
        <v>1385</v>
      </c>
      <c r="AO1384" s="470" t="s">
        <v>14598</v>
      </c>
      <c r="AP1384" s="470" t="s">
        <v>11196</v>
      </c>
      <c r="AQ1384" s="470" t="s">
        <v>11190</v>
      </c>
      <c r="AR1384" s="472" t="s">
        <v>515</v>
      </c>
      <c r="AS1384" s="473" t="s">
        <v>1385</v>
      </c>
      <c r="AT1384" s="472" t="s">
        <v>4613</v>
      </c>
      <c r="AU1384" s="472" t="s">
        <v>420</v>
      </c>
      <c r="AV1384" s="472">
        <v>2020</v>
      </c>
      <c r="AW1384" s="474" t="s">
        <v>15078</v>
      </c>
      <c r="AX1384" s="475" t="s">
        <v>15079</v>
      </c>
      <c r="AY1384" s="515">
        <v>1</v>
      </c>
      <c r="AZ1384" s="474" t="s">
        <v>15079</v>
      </c>
      <c r="BA1384" s="472" t="s">
        <v>4613</v>
      </c>
      <c r="BB1384" s="472" t="s">
        <v>1385</v>
      </c>
      <c r="BC1384" s="472" t="s">
        <v>1385</v>
      </c>
      <c r="BD1384" s="472" t="s">
        <v>1385</v>
      </c>
      <c r="BE1384" s="472" t="s">
        <v>1385</v>
      </c>
      <c r="BF1384" s="472">
        <v>18849.599999999999</v>
      </c>
      <c r="BG1384" s="472">
        <v>0</v>
      </c>
      <c r="BH1384" s="472" t="s">
        <v>1385</v>
      </c>
      <c r="BI1384" s="510">
        <v>0</v>
      </c>
      <c r="BJ1384" s="510">
        <v>0</v>
      </c>
      <c r="BK1384" s="510">
        <v>0</v>
      </c>
      <c r="BL1384" s="510">
        <v>0</v>
      </c>
      <c r="BM1384" s="510">
        <v>0</v>
      </c>
      <c r="BN1384" s="510">
        <v>2000</v>
      </c>
      <c r="BO1384" s="510">
        <v>0</v>
      </c>
      <c r="BP1384" s="510">
        <v>0</v>
      </c>
      <c r="BQ1384" s="510">
        <v>0</v>
      </c>
      <c r="BR1384" s="510">
        <v>0</v>
      </c>
      <c r="BS1384" s="510">
        <v>0</v>
      </c>
      <c r="BT1384" s="510">
        <v>0</v>
      </c>
      <c r="BU1384" s="510">
        <v>0</v>
      </c>
      <c r="BV1384" s="510">
        <v>0</v>
      </c>
      <c r="BW1384" s="510">
        <v>0</v>
      </c>
      <c r="BX1384" s="510">
        <v>30000</v>
      </c>
      <c r="BY1384" s="1011">
        <v>0</v>
      </c>
      <c r="BZ1384" s="510">
        <v>0</v>
      </c>
      <c r="CA1384" s="1011">
        <v>0</v>
      </c>
      <c r="CB1384" s="510">
        <v>0</v>
      </c>
      <c r="CC1384" s="1011">
        <v>0</v>
      </c>
      <c r="CD1384" s="510">
        <v>0</v>
      </c>
      <c r="CE1384" s="1011">
        <v>0</v>
      </c>
      <c r="CF1384" s="510">
        <v>40132.800000000003</v>
      </c>
      <c r="CG1384" s="1011">
        <v>0</v>
      </c>
      <c r="CH1384" s="510">
        <v>0</v>
      </c>
      <c r="CI1384" s="1011">
        <v>0</v>
      </c>
    </row>
    <row r="1385" spans="1:87" x14ac:dyDescent="0.2">
      <c r="A1385" s="449">
        <v>27</v>
      </c>
      <c r="B1385" s="453">
        <v>400188</v>
      </c>
      <c r="C1385" s="454" t="s">
        <v>11197</v>
      </c>
      <c r="D1385" s="454" t="s">
        <v>4613</v>
      </c>
      <c r="E1385" s="454" t="s">
        <v>11198</v>
      </c>
      <c r="F1385" s="454" t="s">
        <v>526</v>
      </c>
      <c r="G1385" s="454" t="s">
        <v>14599</v>
      </c>
      <c r="H1385" s="455">
        <v>8466632000157</v>
      </c>
      <c r="I1385" s="462">
        <v>39031</v>
      </c>
      <c r="J1385" s="457">
        <v>37411497</v>
      </c>
      <c r="K1385" s="454" t="s">
        <v>7904</v>
      </c>
      <c r="L1385" s="458">
        <v>430</v>
      </c>
      <c r="M1385" s="454" t="s">
        <v>11199</v>
      </c>
      <c r="N1385" s="459">
        <v>8042080</v>
      </c>
      <c r="O1385" s="460">
        <v>20523893</v>
      </c>
      <c r="P1385" s="462">
        <v>129626</v>
      </c>
      <c r="Q1385" s="462">
        <v>27</v>
      </c>
      <c r="R1385" s="462">
        <v>43928</v>
      </c>
      <c r="S1385" s="463">
        <v>139</v>
      </c>
      <c r="T1385" s="464">
        <v>3.6</v>
      </c>
      <c r="U1385" s="465">
        <v>500.4</v>
      </c>
      <c r="V1385" s="465">
        <v>10800</v>
      </c>
      <c r="W1385" s="466">
        <v>0</v>
      </c>
      <c r="X1385" s="467">
        <v>1</v>
      </c>
      <c r="Y1385" s="466">
        <v>16950.599999999999</v>
      </c>
      <c r="Z1385" s="468" t="s">
        <v>516</v>
      </c>
      <c r="AA1385" s="466">
        <v>84501</v>
      </c>
      <c r="AB1385" s="466">
        <v>84501</v>
      </c>
      <c r="AC1385" s="467">
        <v>0</v>
      </c>
      <c r="AD1385" s="466">
        <v>0</v>
      </c>
      <c r="AE1385" s="468" t="s">
        <v>516</v>
      </c>
      <c r="AF1385" s="466">
        <v>0</v>
      </c>
      <c r="AG1385" s="466">
        <v>0</v>
      </c>
      <c r="AH1385" s="466">
        <v>7193.68</v>
      </c>
      <c r="AI1385" s="466">
        <v>6784.89</v>
      </c>
      <c r="AJ1385" s="469" t="s">
        <v>1839</v>
      </c>
      <c r="AK1385" s="470" t="s">
        <v>526</v>
      </c>
      <c r="AL1385" s="471" t="s">
        <v>11200</v>
      </c>
      <c r="AM1385" s="470" t="s">
        <v>11201</v>
      </c>
      <c r="AN1385" s="470" t="s">
        <v>1385</v>
      </c>
      <c r="AO1385" s="470" t="s">
        <v>11202</v>
      </c>
      <c r="AP1385" s="470" t="s">
        <v>11203</v>
      </c>
      <c r="AQ1385" s="470" t="s">
        <v>11197</v>
      </c>
      <c r="AR1385" s="472" t="s">
        <v>515</v>
      </c>
      <c r="AS1385" s="473" t="s">
        <v>1385</v>
      </c>
      <c r="AT1385" s="472" t="s">
        <v>4613</v>
      </c>
      <c r="AU1385" s="472" t="s">
        <v>420</v>
      </c>
      <c r="AV1385" s="472">
        <v>2020</v>
      </c>
      <c r="AW1385" s="474" t="s">
        <v>15078</v>
      </c>
      <c r="AX1385" s="475" t="s">
        <v>15079</v>
      </c>
      <c r="AY1385" s="515">
        <v>1</v>
      </c>
      <c r="AZ1385" s="474" t="s">
        <v>15079</v>
      </c>
      <c r="BA1385" s="472" t="s">
        <v>4613</v>
      </c>
      <c r="BB1385" s="472" t="s">
        <v>1385</v>
      </c>
      <c r="BC1385" s="472" t="s">
        <v>1385</v>
      </c>
      <c r="BD1385" s="472" t="s">
        <v>1385</v>
      </c>
      <c r="BE1385" s="472" t="s">
        <v>1385</v>
      </c>
      <c r="BF1385" s="472">
        <v>16950.599999999999</v>
      </c>
      <c r="BG1385" s="472">
        <v>0</v>
      </c>
      <c r="BH1385" s="472" t="s">
        <v>1385</v>
      </c>
      <c r="BI1385" s="510">
        <v>0</v>
      </c>
      <c r="BJ1385" s="510">
        <v>0</v>
      </c>
      <c r="BK1385" s="510">
        <v>0</v>
      </c>
      <c r="BL1385" s="510">
        <v>0</v>
      </c>
      <c r="BM1385" s="510">
        <v>0</v>
      </c>
      <c r="BN1385" s="510">
        <v>2000</v>
      </c>
      <c r="BO1385" s="510">
        <v>0</v>
      </c>
      <c r="BP1385" s="510">
        <v>0</v>
      </c>
      <c r="BQ1385" s="510">
        <v>0</v>
      </c>
      <c r="BR1385" s="510">
        <v>0</v>
      </c>
      <c r="BS1385" s="510">
        <v>0</v>
      </c>
      <c r="BT1385" s="510">
        <v>0</v>
      </c>
      <c r="BU1385" s="510">
        <v>0</v>
      </c>
      <c r="BV1385" s="510">
        <v>0</v>
      </c>
      <c r="BW1385" s="510">
        <v>0</v>
      </c>
      <c r="BX1385" s="510">
        <v>30000</v>
      </c>
      <c r="BY1385" s="1011">
        <v>0</v>
      </c>
      <c r="BZ1385" s="510">
        <v>0</v>
      </c>
      <c r="CA1385" s="1011">
        <v>0</v>
      </c>
      <c r="CB1385" s="510">
        <v>0</v>
      </c>
      <c r="CC1385" s="1011">
        <v>0</v>
      </c>
      <c r="CD1385" s="510">
        <v>0</v>
      </c>
      <c r="CE1385" s="1011">
        <v>0</v>
      </c>
      <c r="CF1385" s="510">
        <v>37550.400000000001</v>
      </c>
      <c r="CG1385" s="1011">
        <v>0</v>
      </c>
      <c r="CH1385" s="510">
        <v>0</v>
      </c>
      <c r="CI1385" s="1011">
        <v>0</v>
      </c>
    </row>
    <row r="1386" spans="1:87" x14ac:dyDescent="0.2">
      <c r="A1386" s="449">
        <v>28</v>
      </c>
      <c r="B1386" s="453">
        <v>400189</v>
      </c>
      <c r="C1386" s="454" t="s">
        <v>11204</v>
      </c>
      <c r="D1386" s="454" t="s">
        <v>4613</v>
      </c>
      <c r="E1386" s="454" t="s">
        <v>11205</v>
      </c>
      <c r="F1386" s="454" t="s">
        <v>526</v>
      </c>
      <c r="G1386" s="454" t="s">
        <v>14600</v>
      </c>
      <c r="H1386" s="455">
        <v>8314930000121</v>
      </c>
      <c r="I1386" s="462">
        <v>38968</v>
      </c>
      <c r="J1386" s="457">
        <v>37411691</v>
      </c>
      <c r="K1386" s="454" t="s">
        <v>11206</v>
      </c>
      <c r="L1386" s="458">
        <v>376</v>
      </c>
      <c r="M1386" s="454" t="s">
        <v>11207</v>
      </c>
      <c r="N1386" s="459">
        <v>8130330</v>
      </c>
      <c r="O1386" s="460">
        <v>25721028</v>
      </c>
      <c r="P1386" s="462">
        <v>114440</v>
      </c>
      <c r="Q1386" s="462">
        <v>28</v>
      </c>
      <c r="R1386" s="462">
        <v>43928</v>
      </c>
      <c r="S1386" s="463">
        <v>131</v>
      </c>
      <c r="T1386" s="464">
        <v>3.6</v>
      </c>
      <c r="U1386" s="465">
        <v>471.6</v>
      </c>
      <c r="V1386" s="465">
        <v>10800</v>
      </c>
      <c r="W1386" s="466">
        <v>0</v>
      </c>
      <c r="X1386" s="467">
        <v>1</v>
      </c>
      <c r="Y1386" s="466">
        <v>16907.400000000001</v>
      </c>
      <c r="Z1386" s="468" t="s">
        <v>516</v>
      </c>
      <c r="AA1386" s="466">
        <v>84385.8</v>
      </c>
      <c r="AB1386" s="466">
        <v>84385.8</v>
      </c>
      <c r="AC1386" s="467">
        <v>0</v>
      </c>
      <c r="AD1386" s="466">
        <v>0</v>
      </c>
      <c r="AE1386" s="468" t="s">
        <v>516</v>
      </c>
      <c r="AF1386" s="466">
        <v>0</v>
      </c>
      <c r="AG1386" s="466">
        <v>0</v>
      </c>
      <c r="AH1386" s="466">
        <v>9849.8799999999992</v>
      </c>
      <c r="AI1386" s="466">
        <v>2289.4299999999998</v>
      </c>
      <c r="AJ1386" s="469" t="s">
        <v>1839</v>
      </c>
      <c r="AK1386" s="470" t="s">
        <v>526</v>
      </c>
      <c r="AL1386" s="471" t="s">
        <v>11208</v>
      </c>
      <c r="AM1386" s="470" t="s">
        <v>14601</v>
      </c>
      <c r="AN1386" s="470" t="s">
        <v>1385</v>
      </c>
      <c r="AO1386" s="470" t="s">
        <v>14602</v>
      </c>
      <c r="AP1386" s="470" t="s">
        <v>11210</v>
      </c>
      <c r="AQ1386" s="470" t="s">
        <v>11204</v>
      </c>
      <c r="AR1386" s="472" t="s">
        <v>515</v>
      </c>
      <c r="AS1386" s="473" t="s">
        <v>1385</v>
      </c>
      <c r="AT1386" s="472" t="s">
        <v>4613</v>
      </c>
      <c r="AU1386" s="472" t="s">
        <v>420</v>
      </c>
      <c r="AV1386" s="472">
        <v>2020</v>
      </c>
      <c r="AW1386" s="474" t="s">
        <v>15078</v>
      </c>
      <c r="AX1386" s="475" t="s">
        <v>15079</v>
      </c>
      <c r="AY1386" s="515">
        <v>1</v>
      </c>
      <c r="AZ1386" s="474" t="s">
        <v>15079</v>
      </c>
      <c r="BA1386" s="472" t="s">
        <v>4613</v>
      </c>
      <c r="BB1386" s="472" t="s">
        <v>1385</v>
      </c>
      <c r="BC1386" s="472" t="s">
        <v>1385</v>
      </c>
      <c r="BD1386" s="472" t="s">
        <v>1385</v>
      </c>
      <c r="BE1386" s="472" t="s">
        <v>1385</v>
      </c>
      <c r="BF1386" s="472">
        <v>16907.400000000001</v>
      </c>
      <c r="BG1386" s="472">
        <v>0</v>
      </c>
      <c r="BH1386" s="472" t="s">
        <v>1385</v>
      </c>
      <c r="BI1386" s="510">
        <v>0</v>
      </c>
      <c r="BJ1386" s="510">
        <v>3499.2</v>
      </c>
      <c r="BK1386" s="510">
        <v>0</v>
      </c>
      <c r="BL1386" s="510">
        <v>0</v>
      </c>
      <c r="BM1386" s="510">
        <v>0</v>
      </c>
      <c r="BN1386" s="510">
        <v>2000</v>
      </c>
      <c r="BO1386" s="510">
        <v>0</v>
      </c>
      <c r="BP1386" s="510">
        <v>0</v>
      </c>
      <c r="BQ1386" s="510">
        <v>0</v>
      </c>
      <c r="BR1386" s="510">
        <v>0</v>
      </c>
      <c r="BS1386" s="510">
        <v>0</v>
      </c>
      <c r="BT1386" s="510">
        <v>0</v>
      </c>
      <c r="BU1386" s="510">
        <v>0</v>
      </c>
      <c r="BV1386" s="510">
        <v>0</v>
      </c>
      <c r="BW1386" s="510">
        <v>0</v>
      </c>
      <c r="BX1386" s="510">
        <v>30000</v>
      </c>
      <c r="BY1386" s="1011">
        <v>0</v>
      </c>
      <c r="BZ1386" s="510">
        <v>0</v>
      </c>
      <c r="CA1386" s="1011">
        <v>0</v>
      </c>
      <c r="CB1386" s="510">
        <v>0</v>
      </c>
      <c r="CC1386" s="1011">
        <v>0</v>
      </c>
      <c r="CD1386" s="510">
        <v>0</v>
      </c>
      <c r="CE1386" s="1011">
        <v>0</v>
      </c>
      <c r="CF1386" s="510">
        <v>37478.400000000001</v>
      </c>
      <c r="CG1386" s="1011">
        <v>0</v>
      </c>
      <c r="CH1386" s="510">
        <v>0</v>
      </c>
      <c r="CI1386" s="1011">
        <v>0</v>
      </c>
    </row>
    <row r="1387" spans="1:87" x14ac:dyDescent="0.2">
      <c r="A1387" s="449">
        <v>30</v>
      </c>
      <c r="B1387" s="453">
        <v>400190</v>
      </c>
      <c r="C1387" s="454" t="s">
        <v>11211</v>
      </c>
      <c r="D1387" s="454" t="s">
        <v>4613</v>
      </c>
      <c r="E1387" s="454" t="s">
        <v>11211</v>
      </c>
      <c r="F1387" s="454" t="s">
        <v>520</v>
      </c>
      <c r="G1387" s="454" t="s">
        <v>14603</v>
      </c>
      <c r="H1387" s="455">
        <v>9224808000127</v>
      </c>
      <c r="I1387" s="462">
        <v>39384</v>
      </c>
      <c r="J1387" s="457">
        <v>37620592</v>
      </c>
      <c r="K1387" s="454" t="s">
        <v>11169</v>
      </c>
      <c r="L1387" s="458">
        <v>60</v>
      </c>
      <c r="M1387" s="454" t="s">
        <v>11170</v>
      </c>
      <c r="N1387" s="459">
        <v>5788230</v>
      </c>
      <c r="O1387" s="460">
        <v>58412434</v>
      </c>
      <c r="P1387" s="462">
        <v>293256</v>
      </c>
      <c r="Q1387" s="462">
        <v>30</v>
      </c>
      <c r="R1387" s="462">
        <v>43969</v>
      </c>
      <c r="S1387" s="463">
        <v>115</v>
      </c>
      <c r="T1387" s="464">
        <v>3.6</v>
      </c>
      <c r="U1387" s="465">
        <v>414</v>
      </c>
      <c r="V1387" s="465">
        <v>10800</v>
      </c>
      <c r="W1387" s="466">
        <v>0</v>
      </c>
      <c r="X1387" s="467">
        <v>1</v>
      </c>
      <c r="Y1387" s="466">
        <v>16821</v>
      </c>
      <c r="Z1387" s="468" t="s">
        <v>516</v>
      </c>
      <c r="AA1387" s="466">
        <v>84119.4</v>
      </c>
      <c r="AB1387" s="466">
        <v>84119.4</v>
      </c>
      <c r="AC1387" s="467">
        <v>0</v>
      </c>
      <c r="AD1387" s="466">
        <v>0</v>
      </c>
      <c r="AE1387" s="468" t="s">
        <v>516</v>
      </c>
      <c r="AF1387" s="466">
        <v>0</v>
      </c>
      <c r="AG1387" s="466">
        <v>0</v>
      </c>
      <c r="AH1387" s="466">
        <v>12520.08</v>
      </c>
      <c r="AI1387" s="466">
        <v>10186.530000000001</v>
      </c>
      <c r="AJ1387" s="469" t="s">
        <v>1515</v>
      </c>
      <c r="AK1387" s="470" t="s">
        <v>1516</v>
      </c>
      <c r="AL1387" s="471" t="s">
        <v>11213</v>
      </c>
      <c r="AM1387" s="470" t="s">
        <v>14604</v>
      </c>
      <c r="AN1387" s="470" t="s">
        <v>11212</v>
      </c>
      <c r="AO1387" s="470" t="s">
        <v>11214</v>
      </c>
      <c r="AP1387" s="470" t="s">
        <v>1702</v>
      </c>
      <c r="AQ1387" s="470" t="s">
        <v>11211</v>
      </c>
      <c r="AR1387" s="472" t="s">
        <v>515</v>
      </c>
      <c r="AS1387" s="473" t="s">
        <v>1385</v>
      </c>
      <c r="AT1387" s="472" t="s">
        <v>4613</v>
      </c>
      <c r="AU1387" s="472" t="s">
        <v>420</v>
      </c>
      <c r="AV1387" s="472">
        <v>2020</v>
      </c>
      <c r="AW1387" s="474" t="s">
        <v>15078</v>
      </c>
      <c r="AX1387" s="475" t="s">
        <v>15079</v>
      </c>
      <c r="AY1387" s="515">
        <v>1</v>
      </c>
      <c r="AZ1387" s="474" t="s">
        <v>15079</v>
      </c>
      <c r="BA1387" s="472" t="s">
        <v>4613</v>
      </c>
      <c r="BB1387" s="472" t="s">
        <v>1385</v>
      </c>
      <c r="BC1387" s="472" t="s">
        <v>1385</v>
      </c>
      <c r="BD1387" s="472" t="s">
        <v>1385</v>
      </c>
      <c r="BE1387" s="472" t="s">
        <v>1385</v>
      </c>
      <c r="BF1387" s="472">
        <v>16821</v>
      </c>
      <c r="BG1387" s="472">
        <v>0</v>
      </c>
      <c r="BH1387" s="472" t="s">
        <v>1385</v>
      </c>
      <c r="BI1387" s="510">
        <v>0</v>
      </c>
      <c r="BJ1387" s="510">
        <v>81.599999999999994</v>
      </c>
      <c r="BK1387" s="510">
        <v>0</v>
      </c>
      <c r="BL1387" s="510">
        <v>0</v>
      </c>
      <c r="BM1387" s="510">
        <v>0</v>
      </c>
      <c r="BN1387" s="510">
        <v>2000</v>
      </c>
      <c r="BO1387" s="510">
        <v>0</v>
      </c>
      <c r="BP1387" s="510">
        <v>0</v>
      </c>
      <c r="BQ1387" s="510">
        <v>0</v>
      </c>
      <c r="BR1387" s="510">
        <v>0</v>
      </c>
      <c r="BS1387" s="510">
        <v>0</v>
      </c>
      <c r="BT1387" s="510">
        <v>0</v>
      </c>
      <c r="BU1387" s="510">
        <v>0</v>
      </c>
      <c r="BV1387" s="510">
        <v>0</v>
      </c>
      <c r="BW1387" s="510">
        <v>0</v>
      </c>
      <c r="BX1387" s="510">
        <v>30000</v>
      </c>
      <c r="BY1387" s="1011">
        <v>0</v>
      </c>
      <c r="BZ1387" s="510">
        <v>0</v>
      </c>
      <c r="CA1387" s="1011">
        <v>0</v>
      </c>
      <c r="CB1387" s="510">
        <v>0</v>
      </c>
      <c r="CC1387" s="1011">
        <v>0</v>
      </c>
      <c r="CD1387" s="510">
        <v>0</v>
      </c>
      <c r="CE1387" s="1011">
        <v>0</v>
      </c>
      <c r="CF1387" s="510">
        <v>37298.400000000001</v>
      </c>
      <c r="CG1387" s="1011">
        <v>0</v>
      </c>
      <c r="CH1387" s="510">
        <v>0</v>
      </c>
      <c r="CI1387" s="1011">
        <v>0</v>
      </c>
    </row>
    <row r="1388" spans="1:87" x14ac:dyDescent="0.2">
      <c r="A1388" s="449">
        <v>8</v>
      </c>
      <c r="B1388" s="453">
        <v>400191</v>
      </c>
      <c r="C1388" s="454" t="s">
        <v>11215</v>
      </c>
      <c r="D1388" s="454" t="s">
        <v>4613</v>
      </c>
      <c r="E1388" s="454" t="s">
        <v>11216</v>
      </c>
      <c r="F1388" s="454" t="s">
        <v>529</v>
      </c>
      <c r="G1388" s="454" t="s">
        <v>14605</v>
      </c>
      <c r="H1388" s="455">
        <v>7447033000123</v>
      </c>
      <c r="I1388" s="462">
        <v>38273</v>
      </c>
      <c r="J1388" s="457">
        <v>37523686</v>
      </c>
      <c r="K1388" s="454" t="s">
        <v>11217</v>
      </c>
      <c r="L1388" s="458">
        <v>85</v>
      </c>
      <c r="M1388" s="454" t="s">
        <v>1789</v>
      </c>
      <c r="N1388" s="459">
        <v>4434030</v>
      </c>
      <c r="O1388" s="460">
        <v>56211595</v>
      </c>
      <c r="P1388" s="462">
        <v>563210</v>
      </c>
      <c r="Q1388" s="462">
        <v>13</v>
      </c>
      <c r="R1388" s="462">
        <v>43921</v>
      </c>
      <c r="S1388" s="463">
        <v>233</v>
      </c>
      <c r="T1388" s="464">
        <v>3.6</v>
      </c>
      <c r="U1388" s="465">
        <v>838.8</v>
      </c>
      <c r="V1388" s="465">
        <v>11760</v>
      </c>
      <c r="W1388" s="466">
        <v>0</v>
      </c>
      <c r="X1388" s="467">
        <v>1</v>
      </c>
      <c r="Y1388" s="466">
        <v>18898.2</v>
      </c>
      <c r="Z1388" s="468" t="s">
        <v>516</v>
      </c>
      <c r="AA1388" s="466">
        <v>89139</v>
      </c>
      <c r="AB1388" s="466">
        <v>89139</v>
      </c>
      <c r="AC1388" s="467">
        <v>0</v>
      </c>
      <c r="AD1388" s="466">
        <v>0</v>
      </c>
      <c r="AE1388" s="468" t="s">
        <v>516</v>
      </c>
      <c r="AF1388" s="466">
        <v>0</v>
      </c>
      <c r="AG1388" s="466">
        <v>0</v>
      </c>
      <c r="AH1388" s="466">
        <v>13516.82</v>
      </c>
      <c r="AI1388" s="466">
        <v>2519.7600000000002</v>
      </c>
      <c r="AJ1388" s="469" t="s">
        <v>1481</v>
      </c>
      <c r="AK1388" s="470" t="s">
        <v>1482</v>
      </c>
      <c r="AL1388" s="471" t="s">
        <v>11218</v>
      </c>
      <c r="AM1388" s="470" t="s">
        <v>14606</v>
      </c>
      <c r="AN1388" s="470" t="s">
        <v>14605</v>
      </c>
      <c r="AO1388" s="470" t="s">
        <v>11219</v>
      </c>
      <c r="AP1388" s="470" t="s">
        <v>11220</v>
      </c>
      <c r="AQ1388" s="470" t="s">
        <v>11215</v>
      </c>
      <c r="AR1388" s="472" t="s">
        <v>515</v>
      </c>
      <c r="AS1388" s="473" t="s">
        <v>1385</v>
      </c>
      <c r="AT1388" s="472" t="s">
        <v>4613</v>
      </c>
      <c r="AU1388" s="472" t="s">
        <v>420</v>
      </c>
      <c r="AV1388" s="472">
        <v>2020</v>
      </c>
      <c r="AW1388" s="474" t="s">
        <v>15078</v>
      </c>
      <c r="AX1388" s="475" t="s">
        <v>15079</v>
      </c>
      <c r="AY1388" s="515">
        <v>1</v>
      </c>
      <c r="AZ1388" s="474" t="s">
        <v>15079</v>
      </c>
      <c r="BA1388" s="472" t="s">
        <v>4613</v>
      </c>
      <c r="BB1388" s="472" t="s">
        <v>1385</v>
      </c>
      <c r="BC1388" s="472" t="s">
        <v>1385</v>
      </c>
      <c r="BD1388" s="472" t="s">
        <v>1385</v>
      </c>
      <c r="BE1388" s="472" t="s">
        <v>1385</v>
      </c>
      <c r="BF1388" s="472">
        <v>18898.2</v>
      </c>
      <c r="BG1388" s="472">
        <v>0</v>
      </c>
      <c r="BH1388" s="472" t="s">
        <v>1385</v>
      </c>
      <c r="BI1388" s="510">
        <v>0</v>
      </c>
      <c r="BJ1388" s="510">
        <v>3431.38</v>
      </c>
      <c r="BK1388" s="510">
        <v>0</v>
      </c>
      <c r="BL1388" s="510">
        <v>0</v>
      </c>
      <c r="BM1388" s="510">
        <v>0</v>
      </c>
      <c r="BN1388" s="510">
        <v>2000</v>
      </c>
      <c r="BO1388" s="510">
        <v>0</v>
      </c>
      <c r="BP1388" s="510">
        <v>0</v>
      </c>
      <c r="BQ1388" s="510">
        <v>0</v>
      </c>
      <c r="BR1388" s="510">
        <v>0</v>
      </c>
      <c r="BS1388" s="510">
        <v>0</v>
      </c>
      <c r="BT1388" s="510">
        <v>0</v>
      </c>
      <c r="BU1388" s="510">
        <v>0</v>
      </c>
      <c r="BV1388" s="510">
        <v>0</v>
      </c>
      <c r="BW1388" s="510">
        <v>0</v>
      </c>
      <c r="BX1388" s="510">
        <v>30000</v>
      </c>
      <c r="BY1388" s="1011">
        <v>0</v>
      </c>
      <c r="BZ1388" s="510">
        <v>0</v>
      </c>
      <c r="CA1388" s="1011">
        <v>0</v>
      </c>
      <c r="CB1388" s="510">
        <v>0</v>
      </c>
      <c r="CC1388" s="1011">
        <v>0</v>
      </c>
      <c r="CD1388" s="510">
        <v>0</v>
      </c>
      <c r="CE1388" s="1011">
        <v>0</v>
      </c>
      <c r="CF1388" s="510">
        <v>40240.800000000003</v>
      </c>
      <c r="CG1388" s="1011">
        <v>0</v>
      </c>
      <c r="CH1388" s="510">
        <v>0</v>
      </c>
      <c r="CI1388" s="1011">
        <v>0</v>
      </c>
    </row>
    <row r="1389" spans="1:87" x14ac:dyDescent="0.2">
      <c r="A1389" s="449">
        <v>15</v>
      </c>
      <c r="B1389" s="453">
        <v>400192</v>
      </c>
      <c r="C1389" s="454" t="s">
        <v>11221</v>
      </c>
      <c r="D1389" s="454" t="s">
        <v>4613</v>
      </c>
      <c r="E1389" s="454" t="s">
        <v>11222</v>
      </c>
      <c r="F1389" s="454" t="s">
        <v>518</v>
      </c>
      <c r="G1389" s="454" t="s">
        <v>14607</v>
      </c>
      <c r="H1389" s="455">
        <v>8267947000175</v>
      </c>
      <c r="I1389" s="462">
        <v>38911</v>
      </c>
      <c r="J1389" s="457">
        <v>37470930</v>
      </c>
      <c r="K1389" s="454" t="s">
        <v>5822</v>
      </c>
      <c r="L1389" s="458">
        <v>111</v>
      </c>
      <c r="M1389" s="454" t="s">
        <v>5823</v>
      </c>
      <c r="N1389" s="459">
        <v>8246100</v>
      </c>
      <c r="O1389" s="460">
        <v>22059763</v>
      </c>
      <c r="P1389" s="462">
        <v>46585</v>
      </c>
      <c r="Q1389" s="462">
        <v>15</v>
      </c>
      <c r="R1389" s="462">
        <v>43934</v>
      </c>
      <c r="S1389" s="463">
        <v>148</v>
      </c>
      <c r="T1389" s="464">
        <v>3.6</v>
      </c>
      <c r="U1389" s="465">
        <v>532.79999999999995</v>
      </c>
      <c r="V1389" s="465">
        <v>10800</v>
      </c>
      <c r="W1389" s="466">
        <v>0</v>
      </c>
      <c r="X1389" s="467">
        <v>1</v>
      </c>
      <c r="Y1389" s="466">
        <v>16999.2</v>
      </c>
      <c r="Z1389" s="468" t="s">
        <v>516</v>
      </c>
      <c r="AA1389" s="466">
        <v>84657.600000000006</v>
      </c>
      <c r="AB1389" s="466">
        <v>84657.600000000006</v>
      </c>
      <c r="AC1389" s="467">
        <v>0</v>
      </c>
      <c r="AD1389" s="466">
        <v>0</v>
      </c>
      <c r="AE1389" s="468" t="s">
        <v>516</v>
      </c>
      <c r="AF1389" s="466">
        <v>0</v>
      </c>
      <c r="AG1389" s="466">
        <v>0</v>
      </c>
      <c r="AH1389" s="466">
        <v>11149.94</v>
      </c>
      <c r="AI1389" s="466">
        <v>4533.12</v>
      </c>
      <c r="AJ1389" s="469" t="s">
        <v>2196</v>
      </c>
      <c r="AK1389" s="470" t="s">
        <v>518</v>
      </c>
      <c r="AL1389" s="471" t="s">
        <v>11224</v>
      </c>
      <c r="AM1389" s="470" t="s">
        <v>11225</v>
      </c>
      <c r="AN1389" s="470" t="s">
        <v>11223</v>
      </c>
      <c r="AO1389" s="470" t="s">
        <v>15054</v>
      </c>
      <c r="AP1389" s="470" t="s">
        <v>5823</v>
      </c>
      <c r="AQ1389" s="470" t="s">
        <v>11221</v>
      </c>
      <c r="AR1389" s="472" t="s">
        <v>515</v>
      </c>
      <c r="AS1389" s="473" t="s">
        <v>1385</v>
      </c>
      <c r="AT1389" s="472" t="s">
        <v>4613</v>
      </c>
      <c r="AU1389" s="472" t="s">
        <v>420</v>
      </c>
      <c r="AV1389" s="472">
        <v>2020</v>
      </c>
      <c r="AW1389" s="474" t="s">
        <v>15078</v>
      </c>
      <c r="AX1389" s="475" t="s">
        <v>15079</v>
      </c>
      <c r="AY1389" s="515">
        <v>1</v>
      </c>
      <c r="AZ1389" s="474" t="s">
        <v>15079</v>
      </c>
      <c r="BA1389" s="472" t="s">
        <v>4613</v>
      </c>
      <c r="BB1389" s="472" t="s">
        <v>1385</v>
      </c>
      <c r="BC1389" s="472" t="s">
        <v>1385</v>
      </c>
      <c r="BD1389" s="472" t="s">
        <v>1385</v>
      </c>
      <c r="BE1389" s="472" t="s">
        <v>1385</v>
      </c>
      <c r="BF1389" s="472">
        <v>16999.2</v>
      </c>
      <c r="BG1389" s="472">
        <v>0</v>
      </c>
      <c r="BH1389" s="472" t="s">
        <v>1385</v>
      </c>
      <c r="BI1389" s="510">
        <v>0</v>
      </c>
      <c r="BJ1389" s="510">
        <v>0</v>
      </c>
      <c r="BK1389" s="510">
        <v>0</v>
      </c>
      <c r="BL1389" s="510">
        <v>0</v>
      </c>
      <c r="BM1389" s="510">
        <v>0</v>
      </c>
      <c r="BN1389" s="510">
        <v>2000</v>
      </c>
      <c r="BO1389" s="510">
        <v>0</v>
      </c>
      <c r="BP1389" s="510">
        <v>0</v>
      </c>
      <c r="BQ1389" s="510">
        <v>0</v>
      </c>
      <c r="BR1389" s="510">
        <v>0</v>
      </c>
      <c r="BS1389" s="510">
        <v>0</v>
      </c>
      <c r="BT1389" s="510">
        <v>0</v>
      </c>
      <c r="BU1389" s="510">
        <v>0</v>
      </c>
      <c r="BV1389" s="510">
        <v>0</v>
      </c>
      <c r="BW1389" s="510">
        <v>0</v>
      </c>
      <c r="BX1389" s="510">
        <v>30000</v>
      </c>
      <c r="BY1389" s="1011">
        <v>0</v>
      </c>
      <c r="BZ1389" s="510">
        <v>0</v>
      </c>
      <c r="CA1389" s="1011">
        <v>0</v>
      </c>
      <c r="CB1389" s="510">
        <v>0</v>
      </c>
      <c r="CC1389" s="1011">
        <v>0</v>
      </c>
      <c r="CD1389" s="510">
        <v>0</v>
      </c>
      <c r="CE1389" s="1011">
        <v>0</v>
      </c>
      <c r="CF1389" s="510">
        <v>37658.400000000001</v>
      </c>
      <c r="CG1389" s="1011">
        <v>0</v>
      </c>
      <c r="CH1389" s="510">
        <v>0</v>
      </c>
      <c r="CI1389" s="1011">
        <v>0</v>
      </c>
    </row>
    <row r="1390" spans="1:87" x14ac:dyDescent="0.2">
      <c r="A1390" s="449">
        <v>24</v>
      </c>
      <c r="B1390" s="453">
        <v>400193</v>
      </c>
      <c r="C1390" s="454" t="s">
        <v>11226</v>
      </c>
      <c r="D1390" s="454" t="s">
        <v>4613</v>
      </c>
      <c r="E1390" s="454" t="s">
        <v>11227</v>
      </c>
      <c r="F1390" s="454" t="s">
        <v>521</v>
      </c>
      <c r="G1390" s="454" t="s">
        <v>14608</v>
      </c>
      <c r="H1390" s="455">
        <v>7067435000100</v>
      </c>
      <c r="I1390" s="462">
        <v>38124</v>
      </c>
      <c r="J1390" s="457">
        <v>37586289</v>
      </c>
      <c r="K1390" s="454" t="s">
        <v>11228</v>
      </c>
      <c r="L1390" s="458">
        <v>136</v>
      </c>
      <c r="M1390" s="454" t="s">
        <v>11229</v>
      </c>
      <c r="N1390" s="459">
        <v>4823240</v>
      </c>
      <c r="O1390" s="460">
        <v>56616529</v>
      </c>
      <c r="P1390" s="462">
        <v>98623</v>
      </c>
      <c r="Q1390" s="462">
        <v>13</v>
      </c>
      <c r="R1390" s="462">
        <v>43934</v>
      </c>
      <c r="S1390" s="463">
        <v>108</v>
      </c>
      <c r="T1390" s="464">
        <v>3.6</v>
      </c>
      <c r="U1390" s="465">
        <v>388.8</v>
      </c>
      <c r="V1390" s="465">
        <v>10800</v>
      </c>
      <c r="W1390" s="466">
        <v>0</v>
      </c>
      <c r="X1390" s="467">
        <v>1</v>
      </c>
      <c r="Y1390" s="466">
        <v>16783.2</v>
      </c>
      <c r="Z1390" s="468" t="s">
        <v>516</v>
      </c>
      <c r="AA1390" s="466">
        <v>84139.199999999997</v>
      </c>
      <c r="AB1390" s="466">
        <v>84139.199999999997</v>
      </c>
      <c r="AC1390" s="467">
        <v>0</v>
      </c>
      <c r="AD1390" s="466">
        <v>0</v>
      </c>
      <c r="AE1390" s="468" t="s">
        <v>516</v>
      </c>
      <c r="AF1390" s="466">
        <v>0</v>
      </c>
      <c r="AG1390" s="466">
        <v>0</v>
      </c>
      <c r="AH1390" s="466">
        <v>13978.11</v>
      </c>
      <c r="AI1390" s="466">
        <v>151.25</v>
      </c>
      <c r="AJ1390" s="469" t="s">
        <v>1624</v>
      </c>
      <c r="AK1390" s="470" t="s">
        <v>1625</v>
      </c>
      <c r="AL1390" s="471" t="s">
        <v>11230</v>
      </c>
      <c r="AM1390" s="470" t="s">
        <v>11231</v>
      </c>
      <c r="AN1390" s="470" t="s">
        <v>1385</v>
      </c>
      <c r="AO1390" s="470" t="s">
        <v>11232</v>
      </c>
      <c r="AP1390" s="470" t="s">
        <v>11233</v>
      </c>
      <c r="AQ1390" s="470" t="s">
        <v>11226</v>
      </c>
      <c r="AR1390" s="472" t="s">
        <v>515</v>
      </c>
      <c r="AS1390" s="473" t="s">
        <v>1385</v>
      </c>
      <c r="AT1390" s="472" t="s">
        <v>4613</v>
      </c>
      <c r="AU1390" s="472" t="s">
        <v>420</v>
      </c>
      <c r="AV1390" s="472">
        <v>2020</v>
      </c>
      <c r="AW1390" s="474" t="s">
        <v>15078</v>
      </c>
      <c r="AX1390" s="475" t="s">
        <v>15079</v>
      </c>
      <c r="AY1390" s="515">
        <v>1</v>
      </c>
      <c r="AZ1390" s="474" t="s">
        <v>15079</v>
      </c>
      <c r="BA1390" s="472" t="s">
        <v>4613</v>
      </c>
      <c r="BB1390" s="472" t="s">
        <v>1385</v>
      </c>
      <c r="BC1390" s="472" t="s">
        <v>1385</v>
      </c>
      <c r="BD1390" s="472" t="s">
        <v>1385</v>
      </c>
      <c r="BE1390" s="472" t="s">
        <v>1385</v>
      </c>
      <c r="BF1390" s="472">
        <v>16783.2</v>
      </c>
      <c r="BG1390" s="472">
        <v>0</v>
      </c>
      <c r="BH1390" s="472" t="s">
        <v>1385</v>
      </c>
      <c r="BI1390" s="510">
        <v>0</v>
      </c>
      <c r="BJ1390" s="510">
        <v>0</v>
      </c>
      <c r="BK1390" s="510">
        <v>0</v>
      </c>
      <c r="BL1390" s="510">
        <v>0</v>
      </c>
      <c r="BM1390" s="510">
        <v>0</v>
      </c>
      <c r="BN1390" s="510">
        <v>2000</v>
      </c>
      <c r="BO1390" s="510">
        <v>0</v>
      </c>
      <c r="BP1390" s="510">
        <v>0</v>
      </c>
      <c r="BQ1390" s="510">
        <v>0</v>
      </c>
      <c r="BR1390" s="510">
        <v>0</v>
      </c>
      <c r="BS1390" s="510">
        <v>0</v>
      </c>
      <c r="BT1390" s="510">
        <v>0</v>
      </c>
      <c r="BU1390" s="510">
        <v>0</v>
      </c>
      <c r="BV1390" s="510">
        <v>0</v>
      </c>
      <c r="BW1390" s="510">
        <v>0</v>
      </c>
      <c r="BX1390" s="510">
        <v>30000</v>
      </c>
      <c r="BY1390" s="1011">
        <v>0</v>
      </c>
      <c r="BZ1390" s="510">
        <v>0</v>
      </c>
      <c r="CA1390" s="1011">
        <v>0</v>
      </c>
      <c r="CB1390" s="510">
        <v>0</v>
      </c>
      <c r="CC1390" s="1011">
        <v>0</v>
      </c>
      <c r="CD1390" s="510">
        <v>0</v>
      </c>
      <c r="CE1390" s="1011">
        <v>0</v>
      </c>
      <c r="CF1390" s="510">
        <v>37356</v>
      </c>
      <c r="CG1390" s="1011">
        <v>0</v>
      </c>
      <c r="CH1390" s="510">
        <v>0</v>
      </c>
      <c r="CI1390" s="1011">
        <v>0</v>
      </c>
    </row>
    <row r="1391" spans="1:87" x14ac:dyDescent="0.2">
      <c r="A1391" s="449">
        <v>21</v>
      </c>
      <c r="B1391" s="453">
        <v>400194</v>
      </c>
      <c r="C1391" s="454" t="s">
        <v>11234</v>
      </c>
      <c r="D1391" s="454" t="s">
        <v>4613</v>
      </c>
      <c r="E1391" s="454" t="s">
        <v>11235</v>
      </c>
      <c r="F1391" s="454" t="s">
        <v>527</v>
      </c>
      <c r="G1391" s="454" t="s">
        <v>14609</v>
      </c>
      <c r="H1391" s="455">
        <v>8288655000119</v>
      </c>
      <c r="I1391" s="462">
        <v>38918</v>
      </c>
      <c r="J1391" s="457">
        <v>37585487</v>
      </c>
      <c r="K1391" s="454" t="s">
        <v>11236</v>
      </c>
      <c r="L1391" s="458">
        <v>495</v>
      </c>
      <c r="M1391" s="454" t="s">
        <v>2332</v>
      </c>
      <c r="N1391" s="459">
        <v>3805070</v>
      </c>
      <c r="O1391" s="460">
        <v>29437853</v>
      </c>
      <c r="P1391" s="462">
        <v>184538</v>
      </c>
      <c r="Q1391" s="462">
        <v>21</v>
      </c>
      <c r="R1391" s="462">
        <v>43917</v>
      </c>
      <c r="S1391" s="463">
        <v>139</v>
      </c>
      <c r="T1391" s="464">
        <v>3.6</v>
      </c>
      <c r="U1391" s="465">
        <v>500.4</v>
      </c>
      <c r="V1391" s="465">
        <v>10800</v>
      </c>
      <c r="W1391" s="466">
        <v>0</v>
      </c>
      <c r="X1391" s="467">
        <v>1</v>
      </c>
      <c r="Y1391" s="466">
        <v>16950.599999999999</v>
      </c>
      <c r="Z1391" s="468" t="s">
        <v>516</v>
      </c>
      <c r="AA1391" s="466">
        <v>84465</v>
      </c>
      <c r="AB1391" s="466">
        <v>84465</v>
      </c>
      <c r="AC1391" s="467">
        <v>0</v>
      </c>
      <c r="AD1391" s="466">
        <v>0</v>
      </c>
      <c r="AE1391" s="468" t="s">
        <v>516</v>
      </c>
      <c r="AF1391" s="466">
        <v>0</v>
      </c>
      <c r="AG1391" s="466">
        <v>0</v>
      </c>
      <c r="AH1391" s="466">
        <v>10434.219999999999</v>
      </c>
      <c r="AI1391" s="466">
        <v>4422.72</v>
      </c>
      <c r="AJ1391" s="469" t="s">
        <v>5982</v>
      </c>
      <c r="AK1391" s="470" t="s">
        <v>6146</v>
      </c>
      <c r="AL1391" s="471" t="s">
        <v>5839</v>
      </c>
      <c r="AM1391" s="470" t="s">
        <v>11237</v>
      </c>
      <c r="AN1391" s="470" t="s">
        <v>14609</v>
      </c>
      <c r="AO1391" s="470" t="s">
        <v>11238</v>
      </c>
      <c r="AP1391" s="470" t="s">
        <v>2332</v>
      </c>
      <c r="AQ1391" s="470" t="s">
        <v>11234</v>
      </c>
      <c r="AR1391" s="472" t="s">
        <v>515</v>
      </c>
      <c r="AS1391" s="473" t="s">
        <v>1385</v>
      </c>
      <c r="AT1391" s="472" t="s">
        <v>4613</v>
      </c>
      <c r="AU1391" s="472" t="s">
        <v>420</v>
      </c>
      <c r="AV1391" s="472">
        <v>2020</v>
      </c>
      <c r="AW1391" s="474" t="s">
        <v>15078</v>
      </c>
      <c r="AX1391" s="475" t="s">
        <v>15079</v>
      </c>
      <c r="AY1391" s="515">
        <v>1</v>
      </c>
      <c r="AZ1391" s="474" t="s">
        <v>15079</v>
      </c>
      <c r="BA1391" s="472" t="s">
        <v>4613</v>
      </c>
      <c r="BB1391" s="472" t="s">
        <v>1385</v>
      </c>
      <c r="BC1391" s="472" t="s">
        <v>1385</v>
      </c>
      <c r="BD1391" s="472" t="s">
        <v>1385</v>
      </c>
      <c r="BE1391" s="472" t="s">
        <v>1385</v>
      </c>
      <c r="BF1391" s="472">
        <v>16950.599999999999</v>
      </c>
      <c r="BG1391" s="472">
        <v>0</v>
      </c>
      <c r="BH1391" s="472" t="s">
        <v>1385</v>
      </c>
      <c r="BI1391" s="510">
        <v>0</v>
      </c>
      <c r="BJ1391" s="510">
        <v>0</v>
      </c>
      <c r="BK1391" s="510">
        <v>0</v>
      </c>
      <c r="BL1391" s="510">
        <v>0</v>
      </c>
      <c r="BM1391" s="510">
        <v>0</v>
      </c>
      <c r="BN1391" s="510">
        <v>2000</v>
      </c>
      <c r="BO1391" s="510">
        <v>0</v>
      </c>
      <c r="BP1391" s="510">
        <v>0</v>
      </c>
      <c r="BQ1391" s="510">
        <v>0</v>
      </c>
      <c r="BR1391" s="510">
        <v>0</v>
      </c>
      <c r="BS1391" s="510">
        <v>0</v>
      </c>
      <c r="BT1391" s="510">
        <v>0</v>
      </c>
      <c r="BU1391" s="510">
        <v>0</v>
      </c>
      <c r="BV1391" s="510">
        <v>0</v>
      </c>
      <c r="BW1391" s="510">
        <v>0</v>
      </c>
      <c r="BX1391" s="510">
        <v>30000</v>
      </c>
      <c r="BY1391" s="1011">
        <v>0</v>
      </c>
      <c r="BZ1391" s="510">
        <v>0</v>
      </c>
      <c r="CA1391" s="1011">
        <v>0</v>
      </c>
      <c r="CB1391" s="510">
        <v>0</v>
      </c>
      <c r="CC1391" s="1011">
        <v>0</v>
      </c>
      <c r="CD1391" s="510">
        <v>0</v>
      </c>
      <c r="CE1391" s="1011">
        <v>0</v>
      </c>
      <c r="CF1391" s="510">
        <v>37514.400000000001</v>
      </c>
      <c r="CG1391" s="1011">
        <v>0</v>
      </c>
      <c r="CH1391" s="510">
        <v>0</v>
      </c>
      <c r="CI1391" s="1011">
        <v>0</v>
      </c>
    </row>
    <row r="1392" spans="1:87" x14ac:dyDescent="0.2">
      <c r="A1392" s="449">
        <v>17</v>
      </c>
      <c r="B1392" s="453">
        <v>400195</v>
      </c>
      <c r="C1392" s="454" t="s">
        <v>11239</v>
      </c>
      <c r="D1392" s="454" t="s">
        <v>4613</v>
      </c>
      <c r="E1392" s="454" t="s">
        <v>11240</v>
      </c>
      <c r="F1392" s="454" t="s">
        <v>525</v>
      </c>
      <c r="G1392" s="454" t="s">
        <v>14610</v>
      </c>
      <c r="H1392" s="455">
        <v>8255672000150</v>
      </c>
      <c r="I1392" s="462">
        <v>38938</v>
      </c>
      <c r="J1392" s="457">
        <v>37604856</v>
      </c>
      <c r="K1392" s="454" t="s">
        <v>2020</v>
      </c>
      <c r="L1392" s="458">
        <v>288</v>
      </c>
      <c r="M1392" s="454" t="s">
        <v>2180</v>
      </c>
      <c r="N1392" s="459">
        <v>2322210</v>
      </c>
      <c r="O1392" s="460">
        <v>22041092</v>
      </c>
      <c r="P1392" s="462">
        <v>323457</v>
      </c>
      <c r="Q1392" s="462">
        <v>17</v>
      </c>
      <c r="R1392" s="462">
        <v>43950</v>
      </c>
      <c r="S1392" s="463">
        <v>138</v>
      </c>
      <c r="T1392" s="464">
        <v>3.6</v>
      </c>
      <c r="U1392" s="465">
        <v>496.8</v>
      </c>
      <c r="V1392" s="465">
        <v>10800</v>
      </c>
      <c r="W1392" s="466">
        <v>0</v>
      </c>
      <c r="X1392" s="467">
        <v>1</v>
      </c>
      <c r="Y1392" s="466">
        <v>16945.2</v>
      </c>
      <c r="Z1392" s="468" t="s">
        <v>516</v>
      </c>
      <c r="AA1392" s="466">
        <v>84517.2</v>
      </c>
      <c r="AB1392" s="466">
        <v>84517.2</v>
      </c>
      <c r="AC1392" s="467">
        <v>0</v>
      </c>
      <c r="AD1392" s="466">
        <v>0</v>
      </c>
      <c r="AE1392" s="468" t="s">
        <v>516</v>
      </c>
      <c r="AF1392" s="466">
        <v>0</v>
      </c>
      <c r="AG1392" s="466">
        <v>0</v>
      </c>
      <c r="AH1392" s="466">
        <v>14555.61</v>
      </c>
      <c r="AI1392" s="466">
        <v>2361.81</v>
      </c>
      <c r="AJ1392" s="469" t="s">
        <v>6493</v>
      </c>
      <c r="AK1392" s="470" t="s">
        <v>4079</v>
      </c>
      <c r="AL1392" s="471" t="s">
        <v>11242</v>
      </c>
      <c r="AM1392" s="470" t="s">
        <v>11243</v>
      </c>
      <c r="AN1392" s="470" t="s">
        <v>11241</v>
      </c>
      <c r="AO1392" s="470" t="s">
        <v>11244</v>
      </c>
      <c r="AP1392" s="470" t="s">
        <v>11245</v>
      </c>
      <c r="AQ1392" s="470" t="s">
        <v>11239</v>
      </c>
      <c r="AR1392" s="472" t="s">
        <v>515</v>
      </c>
      <c r="AS1392" s="473" t="s">
        <v>1385</v>
      </c>
      <c r="AT1392" s="472" t="s">
        <v>4613</v>
      </c>
      <c r="AU1392" s="472" t="s">
        <v>420</v>
      </c>
      <c r="AV1392" s="472">
        <v>2020</v>
      </c>
      <c r="AW1392" s="474" t="s">
        <v>15078</v>
      </c>
      <c r="AX1392" s="475" t="s">
        <v>15079</v>
      </c>
      <c r="AY1392" s="515">
        <v>1</v>
      </c>
      <c r="AZ1392" s="474" t="s">
        <v>15079</v>
      </c>
      <c r="BA1392" s="472" t="s">
        <v>4613</v>
      </c>
      <c r="BB1392" s="472" t="s">
        <v>1385</v>
      </c>
      <c r="BC1392" s="472" t="s">
        <v>1385</v>
      </c>
      <c r="BD1392" s="472" t="s">
        <v>1385</v>
      </c>
      <c r="BE1392" s="472" t="s">
        <v>1385</v>
      </c>
      <c r="BF1392" s="472">
        <v>16945.2</v>
      </c>
      <c r="BG1392" s="472">
        <v>0</v>
      </c>
      <c r="BH1392" s="472" t="s">
        <v>1385</v>
      </c>
      <c r="BI1392" s="510">
        <v>0</v>
      </c>
      <c r="BJ1392" s="510">
        <v>0</v>
      </c>
      <c r="BK1392" s="510">
        <v>0</v>
      </c>
      <c r="BL1392" s="510">
        <v>0</v>
      </c>
      <c r="BM1392" s="510">
        <v>0</v>
      </c>
      <c r="BN1392" s="510">
        <v>2000</v>
      </c>
      <c r="BO1392" s="510">
        <v>0</v>
      </c>
      <c r="BP1392" s="510">
        <v>0</v>
      </c>
      <c r="BQ1392" s="510">
        <v>0</v>
      </c>
      <c r="BR1392" s="510">
        <v>0</v>
      </c>
      <c r="BS1392" s="510">
        <v>0</v>
      </c>
      <c r="BT1392" s="510">
        <v>0</v>
      </c>
      <c r="BU1392" s="510">
        <v>0</v>
      </c>
      <c r="BV1392" s="510">
        <v>0</v>
      </c>
      <c r="BW1392" s="510">
        <v>0</v>
      </c>
      <c r="BX1392" s="510">
        <v>30000</v>
      </c>
      <c r="BY1392" s="1011">
        <v>0</v>
      </c>
      <c r="BZ1392" s="510">
        <v>0</v>
      </c>
      <c r="CA1392" s="1011">
        <v>0</v>
      </c>
      <c r="CB1392" s="510">
        <v>0</v>
      </c>
      <c r="CC1392" s="1011">
        <v>0</v>
      </c>
      <c r="CD1392" s="510">
        <v>0</v>
      </c>
      <c r="CE1392" s="1011">
        <v>0</v>
      </c>
      <c r="CF1392" s="510">
        <v>37572</v>
      </c>
      <c r="CG1392" s="1011">
        <v>0</v>
      </c>
      <c r="CH1392" s="510">
        <v>0</v>
      </c>
      <c r="CI1392" s="1011">
        <v>0</v>
      </c>
    </row>
    <row r="1393" spans="1:87" x14ac:dyDescent="0.2">
      <c r="A1393" s="449">
        <v>21</v>
      </c>
      <c r="B1393" s="453">
        <v>400196</v>
      </c>
      <c r="C1393" s="454" t="s">
        <v>11246</v>
      </c>
      <c r="D1393" s="454" t="s">
        <v>4613</v>
      </c>
      <c r="E1393" s="454" t="s">
        <v>11247</v>
      </c>
      <c r="F1393" s="454" t="s">
        <v>521</v>
      </c>
      <c r="G1393" s="454" t="s">
        <v>14611</v>
      </c>
      <c r="H1393" s="455">
        <v>7082912000107</v>
      </c>
      <c r="I1393" s="462">
        <v>38166</v>
      </c>
      <c r="J1393" s="457">
        <v>37586262</v>
      </c>
      <c r="K1393" s="454" t="s">
        <v>11248</v>
      </c>
      <c r="L1393" s="458">
        <v>84</v>
      </c>
      <c r="M1393" s="454" t="s">
        <v>2965</v>
      </c>
      <c r="N1393" s="459">
        <v>4850230</v>
      </c>
      <c r="O1393" s="460">
        <v>55281180</v>
      </c>
      <c r="P1393" s="462">
        <v>87877</v>
      </c>
      <c r="Q1393" s="462">
        <v>14</v>
      </c>
      <c r="R1393" s="462">
        <v>43934</v>
      </c>
      <c r="S1393" s="463">
        <v>184</v>
      </c>
      <c r="T1393" s="464">
        <v>3.6</v>
      </c>
      <c r="U1393" s="465">
        <v>662.4</v>
      </c>
      <c r="V1393" s="465">
        <v>10800</v>
      </c>
      <c r="W1393" s="466">
        <v>0</v>
      </c>
      <c r="X1393" s="467">
        <v>1</v>
      </c>
      <c r="Y1393" s="466">
        <v>17193.599999999999</v>
      </c>
      <c r="Z1393" s="468" t="s">
        <v>516</v>
      </c>
      <c r="AA1393" s="466">
        <v>86032</v>
      </c>
      <c r="AB1393" s="466">
        <v>86032</v>
      </c>
      <c r="AC1393" s="467">
        <v>0</v>
      </c>
      <c r="AD1393" s="466">
        <v>0</v>
      </c>
      <c r="AE1393" s="468" t="s">
        <v>516</v>
      </c>
      <c r="AF1393" s="466">
        <v>1000</v>
      </c>
      <c r="AG1393" s="466">
        <v>1000</v>
      </c>
      <c r="AH1393" s="466">
        <v>12089.53</v>
      </c>
      <c r="AI1393" s="466">
        <v>2878.88</v>
      </c>
      <c r="AJ1393" s="469" t="s">
        <v>1624</v>
      </c>
      <c r="AK1393" s="470" t="s">
        <v>1625</v>
      </c>
      <c r="AL1393" s="471" t="s">
        <v>11249</v>
      </c>
      <c r="AM1393" s="470" t="s">
        <v>14612</v>
      </c>
      <c r="AN1393" s="470" t="s">
        <v>1385</v>
      </c>
      <c r="AO1393" s="470" t="s">
        <v>14613</v>
      </c>
      <c r="AP1393" s="470" t="s">
        <v>2965</v>
      </c>
      <c r="AQ1393" s="470" t="s">
        <v>11246</v>
      </c>
      <c r="AR1393" s="472" t="s">
        <v>515</v>
      </c>
      <c r="AS1393" s="473" t="s">
        <v>1385</v>
      </c>
      <c r="AT1393" s="472" t="s">
        <v>4613</v>
      </c>
      <c r="AU1393" s="472" t="s">
        <v>420</v>
      </c>
      <c r="AV1393" s="472">
        <v>2020</v>
      </c>
      <c r="AW1393" s="474" t="s">
        <v>15078</v>
      </c>
      <c r="AX1393" s="475" t="s">
        <v>15079</v>
      </c>
      <c r="AY1393" s="515">
        <v>1</v>
      </c>
      <c r="AZ1393" s="474" t="s">
        <v>15079</v>
      </c>
      <c r="BA1393" s="472" t="s">
        <v>4613</v>
      </c>
      <c r="BB1393" s="472" t="s">
        <v>1385</v>
      </c>
      <c r="BC1393" s="472" t="s">
        <v>1385</v>
      </c>
      <c r="BD1393" s="472" t="s">
        <v>1385</v>
      </c>
      <c r="BE1393" s="472" t="s">
        <v>1385</v>
      </c>
      <c r="BF1393" s="472">
        <v>17193.599999999999</v>
      </c>
      <c r="BG1393" s="472">
        <v>0</v>
      </c>
      <c r="BH1393" s="472" t="s">
        <v>1385</v>
      </c>
      <c r="BI1393" s="510">
        <v>0</v>
      </c>
      <c r="BJ1393" s="510">
        <v>0</v>
      </c>
      <c r="BK1393" s="510">
        <v>0</v>
      </c>
      <c r="BL1393" s="510">
        <v>0</v>
      </c>
      <c r="BM1393" s="510">
        <v>0</v>
      </c>
      <c r="BN1393" s="510">
        <v>2000</v>
      </c>
      <c r="BO1393" s="510">
        <v>1000</v>
      </c>
      <c r="BP1393" s="510">
        <v>1000</v>
      </c>
      <c r="BQ1393" s="510">
        <v>0</v>
      </c>
      <c r="BR1393" s="510">
        <v>0</v>
      </c>
      <c r="BS1393" s="510">
        <v>0</v>
      </c>
      <c r="BT1393" s="510">
        <v>0</v>
      </c>
      <c r="BU1393" s="510">
        <v>0</v>
      </c>
      <c r="BV1393" s="510">
        <v>0</v>
      </c>
      <c r="BW1393" s="510">
        <v>0</v>
      </c>
      <c r="BX1393" s="510">
        <v>30000</v>
      </c>
      <c r="BY1393" s="1011">
        <v>0</v>
      </c>
      <c r="BZ1393" s="510">
        <v>0</v>
      </c>
      <c r="CA1393" s="1011">
        <v>0</v>
      </c>
      <c r="CB1393" s="510">
        <v>0</v>
      </c>
      <c r="CC1393" s="1011">
        <v>0</v>
      </c>
      <c r="CD1393" s="510">
        <v>0</v>
      </c>
      <c r="CE1393" s="1011">
        <v>0</v>
      </c>
      <c r="CF1393" s="510">
        <v>37838.400000000001</v>
      </c>
      <c r="CG1393" s="1011">
        <v>0</v>
      </c>
      <c r="CH1393" s="510">
        <v>0</v>
      </c>
      <c r="CI1393" s="1011">
        <v>0</v>
      </c>
    </row>
    <row r="1394" spans="1:87" x14ac:dyDescent="0.2">
      <c r="A1394" s="449">
        <v>22</v>
      </c>
      <c r="B1394" s="453">
        <v>400197</v>
      </c>
      <c r="C1394" s="454" t="s">
        <v>11250</v>
      </c>
      <c r="D1394" s="454" t="s">
        <v>4613</v>
      </c>
      <c r="E1394" s="454" t="s">
        <v>11251</v>
      </c>
      <c r="F1394" s="454" t="s">
        <v>527</v>
      </c>
      <c r="G1394" s="454" t="s">
        <v>14614</v>
      </c>
      <c r="H1394" s="455">
        <v>8743328000100</v>
      </c>
      <c r="I1394" s="462">
        <v>39037</v>
      </c>
      <c r="J1394" s="457">
        <v>37555308</v>
      </c>
      <c r="K1394" s="454" t="s">
        <v>2642</v>
      </c>
      <c r="L1394" s="458">
        <v>736</v>
      </c>
      <c r="M1394" s="454" t="s">
        <v>2643</v>
      </c>
      <c r="N1394" s="459">
        <v>3694010</v>
      </c>
      <c r="O1394" s="460">
        <v>22806088</v>
      </c>
      <c r="P1394" s="462">
        <v>205870</v>
      </c>
      <c r="Q1394" s="462">
        <v>22</v>
      </c>
      <c r="R1394" s="462">
        <v>43917</v>
      </c>
      <c r="S1394" s="463">
        <v>140</v>
      </c>
      <c r="T1394" s="464">
        <v>3.6</v>
      </c>
      <c r="U1394" s="465">
        <v>504</v>
      </c>
      <c r="V1394" s="465">
        <v>10800</v>
      </c>
      <c r="W1394" s="466">
        <v>0</v>
      </c>
      <c r="X1394" s="467">
        <v>1</v>
      </c>
      <c r="Y1394" s="466">
        <v>16956</v>
      </c>
      <c r="Z1394" s="468" t="s">
        <v>516</v>
      </c>
      <c r="AA1394" s="466">
        <v>84556.800000000003</v>
      </c>
      <c r="AB1394" s="466">
        <v>84556.800000000003</v>
      </c>
      <c r="AC1394" s="467">
        <v>0</v>
      </c>
      <c r="AD1394" s="466">
        <v>0</v>
      </c>
      <c r="AE1394" s="468" t="s">
        <v>516</v>
      </c>
      <c r="AF1394" s="466">
        <v>0</v>
      </c>
      <c r="AG1394" s="466">
        <v>0</v>
      </c>
      <c r="AH1394" s="466">
        <v>9155.7800000000007</v>
      </c>
      <c r="AI1394" s="466">
        <v>0</v>
      </c>
      <c r="AJ1394" s="469" t="s">
        <v>2644</v>
      </c>
      <c r="AK1394" s="470" t="s">
        <v>2645</v>
      </c>
      <c r="AL1394" s="471" t="s">
        <v>11252</v>
      </c>
      <c r="AM1394" s="470" t="s">
        <v>14615</v>
      </c>
      <c r="AN1394" s="470" t="s">
        <v>14614</v>
      </c>
      <c r="AO1394" s="470" t="s">
        <v>14616</v>
      </c>
      <c r="AP1394" s="470" t="s">
        <v>11253</v>
      </c>
      <c r="AQ1394" s="470" t="s">
        <v>11250</v>
      </c>
      <c r="AR1394" s="472" t="s">
        <v>515</v>
      </c>
      <c r="AS1394" s="473" t="s">
        <v>1385</v>
      </c>
      <c r="AT1394" s="472" t="s">
        <v>4613</v>
      </c>
      <c r="AU1394" s="472" t="s">
        <v>420</v>
      </c>
      <c r="AV1394" s="472">
        <v>2020</v>
      </c>
      <c r="AW1394" s="474" t="s">
        <v>15078</v>
      </c>
      <c r="AX1394" s="475" t="s">
        <v>15079</v>
      </c>
      <c r="AY1394" s="515">
        <v>1</v>
      </c>
      <c r="AZ1394" s="474" t="s">
        <v>15079</v>
      </c>
      <c r="BA1394" s="472" t="s">
        <v>4613</v>
      </c>
      <c r="BB1394" s="472" t="s">
        <v>1385</v>
      </c>
      <c r="BC1394" s="472" t="s">
        <v>1385</v>
      </c>
      <c r="BD1394" s="472" t="s">
        <v>1385</v>
      </c>
      <c r="BE1394" s="472" t="s">
        <v>1385</v>
      </c>
      <c r="BF1394" s="472">
        <v>16956</v>
      </c>
      <c r="BG1394" s="472">
        <v>0</v>
      </c>
      <c r="BH1394" s="472" t="s">
        <v>1385</v>
      </c>
      <c r="BI1394" s="510">
        <v>0</v>
      </c>
      <c r="BJ1394" s="510">
        <v>0</v>
      </c>
      <c r="BK1394" s="510">
        <v>0</v>
      </c>
      <c r="BL1394" s="510">
        <v>0</v>
      </c>
      <c r="BM1394" s="510">
        <v>0</v>
      </c>
      <c r="BN1394" s="510">
        <v>2000</v>
      </c>
      <c r="BO1394" s="510">
        <v>0</v>
      </c>
      <c r="BP1394" s="510">
        <v>0</v>
      </c>
      <c r="BQ1394" s="510">
        <v>0</v>
      </c>
      <c r="BR1394" s="510">
        <v>0</v>
      </c>
      <c r="BS1394" s="510">
        <v>0</v>
      </c>
      <c r="BT1394" s="510">
        <v>0</v>
      </c>
      <c r="BU1394" s="510">
        <v>0</v>
      </c>
      <c r="BV1394" s="510">
        <v>0</v>
      </c>
      <c r="BW1394" s="510">
        <v>0</v>
      </c>
      <c r="BX1394" s="510">
        <v>30000</v>
      </c>
      <c r="BY1394" s="1011">
        <v>0</v>
      </c>
      <c r="BZ1394" s="510">
        <v>0</v>
      </c>
      <c r="CA1394" s="1011">
        <v>0</v>
      </c>
      <c r="CB1394" s="510">
        <v>0</v>
      </c>
      <c r="CC1394" s="1011">
        <v>0</v>
      </c>
      <c r="CD1394" s="510">
        <v>0</v>
      </c>
      <c r="CE1394" s="1011">
        <v>0</v>
      </c>
      <c r="CF1394" s="510">
        <v>37600.800000000003</v>
      </c>
      <c r="CG1394" s="1011">
        <v>0</v>
      </c>
      <c r="CH1394" s="510">
        <v>0</v>
      </c>
      <c r="CI1394" s="1011">
        <v>0</v>
      </c>
    </row>
    <row r="1395" spans="1:87" x14ac:dyDescent="0.2">
      <c r="A1395" s="449">
        <v>31</v>
      </c>
      <c r="B1395" s="453">
        <v>400198</v>
      </c>
      <c r="C1395" s="454" t="s">
        <v>11254</v>
      </c>
      <c r="D1395" s="454" t="s">
        <v>4613</v>
      </c>
      <c r="E1395" s="454" t="s">
        <v>11254</v>
      </c>
      <c r="F1395" s="454" t="s">
        <v>520</v>
      </c>
      <c r="G1395" s="454" t="s">
        <v>14617</v>
      </c>
      <c r="H1395" s="455">
        <v>7486757000186</v>
      </c>
      <c r="I1395" s="462">
        <v>38518</v>
      </c>
      <c r="J1395" s="457">
        <v>37620916</v>
      </c>
      <c r="K1395" s="454" t="s">
        <v>11255</v>
      </c>
      <c r="L1395" s="458">
        <v>127</v>
      </c>
      <c r="M1395" s="454" t="s">
        <v>1870</v>
      </c>
      <c r="N1395" s="459">
        <v>5888010</v>
      </c>
      <c r="O1395" s="460">
        <v>58214351</v>
      </c>
      <c r="P1395" s="462">
        <v>293264</v>
      </c>
      <c r="Q1395" s="462">
        <v>31</v>
      </c>
      <c r="R1395" s="462">
        <v>43969</v>
      </c>
      <c r="S1395" s="463">
        <v>143</v>
      </c>
      <c r="T1395" s="464">
        <v>3.6</v>
      </c>
      <c r="U1395" s="465">
        <v>514.79999999999995</v>
      </c>
      <c r="V1395" s="465">
        <v>10800</v>
      </c>
      <c r="W1395" s="466">
        <v>0</v>
      </c>
      <c r="X1395" s="467">
        <v>1</v>
      </c>
      <c r="Y1395" s="466">
        <v>16972.2</v>
      </c>
      <c r="Z1395" s="468" t="s">
        <v>516</v>
      </c>
      <c r="AA1395" s="466">
        <v>84601.8</v>
      </c>
      <c r="AB1395" s="466">
        <v>84601.8</v>
      </c>
      <c r="AC1395" s="467">
        <v>0</v>
      </c>
      <c r="AD1395" s="466">
        <v>0</v>
      </c>
      <c r="AE1395" s="468" t="s">
        <v>516</v>
      </c>
      <c r="AF1395" s="466">
        <v>0</v>
      </c>
      <c r="AG1395" s="466">
        <v>0</v>
      </c>
      <c r="AH1395" s="466">
        <v>14273.36</v>
      </c>
      <c r="AI1395" s="466">
        <v>291.14999999999998</v>
      </c>
      <c r="AJ1395" s="469" t="s">
        <v>1470</v>
      </c>
      <c r="AK1395" s="470" t="s">
        <v>10111</v>
      </c>
      <c r="AL1395" s="471" t="s">
        <v>11256</v>
      </c>
      <c r="AM1395" s="470" t="s">
        <v>11257</v>
      </c>
      <c r="AN1395" s="470" t="s">
        <v>11258</v>
      </c>
      <c r="AO1395" s="470" t="s">
        <v>14618</v>
      </c>
      <c r="AP1395" s="470" t="s">
        <v>1870</v>
      </c>
      <c r="AQ1395" s="470" t="s">
        <v>11254</v>
      </c>
      <c r="AR1395" s="472" t="s">
        <v>515</v>
      </c>
      <c r="AS1395" s="473" t="s">
        <v>1385</v>
      </c>
      <c r="AT1395" s="472" t="s">
        <v>4613</v>
      </c>
      <c r="AU1395" s="472" t="s">
        <v>420</v>
      </c>
      <c r="AV1395" s="472">
        <v>2020</v>
      </c>
      <c r="AW1395" s="474" t="s">
        <v>15078</v>
      </c>
      <c r="AX1395" s="475" t="s">
        <v>15079</v>
      </c>
      <c r="AY1395" s="515">
        <v>1</v>
      </c>
      <c r="AZ1395" s="474" t="s">
        <v>15079</v>
      </c>
      <c r="BA1395" s="472" t="s">
        <v>4613</v>
      </c>
      <c r="BB1395" s="472" t="s">
        <v>1385</v>
      </c>
      <c r="BC1395" s="472" t="s">
        <v>1385</v>
      </c>
      <c r="BD1395" s="472" t="s">
        <v>1385</v>
      </c>
      <c r="BE1395" s="472" t="s">
        <v>1385</v>
      </c>
      <c r="BF1395" s="472">
        <v>16972.2</v>
      </c>
      <c r="BG1395" s="472">
        <v>0</v>
      </c>
      <c r="BH1395" s="472" t="s">
        <v>1385</v>
      </c>
      <c r="BI1395" s="510">
        <v>0</v>
      </c>
      <c r="BJ1395" s="510">
        <v>851.9</v>
      </c>
      <c r="BK1395" s="510">
        <v>0</v>
      </c>
      <c r="BL1395" s="510">
        <v>0</v>
      </c>
      <c r="BM1395" s="510">
        <v>0</v>
      </c>
      <c r="BN1395" s="510">
        <v>2000</v>
      </c>
      <c r="BO1395" s="510">
        <v>0</v>
      </c>
      <c r="BP1395" s="510">
        <v>0</v>
      </c>
      <c r="BQ1395" s="510">
        <v>0</v>
      </c>
      <c r="BR1395" s="510">
        <v>0</v>
      </c>
      <c r="BS1395" s="510">
        <v>0</v>
      </c>
      <c r="BT1395" s="510">
        <v>0</v>
      </c>
      <c r="BU1395" s="510">
        <v>0</v>
      </c>
      <c r="BV1395" s="510">
        <v>0</v>
      </c>
      <c r="BW1395" s="510">
        <v>0</v>
      </c>
      <c r="BX1395" s="510">
        <v>30000</v>
      </c>
      <c r="BY1395" s="1011">
        <v>0</v>
      </c>
      <c r="BZ1395" s="510">
        <v>0</v>
      </c>
      <c r="CA1395" s="1011">
        <v>0</v>
      </c>
      <c r="CB1395" s="510">
        <v>0</v>
      </c>
      <c r="CC1395" s="1011">
        <v>0</v>
      </c>
      <c r="CD1395" s="510">
        <v>0</v>
      </c>
      <c r="CE1395" s="1011">
        <v>0</v>
      </c>
      <c r="CF1395" s="510">
        <v>37629.599999999999</v>
      </c>
      <c r="CG1395" s="1011">
        <v>0</v>
      </c>
      <c r="CH1395" s="510">
        <v>0</v>
      </c>
      <c r="CI1395" s="1011">
        <v>0</v>
      </c>
    </row>
    <row r="1396" spans="1:87" x14ac:dyDescent="0.2">
      <c r="A1396" s="449">
        <v>32</v>
      </c>
      <c r="B1396" s="453">
        <v>400199</v>
      </c>
      <c r="C1396" s="454" t="s">
        <v>11259</v>
      </c>
      <c r="D1396" s="454" t="s">
        <v>4613</v>
      </c>
      <c r="E1396" s="454" t="s">
        <v>11259</v>
      </c>
      <c r="F1396" s="454" t="s">
        <v>520</v>
      </c>
      <c r="G1396" s="454" t="s">
        <v>14619</v>
      </c>
      <c r="H1396" s="455">
        <v>8242421000130</v>
      </c>
      <c r="I1396" s="462">
        <v>38656</v>
      </c>
      <c r="J1396" s="457">
        <v>39788369</v>
      </c>
      <c r="K1396" s="454" t="s">
        <v>11261</v>
      </c>
      <c r="L1396" s="458">
        <v>111</v>
      </c>
      <c r="M1396" s="454" t="s">
        <v>11262</v>
      </c>
      <c r="N1396" s="459">
        <v>4915020</v>
      </c>
      <c r="O1396" s="460">
        <v>55146599</v>
      </c>
      <c r="P1396" s="462">
        <v>306102</v>
      </c>
      <c r="Q1396" s="462">
        <v>32</v>
      </c>
      <c r="R1396" s="462">
        <v>43983</v>
      </c>
      <c r="S1396" s="463">
        <v>121</v>
      </c>
      <c r="T1396" s="464">
        <v>3.6</v>
      </c>
      <c r="U1396" s="465">
        <v>435.6</v>
      </c>
      <c r="V1396" s="465">
        <v>10800</v>
      </c>
      <c r="W1396" s="466">
        <v>0</v>
      </c>
      <c r="X1396" s="467">
        <v>1</v>
      </c>
      <c r="Y1396" s="466">
        <v>16853.400000000001</v>
      </c>
      <c r="Z1396" s="468" t="s">
        <v>516</v>
      </c>
      <c r="AA1396" s="466">
        <v>84317.4</v>
      </c>
      <c r="AB1396" s="466">
        <v>84317.4</v>
      </c>
      <c r="AC1396" s="467">
        <v>0</v>
      </c>
      <c r="AD1396" s="466">
        <v>0</v>
      </c>
      <c r="AE1396" s="468" t="s">
        <v>516</v>
      </c>
      <c r="AF1396" s="466">
        <v>0</v>
      </c>
      <c r="AG1396" s="466">
        <v>0</v>
      </c>
      <c r="AH1396" s="466">
        <v>11341.58</v>
      </c>
      <c r="AI1396" s="466">
        <v>2996.03</v>
      </c>
      <c r="AJ1396" s="469" t="s">
        <v>1657</v>
      </c>
      <c r="AK1396" s="470" t="s">
        <v>521</v>
      </c>
      <c r="AL1396" s="471" t="s">
        <v>11263</v>
      </c>
      <c r="AM1396" s="470" t="s">
        <v>11264</v>
      </c>
      <c r="AN1396" s="470" t="s">
        <v>11260</v>
      </c>
      <c r="AO1396" s="470" t="s">
        <v>14620</v>
      </c>
      <c r="AP1396" s="470" t="s">
        <v>11262</v>
      </c>
      <c r="AQ1396" s="470" t="s">
        <v>11259</v>
      </c>
      <c r="AR1396" s="472" t="s">
        <v>515</v>
      </c>
      <c r="AS1396" s="473" t="s">
        <v>1385</v>
      </c>
      <c r="AT1396" s="472" t="s">
        <v>4613</v>
      </c>
      <c r="AU1396" s="472" t="s">
        <v>420</v>
      </c>
      <c r="AV1396" s="472">
        <v>2020</v>
      </c>
      <c r="AW1396" s="474" t="s">
        <v>15078</v>
      </c>
      <c r="AX1396" s="475" t="s">
        <v>15079</v>
      </c>
      <c r="AY1396" s="515">
        <v>1</v>
      </c>
      <c r="AZ1396" s="474" t="s">
        <v>15079</v>
      </c>
      <c r="BA1396" s="472" t="s">
        <v>4613</v>
      </c>
      <c r="BB1396" s="472" t="s">
        <v>1385</v>
      </c>
      <c r="BC1396" s="472" t="s">
        <v>1385</v>
      </c>
      <c r="BD1396" s="472" t="s">
        <v>1385</v>
      </c>
      <c r="BE1396" s="472" t="s">
        <v>1385</v>
      </c>
      <c r="BF1396" s="472">
        <v>16853.400000000001</v>
      </c>
      <c r="BG1396" s="472">
        <v>0</v>
      </c>
      <c r="BH1396" s="472" t="s">
        <v>1385</v>
      </c>
      <c r="BI1396" s="510">
        <v>0</v>
      </c>
      <c r="BJ1396" s="510">
        <v>0</v>
      </c>
      <c r="BK1396" s="510">
        <v>0</v>
      </c>
      <c r="BL1396" s="510">
        <v>0</v>
      </c>
      <c r="BM1396" s="510">
        <v>0</v>
      </c>
      <c r="BN1396" s="510">
        <v>2000</v>
      </c>
      <c r="BO1396" s="510">
        <v>0</v>
      </c>
      <c r="BP1396" s="510">
        <v>0</v>
      </c>
      <c r="BQ1396" s="510">
        <v>0</v>
      </c>
      <c r="BR1396" s="510">
        <v>0</v>
      </c>
      <c r="BS1396" s="510">
        <v>0</v>
      </c>
      <c r="BT1396" s="510">
        <v>0</v>
      </c>
      <c r="BU1396" s="510">
        <v>0</v>
      </c>
      <c r="BV1396" s="510">
        <v>0</v>
      </c>
      <c r="BW1396" s="510">
        <v>0</v>
      </c>
      <c r="BX1396" s="510">
        <v>30000</v>
      </c>
      <c r="BY1396" s="1011">
        <v>0</v>
      </c>
      <c r="BZ1396" s="510">
        <v>0</v>
      </c>
      <c r="CA1396" s="1011">
        <v>0</v>
      </c>
      <c r="CB1396" s="510">
        <v>0</v>
      </c>
      <c r="CC1396" s="1011">
        <v>0</v>
      </c>
      <c r="CD1396" s="510">
        <v>0</v>
      </c>
      <c r="CE1396" s="1011">
        <v>0</v>
      </c>
      <c r="CF1396" s="510">
        <v>37464</v>
      </c>
      <c r="CG1396" s="1011">
        <v>0</v>
      </c>
      <c r="CH1396" s="510">
        <v>0</v>
      </c>
      <c r="CI1396" s="1011">
        <v>0</v>
      </c>
    </row>
    <row r="1397" spans="1:87" x14ac:dyDescent="0.2">
      <c r="A1397" s="449">
        <v>14</v>
      </c>
      <c r="B1397" s="453">
        <v>400200</v>
      </c>
      <c r="C1397" s="454" t="s">
        <v>11265</v>
      </c>
      <c r="D1397" s="454" t="s">
        <v>4613</v>
      </c>
      <c r="E1397" s="454" t="s">
        <v>11266</v>
      </c>
      <c r="F1397" s="454" t="s">
        <v>524</v>
      </c>
      <c r="G1397" s="454" t="s">
        <v>14621</v>
      </c>
      <c r="H1397" s="455">
        <v>8283642000157</v>
      </c>
      <c r="I1397" s="462">
        <v>38958</v>
      </c>
      <c r="J1397" s="457">
        <v>37498991</v>
      </c>
      <c r="K1397" s="454" t="s">
        <v>11267</v>
      </c>
      <c r="L1397" s="458">
        <v>66</v>
      </c>
      <c r="M1397" s="454" t="s">
        <v>11268</v>
      </c>
      <c r="N1397" s="459">
        <v>4257020</v>
      </c>
      <c r="O1397" s="460">
        <v>69466434</v>
      </c>
      <c r="P1397" s="462">
        <v>199080</v>
      </c>
      <c r="Q1397" s="462">
        <v>16</v>
      </c>
      <c r="R1397" s="462">
        <v>43906</v>
      </c>
      <c r="S1397" s="463">
        <v>158</v>
      </c>
      <c r="T1397" s="464">
        <v>3.6</v>
      </c>
      <c r="U1397" s="465">
        <v>568.79999999999995</v>
      </c>
      <c r="V1397" s="465">
        <v>10800</v>
      </c>
      <c r="W1397" s="466">
        <v>0</v>
      </c>
      <c r="X1397" s="467">
        <v>1</v>
      </c>
      <c r="Y1397" s="466">
        <v>17053.2</v>
      </c>
      <c r="Z1397" s="468" t="s">
        <v>516</v>
      </c>
      <c r="AA1397" s="466">
        <v>84733.2</v>
      </c>
      <c r="AB1397" s="466">
        <v>84733.2</v>
      </c>
      <c r="AC1397" s="467">
        <v>0</v>
      </c>
      <c r="AD1397" s="466">
        <v>0</v>
      </c>
      <c r="AE1397" s="468" t="s">
        <v>516</v>
      </c>
      <c r="AF1397" s="466">
        <v>0</v>
      </c>
      <c r="AG1397" s="466">
        <v>0</v>
      </c>
      <c r="AH1397" s="466">
        <v>11164.94</v>
      </c>
      <c r="AI1397" s="466">
        <v>5424.36</v>
      </c>
      <c r="AJ1397" s="469" t="s">
        <v>6600</v>
      </c>
      <c r="AK1397" s="470" t="s">
        <v>6601</v>
      </c>
      <c r="AL1397" s="471" t="s">
        <v>11269</v>
      </c>
      <c r="AM1397" s="470" t="s">
        <v>15097</v>
      </c>
      <c r="AN1397" s="470" t="s">
        <v>14622</v>
      </c>
      <c r="AO1397" s="470" t="s">
        <v>11270</v>
      </c>
      <c r="AP1397" s="470" t="s">
        <v>11268</v>
      </c>
      <c r="AQ1397" s="470" t="s">
        <v>11265</v>
      </c>
      <c r="AR1397" s="472" t="s">
        <v>515</v>
      </c>
      <c r="AS1397" s="473" t="s">
        <v>1385</v>
      </c>
      <c r="AT1397" s="472" t="s">
        <v>4613</v>
      </c>
      <c r="AU1397" s="472" t="s">
        <v>420</v>
      </c>
      <c r="AV1397" s="472">
        <v>2020</v>
      </c>
      <c r="AW1397" s="474" t="s">
        <v>15078</v>
      </c>
      <c r="AX1397" s="475" t="s">
        <v>15079</v>
      </c>
      <c r="AY1397" s="515">
        <v>1</v>
      </c>
      <c r="AZ1397" s="474" t="s">
        <v>15079</v>
      </c>
      <c r="BA1397" s="472" t="s">
        <v>4613</v>
      </c>
      <c r="BB1397" s="472" t="s">
        <v>1385</v>
      </c>
      <c r="BC1397" s="472" t="s">
        <v>1385</v>
      </c>
      <c r="BD1397" s="472" t="s">
        <v>1385</v>
      </c>
      <c r="BE1397" s="472" t="s">
        <v>1385</v>
      </c>
      <c r="BF1397" s="472">
        <v>17053.2</v>
      </c>
      <c r="BG1397" s="472">
        <v>0</v>
      </c>
      <c r="BH1397" s="472" t="s">
        <v>1385</v>
      </c>
      <c r="BI1397" s="510">
        <v>0</v>
      </c>
      <c r="BJ1397" s="510">
        <v>0</v>
      </c>
      <c r="BK1397" s="510">
        <v>0</v>
      </c>
      <c r="BL1397" s="510">
        <v>0</v>
      </c>
      <c r="BM1397" s="510">
        <v>0</v>
      </c>
      <c r="BN1397" s="510">
        <v>2000</v>
      </c>
      <c r="BO1397" s="510">
        <v>0</v>
      </c>
      <c r="BP1397" s="510">
        <v>0</v>
      </c>
      <c r="BQ1397" s="510">
        <v>0</v>
      </c>
      <c r="BR1397" s="510">
        <v>0</v>
      </c>
      <c r="BS1397" s="510">
        <v>0</v>
      </c>
      <c r="BT1397" s="510">
        <v>0</v>
      </c>
      <c r="BU1397" s="510">
        <v>0</v>
      </c>
      <c r="BV1397" s="510">
        <v>0</v>
      </c>
      <c r="BW1397" s="510">
        <v>0</v>
      </c>
      <c r="BX1397" s="510">
        <v>30000</v>
      </c>
      <c r="BY1397" s="1011">
        <v>0</v>
      </c>
      <c r="BZ1397" s="510">
        <v>0</v>
      </c>
      <c r="CA1397" s="1011">
        <v>0</v>
      </c>
      <c r="CB1397" s="510">
        <v>0</v>
      </c>
      <c r="CC1397" s="1011">
        <v>0</v>
      </c>
      <c r="CD1397" s="510">
        <v>0</v>
      </c>
      <c r="CE1397" s="1011">
        <v>0</v>
      </c>
      <c r="CF1397" s="510">
        <v>37680</v>
      </c>
      <c r="CG1397" s="1011">
        <v>0</v>
      </c>
      <c r="CH1397" s="510">
        <v>0</v>
      </c>
      <c r="CI1397" s="1011">
        <v>0</v>
      </c>
    </row>
    <row r="1398" spans="1:87" x14ac:dyDescent="0.2">
      <c r="A1398" s="449">
        <v>22</v>
      </c>
      <c r="B1398" s="453">
        <v>400201</v>
      </c>
      <c r="C1398" s="454" t="s">
        <v>11271</v>
      </c>
      <c r="D1398" s="454" t="s">
        <v>4613</v>
      </c>
      <c r="E1398" s="454" t="s">
        <v>11272</v>
      </c>
      <c r="F1398" s="454" t="s">
        <v>521</v>
      </c>
      <c r="G1398" s="454" t="s">
        <v>14623</v>
      </c>
      <c r="H1398" s="455">
        <v>7001447000124</v>
      </c>
      <c r="I1398" s="462">
        <v>38127</v>
      </c>
      <c r="J1398" s="457">
        <v>37552465</v>
      </c>
      <c r="K1398" s="454" t="s">
        <v>11273</v>
      </c>
      <c r="L1398" s="458">
        <v>621</v>
      </c>
      <c r="M1398" s="454" t="s">
        <v>7665</v>
      </c>
      <c r="N1398" s="459">
        <v>4842040</v>
      </c>
      <c r="O1398" s="460">
        <v>56615747</v>
      </c>
      <c r="P1398" s="462">
        <v>89403</v>
      </c>
      <c r="Q1398" s="462">
        <v>77</v>
      </c>
      <c r="R1398" s="462">
        <v>43934</v>
      </c>
      <c r="S1398" s="463">
        <v>156</v>
      </c>
      <c r="T1398" s="464">
        <v>3.6</v>
      </c>
      <c r="U1398" s="465">
        <v>561.6</v>
      </c>
      <c r="V1398" s="465">
        <v>10800</v>
      </c>
      <c r="W1398" s="466">
        <v>0</v>
      </c>
      <c r="X1398" s="467">
        <v>1</v>
      </c>
      <c r="Y1398" s="466">
        <v>17042.400000000001</v>
      </c>
      <c r="Z1398" s="468" t="s">
        <v>516</v>
      </c>
      <c r="AA1398" s="466">
        <v>84744</v>
      </c>
      <c r="AB1398" s="466">
        <v>84744</v>
      </c>
      <c r="AC1398" s="467">
        <v>0</v>
      </c>
      <c r="AD1398" s="466">
        <v>0</v>
      </c>
      <c r="AE1398" s="468" t="s">
        <v>516</v>
      </c>
      <c r="AF1398" s="466">
        <v>0</v>
      </c>
      <c r="AG1398" s="466">
        <v>0</v>
      </c>
      <c r="AH1398" s="466">
        <v>10284.39</v>
      </c>
      <c r="AI1398" s="466">
        <v>2272.9499999999998</v>
      </c>
      <c r="AJ1398" s="469" t="s">
        <v>1624</v>
      </c>
      <c r="AK1398" s="470" t="s">
        <v>1625</v>
      </c>
      <c r="AL1398" s="471" t="s">
        <v>11274</v>
      </c>
      <c r="AM1398" s="470" t="s">
        <v>11275</v>
      </c>
      <c r="AN1398" s="470" t="s">
        <v>1385</v>
      </c>
      <c r="AO1398" s="470" t="s">
        <v>14624</v>
      </c>
      <c r="AP1398" s="470" t="s">
        <v>7665</v>
      </c>
      <c r="AQ1398" s="470" t="s">
        <v>11271</v>
      </c>
      <c r="AR1398" s="472" t="s">
        <v>515</v>
      </c>
      <c r="AS1398" s="473" t="s">
        <v>1385</v>
      </c>
      <c r="AT1398" s="472" t="s">
        <v>4613</v>
      </c>
      <c r="AU1398" s="472" t="s">
        <v>420</v>
      </c>
      <c r="AV1398" s="472">
        <v>2020</v>
      </c>
      <c r="AW1398" s="474" t="s">
        <v>15078</v>
      </c>
      <c r="AX1398" s="475" t="s">
        <v>15079</v>
      </c>
      <c r="AY1398" s="515">
        <v>1</v>
      </c>
      <c r="AZ1398" s="474" t="s">
        <v>15079</v>
      </c>
      <c r="BA1398" s="472" t="s">
        <v>4613</v>
      </c>
      <c r="BB1398" s="472" t="s">
        <v>1385</v>
      </c>
      <c r="BC1398" s="472" t="s">
        <v>1385</v>
      </c>
      <c r="BD1398" s="472" t="s">
        <v>1385</v>
      </c>
      <c r="BE1398" s="472" t="s">
        <v>1385</v>
      </c>
      <c r="BF1398" s="472">
        <v>17042.400000000001</v>
      </c>
      <c r="BG1398" s="472">
        <v>0</v>
      </c>
      <c r="BH1398" s="472" t="s">
        <v>1385</v>
      </c>
      <c r="BI1398" s="510">
        <v>0</v>
      </c>
      <c r="BJ1398" s="510">
        <v>0</v>
      </c>
      <c r="BK1398" s="510">
        <v>0</v>
      </c>
      <c r="BL1398" s="510">
        <v>0</v>
      </c>
      <c r="BM1398" s="510">
        <v>0</v>
      </c>
      <c r="BN1398" s="510">
        <v>2000</v>
      </c>
      <c r="BO1398" s="510">
        <v>0</v>
      </c>
      <c r="BP1398" s="510">
        <v>0</v>
      </c>
      <c r="BQ1398" s="510">
        <v>0</v>
      </c>
      <c r="BR1398" s="510">
        <v>0</v>
      </c>
      <c r="BS1398" s="510">
        <v>0</v>
      </c>
      <c r="BT1398" s="510">
        <v>0</v>
      </c>
      <c r="BU1398" s="510">
        <v>0</v>
      </c>
      <c r="BV1398" s="510">
        <v>0</v>
      </c>
      <c r="BW1398" s="510">
        <v>0</v>
      </c>
      <c r="BX1398" s="510">
        <v>30000</v>
      </c>
      <c r="BY1398" s="1011">
        <v>0</v>
      </c>
      <c r="BZ1398" s="510">
        <v>0</v>
      </c>
      <c r="CA1398" s="1011">
        <v>0</v>
      </c>
      <c r="CB1398" s="510">
        <v>0</v>
      </c>
      <c r="CC1398" s="1011">
        <v>0</v>
      </c>
      <c r="CD1398" s="510">
        <v>0</v>
      </c>
      <c r="CE1398" s="1011">
        <v>0</v>
      </c>
      <c r="CF1398" s="510">
        <v>37701.599999999999</v>
      </c>
      <c r="CG1398" s="1011">
        <v>0</v>
      </c>
      <c r="CH1398" s="510">
        <v>0</v>
      </c>
      <c r="CI1398" s="1011">
        <v>0</v>
      </c>
    </row>
    <row r="1399" spans="1:87" x14ac:dyDescent="0.2">
      <c r="A1399" s="449">
        <v>16</v>
      </c>
      <c r="B1399" s="453">
        <v>400202</v>
      </c>
      <c r="C1399" s="454" t="s">
        <v>11276</v>
      </c>
      <c r="D1399" s="454" t="s">
        <v>4613</v>
      </c>
      <c r="E1399" s="454" t="s">
        <v>11277</v>
      </c>
      <c r="F1399" s="454" t="s">
        <v>518</v>
      </c>
      <c r="G1399" s="454" t="s">
        <v>14625</v>
      </c>
      <c r="H1399" s="455">
        <v>8636056000149</v>
      </c>
      <c r="I1399" s="462">
        <v>38993</v>
      </c>
      <c r="J1399" s="457">
        <v>37470965</v>
      </c>
      <c r="K1399" s="454" t="s">
        <v>6116</v>
      </c>
      <c r="L1399" s="458">
        <v>483</v>
      </c>
      <c r="M1399" s="454" t="s">
        <v>518</v>
      </c>
      <c r="N1399" s="459">
        <v>8235590</v>
      </c>
      <c r="O1399" s="460">
        <v>20512922</v>
      </c>
      <c r="P1399" s="462">
        <v>46593</v>
      </c>
      <c r="Q1399" s="462">
        <v>16</v>
      </c>
      <c r="R1399" s="462">
        <v>43934</v>
      </c>
      <c r="S1399" s="463">
        <v>116</v>
      </c>
      <c r="T1399" s="464">
        <v>3.6</v>
      </c>
      <c r="U1399" s="465">
        <v>417.6</v>
      </c>
      <c r="V1399" s="465">
        <v>10800</v>
      </c>
      <c r="W1399" s="466">
        <v>0</v>
      </c>
      <c r="X1399" s="467">
        <v>1</v>
      </c>
      <c r="Y1399" s="466">
        <v>16826.400000000001</v>
      </c>
      <c r="Z1399" s="468" t="s">
        <v>516</v>
      </c>
      <c r="AA1399" s="466">
        <v>84175.2</v>
      </c>
      <c r="AB1399" s="466">
        <v>84175.2</v>
      </c>
      <c r="AC1399" s="467">
        <v>0</v>
      </c>
      <c r="AD1399" s="466">
        <v>0</v>
      </c>
      <c r="AE1399" s="468" t="s">
        <v>516</v>
      </c>
      <c r="AF1399" s="466">
        <v>0</v>
      </c>
      <c r="AG1399" s="466">
        <v>0</v>
      </c>
      <c r="AH1399" s="466">
        <v>15591.84</v>
      </c>
      <c r="AI1399" s="466">
        <v>5590.59</v>
      </c>
      <c r="AJ1399" s="469" t="s">
        <v>4086</v>
      </c>
      <c r="AK1399" s="470" t="s">
        <v>11279</v>
      </c>
      <c r="AL1399" s="471" t="s">
        <v>11280</v>
      </c>
      <c r="AM1399" s="470" t="s">
        <v>11281</v>
      </c>
      <c r="AN1399" s="470" t="s">
        <v>11278</v>
      </c>
      <c r="AO1399" s="470" t="s">
        <v>15055</v>
      </c>
      <c r="AP1399" s="470" t="s">
        <v>6117</v>
      </c>
      <c r="AQ1399" s="470" t="s">
        <v>11276</v>
      </c>
      <c r="AR1399" s="472" t="s">
        <v>515</v>
      </c>
      <c r="AS1399" s="473" t="s">
        <v>1385</v>
      </c>
      <c r="AT1399" s="472" t="s">
        <v>4613</v>
      </c>
      <c r="AU1399" s="472" t="s">
        <v>420</v>
      </c>
      <c r="AV1399" s="472">
        <v>2020</v>
      </c>
      <c r="AW1399" s="474" t="s">
        <v>15078</v>
      </c>
      <c r="AX1399" s="475" t="s">
        <v>15079</v>
      </c>
      <c r="AY1399" s="515">
        <v>1</v>
      </c>
      <c r="AZ1399" s="474" t="s">
        <v>15079</v>
      </c>
      <c r="BA1399" s="472" t="s">
        <v>4613</v>
      </c>
      <c r="BB1399" s="472" t="s">
        <v>1385</v>
      </c>
      <c r="BC1399" s="472" t="s">
        <v>1385</v>
      </c>
      <c r="BD1399" s="472" t="s">
        <v>1385</v>
      </c>
      <c r="BE1399" s="472" t="s">
        <v>1385</v>
      </c>
      <c r="BF1399" s="472">
        <v>16826.400000000001</v>
      </c>
      <c r="BG1399" s="472">
        <v>0</v>
      </c>
      <c r="BH1399" s="472" t="s">
        <v>1385</v>
      </c>
      <c r="BI1399" s="510">
        <v>0</v>
      </c>
      <c r="BJ1399" s="510">
        <v>1373.32</v>
      </c>
      <c r="BK1399" s="510">
        <v>0</v>
      </c>
      <c r="BL1399" s="510">
        <v>0</v>
      </c>
      <c r="BM1399" s="510">
        <v>0</v>
      </c>
      <c r="BN1399" s="510">
        <v>2000</v>
      </c>
      <c r="BO1399" s="510">
        <v>0</v>
      </c>
      <c r="BP1399" s="510">
        <v>0</v>
      </c>
      <c r="BQ1399" s="510">
        <v>0</v>
      </c>
      <c r="BR1399" s="510">
        <v>0</v>
      </c>
      <c r="BS1399" s="510">
        <v>0</v>
      </c>
      <c r="BT1399" s="510">
        <v>0</v>
      </c>
      <c r="BU1399" s="510">
        <v>0</v>
      </c>
      <c r="BV1399" s="510">
        <v>0</v>
      </c>
      <c r="BW1399" s="510">
        <v>0</v>
      </c>
      <c r="BX1399" s="510">
        <v>30000</v>
      </c>
      <c r="BY1399" s="1011">
        <v>0</v>
      </c>
      <c r="BZ1399" s="510">
        <v>0</v>
      </c>
      <c r="CA1399" s="1011">
        <v>0</v>
      </c>
      <c r="CB1399" s="510">
        <v>0</v>
      </c>
      <c r="CC1399" s="1011">
        <v>0</v>
      </c>
      <c r="CD1399" s="510">
        <v>0</v>
      </c>
      <c r="CE1399" s="1011">
        <v>0</v>
      </c>
      <c r="CF1399" s="510">
        <v>37348.800000000003</v>
      </c>
      <c r="CG1399" s="1011">
        <v>0</v>
      </c>
      <c r="CH1399" s="510">
        <v>0</v>
      </c>
      <c r="CI1399" s="1011">
        <v>0</v>
      </c>
    </row>
    <row r="1400" spans="1:87" x14ac:dyDescent="0.2">
      <c r="A1400" s="449">
        <v>33</v>
      </c>
      <c r="B1400" s="453">
        <v>400203</v>
      </c>
      <c r="C1400" s="454" t="s">
        <v>11282</v>
      </c>
      <c r="D1400" s="454" t="s">
        <v>4613</v>
      </c>
      <c r="E1400" s="454" t="s">
        <v>11282</v>
      </c>
      <c r="F1400" s="454" t="s">
        <v>520</v>
      </c>
      <c r="G1400" s="454" t="s">
        <v>14626</v>
      </c>
      <c r="H1400" s="455">
        <v>9053683000110</v>
      </c>
      <c r="I1400" s="462">
        <v>39311</v>
      </c>
      <c r="J1400" s="457">
        <v>37620932</v>
      </c>
      <c r="K1400" s="454" t="s">
        <v>11284</v>
      </c>
      <c r="L1400" s="458">
        <v>249</v>
      </c>
      <c r="M1400" s="454" t="s">
        <v>7333</v>
      </c>
      <c r="N1400" s="459">
        <v>5874120</v>
      </c>
      <c r="O1400" s="460">
        <v>58310382</v>
      </c>
      <c r="P1400" s="462">
        <v>293370</v>
      </c>
      <c r="Q1400" s="462">
        <v>33</v>
      </c>
      <c r="R1400" s="462">
        <v>43969</v>
      </c>
      <c r="S1400" s="463">
        <v>124</v>
      </c>
      <c r="T1400" s="464">
        <v>3.6</v>
      </c>
      <c r="U1400" s="465">
        <v>446.4</v>
      </c>
      <c r="V1400" s="465">
        <v>10800</v>
      </c>
      <c r="W1400" s="466">
        <v>0</v>
      </c>
      <c r="X1400" s="467">
        <v>1</v>
      </c>
      <c r="Y1400" s="466">
        <v>16869.599999999999</v>
      </c>
      <c r="Z1400" s="468" t="s">
        <v>516</v>
      </c>
      <c r="AA1400" s="466">
        <v>84340.800000000003</v>
      </c>
      <c r="AB1400" s="466">
        <v>84340.800000000003</v>
      </c>
      <c r="AC1400" s="467">
        <v>0</v>
      </c>
      <c r="AD1400" s="466">
        <v>0</v>
      </c>
      <c r="AE1400" s="468" t="s">
        <v>516</v>
      </c>
      <c r="AF1400" s="466">
        <v>0</v>
      </c>
      <c r="AG1400" s="466">
        <v>0</v>
      </c>
      <c r="AH1400" s="466">
        <v>3692.89</v>
      </c>
      <c r="AI1400" s="466">
        <v>2325.96</v>
      </c>
      <c r="AJ1400" s="469" t="s">
        <v>1470</v>
      </c>
      <c r="AK1400" s="470" t="s">
        <v>10111</v>
      </c>
      <c r="AL1400" s="471" t="s">
        <v>15119</v>
      </c>
      <c r="AM1400" s="470" t="s">
        <v>11285</v>
      </c>
      <c r="AN1400" s="470" t="s">
        <v>11283</v>
      </c>
      <c r="AO1400" s="470" t="s">
        <v>11286</v>
      </c>
      <c r="AP1400" s="470" t="s">
        <v>11287</v>
      </c>
      <c r="AQ1400" s="470" t="s">
        <v>11282</v>
      </c>
      <c r="AR1400" s="472" t="s">
        <v>515</v>
      </c>
      <c r="AS1400" s="473" t="s">
        <v>1385</v>
      </c>
      <c r="AT1400" s="472" t="s">
        <v>4613</v>
      </c>
      <c r="AU1400" s="472" t="s">
        <v>420</v>
      </c>
      <c r="AV1400" s="472">
        <v>2020</v>
      </c>
      <c r="AW1400" s="474" t="s">
        <v>15078</v>
      </c>
      <c r="AX1400" s="475" t="s">
        <v>15079</v>
      </c>
      <c r="AY1400" s="515">
        <v>1</v>
      </c>
      <c r="AZ1400" s="474" t="s">
        <v>15079</v>
      </c>
      <c r="BA1400" s="472" t="s">
        <v>4613</v>
      </c>
      <c r="BB1400" s="472" t="s">
        <v>1385</v>
      </c>
      <c r="BC1400" s="472" t="s">
        <v>1385</v>
      </c>
      <c r="BD1400" s="472" t="s">
        <v>1385</v>
      </c>
      <c r="BE1400" s="472" t="s">
        <v>1385</v>
      </c>
      <c r="BF1400" s="472">
        <v>16869.599999999999</v>
      </c>
      <c r="BG1400" s="472">
        <v>0</v>
      </c>
      <c r="BH1400" s="472" t="s">
        <v>1385</v>
      </c>
      <c r="BI1400" s="510">
        <v>0</v>
      </c>
      <c r="BJ1400" s="510">
        <v>139.30000000000001</v>
      </c>
      <c r="BK1400" s="510">
        <v>0</v>
      </c>
      <c r="BL1400" s="510">
        <v>0</v>
      </c>
      <c r="BM1400" s="510">
        <v>0</v>
      </c>
      <c r="BN1400" s="510">
        <v>2000</v>
      </c>
      <c r="BO1400" s="510">
        <v>0</v>
      </c>
      <c r="BP1400" s="510">
        <v>0</v>
      </c>
      <c r="BQ1400" s="510">
        <v>0</v>
      </c>
      <c r="BR1400" s="510">
        <v>0</v>
      </c>
      <c r="BS1400" s="510">
        <v>0</v>
      </c>
      <c r="BT1400" s="510">
        <v>0</v>
      </c>
      <c r="BU1400" s="510">
        <v>0</v>
      </c>
      <c r="BV1400" s="510">
        <v>0</v>
      </c>
      <c r="BW1400" s="510">
        <v>0</v>
      </c>
      <c r="BX1400" s="510">
        <v>30000</v>
      </c>
      <c r="BY1400" s="1011">
        <v>0</v>
      </c>
      <c r="BZ1400" s="510">
        <v>0</v>
      </c>
      <c r="CA1400" s="1011">
        <v>0</v>
      </c>
      <c r="CB1400" s="510">
        <v>0</v>
      </c>
      <c r="CC1400" s="1011">
        <v>0</v>
      </c>
      <c r="CD1400" s="510">
        <v>0</v>
      </c>
      <c r="CE1400" s="1011">
        <v>0</v>
      </c>
      <c r="CF1400" s="510">
        <v>37471.199999999997</v>
      </c>
      <c r="CG1400" s="1011">
        <v>0</v>
      </c>
      <c r="CH1400" s="510">
        <v>0</v>
      </c>
      <c r="CI1400" s="1011">
        <v>0</v>
      </c>
    </row>
    <row r="1401" spans="1:87" x14ac:dyDescent="0.2">
      <c r="A1401" s="449">
        <v>19</v>
      </c>
      <c r="B1401" s="453">
        <v>400204</v>
      </c>
      <c r="C1401" s="454" t="s">
        <v>11288</v>
      </c>
      <c r="D1401" s="454" t="s">
        <v>4613</v>
      </c>
      <c r="E1401" s="454" t="s">
        <v>11289</v>
      </c>
      <c r="F1401" s="454" t="s">
        <v>525</v>
      </c>
      <c r="G1401" s="454" t="s">
        <v>14627</v>
      </c>
      <c r="H1401" s="455">
        <v>8404734000148</v>
      </c>
      <c r="I1401" s="462">
        <v>39006</v>
      </c>
      <c r="J1401" s="457">
        <v>37357697</v>
      </c>
      <c r="K1401" s="454" t="s">
        <v>11291</v>
      </c>
      <c r="L1401" s="458">
        <v>351</v>
      </c>
      <c r="M1401" s="454" t="s">
        <v>2594</v>
      </c>
      <c r="N1401" s="459">
        <v>2180040</v>
      </c>
      <c r="O1401" s="460">
        <v>29549230</v>
      </c>
      <c r="P1401" s="462">
        <v>323473</v>
      </c>
      <c r="Q1401" s="462">
        <v>19</v>
      </c>
      <c r="R1401" s="462">
        <v>43950</v>
      </c>
      <c r="S1401" s="463">
        <v>154</v>
      </c>
      <c r="T1401" s="464">
        <v>3.6</v>
      </c>
      <c r="U1401" s="465">
        <v>554.4</v>
      </c>
      <c r="V1401" s="465">
        <v>10800</v>
      </c>
      <c r="W1401" s="466">
        <v>0</v>
      </c>
      <c r="X1401" s="467">
        <v>1</v>
      </c>
      <c r="Y1401" s="466">
        <v>17031.599999999999</v>
      </c>
      <c r="Z1401" s="468" t="s">
        <v>516</v>
      </c>
      <c r="AA1401" s="466">
        <v>84697.2</v>
      </c>
      <c r="AB1401" s="466">
        <v>84697.2</v>
      </c>
      <c r="AC1401" s="467">
        <v>0</v>
      </c>
      <c r="AD1401" s="466">
        <v>0</v>
      </c>
      <c r="AE1401" s="468" t="s">
        <v>516</v>
      </c>
      <c r="AF1401" s="466">
        <v>0</v>
      </c>
      <c r="AG1401" s="466">
        <v>0</v>
      </c>
      <c r="AH1401" s="466">
        <v>12060.02</v>
      </c>
      <c r="AI1401" s="466">
        <v>441.19</v>
      </c>
      <c r="AJ1401" s="469" t="s">
        <v>6782</v>
      </c>
      <c r="AK1401" s="470" t="s">
        <v>6783</v>
      </c>
      <c r="AL1401" s="471" t="s">
        <v>11292</v>
      </c>
      <c r="AM1401" s="470" t="s">
        <v>11293</v>
      </c>
      <c r="AN1401" s="470" t="s">
        <v>11290</v>
      </c>
      <c r="AO1401" s="470" t="s">
        <v>11294</v>
      </c>
      <c r="AP1401" s="470" t="s">
        <v>2594</v>
      </c>
      <c r="AQ1401" s="470" t="s">
        <v>11288</v>
      </c>
      <c r="AR1401" s="472" t="s">
        <v>515</v>
      </c>
      <c r="AS1401" s="473" t="s">
        <v>1385</v>
      </c>
      <c r="AT1401" s="472" t="s">
        <v>4613</v>
      </c>
      <c r="AU1401" s="472" t="s">
        <v>420</v>
      </c>
      <c r="AV1401" s="472">
        <v>2020</v>
      </c>
      <c r="AW1401" s="474" t="s">
        <v>15078</v>
      </c>
      <c r="AX1401" s="475" t="s">
        <v>15079</v>
      </c>
      <c r="AY1401" s="515">
        <v>1</v>
      </c>
      <c r="AZ1401" s="474" t="s">
        <v>15079</v>
      </c>
      <c r="BA1401" s="472" t="s">
        <v>4613</v>
      </c>
      <c r="BB1401" s="472" t="s">
        <v>1385</v>
      </c>
      <c r="BC1401" s="472" t="s">
        <v>1385</v>
      </c>
      <c r="BD1401" s="472" t="s">
        <v>1385</v>
      </c>
      <c r="BE1401" s="472" t="s">
        <v>1385</v>
      </c>
      <c r="BF1401" s="472">
        <v>17031.599999999999</v>
      </c>
      <c r="BG1401" s="472">
        <v>0</v>
      </c>
      <c r="BH1401" s="472" t="s">
        <v>1385</v>
      </c>
      <c r="BI1401" s="510">
        <v>0</v>
      </c>
      <c r="BJ1401" s="510">
        <v>0</v>
      </c>
      <c r="BK1401" s="510">
        <v>0</v>
      </c>
      <c r="BL1401" s="510">
        <v>0</v>
      </c>
      <c r="BM1401" s="510">
        <v>0</v>
      </c>
      <c r="BN1401" s="510">
        <v>2000</v>
      </c>
      <c r="BO1401" s="510">
        <v>0</v>
      </c>
      <c r="BP1401" s="510">
        <v>0</v>
      </c>
      <c r="BQ1401" s="510">
        <v>0</v>
      </c>
      <c r="BR1401" s="510">
        <v>0</v>
      </c>
      <c r="BS1401" s="510">
        <v>0</v>
      </c>
      <c r="BT1401" s="510">
        <v>0</v>
      </c>
      <c r="BU1401" s="510">
        <v>0</v>
      </c>
      <c r="BV1401" s="510">
        <v>0</v>
      </c>
      <c r="BW1401" s="510">
        <v>0</v>
      </c>
      <c r="BX1401" s="510">
        <v>30000</v>
      </c>
      <c r="BY1401" s="1011">
        <v>0</v>
      </c>
      <c r="BZ1401" s="510">
        <v>0</v>
      </c>
      <c r="CA1401" s="1011">
        <v>0</v>
      </c>
      <c r="CB1401" s="510">
        <v>0</v>
      </c>
      <c r="CC1401" s="1011">
        <v>0</v>
      </c>
      <c r="CD1401" s="510">
        <v>0</v>
      </c>
      <c r="CE1401" s="1011">
        <v>0</v>
      </c>
      <c r="CF1401" s="510">
        <v>37665.599999999999</v>
      </c>
      <c r="CG1401" s="1011">
        <v>0</v>
      </c>
      <c r="CH1401" s="510">
        <v>0</v>
      </c>
      <c r="CI1401" s="1011">
        <v>0</v>
      </c>
    </row>
    <row r="1402" spans="1:87" x14ac:dyDescent="0.2">
      <c r="A1402" s="449">
        <v>34</v>
      </c>
      <c r="B1402" s="453">
        <v>400205</v>
      </c>
      <c r="C1402" s="454" t="s">
        <v>11295</v>
      </c>
      <c r="D1402" s="454" t="s">
        <v>4613</v>
      </c>
      <c r="E1402" s="454" t="s">
        <v>11295</v>
      </c>
      <c r="F1402" s="454" t="s">
        <v>520</v>
      </c>
      <c r="G1402" s="454" t="s">
        <v>14628</v>
      </c>
      <c r="H1402" s="455">
        <v>9141616000157</v>
      </c>
      <c r="I1402" s="462">
        <v>39346</v>
      </c>
      <c r="J1402" s="457">
        <v>37629263</v>
      </c>
      <c r="K1402" s="454" t="s">
        <v>11296</v>
      </c>
      <c r="L1402" s="458">
        <v>101</v>
      </c>
      <c r="M1402" s="454" t="s">
        <v>4280</v>
      </c>
      <c r="N1402" s="459">
        <v>5773070</v>
      </c>
      <c r="O1402" s="460">
        <v>58163680</v>
      </c>
      <c r="P1402" s="462">
        <v>293400</v>
      </c>
      <c r="Q1402" s="462">
        <v>34</v>
      </c>
      <c r="R1402" s="462">
        <v>43979</v>
      </c>
      <c r="S1402" s="463">
        <v>159</v>
      </c>
      <c r="T1402" s="464">
        <v>3.6</v>
      </c>
      <c r="U1402" s="465">
        <v>572.4</v>
      </c>
      <c r="V1402" s="465">
        <v>10800</v>
      </c>
      <c r="W1402" s="466">
        <v>0</v>
      </c>
      <c r="X1402" s="467">
        <v>1</v>
      </c>
      <c r="Y1402" s="466">
        <v>17058.599999999999</v>
      </c>
      <c r="Z1402" s="468" t="s">
        <v>516</v>
      </c>
      <c r="AA1402" s="466">
        <v>84803.4</v>
      </c>
      <c r="AB1402" s="466">
        <v>84803.4</v>
      </c>
      <c r="AC1402" s="467">
        <v>0</v>
      </c>
      <c r="AD1402" s="466">
        <v>0</v>
      </c>
      <c r="AE1402" s="468" t="s">
        <v>516</v>
      </c>
      <c r="AF1402" s="466">
        <v>0</v>
      </c>
      <c r="AG1402" s="466">
        <v>0</v>
      </c>
      <c r="AH1402" s="466">
        <v>15723.88</v>
      </c>
      <c r="AI1402" s="466">
        <v>4566.62</v>
      </c>
      <c r="AJ1402" s="469" t="s">
        <v>1515</v>
      </c>
      <c r="AK1402" s="470" t="s">
        <v>1516</v>
      </c>
      <c r="AL1402" s="471" t="s">
        <v>11297</v>
      </c>
      <c r="AM1402" s="470" t="s">
        <v>11298</v>
      </c>
      <c r="AN1402" s="470" t="s">
        <v>11299</v>
      </c>
      <c r="AO1402" s="470" t="s">
        <v>14629</v>
      </c>
      <c r="AP1402" s="470" t="s">
        <v>4280</v>
      </c>
      <c r="AQ1402" s="470" t="s">
        <v>11295</v>
      </c>
      <c r="AR1402" s="472" t="s">
        <v>515</v>
      </c>
      <c r="AS1402" s="473" t="s">
        <v>1385</v>
      </c>
      <c r="AT1402" s="472" t="s">
        <v>4613</v>
      </c>
      <c r="AU1402" s="472" t="s">
        <v>420</v>
      </c>
      <c r="AV1402" s="472">
        <v>2020</v>
      </c>
      <c r="AW1402" s="474" t="s">
        <v>15078</v>
      </c>
      <c r="AX1402" s="475" t="s">
        <v>15079</v>
      </c>
      <c r="AY1402" s="515">
        <v>1</v>
      </c>
      <c r="AZ1402" s="474" t="s">
        <v>15079</v>
      </c>
      <c r="BA1402" s="472" t="s">
        <v>4613</v>
      </c>
      <c r="BB1402" s="472" t="s">
        <v>1385</v>
      </c>
      <c r="BC1402" s="472" t="s">
        <v>1385</v>
      </c>
      <c r="BD1402" s="472" t="s">
        <v>1385</v>
      </c>
      <c r="BE1402" s="472" t="s">
        <v>1385</v>
      </c>
      <c r="BF1402" s="472">
        <v>17058.599999999999</v>
      </c>
      <c r="BG1402" s="472">
        <v>0</v>
      </c>
      <c r="BH1402" s="472" t="s">
        <v>1385</v>
      </c>
      <c r="BI1402" s="510">
        <v>0</v>
      </c>
      <c r="BJ1402" s="510">
        <v>0</v>
      </c>
      <c r="BK1402" s="510">
        <v>0</v>
      </c>
      <c r="BL1402" s="510">
        <v>0</v>
      </c>
      <c r="BM1402" s="510">
        <v>0</v>
      </c>
      <c r="BN1402" s="510">
        <v>2000</v>
      </c>
      <c r="BO1402" s="510">
        <v>0</v>
      </c>
      <c r="BP1402" s="510">
        <v>0</v>
      </c>
      <c r="BQ1402" s="510">
        <v>0</v>
      </c>
      <c r="BR1402" s="510">
        <v>0</v>
      </c>
      <c r="BS1402" s="510">
        <v>0</v>
      </c>
      <c r="BT1402" s="510">
        <v>0</v>
      </c>
      <c r="BU1402" s="510">
        <v>0</v>
      </c>
      <c r="BV1402" s="510">
        <v>0</v>
      </c>
      <c r="BW1402" s="510">
        <v>0</v>
      </c>
      <c r="BX1402" s="510">
        <v>30000</v>
      </c>
      <c r="BY1402" s="1011">
        <v>0</v>
      </c>
      <c r="BZ1402" s="510">
        <v>0</v>
      </c>
      <c r="CA1402" s="1011">
        <v>0</v>
      </c>
      <c r="CB1402" s="510">
        <v>0</v>
      </c>
      <c r="CC1402" s="1011">
        <v>0</v>
      </c>
      <c r="CD1402" s="510">
        <v>0</v>
      </c>
      <c r="CE1402" s="1011">
        <v>0</v>
      </c>
      <c r="CF1402" s="510">
        <v>37744.800000000003</v>
      </c>
      <c r="CG1402" s="1011">
        <v>0</v>
      </c>
      <c r="CH1402" s="510">
        <v>0</v>
      </c>
      <c r="CI1402" s="1011">
        <v>0</v>
      </c>
    </row>
    <row r="1403" spans="1:87" x14ac:dyDescent="0.2">
      <c r="A1403" s="449">
        <v>11</v>
      </c>
      <c r="B1403" s="453">
        <v>400206</v>
      </c>
      <c r="C1403" s="454" t="s">
        <v>11300</v>
      </c>
      <c r="D1403" s="454" t="s">
        <v>4613</v>
      </c>
      <c r="E1403" s="454" t="s">
        <v>11301</v>
      </c>
      <c r="F1403" s="454" t="s">
        <v>529</v>
      </c>
      <c r="G1403" s="454" t="s">
        <v>14630</v>
      </c>
      <c r="H1403" s="455">
        <v>8058241000101</v>
      </c>
      <c r="I1403" s="462">
        <v>38720</v>
      </c>
      <c r="J1403" s="457">
        <v>37523740</v>
      </c>
      <c r="K1403" s="454" t="s">
        <v>11302</v>
      </c>
      <c r="L1403" s="458">
        <v>400</v>
      </c>
      <c r="M1403" s="454" t="s">
        <v>1545</v>
      </c>
      <c r="N1403" s="459">
        <v>4446125</v>
      </c>
      <c r="O1403" s="460">
        <v>56117294</v>
      </c>
      <c r="P1403" s="462">
        <v>563172</v>
      </c>
      <c r="Q1403" s="462">
        <v>12</v>
      </c>
      <c r="R1403" s="462">
        <v>43921</v>
      </c>
      <c r="S1403" s="463">
        <v>95</v>
      </c>
      <c r="T1403" s="464">
        <v>3.6</v>
      </c>
      <c r="U1403" s="465">
        <v>342</v>
      </c>
      <c r="V1403" s="465">
        <v>10800</v>
      </c>
      <c r="W1403" s="466">
        <v>0</v>
      </c>
      <c r="X1403" s="467">
        <v>1</v>
      </c>
      <c r="Y1403" s="466">
        <v>16713</v>
      </c>
      <c r="Z1403" s="468" t="s">
        <v>516</v>
      </c>
      <c r="AA1403" s="466">
        <v>84105</v>
      </c>
      <c r="AB1403" s="466">
        <v>84105</v>
      </c>
      <c r="AC1403" s="467">
        <v>0</v>
      </c>
      <c r="AD1403" s="466">
        <v>0</v>
      </c>
      <c r="AE1403" s="468" t="s">
        <v>516</v>
      </c>
      <c r="AF1403" s="466">
        <v>0</v>
      </c>
      <c r="AG1403" s="466">
        <v>0</v>
      </c>
      <c r="AH1403" s="466">
        <v>13315.34</v>
      </c>
      <c r="AI1403" s="466">
        <v>0</v>
      </c>
      <c r="AJ1403" s="469" t="s">
        <v>1544</v>
      </c>
      <c r="AK1403" s="470" t="s">
        <v>1545</v>
      </c>
      <c r="AL1403" s="471" t="s">
        <v>11303</v>
      </c>
      <c r="AM1403" s="470" t="s">
        <v>11304</v>
      </c>
      <c r="AN1403" s="470" t="s">
        <v>14630</v>
      </c>
      <c r="AO1403" s="470" t="s">
        <v>11305</v>
      </c>
      <c r="AP1403" s="470" t="s">
        <v>11306</v>
      </c>
      <c r="AQ1403" s="470" t="s">
        <v>11300</v>
      </c>
      <c r="AR1403" s="472" t="s">
        <v>515</v>
      </c>
      <c r="AS1403" s="473" t="s">
        <v>1385</v>
      </c>
      <c r="AT1403" s="472" t="s">
        <v>4613</v>
      </c>
      <c r="AU1403" s="472" t="s">
        <v>420</v>
      </c>
      <c r="AV1403" s="472">
        <v>2020</v>
      </c>
      <c r="AW1403" s="474" t="s">
        <v>15078</v>
      </c>
      <c r="AX1403" s="475" t="s">
        <v>15079</v>
      </c>
      <c r="AY1403" s="515">
        <v>1</v>
      </c>
      <c r="AZ1403" s="474" t="s">
        <v>15079</v>
      </c>
      <c r="BA1403" s="472" t="s">
        <v>4613</v>
      </c>
      <c r="BB1403" s="472" t="s">
        <v>1385</v>
      </c>
      <c r="BC1403" s="472" t="s">
        <v>1385</v>
      </c>
      <c r="BD1403" s="472" t="s">
        <v>1385</v>
      </c>
      <c r="BE1403" s="472" t="s">
        <v>1385</v>
      </c>
      <c r="BF1403" s="472">
        <v>16713</v>
      </c>
      <c r="BG1403" s="472">
        <v>0</v>
      </c>
      <c r="BH1403" s="472" t="s">
        <v>1385</v>
      </c>
      <c r="BI1403" s="510">
        <v>0</v>
      </c>
      <c r="BJ1403" s="510">
        <v>0</v>
      </c>
      <c r="BK1403" s="510">
        <v>0</v>
      </c>
      <c r="BL1403" s="510">
        <v>0</v>
      </c>
      <c r="BM1403" s="510">
        <v>0</v>
      </c>
      <c r="BN1403" s="510">
        <v>1500</v>
      </c>
      <c r="BO1403" s="510">
        <v>0</v>
      </c>
      <c r="BP1403" s="510">
        <v>0</v>
      </c>
      <c r="BQ1403" s="510">
        <v>0</v>
      </c>
      <c r="BR1403" s="510">
        <v>0</v>
      </c>
      <c r="BS1403" s="510">
        <v>0</v>
      </c>
      <c r="BT1403" s="510">
        <v>0</v>
      </c>
      <c r="BU1403" s="510">
        <v>0</v>
      </c>
      <c r="BV1403" s="510">
        <v>0</v>
      </c>
      <c r="BW1403" s="510">
        <v>0</v>
      </c>
      <c r="BX1403" s="510">
        <v>30000</v>
      </c>
      <c r="BY1403" s="1011">
        <v>0</v>
      </c>
      <c r="BZ1403" s="510">
        <v>0</v>
      </c>
      <c r="CA1403" s="1011">
        <v>0</v>
      </c>
      <c r="CB1403" s="510">
        <v>0</v>
      </c>
      <c r="CC1403" s="1011">
        <v>0</v>
      </c>
      <c r="CD1403" s="510">
        <v>0</v>
      </c>
      <c r="CE1403" s="1011">
        <v>0</v>
      </c>
      <c r="CF1403" s="510">
        <v>37392</v>
      </c>
      <c r="CG1403" s="1011">
        <v>0</v>
      </c>
      <c r="CH1403" s="510">
        <v>0</v>
      </c>
      <c r="CI1403" s="1011">
        <v>0</v>
      </c>
    </row>
    <row r="1404" spans="1:87" x14ac:dyDescent="0.2">
      <c r="A1404" s="449">
        <v>29</v>
      </c>
      <c r="B1404" s="453">
        <v>400207</v>
      </c>
      <c r="C1404" s="454" t="s">
        <v>11307</v>
      </c>
      <c r="D1404" s="454" t="s">
        <v>4613</v>
      </c>
      <c r="E1404" s="454" t="s">
        <v>11308</v>
      </c>
      <c r="F1404" s="454" t="s">
        <v>526</v>
      </c>
      <c r="G1404" s="454" t="s">
        <v>14631</v>
      </c>
      <c r="H1404" s="455">
        <v>8404518000100</v>
      </c>
      <c r="I1404" s="462">
        <v>39006</v>
      </c>
      <c r="J1404" s="457">
        <v>37529382</v>
      </c>
      <c r="K1404" s="454" t="s">
        <v>11309</v>
      </c>
      <c r="L1404" s="458">
        <v>274</v>
      </c>
      <c r="M1404" s="454" t="s">
        <v>11310</v>
      </c>
      <c r="N1404" s="459">
        <v>8122440</v>
      </c>
      <c r="O1404" s="460">
        <v>29632467</v>
      </c>
      <c r="P1404" s="462">
        <v>194746</v>
      </c>
      <c r="Q1404" s="462">
        <v>29</v>
      </c>
      <c r="R1404" s="462">
        <v>43928</v>
      </c>
      <c r="S1404" s="463">
        <v>115</v>
      </c>
      <c r="T1404" s="464">
        <v>3.6</v>
      </c>
      <c r="U1404" s="465">
        <v>414</v>
      </c>
      <c r="V1404" s="465">
        <v>10800</v>
      </c>
      <c r="W1404" s="466">
        <v>0</v>
      </c>
      <c r="X1404" s="467">
        <v>1</v>
      </c>
      <c r="Y1404" s="466">
        <v>16821</v>
      </c>
      <c r="Z1404" s="468" t="s">
        <v>516</v>
      </c>
      <c r="AA1404" s="466">
        <v>84148.2</v>
      </c>
      <c r="AB1404" s="466">
        <v>84148.2</v>
      </c>
      <c r="AC1404" s="467">
        <v>0</v>
      </c>
      <c r="AD1404" s="466">
        <v>0</v>
      </c>
      <c r="AE1404" s="468" t="s">
        <v>516</v>
      </c>
      <c r="AF1404" s="466">
        <v>0</v>
      </c>
      <c r="AG1404" s="466">
        <v>0</v>
      </c>
      <c r="AH1404" s="466">
        <v>22125.09</v>
      </c>
      <c r="AI1404" s="466">
        <v>0</v>
      </c>
      <c r="AJ1404" s="469" t="s">
        <v>1410</v>
      </c>
      <c r="AK1404" s="470" t="s">
        <v>1411</v>
      </c>
      <c r="AL1404" s="471" t="s">
        <v>11311</v>
      </c>
      <c r="AM1404" s="470" t="s">
        <v>11312</v>
      </c>
      <c r="AN1404" s="470" t="s">
        <v>1385</v>
      </c>
      <c r="AO1404" s="470" t="s">
        <v>14632</v>
      </c>
      <c r="AP1404" s="470" t="s">
        <v>11313</v>
      </c>
      <c r="AQ1404" s="470" t="s">
        <v>11307</v>
      </c>
      <c r="AR1404" s="472" t="s">
        <v>515</v>
      </c>
      <c r="AS1404" s="473" t="s">
        <v>1385</v>
      </c>
      <c r="AT1404" s="472" t="s">
        <v>4613</v>
      </c>
      <c r="AU1404" s="472" t="s">
        <v>420</v>
      </c>
      <c r="AV1404" s="472">
        <v>2020</v>
      </c>
      <c r="AW1404" s="474" t="s">
        <v>15078</v>
      </c>
      <c r="AX1404" s="475" t="s">
        <v>15079</v>
      </c>
      <c r="AY1404" s="515">
        <v>1</v>
      </c>
      <c r="AZ1404" s="474" t="s">
        <v>15079</v>
      </c>
      <c r="BA1404" s="472" t="s">
        <v>4613</v>
      </c>
      <c r="BB1404" s="472" t="s">
        <v>1385</v>
      </c>
      <c r="BC1404" s="472" t="s">
        <v>1385</v>
      </c>
      <c r="BD1404" s="472" t="s">
        <v>1385</v>
      </c>
      <c r="BE1404" s="472" t="s">
        <v>1385</v>
      </c>
      <c r="BF1404" s="472">
        <v>16821</v>
      </c>
      <c r="BG1404" s="472">
        <v>0</v>
      </c>
      <c r="BH1404" s="472" t="s">
        <v>1385</v>
      </c>
      <c r="BI1404" s="510">
        <v>0</v>
      </c>
      <c r="BJ1404" s="510">
        <v>0</v>
      </c>
      <c r="BK1404" s="510">
        <v>0</v>
      </c>
      <c r="BL1404" s="510">
        <v>0</v>
      </c>
      <c r="BM1404" s="510">
        <v>0</v>
      </c>
      <c r="BN1404" s="510">
        <v>2000</v>
      </c>
      <c r="BO1404" s="510">
        <v>0</v>
      </c>
      <c r="BP1404" s="510">
        <v>0</v>
      </c>
      <c r="BQ1404" s="510">
        <v>0</v>
      </c>
      <c r="BR1404" s="510">
        <v>0</v>
      </c>
      <c r="BS1404" s="510">
        <v>0</v>
      </c>
      <c r="BT1404" s="510">
        <v>0</v>
      </c>
      <c r="BU1404" s="510">
        <v>0</v>
      </c>
      <c r="BV1404" s="510">
        <v>0</v>
      </c>
      <c r="BW1404" s="510">
        <v>0</v>
      </c>
      <c r="BX1404" s="510">
        <v>30000</v>
      </c>
      <c r="BY1404" s="1011">
        <v>0</v>
      </c>
      <c r="BZ1404" s="510">
        <v>0</v>
      </c>
      <c r="CA1404" s="1011">
        <v>0</v>
      </c>
      <c r="CB1404" s="510">
        <v>0</v>
      </c>
      <c r="CC1404" s="1011">
        <v>0</v>
      </c>
      <c r="CD1404" s="510">
        <v>0</v>
      </c>
      <c r="CE1404" s="1011">
        <v>0</v>
      </c>
      <c r="CF1404" s="510">
        <v>37327.199999999997</v>
      </c>
      <c r="CG1404" s="1011">
        <v>0</v>
      </c>
      <c r="CH1404" s="510">
        <v>0</v>
      </c>
      <c r="CI1404" s="1011">
        <v>0</v>
      </c>
    </row>
    <row r="1405" spans="1:87" x14ac:dyDescent="0.2">
      <c r="A1405" s="449">
        <v>23</v>
      </c>
      <c r="B1405" s="453">
        <v>400208</v>
      </c>
      <c r="C1405" s="454" t="s">
        <v>11314</v>
      </c>
      <c r="D1405" s="454" t="s">
        <v>4613</v>
      </c>
      <c r="E1405" s="454" t="s">
        <v>11315</v>
      </c>
      <c r="F1405" s="454" t="s">
        <v>513</v>
      </c>
      <c r="G1405" s="454" t="s">
        <v>14633</v>
      </c>
      <c r="H1405" s="455">
        <v>7419291000104</v>
      </c>
      <c r="I1405" s="462">
        <v>38363</v>
      </c>
      <c r="J1405" s="457">
        <v>37529471</v>
      </c>
      <c r="K1405" s="454" t="s">
        <v>11316</v>
      </c>
      <c r="L1405" s="458">
        <v>340</v>
      </c>
      <c r="M1405" s="454" t="s">
        <v>7044</v>
      </c>
      <c r="N1405" s="459">
        <v>3982130</v>
      </c>
      <c r="O1405" s="460">
        <v>27032478</v>
      </c>
      <c r="P1405" s="462">
        <v>145389</v>
      </c>
      <c r="Q1405" s="462">
        <v>23</v>
      </c>
      <c r="R1405" s="462">
        <v>43937</v>
      </c>
      <c r="S1405" s="463">
        <v>126</v>
      </c>
      <c r="T1405" s="464">
        <v>3.6</v>
      </c>
      <c r="U1405" s="465">
        <v>453.6</v>
      </c>
      <c r="V1405" s="465">
        <v>10800</v>
      </c>
      <c r="W1405" s="466">
        <v>0</v>
      </c>
      <c r="X1405" s="467">
        <v>1</v>
      </c>
      <c r="Y1405" s="466">
        <v>16880.400000000001</v>
      </c>
      <c r="Z1405" s="468" t="s">
        <v>516</v>
      </c>
      <c r="AA1405" s="466">
        <v>84344.4</v>
      </c>
      <c r="AB1405" s="466">
        <v>84344.4</v>
      </c>
      <c r="AC1405" s="467">
        <v>0</v>
      </c>
      <c r="AD1405" s="466">
        <v>0</v>
      </c>
      <c r="AE1405" s="468" t="s">
        <v>516</v>
      </c>
      <c r="AF1405" s="466">
        <v>0</v>
      </c>
      <c r="AG1405" s="466">
        <v>0</v>
      </c>
      <c r="AH1405" s="466">
        <v>11545.69</v>
      </c>
      <c r="AI1405" s="466">
        <v>9827.93</v>
      </c>
      <c r="AJ1405" s="469" t="s">
        <v>1580</v>
      </c>
      <c r="AK1405" s="470" t="s">
        <v>1879</v>
      </c>
      <c r="AL1405" s="471" t="s">
        <v>11317</v>
      </c>
      <c r="AM1405" s="470" t="s">
        <v>11318</v>
      </c>
      <c r="AN1405" s="470" t="s">
        <v>1385</v>
      </c>
      <c r="AO1405" s="470" t="s">
        <v>11319</v>
      </c>
      <c r="AP1405" s="470" t="s">
        <v>7044</v>
      </c>
      <c r="AQ1405" s="470" t="s">
        <v>11314</v>
      </c>
      <c r="AR1405" s="472" t="s">
        <v>515</v>
      </c>
      <c r="AS1405" s="473" t="s">
        <v>1385</v>
      </c>
      <c r="AT1405" s="472" t="s">
        <v>4613</v>
      </c>
      <c r="AU1405" s="472" t="s">
        <v>420</v>
      </c>
      <c r="AV1405" s="472">
        <v>2020</v>
      </c>
      <c r="AW1405" s="474" t="s">
        <v>15078</v>
      </c>
      <c r="AX1405" s="475" t="s">
        <v>15079</v>
      </c>
      <c r="AY1405" s="515">
        <v>1</v>
      </c>
      <c r="AZ1405" s="474" t="s">
        <v>15079</v>
      </c>
      <c r="BA1405" s="472" t="s">
        <v>4613</v>
      </c>
      <c r="BB1405" s="472" t="s">
        <v>1385</v>
      </c>
      <c r="BC1405" s="472" t="s">
        <v>1385</v>
      </c>
      <c r="BD1405" s="472" t="s">
        <v>1385</v>
      </c>
      <c r="BE1405" s="472" t="s">
        <v>1385</v>
      </c>
      <c r="BF1405" s="472">
        <v>16880.400000000001</v>
      </c>
      <c r="BG1405" s="472">
        <v>0</v>
      </c>
      <c r="BH1405" s="472" t="s">
        <v>1385</v>
      </c>
      <c r="BI1405" s="510">
        <v>0</v>
      </c>
      <c r="BJ1405" s="510">
        <v>0</v>
      </c>
      <c r="BK1405" s="510">
        <v>0</v>
      </c>
      <c r="BL1405" s="510">
        <v>0</v>
      </c>
      <c r="BM1405" s="510">
        <v>0</v>
      </c>
      <c r="BN1405" s="510">
        <v>2000</v>
      </c>
      <c r="BO1405" s="510">
        <v>0</v>
      </c>
      <c r="BP1405" s="510">
        <v>0</v>
      </c>
      <c r="BQ1405" s="510">
        <v>0</v>
      </c>
      <c r="BR1405" s="510">
        <v>0</v>
      </c>
      <c r="BS1405" s="510">
        <v>0</v>
      </c>
      <c r="BT1405" s="510">
        <v>0</v>
      </c>
      <c r="BU1405" s="510">
        <v>0</v>
      </c>
      <c r="BV1405" s="510">
        <v>0</v>
      </c>
      <c r="BW1405" s="510">
        <v>0</v>
      </c>
      <c r="BX1405" s="510">
        <v>30000</v>
      </c>
      <c r="BY1405" s="1011">
        <v>0</v>
      </c>
      <c r="BZ1405" s="510">
        <v>0</v>
      </c>
      <c r="CA1405" s="1011">
        <v>0</v>
      </c>
      <c r="CB1405" s="510">
        <v>0</v>
      </c>
      <c r="CC1405" s="1011">
        <v>0</v>
      </c>
      <c r="CD1405" s="510">
        <v>0</v>
      </c>
      <c r="CE1405" s="1011">
        <v>0</v>
      </c>
      <c r="CF1405" s="510">
        <v>37464</v>
      </c>
      <c r="CG1405" s="1011">
        <v>0</v>
      </c>
      <c r="CH1405" s="510">
        <v>0</v>
      </c>
      <c r="CI1405" s="1011">
        <v>0</v>
      </c>
    </row>
    <row r="1406" spans="1:87" x14ac:dyDescent="0.2">
      <c r="A1406" s="449">
        <v>35</v>
      </c>
      <c r="B1406" s="453">
        <v>400209</v>
      </c>
      <c r="C1406" s="454" t="s">
        <v>11320</v>
      </c>
      <c r="D1406" s="454" t="s">
        <v>4613</v>
      </c>
      <c r="E1406" s="454" t="s">
        <v>11320</v>
      </c>
      <c r="F1406" s="454" t="s">
        <v>520</v>
      </c>
      <c r="G1406" s="454" t="s">
        <v>14634</v>
      </c>
      <c r="H1406" s="455">
        <v>7730295000109</v>
      </c>
      <c r="I1406" s="462">
        <v>38665</v>
      </c>
      <c r="J1406" s="457">
        <v>37620959</v>
      </c>
      <c r="K1406" s="454" t="s">
        <v>11321</v>
      </c>
      <c r="L1406" s="458">
        <v>80</v>
      </c>
      <c r="M1406" s="454" t="s">
        <v>11322</v>
      </c>
      <c r="N1406" s="459">
        <v>4931100</v>
      </c>
      <c r="O1406" s="460">
        <v>58326446</v>
      </c>
      <c r="P1406" s="462">
        <v>293884</v>
      </c>
      <c r="Q1406" s="462">
        <v>35</v>
      </c>
      <c r="R1406" s="462">
        <v>43979</v>
      </c>
      <c r="S1406" s="463">
        <v>131</v>
      </c>
      <c r="T1406" s="464">
        <v>3.6</v>
      </c>
      <c r="U1406" s="465">
        <v>471.6</v>
      </c>
      <c r="V1406" s="465">
        <v>10800</v>
      </c>
      <c r="W1406" s="466">
        <v>0</v>
      </c>
      <c r="X1406" s="467">
        <v>1</v>
      </c>
      <c r="Y1406" s="466">
        <v>16907.400000000001</v>
      </c>
      <c r="Z1406" s="468" t="s">
        <v>516</v>
      </c>
      <c r="AA1406" s="466">
        <v>84457.8</v>
      </c>
      <c r="AB1406" s="466">
        <v>84457.8</v>
      </c>
      <c r="AC1406" s="467">
        <v>0</v>
      </c>
      <c r="AD1406" s="466">
        <v>0</v>
      </c>
      <c r="AE1406" s="468" t="s">
        <v>516</v>
      </c>
      <c r="AF1406" s="466">
        <v>0</v>
      </c>
      <c r="AG1406" s="466">
        <v>0</v>
      </c>
      <c r="AH1406" s="466">
        <v>24430.22</v>
      </c>
      <c r="AI1406" s="466">
        <v>11864.36</v>
      </c>
      <c r="AJ1406" s="469" t="s">
        <v>1515</v>
      </c>
      <c r="AK1406" s="470" t="s">
        <v>1516</v>
      </c>
      <c r="AL1406" s="471" t="s">
        <v>11323</v>
      </c>
      <c r="AM1406" s="470" t="s">
        <v>11324</v>
      </c>
      <c r="AN1406" s="470" t="s">
        <v>11325</v>
      </c>
      <c r="AO1406" s="470" t="s">
        <v>11326</v>
      </c>
      <c r="AP1406" s="470" t="s">
        <v>11327</v>
      </c>
      <c r="AQ1406" s="470" t="s">
        <v>11320</v>
      </c>
      <c r="AR1406" s="472" t="s">
        <v>515</v>
      </c>
      <c r="AS1406" s="473" t="s">
        <v>1385</v>
      </c>
      <c r="AT1406" s="472" t="s">
        <v>4613</v>
      </c>
      <c r="AU1406" s="472" t="s">
        <v>420</v>
      </c>
      <c r="AV1406" s="472">
        <v>2020</v>
      </c>
      <c r="AW1406" s="474" t="s">
        <v>15078</v>
      </c>
      <c r="AX1406" s="475" t="s">
        <v>15079</v>
      </c>
      <c r="AY1406" s="515">
        <v>1</v>
      </c>
      <c r="AZ1406" s="474" t="s">
        <v>15079</v>
      </c>
      <c r="BA1406" s="472" t="s">
        <v>4613</v>
      </c>
      <c r="BB1406" s="472" t="s">
        <v>1385</v>
      </c>
      <c r="BC1406" s="472" t="s">
        <v>1385</v>
      </c>
      <c r="BD1406" s="472" t="s">
        <v>1385</v>
      </c>
      <c r="BE1406" s="472" t="s">
        <v>1385</v>
      </c>
      <c r="BF1406" s="472">
        <v>16907.400000000001</v>
      </c>
      <c r="BG1406" s="472">
        <v>0</v>
      </c>
      <c r="BH1406" s="472" t="s">
        <v>1385</v>
      </c>
      <c r="BI1406" s="510">
        <v>0</v>
      </c>
      <c r="BJ1406" s="510">
        <v>412.8</v>
      </c>
      <c r="BK1406" s="510">
        <v>0</v>
      </c>
      <c r="BL1406" s="510">
        <v>0</v>
      </c>
      <c r="BM1406" s="510">
        <v>0</v>
      </c>
      <c r="BN1406" s="510">
        <v>2000</v>
      </c>
      <c r="BO1406" s="510">
        <v>0</v>
      </c>
      <c r="BP1406" s="510">
        <v>0</v>
      </c>
      <c r="BQ1406" s="510">
        <v>0</v>
      </c>
      <c r="BR1406" s="510">
        <v>0</v>
      </c>
      <c r="BS1406" s="510">
        <v>0</v>
      </c>
      <c r="BT1406" s="510">
        <v>0</v>
      </c>
      <c r="BU1406" s="510">
        <v>0</v>
      </c>
      <c r="BV1406" s="510">
        <v>0</v>
      </c>
      <c r="BW1406" s="510">
        <v>0</v>
      </c>
      <c r="BX1406" s="510">
        <v>30000</v>
      </c>
      <c r="BY1406" s="1011">
        <v>0</v>
      </c>
      <c r="BZ1406" s="510">
        <v>0</v>
      </c>
      <c r="CA1406" s="1011">
        <v>0</v>
      </c>
      <c r="CB1406" s="510">
        <v>0</v>
      </c>
      <c r="CC1406" s="1011">
        <v>0</v>
      </c>
      <c r="CD1406" s="510">
        <v>0</v>
      </c>
      <c r="CE1406" s="1011">
        <v>0</v>
      </c>
      <c r="CF1406" s="510">
        <v>37550.400000000001</v>
      </c>
      <c r="CG1406" s="1011">
        <v>0</v>
      </c>
      <c r="CH1406" s="510">
        <v>0</v>
      </c>
      <c r="CI1406" s="1011">
        <v>0</v>
      </c>
    </row>
    <row r="1407" spans="1:87" x14ac:dyDescent="0.2">
      <c r="A1407" s="449">
        <v>30</v>
      </c>
      <c r="B1407" s="453">
        <v>400210</v>
      </c>
      <c r="C1407" s="454" t="s">
        <v>11328</v>
      </c>
      <c r="D1407" s="454" t="s">
        <v>4613</v>
      </c>
      <c r="E1407" s="454" t="s">
        <v>11329</v>
      </c>
      <c r="F1407" s="454" t="s">
        <v>526</v>
      </c>
      <c r="G1407" s="454" t="s">
        <v>14635</v>
      </c>
      <c r="H1407" s="455">
        <v>8314941000101</v>
      </c>
      <c r="I1407" s="462">
        <v>38968</v>
      </c>
      <c r="J1407" s="457">
        <v>37529358</v>
      </c>
      <c r="K1407" s="454" t="s">
        <v>11330</v>
      </c>
      <c r="L1407" s="458">
        <v>120</v>
      </c>
      <c r="M1407" s="454" t="s">
        <v>1838</v>
      </c>
      <c r="N1407" s="459">
        <v>8161530</v>
      </c>
      <c r="O1407" s="460">
        <v>20354740</v>
      </c>
      <c r="P1407" s="462">
        <v>130217</v>
      </c>
      <c r="Q1407" s="462">
        <v>30</v>
      </c>
      <c r="R1407" s="462">
        <v>43928</v>
      </c>
      <c r="S1407" s="463">
        <v>136</v>
      </c>
      <c r="T1407" s="464">
        <v>3.6</v>
      </c>
      <c r="U1407" s="465">
        <v>489.6</v>
      </c>
      <c r="V1407" s="465">
        <v>10800</v>
      </c>
      <c r="W1407" s="466">
        <v>0</v>
      </c>
      <c r="X1407" s="467">
        <v>1</v>
      </c>
      <c r="Y1407" s="466">
        <v>16934.400000000001</v>
      </c>
      <c r="Z1407" s="468" t="s">
        <v>516</v>
      </c>
      <c r="AA1407" s="466">
        <v>84391.2</v>
      </c>
      <c r="AB1407" s="466">
        <v>84391.2</v>
      </c>
      <c r="AC1407" s="467">
        <v>0</v>
      </c>
      <c r="AD1407" s="466">
        <v>0</v>
      </c>
      <c r="AE1407" s="468" t="s">
        <v>516</v>
      </c>
      <c r="AF1407" s="466">
        <v>0</v>
      </c>
      <c r="AG1407" s="466">
        <v>0</v>
      </c>
      <c r="AH1407" s="466">
        <v>4226.6499999999996</v>
      </c>
      <c r="AI1407" s="466">
        <v>0</v>
      </c>
      <c r="AJ1407" s="469" t="s">
        <v>1839</v>
      </c>
      <c r="AK1407" s="470" t="s">
        <v>526</v>
      </c>
      <c r="AL1407" s="471" t="s">
        <v>11331</v>
      </c>
      <c r="AM1407" s="470" t="s">
        <v>11332</v>
      </c>
      <c r="AN1407" s="470" t="s">
        <v>1385</v>
      </c>
      <c r="AO1407" s="470" t="s">
        <v>14636</v>
      </c>
      <c r="AP1407" s="470" t="s">
        <v>4063</v>
      </c>
      <c r="AQ1407" s="470" t="s">
        <v>11328</v>
      </c>
      <c r="AR1407" s="472" t="s">
        <v>515</v>
      </c>
      <c r="AS1407" s="473" t="s">
        <v>1385</v>
      </c>
      <c r="AT1407" s="472" t="s">
        <v>4613</v>
      </c>
      <c r="AU1407" s="472" t="s">
        <v>420</v>
      </c>
      <c r="AV1407" s="472">
        <v>2020</v>
      </c>
      <c r="AW1407" s="474" t="s">
        <v>15078</v>
      </c>
      <c r="AX1407" s="475" t="s">
        <v>15079</v>
      </c>
      <c r="AY1407" s="515">
        <v>1</v>
      </c>
      <c r="AZ1407" s="474" t="s">
        <v>15079</v>
      </c>
      <c r="BA1407" s="472" t="s">
        <v>4613</v>
      </c>
      <c r="BB1407" s="472" t="s">
        <v>1385</v>
      </c>
      <c r="BC1407" s="472" t="s">
        <v>1385</v>
      </c>
      <c r="BD1407" s="472" t="s">
        <v>1385</v>
      </c>
      <c r="BE1407" s="472" t="s">
        <v>1385</v>
      </c>
      <c r="BF1407" s="472">
        <v>16934.400000000001</v>
      </c>
      <c r="BG1407" s="472">
        <v>0</v>
      </c>
      <c r="BH1407" s="472" t="s">
        <v>1385</v>
      </c>
      <c r="BI1407" s="510">
        <v>0</v>
      </c>
      <c r="BJ1407" s="510">
        <v>0</v>
      </c>
      <c r="BK1407" s="510">
        <v>0</v>
      </c>
      <c r="BL1407" s="510">
        <v>0</v>
      </c>
      <c r="BM1407" s="510">
        <v>0</v>
      </c>
      <c r="BN1407" s="510">
        <v>2000</v>
      </c>
      <c r="BO1407" s="510">
        <v>0</v>
      </c>
      <c r="BP1407" s="510">
        <v>0</v>
      </c>
      <c r="BQ1407" s="510">
        <v>0</v>
      </c>
      <c r="BR1407" s="510">
        <v>0</v>
      </c>
      <c r="BS1407" s="510">
        <v>0</v>
      </c>
      <c r="BT1407" s="510">
        <v>0</v>
      </c>
      <c r="BU1407" s="510">
        <v>0</v>
      </c>
      <c r="BV1407" s="510">
        <v>0</v>
      </c>
      <c r="BW1407" s="510">
        <v>0</v>
      </c>
      <c r="BX1407" s="510">
        <v>30000</v>
      </c>
      <c r="BY1407" s="1011">
        <v>0</v>
      </c>
      <c r="BZ1407" s="510">
        <v>0</v>
      </c>
      <c r="CA1407" s="1011">
        <v>0</v>
      </c>
      <c r="CB1407" s="510">
        <v>0</v>
      </c>
      <c r="CC1407" s="1011">
        <v>0</v>
      </c>
      <c r="CD1407" s="510">
        <v>0</v>
      </c>
      <c r="CE1407" s="1011">
        <v>0</v>
      </c>
      <c r="CF1407" s="510">
        <v>37456.800000000003</v>
      </c>
      <c r="CG1407" s="1011">
        <v>0</v>
      </c>
      <c r="CH1407" s="510">
        <v>0</v>
      </c>
      <c r="CI1407" s="1011">
        <v>0</v>
      </c>
    </row>
    <row r="1408" spans="1:87" x14ac:dyDescent="0.2">
      <c r="A1408" s="449">
        <v>36</v>
      </c>
      <c r="B1408" s="453">
        <v>400211</v>
      </c>
      <c r="C1408" s="454" t="s">
        <v>11333</v>
      </c>
      <c r="D1408" s="454" t="s">
        <v>4613</v>
      </c>
      <c r="E1408" s="454" t="s">
        <v>11333</v>
      </c>
      <c r="F1408" s="454" t="s">
        <v>520</v>
      </c>
      <c r="G1408" s="454" t="s">
        <v>14637</v>
      </c>
      <c r="H1408" s="455">
        <v>7837900000137</v>
      </c>
      <c r="I1408" s="462">
        <v>38623</v>
      </c>
      <c r="J1408" s="457">
        <v>37629441</v>
      </c>
      <c r="K1408" s="454" t="s">
        <v>4699</v>
      </c>
      <c r="L1408" s="458" t="s">
        <v>1446</v>
      </c>
      <c r="M1408" s="454" t="s">
        <v>1812</v>
      </c>
      <c r="N1408" s="459">
        <v>5821070</v>
      </c>
      <c r="O1408" s="460">
        <v>55146453</v>
      </c>
      <c r="P1408" s="462">
        <v>293892</v>
      </c>
      <c r="Q1408" s="462">
        <v>36</v>
      </c>
      <c r="R1408" s="462">
        <v>43969</v>
      </c>
      <c r="S1408" s="463">
        <v>222</v>
      </c>
      <c r="T1408" s="464">
        <v>3.6</v>
      </c>
      <c r="U1408" s="465">
        <v>799.2</v>
      </c>
      <c r="V1408" s="465">
        <v>11760</v>
      </c>
      <c r="W1408" s="466">
        <v>0</v>
      </c>
      <c r="X1408" s="467">
        <v>1</v>
      </c>
      <c r="Y1408" s="466">
        <v>18838.8</v>
      </c>
      <c r="Z1408" s="468" t="s">
        <v>516</v>
      </c>
      <c r="AA1408" s="466">
        <v>86490</v>
      </c>
      <c r="AB1408" s="466">
        <v>86490</v>
      </c>
      <c r="AC1408" s="467">
        <v>0</v>
      </c>
      <c r="AD1408" s="466">
        <v>0</v>
      </c>
      <c r="AE1408" s="468" t="s">
        <v>516</v>
      </c>
      <c r="AF1408" s="466">
        <v>0</v>
      </c>
      <c r="AG1408" s="466">
        <v>0</v>
      </c>
      <c r="AH1408" s="466">
        <v>12900.34</v>
      </c>
      <c r="AI1408" s="466">
        <v>5034.71</v>
      </c>
      <c r="AJ1408" s="469" t="s">
        <v>1470</v>
      </c>
      <c r="AK1408" s="470" t="s">
        <v>1471</v>
      </c>
      <c r="AL1408" s="471" t="s">
        <v>2493</v>
      </c>
      <c r="AM1408" s="470" t="s">
        <v>11335</v>
      </c>
      <c r="AN1408" s="470" t="s">
        <v>11334</v>
      </c>
      <c r="AO1408" s="470" t="s">
        <v>11336</v>
      </c>
      <c r="AP1408" s="470" t="s">
        <v>1812</v>
      </c>
      <c r="AQ1408" s="470" t="s">
        <v>11333</v>
      </c>
      <c r="AR1408" s="472" t="s">
        <v>515</v>
      </c>
      <c r="AS1408" s="473" t="s">
        <v>1385</v>
      </c>
      <c r="AT1408" s="472" t="s">
        <v>4613</v>
      </c>
      <c r="AU1408" s="472" t="s">
        <v>420</v>
      </c>
      <c r="AV1408" s="472">
        <v>2020</v>
      </c>
      <c r="AW1408" s="474" t="s">
        <v>15078</v>
      </c>
      <c r="AX1408" s="475" t="s">
        <v>15079</v>
      </c>
      <c r="AY1408" s="515">
        <v>1</v>
      </c>
      <c r="AZ1408" s="474" t="s">
        <v>15079</v>
      </c>
      <c r="BA1408" s="472" t="s">
        <v>4613</v>
      </c>
      <c r="BB1408" s="472" t="s">
        <v>1385</v>
      </c>
      <c r="BC1408" s="472" t="s">
        <v>1385</v>
      </c>
      <c r="BD1408" s="472" t="s">
        <v>1385</v>
      </c>
      <c r="BE1408" s="472" t="s">
        <v>1385</v>
      </c>
      <c r="BF1408" s="472">
        <v>18838.8</v>
      </c>
      <c r="BG1408" s="472">
        <v>0</v>
      </c>
      <c r="BH1408" s="472" t="s">
        <v>1385</v>
      </c>
      <c r="BI1408" s="510">
        <v>0</v>
      </c>
      <c r="BJ1408" s="510">
        <v>0</v>
      </c>
      <c r="BK1408" s="510">
        <v>0</v>
      </c>
      <c r="BL1408" s="510">
        <v>0</v>
      </c>
      <c r="BM1408" s="510">
        <v>0</v>
      </c>
      <c r="BN1408" s="510">
        <v>2000</v>
      </c>
      <c r="BO1408" s="510">
        <v>0</v>
      </c>
      <c r="BP1408" s="510">
        <v>0</v>
      </c>
      <c r="BQ1408" s="510">
        <v>0</v>
      </c>
      <c r="BR1408" s="510">
        <v>0</v>
      </c>
      <c r="BS1408" s="510">
        <v>0</v>
      </c>
      <c r="BT1408" s="510">
        <v>0</v>
      </c>
      <c r="BU1408" s="510">
        <v>0</v>
      </c>
      <c r="BV1408" s="510">
        <v>0</v>
      </c>
      <c r="BW1408" s="510">
        <v>0</v>
      </c>
      <c r="BX1408" s="510">
        <v>30000</v>
      </c>
      <c r="BY1408" s="1011">
        <v>0</v>
      </c>
      <c r="BZ1408" s="510">
        <v>0</v>
      </c>
      <c r="CA1408" s="1011">
        <v>0</v>
      </c>
      <c r="CB1408" s="510">
        <v>0</v>
      </c>
      <c r="CC1408" s="1011">
        <v>0</v>
      </c>
      <c r="CD1408" s="510">
        <v>0</v>
      </c>
      <c r="CE1408" s="1011">
        <v>0</v>
      </c>
      <c r="CF1408" s="510">
        <v>37651.199999999997</v>
      </c>
      <c r="CG1408" s="1011">
        <v>0</v>
      </c>
      <c r="CH1408" s="510">
        <v>0</v>
      </c>
      <c r="CI1408" s="1011">
        <v>0</v>
      </c>
    </row>
    <row r="1409" spans="1:87" x14ac:dyDescent="0.2">
      <c r="A1409" s="449">
        <v>24</v>
      </c>
      <c r="B1409" s="453">
        <v>400212</v>
      </c>
      <c r="C1409" s="454" t="s">
        <v>11337</v>
      </c>
      <c r="D1409" s="454" t="s">
        <v>4613</v>
      </c>
      <c r="E1409" s="454" t="s">
        <v>11338</v>
      </c>
      <c r="F1409" s="454" t="s">
        <v>513</v>
      </c>
      <c r="G1409" s="454" t="s">
        <v>14638</v>
      </c>
      <c r="H1409" s="455">
        <v>7924932000170</v>
      </c>
      <c r="I1409" s="462">
        <v>38758</v>
      </c>
      <c r="J1409" s="457">
        <v>37531042</v>
      </c>
      <c r="K1409" s="454" t="s">
        <v>11339</v>
      </c>
      <c r="L1409" s="458">
        <v>391</v>
      </c>
      <c r="M1409" s="454" t="s">
        <v>1559</v>
      </c>
      <c r="N1409" s="459">
        <v>8320110</v>
      </c>
      <c r="O1409" s="460">
        <v>20199404</v>
      </c>
      <c r="P1409" s="462">
        <v>145397</v>
      </c>
      <c r="Q1409" s="462">
        <v>24</v>
      </c>
      <c r="R1409" s="462">
        <v>43937</v>
      </c>
      <c r="S1409" s="463">
        <v>126</v>
      </c>
      <c r="T1409" s="464">
        <v>3.6</v>
      </c>
      <c r="U1409" s="465">
        <v>453.6</v>
      </c>
      <c r="V1409" s="465">
        <v>10800</v>
      </c>
      <c r="W1409" s="466">
        <v>0</v>
      </c>
      <c r="X1409" s="467">
        <v>1</v>
      </c>
      <c r="Y1409" s="466">
        <v>16880.400000000001</v>
      </c>
      <c r="Z1409" s="468" t="s">
        <v>516</v>
      </c>
      <c r="AA1409" s="466">
        <v>84330</v>
      </c>
      <c r="AB1409" s="466">
        <v>84330</v>
      </c>
      <c r="AC1409" s="467">
        <v>0</v>
      </c>
      <c r="AD1409" s="466">
        <v>0</v>
      </c>
      <c r="AE1409" s="468" t="s">
        <v>516</v>
      </c>
      <c r="AF1409" s="466">
        <v>0</v>
      </c>
      <c r="AG1409" s="466">
        <v>0</v>
      </c>
      <c r="AH1409" s="466">
        <v>19909.77</v>
      </c>
      <c r="AI1409" s="466">
        <v>8284.59</v>
      </c>
      <c r="AJ1409" s="469" t="s">
        <v>2030</v>
      </c>
      <c r="AK1409" s="470" t="s">
        <v>513</v>
      </c>
      <c r="AL1409" s="471" t="s">
        <v>11340</v>
      </c>
      <c r="AM1409" s="470" t="s">
        <v>11341</v>
      </c>
      <c r="AN1409" s="470" t="s">
        <v>11342</v>
      </c>
      <c r="AO1409" s="470" t="s">
        <v>11343</v>
      </c>
      <c r="AP1409" s="470" t="s">
        <v>11344</v>
      </c>
      <c r="AQ1409" s="470" t="s">
        <v>11337</v>
      </c>
      <c r="AR1409" s="472" t="s">
        <v>515</v>
      </c>
      <c r="AS1409" s="473" t="s">
        <v>1385</v>
      </c>
      <c r="AT1409" s="472" t="s">
        <v>4613</v>
      </c>
      <c r="AU1409" s="472" t="s">
        <v>420</v>
      </c>
      <c r="AV1409" s="472">
        <v>2020</v>
      </c>
      <c r="AW1409" s="474" t="s">
        <v>15078</v>
      </c>
      <c r="AX1409" s="475" t="s">
        <v>15079</v>
      </c>
      <c r="AY1409" s="515">
        <v>1</v>
      </c>
      <c r="AZ1409" s="474" t="s">
        <v>15079</v>
      </c>
      <c r="BA1409" s="472" t="s">
        <v>4613</v>
      </c>
      <c r="BB1409" s="472" t="s">
        <v>1385</v>
      </c>
      <c r="BC1409" s="472" t="s">
        <v>1385</v>
      </c>
      <c r="BD1409" s="472" t="s">
        <v>1385</v>
      </c>
      <c r="BE1409" s="472" t="s">
        <v>1385</v>
      </c>
      <c r="BF1409" s="472">
        <v>16880.400000000001</v>
      </c>
      <c r="BG1409" s="472">
        <v>0</v>
      </c>
      <c r="BH1409" s="472" t="s">
        <v>1385</v>
      </c>
      <c r="BI1409" s="510">
        <v>0</v>
      </c>
      <c r="BJ1409" s="510">
        <v>1623</v>
      </c>
      <c r="BK1409" s="510">
        <v>0</v>
      </c>
      <c r="BL1409" s="510">
        <v>0</v>
      </c>
      <c r="BM1409" s="510">
        <v>0</v>
      </c>
      <c r="BN1409" s="510">
        <v>2000</v>
      </c>
      <c r="BO1409" s="510">
        <v>0</v>
      </c>
      <c r="BP1409" s="510">
        <v>0</v>
      </c>
      <c r="BQ1409" s="510">
        <v>0</v>
      </c>
      <c r="BR1409" s="510">
        <v>0</v>
      </c>
      <c r="BS1409" s="510">
        <v>0</v>
      </c>
      <c r="BT1409" s="510">
        <v>0</v>
      </c>
      <c r="BU1409" s="510">
        <v>0</v>
      </c>
      <c r="BV1409" s="510">
        <v>0</v>
      </c>
      <c r="BW1409" s="510">
        <v>0</v>
      </c>
      <c r="BX1409" s="510">
        <v>30000</v>
      </c>
      <c r="BY1409" s="1011">
        <v>0</v>
      </c>
      <c r="BZ1409" s="510">
        <v>0</v>
      </c>
      <c r="CA1409" s="1011">
        <v>0</v>
      </c>
      <c r="CB1409" s="510">
        <v>0</v>
      </c>
      <c r="CC1409" s="1011">
        <v>0</v>
      </c>
      <c r="CD1409" s="510">
        <v>0</v>
      </c>
      <c r="CE1409" s="1011">
        <v>0</v>
      </c>
      <c r="CF1409" s="510">
        <v>37449.599999999999</v>
      </c>
      <c r="CG1409" s="1011">
        <v>0</v>
      </c>
      <c r="CH1409" s="510">
        <v>0</v>
      </c>
      <c r="CI1409" s="1011">
        <v>0</v>
      </c>
    </row>
    <row r="1410" spans="1:87" x14ac:dyDescent="0.2">
      <c r="A1410" s="449">
        <v>17</v>
      </c>
      <c r="B1410" s="453">
        <v>400213</v>
      </c>
      <c r="C1410" s="454" t="s">
        <v>11345</v>
      </c>
      <c r="D1410" s="454" t="s">
        <v>4613</v>
      </c>
      <c r="E1410" s="454" t="s">
        <v>11346</v>
      </c>
      <c r="F1410" s="454" t="s">
        <v>518</v>
      </c>
      <c r="G1410" s="454" t="s">
        <v>14639</v>
      </c>
      <c r="H1410" s="455">
        <v>7890857000173</v>
      </c>
      <c r="I1410" s="462">
        <v>38715</v>
      </c>
      <c r="J1410" s="457">
        <v>37470990</v>
      </c>
      <c r="K1410" s="454" t="s">
        <v>11348</v>
      </c>
      <c r="L1410" s="458">
        <v>700</v>
      </c>
      <c r="M1410" s="454" t="s">
        <v>5955</v>
      </c>
      <c r="N1410" s="459">
        <v>8275120</v>
      </c>
      <c r="O1410" s="460">
        <v>27487836</v>
      </c>
      <c r="P1410" s="462">
        <v>46615</v>
      </c>
      <c r="Q1410" s="462">
        <v>17</v>
      </c>
      <c r="R1410" s="462">
        <v>43934</v>
      </c>
      <c r="S1410" s="463">
        <v>143</v>
      </c>
      <c r="T1410" s="464">
        <v>3.6</v>
      </c>
      <c r="U1410" s="465">
        <v>514.79999999999995</v>
      </c>
      <c r="V1410" s="465">
        <v>10800</v>
      </c>
      <c r="W1410" s="466">
        <v>0</v>
      </c>
      <c r="X1410" s="467">
        <v>1</v>
      </c>
      <c r="Y1410" s="466">
        <v>16972.2</v>
      </c>
      <c r="Z1410" s="468" t="s">
        <v>516</v>
      </c>
      <c r="AA1410" s="466">
        <v>84609</v>
      </c>
      <c r="AB1410" s="466">
        <v>84609</v>
      </c>
      <c r="AC1410" s="467">
        <v>0</v>
      </c>
      <c r="AD1410" s="466">
        <v>0</v>
      </c>
      <c r="AE1410" s="468" t="s">
        <v>516</v>
      </c>
      <c r="AF1410" s="466">
        <v>0</v>
      </c>
      <c r="AG1410" s="466">
        <v>0</v>
      </c>
      <c r="AH1410" s="466">
        <v>12013.29</v>
      </c>
      <c r="AI1410" s="466">
        <v>2713.98</v>
      </c>
      <c r="AJ1410" s="469" t="s">
        <v>2196</v>
      </c>
      <c r="AK1410" s="470" t="s">
        <v>2197</v>
      </c>
      <c r="AL1410" s="471" t="s">
        <v>11349</v>
      </c>
      <c r="AM1410" s="470" t="s">
        <v>11350</v>
      </c>
      <c r="AN1410" s="470" t="s">
        <v>11347</v>
      </c>
      <c r="AO1410" s="470" t="s">
        <v>15056</v>
      </c>
      <c r="AP1410" s="470" t="s">
        <v>2307</v>
      </c>
      <c r="AQ1410" s="470" t="s">
        <v>11345</v>
      </c>
      <c r="AR1410" s="472" t="s">
        <v>515</v>
      </c>
      <c r="AS1410" s="473" t="s">
        <v>1385</v>
      </c>
      <c r="AT1410" s="472" t="s">
        <v>4613</v>
      </c>
      <c r="AU1410" s="472" t="s">
        <v>420</v>
      </c>
      <c r="AV1410" s="472">
        <v>2020</v>
      </c>
      <c r="AW1410" s="474" t="s">
        <v>15078</v>
      </c>
      <c r="AX1410" s="475" t="s">
        <v>15079</v>
      </c>
      <c r="AY1410" s="515">
        <v>1</v>
      </c>
      <c r="AZ1410" s="474" t="s">
        <v>15079</v>
      </c>
      <c r="BA1410" s="472" t="s">
        <v>4613</v>
      </c>
      <c r="BB1410" s="472" t="s">
        <v>1385</v>
      </c>
      <c r="BC1410" s="472" t="s">
        <v>1385</v>
      </c>
      <c r="BD1410" s="472" t="s">
        <v>1385</v>
      </c>
      <c r="BE1410" s="472" t="s">
        <v>1385</v>
      </c>
      <c r="BF1410" s="472">
        <v>16972.2</v>
      </c>
      <c r="BG1410" s="472">
        <v>0</v>
      </c>
      <c r="BH1410" s="472" t="s">
        <v>1385</v>
      </c>
      <c r="BI1410" s="510">
        <v>0</v>
      </c>
      <c r="BJ1410" s="510">
        <v>138.4</v>
      </c>
      <c r="BK1410" s="510">
        <v>0</v>
      </c>
      <c r="BL1410" s="510">
        <v>0</v>
      </c>
      <c r="BM1410" s="510">
        <v>0</v>
      </c>
      <c r="BN1410" s="510">
        <v>2000</v>
      </c>
      <c r="BO1410" s="510">
        <v>0</v>
      </c>
      <c r="BP1410" s="510">
        <v>0</v>
      </c>
      <c r="BQ1410" s="510">
        <v>0</v>
      </c>
      <c r="BR1410" s="510">
        <v>0</v>
      </c>
      <c r="BS1410" s="510">
        <v>0</v>
      </c>
      <c r="BT1410" s="510">
        <v>0</v>
      </c>
      <c r="BU1410" s="510">
        <v>0</v>
      </c>
      <c r="BV1410" s="510">
        <v>0</v>
      </c>
      <c r="BW1410" s="510">
        <v>0</v>
      </c>
      <c r="BX1410" s="510">
        <v>30000</v>
      </c>
      <c r="BY1410" s="1011">
        <v>0</v>
      </c>
      <c r="BZ1410" s="510">
        <v>0</v>
      </c>
      <c r="CA1410" s="1011">
        <v>0</v>
      </c>
      <c r="CB1410" s="510">
        <v>0</v>
      </c>
      <c r="CC1410" s="1011">
        <v>0</v>
      </c>
      <c r="CD1410" s="510">
        <v>0</v>
      </c>
      <c r="CE1410" s="1011">
        <v>0</v>
      </c>
      <c r="CF1410" s="510">
        <v>37636.800000000003</v>
      </c>
      <c r="CG1410" s="1011">
        <v>0</v>
      </c>
      <c r="CH1410" s="510">
        <v>0</v>
      </c>
      <c r="CI1410" s="1011">
        <v>0</v>
      </c>
    </row>
    <row r="1411" spans="1:87" x14ac:dyDescent="0.2">
      <c r="A1411" s="449">
        <v>31</v>
      </c>
      <c r="B1411" s="453">
        <v>400214</v>
      </c>
      <c r="C1411" s="454" t="s">
        <v>11351</v>
      </c>
      <c r="D1411" s="454" t="s">
        <v>4613</v>
      </c>
      <c r="E1411" s="454" t="s">
        <v>11352</v>
      </c>
      <c r="F1411" s="454" t="s">
        <v>526</v>
      </c>
      <c r="G1411" s="454" t="s">
        <v>14640</v>
      </c>
      <c r="H1411" s="455">
        <v>8338192000152</v>
      </c>
      <c r="I1411" s="462">
        <v>38987</v>
      </c>
      <c r="J1411" s="457">
        <v>38278090</v>
      </c>
      <c r="K1411" s="454" t="s">
        <v>11353</v>
      </c>
      <c r="L1411" s="458">
        <v>781</v>
      </c>
      <c r="M1411" s="454" t="s">
        <v>11354</v>
      </c>
      <c r="N1411" s="459">
        <v>8021010</v>
      </c>
      <c r="O1411" s="460">
        <v>22971047</v>
      </c>
      <c r="P1411" s="462">
        <v>144714</v>
      </c>
      <c r="Q1411" s="462">
        <v>31</v>
      </c>
      <c r="R1411" s="462">
        <v>43928</v>
      </c>
      <c r="S1411" s="463">
        <v>122</v>
      </c>
      <c r="T1411" s="464">
        <v>3.6</v>
      </c>
      <c r="U1411" s="465">
        <v>439.2</v>
      </c>
      <c r="V1411" s="465">
        <v>10800</v>
      </c>
      <c r="W1411" s="466">
        <v>0</v>
      </c>
      <c r="X1411" s="467">
        <v>1</v>
      </c>
      <c r="Y1411" s="466">
        <v>16858.8</v>
      </c>
      <c r="Z1411" s="468" t="s">
        <v>516</v>
      </c>
      <c r="AA1411" s="466">
        <v>84351.6</v>
      </c>
      <c r="AB1411" s="466">
        <v>84351.6</v>
      </c>
      <c r="AC1411" s="467">
        <v>0</v>
      </c>
      <c r="AD1411" s="466">
        <v>0</v>
      </c>
      <c r="AE1411" s="468" t="s">
        <v>516</v>
      </c>
      <c r="AF1411" s="466">
        <v>0</v>
      </c>
      <c r="AG1411" s="466">
        <v>0</v>
      </c>
      <c r="AH1411" s="466">
        <v>20276.939999999999</v>
      </c>
      <c r="AI1411" s="466">
        <v>2939.96</v>
      </c>
      <c r="AJ1411" s="469" t="s">
        <v>1839</v>
      </c>
      <c r="AK1411" s="470" t="s">
        <v>526</v>
      </c>
      <c r="AL1411" s="471" t="s">
        <v>11355</v>
      </c>
      <c r="AM1411" s="470" t="s">
        <v>11356</v>
      </c>
      <c r="AN1411" s="470" t="s">
        <v>1385</v>
      </c>
      <c r="AO1411" s="470" t="s">
        <v>14641</v>
      </c>
      <c r="AP1411" s="470" t="s">
        <v>11357</v>
      </c>
      <c r="AQ1411" s="470" t="s">
        <v>11351</v>
      </c>
      <c r="AR1411" s="472" t="s">
        <v>515</v>
      </c>
      <c r="AS1411" s="473" t="s">
        <v>1385</v>
      </c>
      <c r="AT1411" s="472" t="s">
        <v>4613</v>
      </c>
      <c r="AU1411" s="472" t="s">
        <v>420</v>
      </c>
      <c r="AV1411" s="472">
        <v>2020</v>
      </c>
      <c r="AW1411" s="474" t="s">
        <v>15078</v>
      </c>
      <c r="AX1411" s="475" t="s">
        <v>15079</v>
      </c>
      <c r="AY1411" s="515">
        <v>1</v>
      </c>
      <c r="AZ1411" s="474" t="s">
        <v>15079</v>
      </c>
      <c r="BA1411" s="472" t="s">
        <v>4613</v>
      </c>
      <c r="BB1411" s="472" t="s">
        <v>1385</v>
      </c>
      <c r="BC1411" s="472" t="s">
        <v>1385</v>
      </c>
      <c r="BD1411" s="472" t="s">
        <v>1385</v>
      </c>
      <c r="BE1411" s="472" t="s">
        <v>1385</v>
      </c>
      <c r="BF1411" s="472">
        <v>16858.8</v>
      </c>
      <c r="BG1411" s="472">
        <v>0</v>
      </c>
      <c r="BH1411" s="472" t="s">
        <v>1385</v>
      </c>
      <c r="BI1411" s="510">
        <v>0</v>
      </c>
      <c r="BJ1411" s="510">
        <v>0</v>
      </c>
      <c r="BK1411" s="510">
        <v>0</v>
      </c>
      <c r="BL1411" s="510">
        <v>0</v>
      </c>
      <c r="BM1411" s="510">
        <v>0</v>
      </c>
      <c r="BN1411" s="510">
        <v>2000</v>
      </c>
      <c r="BO1411" s="510">
        <v>0</v>
      </c>
      <c r="BP1411" s="510">
        <v>0</v>
      </c>
      <c r="BQ1411" s="510">
        <v>0</v>
      </c>
      <c r="BR1411" s="510">
        <v>0</v>
      </c>
      <c r="BS1411" s="510">
        <v>0</v>
      </c>
      <c r="BT1411" s="510">
        <v>0</v>
      </c>
      <c r="BU1411" s="510">
        <v>0</v>
      </c>
      <c r="BV1411" s="510">
        <v>0</v>
      </c>
      <c r="BW1411" s="510">
        <v>0</v>
      </c>
      <c r="BX1411" s="510">
        <v>30000</v>
      </c>
      <c r="BY1411" s="1011">
        <v>0</v>
      </c>
      <c r="BZ1411" s="510">
        <v>0</v>
      </c>
      <c r="CA1411" s="1011">
        <v>0</v>
      </c>
      <c r="CB1411" s="510">
        <v>0</v>
      </c>
      <c r="CC1411" s="1011">
        <v>0</v>
      </c>
      <c r="CD1411" s="510">
        <v>0</v>
      </c>
      <c r="CE1411" s="1011">
        <v>0</v>
      </c>
      <c r="CF1411" s="510">
        <v>37492.800000000003</v>
      </c>
      <c r="CG1411" s="1011">
        <v>0</v>
      </c>
      <c r="CH1411" s="510">
        <v>0</v>
      </c>
      <c r="CI1411" s="1011">
        <v>0</v>
      </c>
    </row>
    <row r="1412" spans="1:87" x14ac:dyDescent="0.2">
      <c r="A1412" s="449">
        <v>38</v>
      </c>
      <c r="B1412" s="453">
        <v>400215</v>
      </c>
      <c r="C1412" s="454" t="s">
        <v>11358</v>
      </c>
      <c r="D1412" s="454" t="s">
        <v>4613</v>
      </c>
      <c r="E1412" s="454" t="s">
        <v>11358</v>
      </c>
      <c r="F1412" s="454" t="s">
        <v>520</v>
      </c>
      <c r="G1412" s="454" t="s">
        <v>14642</v>
      </c>
      <c r="H1412" s="455">
        <v>9082123000193</v>
      </c>
      <c r="I1412" s="462">
        <v>39156</v>
      </c>
      <c r="J1412" s="457">
        <v>37620240</v>
      </c>
      <c r="K1412" s="454" t="s">
        <v>11359</v>
      </c>
      <c r="L1412" s="458">
        <v>155</v>
      </c>
      <c r="M1412" s="454" t="s">
        <v>11360</v>
      </c>
      <c r="N1412" s="459">
        <v>5795010</v>
      </c>
      <c r="O1412" s="460">
        <v>58417432</v>
      </c>
      <c r="P1412" s="462">
        <v>294015</v>
      </c>
      <c r="Q1412" s="462">
        <v>38</v>
      </c>
      <c r="R1412" s="462">
        <v>43969</v>
      </c>
      <c r="S1412" s="463">
        <v>130</v>
      </c>
      <c r="T1412" s="464">
        <v>3.6</v>
      </c>
      <c r="U1412" s="465">
        <v>468</v>
      </c>
      <c r="V1412" s="465">
        <v>10800</v>
      </c>
      <c r="W1412" s="466">
        <v>0</v>
      </c>
      <c r="X1412" s="467">
        <v>1</v>
      </c>
      <c r="Y1412" s="466">
        <v>16902</v>
      </c>
      <c r="Z1412" s="468" t="s">
        <v>516</v>
      </c>
      <c r="AA1412" s="466">
        <v>84459.6</v>
      </c>
      <c r="AB1412" s="466">
        <v>84459.6</v>
      </c>
      <c r="AC1412" s="467">
        <v>0</v>
      </c>
      <c r="AD1412" s="466">
        <v>0</v>
      </c>
      <c r="AE1412" s="468" t="s">
        <v>516</v>
      </c>
      <c r="AF1412" s="466">
        <v>0</v>
      </c>
      <c r="AG1412" s="466">
        <v>0</v>
      </c>
      <c r="AH1412" s="466">
        <v>10036.61</v>
      </c>
      <c r="AI1412" s="466">
        <v>68.36</v>
      </c>
      <c r="AJ1412" s="469" t="s">
        <v>1515</v>
      </c>
      <c r="AK1412" s="470" t="s">
        <v>1516</v>
      </c>
      <c r="AL1412" s="471" t="s">
        <v>11361</v>
      </c>
      <c r="AM1412" s="470" t="s">
        <v>3423</v>
      </c>
      <c r="AN1412" s="470" t="s">
        <v>11362</v>
      </c>
      <c r="AO1412" s="470" t="s">
        <v>14643</v>
      </c>
      <c r="AP1412" s="470" t="s">
        <v>11363</v>
      </c>
      <c r="AQ1412" s="470" t="s">
        <v>11358</v>
      </c>
      <c r="AR1412" s="472" t="s">
        <v>515</v>
      </c>
      <c r="AS1412" s="473" t="s">
        <v>1385</v>
      </c>
      <c r="AT1412" s="472" t="s">
        <v>4613</v>
      </c>
      <c r="AU1412" s="472" t="s">
        <v>420</v>
      </c>
      <c r="AV1412" s="472">
        <v>2020</v>
      </c>
      <c r="AW1412" s="474" t="s">
        <v>15078</v>
      </c>
      <c r="AX1412" s="475" t="s">
        <v>15079</v>
      </c>
      <c r="AY1412" s="515">
        <v>1</v>
      </c>
      <c r="AZ1412" s="474" t="s">
        <v>15079</v>
      </c>
      <c r="BA1412" s="472" t="s">
        <v>4613</v>
      </c>
      <c r="BB1412" s="472" t="s">
        <v>1385</v>
      </c>
      <c r="BC1412" s="472" t="s">
        <v>1385</v>
      </c>
      <c r="BD1412" s="472" t="s">
        <v>1385</v>
      </c>
      <c r="BE1412" s="472" t="s">
        <v>1385</v>
      </c>
      <c r="BF1412" s="472">
        <v>16902</v>
      </c>
      <c r="BG1412" s="472">
        <v>0</v>
      </c>
      <c r="BH1412" s="472" t="s">
        <v>1385</v>
      </c>
      <c r="BI1412" s="510">
        <v>0</v>
      </c>
      <c r="BJ1412" s="510">
        <v>0</v>
      </c>
      <c r="BK1412" s="510">
        <v>0</v>
      </c>
      <c r="BL1412" s="510">
        <v>0</v>
      </c>
      <c r="BM1412" s="510">
        <v>0</v>
      </c>
      <c r="BN1412" s="510">
        <v>2000</v>
      </c>
      <c r="BO1412" s="510">
        <v>0</v>
      </c>
      <c r="BP1412" s="510">
        <v>0</v>
      </c>
      <c r="BQ1412" s="510">
        <v>0</v>
      </c>
      <c r="BR1412" s="510">
        <v>0</v>
      </c>
      <c r="BS1412" s="510">
        <v>0</v>
      </c>
      <c r="BT1412" s="510">
        <v>0</v>
      </c>
      <c r="BU1412" s="510">
        <v>0</v>
      </c>
      <c r="BV1412" s="510">
        <v>0</v>
      </c>
      <c r="BW1412" s="510">
        <v>0</v>
      </c>
      <c r="BX1412" s="510">
        <v>30000</v>
      </c>
      <c r="BY1412" s="1011">
        <v>0</v>
      </c>
      <c r="BZ1412" s="510">
        <v>0</v>
      </c>
      <c r="CA1412" s="1011">
        <v>0</v>
      </c>
      <c r="CB1412" s="510">
        <v>0</v>
      </c>
      <c r="CC1412" s="1011">
        <v>0</v>
      </c>
      <c r="CD1412" s="510">
        <v>0</v>
      </c>
      <c r="CE1412" s="1011">
        <v>0</v>
      </c>
      <c r="CF1412" s="510">
        <v>37557.599999999999</v>
      </c>
      <c r="CG1412" s="1011">
        <v>0</v>
      </c>
      <c r="CH1412" s="510">
        <v>0</v>
      </c>
      <c r="CI1412" s="1011">
        <v>0</v>
      </c>
    </row>
    <row r="1413" spans="1:87" x14ac:dyDescent="0.2">
      <c r="A1413" s="449">
        <v>21</v>
      </c>
      <c r="B1413" s="453">
        <v>400216</v>
      </c>
      <c r="C1413" s="454" t="s">
        <v>11364</v>
      </c>
      <c r="D1413" s="454" t="s">
        <v>4613</v>
      </c>
      <c r="E1413" s="454" t="s">
        <v>11365</v>
      </c>
      <c r="F1413" s="454" t="s">
        <v>523</v>
      </c>
      <c r="G1413" s="454" t="s">
        <v>14644</v>
      </c>
      <c r="H1413" s="455">
        <v>7941956000137</v>
      </c>
      <c r="I1413" s="462">
        <v>38813</v>
      </c>
      <c r="J1413" s="457">
        <v>35606339</v>
      </c>
      <c r="K1413" s="454" t="s">
        <v>11367</v>
      </c>
      <c r="L1413" s="458">
        <v>185</v>
      </c>
      <c r="M1413" s="454" t="s">
        <v>11368</v>
      </c>
      <c r="N1413" s="459">
        <v>8430560</v>
      </c>
      <c r="O1413" s="460">
        <v>20350626</v>
      </c>
      <c r="P1413" s="462">
        <v>267689</v>
      </c>
      <c r="Q1413" s="462">
        <v>21</v>
      </c>
      <c r="R1413" s="462">
        <v>43921</v>
      </c>
      <c r="S1413" s="463">
        <v>124</v>
      </c>
      <c r="T1413" s="464">
        <v>3.6</v>
      </c>
      <c r="U1413" s="465">
        <v>446.4</v>
      </c>
      <c r="V1413" s="465">
        <v>10800</v>
      </c>
      <c r="W1413" s="466">
        <v>0</v>
      </c>
      <c r="X1413" s="467">
        <v>1</v>
      </c>
      <c r="Y1413" s="466">
        <v>16869.599999999999</v>
      </c>
      <c r="Z1413" s="468" t="s">
        <v>516</v>
      </c>
      <c r="AA1413" s="466">
        <v>84355.199999999997</v>
      </c>
      <c r="AB1413" s="466">
        <v>84355.199999999997</v>
      </c>
      <c r="AC1413" s="467">
        <v>0</v>
      </c>
      <c r="AD1413" s="466">
        <v>0</v>
      </c>
      <c r="AE1413" s="468" t="s">
        <v>516</v>
      </c>
      <c r="AF1413" s="466">
        <v>0</v>
      </c>
      <c r="AG1413" s="466">
        <v>0</v>
      </c>
      <c r="AH1413" s="466">
        <v>24122.19</v>
      </c>
      <c r="AI1413" s="466">
        <v>506.96</v>
      </c>
      <c r="AJ1413" s="469" t="s">
        <v>1395</v>
      </c>
      <c r="AK1413" s="470" t="s">
        <v>523</v>
      </c>
      <c r="AL1413" s="471" t="s">
        <v>11369</v>
      </c>
      <c r="AM1413" s="470" t="s">
        <v>11370</v>
      </c>
      <c r="AN1413" s="470" t="s">
        <v>11366</v>
      </c>
      <c r="AO1413" s="470" t="s">
        <v>11371</v>
      </c>
      <c r="AP1413" s="470" t="s">
        <v>11372</v>
      </c>
      <c r="AQ1413" s="470" t="s">
        <v>11364</v>
      </c>
      <c r="AR1413" s="472" t="s">
        <v>515</v>
      </c>
      <c r="AS1413" s="473" t="s">
        <v>1385</v>
      </c>
      <c r="AT1413" s="472" t="s">
        <v>4613</v>
      </c>
      <c r="AU1413" s="472" t="s">
        <v>420</v>
      </c>
      <c r="AV1413" s="472">
        <v>2020</v>
      </c>
      <c r="AW1413" s="474" t="s">
        <v>15078</v>
      </c>
      <c r="AX1413" s="475" t="s">
        <v>15079</v>
      </c>
      <c r="AY1413" s="515">
        <v>1</v>
      </c>
      <c r="AZ1413" s="474" t="s">
        <v>15079</v>
      </c>
      <c r="BA1413" s="472" t="s">
        <v>4613</v>
      </c>
      <c r="BB1413" s="472" t="s">
        <v>1385</v>
      </c>
      <c r="BC1413" s="472" t="s">
        <v>1385</v>
      </c>
      <c r="BD1413" s="472" t="s">
        <v>1385</v>
      </c>
      <c r="BE1413" s="472" t="s">
        <v>1385</v>
      </c>
      <c r="BF1413" s="472">
        <v>16869.599999999999</v>
      </c>
      <c r="BG1413" s="472">
        <v>0</v>
      </c>
      <c r="BH1413" s="472" t="s">
        <v>1385</v>
      </c>
      <c r="BI1413" s="510">
        <v>0</v>
      </c>
      <c r="BJ1413" s="510">
        <v>0</v>
      </c>
      <c r="BK1413" s="510">
        <v>0</v>
      </c>
      <c r="BL1413" s="510">
        <v>0</v>
      </c>
      <c r="BM1413" s="510">
        <v>0</v>
      </c>
      <c r="BN1413" s="510">
        <v>2000</v>
      </c>
      <c r="BO1413" s="510">
        <v>0</v>
      </c>
      <c r="BP1413" s="510">
        <v>0</v>
      </c>
      <c r="BQ1413" s="510">
        <v>0</v>
      </c>
      <c r="BR1413" s="510">
        <v>0</v>
      </c>
      <c r="BS1413" s="510">
        <v>0</v>
      </c>
      <c r="BT1413" s="510">
        <v>0</v>
      </c>
      <c r="BU1413" s="510">
        <v>0</v>
      </c>
      <c r="BV1413" s="510">
        <v>0</v>
      </c>
      <c r="BW1413" s="510">
        <v>0</v>
      </c>
      <c r="BX1413" s="510">
        <v>30000</v>
      </c>
      <c r="BY1413" s="1011">
        <v>0</v>
      </c>
      <c r="BZ1413" s="510">
        <v>0</v>
      </c>
      <c r="CA1413" s="1011">
        <v>0</v>
      </c>
      <c r="CB1413" s="510">
        <v>0</v>
      </c>
      <c r="CC1413" s="1011">
        <v>0</v>
      </c>
      <c r="CD1413" s="510">
        <v>0</v>
      </c>
      <c r="CE1413" s="1011">
        <v>0</v>
      </c>
      <c r="CF1413" s="510">
        <v>37485.599999999999</v>
      </c>
      <c r="CG1413" s="1011">
        <v>0</v>
      </c>
      <c r="CH1413" s="510">
        <v>0</v>
      </c>
      <c r="CI1413" s="1011">
        <v>0</v>
      </c>
    </row>
    <row r="1414" spans="1:87" x14ac:dyDescent="0.2">
      <c r="A1414" s="449">
        <v>23</v>
      </c>
      <c r="B1414" s="453">
        <v>400217</v>
      </c>
      <c r="C1414" s="454" t="s">
        <v>11373</v>
      </c>
      <c r="D1414" s="454" t="s">
        <v>4613</v>
      </c>
      <c r="E1414" s="454" t="s">
        <v>11374</v>
      </c>
      <c r="F1414" s="454" t="s">
        <v>527</v>
      </c>
      <c r="G1414" s="454" t="s">
        <v>14645</v>
      </c>
      <c r="H1414" s="455">
        <v>7845275000175</v>
      </c>
      <c r="I1414" s="462">
        <v>38735</v>
      </c>
      <c r="J1414" s="457">
        <v>37555391</v>
      </c>
      <c r="K1414" s="454" t="s">
        <v>11375</v>
      </c>
      <c r="L1414" s="458">
        <v>850</v>
      </c>
      <c r="M1414" s="454" t="s">
        <v>11376</v>
      </c>
      <c r="N1414" s="459">
        <v>3645010</v>
      </c>
      <c r="O1414" s="460">
        <v>29578762</v>
      </c>
      <c r="P1414" s="462">
        <v>184678</v>
      </c>
      <c r="Q1414" s="462">
        <v>23</v>
      </c>
      <c r="R1414" s="462">
        <v>43917</v>
      </c>
      <c r="S1414" s="463">
        <v>129</v>
      </c>
      <c r="T1414" s="464">
        <v>3.6</v>
      </c>
      <c r="U1414" s="465">
        <v>464.4</v>
      </c>
      <c r="V1414" s="465">
        <v>10800</v>
      </c>
      <c r="W1414" s="466">
        <v>0</v>
      </c>
      <c r="X1414" s="467">
        <v>1</v>
      </c>
      <c r="Y1414" s="466">
        <v>16896.599999999999</v>
      </c>
      <c r="Z1414" s="468" t="s">
        <v>516</v>
      </c>
      <c r="AA1414" s="466">
        <v>84331.8</v>
      </c>
      <c r="AB1414" s="466">
        <v>84331.8</v>
      </c>
      <c r="AC1414" s="467">
        <v>0</v>
      </c>
      <c r="AD1414" s="466">
        <v>0</v>
      </c>
      <c r="AE1414" s="468" t="s">
        <v>516</v>
      </c>
      <c r="AF1414" s="466">
        <v>0</v>
      </c>
      <c r="AG1414" s="466">
        <v>0</v>
      </c>
      <c r="AH1414" s="466">
        <v>6139.81</v>
      </c>
      <c r="AI1414" s="466">
        <v>6625.58</v>
      </c>
      <c r="AJ1414" s="469" t="s">
        <v>4055</v>
      </c>
      <c r="AK1414" s="470" t="s">
        <v>11376</v>
      </c>
      <c r="AL1414" s="471" t="s">
        <v>11377</v>
      </c>
      <c r="AM1414" s="470" t="s">
        <v>11378</v>
      </c>
      <c r="AN1414" s="470" t="s">
        <v>14646</v>
      </c>
      <c r="AO1414" s="470" t="s">
        <v>14647</v>
      </c>
      <c r="AP1414" s="470" t="s">
        <v>527</v>
      </c>
      <c r="AQ1414" s="470" t="s">
        <v>11373</v>
      </c>
      <c r="AR1414" s="472" t="s">
        <v>515</v>
      </c>
      <c r="AS1414" s="473" t="s">
        <v>1385</v>
      </c>
      <c r="AT1414" s="472" t="s">
        <v>4613</v>
      </c>
      <c r="AU1414" s="472" t="s">
        <v>420</v>
      </c>
      <c r="AV1414" s="472">
        <v>2020</v>
      </c>
      <c r="AW1414" s="474" t="s">
        <v>15078</v>
      </c>
      <c r="AX1414" s="475" t="s">
        <v>15079</v>
      </c>
      <c r="AY1414" s="515">
        <v>1</v>
      </c>
      <c r="AZ1414" s="474" t="s">
        <v>15079</v>
      </c>
      <c r="BA1414" s="472" t="s">
        <v>4613</v>
      </c>
      <c r="BB1414" s="472" t="s">
        <v>1385</v>
      </c>
      <c r="BC1414" s="472" t="s">
        <v>1385</v>
      </c>
      <c r="BD1414" s="472" t="s">
        <v>1385</v>
      </c>
      <c r="BE1414" s="472" t="s">
        <v>1385</v>
      </c>
      <c r="BF1414" s="509">
        <v>16896.599999999999</v>
      </c>
      <c r="BG1414" s="472">
        <v>0</v>
      </c>
      <c r="BH1414" s="472" t="s">
        <v>1385</v>
      </c>
      <c r="BI1414" s="510">
        <v>0</v>
      </c>
      <c r="BJ1414" s="510">
        <v>1271</v>
      </c>
      <c r="BK1414" s="510">
        <v>0</v>
      </c>
      <c r="BL1414" s="510">
        <v>0</v>
      </c>
      <c r="BM1414" s="510">
        <v>0</v>
      </c>
      <c r="BN1414" s="510">
        <v>2000</v>
      </c>
      <c r="BO1414" s="510">
        <v>0</v>
      </c>
      <c r="BP1414" s="510">
        <v>0</v>
      </c>
      <c r="BQ1414" s="510">
        <v>0</v>
      </c>
      <c r="BR1414" s="510">
        <v>0</v>
      </c>
      <c r="BS1414" s="510">
        <v>0</v>
      </c>
      <c r="BT1414" s="510">
        <v>0</v>
      </c>
      <c r="BU1414" s="510">
        <v>0</v>
      </c>
      <c r="BV1414" s="510">
        <v>0</v>
      </c>
      <c r="BW1414" s="510">
        <v>0</v>
      </c>
      <c r="BX1414" s="510">
        <v>30000</v>
      </c>
      <c r="BY1414" s="1011">
        <v>0</v>
      </c>
      <c r="BZ1414" s="510">
        <v>0</v>
      </c>
      <c r="CA1414" s="1011">
        <v>0</v>
      </c>
      <c r="CB1414" s="510">
        <v>0</v>
      </c>
      <c r="CC1414" s="1011">
        <v>0</v>
      </c>
      <c r="CD1414" s="510">
        <v>0</v>
      </c>
      <c r="CE1414" s="1011">
        <v>0</v>
      </c>
      <c r="CF1414" s="510">
        <v>37435.199999999997</v>
      </c>
      <c r="CG1414" s="1011">
        <v>0</v>
      </c>
      <c r="CH1414" s="510">
        <v>0</v>
      </c>
      <c r="CI1414" s="1011">
        <v>0</v>
      </c>
    </row>
    <row r="1415" spans="1:87" x14ac:dyDescent="0.2">
      <c r="A1415" s="449">
        <v>9</v>
      </c>
      <c r="B1415" s="453">
        <v>400218</v>
      </c>
      <c r="C1415" s="454" t="s">
        <v>11379</v>
      </c>
      <c r="D1415" s="454" t="s">
        <v>4613</v>
      </c>
      <c r="E1415" s="454" t="s">
        <v>11380</v>
      </c>
      <c r="F1415" s="454" t="s">
        <v>529</v>
      </c>
      <c r="G1415" s="454" t="s">
        <v>14648</v>
      </c>
      <c r="H1415" s="455">
        <v>6913422000134</v>
      </c>
      <c r="I1415" s="462">
        <v>38169</v>
      </c>
      <c r="J1415" s="457">
        <v>37523775</v>
      </c>
      <c r="K1415" s="454" t="s">
        <v>11381</v>
      </c>
      <c r="L1415" s="458">
        <v>54</v>
      </c>
      <c r="M1415" s="454" t="s">
        <v>3864</v>
      </c>
      <c r="N1415" s="459">
        <v>4348020</v>
      </c>
      <c r="O1415" s="460">
        <v>50152998</v>
      </c>
      <c r="P1415" s="462">
        <v>563229</v>
      </c>
      <c r="Q1415" s="462">
        <v>10</v>
      </c>
      <c r="R1415" s="462">
        <v>43921</v>
      </c>
      <c r="S1415" s="463">
        <v>146</v>
      </c>
      <c r="T1415" s="464">
        <v>3.6</v>
      </c>
      <c r="U1415" s="465">
        <v>525.6</v>
      </c>
      <c r="V1415" s="465">
        <v>10800</v>
      </c>
      <c r="W1415" s="466">
        <v>0</v>
      </c>
      <c r="X1415" s="467">
        <v>1</v>
      </c>
      <c r="Y1415" s="466">
        <v>16988.400000000001</v>
      </c>
      <c r="Z1415" s="468" t="s">
        <v>516</v>
      </c>
      <c r="AA1415" s="466">
        <v>84661.2</v>
      </c>
      <c r="AB1415" s="466">
        <v>84661.2</v>
      </c>
      <c r="AC1415" s="467">
        <v>0</v>
      </c>
      <c r="AD1415" s="466">
        <v>0</v>
      </c>
      <c r="AE1415" s="468" t="s">
        <v>516</v>
      </c>
      <c r="AF1415" s="466">
        <v>0</v>
      </c>
      <c r="AG1415" s="466">
        <v>0</v>
      </c>
      <c r="AH1415" s="466">
        <v>13045.03</v>
      </c>
      <c r="AI1415" s="466">
        <v>4150.49</v>
      </c>
      <c r="AJ1415" s="469" t="s">
        <v>2103</v>
      </c>
      <c r="AK1415" s="470" t="s">
        <v>2104</v>
      </c>
      <c r="AL1415" s="471" t="s">
        <v>11382</v>
      </c>
      <c r="AM1415" s="470" t="s">
        <v>11383</v>
      </c>
      <c r="AN1415" s="470" t="s">
        <v>14648</v>
      </c>
      <c r="AO1415" s="470" t="s">
        <v>14649</v>
      </c>
      <c r="AP1415" s="470" t="s">
        <v>11384</v>
      </c>
      <c r="AQ1415" s="470" t="s">
        <v>11379</v>
      </c>
      <c r="AR1415" s="472" t="s">
        <v>515</v>
      </c>
      <c r="AS1415" s="473" t="s">
        <v>1385</v>
      </c>
      <c r="AT1415" s="472" t="s">
        <v>4613</v>
      </c>
      <c r="AU1415" s="472" t="s">
        <v>420</v>
      </c>
      <c r="AV1415" s="472">
        <v>2020</v>
      </c>
      <c r="AW1415" s="474" t="s">
        <v>15078</v>
      </c>
      <c r="AX1415" s="475" t="s">
        <v>15079</v>
      </c>
      <c r="AY1415" s="515">
        <v>1</v>
      </c>
      <c r="AZ1415" s="474" t="s">
        <v>15079</v>
      </c>
      <c r="BA1415" s="472" t="s">
        <v>4613</v>
      </c>
      <c r="BB1415" s="472" t="s">
        <v>1385</v>
      </c>
      <c r="BC1415" s="472" t="s">
        <v>1385</v>
      </c>
      <c r="BD1415" s="472" t="s">
        <v>1385</v>
      </c>
      <c r="BE1415" s="472" t="s">
        <v>1385</v>
      </c>
      <c r="BF1415" s="472">
        <v>16988.400000000001</v>
      </c>
      <c r="BG1415" s="472">
        <v>0</v>
      </c>
      <c r="BH1415" s="472" t="s">
        <v>1385</v>
      </c>
      <c r="BI1415" s="510">
        <v>0</v>
      </c>
      <c r="BJ1415" s="510">
        <v>0</v>
      </c>
      <c r="BK1415" s="510">
        <v>0</v>
      </c>
      <c r="BL1415" s="510">
        <v>0</v>
      </c>
      <c r="BM1415" s="510">
        <v>0</v>
      </c>
      <c r="BN1415" s="510">
        <v>2000</v>
      </c>
      <c r="BO1415" s="510">
        <v>0</v>
      </c>
      <c r="BP1415" s="510">
        <v>0</v>
      </c>
      <c r="BQ1415" s="510">
        <v>0</v>
      </c>
      <c r="BR1415" s="510">
        <v>0</v>
      </c>
      <c r="BS1415" s="510">
        <v>0</v>
      </c>
      <c r="BT1415" s="510">
        <v>0</v>
      </c>
      <c r="BU1415" s="510">
        <v>0</v>
      </c>
      <c r="BV1415" s="510">
        <v>0</v>
      </c>
      <c r="BW1415" s="510">
        <v>0</v>
      </c>
      <c r="BX1415" s="510">
        <v>30000</v>
      </c>
      <c r="BY1415" s="1011">
        <v>0</v>
      </c>
      <c r="BZ1415" s="510">
        <v>0</v>
      </c>
      <c r="CA1415" s="1011">
        <v>0</v>
      </c>
      <c r="CB1415" s="510">
        <v>0</v>
      </c>
      <c r="CC1415" s="1011">
        <v>0</v>
      </c>
      <c r="CD1415" s="510">
        <v>0</v>
      </c>
      <c r="CE1415" s="1011">
        <v>0</v>
      </c>
      <c r="CF1415" s="510">
        <v>37672.800000000003</v>
      </c>
      <c r="CG1415" s="1011">
        <v>0</v>
      </c>
      <c r="CH1415" s="510">
        <v>0</v>
      </c>
      <c r="CI1415" s="1011">
        <v>0</v>
      </c>
    </row>
    <row r="1416" spans="1:87" x14ac:dyDescent="0.2">
      <c r="A1416" s="449">
        <v>12</v>
      </c>
      <c r="B1416" s="453">
        <v>400219</v>
      </c>
      <c r="C1416" s="454" t="s">
        <v>11385</v>
      </c>
      <c r="D1416" s="454" t="s">
        <v>4613</v>
      </c>
      <c r="E1416" s="454" t="s">
        <v>11386</v>
      </c>
      <c r="F1416" s="454" t="s">
        <v>529</v>
      </c>
      <c r="G1416" s="454" t="s">
        <v>14650</v>
      </c>
      <c r="H1416" s="455">
        <v>7462074000199</v>
      </c>
      <c r="I1416" s="462">
        <v>38142</v>
      </c>
      <c r="J1416" s="457">
        <v>37523805</v>
      </c>
      <c r="K1416" s="454" t="s">
        <v>11387</v>
      </c>
      <c r="L1416" s="458">
        <v>356</v>
      </c>
      <c r="M1416" s="454" t="s">
        <v>3864</v>
      </c>
      <c r="N1416" s="459">
        <v>4332050</v>
      </c>
      <c r="O1416" s="460">
        <v>55624884</v>
      </c>
      <c r="P1416" s="462">
        <v>567917</v>
      </c>
      <c r="Q1416" s="462">
        <v>14</v>
      </c>
      <c r="R1416" s="462">
        <v>43921</v>
      </c>
      <c r="S1416" s="463">
        <v>166</v>
      </c>
      <c r="T1416" s="464">
        <v>3.6</v>
      </c>
      <c r="U1416" s="465">
        <v>597.6</v>
      </c>
      <c r="V1416" s="465">
        <v>10800</v>
      </c>
      <c r="W1416" s="466">
        <v>0</v>
      </c>
      <c r="X1416" s="467">
        <v>1</v>
      </c>
      <c r="Y1416" s="466">
        <v>17096.400000000001</v>
      </c>
      <c r="Z1416" s="468" t="s">
        <v>516</v>
      </c>
      <c r="AA1416" s="466">
        <v>84913.2</v>
      </c>
      <c r="AB1416" s="466">
        <v>84913.2</v>
      </c>
      <c r="AC1416" s="467">
        <v>0</v>
      </c>
      <c r="AD1416" s="466">
        <v>0</v>
      </c>
      <c r="AE1416" s="468" t="s">
        <v>516</v>
      </c>
      <c r="AF1416" s="466">
        <v>0</v>
      </c>
      <c r="AG1416" s="466">
        <v>0</v>
      </c>
      <c r="AH1416" s="466">
        <v>17881.46</v>
      </c>
      <c r="AI1416" s="466">
        <v>0</v>
      </c>
      <c r="AJ1416" s="469" t="s">
        <v>3879</v>
      </c>
      <c r="AK1416" s="470" t="s">
        <v>3864</v>
      </c>
      <c r="AL1416" s="471" t="s">
        <v>11388</v>
      </c>
      <c r="AM1416" s="470" t="s">
        <v>11389</v>
      </c>
      <c r="AN1416" s="470" t="s">
        <v>14650</v>
      </c>
      <c r="AO1416" s="470" t="s">
        <v>11390</v>
      </c>
      <c r="AP1416" s="470" t="s">
        <v>11391</v>
      </c>
      <c r="AQ1416" s="470" t="s">
        <v>11385</v>
      </c>
      <c r="AR1416" s="472" t="s">
        <v>515</v>
      </c>
      <c r="AS1416" s="473" t="s">
        <v>1385</v>
      </c>
      <c r="AT1416" s="472" t="s">
        <v>4613</v>
      </c>
      <c r="AU1416" s="472" t="s">
        <v>420</v>
      </c>
      <c r="AV1416" s="472">
        <v>2020</v>
      </c>
      <c r="AW1416" s="474" t="s">
        <v>15078</v>
      </c>
      <c r="AX1416" s="475" t="s">
        <v>15079</v>
      </c>
      <c r="AY1416" s="515">
        <v>1</v>
      </c>
      <c r="AZ1416" s="474" t="s">
        <v>15079</v>
      </c>
      <c r="BA1416" s="472" t="s">
        <v>4613</v>
      </c>
      <c r="BB1416" s="472" t="s">
        <v>1385</v>
      </c>
      <c r="BC1416" s="472" t="s">
        <v>1385</v>
      </c>
      <c r="BD1416" s="472" t="s">
        <v>1385</v>
      </c>
      <c r="BE1416" s="472" t="s">
        <v>1385</v>
      </c>
      <c r="BF1416" s="472">
        <v>17096.400000000001</v>
      </c>
      <c r="BG1416" s="472">
        <v>0</v>
      </c>
      <c r="BH1416" s="472" t="s">
        <v>1385</v>
      </c>
      <c r="BI1416" s="510">
        <v>0</v>
      </c>
      <c r="BJ1416" s="510">
        <v>0</v>
      </c>
      <c r="BK1416" s="510">
        <v>0</v>
      </c>
      <c r="BL1416" s="510">
        <v>0</v>
      </c>
      <c r="BM1416" s="510">
        <v>0</v>
      </c>
      <c r="BN1416" s="510">
        <v>2000</v>
      </c>
      <c r="BO1416" s="510">
        <v>0</v>
      </c>
      <c r="BP1416" s="510">
        <v>0</v>
      </c>
      <c r="BQ1416" s="510">
        <v>0</v>
      </c>
      <c r="BR1416" s="510">
        <v>0</v>
      </c>
      <c r="BS1416" s="510">
        <v>0</v>
      </c>
      <c r="BT1416" s="510">
        <v>0</v>
      </c>
      <c r="BU1416" s="510">
        <v>0</v>
      </c>
      <c r="BV1416" s="510">
        <v>0</v>
      </c>
      <c r="BW1416" s="510">
        <v>0</v>
      </c>
      <c r="BX1416" s="510">
        <v>30000</v>
      </c>
      <c r="BY1416" s="1011">
        <v>0</v>
      </c>
      <c r="BZ1416" s="510">
        <v>0</v>
      </c>
      <c r="CA1416" s="1011">
        <v>0</v>
      </c>
      <c r="CB1416" s="510">
        <v>0</v>
      </c>
      <c r="CC1416" s="1011">
        <v>0</v>
      </c>
      <c r="CD1416" s="510">
        <v>0</v>
      </c>
      <c r="CE1416" s="1011">
        <v>0</v>
      </c>
      <c r="CF1416" s="510">
        <v>37816.800000000003</v>
      </c>
      <c r="CG1416" s="1011">
        <v>0</v>
      </c>
      <c r="CH1416" s="510">
        <v>0</v>
      </c>
      <c r="CI1416" s="1011">
        <v>0</v>
      </c>
    </row>
    <row r="1417" spans="1:87" x14ac:dyDescent="0.2">
      <c r="A1417" s="449">
        <v>19</v>
      </c>
      <c r="B1417" s="453">
        <v>400220</v>
      </c>
      <c r="C1417" s="454" t="s">
        <v>11392</v>
      </c>
      <c r="D1417" s="454" t="s">
        <v>4613</v>
      </c>
      <c r="E1417" s="454" t="s">
        <v>11393</v>
      </c>
      <c r="F1417" s="454" t="s">
        <v>528</v>
      </c>
      <c r="G1417" s="454" t="s">
        <v>14651</v>
      </c>
      <c r="H1417" s="455">
        <v>7825230000139</v>
      </c>
      <c r="I1417" s="462">
        <v>39531</v>
      </c>
      <c r="J1417" s="457">
        <v>37375385</v>
      </c>
      <c r="K1417" s="454" t="s">
        <v>11394</v>
      </c>
      <c r="L1417" s="458">
        <v>292</v>
      </c>
      <c r="M1417" s="454" t="s">
        <v>11395</v>
      </c>
      <c r="N1417" s="459">
        <v>5319020</v>
      </c>
      <c r="O1417" s="460">
        <v>38313393</v>
      </c>
      <c r="P1417" s="462">
        <v>210474</v>
      </c>
      <c r="Q1417" s="462">
        <v>19</v>
      </c>
      <c r="R1417" s="462">
        <v>43938</v>
      </c>
      <c r="S1417" s="463">
        <v>101</v>
      </c>
      <c r="T1417" s="464">
        <v>3.6</v>
      </c>
      <c r="U1417" s="465">
        <v>363.6</v>
      </c>
      <c r="V1417" s="465">
        <v>10800</v>
      </c>
      <c r="W1417" s="466">
        <v>0</v>
      </c>
      <c r="X1417" s="467">
        <v>1</v>
      </c>
      <c r="Y1417" s="466">
        <v>16745.400000000001</v>
      </c>
      <c r="Z1417" s="468" t="s">
        <v>514</v>
      </c>
      <c r="AA1417" s="466">
        <v>67312.800000000003</v>
      </c>
      <c r="AB1417" s="466">
        <v>67312.800000000003</v>
      </c>
      <c r="AC1417" s="467">
        <v>0</v>
      </c>
      <c r="AD1417" s="466">
        <v>0</v>
      </c>
      <c r="AE1417" s="468" t="s">
        <v>516</v>
      </c>
      <c r="AF1417" s="466">
        <v>0</v>
      </c>
      <c r="AG1417" s="466">
        <v>0</v>
      </c>
      <c r="AH1417" s="466">
        <v>5796.24</v>
      </c>
      <c r="AI1417" s="466">
        <v>7369.29</v>
      </c>
      <c r="AJ1417" s="469" t="s">
        <v>2792</v>
      </c>
      <c r="AK1417" s="470" t="s">
        <v>11396</v>
      </c>
      <c r="AL1417" s="471" t="s">
        <v>11397</v>
      </c>
      <c r="AM1417" s="470" t="s">
        <v>14652</v>
      </c>
      <c r="AN1417" s="470" t="s">
        <v>11398</v>
      </c>
      <c r="AO1417" s="470" t="s">
        <v>14653</v>
      </c>
      <c r="AP1417" s="470" t="s">
        <v>11399</v>
      </c>
      <c r="AQ1417" s="470" t="s">
        <v>11392</v>
      </c>
      <c r="AR1417" s="472" t="s">
        <v>515</v>
      </c>
      <c r="AS1417" s="473" t="s">
        <v>1385</v>
      </c>
      <c r="AT1417" s="472" t="s">
        <v>4613</v>
      </c>
      <c r="AU1417" s="472" t="s">
        <v>420</v>
      </c>
      <c r="AV1417" s="472">
        <v>2020</v>
      </c>
      <c r="AW1417" s="474" t="s">
        <v>15078</v>
      </c>
      <c r="AX1417" s="475" t="s">
        <v>15079</v>
      </c>
      <c r="AY1417" s="515">
        <v>1</v>
      </c>
      <c r="AZ1417" s="474" t="s">
        <v>15079</v>
      </c>
      <c r="BA1417" s="472" t="s">
        <v>4613</v>
      </c>
      <c r="BB1417" s="472" t="s">
        <v>1385</v>
      </c>
      <c r="BC1417" s="472" t="s">
        <v>1385</v>
      </c>
      <c r="BD1417" s="472" t="s">
        <v>1385</v>
      </c>
      <c r="BE1417" s="472" t="s">
        <v>1385</v>
      </c>
      <c r="BF1417" s="472">
        <v>16745.400000000001</v>
      </c>
      <c r="BG1417" s="472">
        <v>0</v>
      </c>
      <c r="BH1417" s="472" t="s">
        <v>1385</v>
      </c>
      <c r="BI1417" s="510">
        <v>0</v>
      </c>
      <c r="BJ1417" s="510">
        <v>0</v>
      </c>
      <c r="BK1417" s="510">
        <v>0</v>
      </c>
      <c r="BL1417" s="510">
        <v>0</v>
      </c>
      <c r="BM1417" s="510">
        <v>0</v>
      </c>
      <c r="BN1417" s="510">
        <v>2000</v>
      </c>
      <c r="BO1417" s="510">
        <v>0</v>
      </c>
      <c r="BP1417" s="510">
        <v>0</v>
      </c>
      <c r="BQ1417" s="510">
        <v>0</v>
      </c>
      <c r="BR1417" s="510">
        <v>0</v>
      </c>
      <c r="BS1417" s="510">
        <v>0</v>
      </c>
      <c r="BT1417" s="510">
        <v>0</v>
      </c>
      <c r="BU1417" s="510">
        <v>0</v>
      </c>
      <c r="BV1417" s="510">
        <v>0</v>
      </c>
      <c r="BW1417" s="510">
        <v>0</v>
      </c>
      <c r="BX1417" s="510">
        <v>30000</v>
      </c>
      <c r="BY1417" s="1011">
        <v>0</v>
      </c>
      <c r="BZ1417" s="510">
        <v>0</v>
      </c>
      <c r="CA1417" s="1011">
        <v>0</v>
      </c>
      <c r="CB1417" s="510">
        <v>0</v>
      </c>
      <c r="CC1417" s="1011">
        <v>0</v>
      </c>
      <c r="CD1417" s="510">
        <v>0</v>
      </c>
      <c r="CE1417" s="1011">
        <v>0</v>
      </c>
      <c r="CF1417" s="510">
        <v>37312.800000000003</v>
      </c>
      <c r="CG1417" s="1011">
        <v>0</v>
      </c>
      <c r="CH1417" s="510">
        <v>0</v>
      </c>
      <c r="CI1417" s="1011">
        <v>0</v>
      </c>
    </row>
    <row r="1418" spans="1:87" x14ac:dyDescent="0.2">
      <c r="A1418" s="449">
        <v>11</v>
      </c>
      <c r="B1418" s="453">
        <v>400221</v>
      </c>
      <c r="C1418" s="454" t="s">
        <v>11400</v>
      </c>
      <c r="D1418" s="454" t="s">
        <v>4613</v>
      </c>
      <c r="E1418" s="454" t="s">
        <v>11401</v>
      </c>
      <c r="F1418" s="454" t="s">
        <v>519</v>
      </c>
      <c r="G1418" s="454" t="s">
        <v>14654</v>
      </c>
      <c r="H1418" s="455">
        <v>6906124000117</v>
      </c>
      <c r="I1418" s="462">
        <v>38170</v>
      </c>
      <c r="J1418" s="457">
        <v>37358235</v>
      </c>
      <c r="K1418" s="454" t="s">
        <v>11403</v>
      </c>
      <c r="L1418" s="458">
        <v>146</v>
      </c>
      <c r="M1418" s="454" t="s">
        <v>11404</v>
      </c>
      <c r="N1418" s="459">
        <v>5583030</v>
      </c>
      <c r="O1418" s="460">
        <v>37825224</v>
      </c>
      <c r="P1418" s="462">
        <v>125035</v>
      </c>
      <c r="Q1418" s="462">
        <v>78</v>
      </c>
      <c r="R1418" s="462">
        <v>43881</v>
      </c>
      <c r="S1418" s="463">
        <v>197</v>
      </c>
      <c r="T1418" s="464">
        <v>3.6</v>
      </c>
      <c r="U1418" s="465">
        <v>709.2</v>
      </c>
      <c r="V1418" s="465">
        <v>10800</v>
      </c>
      <c r="W1418" s="466">
        <v>0</v>
      </c>
      <c r="X1418" s="467">
        <v>1</v>
      </c>
      <c r="Y1418" s="466">
        <v>0</v>
      </c>
      <c r="Z1418" s="468" t="s">
        <v>514</v>
      </c>
      <c r="AA1418" s="466">
        <v>0</v>
      </c>
      <c r="AB1418" s="466">
        <v>0</v>
      </c>
      <c r="AC1418" s="467">
        <v>0</v>
      </c>
      <c r="AD1418" s="466">
        <v>0</v>
      </c>
      <c r="AE1418" s="468" t="s">
        <v>516</v>
      </c>
      <c r="AF1418" s="466">
        <v>0</v>
      </c>
      <c r="AG1418" s="466">
        <v>0</v>
      </c>
      <c r="AH1418" s="466">
        <v>2090.5100000000002</v>
      </c>
      <c r="AI1418" s="466">
        <v>369.38</v>
      </c>
      <c r="AJ1418" s="469" t="s">
        <v>4895</v>
      </c>
      <c r="AK1418" s="470" t="s">
        <v>4896</v>
      </c>
      <c r="AL1418" s="471" t="s">
        <v>11405</v>
      </c>
      <c r="AM1418" s="470" t="s">
        <v>11406</v>
      </c>
      <c r="AN1418" s="470" t="s">
        <v>11402</v>
      </c>
      <c r="AO1418" s="470" t="s">
        <v>11407</v>
      </c>
      <c r="AP1418" s="470" t="s">
        <v>11408</v>
      </c>
      <c r="AQ1418" s="470" t="s">
        <v>11400</v>
      </c>
      <c r="AR1418" s="472" t="s">
        <v>515</v>
      </c>
      <c r="AS1418" s="473" t="s">
        <v>1385</v>
      </c>
      <c r="AT1418" s="472" t="s">
        <v>4613</v>
      </c>
      <c r="AU1418" s="472" t="s">
        <v>420</v>
      </c>
      <c r="AV1418" s="472">
        <v>2020</v>
      </c>
      <c r="AW1418" s="474" t="s">
        <v>15078</v>
      </c>
      <c r="AX1418" s="475" t="s">
        <v>15079</v>
      </c>
      <c r="AY1418" s="515">
        <v>1</v>
      </c>
      <c r="AZ1418" s="474" t="s">
        <v>15079</v>
      </c>
      <c r="BA1418" s="472" t="s">
        <v>1385</v>
      </c>
      <c r="BB1418" s="472" t="s">
        <v>1385</v>
      </c>
      <c r="BC1418" s="472" t="s">
        <v>1385</v>
      </c>
      <c r="BD1418" s="472" t="s">
        <v>1385</v>
      </c>
      <c r="BE1418" s="472" t="s">
        <v>1385</v>
      </c>
      <c r="BF1418" s="472">
        <v>17263.8</v>
      </c>
      <c r="BG1418" s="472">
        <v>0</v>
      </c>
      <c r="BH1418" s="472" t="s">
        <v>516</v>
      </c>
      <c r="BI1418" s="510">
        <v>0</v>
      </c>
      <c r="BJ1418" s="510">
        <v>0</v>
      </c>
      <c r="BK1418" s="510">
        <v>0</v>
      </c>
      <c r="BL1418" s="510">
        <v>0</v>
      </c>
      <c r="BM1418" s="510">
        <v>0</v>
      </c>
      <c r="BN1418" s="510">
        <v>0</v>
      </c>
      <c r="BO1418" s="510">
        <v>0</v>
      </c>
      <c r="BP1418" s="510">
        <v>0</v>
      </c>
      <c r="BQ1418" s="510">
        <v>0</v>
      </c>
      <c r="BR1418" s="510">
        <v>0</v>
      </c>
      <c r="BS1418" s="510">
        <v>0</v>
      </c>
      <c r="BT1418" s="510">
        <v>0</v>
      </c>
      <c r="BU1418" s="510">
        <v>0</v>
      </c>
      <c r="BV1418" s="510">
        <v>0</v>
      </c>
      <c r="BW1418" s="510">
        <v>0</v>
      </c>
      <c r="BX1418" s="510">
        <v>0</v>
      </c>
      <c r="BY1418" s="1011">
        <v>0</v>
      </c>
      <c r="BZ1418" s="510">
        <v>0</v>
      </c>
      <c r="CA1418" s="1011">
        <v>0</v>
      </c>
      <c r="CB1418" s="510">
        <v>0</v>
      </c>
      <c r="CC1418" s="1011">
        <v>0</v>
      </c>
      <c r="CD1418" s="510">
        <v>0</v>
      </c>
      <c r="CE1418" s="1011">
        <v>0</v>
      </c>
      <c r="CF1418" s="510">
        <v>0</v>
      </c>
      <c r="CG1418" s="1011">
        <v>0</v>
      </c>
      <c r="CH1418" s="510">
        <v>0</v>
      </c>
      <c r="CI1418" s="1011">
        <v>0</v>
      </c>
    </row>
    <row r="1419" spans="1:87" x14ac:dyDescent="0.2">
      <c r="A1419" s="449">
        <v>25</v>
      </c>
      <c r="B1419" s="453">
        <v>400222</v>
      </c>
      <c r="C1419" s="454" t="s">
        <v>11409</v>
      </c>
      <c r="D1419" s="454" t="s">
        <v>4613</v>
      </c>
      <c r="E1419" s="454" t="s">
        <v>11410</v>
      </c>
      <c r="F1419" s="454" t="s">
        <v>513</v>
      </c>
      <c r="G1419" s="454" t="s">
        <v>13531</v>
      </c>
      <c r="H1419" s="455">
        <v>8791379000107</v>
      </c>
      <c r="I1419" s="462">
        <v>38839</v>
      </c>
      <c r="J1419" s="457">
        <v>37531050</v>
      </c>
      <c r="K1419" s="454" t="s">
        <v>11411</v>
      </c>
      <c r="L1419" s="458">
        <v>79</v>
      </c>
      <c r="M1419" s="454" t="s">
        <v>11412</v>
      </c>
      <c r="N1419" s="459">
        <v>3920010</v>
      </c>
      <c r="O1419" s="460">
        <v>27032311</v>
      </c>
      <c r="P1419" s="462">
        <v>147063</v>
      </c>
      <c r="Q1419" s="462">
        <v>25</v>
      </c>
      <c r="R1419" s="462">
        <v>43937</v>
      </c>
      <c r="S1419" s="463">
        <v>104</v>
      </c>
      <c r="T1419" s="464">
        <v>3.6</v>
      </c>
      <c r="U1419" s="465">
        <v>374.4</v>
      </c>
      <c r="V1419" s="465">
        <v>10800</v>
      </c>
      <c r="W1419" s="466">
        <v>0</v>
      </c>
      <c r="X1419" s="467">
        <v>1</v>
      </c>
      <c r="Y1419" s="466">
        <v>16761.599999999999</v>
      </c>
      <c r="Z1419" s="468" t="s">
        <v>516</v>
      </c>
      <c r="AA1419" s="466">
        <v>84110.399999999994</v>
      </c>
      <c r="AB1419" s="466">
        <v>84110.399999999994</v>
      </c>
      <c r="AC1419" s="467">
        <v>0</v>
      </c>
      <c r="AD1419" s="466">
        <v>0</v>
      </c>
      <c r="AE1419" s="468" t="s">
        <v>516</v>
      </c>
      <c r="AF1419" s="466">
        <v>0</v>
      </c>
      <c r="AG1419" s="466">
        <v>0</v>
      </c>
      <c r="AH1419" s="466">
        <v>3393.51</v>
      </c>
      <c r="AI1419" s="466">
        <v>527.38</v>
      </c>
      <c r="AJ1419" s="469" t="s">
        <v>1972</v>
      </c>
      <c r="AK1419" s="470" t="s">
        <v>1973</v>
      </c>
      <c r="AL1419" s="471" t="s">
        <v>11413</v>
      </c>
      <c r="AM1419" s="470" t="s">
        <v>11414</v>
      </c>
      <c r="AN1419" s="470" t="s">
        <v>11415</v>
      </c>
      <c r="AO1419" s="470" t="s">
        <v>11416</v>
      </c>
      <c r="AP1419" s="470" t="s">
        <v>11417</v>
      </c>
      <c r="AQ1419" s="470" t="s">
        <v>11409</v>
      </c>
      <c r="AR1419" s="472" t="s">
        <v>515</v>
      </c>
      <c r="AS1419" s="473" t="s">
        <v>1385</v>
      </c>
      <c r="AT1419" s="472" t="s">
        <v>4613</v>
      </c>
      <c r="AU1419" s="472" t="s">
        <v>420</v>
      </c>
      <c r="AV1419" s="472">
        <v>2020</v>
      </c>
      <c r="AW1419" s="474" t="s">
        <v>15078</v>
      </c>
      <c r="AX1419" s="475" t="s">
        <v>15079</v>
      </c>
      <c r="AY1419" s="515">
        <v>1</v>
      </c>
      <c r="AZ1419" s="474" t="s">
        <v>15079</v>
      </c>
      <c r="BA1419" s="472" t="s">
        <v>4613</v>
      </c>
      <c r="BB1419" s="472" t="s">
        <v>1385</v>
      </c>
      <c r="BC1419" s="472" t="s">
        <v>1385</v>
      </c>
      <c r="BD1419" s="472" t="s">
        <v>1385</v>
      </c>
      <c r="BE1419" s="472" t="s">
        <v>1385</v>
      </c>
      <c r="BF1419" s="472">
        <v>16761.599999999999</v>
      </c>
      <c r="BG1419" s="472">
        <v>0</v>
      </c>
      <c r="BH1419" s="472" t="s">
        <v>1385</v>
      </c>
      <c r="BI1419" s="510">
        <v>0</v>
      </c>
      <c r="BJ1419" s="510">
        <v>0</v>
      </c>
      <c r="BK1419" s="510">
        <v>0</v>
      </c>
      <c r="BL1419" s="510">
        <v>0</v>
      </c>
      <c r="BM1419" s="510">
        <v>0</v>
      </c>
      <c r="BN1419" s="510">
        <v>1400</v>
      </c>
      <c r="BO1419" s="510">
        <v>0</v>
      </c>
      <c r="BP1419" s="510">
        <v>0</v>
      </c>
      <c r="BQ1419" s="510">
        <v>0</v>
      </c>
      <c r="BR1419" s="510">
        <v>0</v>
      </c>
      <c r="BS1419" s="510">
        <v>0</v>
      </c>
      <c r="BT1419" s="510">
        <v>0</v>
      </c>
      <c r="BU1419" s="510">
        <v>0</v>
      </c>
      <c r="BV1419" s="510">
        <v>0</v>
      </c>
      <c r="BW1419" s="510">
        <v>0</v>
      </c>
      <c r="BX1419" s="510">
        <v>30000</v>
      </c>
      <c r="BY1419" s="1011">
        <v>0</v>
      </c>
      <c r="BZ1419" s="510">
        <v>0</v>
      </c>
      <c r="CA1419" s="1011">
        <v>0</v>
      </c>
      <c r="CB1419" s="510">
        <v>0</v>
      </c>
      <c r="CC1419" s="1011">
        <v>0</v>
      </c>
      <c r="CD1419" s="510">
        <v>0</v>
      </c>
      <c r="CE1419" s="1011">
        <v>0</v>
      </c>
      <c r="CF1419" s="510">
        <v>37348.800000000003</v>
      </c>
      <c r="CG1419" s="1011">
        <v>0</v>
      </c>
      <c r="CH1419" s="510">
        <v>0</v>
      </c>
      <c r="CI1419" s="1011">
        <v>0</v>
      </c>
    </row>
    <row r="1420" spans="1:87" x14ac:dyDescent="0.2">
      <c r="A1420" s="449">
        <v>13</v>
      </c>
      <c r="B1420" s="453">
        <v>400223</v>
      </c>
      <c r="C1420" s="454" t="s">
        <v>11418</v>
      </c>
      <c r="D1420" s="454" t="s">
        <v>4613</v>
      </c>
      <c r="E1420" s="454" t="s">
        <v>11419</v>
      </c>
      <c r="F1420" s="454" t="s">
        <v>529</v>
      </c>
      <c r="G1420" s="454" t="s">
        <v>14655</v>
      </c>
      <c r="H1420" s="455">
        <v>7253658000154</v>
      </c>
      <c r="I1420" s="462">
        <v>38348</v>
      </c>
      <c r="J1420" s="457">
        <v>37523830</v>
      </c>
      <c r="K1420" s="454" t="s">
        <v>11420</v>
      </c>
      <c r="L1420" s="458">
        <v>252</v>
      </c>
      <c r="M1420" s="454" t="s">
        <v>1789</v>
      </c>
      <c r="N1420" s="459">
        <v>4411120</v>
      </c>
      <c r="O1420" s="460">
        <v>56210756</v>
      </c>
      <c r="P1420" s="462">
        <v>563245</v>
      </c>
      <c r="Q1420" s="462">
        <v>15</v>
      </c>
      <c r="R1420" s="462">
        <v>43921</v>
      </c>
      <c r="S1420" s="463">
        <v>145</v>
      </c>
      <c r="T1420" s="464">
        <v>3.6</v>
      </c>
      <c r="U1420" s="465">
        <v>522</v>
      </c>
      <c r="V1420" s="465">
        <v>10800</v>
      </c>
      <c r="W1420" s="466">
        <v>0</v>
      </c>
      <c r="X1420" s="467">
        <v>1</v>
      </c>
      <c r="Y1420" s="466">
        <v>16983</v>
      </c>
      <c r="Z1420" s="468" t="s">
        <v>516</v>
      </c>
      <c r="AA1420" s="466">
        <v>84663</v>
      </c>
      <c r="AB1420" s="466">
        <v>84663</v>
      </c>
      <c r="AC1420" s="467">
        <v>0</v>
      </c>
      <c r="AD1420" s="466">
        <v>0</v>
      </c>
      <c r="AE1420" s="468" t="s">
        <v>516</v>
      </c>
      <c r="AF1420" s="466">
        <v>0</v>
      </c>
      <c r="AG1420" s="466">
        <v>0</v>
      </c>
      <c r="AH1420" s="466">
        <v>19958.59</v>
      </c>
      <c r="AI1420" s="466">
        <v>6078.73</v>
      </c>
      <c r="AJ1420" s="469" t="s">
        <v>1481</v>
      </c>
      <c r="AK1420" s="470" t="s">
        <v>1482</v>
      </c>
      <c r="AL1420" s="471" t="s">
        <v>11421</v>
      </c>
      <c r="AM1420" s="470" t="s">
        <v>11422</v>
      </c>
      <c r="AN1420" s="470" t="s">
        <v>14655</v>
      </c>
      <c r="AO1420" s="470" t="s">
        <v>11423</v>
      </c>
      <c r="AP1420" s="470" t="s">
        <v>11424</v>
      </c>
      <c r="AQ1420" s="470" t="s">
        <v>11418</v>
      </c>
      <c r="AR1420" s="472" t="s">
        <v>515</v>
      </c>
      <c r="AS1420" s="473" t="s">
        <v>1385</v>
      </c>
      <c r="AT1420" s="472" t="s">
        <v>4613</v>
      </c>
      <c r="AU1420" s="472" t="s">
        <v>420</v>
      </c>
      <c r="AV1420" s="472">
        <v>2020</v>
      </c>
      <c r="AW1420" s="474" t="s">
        <v>15078</v>
      </c>
      <c r="AX1420" s="475" t="s">
        <v>15079</v>
      </c>
      <c r="AY1420" s="515">
        <v>1</v>
      </c>
      <c r="AZ1420" s="474" t="s">
        <v>15079</v>
      </c>
      <c r="BA1420" s="472" t="s">
        <v>4613</v>
      </c>
      <c r="BB1420" s="472" t="s">
        <v>1385</v>
      </c>
      <c r="BC1420" s="472" t="s">
        <v>1385</v>
      </c>
      <c r="BD1420" s="472" t="s">
        <v>1385</v>
      </c>
      <c r="BE1420" s="472" t="s">
        <v>1385</v>
      </c>
      <c r="BF1420" s="472">
        <v>16983</v>
      </c>
      <c r="BG1420" s="472">
        <v>0</v>
      </c>
      <c r="BH1420" s="472" t="s">
        <v>1385</v>
      </c>
      <c r="BI1420" s="510">
        <v>0</v>
      </c>
      <c r="BJ1420" s="510">
        <v>67.900000000000006</v>
      </c>
      <c r="BK1420" s="510">
        <v>0</v>
      </c>
      <c r="BL1420" s="510">
        <v>0</v>
      </c>
      <c r="BM1420" s="510">
        <v>0</v>
      </c>
      <c r="BN1420" s="510">
        <v>2000</v>
      </c>
      <c r="BO1420" s="510">
        <v>0</v>
      </c>
      <c r="BP1420" s="510">
        <v>0</v>
      </c>
      <c r="BQ1420" s="510">
        <v>0</v>
      </c>
      <c r="BR1420" s="510">
        <v>0</v>
      </c>
      <c r="BS1420" s="510">
        <v>0</v>
      </c>
      <c r="BT1420" s="510">
        <v>0</v>
      </c>
      <c r="BU1420" s="510">
        <v>0</v>
      </c>
      <c r="BV1420" s="510">
        <v>0</v>
      </c>
      <c r="BW1420" s="510">
        <v>0</v>
      </c>
      <c r="BX1420" s="510">
        <v>30000</v>
      </c>
      <c r="BY1420" s="1011">
        <v>0</v>
      </c>
      <c r="BZ1420" s="510">
        <v>0</v>
      </c>
      <c r="CA1420" s="1011">
        <v>0</v>
      </c>
      <c r="CB1420" s="510">
        <v>0</v>
      </c>
      <c r="CC1420" s="1011">
        <v>0</v>
      </c>
      <c r="CD1420" s="510">
        <v>0</v>
      </c>
      <c r="CE1420" s="1011">
        <v>0</v>
      </c>
      <c r="CF1420" s="510">
        <v>37680</v>
      </c>
      <c r="CG1420" s="1011">
        <v>0</v>
      </c>
      <c r="CH1420" s="510">
        <v>0</v>
      </c>
      <c r="CI1420" s="1011">
        <v>0</v>
      </c>
    </row>
    <row r="1421" spans="1:87" x14ac:dyDescent="0.2">
      <c r="A1421" s="449">
        <v>12</v>
      </c>
      <c r="B1421" s="453">
        <v>400224</v>
      </c>
      <c r="C1421" s="454" t="s">
        <v>11425</v>
      </c>
      <c r="D1421" s="454" t="s">
        <v>4613</v>
      </c>
      <c r="E1421" s="454" t="s">
        <v>11426</v>
      </c>
      <c r="F1421" s="454" t="s">
        <v>519</v>
      </c>
      <c r="G1421" s="454" t="s">
        <v>14656</v>
      </c>
      <c r="H1421" s="455">
        <v>6343746000184</v>
      </c>
      <c r="I1421" s="462">
        <v>38139</v>
      </c>
      <c r="J1421" s="457">
        <v>37358189</v>
      </c>
      <c r="K1421" s="454" t="s">
        <v>11428</v>
      </c>
      <c r="L1421" s="458">
        <v>60</v>
      </c>
      <c r="M1421" s="454" t="s">
        <v>9213</v>
      </c>
      <c r="N1421" s="459">
        <v>5398020</v>
      </c>
      <c r="O1421" s="460">
        <v>37823791</v>
      </c>
      <c r="P1421" s="462">
        <v>117377</v>
      </c>
      <c r="Q1421" s="462">
        <v>79</v>
      </c>
      <c r="R1421" s="462">
        <v>43881</v>
      </c>
      <c r="S1421" s="463">
        <v>164</v>
      </c>
      <c r="T1421" s="464">
        <v>3.6</v>
      </c>
      <c r="U1421" s="465">
        <v>590.4</v>
      </c>
      <c r="V1421" s="465">
        <v>10800</v>
      </c>
      <c r="W1421" s="466">
        <v>0</v>
      </c>
      <c r="X1421" s="467">
        <v>1</v>
      </c>
      <c r="Y1421" s="466">
        <v>0</v>
      </c>
      <c r="Z1421" s="468" t="s">
        <v>514</v>
      </c>
      <c r="AA1421" s="466">
        <v>0</v>
      </c>
      <c r="AB1421" s="466">
        <v>0</v>
      </c>
      <c r="AC1421" s="467">
        <v>0</v>
      </c>
      <c r="AD1421" s="466">
        <v>0</v>
      </c>
      <c r="AE1421" s="468" t="s">
        <v>516</v>
      </c>
      <c r="AF1421" s="466">
        <v>0</v>
      </c>
      <c r="AG1421" s="466">
        <v>0</v>
      </c>
      <c r="AH1421" s="466">
        <v>3716.4</v>
      </c>
      <c r="AI1421" s="466">
        <v>0</v>
      </c>
      <c r="AJ1421" s="469" t="s">
        <v>1606</v>
      </c>
      <c r="AK1421" s="470" t="s">
        <v>519</v>
      </c>
      <c r="AL1421" s="471" t="s">
        <v>11429</v>
      </c>
      <c r="AM1421" s="470" t="s">
        <v>11430</v>
      </c>
      <c r="AN1421" s="470" t="s">
        <v>11427</v>
      </c>
      <c r="AO1421" s="470" t="s">
        <v>11431</v>
      </c>
      <c r="AP1421" s="470" t="s">
        <v>11432</v>
      </c>
      <c r="AQ1421" s="470" t="s">
        <v>11425</v>
      </c>
      <c r="AR1421" s="472" t="s">
        <v>515</v>
      </c>
      <c r="AS1421" s="473" t="s">
        <v>1385</v>
      </c>
      <c r="AT1421" s="472" t="s">
        <v>4613</v>
      </c>
      <c r="AU1421" s="472" t="s">
        <v>420</v>
      </c>
      <c r="AV1421" s="472">
        <v>2020</v>
      </c>
      <c r="AW1421" s="474" t="s">
        <v>15078</v>
      </c>
      <c r="AX1421" s="475" t="s">
        <v>15079</v>
      </c>
      <c r="AY1421" s="515">
        <v>1</v>
      </c>
      <c r="AZ1421" s="474" t="s">
        <v>15079</v>
      </c>
      <c r="BA1421" s="472" t="s">
        <v>1385</v>
      </c>
      <c r="BB1421" s="472" t="s">
        <v>1385</v>
      </c>
      <c r="BC1421" s="472" t="s">
        <v>1385</v>
      </c>
      <c r="BD1421" s="472" t="s">
        <v>1385</v>
      </c>
      <c r="BE1421" s="472" t="s">
        <v>1385</v>
      </c>
      <c r="BF1421" s="472">
        <v>17085.599999999999</v>
      </c>
      <c r="BG1421" s="472">
        <v>0</v>
      </c>
      <c r="BH1421" s="472" t="s">
        <v>516</v>
      </c>
      <c r="BI1421" s="510">
        <v>0</v>
      </c>
      <c r="BJ1421" s="510">
        <v>0</v>
      </c>
      <c r="BK1421" s="510">
        <v>0</v>
      </c>
      <c r="BL1421" s="510">
        <v>0</v>
      </c>
      <c r="BM1421" s="510">
        <v>0</v>
      </c>
      <c r="BN1421" s="510">
        <v>0</v>
      </c>
      <c r="BO1421" s="510">
        <v>0</v>
      </c>
      <c r="BP1421" s="510">
        <v>0</v>
      </c>
      <c r="BQ1421" s="510">
        <v>0</v>
      </c>
      <c r="BR1421" s="510">
        <v>0</v>
      </c>
      <c r="BS1421" s="510">
        <v>0</v>
      </c>
      <c r="BT1421" s="510">
        <v>0</v>
      </c>
      <c r="BU1421" s="510">
        <v>0</v>
      </c>
      <c r="BV1421" s="510">
        <v>0</v>
      </c>
      <c r="BW1421" s="510">
        <v>0</v>
      </c>
      <c r="BX1421" s="510">
        <v>0</v>
      </c>
      <c r="BY1421" s="1011">
        <v>0</v>
      </c>
      <c r="BZ1421" s="510">
        <v>0</v>
      </c>
      <c r="CA1421" s="1011">
        <v>0</v>
      </c>
      <c r="CB1421" s="510">
        <v>0</v>
      </c>
      <c r="CC1421" s="1011">
        <v>0</v>
      </c>
      <c r="CD1421" s="510">
        <v>0</v>
      </c>
      <c r="CE1421" s="1011">
        <v>0</v>
      </c>
      <c r="CF1421" s="510">
        <v>0</v>
      </c>
      <c r="CG1421" s="1011">
        <v>0</v>
      </c>
      <c r="CH1421" s="510">
        <v>0</v>
      </c>
      <c r="CI1421" s="1011">
        <v>0</v>
      </c>
    </row>
    <row r="1422" spans="1:87" x14ac:dyDescent="0.2">
      <c r="A1422" s="449">
        <v>24</v>
      </c>
      <c r="B1422" s="453">
        <v>400225</v>
      </c>
      <c r="C1422" s="454" t="s">
        <v>11433</v>
      </c>
      <c r="D1422" s="454" t="s">
        <v>4613</v>
      </c>
      <c r="E1422" s="454" t="s">
        <v>11434</v>
      </c>
      <c r="F1422" s="454" t="s">
        <v>527</v>
      </c>
      <c r="G1422" s="454" t="s">
        <v>14657</v>
      </c>
      <c r="H1422" s="455">
        <v>7805434000108</v>
      </c>
      <c r="I1422" s="462">
        <v>38664</v>
      </c>
      <c r="J1422" s="457">
        <v>37585789</v>
      </c>
      <c r="K1422" s="454" t="s">
        <v>11435</v>
      </c>
      <c r="L1422" s="458">
        <v>350</v>
      </c>
      <c r="M1422" s="454" t="s">
        <v>6130</v>
      </c>
      <c r="N1422" s="459">
        <v>3317000</v>
      </c>
      <c r="O1422" s="460">
        <v>22939828</v>
      </c>
      <c r="P1422" s="462">
        <v>184708</v>
      </c>
      <c r="Q1422" s="462">
        <v>24</v>
      </c>
      <c r="R1422" s="462">
        <v>43917</v>
      </c>
      <c r="S1422" s="463">
        <v>153</v>
      </c>
      <c r="T1422" s="464">
        <v>3.6</v>
      </c>
      <c r="U1422" s="465">
        <v>550.79999999999995</v>
      </c>
      <c r="V1422" s="465">
        <v>10800</v>
      </c>
      <c r="W1422" s="466">
        <v>0</v>
      </c>
      <c r="X1422" s="467">
        <v>1</v>
      </c>
      <c r="Y1422" s="466">
        <v>17026.2</v>
      </c>
      <c r="Z1422" s="468" t="s">
        <v>516</v>
      </c>
      <c r="AA1422" s="466">
        <v>84706.2</v>
      </c>
      <c r="AB1422" s="466">
        <v>84706.2</v>
      </c>
      <c r="AC1422" s="467">
        <v>0</v>
      </c>
      <c r="AD1422" s="466">
        <v>0</v>
      </c>
      <c r="AE1422" s="468" t="s">
        <v>516</v>
      </c>
      <c r="AF1422" s="466">
        <v>0</v>
      </c>
      <c r="AG1422" s="466">
        <v>0</v>
      </c>
      <c r="AH1422" s="466">
        <v>12015.29</v>
      </c>
      <c r="AI1422" s="466">
        <v>2941.04</v>
      </c>
      <c r="AJ1422" s="469" t="s">
        <v>2315</v>
      </c>
      <c r="AK1422" s="470" t="s">
        <v>2316</v>
      </c>
      <c r="AL1422" s="471" t="s">
        <v>11436</v>
      </c>
      <c r="AM1422" s="470" t="s">
        <v>11437</v>
      </c>
      <c r="AN1422" s="470" t="s">
        <v>14657</v>
      </c>
      <c r="AO1422" s="470" t="s">
        <v>14658</v>
      </c>
      <c r="AP1422" s="470" t="s">
        <v>11438</v>
      </c>
      <c r="AQ1422" s="470" t="s">
        <v>11433</v>
      </c>
      <c r="AR1422" s="472" t="s">
        <v>515</v>
      </c>
      <c r="AS1422" s="473" t="s">
        <v>1385</v>
      </c>
      <c r="AT1422" s="472" t="s">
        <v>4613</v>
      </c>
      <c r="AU1422" s="472" t="s">
        <v>420</v>
      </c>
      <c r="AV1422" s="472">
        <v>2020</v>
      </c>
      <c r="AW1422" s="474" t="s">
        <v>15078</v>
      </c>
      <c r="AX1422" s="475" t="s">
        <v>15079</v>
      </c>
      <c r="AY1422" s="515">
        <v>1</v>
      </c>
      <c r="AZ1422" s="474" t="s">
        <v>15079</v>
      </c>
      <c r="BA1422" s="472" t="s">
        <v>4613</v>
      </c>
      <c r="BB1422" s="472" t="s">
        <v>1385</v>
      </c>
      <c r="BC1422" s="472" t="s">
        <v>1385</v>
      </c>
      <c r="BD1422" s="472" t="s">
        <v>1385</v>
      </c>
      <c r="BE1422" s="472" t="s">
        <v>1385</v>
      </c>
      <c r="BF1422" s="472">
        <v>17026.2</v>
      </c>
      <c r="BG1422" s="472">
        <v>0</v>
      </c>
      <c r="BH1422" s="472" t="s">
        <v>1385</v>
      </c>
      <c r="BI1422" s="510">
        <v>0</v>
      </c>
      <c r="BJ1422" s="510">
        <v>0</v>
      </c>
      <c r="BK1422" s="510">
        <v>0</v>
      </c>
      <c r="BL1422" s="510">
        <v>0</v>
      </c>
      <c r="BM1422" s="510">
        <v>0</v>
      </c>
      <c r="BN1422" s="510">
        <v>2000</v>
      </c>
      <c r="BO1422" s="510">
        <v>0</v>
      </c>
      <c r="BP1422" s="510">
        <v>0</v>
      </c>
      <c r="BQ1422" s="510">
        <v>0</v>
      </c>
      <c r="BR1422" s="510">
        <v>0</v>
      </c>
      <c r="BS1422" s="510">
        <v>0</v>
      </c>
      <c r="BT1422" s="510">
        <v>0</v>
      </c>
      <c r="BU1422" s="510">
        <v>0</v>
      </c>
      <c r="BV1422" s="510">
        <v>0</v>
      </c>
      <c r="BW1422" s="510">
        <v>0</v>
      </c>
      <c r="BX1422" s="510">
        <v>30000</v>
      </c>
      <c r="BY1422" s="1011">
        <v>0</v>
      </c>
      <c r="BZ1422" s="510">
        <v>0</v>
      </c>
      <c r="CA1422" s="1011">
        <v>0</v>
      </c>
      <c r="CB1422" s="510">
        <v>0</v>
      </c>
      <c r="CC1422" s="1011">
        <v>0</v>
      </c>
      <c r="CD1422" s="510">
        <v>0</v>
      </c>
      <c r="CE1422" s="1011">
        <v>0</v>
      </c>
      <c r="CF1422" s="510">
        <v>37680</v>
      </c>
      <c r="CG1422" s="1011">
        <v>0</v>
      </c>
      <c r="CH1422" s="510">
        <v>0</v>
      </c>
      <c r="CI1422" s="1011">
        <v>0</v>
      </c>
    </row>
    <row r="1423" spans="1:87" x14ac:dyDescent="0.2">
      <c r="A1423" s="449">
        <v>25</v>
      </c>
      <c r="B1423" s="453">
        <v>400226</v>
      </c>
      <c r="C1423" s="454" t="s">
        <v>11439</v>
      </c>
      <c r="D1423" s="454" t="s">
        <v>4613</v>
      </c>
      <c r="E1423" s="454" t="s">
        <v>11440</v>
      </c>
      <c r="F1423" s="454" t="s">
        <v>527</v>
      </c>
      <c r="G1423" s="454" t="s">
        <v>14659</v>
      </c>
      <c r="H1423" s="455">
        <v>8449250000115</v>
      </c>
      <c r="I1423" s="462">
        <v>38861</v>
      </c>
      <c r="J1423" s="457">
        <v>37555332</v>
      </c>
      <c r="K1423" s="454" t="s">
        <v>5747</v>
      </c>
      <c r="L1423" s="458">
        <v>255</v>
      </c>
      <c r="M1423" s="454" t="s">
        <v>5748</v>
      </c>
      <c r="N1423" s="459">
        <v>3568050</v>
      </c>
      <c r="O1423" s="460">
        <v>27416221</v>
      </c>
      <c r="P1423" s="462">
        <v>184759</v>
      </c>
      <c r="Q1423" s="462">
        <v>25</v>
      </c>
      <c r="R1423" s="462">
        <v>43917</v>
      </c>
      <c r="S1423" s="463">
        <v>109</v>
      </c>
      <c r="T1423" s="464">
        <v>3.6</v>
      </c>
      <c r="U1423" s="465">
        <v>392.4</v>
      </c>
      <c r="V1423" s="465">
        <v>10800</v>
      </c>
      <c r="W1423" s="466">
        <v>0</v>
      </c>
      <c r="X1423" s="467">
        <v>1</v>
      </c>
      <c r="Y1423" s="466">
        <v>16788.599999999999</v>
      </c>
      <c r="Z1423" s="468" t="s">
        <v>516</v>
      </c>
      <c r="AA1423" s="466">
        <v>84238.2</v>
      </c>
      <c r="AB1423" s="466">
        <v>84238.2</v>
      </c>
      <c r="AC1423" s="467">
        <v>0</v>
      </c>
      <c r="AD1423" s="466">
        <v>0</v>
      </c>
      <c r="AE1423" s="468" t="s">
        <v>516</v>
      </c>
      <c r="AF1423" s="466">
        <v>0</v>
      </c>
      <c r="AG1423" s="466">
        <v>0</v>
      </c>
      <c r="AH1423" s="466">
        <v>34566.69</v>
      </c>
      <c r="AI1423" s="466">
        <v>586.22</v>
      </c>
      <c r="AJ1423" s="469" t="s">
        <v>2196</v>
      </c>
      <c r="AK1423" s="470" t="s">
        <v>2197</v>
      </c>
      <c r="AL1423" s="471" t="s">
        <v>11441</v>
      </c>
      <c r="AM1423" s="470" t="s">
        <v>11442</v>
      </c>
      <c r="AN1423" s="470" t="s">
        <v>11443</v>
      </c>
      <c r="AO1423" s="470" t="s">
        <v>14660</v>
      </c>
      <c r="AP1423" s="470" t="s">
        <v>11444</v>
      </c>
      <c r="AQ1423" s="470" t="s">
        <v>11439</v>
      </c>
      <c r="AR1423" s="472" t="s">
        <v>515</v>
      </c>
      <c r="AS1423" s="473" t="s">
        <v>1385</v>
      </c>
      <c r="AT1423" s="472" t="s">
        <v>4613</v>
      </c>
      <c r="AU1423" s="472" t="s">
        <v>420</v>
      </c>
      <c r="AV1423" s="472">
        <v>2020</v>
      </c>
      <c r="AW1423" s="474" t="s">
        <v>15078</v>
      </c>
      <c r="AX1423" s="475" t="s">
        <v>15079</v>
      </c>
      <c r="AY1423" s="515">
        <v>1</v>
      </c>
      <c r="AZ1423" s="474" t="s">
        <v>15079</v>
      </c>
      <c r="BA1423" s="472" t="s">
        <v>4613</v>
      </c>
      <c r="BB1423" s="472" t="s">
        <v>1385</v>
      </c>
      <c r="BC1423" s="472" t="s">
        <v>1385</v>
      </c>
      <c r="BD1423" s="472" t="s">
        <v>1385</v>
      </c>
      <c r="BE1423" s="472" t="s">
        <v>1385</v>
      </c>
      <c r="BF1423" s="472">
        <v>16788.599999999999</v>
      </c>
      <c r="BG1423" s="472">
        <v>0</v>
      </c>
      <c r="BH1423" s="472" t="s">
        <v>1385</v>
      </c>
      <c r="BI1423" s="510">
        <v>0</v>
      </c>
      <c r="BJ1423" s="510">
        <v>0</v>
      </c>
      <c r="BK1423" s="510">
        <v>0</v>
      </c>
      <c r="BL1423" s="510">
        <v>0</v>
      </c>
      <c r="BM1423" s="510">
        <v>0</v>
      </c>
      <c r="BN1423" s="510">
        <v>2000</v>
      </c>
      <c r="BO1423" s="510">
        <v>0</v>
      </c>
      <c r="BP1423" s="510">
        <v>0</v>
      </c>
      <c r="BQ1423" s="510">
        <v>0</v>
      </c>
      <c r="BR1423" s="510">
        <v>0</v>
      </c>
      <c r="BS1423" s="510">
        <v>0</v>
      </c>
      <c r="BT1423" s="510">
        <v>0</v>
      </c>
      <c r="BU1423" s="510">
        <v>0</v>
      </c>
      <c r="BV1423" s="510">
        <v>0</v>
      </c>
      <c r="BW1423" s="510">
        <v>0</v>
      </c>
      <c r="BX1423" s="510">
        <v>30000</v>
      </c>
      <c r="BY1423" s="1011">
        <v>0</v>
      </c>
      <c r="BZ1423" s="510">
        <v>0</v>
      </c>
      <c r="CA1423" s="1011">
        <v>0</v>
      </c>
      <c r="CB1423" s="510">
        <v>0</v>
      </c>
      <c r="CC1423" s="1011">
        <v>0</v>
      </c>
      <c r="CD1423" s="510">
        <v>0</v>
      </c>
      <c r="CE1423" s="1011">
        <v>0</v>
      </c>
      <c r="CF1423" s="510">
        <v>37449.599999999999</v>
      </c>
      <c r="CG1423" s="1011">
        <v>0</v>
      </c>
      <c r="CH1423" s="510">
        <v>0</v>
      </c>
      <c r="CI1423" s="1011">
        <v>0</v>
      </c>
    </row>
    <row r="1424" spans="1:87" x14ac:dyDescent="0.2">
      <c r="A1424" s="449">
        <v>15</v>
      </c>
      <c r="B1424" s="453">
        <v>400227</v>
      </c>
      <c r="C1424" s="454" t="s">
        <v>11445</v>
      </c>
      <c r="D1424" s="454" t="s">
        <v>4613</v>
      </c>
      <c r="E1424" s="454" t="s">
        <v>11446</v>
      </c>
      <c r="F1424" s="454" t="s">
        <v>523</v>
      </c>
      <c r="G1424" s="454" t="s">
        <v>14661</v>
      </c>
      <c r="H1424" s="455">
        <v>8258126000172</v>
      </c>
      <c r="I1424" s="462">
        <v>38943</v>
      </c>
      <c r="J1424" s="457">
        <v>35623004</v>
      </c>
      <c r="K1424" s="454" t="s">
        <v>5945</v>
      </c>
      <c r="L1424" s="458">
        <v>135</v>
      </c>
      <c r="M1424" s="454" t="s">
        <v>1950</v>
      </c>
      <c r="N1424" s="459">
        <v>8471330</v>
      </c>
      <c r="O1424" s="460">
        <v>22820992</v>
      </c>
      <c r="P1424" s="462">
        <v>267530</v>
      </c>
      <c r="Q1424" s="462">
        <v>15</v>
      </c>
      <c r="R1424" s="462">
        <v>43921</v>
      </c>
      <c r="S1424" s="463">
        <v>146</v>
      </c>
      <c r="T1424" s="464">
        <v>3.6</v>
      </c>
      <c r="U1424" s="465">
        <v>525.6</v>
      </c>
      <c r="V1424" s="465">
        <v>10800</v>
      </c>
      <c r="W1424" s="466">
        <v>0</v>
      </c>
      <c r="X1424" s="467">
        <v>1</v>
      </c>
      <c r="Y1424" s="466">
        <v>16988.400000000001</v>
      </c>
      <c r="Z1424" s="468" t="s">
        <v>516</v>
      </c>
      <c r="AA1424" s="466">
        <v>84625.2</v>
      </c>
      <c r="AB1424" s="466">
        <v>84625.2</v>
      </c>
      <c r="AC1424" s="467">
        <v>0</v>
      </c>
      <c r="AD1424" s="466">
        <v>0</v>
      </c>
      <c r="AE1424" s="468" t="s">
        <v>516</v>
      </c>
      <c r="AF1424" s="466">
        <v>0</v>
      </c>
      <c r="AG1424" s="466">
        <v>0</v>
      </c>
      <c r="AH1424" s="466">
        <v>4785.8900000000003</v>
      </c>
      <c r="AI1424" s="466">
        <v>2266.0300000000002</v>
      </c>
      <c r="AJ1424" s="469" t="s">
        <v>2030</v>
      </c>
      <c r="AK1424" s="470" t="s">
        <v>513</v>
      </c>
      <c r="AL1424" s="471" t="s">
        <v>11447</v>
      </c>
      <c r="AM1424" s="470" t="s">
        <v>11448</v>
      </c>
      <c r="AN1424" s="470" t="s">
        <v>1385</v>
      </c>
      <c r="AO1424" s="470" t="s">
        <v>11449</v>
      </c>
      <c r="AP1424" s="470" t="s">
        <v>11450</v>
      </c>
      <c r="AQ1424" s="470" t="s">
        <v>11445</v>
      </c>
      <c r="AR1424" s="472" t="s">
        <v>515</v>
      </c>
      <c r="AS1424" s="473" t="s">
        <v>1385</v>
      </c>
      <c r="AT1424" s="472" t="s">
        <v>4613</v>
      </c>
      <c r="AU1424" s="472" t="s">
        <v>420</v>
      </c>
      <c r="AV1424" s="472">
        <v>2020</v>
      </c>
      <c r="AW1424" s="474" t="s">
        <v>15078</v>
      </c>
      <c r="AX1424" s="475" t="s">
        <v>15079</v>
      </c>
      <c r="AY1424" s="515">
        <v>1</v>
      </c>
      <c r="AZ1424" s="474" t="s">
        <v>15079</v>
      </c>
      <c r="BA1424" s="472" t="s">
        <v>4613</v>
      </c>
      <c r="BB1424" s="472" t="s">
        <v>1385</v>
      </c>
      <c r="BC1424" s="472" t="s">
        <v>1385</v>
      </c>
      <c r="BD1424" s="472" t="s">
        <v>1385</v>
      </c>
      <c r="BE1424" s="472" t="s">
        <v>1385</v>
      </c>
      <c r="BF1424" s="472">
        <v>16988.400000000001</v>
      </c>
      <c r="BG1424" s="472">
        <v>0</v>
      </c>
      <c r="BH1424" s="472" t="s">
        <v>1385</v>
      </c>
      <c r="BI1424" s="510">
        <v>0</v>
      </c>
      <c r="BJ1424" s="510">
        <v>0</v>
      </c>
      <c r="BK1424" s="510">
        <v>0</v>
      </c>
      <c r="BL1424" s="510">
        <v>0</v>
      </c>
      <c r="BM1424" s="510">
        <v>0</v>
      </c>
      <c r="BN1424" s="510">
        <v>2000</v>
      </c>
      <c r="BO1424" s="510">
        <v>0</v>
      </c>
      <c r="BP1424" s="510">
        <v>0</v>
      </c>
      <c r="BQ1424" s="510">
        <v>0</v>
      </c>
      <c r="BR1424" s="510">
        <v>0</v>
      </c>
      <c r="BS1424" s="510">
        <v>0</v>
      </c>
      <c r="BT1424" s="510">
        <v>0</v>
      </c>
      <c r="BU1424" s="510">
        <v>0</v>
      </c>
      <c r="BV1424" s="510">
        <v>0</v>
      </c>
      <c r="BW1424" s="510">
        <v>0</v>
      </c>
      <c r="BX1424" s="510">
        <v>30000</v>
      </c>
      <c r="BY1424" s="1011">
        <v>0</v>
      </c>
      <c r="BZ1424" s="510">
        <v>0</v>
      </c>
      <c r="CA1424" s="1011">
        <v>0</v>
      </c>
      <c r="CB1424" s="510">
        <v>0</v>
      </c>
      <c r="CC1424" s="1011">
        <v>0</v>
      </c>
      <c r="CD1424" s="510">
        <v>0</v>
      </c>
      <c r="CE1424" s="1011">
        <v>0</v>
      </c>
      <c r="CF1424" s="510">
        <v>37636.800000000003</v>
      </c>
      <c r="CG1424" s="1011">
        <v>0</v>
      </c>
      <c r="CH1424" s="510">
        <v>0</v>
      </c>
      <c r="CI1424" s="1011">
        <v>0</v>
      </c>
    </row>
    <row r="1425" spans="1:87" x14ac:dyDescent="0.2">
      <c r="A1425" s="449">
        <v>13</v>
      </c>
      <c r="B1425" s="453">
        <v>400228</v>
      </c>
      <c r="C1425" s="454" t="s">
        <v>11451</v>
      </c>
      <c r="D1425" s="454" t="s">
        <v>4613</v>
      </c>
      <c r="E1425" s="454" t="s">
        <v>11452</v>
      </c>
      <c r="F1425" s="454" t="s">
        <v>519</v>
      </c>
      <c r="G1425" s="454" t="s">
        <v>14662</v>
      </c>
      <c r="H1425" s="455">
        <v>6333281000180</v>
      </c>
      <c r="I1425" s="462">
        <v>38138</v>
      </c>
      <c r="J1425" s="457">
        <v>37358154</v>
      </c>
      <c r="K1425" s="454" t="s">
        <v>3071</v>
      </c>
      <c r="L1425" s="458">
        <v>114</v>
      </c>
      <c r="M1425" s="454" t="s">
        <v>3072</v>
      </c>
      <c r="N1425" s="459">
        <v>5565200</v>
      </c>
      <c r="O1425" s="460">
        <v>37820950</v>
      </c>
      <c r="P1425" s="462">
        <v>115870</v>
      </c>
      <c r="Q1425" s="462">
        <v>80</v>
      </c>
      <c r="R1425" s="462">
        <v>43881</v>
      </c>
      <c r="S1425" s="463">
        <v>166</v>
      </c>
      <c r="T1425" s="464">
        <v>3.6</v>
      </c>
      <c r="U1425" s="465">
        <v>597.6</v>
      </c>
      <c r="V1425" s="465">
        <v>10800</v>
      </c>
      <c r="W1425" s="466">
        <v>0</v>
      </c>
      <c r="X1425" s="467">
        <v>1</v>
      </c>
      <c r="Y1425" s="466">
        <v>0</v>
      </c>
      <c r="Z1425" s="468" t="s">
        <v>514</v>
      </c>
      <c r="AA1425" s="466">
        <v>0</v>
      </c>
      <c r="AB1425" s="466">
        <v>0</v>
      </c>
      <c r="AC1425" s="467">
        <v>0</v>
      </c>
      <c r="AD1425" s="466">
        <v>0</v>
      </c>
      <c r="AE1425" s="468" t="s">
        <v>516</v>
      </c>
      <c r="AF1425" s="466">
        <v>0</v>
      </c>
      <c r="AG1425" s="466">
        <v>0</v>
      </c>
      <c r="AH1425" s="466">
        <v>5641.84</v>
      </c>
      <c r="AI1425" s="466">
        <v>4687.12</v>
      </c>
      <c r="AJ1425" s="469" t="s">
        <v>2443</v>
      </c>
      <c r="AK1425" s="470" t="s">
        <v>2444</v>
      </c>
      <c r="AL1425" s="471" t="s">
        <v>11454</v>
      </c>
      <c r="AM1425" s="470" t="s">
        <v>11455</v>
      </c>
      <c r="AN1425" s="470" t="s">
        <v>11453</v>
      </c>
      <c r="AO1425" s="470" t="s">
        <v>11456</v>
      </c>
      <c r="AP1425" s="470" t="s">
        <v>11457</v>
      </c>
      <c r="AQ1425" s="470" t="s">
        <v>11451</v>
      </c>
      <c r="AR1425" s="472" t="s">
        <v>515</v>
      </c>
      <c r="AS1425" s="473" t="s">
        <v>1385</v>
      </c>
      <c r="AT1425" s="472" t="s">
        <v>4613</v>
      </c>
      <c r="AU1425" s="472" t="s">
        <v>420</v>
      </c>
      <c r="AV1425" s="472">
        <v>2020</v>
      </c>
      <c r="AW1425" s="474" t="s">
        <v>15078</v>
      </c>
      <c r="AX1425" s="475" t="s">
        <v>15079</v>
      </c>
      <c r="AY1425" s="515">
        <v>1</v>
      </c>
      <c r="AZ1425" s="474" t="s">
        <v>15079</v>
      </c>
      <c r="BA1425" s="472" t="s">
        <v>1385</v>
      </c>
      <c r="BB1425" s="472" t="s">
        <v>1385</v>
      </c>
      <c r="BC1425" s="472" t="s">
        <v>1385</v>
      </c>
      <c r="BD1425" s="472" t="s">
        <v>1385</v>
      </c>
      <c r="BE1425" s="472" t="s">
        <v>1385</v>
      </c>
      <c r="BF1425" s="472">
        <v>17096.400000000001</v>
      </c>
      <c r="BG1425" s="472">
        <v>0</v>
      </c>
      <c r="BH1425" s="472" t="s">
        <v>516</v>
      </c>
      <c r="BI1425" s="510">
        <v>0</v>
      </c>
      <c r="BJ1425" s="510">
        <v>0</v>
      </c>
      <c r="BK1425" s="510">
        <v>0</v>
      </c>
      <c r="BL1425" s="510">
        <v>0</v>
      </c>
      <c r="BM1425" s="510">
        <v>0</v>
      </c>
      <c r="BN1425" s="510">
        <v>0</v>
      </c>
      <c r="BO1425" s="510">
        <v>0</v>
      </c>
      <c r="BP1425" s="510">
        <v>0</v>
      </c>
      <c r="BQ1425" s="510">
        <v>0</v>
      </c>
      <c r="BR1425" s="510">
        <v>0</v>
      </c>
      <c r="BS1425" s="510">
        <v>0</v>
      </c>
      <c r="BT1425" s="510">
        <v>0</v>
      </c>
      <c r="BU1425" s="510">
        <v>0</v>
      </c>
      <c r="BV1425" s="510">
        <v>0</v>
      </c>
      <c r="BW1425" s="510">
        <v>0</v>
      </c>
      <c r="BX1425" s="510">
        <v>0</v>
      </c>
      <c r="BY1425" s="1011">
        <v>0</v>
      </c>
      <c r="BZ1425" s="510">
        <v>0</v>
      </c>
      <c r="CA1425" s="1011">
        <v>0</v>
      </c>
      <c r="CB1425" s="510">
        <v>0</v>
      </c>
      <c r="CC1425" s="1011">
        <v>0</v>
      </c>
      <c r="CD1425" s="510">
        <v>0</v>
      </c>
      <c r="CE1425" s="1011">
        <v>0</v>
      </c>
      <c r="CF1425" s="510">
        <v>0</v>
      </c>
      <c r="CG1425" s="1011">
        <v>0</v>
      </c>
      <c r="CH1425" s="510">
        <v>0</v>
      </c>
      <c r="CI1425" s="1011">
        <v>0</v>
      </c>
    </row>
    <row r="1426" spans="1:87" x14ac:dyDescent="0.2">
      <c r="A1426" s="449">
        <v>26</v>
      </c>
      <c r="B1426" s="453">
        <v>400229</v>
      </c>
      <c r="C1426" s="454" t="s">
        <v>11458</v>
      </c>
      <c r="D1426" s="454" t="s">
        <v>4613</v>
      </c>
      <c r="E1426" s="454" t="s">
        <v>11459</v>
      </c>
      <c r="F1426" s="454" t="s">
        <v>527</v>
      </c>
      <c r="G1426" s="454" t="s">
        <v>14663</v>
      </c>
      <c r="H1426" s="455">
        <v>8585111000119</v>
      </c>
      <c r="I1426" s="462">
        <v>39022</v>
      </c>
      <c r="J1426" s="457">
        <v>37555405</v>
      </c>
      <c r="K1426" s="454" t="s">
        <v>11460</v>
      </c>
      <c r="L1426" s="458">
        <v>121</v>
      </c>
      <c r="M1426" s="454" t="s">
        <v>11461</v>
      </c>
      <c r="N1426" s="459">
        <v>3590170</v>
      </c>
      <c r="O1426" s="460">
        <v>27416682</v>
      </c>
      <c r="P1426" s="462">
        <v>184783</v>
      </c>
      <c r="Q1426" s="462">
        <v>26</v>
      </c>
      <c r="R1426" s="462">
        <v>43917</v>
      </c>
      <c r="S1426" s="463">
        <v>137</v>
      </c>
      <c r="T1426" s="464">
        <v>3.6</v>
      </c>
      <c r="U1426" s="465">
        <v>493.2</v>
      </c>
      <c r="V1426" s="465">
        <v>10800</v>
      </c>
      <c r="W1426" s="466">
        <v>0</v>
      </c>
      <c r="X1426" s="467">
        <v>1</v>
      </c>
      <c r="Y1426" s="466">
        <v>16939.8</v>
      </c>
      <c r="Z1426" s="468" t="s">
        <v>516</v>
      </c>
      <c r="AA1426" s="466">
        <v>84504.6</v>
      </c>
      <c r="AB1426" s="466">
        <v>84504.6</v>
      </c>
      <c r="AC1426" s="467">
        <v>0</v>
      </c>
      <c r="AD1426" s="466">
        <v>0</v>
      </c>
      <c r="AE1426" s="468" t="s">
        <v>516</v>
      </c>
      <c r="AF1426" s="466">
        <v>0</v>
      </c>
      <c r="AG1426" s="466">
        <v>0</v>
      </c>
      <c r="AH1426" s="466">
        <v>15019.25</v>
      </c>
      <c r="AI1426" s="466">
        <v>2966.27</v>
      </c>
      <c r="AJ1426" s="469" t="s">
        <v>2196</v>
      </c>
      <c r="AK1426" s="470" t="s">
        <v>2197</v>
      </c>
      <c r="AL1426" s="471" t="s">
        <v>11462</v>
      </c>
      <c r="AM1426" s="470" t="s">
        <v>11463</v>
      </c>
      <c r="AN1426" s="470" t="s">
        <v>11464</v>
      </c>
      <c r="AO1426" s="470" t="s">
        <v>14664</v>
      </c>
      <c r="AP1426" s="470" t="s">
        <v>11465</v>
      </c>
      <c r="AQ1426" s="470" t="s">
        <v>11458</v>
      </c>
      <c r="AR1426" s="472" t="s">
        <v>515</v>
      </c>
      <c r="AS1426" s="473" t="s">
        <v>1385</v>
      </c>
      <c r="AT1426" s="472" t="s">
        <v>4613</v>
      </c>
      <c r="AU1426" s="472" t="s">
        <v>420</v>
      </c>
      <c r="AV1426" s="472">
        <v>2020</v>
      </c>
      <c r="AW1426" s="474" t="s">
        <v>15078</v>
      </c>
      <c r="AX1426" s="475" t="s">
        <v>15079</v>
      </c>
      <c r="AY1426" s="515">
        <v>1</v>
      </c>
      <c r="AZ1426" s="474" t="s">
        <v>15079</v>
      </c>
      <c r="BA1426" s="472" t="s">
        <v>4613</v>
      </c>
      <c r="BB1426" s="472" t="s">
        <v>1385</v>
      </c>
      <c r="BC1426" s="472" t="s">
        <v>1385</v>
      </c>
      <c r="BD1426" s="472" t="s">
        <v>1385</v>
      </c>
      <c r="BE1426" s="472" t="s">
        <v>1385</v>
      </c>
      <c r="BF1426" s="472">
        <v>16939.8</v>
      </c>
      <c r="BG1426" s="472">
        <v>0</v>
      </c>
      <c r="BH1426" s="472" t="s">
        <v>1385</v>
      </c>
      <c r="BI1426" s="510">
        <v>0</v>
      </c>
      <c r="BJ1426" s="510">
        <v>0</v>
      </c>
      <c r="BK1426" s="510">
        <v>0</v>
      </c>
      <c r="BL1426" s="510">
        <v>0</v>
      </c>
      <c r="BM1426" s="510">
        <v>0</v>
      </c>
      <c r="BN1426" s="510">
        <v>2000</v>
      </c>
      <c r="BO1426" s="510">
        <v>0</v>
      </c>
      <c r="BP1426" s="510">
        <v>0</v>
      </c>
      <c r="BQ1426" s="510">
        <v>0</v>
      </c>
      <c r="BR1426" s="510">
        <v>0</v>
      </c>
      <c r="BS1426" s="510">
        <v>0</v>
      </c>
      <c r="BT1426" s="510">
        <v>0</v>
      </c>
      <c r="BU1426" s="510">
        <v>0</v>
      </c>
      <c r="BV1426" s="510">
        <v>0</v>
      </c>
      <c r="BW1426" s="510">
        <v>0</v>
      </c>
      <c r="BX1426" s="510">
        <v>30000</v>
      </c>
      <c r="BY1426" s="1011">
        <v>0</v>
      </c>
      <c r="BZ1426" s="510">
        <v>0</v>
      </c>
      <c r="CA1426" s="1011">
        <v>0</v>
      </c>
      <c r="CB1426" s="510">
        <v>0</v>
      </c>
      <c r="CC1426" s="1011">
        <v>0</v>
      </c>
      <c r="CD1426" s="510">
        <v>0</v>
      </c>
      <c r="CE1426" s="1011">
        <v>0</v>
      </c>
      <c r="CF1426" s="510">
        <v>37564.800000000003</v>
      </c>
      <c r="CG1426" s="1011">
        <v>0</v>
      </c>
      <c r="CH1426" s="510">
        <v>0</v>
      </c>
      <c r="CI1426" s="1011">
        <v>0</v>
      </c>
    </row>
    <row r="1427" spans="1:87" x14ac:dyDescent="0.2">
      <c r="A1427" s="449">
        <v>16</v>
      </c>
      <c r="B1427" s="453">
        <v>400230</v>
      </c>
      <c r="C1427" s="454" t="s">
        <v>11466</v>
      </c>
      <c r="D1427" s="454" t="s">
        <v>4613</v>
      </c>
      <c r="E1427" s="454" t="s">
        <v>11467</v>
      </c>
      <c r="F1427" s="454" t="s">
        <v>524</v>
      </c>
      <c r="G1427" s="454" t="s">
        <v>14665</v>
      </c>
      <c r="H1427" s="455">
        <v>7918994000179</v>
      </c>
      <c r="I1427" s="462">
        <v>38050</v>
      </c>
      <c r="J1427" s="457">
        <v>37498843</v>
      </c>
      <c r="K1427" s="454" t="s">
        <v>11468</v>
      </c>
      <c r="L1427" s="458">
        <v>21</v>
      </c>
      <c r="M1427" s="454" t="s">
        <v>6517</v>
      </c>
      <c r="N1427" s="459">
        <v>1541040</v>
      </c>
      <c r="O1427" s="460">
        <v>22733011</v>
      </c>
      <c r="P1427" s="462">
        <v>204610</v>
      </c>
      <c r="Q1427" s="462">
        <v>18</v>
      </c>
      <c r="R1427" s="462">
        <v>43906</v>
      </c>
      <c r="S1427" s="463">
        <v>148</v>
      </c>
      <c r="T1427" s="464">
        <v>3.6</v>
      </c>
      <c r="U1427" s="465">
        <v>532.79999999999995</v>
      </c>
      <c r="V1427" s="465">
        <v>10800</v>
      </c>
      <c r="W1427" s="466">
        <v>0</v>
      </c>
      <c r="X1427" s="467">
        <v>1</v>
      </c>
      <c r="Y1427" s="466">
        <v>16999.2</v>
      </c>
      <c r="Z1427" s="468" t="s">
        <v>516</v>
      </c>
      <c r="AA1427" s="466">
        <v>84643.199999999997</v>
      </c>
      <c r="AB1427" s="466">
        <v>84643.199999999997</v>
      </c>
      <c r="AC1427" s="467">
        <v>0</v>
      </c>
      <c r="AD1427" s="466">
        <v>0</v>
      </c>
      <c r="AE1427" s="468" t="s">
        <v>516</v>
      </c>
      <c r="AF1427" s="466">
        <v>0</v>
      </c>
      <c r="AG1427" s="466">
        <v>0</v>
      </c>
      <c r="AH1427" s="466">
        <v>8889.84</v>
      </c>
      <c r="AI1427" s="466">
        <v>9785.76</v>
      </c>
      <c r="AJ1427" s="469" t="s">
        <v>6507</v>
      </c>
      <c r="AK1427" s="470" t="s">
        <v>6508</v>
      </c>
      <c r="AL1427" s="471" t="s">
        <v>11469</v>
      </c>
      <c r="AM1427" s="470" t="s">
        <v>15100</v>
      </c>
      <c r="AN1427" s="470" t="s">
        <v>11470</v>
      </c>
      <c r="AO1427" s="470" t="s">
        <v>11471</v>
      </c>
      <c r="AP1427" s="470" t="s">
        <v>11472</v>
      </c>
      <c r="AQ1427" s="470" t="s">
        <v>11466</v>
      </c>
      <c r="AR1427" s="472" t="s">
        <v>515</v>
      </c>
      <c r="AS1427" s="473" t="s">
        <v>1385</v>
      </c>
      <c r="AT1427" s="472" t="s">
        <v>4613</v>
      </c>
      <c r="AU1427" s="472" t="s">
        <v>420</v>
      </c>
      <c r="AV1427" s="472">
        <v>2020</v>
      </c>
      <c r="AW1427" s="474" t="s">
        <v>15078</v>
      </c>
      <c r="AX1427" s="475" t="s">
        <v>15079</v>
      </c>
      <c r="AY1427" s="515">
        <v>1</v>
      </c>
      <c r="AZ1427" s="474" t="s">
        <v>15079</v>
      </c>
      <c r="BA1427" s="472" t="s">
        <v>4613</v>
      </c>
      <c r="BB1427" s="472" t="s">
        <v>1385</v>
      </c>
      <c r="BC1427" s="472" t="s">
        <v>1385</v>
      </c>
      <c r="BD1427" s="472" t="s">
        <v>1385</v>
      </c>
      <c r="BE1427" s="472" t="s">
        <v>1385</v>
      </c>
      <c r="BF1427" s="472">
        <v>16999.2</v>
      </c>
      <c r="BG1427" s="472">
        <v>0</v>
      </c>
      <c r="BH1427" s="472" t="s">
        <v>1385</v>
      </c>
      <c r="BI1427" s="510">
        <v>0</v>
      </c>
      <c r="BJ1427" s="510">
        <v>0</v>
      </c>
      <c r="BK1427" s="510">
        <v>0</v>
      </c>
      <c r="BL1427" s="510">
        <v>0</v>
      </c>
      <c r="BM1427" s="510">
        <v>0</v>
      </c>
      <c r="BN1427" s="510">
        <v>2000</v>
      </c>
      <c r="BO1427" s="510">
        <v>0</v>
      </c>
      <c r="BP1427" s="510">
        <v>0</v>
      </c>
      <c r="BQ1427" s="510">
        <v>0</v>
      </c>
      <c r="BR1427" s="510">
        <v>0</v>
      </c>
      <c r="BS1427" s="510">
        <v>0</v>
      </c>
      <c r="BT1427" s="510">
        <v>0</v>
      </c>
      <c r="BU1427" s="510">
        <v>0</v>
      </c>
      <c r="BV1427" s="510">
        <v>0</v>
      </c>
      <c r="BW1427" s="510">
        <v>0</v>
      </c>
      <c r="BX1427" s="510">
        <v>30000</v>
      </c>
      <c r="BY1427" s="1011">
        <v>0</v>
      </c>
      <c r="BZ1427" s="510">
        <v>0</v>
      </c>
      <c r="CA1427" s="1011">
        <v>0</v>
      </c>
      <c r="CB1427" s="510">
        <v>0</v>
      </c>
      <c r="CC1427" s="1011">
        <v>0</v>
      </c>
      <c r="CD1427" s="510">
        <v>0</v>
      </c>
      <c r="CE1427" s="1011">
        <v>0</v>
      </c>
      <c r="CF1427" s="510">
        <v>37644</v>
      </c>
      <c r="CG1427" s="1011">
        <v>0</v>
      </c>
      <c r="CH1427" s="510">
        <v>0</v>
      </c>
      <c r="CI1427" s="1011">
        <v>0</v>
      </c>
    </row>
    <row r="1428" spans="1:87" x14ac:dyDescent="0.2">
      <c r="A1428" s="449">
        <v>21</v>
      </c>
      <c r="B1428" s="453">
        <v>400231</v>
      </c>
      <c r="C1428" s="454" t="s">
        <v>11473</v>
      </c>
      <c r="D1428" s="454" t="s">
        <v>4613</v>
      </c>
      <c r="E1428" s="454" t="s">
        <v>11474</v>
      </c>
      <c r="F1428" s="454" t="s">
        <v>528</v>
      </c>
      <c r="G1428" s="454" t="s">
        <v>14666</v>
      </c>
      <c r="H1428" s="455">
        <v>7863113000160</v>
      </c>
      <c r="I1428" s="462">
        <v>38629</v>
      </c>
      <c r="J1428" s="457">
        <v>37375199</v>
      </c>
      <c r="K1428" s="454" t="s">
        <v>2451</v>
      </c>
      <c r="L1428" s="458">
        <v>315</v>
      </c>
      <c r="M1428" s="454" t="s">
        <v>2241</v>
      </c>
      <c r="N1428" s="459">
        <v>5223070</v>
      </c>
      <c r="O1428" s="460">
        <v>39170025</v>
      </c>
      <c r="P1428" s="462">
        <v>251936</v>
      </c>
      <c r="Q1428" s="462">
        <v>21</v>
      </c>
      <c r="R1428" s="462">
        <v>43938</v>
      </c>
      <c r="S1428" s="463">
        <v>131</v>
      </c>
      <c r="T1428" s="464">
        <v>3.6</v>
      </c>
      <c r="U1428" s="465">
        <v>471.6</v>
      </c>
      <c r="V1428" s="465">
        <v>10800</v>
      </c>
      <c r="W1428" s="466">
        <v>0</v>
      </c>
      <c r="X1428" s="467">
        <v>1</v>
      </c>
      <c r="Y1428" s="466">
        <v>16907.400000000001</v>
      </c>
      <c r="Z1428" s="468" t="s">
        <v>516</v>
      </c>
      <c r="AA1428" s="466">
        <v>84450.6</v>
      </c>
      <c r="AB1428" s="466">
        <v>84450.6</v>
      </c>
      <c r="AC1428" s="467">
        <v>0</v>
      </c>
      <c r="AD1428" s="466">
        <v>0</v>
      </c>
      <c r="AE1428" s="468" t="s">
        <v>516</v>
      </c>
      <c r="AF1428" s="466">
        <v>0</v>
      </c>
      <c r="AG1428" s="466">
        <v>0</v>
      </c>
      <c r="AH1428" s="466">
        <v>20616.79</v>
      </c>
      <c r="AI1428" s="466">
        <v>5441.91</v>
      </c>
      <c r="AJ1428" s="469" t="s">
        <v>2242</v>
      </c>
      <c r="AK1428" s="470" t="s">
        <v>2241</v>
      </c>
      <c r="AL1428" s="471" t="s">
        <v>11475</v>
      </c>
      <c r="AM1428" s="470" t="s">
        <v>11476</v>
      </c>
      <c r="AN1428" s="470" t="s">
        <v>11477</v>
      </c>
      <c r="AO1428" s="470" t="s">
        <v>14667</v>
      </c>
      <c r="AP1428" s="470" t="s">
        <v>11478</v>
      </c>
      <c r="AQ1428" s="470" t="s">
        <v>11473</v>
      </c>
      <c r="AR1428" s="472" t="s">
        <v>515</v>
      </c>
      <c r="AS1428" s="473" t="s">
        <v>1385</v>
      </c>
      <c r="AT1428" s="472" t="s">
        <v>4613</v>
      </c>
      <c r="AU1428" s="472" t="s">
        <v>420</v>
      </c>
      <c r="AV1428" s="472">
        <v>2020</v>
      </c>
      <c r="AW1428" s="474" t="s">
        <v>15078</v>
      </c>
      <c r="AX1428" s="475" t="s">
        <v>15079</v>
      </c>
      <c r="AY1428" s="515">
        <v>1</v>
      </c>
      <c r="AZ1428" s="474" t="s">
        <v>15079</v>
      </c>
      <c r="BA1428" s="472" t="s">
        <v>4613</v>
      </c>
      <c r="BB1428" s="472" t="s">
        <v>1385</v>
      </c>
      <c r="BC1428" s="472" t="s">
        <v>1385</v>
      </c>
      <c r="BD1428" s="472" t="s">
        <v>1385</v>
      </c>
      <c r="BE1428" s="472" t="s">
        <v>1385</v>
      </c>
      <c r="BF1428" s="472">
        <v>16907.400000000001</v>
      </c>
      <c r="BG1428" s="472">
        <v>0</v>
      </c>
      <c r="BH1428" s="472" t="s">
        <v>1385</v>
      </c>
      <c r="BI1428" s="510">
        <v>0</v>
      </c>
      <c r="BJ1428" s="510">
        <v>467.04</v>
      </c>
      <c r="BK1428" s="510">
        <v>0</v>
      </c>
      <c r="BL1428" s="510">
        <v>0</v>
      </c>
      <c r="BM1428" s="510">
        <v>0</v>
      </c>
      <c r="BN1428" s="510">
        <v>2000</v>
      </c>
      <c r="BO1428" s="510">
        <v>0</v>
      </c>
      <c r="BP1428" s="510">
        <v>0</v>
      </c>
      <c r="BQ1428" s="510">
        <v>0</v>
      </c>
      <c r="BR1428" s="510">
        <v>0</v>
      </c>
      <c r="BS1428" s="510">
        <v>0</v>
      </c>
      <c r="BT1428" s="510">
        <v>0</v>
      </c>
      <c r="BU1428" s="510">
        <v>0</v>
      </c>
      <c r="BV1428" s="510">
        <v>0</v>
      </c>
      <c r="BW1428" s="510">
        <v>0</v>
      </c>
      <c r="BX1428" s="510">
        <v>30000</v>
      </c>
      <c r="BY1428" s="1011">
        <v>0</v>
      </c>
      <c r="BZ1428" s="510">
        <v>0</v>
      </c>
      <c r="CA1428" s="1011">
        <v>0</v>
      </c>
      <c r="CB1428" s="510">
        <v>0</v>
      </c>
      <c r="CC1428" s="1011">
        <v>0</v>
      </c>
      <c r="CD1428" s="510">
        <v>0</v>
      </c>
      <c r="CE1428" s="1011">
        <v>0</v>
      </c>
      <c r="CF1428" s="510">
        <v>37543.199999999997</v>
      </c>
      <c r="CG1428" s="1011">
        <v>0</v>
      </c>
      <c r="CH1428" s="510">
        <v>0</v>
      </c>
      <c r="CI1428" s="1011">
        <v>0</v>
      </c>
    </row>
    <row r="1429" spans="1:87" x14ac:dyDescent="0.2">
      <c r="A1429" s="449">
        <v>17</v>
      </c>
      <c r="B1429" s="453">
        <v>400232</v>
      </c>
      <c r="C1429" s="454" t="s">
        <v>11479</v>
      </c>
      <c r="D1429" s="454" t="s">
        <v>4613</v>
      </c>
      <c r="E1429" s="454" t="s">
        <v>11480</v>
      </c>
      <c r="F1429" s="454" t="s">
        <v>524</v>
      </c>
      <c r="G1429" s="454" t="s">
        <v>14668</v>
      </c>
      <c r="H1429" s="455">
        <v>8463618000108</v>
      </c>
      <c r="I1429" s="462">
        <v>38215</v>
      </c>
      <c r="J1429" s="457">
        <v>37499432</v>
      </c>
      <c r="K1429" s="454" t="s">
        <v>1646</v>
      </c>
      <c r="L1429" s="458">
        <v>1963</v>
      </c>
      <c r="M1429" s="454" t="s">
        <v>1647</v>
      </c>
      <c r="N1429" s="459">
        <v>4040033</v>
      </c>
      <c r="O1429" s="460">
        <v>55755325</v>
      </c>
      <c r="P1429" s="462">
        <v>201360</v>
      </c>
      <c r="Q1429" s="462">
        <v>19</v>
      </c>
      <c r="R1429" s="462">
        <v>43906</v>
      </c>
      <c r="S1429" s="463">
        <v>107</v>
      </c>
      <c r="T1429" s="464">
        <v>3.6</v>
      </c>
      <c r="U1429" s="465">
        <v>385.2</v>
      </c>
      <c r="V1429" s="465">
        <v>10800</v>
      </c>
      <c r="W1429" s="466">
        <v>0</v>
      </c>
      <c r="X1429" s="467">
        <v>1</v>
      </c>
      <c r="Y1429" s="466">
        <v>16777.8</v>
      </c>
      <c r="Z1429" s="468" t="s">
        <v>516</v>
      </c>
      <c r="AA1429" s="466">
        <v>84155.4</v>
      </c>
      <c r="AB1429" s="466">
        <v>84155.4</v>
      </c>
      <c r="AC1429" s="467">
        <v>0</v>
      </c>
      <c r="AD1429" s="466">
        <v>0</v>
      </c>
      <c r="AE1429" s="468" t="s">
        <v>516</v>
      </c>
      <c r="AF1429" s="466">
        <v>0</v>
      </c>
      <c r="AG1429" s="466">
        <v>0</v>
      </c>
      <c r="AH1429" s="466">
        <v>8098.16</v>
      </c>
      <c r="AI1429" s="466">
        <v>4078.82</v>
      </c>
      <c r="AJ1429" s="469" t="s">
        <v>1648</v>
      </c>
      <c r="AK1429" s="470" t="s">
        <v>1649</v>
      </c>
      <c r="AL1429" s="471" t="s">
        <v>11481</v>
      </c>
      <c r="AM1429" s="470" t="s">
        <v>15102</v>
      </c>
      <c r="AN1429" s="470" t="s">
        <v>11482</v>
      </c>
      <c r="AO1429" s="470" t="s">
        <v>14669</v>
      </c>
      <c r="AP1429" s="470" t="s">
        <v>11483</v>
      </c>
      <c r="AQ1429" s="470" t="s">
        <v>11479</v>
      </c>
      <c r="AR1429" s="472" t="s">
        <v>515</v>
      </c>
      <c r="AS1429" s="473" t="s">
        <v>1385</v>
      </c>
      <c r="AT1429" s="472" t="s">
        <v>4613</v>
      </c>
      <c r="AU1429" s="472" t="s">
        <v>420</v>
      </c>
      <c r="AV1429" s="472">
        <v>2020</v>
      </c>
      <c r="AW1429" s="474" t="s">
        <v>15078</v>
      </c>
      <c r="AX1429" s="475" t="s">
        <v>15079</v>
      </c>
      <c r="AY1429" s="515">
        <v>1</v>
      </c>
      <c r="AZ1429" s="474" t="s">
        <v>15079</v>
      </c>
      <c r="BA1429" s="472" t="s">
        <v>4613</v>
      </c>
      <c r="BB1429" s="472" t="s">
        <v>1385</v>
      </c>
      <c r="BC1429" s="472" t="s">
        <v>1385</v>
      </c>
      <c r="BD1429" s="472" t="s">
        <v>1385</v>
      </c>
      <c r="BE1429" s="472" t="s">
        <v>1385</v>
      </c>
      <c r="BF1429" s="472">
        <v>16777.8</v>
      </c>
      <c r="BG1429" s="472">
        <v>0</v>
      </c>
      <c r="BH1429" s="472" t="s">
        <v>1385</v>
      </c>
      <c r="BI1429" s="510">
        <v>0</v>
      </c>
      <c r="BJ1429" s="510">
        <v>0</v>
      </c>
      <c r="BK1429" s="510">
        <v>0</v>
      </c>
      <c r="BL1429" s="510">
        <v>0</v>
      </c>
      <c r="BM1429" s="510">
        <v>0</v>
      </c>
      <c r="BN1429" s="510">
        <v>2000</v>
      </c>
      <c r="BO1429" s="510">
        <v>0</v>
      </c>
      <c r="BP1429" s="510">
        <v>0</v>
      </c>
      <c r="BQ1429" s="510">
        <v>0</v>
      </c>
      <c r="BR1429" s="510">
        <v>0</v>
      </c>
      <c r="BS1429" s="510">
        <v>0</v>
      </c>
      <c r="BT1429" s="510">
        <v>0</v>
      </c>
      <c r="BU1429" s="510">
        <v>0</v>
      </c>
      <c r="BV1429" s="510">
        <v>0</v>
      </c>
      <c r="BW1429" s="510">
        <v>0</v>
      </c>
      <c r="BX1429" s="510">
        <v>30000</v>
      </c>
      <c r="BY1429" s="1011">
        <v>0</v>
      </c>
      <c r="BZ1429" s="510">
        <v>0</v>
      </c>
      <c r="CA1429" s="1011">
        <v>0</v>
      </c>
      <c r="CB1429" s="510">
        <v>0</v>
      </c>
      <c r="CC1429" s="1011">
        <v>0</v>
      </c>
      <c r="CD1429" s="510">
        <v>0</v>
      </c>
      <c r="CE1429" s="1011">
        <v>0</v>
      </c>
      <c r="CF1429" s="510">
        <v>37377.599999999999</v>
      </c>
      <c r="CG1429" s="1011">
        <v>0</v>
      </c>
      <c r="CH1429" s="510">
        <v>0</v>
      </c>
      <c r="CI1429" s="1011">
        <v>0</v>
      </c>
    </row>
    <row r="1430" spans="1:87" x14ac:dyDescent="0.2">
      <c r="A1430" s="449">
        <v>39</v>
      </c>
      <c r="B1430" s="453">
        <v>400233</v>
      </c>
      <c r="C1430" s="454" t="s">
        <v>11484</v>
      </c>
      <c r="D1430" s="454" t="s">
        <v>4613</v>
      </c>
      <c r="E1430" s="454" t="s">
        <v>11485</v>
      </c>
      <c r="F1430" s="454" t="s">
        <v>520</v>
      </c>
      <c r="G1430" s="454" t="s">
        <v>14670</v>
      </c>
      <c r="H1430" s="455">
        <v>10585351000165</v>
      </c>
      <c r="I1430" s="462">
        <v>39731</v>
      </c>
      <c r="J1430" s="457">
        <v>43242189</v>
      </c>
      <c r="K1430" s="454" t="s">
        <v>4227</v>
      </c>
      <c r="L1430" s="458" t="s">
        <v>1446</v>
      </c>
      <c r="M1430" s="454" t="s">
        <v>11487</v>
      </c>
      <c r="N1430" s="459">
        <v>5866050</v>
      </c>
      <c r="O1430" s="460">
        <v>58340868</v>
      </c>
      <c r="P1430" s="462">
        <v>294155</v>
      </c>
      <c r="Q1430" s="462">
        <v>39</v>
      </c>
      <c r="R1430" s="462">
        <v>43969</v>
      </c>
      <c r="S1430" s="463">
        <v>163</v>
      </c>
      <c r="T1430" s="464">
        <v>3.6</v>
      </c>
      <c r="U1430" s="465">
        <v>586.79999999999995</v>
      </c>
      <c r="V1430" s="465">
        <v>10800</v>
      </c>
      <c r="W1430" s="466">
        <v>0</v>
      </c>
      <c r="X1430" s="467">
        <v>1</v>
      </c>
      <c r="Y1430" s="466">
        <v>17080.2</v>
      </c>
      <c r="Z1430" s="468" t="s">
        <v>516</v>
      </c>
      <c r="AA1430" s="466">
        <v>84846.6</v>
      </c>
      <c r="AB1430" s="466">
        <v>84846.6</v>
      </c>
      <c r="AC1430" s="467">
        <v>0</v>
      </c>
      <c r="AD1430" s="466">
        <v>0</v>
      </c>
      <c r="AE1430" s="468" t="s">
        <v>516</v>
      </c>
      <c r="AF1430" s="466">
        <v>0</v>
      </c>
      <c r="AG1430" s="466">
        <v>0</v>
      </c>
      <c r="AH1430" s="466">
        <v>7040.95</v>
      </c>
      <c r="AI1430" s="466">
        <v>3609.77</v>
      </c>
      <c r="AJ1430" s="469" t="s">
        <v>1515</v>
      </c>
      <c r="AK1430" s="470" t="s">
        <v>1516</v>
      </c>
      <c r="AL1430" s="471" t="s">
        <v>11488</v>
      </c>
      <c r="AM1430" s="470" t="s">
        <v>11489</v>
      </c>
      <c r="AN1430" s="470" t="s">
        <v>11486</v>
      </c>
      <c r="AO1430" s="470" t="s">
        <v>11490</v>
      </c>
      <c r="AP1430" s="470" t="s">
        <v>11491</v>
      </c>
      <c r="AQ1430" s="470" t="s">
        <v>11484</v>
      </c>
      <c r="AR1430" s="472" t="s">
        <v>515</v>
      </c>
      <c r="AS1430" s="473" t="s">
        <v>1385</v>
      </c>
      <c r="AT1430" s="472" t="s">
        <v>4613</v>
      </c>
      <c r="AU1430" s="472" t="s">
        <v>420</v>
      </c>
      <c r="AV1430" s="472">
        <v>2020</v>
      </c>
      <c r="AW1430" s="474" t="s">
        <v>15078</v>
      </c>
      <c r="AX1430" s="475" t="s">
        <v>15079</v>
      </c>
      <c r="AY1430" s="515">
        <v>1</v>
      </c>
      <c r="AZ1430" s="474" t="s">
        <v>15079</v>
      </c>
      <c r="BA1430" s="472" t="s">
        <v>4613</v>
      </c>
      <c r="BB1430" s="472" t="s">
        <v>1385</v>
      </c>
      <c r="BC1430" s="472" t="s">
        <v>1385</v>
      </c>
      <c r="BD1430" s="472" t="s">
        <v>1385</v>
      </c>
      <c r="BE1430" s="472" t="s">
        <v>1385</v>
      </c>
      <c r="BF1430" s="472">
        <v>17080.2</v>
      </c>
      <c r="BG1430" s="472">
        <v>0</v>
      </c>
      <c r="BH1430" s="472" t="s">
        <v>1385</v>
      </c>
      <c r="BI1430" s="510">
        <v>0</v>
      </c>
      <c r="BJ1430" s="510">
        <v>0</v>
      </c>
      <c r="BK1430" s="510">
        <v>0</v>
      </c>
      <c r="BL1430" s="510">
        <v>0</v>
      </c>
      <c r="BM1430" s="510">
        <v>0</v>
      </c>
      <c r="BN1430" s="510">
        <v>2000</v>
      </c>
      <c r="BO1430" s="510">
        <v>0</v>
      </c>
      <c r="BP1430" s="510">
        <v>0</v>
      </c>
      <c r="BQ1430" s="510">
        <v>0</v>
      </c>
      <c r="BR1430" s="510">
        <v>0</v>
      </c>
      <c r="BS1430" s="510">
        <v>0</v>
      </c>
      <c r="BT1430" s="510">
        <v>0</v>
      </c>
      <c r="BU1430" s="510">
        <v>0</v>
      </c>
      <c r="BV1430" s="510">
        <v>0</v>
      </c>
      <c r="BW1430" s="510">
        <v>0</v>
      </c>
      <c r="BX1430" s="510">
        <v>30000</v>
      </c>
      <c r="BY1430" s="1011">
        <v>0</v>
      </c>
      <c r="BZ1430" s="510">
        <v>0</v>
      </c>
      <c r="CA1430" s="1011">
        <v>0</v>
      </c>
      <c r="CB1430" s="510">
        <v>0</v>
      </c>
      <c r="CC1430" s="1011">
        <v>0</v>
      </c>
      <c r="CD1430" s="510">
        <v>0</v>
      </c>
      <c r="CE1430" s="1011">
        <v>0</v>
      </c>
      <c r="CF1430" s="510">
        <v>37766.400000000001</v>
      </c>
      <c r="CG1430" s="1011">
        <v>0</v>
      </c>
      <c r="CH1430" s="510">
        <v>0</v>
      </c>
      <c r="CI1430" s="1011">
        <v>0</v>
      </c>
    </row>
    <row r="1431" spans="1:87" x14ac:dyDescent="0.2">
      <c r="A1431" s="449">
        <v>27</v>
      </c>
      <c r="B1431" s="453">
        <v>400234</v>
      </c>
      <c r="C1431" s="454" t="s">
        <v>11492</v>
      </c>
      <c r="D1431" s="454" t="s">
        <v>4613</v>
      </c>
      <c r="E1431" s="454" t="s">
        <v>11493</v>
      </c>
      <c r="F1431" s="454" t="s">
        <v>513</v>
      </c>
      <c r="G1431" s="454" t="s">
        <v>14671</v>
      </c>
      <c r="H1431" s="455">
        <v>7065267000106</v>
      </c>
      <c r="I1431" s="462">
        <v>38205</v>
      </c>
      <c r="J1431" s="457">
        <v>37411284</v>
      </c>
      <c r="K1431" s="454" t="s">
        <v>9147</v>
      </c>
      <c r="L1431" s="458">
        <v>780</v>
      </c>
      <c r="M1431" s="454" t="s">
        <v>7052</v>
      </c>
      <c r="N1431" s="459">
        <v>3928240</v>
      </c>
      <c r="O1431" s="460">
        <v>27029526</v>
      </c>
      <c r="P1431" s="462">
        <v>147080</v>
      </c>
      <c r="Q1431" s="462">
        <v>27</v>
      </c>
      <c r="R1431" s="462">
        <v>43937</v>
      </c>
      <c r="S1431" s="463">
        <v>145</v>
      </c>
      <c r="T1431" s="464">
        <v>3.6</v>
      </c>
      <c r="U1431" s="465">
        <v>522</v>
      </c>
      <c r="V1431" s="465">
        <v>10800</v>
      </c>
      <c r="W1431" s="466">
        <v>0</v>
      </c>
      <c r="X1431" s="467">
        <v>1</v>
      </c>
      <c r="Y1431" s="466">
        <v>0</v>
      </c>
      <c r="Z1431" s="468" t="s">
        <v>514</v>
      </c>
      <c r="AA1431" s="466">
        <v>0</v>
      </c>
      <c r="AB1431" s="466">
        <v>0</v>
      </c>
      <c r="AC1431" s="467">
        <v>0</v>
      </c>
      <c r="AD1431" s="466">
        <v>0</v>
      </c>
      <c r="AE1431" s="468" t="s">
        <v>516</v>
      </c>
      <c r="AF1431" s="466">
        <v>0</v>
      </c>
      <c r="AG1431" s="466">
        <v>0</v>
      </c>
      <c r="AH1431" s="466">
        <v>0</v>
      </c>
      <c r="AI1431" s="466">
        <v>0</v>
      </c>
      <c r="AJ1431" s="469" t="s">
        <v>1972</v>
      </c>
      <c r="AK1431" s="470" t="s">
        <v>1973</v>
      </c>
      <c r="AL1431" s="471" t="s">
        <v>11494</v>
      </c>
      <c r="AM1431" s="470" t="s">
        <v>11495</v>
      </c>
      <c r="AN1431" s="470" t="s">
        <v>1385</v>
      </c>
      <c r="AO1431" s="470" t="s">
        <v>11496</v>
      </c>
      <c r="AP1431" s="470" t="s">
        <v>11497</v>
      </c>
      <c r="AQ1431" s="470" t="s">
        <v>11492</v>
      </c>
      <c r="AR1431" s="472" t="s">
        <v>515</v>
      </c>
      <c r="AS1431" s="473" t="s">
        <v>1385</v>
      </c>
      <c r="AT1431" s="472" t="s">
        <v>4613</v>
      </c>
      <c r="AU1431" s="472" t="s">
        <v>420</v>
      </c>
      <c r="AV1431" s="472">
        <v>2020</v>
      </c>
      <c r="AW1431" s="474" t="s">
        <v>15078</v>
      </c>
      <c r="AX1431" s="475" t="s">
        <v>15079</v>
      </c>
      <c r="AY1431" s="515">
        <v>1</v>
      </c>
      <c r="AZ1431" s="474" t="s">
        <v>15079</v>
      </c>
      <c r="BA1431" s="472" t="s">
        <v>1385</v>
      </c>
      <c r="BB1431" s="472" t="s">
        <v>1385</v>
      </c>
      <c r="BC1431" s="472" t="s">
        <v>1385</v>
      </c>
      <c r="BD1431" s="472" t="s">
        <v>1385</v>
      </c>
      <c r="BE1431" s="472" t="s">
        <v>1385</v>
      </c>
      <c r="BF1431" s="472">
        <v>16983</v>
      </c>
      <c r="BG1431" s="472">
        <v>0</v>
      </c>
      <c r="BH1431" s="472" t="s">
        <v>516</v>
      </c>
      <c r="BI1431" s="510">
        <v>0</v>
      </c>
      <c r="BJ1431" s="510">
        <v>0</v>
      </c>
      <c r="BK1431" s="510">
        <v>0</v>
      </c>
      <c r="BL1431" s="510">
        <v>0</v>
      </c>
      <c r="BM1431" s="510">
        <v>0</v>
      </c>
      <c r="BN1431" s="510">
        <v>0</v>
      </c>
      <c r="BO1431" s="510">
        <v>0</v>
      </c>
      <c r="BP1431" s="510">
        <v>0</v>
      </c>
      <c r="BQ1431" s="510">
        <v>0</v>
      </c>
      <c r="BR1431" s="510">
        <v>0</v>
      </c>
      <c r="BS1431" s="510">
        <v>0</v>
      </c>
      <c r="BT1431" s="510">
        <v>0</v>
      </c>
      <c r="BU1431" s="510">
        <v>0</v>
      </c>
      <c r="BV1431" s="510">
        <v>0</v>
      </c>
      <c r="BW1431" s="510">
        <v>0</v>
      </c>
      <c r="BX1431" s="510">
        <v>0</v>
      </c>
      <c r="BY1431" s="1011">
        <v>0</v>
      </c>
      <c r="BZ1431" s="510">
        <v>0</v>
      </c>
      <c r="CA1431" s="1011">
        <v>0</v>
      </c>
      <c r="CB1431" s="510">
        <v>0</v>
      </c>
      <c r="CC1431" s="1011">
        <v>0</v>
      </c>
      <c r="CD1431" s="510">
        <v>0</v>
      </c>
      <c r="CE1431" s="1011">
        <v>0</v>
      </c>
      <c r="CF1431" s="510">
        <v>0</v>
      </c>
      <c r="CG1431" s="1011">
        <v>0</v>
      </c>
      <c r="CH1431" s="510">
        <v>0</v>
      </c>
      <c r="CI1431" s="1011">
        <v>0</v>
      </c>
    </row>
    <row r="1432" spans="1:87" x14ac:dyDescent="0.2">
      <c r="A1432" s="449">
        <v>25</v>
      </c>
      <c r="B1432" s="453">
        <v>400235</v>
      </c>
      <c r="C1432" s="454" t="s">
        <v>11498</v>
      </c>
      <c r="D1432" s="454" t="s">
        <v>4613</v>
      </c>
      <c r="E1432" s="454" t="s">
        <v>11499</v>
      </c>
      <c r="F1432" s="454" t="s">
        <v>521</v>
      </c>
      <c r="G1432" s="454" t="s">
        <v>14672</v>
      </c>
      <c r="H1432" s="455">
        <v>7038577000131</v>
      </c>
      <c r="I1432" s="462">
        <v>38146</v>
      </c>
      <c r="J1432" s="457">
        <v>37552341</v>
      </c>
      <c r="K1432" s="454" t="s">
        <v>11500</v>
      </c>
      <c r="L1432" s="458">
        <v>834</v>
      </c>
      <c r="M1432" s="454" t="s">
        <v>5708</v>
      </c>
      <c r="N1432" s="459">
        <v>4773010</v>
      </c>
      <c r="O1432" s="460">
        <v>55231366</v>
      </c>
      <c r="P1432" s="462">
        <v>74201</v>
      </c>
      <c r="Q1432" s="462">
        <v>15</v>
      </c>
      <c r="R1432" s="462">
        <v>43934</v>
      </c>
      <c r="S1432" s="463">
        <v>128</v>
      </c>
      <c r="T1432" s="464">
        <v>3.6</v>
      </c>
      <c r="U1432" s="465">
        <v>460.8</v>
      </c>
      <c r="V1432" s="465">
        <v>10800</v>
      </c>
      <c r="W1432" s="466">
        <v>0</v>
      </c>
      <c r="X1432" s="467">
        <v>1</v>
      </c>
      <c r="Y1432" s="466">
        <v>16891.2</v>
      </c>
      <c r="Z1432" s="468" t="s">
        <v>516</v>
      </c>
      <c r="AA1432" s="466">
        <v>84477.6</v>
      </c>
      <c r="AB1432" s="466">
        <v>84477.6</v>
      </c>
      <c r="AC1432" s="467">
        <v>0</v>
      </c>
      <c r="AD1432" s="466">
        <v>0</v>
      </c>
      <c r="AE1432" s="468" t="s">
        <v>516</v>
      </c>
      <c r="AF1432" s="466">
        <v>0</v>
      </c>
      <c r="AG1432" s="466">
        <v>0</v>
      </c>
      <c r="AH1432" s="466">
        <v>8957.31</v>
      </c>
      <c r="AI1432" s="466">
        <v>1126.08</v>
      </c>
      <c r="AJ1432" s="469" t="s">
        <v>1624</v>
      </c>
      <c r="AK1432" s="470" t="s">
        <v>1625</v>
      </c>
      <c r="AL1432" s="471" t="s">
        <v>11501</v>
      </c>
      <c r="AM1432" s="470" t="s">
        <v>11502</v>
      </c>
      <c r="AN1432" s="470" t="s">
        <v>1385</v>
      </c>
      <c r="AO1432" s="470" t="s">
        <v>14673</v>
      </c>
      <c r="AP1432" s="470" t="s">
        <v>5708</v>
      </c>
      <c r="AQ1432" s="470" t="s">
        <v>11498</v>
      </c>
      <c r="AR1432" s="472" t="s">
        <v>515</v>
      </c>
      <c r="AS1432" s="473" t="s">
        <v>1385</v>
      </c>
      <c r="AT1432" s="472" t="s">
        <v>4613</v>
      </c>
      <c r="AU1432" s="472" t="s">
        <v>420</v>
      </c>
      <c r="AV1432" s="472">
        <v>2020</v>
      </c>
      <c r="AW1432" s="474" t="s">
        <v>15078</v>
      </c>
      <c r="AX1432" s="475" t="s">
        <v>15079</v>
      </c>
      <c r="AY1432" s="515">
        <v>1</v>
      </c>
      <c r="AZ1432" s="474" t="s">
        <v>15079</v>
      </c>
      <c r="BA1432" s="472" t="s">
        <v>4613</v>
      </c>
      <c r="BB1432" s="472" t="s">
        <v>1385</v>
      </c>
      <c r="BC1432" s="472" t="s">
        <v>1385</v>
      </c>
      <c r="BD1432" s="472" t="s">
        <v>1385</v>
      </c>
      <c r="BE1432" s="472" t="s">
        <v>1385</v>
      </c>
      <c r="BF1432" s="472">
        <v>16891.2</v>
      </c>
      <c r="BG1432" s="472">
        <v>0</v>
      </c>
      <c r="BH1432" s="472" t="s">
        <v>1385</v>
      </c>
      <c r="BI1432" s="510">
        <v>0</v>
      </c>
      <c r="BJ1432" s="510">
        <v>0</v>
      </c>
      <c r="BK1432" s="510">
        <v>0</v>
      </c>
      <c r="BL1432" s="510">
        <v>0</v>
      </c>
      <c r="BM1432" s="510">
        <v>0</v>
      </c>
      <c r="BN1432" s="510">
        <v>2000</v>
      </c>
      <c r="BO1432" s="510">
        <v>0</v>
      </c>
      <c r="BP1432" s="510">
        <v>0</v>
      </c>
      <c r="BQ1432" s="510">
        <v>0</v>
      </c>
      <c r="BR1432" s="510">
        <v>0</v>
      </c>
      <c r="BS1432" s="510">
        <v>0</v>
      </c>
      <c r="BT1432" s="510">
        <v>0</v>
      </c>
      <c r="BU1432" s="510">
        <v>0</v>
      </c>
      <c r="BV1432" s="510">
        <v>0</v>
      </c>
      <c r="BW1432" s="510">
        <v>0</v>
      </c>
      <c r="BX1432" s="510">
        <v>30000</v>
      </c>
      <c r="BY1432" s="1011">
        <v>0</v>
      </c>
      <c r="BZ1432" s="510">
        <v>0</v>
      </c>
      <c r="CA1432" s="1011">
        <v>0</v>
      </c>
      <c r="CB1432" s="510">
        <v>0</v>
      </c>
      <c r="CC1432" s="1011">
        <v>0</v>
      </c>
      <c r="CD1432" s="510">
        <v>0</v>
      </c>
      <c r="CE1432" s="1011">
        <v>0</v>
      </c>
      <c r="CF1432" s="510">
        <v>37586.400000000001</v>
      </c>
      <c r="CG1432" s="1011">
        <v>0</v>
      </c>
      <c r="CH1432" s="510">
        <v>0</v>
      </c>
      <c r="CI1432" s="1011">
        <v>0</v>
      </c>
    </row>
    <row r="1433" spans="1:87" x14ac:dyDescent="0.2">
      <c r="A1433" s="449">
        <v>18</v>
      </c>
      <c r="B1433" s="453">
        <v>400236</v>
      </c>
      <c r="C1433" s="454" t="s">
        <v>11503</v>
      </c>
      <c r="D1433" s="454" t="s">
        <v>4613</v>
      </c>
      <c r="E1433" s="454" t="s">
        <v>11504</v>
      </c>
      <c r="F1433" s="454" t="s">
        <v>524</v>
      </c>
      <c r="G1433" s="454" t="s">
        <v>14674</v>
      </c>
      <c r="H1433" s="455">
        <v>11005067000135</v>
      </c>
      <c r="I1433" s="462">
        <v>40009</v>
      </c>
      <c r="J1433" s="457">
        <v>41076613</v>
      </c>
      <c r="K1433" s="454" t="s">
        <v>11506</v>
      </c>
      <c r="L1433" s="458">
        <v>39</v>
      </c>
      <c r="M1433" s="454" t="s">
        <v>3901</v>
      </c>
      <c r="N1433" s="459">
        <v>4193060</v>
      </c>
      <c r="O1433" s="460">
        <v>23316198</v>
      </c>
      <c r="P1433" s="462">
        <v>199209</v>
      </c>
      <c r="Q1433" s="462">
        <v>20</v>
      </c>
      <c r="R1433" s="462">
        <v>43906</v>
      </c>
      <c r="S1433" s="463">
        <v>153</v>
      </c>
      <c r="T1433" s="464">
        <v>3.6</v>
      </c>
      <c r="U1433" s="465">
        <v>550.79999999999995</v>
      </c>
      <c r="V1433" s="465">
        <v>10800</v>
      </c>
      <c r="W1433" s="466">
        <v>0</v>
      </c>
      <c r="X1433" s="467">
        <v>1</v>
      </c>
      <c r="Y1433" s="466">
        <v>17026.2</v>
      </c>
      <c r="Z1433" s="468" t="s">
        <v>516</v>
      </c>
      <c r="AA1433" s="466">
        <v>84670.2</v>
      </c>
      <c r="AB1433" s="466">
        <v>84670.2</v>
      </c>
      <c r="AC1433" s="467">
        <v>0</v>
      </c>
      <c r="AD1433" s="466">
        <v>0</v>
      </c>
      <c r="AE1433" s="468" t="s">
        <v>516</v>
      </c>
      <c r="AF1433" s="466">
        <v>0</v>
      </c>
      <c r="AG1433" s="466">
        <v>0</v>
      </c>
      <c r="AH1433" s="466">
        <v>10444.4</v>
      </c>
      <c r="AI1433" s="466">
        <v>4249.04</v>
      </c>
      <c r="AJ1433" s="469" t="s">
        <v>2511</v>
      </c>
      <c r="AK1433" s="470" t="s">
        <v>3193</v>
      </c>
      <c r="AL1433" s="471" t="s">
        <v>11507</v>
      </c>
      <c r="AM1433" s="470" t="s">
        <v>15103</v>
      </c>
      <c r="AN1433" s="470" t="s">
        <v>11505</v>
      </c>
      <c r="AO1433" s="470" t="s">
        <v>14675</v>
      </c>
      <c r="AP1433" s="470" t="s">
        <v>11508</v>
      </c>
      <c r="AQ1433" s="470" t="s">
        <v>11503</v>
      </c>
      <c r="AR1433" s="472" t="s">
        <v>515</v>
      </c>
      <c r="AS1433" s="473" t="s">
        <v>1385</v>
      </c>
      <c r="AT1433" s="472" t="s">
        <v>4613</v>
      </c>
      <c r="AU1433" s="472" t="s">
        <v>420</v>
      </c>
      <c r="AV1433" s="472">
        <v>2020</v>
      </c>
      <c r="AW1433" s="474" t="s">
        <v>15078</v>
      </c>
      <c r="AX1433" s="475" t="s">
        <v>15079</v>
      </c>
      <c r="AY1433" s="515">
        <v>1</v>
      </c>
      <c r="AZ1433" s="474" t="s">
        <v>15079</v>
      </c>
      <c r="BA1433" s="472" t="s">
        <v>4613</v>
      </c>
      <c r="BB1433" s="472" t="s">
        <v>1385</v>
      </c>
      <c r="BC1433" s="472" t="s">
        <v>1385</v>
      </c>
      <c r="BD1433" s="472" t="s">
        <v>1385</v>
      </c>
      <c r="BE1433" s="472" t="s">
        <v>1385</v>
      </c>
      <c r="BF1433" s="472">
        <v>17026.2</v>
      </c>
      <c r="BG1433" s="472">
        <v>0</v>
      </c>
      <c r="BH1433" s="472" t="s">
        <v>1385</v>
      </c>
      <c r="BI1433" s="510">
        <v>0</v>
      </c>
      <c r="BJ1433" s="510">
        <v>0</v>
      </c>
      <c r="BK1433" s="510">
        <v>0</v>
      </c>
      <c r="BL1433" s="510">
        <v>0</v>
      </c>
      <c r="BM1433" s="510">
        <v>0</v>
      </c>
      <c r="BN1433" s="510">
        <v>2000</v>
      </c>
      <c r="BO1433" s="510">
        <v>0</v>
      </c>
      <c r="BP1433" s="510">
        <v>0</v>
      </c>
      <c r="BQ1433" s="510">
        <v>0</v>
      </c>
      <c r="BR1433" s="510">
        <v>0</v>
      </c>
      <c r="BS1433" s="510">
        <v>0</v>
      </c>
      <c r="BT1433" s="510">
        <v>0</v>
      </c>
      <c r="BU1433" s="510">
        <v>0</v>
      </c>
      <c r="BV1433" s="510">
        <v>0</v>
      </c>
      <c r="BW1433" s="510">
        <v>0</v>
      </c>
      <c r="BX1433" s="510">
        <v>30000</v>
      </c>
      <c r="BY1433" s="1011">
        <v>0</v>
      </c>
      <c r="BZ1433" s="510">
        <v>0</v>
      </c>
      <c r="CA1433" s="1011">
        <v>0</v>
      </c>
      <c r="CB1433" s="510">
        <v>0</v>
      </c>
      <c r="CC1433" s="1011">
        <v>0</v>
      </c>
      <c r="CD1433" s="510">
        <v>0</v>
      </c>
      <c r="CE1433" s="1011">
        <v>0</v>
      </c>
      <c r="CF1433" s="510">
        <v>37644</v>
      </c>
      <c r="CG1433" s="1011">
        <v>0</v>
      </c>
      <c r="CH1433" s="510">
        <v>0</v>
      </c>
      <c r="CI1433" s="1011">
        <v>0</v>
      </c>
    </row>
    <row r="1434" spans="1:87" x14ac:dyDescent="0.2">
      <c r="A1434" s="449">
        <v>6</v>
      </c>
      <c r="B1434" s="453">
        <v>400237</v>
      </c>
      <c r="C1434" s="454" t="s">
        <v>11509</v>
      </c>
      <c r="D1434" s="454" t="s">
        <v>4613</v>
      </c>
      <c r="E1434" s="454" t="s">
        <v>11510</v>
      </c>
      <c r="F1434" s="454" t="s">
        <v>525</v>
      </c>
      <c r="G1434" s="454" t="s">
        <v>14676</v>
      </c>
      <c r="H1434" s="455">
        <v>8021195000168</v>
      </c>
      <c r="I1434" s="462">
        <v>38834</v>
      </c>
      <c r="J1434" s="457">
        <v>37357824</v>
      </c>
      <c r="K1434" s="454" t="s">
        <v>11512</v>
      </c>
      <c r="L1434" s="458">
        <v>363</v>
      </c>
      <c r="M1434" s="454" t="s">
        <v>11513</v>
      </c>
      <c r="N1434" s="459">
        <v>2409610</v>
      </c>
      <c r="O1434" s="460">
        <v>29943072</v>
      </c>
      <c r="P1434" s="462">
        <v>323171</v>
      </c>
      <c r="Q1434" s="462">
        <v>6</v>
      </c>
      <c r="R1434" s="462">
        <v>43950</v>
      </c>
      <c r="S1434" s="463">
        <v>165</v>
      </c>
      <c r="T1434" s="464">
        <v>3.6</v>
      </c>
      <c r="U1434" s="465">
        <v>594</v>
      </c>
      <c r="V1434" s="465">
        <v>10800</v>
      </c>
      <c r="W1434" s="466">
        <v>0</v>
      </c>
      <c r="X1434" s="467">
        <v>1</v>
      </c>
      <c r="Y1434" s="466">
        <v>17091</v>
      </c>
      <c r="Z1434" s="468" t="s">
        <v>516</v>
      </c>
      <c r="AA1434" s="466">
        <v>84936.6</v>
      </c>
      <c r="AB1434" s="466">
        <v>84936.6</v>
      </c>
      <c r="AC1434" s="467">
        <v>0</v>
      </c>
      <c r="AD1434" s="466">
        <v>0</v>
      </c>
      <c r="AE1434" s="468" t="s">
        <v>516</v>
      </c>
      <c r="AF1434" s="466">
        <v>0</v>
      </c>
      <c r="AG1434" s="466">
        <v>0</v>
      </c>
      <c r="AH1434" s="466">
        <v>11446.29</v>
      </c>
      <c r="AI1434" s="466">
        <v>2596.1</v>
      </c>
      <c r="AJ1434" s="469" t="s">
        <v>1448</v>
      </c>
      <c r="AK1434" s="470" t="s">
        <v>1449</v>
      </c>
      <c r="AL1434" s="471" t="s">
        <v>11514</v>
      </c>
      <c r="AM1434" s="470" t="s">
        <v>11515</v>
      </c>
      <c r="AN1434" s="470" t="s">
        <v>11511</v>
      </c>
      <c r="AO1434" s="470" t="s">
        <v>14677</v>
      </c>
      <c r="AP1434" s="470" t="s">
        <v>11516</v>
      </c>
      <c r="AQ1434" s="470" t="s">
        <v>11509</v>
      </c>
      <c r="AR1434" s="472" t="s">
        <v>515</v>
      </c>
      <c r="AS1434" s="473" t="s">
        <v>1385</v>
      </c>
      <c r="AT1434" s="472" t="s">
        <v>4613</v>
      </c>
      <c r="AU1434" s="472" t="s">
        <v>420</v>
      </c>
      <c r="AV1434" s="472">
        <v>2020</v>
      </c>
      <c r="AW1434" s="474" t="s">
        <v>15078</v>
      </c>
      <c r="AX1434" s="475" t="s">
        <v>15079</v>
      </c>
      <c r="AY1434" s="515">
        <v>1</v>
      </c>
      <c r="AZ1434" s="474" t="s">
        <v>15079</v>
      </c>
      <c r="BA1434" s="472" t="s">
        <v>4613</v>
      </c>
      <c r="BB1434" s="472" t="s">
        <v>1385</v>
      </c>
      <c r="BC1434" s="472" t="s">
        <v>1385</v>
      </c>
      <c r="BD1434" s="472" t="s">
        <v>1385</v>
      </c>
      <c r="BE1434" s="472" t="s">
        <v>1385</v>
      </c>
      <c r="BF1434" s="472">
        <v>17091</v>
      </c>
      <c r="BG1434" s="472">
        <v>0</v>
      </c>
      <c r="BH1434" s="472" t="s">
        <v>1385</v>
      </c>
      <c r="BI1434" s="510">
        <v>0</v>
      </c>
      <c r="BJ1434" s="510">
        <v>0</v>
      </c>
      <c r="BK1434" s="510">
        <v>0</v>
      </c>
      <c r="BL1434" s="510">
        <v>0</v>
      </c>
      <c r="BM1434" s="510">
        <v>0</v>
      </c>
      <c r="BN1434" s="510">
        <v>2000</v>
      </c>
      <c r="BO1434" s="510">
        <v>0</v>
      </c>
      <c r="BP1434" s="510">
        <v>0</v>
      </c>
      <c r="BQ1434" s="510">
        <v>0</v>
      </c>
      <c r="BR1434" s="510">
        <v>0</v>
      </c>
      <c r="BS1434" s="510">
        <v>0</v>
      </c>
      <c r="BT1434" s="510">
        <v>0</v>
      </c>
      <c r="BU1434" s="510">
        <v>0</v>
      </c>
      <c r="BV1434" s="510">
        <v>0</v>
      </c>
      <c r="BW1434" s="510">
        <v>0</v>
      </c>
      <c r="BX1434" s="510">
        <v>30000</v>
      </c>
      <c r="BY1434" s="1011">
        <v>0</v>
      </c>
      <c r="BZ1434" s="510">
        <v>0</v>
      </c>
      <c r="CA1434" s="1011">
        <v>0</v>
      </c>
      <c r="CB1434" s="510">
        <v>0</v>
      </c>
      <c r="CC1434" s="1011">
        <v>0</v>
      </c>
      <c r="CD1434" s="510">
        <v>0</v>
      </c>
      <c r="CE1434" s="1011">
        <v>0</v>
      </c>
      <c r="CF1434" s="510">
        <v>37845.599999999999</v>
      </c>
      <c r="CG1434" s="1011">
        <v>0</v>
      </c>
      <c r="CH1434" s="510">
        <v>0</v>
      </c>
      <c r="CI1434" s="1011">
        <v>0</v>
      </c>
    </row>
    <row r="1435" spans="1:87" x14ac:dyDescent="0.2">
      <c r="A1435" s="449">
        <v>20</v>
      </c>
      <c r="B1435" s="453">
        <v>400238</v>
      </c>
      <c r="C1435" s="454" t="s">
        <v>11517</v>
      </c>
      <c r="D1435" s="454" t="s">
        <v>4613</v>
      </c>
      <c r="E1435" s="454" t="s">
        <v>11518</v>
      </c>
      <c r="F1435" s="454" t="s">
        <v>525</v>
      </c>
      <c r="G1435" s="454" t="s">
        <v>14678</v>
      </c>
      <c r="H1435" s="455">
        <v>8257147000173</v>
      </c>
      <c r="I1435" s="462">
        <v>38832</v>
      </c>
      <c r="J1435" s="457">
        <v>37358081</v>
      </c>
      <c r="K1435" s="454" t="s">
        <v>11520</v>
      </c>
      <c r="L1435" s="458">
        <v>40</v>
      </c>
      <c r="M1435" s="454" t="s">
        <v>11521</v>
      </c>
      <c r="N1435" s="459">
        <v>2471050</v>
      </c>
      <c r="O1435" s="460">
        <v>22399260</v>
      </c>
      <c r="P1435" s="462">
        <v>323481</v>
      </c>
      <c r="Q1435" s="462">
        <v>20</v>
      </c>
      <c r="R1435" s="462">
        <v>43950</v>
      </c>
      <c r="S1435" s="463">
        <v>148</v>
      </c>
      <c r="T1435" s="464">
        <v>3.6</v>
      </c>
      <c r="U1435" s="465">
        <v>532.79999999999995</v>
      </c>
      <c r="V1435" s="465">
        <v>10800</v>
      </c>
      <c r="W1435" s="466">
        <v>0</v>
      </c>
      <c r="X1435" s="467">
        <v>1</v>
      </c>
      <c r="Y1435" s="466">
        <v>16999.2</v>
      </c>
      <c r="Z1435" s="468" t="s">
        <v>516</v>
      </c>
      <c r="AA1435" s="466">
        <v>84578.4</v>
      </c>
      <c r="AB1435" s="466">
        <v>84578.4</v>
      </c>
      <c r="AC1435" s="467">
        <v>0</v>
      </c>
      <c r="AD1435" s="466">
        <v>0</v>
      </c>
      <c r="AE1435" s="468" t="s">
        <v>516</v>
      </c>
      <c r="AF1435" s="466">
        <v>0</v>
      </c>
      <c r="AG1435" s="466">
        <v>0</v>
      </c>
      <c r="AH1435" s="466">
        <v>9110.84</v>
      </c>
      <c r="AI1435" s="466">
        <v>2798.97</v>
      </c>
      <c r="AJ1435" s="469" t="s">
        <v>1448</v>
      </c>
      <c r="AK1435" s="470" t="s">
        <v>1449</v>
      </c>
      <c r="AL1435" s="471" t="s">
        <v>11522</v>
      </c>
      <c r="AM1435" s="470" t="s">
        <v>11523</v>
      </c>
      <c r="AN1435" s="470" t="s">
        <v>11519</v>
      </c>
      <c r="AO1435" s="470" t="s">
        <v>11524</v>
      </c>
      <c r="AP1435" s="470" t="s">
        <v>11525</v>
      </c>
      <c r="AQ1435" s="470" t="s">
        <v>11517</v>
      </c>
      <c r="AR1435" s="472" t="s">
        <v>515</v>
      </c>
      <c r="AS1435" s="473" t="s">
        <v>1385</v>
      </c>
      <c r="AT1435" s="472" t="s">
        <v>4613</v>
      </c>
      <c r="AU1435" s="472" t="s">
        <v>420</v>
      </c>
      <c r="AV1435" s="472">
        <v>2020</v>
      </c>
      <c r="AW1435" s="474" t="s">
        <v>15078</v>
      </c>
      <c r="AX1435" s="475" t="s">
        <v>15079</v>
      </c>
      <c r="AY1435" s="515">
        <v>1</v>
      </c>
      <c r="AZ1435" s="474" t="s">
        <v>15079</v>
      </c>
      <c r="BA1435" s="472" t="s">
        <v>4613</v>
      </c>
      <c r="BB1435" s="472" t="s">
        <v>1385</v>
      </c>
      <c r="BC1435" s="472" t="s">
        <v>1385</v>
      </c>
      <c r="BD1435" s="472" t="s">
        <v>1385</v>
      </c>
      <c r="BE1435" s="472" t="s">
        <v>1385</v>
      </c>
      <c r="BF1435" s="472">
        <v>16999.2</v>
      </c>
      <c r="BG1435" s="472">
        <v>0</v>
      </c>
      <c r="BH1435" s="472" t="s">
        <v>1385</v>
      </c>
      <c r="BI1435" s="510">
        <v>0</v>
      </c>
      <c r="BJ1435" s="510">
        <v>0</v>
      </c>
      <c r="BK1435" s="510">
        <v>0</v>
      </c>
      <c r="BL1435" s="510">
        <v>0</v>
      </c>
      <c r="BM1435" s="510">
        <v>0</v>
      </c>
      <c r="BN1435" s="510">
        <v>1200</v>
      </c>
      <c r="BO1435" s="510">
        <v>0</v>
      </c>
      <c r="BP1435" s="510">
        <v>0</v>
      </c>
      <c r="BQ1435" s="510">
        <v>0</v>
      </c>
      <c r="BR1435" s="510">
        <v>0</v>
      </c>
      <c r="BS1435" s="510">
        <v>0</v>
      </c>
      <c r="BT1435" s="510">
        <v>0</v>
      </c>
      <c r="BU1435" s="510">
        <v>0</v>
      </c>
      <c r="BV1435" s="510">
        <v>0</v>
      </c>
      <c r="BW1435" s="510">
        <v>0</v>
      </c>
      <c r="BX1435" s="510">
        <v>30000</v>
      </c>
      <c r="BY1435" s="1011">
        <v>0</v>
      </c>
      <c r="BZ1435" s="510">
        <v>0</v>
      </c>
      <c r="CA1435" s="1011">
        <v>0</v>
      </c>
      <c r="CB1435" s="510">
        <v>0</v>
      </c>
      <c r="CC1435" s="1011">
        <v>0</v>
      </c>
      <c r="CD1435" s="510">
        <v>0</v>
      </c>
      <c r="CE1435" s="1011">
        <v>0</v>
      </c>
      <c r="CF1435" s="510">
        <v>37579.199999999997</v>
      </c>
      <c r="CG1435" s="1011">
        <v>0</v>
      </c>
      <c r="CH1435" s="510">
        <v>0</v>
      </c>
      <c r="CI1435" s="1011">
        <v>0</v>
      </c>
    </row>
    <row r="1436" spans="1:87" x14ac:dyDescent="0.2">
      <c r="A1436" s="449">
        <v>12</v>
      </c>
      <c r="B1436" s="453">
        <v>400239</v>
      </c>
      <c r="C1436" s="454" t="s">
        <v>11526</v>
      </c>
      <c r="D1436" s="454" t="s">
        <v>4613</v>
      </c>
      <c r="E1436" s="454" t="s">
        <v>11527</v>
      </c>
      <c r="F1436" s="454" t="s">
        <v>522</v>
      </c>
      <c r="G1436" s="454" t="s">
        <v>14679</v>
      </c>
      <c r="H1436" s="455">
        <v>7806575000145</v>
      </c>
      <c r="I1436" s="462">
        <v>38685</v>
      </c>
      <c r="J1436" s="457">
        <v>37586785</v>
      </c>
      <c r="K1436" s="454" t="s">
        <v>11528</v>
      </c>
      <c r="L1436" s="458">
        <v>500</v>
      </c>
      <c r="M1436" s="454" t="s">
        <v>3675</v>
      </c>
      <c r="N1436" s="459">
        <v>2837000</v>
      </c>
      <c r="O1436" s="460">
        <v>39216092</v>
      </c>
      <c r="P1436" s="462">
        <v>86242</v>
      </c>
      <c r="Q1436" s="462">
        <v>45</v>
      </c>
      <c r="R1436" s="462">
        <v>43911</v>
      </c>
      <c r="S1436" s="463">
        <v>104</v>
      </c>
      <c r="T1436" s="464">
        <v>3.6</v>
      </c>
      <c r="U1436" s="465">
        <v>374.4</v>
      </c>
      <c r="V1436" s="465">
        <v>10800</v>
      </c>
      <c r="W1436" s="466">
        <v>0</v>
      </c>
      <c r="X1436" s="467">
        <v>1</v>
      </c>
      <c r="Y1436" s="466">
        <v>16761.599999999999</v>
      </c>
      <c r="Z1436" s="468" t="s">
        <v>516</v>
      </c>
      <c r="AA1436" s="466">
        <v>84016.8</v>
      </c>
      <c r="AB1436" s="466">
        <v>84016.8</v>
      </c>
      <c r="AC1436" s="467">
        <v>0</v>
      </c>
      <c r="AD1436" s="466">
        <v>0</v>
      </c>
      <c r="AE1436" s="468" t="s">
        <v>516</v>
      </c>
      <c r="AF1436" s="466">
        <v>0</v>
      </c>
      <c r="AG1436" s="466">
        <v>0</v>
      </c>
      <c r="AH1436" s="466">
        <v>16375.11</v>
      </c>
      <c r="AI1436" s="466">
        <v>2762.9</v>
      </c>
      <c r="AJ1436" s="469" t="s">
        <v>1438</v>
      </c>
      <c r="AK1436" s="470" t="s">
        <v>12345</v>
      </c>
      <c r="AL1436" s="471" t="s">
        <v>11529</v>
      </c>
      <c r="AM1436" s="470" t="s">
        <v>11530</v>
      </c>
      <c r="AN1436" s="470" t="s">
        <v>1385</v>
      </c>
      <c r="AO1436" s="470" t="s">
        <v>11531</v>
      </c>
      <c r="AP1436" s="470" t="s">
        <v>3675</v>
      </c>
      <c r="AQ1436" s="470" t="s">
        <v>11526</v>
      </c>
      <c r="AR1436" s="472" t="s">
        <v>515</v>
      </c>
      <c r="AS1436" s="473" t="s">
        <v>1385</v>
      </c>
      <c r="AT1436" s="472" t="s">
        <v>4613</v>
      </c>
      <c r="AU1436" s="472" t="s">
        <v>420</v>
      </c>
      <c r="AV1436" s="472">
        <v>2020</v>
      </c>
      <c r="AW1436" s="474" t="s">
        <v>15078</v>
      </c>
      <c r="AX1436" s="475" t="s">
        <v>15079</v>
      </c>
      <c r="AY1436" s="515">
        <v>1</v>
      </c>
      <c r="AZ1436" s="474" t="s">
        <v>15079</v>
      </c>
      <c r="BA1436" s="472" t="s">
        <v>4613</v>
      </c>
      <c r="BB1436" s="472" t="s">
        <v>1385</v>
      </c>
      <c r="BC1436" s="472" t="s">
        <v>1385</v>
      </c>
      <c r="BD1436" s="472" t="s">
        <v>1385</v>
      </c>
      <c r="BE1436" s="472" t="s">
        <v>1385</v>
      </c>
      <c r="BF1436" s="509">
        <v>16761.599999999999</v>
      </c>
      <c r="BG1436" s="509">
        <v>0</v>
      </c>
      <c r="BH1436" s="472" t="s">
        <v>1385</v>
      </c>
      <c r="BI1436" s="510">
        <v>0</v>
      </c>
      <c r="BJ1436" s="510">
        <v>0</v>
      </c>
      <c r="BK1436" s="510">
        <v>0</v>
      </c>
      <c r="BL1436" s="510">
        <v>0</v>
      </c>
      <c r="BM1436" s="510">
        <v>0</v>
      </c>
      <c r="BN1436" s="510">
        <v>2000</v>
      </c>
      <c r="BO1436" s="510">
        <v>0</v>
      </c>
      <c r="BP1436" s="510">
        <v>0</v>
      </c>
      <c r="BQ1436" s="510">
        <v>0</v>
      </c>
      <c r="BR1436" s="510">
        <v>0</v>
      </c>
      <c r="BS1436" s="510">
        <v>0</v>
      </c>
      <c r="BT1436" s="510">
        <v>0</v>
      </c>
      <c r="BU1436" s="510">
        <v>0</v>
      </c>
      <c r="BV1436" s="510">
        <v>0</v>
      </c>
      <c r="BW1436" s="510">
        <v>0</v>
      </c>
      <c r="BX1436" s="510">
        <v>30000</v>
      </c>
      <c r="BY1436" s="1011">
        <v>0</v>
      </c>
      <c r="BZ1436" s="510">
        <v>0</v>
      </c>
      <c r="CA1436" s="1011">
        <v>0</v>
      </c>
      <c r="CB1436" s="510">
        <v>0</v>
      </c>
      <c r="CC1436" s="1011">
        <v>0</v>
      </c>
      <c r="CD1436" s="510">
        <v>0</v>
      </c>
      <c r="CE1436" s="1011">
        <v>0</v>
      </c>
      <c r="CF1436" s="510">
        <v>37255.199999999997</v>
      </c>
      <c r="CG1436" s="1011">
        <v>0</v>
      </c>
      <c r="CH1436" s="510">
        <v>0</v>
      </c>
      <c r="CI1436" s="1011">
        <v>0</v>
      </c>
    </row>
    <row r="1437" spans="1:87" x14ac:dyDescent="0.2">
      <c r="A1437" s="449">
        <v>40</v>
      </c>
      <c r="B1437" s="453">
        <v>400240</v>
      </c>
      <c r="C1437" s="454" t="s">
        <v>11532</v>
      </c>
      <c r="D1437" s="454" t="s">
        <v>4613</v>
      </c>
      <c r="E1437" s="454" t="s">
        <v>11532</v>
      </c>
      <c r="F1437" s="454" t="s">
        <v>520</v>
      </c>
      <c r="G1437" s="454" t="s">
        <v>14680</v>
      </c>
      <c r="H1437" s="455">
        <v>8184724000144</v>
      </c>
      <c r="I1437" s="462">
        <v>38806</v>
      </c>
      <c r="J1437" s="457">
        <v>37621475</v>
      </c>
      <c r="K1437" s="454" t="s">
        <v>4690</v>
      </c>
      <c r="L1437" s="458" t="s">
        <v>1446</v>
      </c>
      <c r="M1437" s="454" t="s">
        <v>11534</v>
      </c>
      <c r="N1437" s="459">
        <v>4061240</v>
      </c>
      <c r="O1437" s="460">
        <v>58965340</v>
      </c>
      <c r="P1437" s="462">
        <v>294201</v>
      </c>
      <c r="Q1437" s="462">
        <v>40</v>
      </c>
      <c r="R1437" s="462">
        <v>43969</v>
      </c>
      <c r="S1437" s="463">
        <v>254</v>
      </c>
      <c r="T1437" s="464">
        <v>3.6</v>
      </c>
      <c r="U1437" s="465">
        <v>914.4</v>
      </c>
      <c r="V1437" s="465">
        <v>12720</v>
      </c>
      <c r="W1437" s="466">
        <v>0</v>
      </c>
      <c r="X1437" s="467">
        <v>1</v>
      </c>
      <c r="Y1437" s="466">
        <v>20451.599999999999</v>
      </c>
      <c r="Z1437" s="468" t="s">
        <v>516</v>
      </c>
      <c r="AA1437" s="466">
        <v>90620.4</v>
      </c>
      <c r="AB1437" s="466">
        <v>90620.4</v>
      </c>
      <c r="AC1437" s="467">
        <v>0</v>
      </c>
      <c r="AD1437" s="466">
        <v>0</v>
      </c>
      <c r="AE1437" s="468" t="s">
        <v>516</v>
      </c>
      <c r="AF1437" s="466">
        <v>0</v>
      </c>
      <c r="AG1437" s="466">
        <v>0</v>
      </c>
      <c r="AH1437" s="466">
        <v>5986.08</v>
      </c>
      <c r="AI1437" s="466">
        <v>3943.82</v>
      </c>
      <c r="AJ1437" s="469" t="s">
        <v>5439</v>
      </c>
      <c r="AK1437" s="470" t="s">
        <v>5440</v>
      </c>
      <c r="AL1437" s="471" t="s">
        <v>11535</v>
      </c>
      <c r="AM1437" s="470" t="s">
        <v>11536</v>
      </c>
      <c r="AN1437" s="470" t="s">
        <v>11533</v>
      </c>
      <c r="AO1437" s="470" t="s">
        <v>11537</v>
      </c>
      <c r="AP1437" s="470" t="s">
        <v>4691</v>
      </c>
      <c r="AQ1437" s="470" t="s">
        <v>11532</v>
      </c>
      <c r="AR1437" s="472" t="s">
        <v>515</v>
      </c>
      <c r="AS1437" s="473" t="s">
        <v>1385</v>
      </c>
      <c r="AT1437" s="472" t="s">
        <v>4613</v>
      </c>
      <c r="AU1437" s="472" t="s">
        <v>420</v>
      </c>
      <c r="AV1437" s="472">
        <v>2020</v>
      </c>
      <c r="AW1437" s="474" t="s">
        <v>15078</v>
      </c>
      <c r="AX1437" s="475" t="s">
        <v>15079</v>
      </c>
      <c r="AY1437" s="515">
        <v>1</v>
      </c>
      <c r="AZ1437" s="474" t="s">
        <v>15079</v>
      </c>
      <c r="BA1437" s="472" t="s">
        <v>4613</v>
      </c>
      <c r="BB1437" s="472" t="s">
        <v>1385</v>
      </c>
      <c r="BC1437" s="472" t="s">
        <v>1385</v>
      </c>
      <c r="BD1437" s="472" t="s">
        <v>1385</v>
      </c>
      <c r="BE1437" s="472" t="s">
        <v>1385</v>
      </c>
      <c r="BF1437" s="472">
        <v>20451.599999999999</v>
      </c>
      <c r="BG1437" s="472">
        <v>0</v>
      </c>
      <c r="BH1437" s="472" t="s">
        <v>1385</v>
      </c>
      <c r="BI1437" s="510">
        <v>0</v>
      </c>
      <c r="BJ1437" s="510">
        <v>0</v>
      </c>
      <c r="BK1437" s="510">
        <v>0</v>
      </c>
      <c r="BL1437" s="510">
        <v>0</v>
      </c>
      <c r="BM1437" s="510">
        <v>0</v>
      </c>
      <c r="BN1437" s="510">
        <v>3000</v>
      </c>
      <c r="BO1437" s="510">
        <v>0</v>
      </c>
      <c r="BP1437" s="510">
        <v>0</v>
      </c>
      <c r="BQ1437" s="510">
        <v>0</v>
      </c>
      <c r="BR1437" s="510">
        <v>0</v>
      </c>
      <c r="BS1437" s="510">
        <v>0</v>
      </c>
      <c r="BT1437" s="510">
        <v>0</v>
      </c>
      <c r="BU1437" s="510">
        <v>0</v>
      </c>
      <c r="BV1437" s="510">
        <v>0</v>
      </c>
      <c r="BW1437" s="510">
        <v>0</v>
      </c>
      <c r="BX1437" s="510">
        <v>30000</v>
      </c>
      <c r="BY1437" s="1011">
        <v>0</v>
      </c>
      <c r="BZ1437" s="510">
        <v>0</v>
      </c>
      <c r="CA1437" s="1011">
        <v>0</v>
      </c>
      <c r="CB1437" s="510">
        <v>0</v>
      </c>
      <c r="CC1437" s="1011">
        <v>0</v>
      </c>
      <c r="CD1437" s="510">
        <v>0</v>
      </c>
      <c r="CE1437" s="1011">
        <v>0</v>
      </c>
      <c r="CF1437" s="510">
        <v>40168.800000000003</v>
      </c>
      <c r="CG1437" s="1011">
        <v>0</v>
      </c>
      <c r="CH1437" s="510">
        <v>0</v>
      </c>
      <c r="CI1437" s="1011">
        <v>0</v>
      </c>
    </row>
    <row r="1438" spans="1:87" x14ac:dyDescent="0.2">
      <c r="A1438" s="449">
        <v>18</v>
      </c>
      <c r="B1438" s="453">
        <v>400241</v>
      </c>
      <c r="C1438" s="454" t="s">
        <v>11538</v>
      </c>
      <c r="D1438" s="454" t="s">
        <v>4613</v>
      </c>
      <c r="E1438" s="454" t="s">
        <v>11539</v>
      </c>
      <c r="F1438" s="454" t="s">
        <v>518</v>
      </c>
      <c r="G1438" s="454" t="s">
        <v>14681</v>
      </c>
      <c r="H1438" s="455">
        <v>10724727000175</v>
      </c>
      <c r="I1438" s="462">
        <v>39730</v>
      </c>
      <c r="J1438" s="457">
        <v>39074030</v>
      </c>
      <c r="K1438" s="454" t="s">
        <v>11541</v>
      </c>
      <c r="L1438" s="458">
        <v>666</v>
      </c>
      <c r="M1438" s="454" t="s">
        <v>518</v>
      </c>
      <c r="N1438" s="459">
        <v>8295290</v>
      </c>
      <c r="O1438" s="460">
        <v>22057179</v>
      </c>
      <c r="P1438" s="462">
        <v>46623</v>
      </c>
      <c r="Q1438" s="462">
        <v>18</v>
      </c>
      <c r="R1438" s="462">
        <v>43934</v>
      </c>
      <c r="S1438" s="463">
        <v>155</v>
      </c>
      <c r="T1438" s="464">
        <v>3.6</v>
      </c>
      <c r="U1438" s="465">
        <v>558</v>
      </c>
      <c r="V1438" s="465">
        <v>10800</v>
      </c>
      <c r="W1438" s="466">
        <v>0</v>
      </c>
      <c r="X1438" s="467">
        <v>1</v>
      </c>
      <c r="Y1438" s="466">
        <v>17037</v>
      </c>
      <c r="Z1438" s="468" t="s">
        <v>516</v>
      </c>
      <c r="AA1438" s="466">
        <v>84717</v>
      </c>
      <c r="AB1438" s="466">
        <v>84717</v>
      </c>
      <c r="AC1438" s="467">
        <v>0</v>
      </c>
      <c r="AD1438" s="466">
        <v>0</v>
      </c>
      <c r="AE1438" s="468" t="s">
        <v>516</v>
      </c>
      <c r="AF1438" s="466">
        <v>0</v>
      </c>
      <c r="AG1438" s="466">
        <v>0</v>
      </c>
      <c r="AH1438" s="466">
        <v>11726.22</v>
      </c>
      <c r="AI1438" s="466">
        <v>0</v>
      </c>
      <c r="AJ1438" s="469" t="s">
        <v>1674</v>
      </c>
      <c r="AK1438" s="470" t="s">
        <v>518</v>
      </c>
      <c r="AL1438" s="471" t="s">
        <v>11542</v>
      </c>
      <c r="AM1438" s="470" t="s">
        <v>11543</v>
      </c>
      <c r="AN1438" s="470" t="s">
        <v>11540</v>
      </c>
      <c r="AO1438" s="470" t="s">
        <v>15057</v>
      </c>
      <c r="AP1438" s="470" t="s">
        <v>4925</v>
      </c>
      <c r="AQ1438" s="470" t="s">
        <v>11538</v>
      </c>
      <c r="AR1438" s="472" t="s">
        <v>515</v>
      </c>
      <c r="AS1438" s="473" t="s">
        <v>1385</v>
      </c>
      <c r="AT1438" s="472" t="s">
        <v>4613</v>
      </c>
      <c r="AU1438" s="472" t="s">
        <v>420</v>
      </c>
      <c r="AV1438" s="472">
        <v>2020</v>
      </c>
      <c r="AW1438" s="474" t="s">
        <v>15078</v>
      </c>
      <c r="AX1438" s="475" t="s">
        <v>15079</v>
      </c>
      <c r="AY1438" s="515">
        <v>1</v>
      </c>
      <c r="AZ1438" s="474" t="s">
        <v>15079</v>
      </c>
      <c r="BA1438" s="472" t="s">
        <v>4613</v>
      </c>
      <c r="BB1438" s="472" t="s">
        <v>1385</v>
      </c>
      <c r="BC1438" s="472" t="s">
        <v>1385</v>
      </c>
      <c r="BD1438" s="472" t="s">
        <v>1385</v>
      </c>
      <c r="BE1438" s="472" t="s">
        <v>1385</v>
      </c>
      <c r="BF1438" s="509">
        <v>17037</v>
      </c>
      <c r="BG1438" s="509">
        <v>0</v>
      </c>
      <c r="BH1438" s="472" t="s">
        <v>1385</v>
      </c>
      <c r="BI1438" s="510">
        <v>0</v>
      </c>
      <c r="BJ1438" s="510">
        <v>0</v>
      </c>
      <c r="BK1438" s="510">
        <v>0</v>
      </c>
      <c r="BL1438" s="510">
        <v>0</v>
      </c>
      <c r="BM1438" s="510">
        <v>0</v>
      </c>
      <c r="BN1438" s="510">
        <v>2000</v>
      </c>
      <c r="BO1438" s="510">
        <v>0</v>
      </c>
      <c r="BP1438" s="510">
        <v>0</v>
      </c>
      <c r="BQ1438" s="510">
        <v>0</v>
      </c>
      <c r="BR1438" s="510">
        <v>0</v>
      </c>
      <c r="BS1438" s="510">
        <v>0</v>
      </c>
      <c r="BT1438" s="510">
        <v>0</v>
      </c>
      <c r="BU1438" s="510">
        <v>0</v>
      </c>
      <c r="BV1438" s="510">
        <v>0</v>
      </c>
      <c r="BW1438" s="510">
        <v>0</v>
      </c>
      <c r="BX1438" s="510">
        <v>30000</v>
      </c>
      <c r="BY1438" s="1011">
        <v>0</v>
      </c>
      <c r="BZ1438" s="510">
        <v>0</v>
      </c>
      <c r="CA1438" s="1011">
        <v>0</v>
      </c>
      <c r="CB1438" s="510">
        <v>0</v>
      </c>
      <c r="CC1438" s="1011">
        <v>0</v>
      </c>
      <c r="CD1438" s="510">
        <v>0</v>
      </c>
      <c r="CE1438" s="1011">
        <v>0</v>
      </c>
      <c r="CF1438" s="510">
        <v>37680</v>
      </c>
      <c r="CG1438" s="1011">
        <v>0</v>
      </c>
      <c r="CH1438" s="510">
        <v>0</v>
      </c>
      <c r="CI1438" s="1011">
        <v>0</v>
      </c>
    </row>
    <row r="1439" spans="1:87" x14ac:dyDescent="0.2">
      <c r="A1439" s="449">
        <v>19</v>
      </c>
      <c r="B1439" s="453">
        <v>400242</v>
      </c>
      <c r="C1439" s="454" t="s">
        <v>11544</v>
      </c>
      <c r="D1439" s="454" t="s">
        <v>4613</v>
      </c>
      <c r="E1439" s="454" t="s">
        <v>11545</v>
      </c>
      <c r="F1439" s="454" t="s">
        <v>518</v>
      </c>
      <c r="G1439" s="454" t="s">
        <v>14682</v>
      </c>
      <c r="H1439" s="455">
        <v>10936729000128</v>
      </c>
      <c r="I1439" s="462">
        <v>39982</v>
      </c>
      <c r="J1439" s="457">
        <v>39853063</v>
      </c>
      <c r="K1439" s="454" t="s">
        <v>11547</v>
      </c>
      <c r="L1439" s="458">
        <v>245</v>
      </c>
      <c r="M1439" s="454" t="s">
        <v>11548</v>
      </c>
      <c r="N1439" s="459">
        <v>8270370</v>
      </c>
      <c r="O1439" s="460">
        <v>25215784</v>
      </c>
      <c r="P1439" s="462">
        <v>46631</v>
      </c>
      <c r="Q1439" s="462">
        <v>19</v>
      </c>
      <c r="R1439" s="462">
        <v>43934</v>
      </c>
      <c r="S1439" s="463">
        <v>132</v>
      </c>
      <c r="T1439" s="464">
        <v>3.6</v>
      </c>
      <c r="U1439" s="465">
        <v>475.2</v>
      </c>
      <c r="V1439" s="465">
        <v>10800</v>
      </c>
      <c r="W1439" s="466">
        <v>0</v>
      </c>
      <c r="X1439" s="467">
        <v>1</v>
      </c>
      <c r="Y1439" s="466">
        <v>16912.8</v>
      </c>
      <c r="Z1439" s="468" t="s">
        <v>516</v>
      </c>
      <c r="AA1439" s="466">
        <v>84463.2</v>
      </c>
      <c r="AB1439" s="466">
        <v>84463.2</v>
      </c>
      <c r="AC1439" s="467">
        <v>0</v>
      </c>
      <c r="AD1439" s="466">
        <v>0</v>
      </c>
      <c r="AE1439" s="468" t="s">
        <v>516</v>
      </c>
      <c r="AF1439" s="466">
        <v>0</v>
      </c>
      <c r="AG1439" s="466">
        <v>0</v>
      </c>
      <c r="AH1439" s="466">
        <v>7609.15</v>
      </c>
      <c r="AI1439" s="466">
        <v>7247.32</v>
      </c>
      <c r="AJ1439" s="469" t="s">
        <v>1674</v>
      </c>
      <c r="AK1439" s="470" t="s">
        <v>518</v>
      </c>
      <c r="AL1439" s="471" t="s">
        <v>11549</v>
      </c>
      <c r="AM1439" s="470" t="s">
        <v>11550</v>
      </c>
      <c r="AN1439" s="470" t="s">
        <v>11546</v>
      </c>
      <c r="AO1439" s="470" t="s">
        <v>15058</v>
      </c>
      <c r="AP1439" s="470" t="s">
        <v>11548</v>
      </c>
      <c r="AQ1439" s="470" t="s">
        <v>11544</v>
      </c>
      <c r="AR1439" s="472" t="s">
        <v>515</v>
      </c>
      <c r="AS1439" s="473" t="s">
        <v>1385</v>
      </c>
      <c r="AT1439" s="472" t="s">
        <v>4613</v>
      </c>
      <c r="AU1439" s="472" t="s">
        <v>420</v>
      </c>
      <c r="AV1439" s="472">
        <v>2020</v>
      </c>
      <c r="AW1439" s="474" t="s">
        <v>15078</v>
      </c>
      <c r="AX1439" s="475" t="s">
        <v>15079</v>
      </c>
      <c r="AY1439" s="515">
        <v>1</v>
      </c>
      <c r="AZ1439" s="474" t="s">
        <v>15079</v>
      </c>
      <c r="BA1439" s="472" t="s">
        <v>4613</v>
      </c>
      <c r="BB1439" s="472" t="s">
        <v>1385</v>
      </c>
      <c r="BC1439" s="472" t="s">
        <v>1385</v>
      </c>
      <c r="BD1439" s="472" t="s">
        <v>1385</v>
      </c>
      <c r="BE1439" s="472" t="s">
        <v>1385</v>
      </c>
      <c r="BF1439" s="509">
        <v>16912.8</v>
      </c>
      <c r="BG1439" s="472">
        <v>0</v>
      </c>
      <c r="BH1439" s="472" t="s">
        <v>1385</v>
      </c>
      <c r="BI1439" s="510">
        <v>0</v>
      </c>
      <c r="BJ1439" s="510">
        <v>0</v>
      </c>
      <c r="BK1439" s="510">
        <v>0</v>
      </c>
      <c r="BL1439" s="510">
        <v>0</v>
      </c>
      <c r="BM1439" s="510">
        <v>0</v>
      </c>
      <c r="BN1439" s="510">
        <v>2000</v>
      </c>
      <c r="BO1439" s="510">
        <v>0</v>
      </c>
      <c r="BP1439" s="510">
        <v>0</v>
      </c>
      <c r="BQ1439" s="510">
        <v>0</v>
      </c>
      <c r="BR1439" s="510">
        <v>0</v>
      </c>
      <c r="BS1439" s="510">
        <v>0</v>
      </c>
      <c r="BT1439" s="510">
        <v>0</v>
      </c>
      <c r="BU1439" s="510">
        <v>0</v>
      </c>
      <c r="BV1439" s="510">
        <v>0</v>
      </c>
      <c r="BW1439" s="510">
        <v>0</v>
      </c>
      <c r="BX1439" s="510">
        <v>30000</v>
      </c>
      <c r="BY1439" s="1011">
        <v>0</v>
      </c>
      <c r="BZ1439" s="510">
        <v>0</v>
      </c>
      <c r="CA1439" s="1011">
        <v>0</v>
      </c>
      <c r="CB1439" s="510">
        <v>0</v>
      </c>
      <c r="CC1439" s="1011">
        <v>0</v>
      </c>
      <c r="CD1439" s="510">
        <v>0</v>
      </c>
      <c r="CE1439" s="1011">
        <v>0</v>
      </c>
      <c r="CF1439" s="510">
        <v>37550.400000000001</v>
      </c>
      <c r="CG1439" s="1011">
        <v>0</v>
      </c>
      <c r="CH1439" s="510">
        <v>0</v>
      </c>
      <c r="CI1439" s="1011">
        <v>0</v>
      </c>
    </row>
    <row r="1440" spans="1:87" x14ac:dyDescent="0.2">
      <c r="A1440" s="449">
        <v>17</v>
      </c>
      <c r="B1440" s="453">
        <v>400243</v>
      </c>
      <c r="C1440" s="454" t="s">
        <v>11551</v>
      </c>
      <c r="D1440" s="454" t="s">
        <v>4613</v>
      </c>
      <c r="E1440" s="454" t="s">
        <v>11552</v>
      </c>
      <c r="F1440" s="454" t="s">
        <v>527</v>
      </c>
      <c r="G1440" s="454" t="s">
        <v>14683</v>
      </c>
      <c r="H1440" s="455">
        <v>8618295000176</v>
      </c>
      <c r="I1440" s="462">
        <v>39069</v>
      </c>
      <c r="J1440" s="457">
        <v>37585800</v>
      </c>
      <c r="K1440" s="454" t="s">
        <v>11553</v>
      </c>
      <c r="L1440" s="458">
        <v>17</v>
      </c>
      <c r="M1440" s="454" t="s">
        <v>2211</v>
      </c>
      <c r="N1440" s="459">
        <v>3818210</v>
      </c>
      <c r="O1440" s="460">
        <v>29436026</v>
      </c>
      <c r="P1440" s="462">
        <v>196820</v>
      </c>
      <c r="Q1440" s="462">
        <v>17</v>
      </c>
      <c r="R1440" s="462">
        <v>43917</v>
      </c>
      <c r="S1440" s="463">
        <v>134</v>
      </c>
      <c r="T1440" s="464">
        <v>3.6</v>
      </c>
      <c r="U1440" s="465">
        <v>482.4</v>
      </c>
      <c r="V1440" s="465">
        <v>10800</v>
      </c>
      <c r="W1440" s="466">
        <v>0</v>
      </c>
      <c r="X1440" s="467">
        <v>1</v>
      </c>
      <c r="Y1440" s="466">
        <v>16923.599999999999</v>
      </c>
      <c r="Z1440" s="468" t="s">
        <v>516</v>
      </c>
      <c r="AA1440" s="466">
        <v>84488.4</v>
      </c>
      <c r="AB1440" s="466">
        <v>84488.4</v>
      </c>
      <c r="AC1440" s="467">
        <v>0</v>
      </c>
      <c r="AD1440" s="466">
        <v>0</v>
      </c>
      <c r="AE1440" s="468" t="s">
        <v>516</v>
      </c>
      <c r="AF1440" s="466">
        <v>0</v>
      </c>
      <c r="AG1440" s="466">
        <v>0</v>
      </c>
      <c r="AH1440" s="466">
        <v>10255.74</v>
      </c>
      <c r="AI1440" s="466">
        <v>2320.62</v>
      </c>
      <c r="AJ1440" s="469" t="s">
        <v>3829</v>
      </c>
      <c r="AK1440" s="470" t="s">
        <v>3830</v>
      </c>
      <c r="AL1440" s="471" t="s">
        <v>11554</v>
      </c>
      <c r="AM1440" s="470" t="s">
        <v>11555</v>
      </c>
      <c r="AN1440" s="470" t="s">
        <v>14683</v>
      </c>
      <c r="AO1440" s="470" t="s">
        <v>11556</v>
      </c>
      <c r="AP1440" s="470" t="s">
        <v>11557</v>
      </c>
      <c r="AQ1440" s="470" t="s">
        <v>11551</v>
      </c>
      <c r="AR1440" s="472" t="s">
        <v>515</v>
      </c>
      <c r="AS1440" s="473" t="s">
        <v>1385</v>
      </c>
      <c r="AT1440" s="472" t="s">
        <v>4613</v>
      </c>
      <c r="AU1440" s="472" t="s">
        <v>420</v>
      </c>
      <c r="AV1440" s="472">
        <v>2020</v>
      </c>
      <c r="AW1440" s="474" t="s">
        <v>15078</v>
      </c>
      <c r="AX1440" s="475" t="s">
        <v>15079</v>
      </c>
      <c r="AY1440" s="515">
        <v>1</v>
      </c>
      <c r="AZ1440" s="474" t="s">
        <v>15079</v>
      </c>
      <c r="BA1440" s="472" t="s">
        <v>4613</v>
      </c>
      <c r="BB1440" s="472" t="s">
        <v>1385</v>
      </c>
      <c r="BC1440" s="472" t="s">
        <v>1385</v>
      </c>
      <c r="BD1440" s="472" t="s">
        <v>1385</v>
      </c>
      <c r="BE1440" s="472" t="s">
        <v>1385</v>
      </c>
      <c r="BF1440" s="472">
        <v>16923.599999999999</v>
      </c>
      <c r="BG1440" s="472">
        <v>0</v>
      </c>
      <c r="BH1440" s="472" t="s">
        <v>1385</v>
      </c>
      <c r="BI1440" s="510">
        <v>0</v>
      </c>
      <c r="BJ1440" s="510">
        <v>0</v>
      </c>
      <c r="BK1440" s="510">
        <v>0</v>
      </c>
      <c r="BL1440" s="510">
        <v>0</v>
      </c>
      <c r="BM1440" s="510">
        <v>0</v>
      </c>
      <c r="BN1440" s="510">
        <v>2000</v>
      </c>
      <c r="BO1440" s="510">
        <v>0</v>
      </c>
      <c r="BP1440" s="510">
        <v>0</v>
      </c>
      <c r="BQ1440" s="510">
        <v>0</v>
      </c>
      <c r="BR1440" s="510">
        <v>0</v>
      </c>
      <c r="BS1440" s="510">
        <v>0</v>
      </c>
      <c r="BT1440" s="510">
        <v>0</v>
      </c>
      <c r="BU1440" s="510">
        <v>0</v>
      </c>
      <c r="BV1440" s="510">
        <v>0</v>
      </c>
      <c r="BW1440" s="510">
        <v>0</v>
      </c>
      <c r="BX1440" s="510">
        <v>30000</v>
      </c>
      <c r="BY1440" s="1011">
        <v>0</v>
      </c>
      <c r="BZ1440" s="510">
        <v>0</v>
      </c>
      <c r="CA1440" s="1011">
        <v>0</v>
      </c>
      <c r="CB1440" s="510">
        <v>0</v>
      </c>
      <c r="CC1440" s="1011">
        <v>0</v>
      </c>
      <c r="CD1440" s="510">
        <v>0</v>
      </c>
      <c r="CE1440" s="1011">
        <v>0</v>
      </c>
      <c r="CF1440" s="510">
        <v>37564.800000000003</v>
      </c>
      <c r="CG1440" s="1011">
        <v>0</v>
      </c>
      <c r="CH1440" s="510">
        <v>0</v>
      </c>
      <c r="CI1440" s="1011">
        <v>0</v>
      </c>
    </row>
    <row r="1441" spans="1:87" x14ac:dyDescent="0.2">
      <c r="A1441" s="449">
        <v>1</v>
      </c>
      <c r="B1441" s="453">
        <v>400244</v>
      </c>
      <c r="C1441" s="454" t="s">
        <v>11558</v>
      </c>
      <c r="D1441" s="454" t="s">
        <v>4613</v>
      </c>
      <c r="E1441" s="454" t="s">
        <v>11559</v>
      </c>
      <c r="F1441" s="454" t="s">
        <v>529</v>
      </c>
      <c r="G1441" s="454" t="s">
        <v>14684</v>
      </c>
      <c r="H1441" s="455">
        <v>8266381000167</v>
      </c>
      <c r="I1441" s="462">
        <v>38162</v>
      </c>
      <c r="J1441" s="457">
        <v>37524097</v>
      </c>
      <c r="K1441" s="454" t="s">
        <v>11560</v>
      </c>
      <c r="L1441" s="458">
        <v>200</v>
      </c>
      <c r="M1441" s="454" t="s">
        <v>3864</v>
      </c>
      <c r="N1441" s="459">
        <v>4413070</v>
      </c>
      <c r="O1441" s="460">
        <v>56211749</v>
      </c>
      <c r="P1441" s="462">
        <v>563091</v>
      </c>
      <c r="Q1441" s="462">
        <v>1</v>
      </c>
      <c r="R1441" s="462">
        <v>43921</v>
      </c>
      <c r="S1441" s="463">
        <v>270</v>
      </c>
      <c r="T1441" s="464">
        <v>3.6</v>
      </c>
      <c r="U1441" s="465">
        <v>972</v>
      </c>
      <c r="V1441" s="465">
        <v>12720</v>
      </c>
      <c r="W1441" s="466">
        <v>0</v>
      </c>
      <c r="X1441" s="467">
        <v>1</v>
      </c>
      <c r="Y1441" s="466">
        <v>20538</v>
      </c>
      <c r="Z1441" s="468" t="s">
        <v>516</v>
      </c>
      <c r="AA1441" s="466">
        <v>92871.6</v>
      </c>
      <c r="AB1441" s="466">
        <v>92871.6</v>
      </c>
      <c r="AC1441" s="467">
        <v>0</v>
      </c>
      <c r="AD1441" s="466">
        <v>0</v>
      </c>
      <c r="AE1441" s="468" t="s">
        <v>516</v>
      </c>
      <c r="AF1441" s="466">
        <v>0</v>
      </c>
      <c r="AG1441" s="466">
        <v>0</v>
      </c>
      <c r="AH1441" s="466">
        <v>13036.13</v>
      </c>
      <c r="AI1441" s="466">
        <v>6115.38</v>
      </c>
      <c r="AJ1441" s="469" t="s">
        <v>3879</v>
      </c>
      <c r="AK1441" s="470" t="s">
        <v>3864</v>
      </c>
      <c r="AL1441" s="471" t="s">
        <v>11561</v>
      </c>
      <c r="AM1441" s="470" t="s">
        <v>11562</v>
      </c>
      <c r="AN1441" s="470" t="s">
        <v>14684</v>
      </c>
      <c r="AO1441" s="470" t="s">
        <v>11563</v>
      </c>
      <c r="AP1441" s="470" t="s">
        <v>11564</v>
      </c>
      <c r="AQ1441" s="470" t="s">
        <v>11558</v>
      </c>
      <c r="AR1441" s="472" t="s">
        <v>515</v>
      </c>
      <c r="AS1441" s="473" t="s">
        <v>1385</v>
      </c>
      <c r="AT1441" s="472" t="s">
        <v>4613</v>
      </c>
      <c r="AU1441" s="472" t="s">
        <v>420</v>
      </c>
      <c r="AV1441" s="472">
        <v>2020</v>
      </c>
      <c r="AW1441" s="474" t="s">
        <v>15078</v>
      </c>
      <c r="AX1441" s="475" t="s">
        <v>15079</v>
      </c>
      <c r="AY1441" s="515">
        <v>1</v>
      </c>
      <c r="AZ1441" s="474" t="s">
        <v>15079</v>
      </c>
      <c r="BA1441" s="472" t="s">
        <v>4613</v>
      </c>
      <c r="BB1441" s="472" t="s">
        <v>1385</v>
      </c>
      <c r="BC1441" s="472" t="s">
        <v>1385</v>
      </c>
      <c r="BD1441" s="472" t="s">
        <v>1385</v>
      </c>
      <c r="BE1441" s="472" t="s">
        <v>1385</v>
      </c>
      <c r="BF1441" s="472">
        <v>20538</v>
      </c>
      <c r="BG1441" s="472">
        <v>0</v>
      </c>
      <c r="BH1441" s="472" t="s">
        <v>1385</v>
      </c>
      <c r="BI1441" s="510">
        <v>0</v>
      </c>
      <c r="BJ1441" s="510">
        <v>0</v>
      </c>
      <c r="BK1441" s="510">
        <v>0</v>
      </c>
      <c r="BL1441" s="510">
        <v>0</v>
      </c>
      <c r="BM1441" s="510">
        <v>0</v>
      </c>
      <c r="BN1441" s="510">
        <v>3000</v>
      </c>
      <c r="BO1441" s="510">
        <v>0</v>
      </c>
      <c r="BP1441" s="510">
        <v>0</v>
      </c>
      <c r="BQ1441" s="510">
        <v>0</v>
      </c>
      <c r="BR1441" s="510">
        <v>0</v>
      </c>
      <c r="BS1441" s="510">
        <v>0</v>
      </c>
      <c r="BT1441" s="510">
        <v>0</v>
      </c>
      <c r="BU1441" s="510">
        <v>0</v>
      </c>
      <c r="BV1441" s="510">
        <v>0</v>
      </c>
      <c r="BW1441" s="510">
        <v>0</v>
      </c>
      <c r="BX1441" s="510">
        <v>30000</v>
      </c>
      <c r="BY1441" s="1011">
        <v>0</v>
      </c>
      <c r="BZ1441" s="510">
        <v>0</v>
      </c>
      <c r="CA1441" s="1011">
        <v>0</v>
      </c>
      <c r="CB1441" s="510">
        <v>0</v>
      </c>
      <c r="CC1441" s="1011">
        <v>0</v>
      </c>
      <c r="CD1441" s="510">
        <v>0</v>
      </c>
      <c r="CE1441" s="1011">
        <v>0</v>
      </c>
      <c r="CF1441" s="510">
        <v>42333.599999999999</v>
      </c>
      <c r="CG1441" s="1011">
        <v>0</v>
      </c>
      <c r="CH1441" s="510">
        <v>0</v>
      </c>
      <c r="CI1441" s="1011">
        <v>0</v>
      </c>
    </row>
    <row r="1442" spans="1:87" x14ac:dyDescent="0.2">
      <c r="A1442" s="449">
        <v>21</v>
      </c>
      <c r="B1442" s="453">
        <v>400245</v>
      </c>
      <c r="C1442" s="454" t="s">
        <v>11565</v>
      </c>
      <c r="D1442" s="454" t="s">
        <v>4613</v>
      </c>
      <c r="E1442" s="454" t="s">
        <v>11566</v>
      </c>
      <c r="F1442" s="454" t="s">
        <v>525</v>
      </c>
      <c r="G1442" s="454" t="s">
        <v>14685</v>
      </c>
      <c r="H1442" s="455">
        <v>8511862000190</v>
      </c>
      <c r="I1442" s="462">
        <v>38971</v>
      </c>
      <c r="J1442" s="457">
        <v>37585509</v>
      </c>
      <c r="K1442" s="454" t="s">
        <v>1533</v>
      </c>
      <c r="L1442" s="458" t="s">
        <v>1446</v>
      </c>
      <c r="M1442" s="454" t="s">
        <v>1534</v>
      </c>
      <c r="N1442" s="459">
        <v>2258220</v>
      </c>
      <c r="O1442" s="460">
        <v>22404411</v>
      </c>
      <c r="P1442" s="462">
        <v>323503</v>
      </c>
      <c r="Q1442" s="462">
        <v>21</v>
      </c>
      <c r="R1442" s="462">
        <v>43950</v>
      </c>
      <c r="S1442" s="463">
        <v>167</v>
      </c>
      <c r="T1442" s="464">
        <v>3.6</v>
      </c>
      <c r="U1442" s="465">
        <v>601.20000000000005</v>
      </c>
      <c r="V1442" s="465">
        <v>10800</v>
      </c>
      <c r="W1442" s="466">
        <v>0</v>
      </c>
      <c r="X1442" s="467">
        <v>1</v>
      </c>
      <c r="Y1442" s="466">
        <v>17101.8</v>
      </c>
      <c r="Z1442" s="468" t="s">
        <v>516</v>
      </c>
      <c r="AA1442" s="466">
        <v>84796.2</v>
      </c>
      <c r="AB1442" s="466">
        <v>84796.2</v>
      </c>
      <c r="AC1442" s="467">
        <v>0</v>
      </c>
      <c r="AD1442" s="466">
        <v>0</v>
      </c>
      <c r="AE1442" s="468" t="s">
        <v>516</v>
      </c>
      <c r="AF1442" s="466">
        <v>2000</v>
      </c>
      <c r="AG1442" s="466">
        <v>2000</v>
      </c>
      <c r="AH1442" s="466">
        <v>15582.23</v>
      </c>
      <c r="AI1442" s="466">
        <v>6645.6</v>
      </c>
      <c r="AJ1442" s="469" t="s">
        <v>1448</v>
      </c>
      <c r="AK1442" s="470" t="s">
        <v>1449</v>
      </c>
      <c r="AL1442" s="471" t="s">
        <v>11567</v>
      </c>
      <c r="AM1442" s="470" t="s">
        <v>11568</v>
      </c>
      <c r="AN1442" s="470" t="s">
        <v>11569</v>
      </c>
      <c r="AO1442" s="470" t="s">
        <v>14686</v>
      </c>
      <c r="AP1442" s="470" t="s">
        <v>11570</v>
      </c>
      <c r="AQ1442" s="470" t="s">
        <v>11565</v>
      </c>
      <c r="AR1442" s="472" t="s">
        <v>515</v>
      </c>
      <c r="AS1442" s="473" t="s">
        <v>1385</v>
      </c>
      <c r="AT1442" s="472" t="s">
        <v>4613</v>
      </c>
      <c r="AU1442" s="472" t="s">
        <v>420</v>
      </c>
      <c r="AV1442" s="472">
        <v>2020</v>
      </c>
      <c r="AW1442" s="474" t="s">
        <v>15078</v>
      </c>
      <c r="AX1442" s="475" t="s">
        <v>15079</v>
      </c>
      <c r="AY1442" s="515">
        <v>1</v>
      </c>
      <c r="AZ1442" s="474" t="s">
        <v>15079</v>
      </c>
      <c r="BA1442" s="472" t="s">
        <v>4613</v>
      </c>
      <c r="BB1442" s="472" t="s">
        <v>1385</v>
      </c>
      <c r="BC1442" s="472" t="s">
        <v>1385</v>
      </c>
      <c r="BD1442" s="472" t="s">
        <v>1385</v>
      </c>
      <c r="BE1442" s="472" t="s">
        <v>1385</v>
      </c>
      <c r="BF1442" s="509">
        <v>17101.8</v>
      </c>
      <c r="BG1442" s="509">
        <v>0</v>
      </c>
      <c r="BH1442" s="472" t="s">
        <v>1385</v>
      </c>
      <c r="BI1442" s="510">
        <v>0</v>
      </c>
      <c r="BJ1442" s="510">
        <v>0</v>
      </c>
      <c r="BK1442" s="510">
        <v>0</v>
      </c>
      <c r="BL1442" s="510">
        <v>0</v>
      </c>
      <c r="BM1442" s="510">
        <v>0</v>
      </c>
      <c r="BN1442" s="510">
        <v>2000</v>
      </c>
      <c r="BO1442" s="510">
        <v>0</v>
      </c>
      <c r="BP1442" s="510">
        <v>2000</v>
      </c>
      <c r="BQ1442" s="510">
        <v>0</v>
      </c>
      <c r="BR1442" s="510">
        <v>0</v>
      </c>
      <c r="BS1442" s="510">
        <v>0</v>
      </c>
      <c r="BT1442" s="510">
        <v>0</v>
      </c>
      <c r="BU1442" s="510">
        <v>0</v>
      </c>
      <c r="BV1442" s="510">
        <v>0</v>
      </c>
      <c r="BW1442" s="510">
        <v>0</v>
      </c>
      <c r="BX1442" s="510">
        <v>30000</v>
      </c>
      <c r="BY1442" s="1011">
        <v>0</v>
      </c>
      <c r="BZ1442" s="510">
        <v>0</v>
      </c>
      <c r="CA1442" s="1011">
        <v>0</v>
      </c>
      <c r="CB1442" s="510">
        <v>0</v>
      </c>
      <c r="CC1442" s="1011">
        <v>0</v>
      </c>
      <c r="CD1442" s="510">
        <v>0</v>
      </c>
      <c r="CE1442" s="1011">
        <v>0</v>
      </c>
      <c r="CF1442" s="510">
        <v>37694.400000000001</v>
      </c>
      <c r="CG1442" s="1011">
        <v>0</v>
      </c>
      <c r="CH1442" s="510">
        <v>0</v>
      </c>
      <c r="CI1442" s="1011">
        <v>0</v>
      </c>
    </row>
    <row r="1443" spans="1:87" x14ac:dyDescent="0.2">
      <c r="A1443" s="449">
        <v>27</v>
      </c>
      <c r="B1443" s="453">
        <v>400246</v>
      </c>
      <c r="C1443" s="454" t="s">
        <v>11571</v>
      </c>
      <c r="D1443" s="454" t="s">
        <v>4613</v>
      </c>
      <c r="E1443" s="454" t="s">
        <v>11572</v>
      </c>
      <c r="F1443" s="454" t="s">
        <v>527</v>
      </c>
      <c r="G1443" s="454" t="s">
        <v>14687</v>
      </c>
      <c r="H1443" s="455">
        <v>8596086000179</v>
      </c>
      <c r="I1443" s="462">
        <v>38995</v>
      </c>
      <c r="J1443" s="457">
        <v>37555642</v>
      </c>
      <c r="K1443" s="454" t="s">
        <v>11573</v>
      </c>
      <c r="L1443" s="458">
        <v>248</v>
      </c>
      <c r="M1443" s="454" t="s">
        <v>11574</v>
      </c>
      <c r="N1443" s="459">
        <v>3755100</v>
      </c>
      <c r="O1443" s="460">
        <v>25467098</v>
      </c>
      <c r="P1443" s="462">
        <v>207970</v>
      </c>
      <c r="Q1443" s="462">
        <v>27</v>
      </c>
      <c r="R1443" s="462">
        <v>43917</v>
      </c>
      <c r="S1443" s="463">
        <v>101</v>
      </c>
      <c r="T1443" s="464">
        <v>3.6</v>
      </c>
      <c r="U1443" s="465">
        <v>363.6</v>
      </c>
      <c r="V1443" s="465">
        <v>10800</v>
      </c>
      <c r="W1443" s="466">
        <v>0</v>
      </c>
      <c r="X1443" s="467">
        <v>1</v>
      </c>
      <c r="Y1443" s="466">
        <v>16745.400000000001</v>
      </c>
      <c r="Z1443" s="468" t="s">
        <v>516</v>
      </c>
      <c r="AA1443" s="466">
        <v>84137.4</v>
      </c>
      <c r="AB1443" s="466">
        <v>84137.4</v>
      </c>
      <c r="AC1443" s="467">
        <v>0</v>
      </c>
      <c r="AD1443" s="466">
        <v>0</v>
      </c>
      <c r="AE1443" s="468" t="s">
        <v>516</v>
      </c>
      <c r="AF1443" s="466">
        <v>0</v>
      </c>
      <c r="AG1443" s="466">
        <v>0</v>
      </c>
      <c r="AH1443" s="466">
        <v>12460.96</v>
      </c>
      <c r="AI1443" s="466">
        <v>5546.25</v>
      </c>
      <c r="AJ1443" s="469" t="s">
        <v>2004</v>
      </c>
      <c r="AK1443" s="470" t="s">
        <v>2005</v>
      </c>
      <c r="AL1443" s="471" t="s">
        <v>11575</v>
      </c>
      <c r="AM1443" s="470" t="s">
        <v>11576</v>
      </c>
      <c r="AN1443" s="470" t="s">
        <v>14687</v>
      </c>
      <c r="AO1443" s="470" t="s">
        <v>14688</v>
      </c>
      <c r="AP1443" s="470" t="s">
        <v>11577</v>
      </c>
      <c r="AQ1443" s="470" t="s">
        <v>11571</v>
      </c>
      <c r="AR1443" s="472" t="s">
        <v>515</v>
      </c>
      <c r="AS1443" s="473" t="s">
        <v>1385</v>
      </c>
      <c r="AT1443" s="472" t="s">
        <v>4613</v>
      </c>
      <c r="AU1443" s="472" t="s">
        <v>420</v>
      </c>
      <c r="AV1443" s="472">
        <v>2020</v>
      </c>
      <c r="AW1443" s="474" t="s">
        <v>15078</v>
      </c>
      <c r="AX1443" s="475" t="s">
        <v>15079</v>
      </c>
      <c r="AY1443" s="515">
        <v>1</v>
      </c>
      <c r="AZ1443" s="474" t="s">
        <v>15079</v>
      </c>
      <c r="BA1443" s="472" t="s">
        <v>4613</v>
      </c>
      <c r="BB1443" s="472" t="s">
        <v>1385</v>
      </c>
      <c r="BC1443" s="472" t="s">
        <v>1385</v>
      </c>
      <c r="BD1443" s="472" t="s">
        <v>1385</v>
      </c>
      <c r="BE1443" s="472" t="s">
        <v>1385</v>
      </c>
      <c r="BF1443" s="472">
        <v>16745.400000000001</v>
      </c>
      <c r="BG1443" s="472">
        <v>0</v>
      </c>
      <c r="BH1443" s="472" t="s">
        <v>1385</v>
      </c>
      <c r="BI1443" s="510">
        <v>0</v>
      </c>
      <c r="BJ1443" s="510">
        <v>2000</v>
      </c>
      <c r="BK1443" s="510">
        <v>0</v>
      </c>
      <c r="BL1443" s="510">
        <v>0</v>
      </c>
      <c r="BM1443" s="510">
        <v>0</v>
      </c>
      <c r="BN1443" s="510">
        <v>2000</v>
      </c>
      <c r="BO1443" s="510">
        <v>0</v>
      </c>
      <c r="BP1443" s="510">
        <v>0</v>
      </c>
      <c r="BQ1443" s="510">
        <v>0</v>
      </c>
      <c r="BR1443" s="510">
        <v>0</v>
      </c>
      <c r="BS1443" s="510">
        <v>0</v>
      </c>
      <c r="BT1443" s="510">
        <v>0</v>
      </c>
      <c r="BU1443" s="510">
        <v>0</v>
      </c>
      <c r="BV1443" s="510">
        <v>0</v>
      </c>
      <c r="BW1443" s="510">
        <v>0</v>
      </c>
      <c r="BX1443" s="510">
        <v>30000</v>
      </c>
      <c r="BY1443" s="1011">
        <v>0</v>
      </c>
      <c r="BZ1443" s="510">
        <v>0</v>
      </c>
      <c r="CA1443" s="1011">
        <v>0</v>
      </c>
      <c r="CB1443" s="510">
        <v>0</v>
      </c>
      <c r="CC1443" s="1011">
        <v>0</v>
      </c>
      <c r="CD1443" s="510">
        <v>0</v>
      </c>
      <c r="CE1443" s="1011">
        <v>0</v>
      </c>
      <c r="CF1443" s="510">
        <v>37392</v>
      </c>
      <c r="CG1443" s="1011">
        <v>0</v>
      </c>
      <c r="CH1443" s="510">
        <v>0</v>
      </c>
      <c r="CI1443" s="1011">
        <v>0</v>
      </c>
    </row>
    <row r="1444" spans="1:87" x14ac:dyDescent="0.2">
      <c r="A1444" s="449">
        <v>10</v>
      </c>
      <c r="B1444" s="453">
        <v>400247</v>
      </c>
      <c r="C1444" s="454" t="s">
        <v>11578</v>
      </c>
      <c r="D1444" s="454" t="s">
        <v>4613</v>
      </c>
      <c r="E1444" s="454" t="s">
        <v>11579</v>
      </c>
      <c r="F1444" s="454" t="s">
        <v>529</v>
      </c>
      <c r="G1444" s="454" t="s">
        <v>14689</v>
      </c>
      <c r="H1444" s="455">
        <v>6757046000136</v>
      </c>
      <c r="I1444" s="462">
        <v>38138</v>
      </c>
      <c r="J1444" s="457">
        <v>37523732</v>
      </c>
      <c r="K1444" s="454" t="s">
        <v>11580</v>
      </c>
      <c r="L1444" s="458">
        <v>451</v>
      </c>
      <c r="M1444" s="454" t="s">
        <v>1789</v>
      </c>
      <c r="N1444" s="459">
        <v>4417260</v>
      </c>
      <c r="O1444" s="460">
        <v>56217953</v>
      </c>
      <c r="P1444" s="462">
        <v>563237</v>
      </c>
      <c r="Q1444" s="462">
        <v>11</v>
      </c>
      <c r="R1444" s="462">
        <v>43921</v>
      </c>
      <c r="S1444" s="463">
        <v>151</v>
      </c>
      <c r="T1444" s="464">
        <v>3.6</v>
      </c>
      <c r="U1444" s="465">
        <v>543.6</v>
      </c>
      <c r="V1444" s="465">
        <v>10800</v>
      </c>
      <c r="W1444" s="466">
        <v>0</v>
      </c>
      <c r="X1444" s="467">
        <v>1</v>
      </c>
      <c r="Y1444" s="466">
        <v>17015.400000000001</v>
      </c>
      <c r="Z1444" s="468" t="s">
        <v>516</v>
      </c>
      <c r="AA1444" s="466">
        <v>84702.6</v>
      </c>
      <c r="AB1444" s="466">
        <v>84702.6</v>
      </c>
      <c r="AC1444" s="467">
        <v>0</v>
      </c>
      <c r="AD1444" s="466">
        <v>0</v>
      </c>
      <c r="AE1444" s="468" t="s">
        <v>516</v>
      </c>
      <c r="AF1444" s="466">
        <v>0</v>
      </c>
      <c r="AG1444" s="466">
        <v>0</v>
      </c>
      <c r="AH1444" s="466">
        <v>6555.39</v>
      </c>
      <c r="AI1444" s="466">
        <v>2342.41</v>
      </c>
      <c r="AJ1444" s="469" t="s">
        <v>3879</v>
      </c>
      <c r="AK1444" s="470" t="s">
        <v>3864</v>
      </c>
      <c r="AL1444" s="471" t="s">
        <v>11581</v>
      </c>
      <c r="AM1444" s="470" t="s">
        <v>14690</v>
      </c>
      <c r="AN1444" s="470" t="s">
        <v>14689</v>
      </c>
      <c r="AO1444" s="470" t="s">
        <v>11582</v>
      </c>
      <c r="AP1444" s="470" t="s">
        <v>11583</v>
      </c>
      <c r="AQ1444" s="470" t="s">
        <v>11578</v>
      </c>
      <c r="AR1444" s="472" t="s">
        <v>515</v>
      </c>
      <c r="AS1444" s="473" t="s">
        <v>1385</v>
      </c>
      <c r="AT1444" s="472" t="s">
        <v>4613</v>
      </c>
      <c r="AU1444" s="472" t="s">
        <v>420</v>
      </c>
      <c r="AV1444" s="472">
        <v>2020</v>
      </c>
      <c r="AW1444" s="474" t="s">
        <v>15078</v>
      </c>
      <c r="AX1444" s="475" t="s">
        <v>15079</v>
      </c>
      <c r="AY1444" s="515">
        <v>1</v>
      </c>
      <c r="AZ1444" s="474" t="s">
        <v>15079</v>
      </c>
      <c r="BA1444" s="472" t="s">
        <v>4613</v>
      </c>
      <c r="BB1444" s="472" t="s">
        <v>1385</v>
      </c>
      <c r="BC1444" s="472" t="s">
        <v>1385</v>
      </c>
      <c r="BD1444" s="472" t="s">
        <v>1385</v>
      </c>
      <c r="BE1444" s="472" t="s">
        <v>1385</v>
      </c>
      <c r="BF1444" s="472">
        <v>17015.400000000001</v>
      </c>
      <c r="BG1444" s="472">
        <v>0</v>
      </c>
      <c r="BH1444" s="472" t="s">
        <v>1385</v>
      </c>
      <c r="BI1444" s="510">
        <v>0</v>
      </c>
      <c r="BJ1444" s="510">
        <v>0</v>
      </c>
      <c r="BK1444" s="510">
        <v>0</v>
      </c>
      <c r="BL1444" s="510">
        <v>0</v>
      </c>
      <c r="BM1444" s="510">
        <v>0</v>
      </c>
      <c r="BN1444" s="510">
        <v>2000</v>
      </c>
      <c r="BO1444" s="510">
        <v>0</v>
      </c>
      <c r="BP1444" s="510">
        <v>0</v>
      </c>
      <c r="BQ1444" s="510">
        <v>0</v>
      </c>
      <c r="BR1444" s="510">
        <v>0</v>
      </c>
      <c r="BS1444" s="510">
        <v>0</v>
      </c>
      <c r="BT1444" s="510">
        <v>0</v>
      </c>
      <c r="BU1444" s="510">
        <v>0</v>
      </c>
      <c r="BV1444" s="510">
        <v>0</v>
      </c>
      <c r="BW1444" s="510">
        <v>0</v>
      </c>
      <c r="BX1444" s="510">
        <v>30000</v>
      </c>
      <c r="BY1444" s="1011">
        <v>0</v>
      </c>
      <c r="BZ1444" s="510">
        <v>0</v>
      </c>
      <c r="CA1444" s="1011">
        <v>0</v>
      </c>
      <c r="CB1444" s="510">
        <v>0</v>
      </c>
      <c r="CC1444" s="1011">
        <v>0</v>
      </c>
      <c r="CD1444" s="510">
        <v>0</v>
      </c>
      <c r="CE1444" s="1011">
        <v>0</v>
      </c>
      <c r="CF1444" s="510">
        <v>37687.199999999997</v>
      </c>
      <c r="CG1444" s="1011">
        <v>0</v>
      </c>
      <c r="CH1444" s="510">
        <v>0</v>
      </c>
      <c r="CI1444" s="1011">
        <v>0</v>
      </c>
    </row>
    <row r="1445" spans="1:87" x14ac:dyDescent="0.2">
      <c r="A1445" s="449">
        <v>14</v>
      </c>
      <c r="B1445" s="453">
        <v>400248</v>
      </c>
      <c r="C1445" s="454" t="s">
        <v>11584</v>
      </c>
      <c r="D1445" s="454" t="s">
        <v>4613</v>
      </c>
      <c r="E1445" s="454" t="s">
        <v>11585</v>
      </c>
      <c r="F1445" s="454" t="s">
        <v>529</v>
      </c>
      <c r="G1445" s="454" t="s">
        <v>14691</v>
      </c>
      <c r="H1445" s="455">
        <v>7742431000172</v>
      </c>
      <c r="I1445" s="462">
        <v>38618</v>
      </c>
      <c r="J1445" s="457">
        <v>37523902</v>
      </c>
      <c r="K1445" s="454" t="s">
        <v>11586</v>
      </c>
      <c r="L1445" s="458">
        <v>915</v>
      </c>
      <c r="M1445" s="454" t="s">
        <v>1545</v>
      </c>
      <c r="N1445" s="459">
        <v>4678001</v>
      </c>
      <c r="O1445" s="460">
        <v>56316531</v>
      </c>
      <c r="P1445" s="462">
        <v>563253</v>
      </c>
      <c r="Q1445" s="462">
        <v>16</v>
      </c>
      <c r="R1445" s="462">
        <v>43921</v>
      </c>
      <c r="S1445" s="463">
        <v>181</v>
      </c>
      <c r="T1445" s="464">
        <v>3.6</v>
      </c>
      <c r="U1445" s="465">
        <v>651.6</v>
      </c>
      <c r="V1445" s="465">
        <v>10800</v>
      </c>
      <c r="W1445" s="466">
        <v>0</v>
      </c>
      <c r="X1445" s="467">
        <v>1</v>
      </c>
      <c r="Y1445" s="466">
        <v>17177.400000000001</v>
      </c>
      <c r="Z1445" s="468" t="s">
        <v>516</v>
      </c>
      <c r="AA1445" s="466">
        <v>85087.8</v>
      </c>
      <c r="AB1445" s="466">
        <v>85087.8</v>
      </c>
      <c r="AC1445" s="467">
        <v>0</v>
      </c>
      <c r="AD1445" s="466">
        <v>0</v>
      </c>
      <c r="AE1445" s="468" t="s">
        <v>516</v>
      </c>
      <c r="AF1445" s="466">
        <v>0</v>
      </c>
      <c r="AG1445" s="466">
        <v>0</v>
      </c>
      <c r="AH1445" s="466">
        <v>11932.57</v>
      </c>
      <c r="AI1445" s="466">
        <v>2290.64</v>
      </c>
      <c r="AJ1445" s="469" t="s">
        <v>1544</v>
      </c>
      <c r="AK1445" s="470" t="s">
        <v>1545</v>
      </c>
      <c r="AL1445" s="471" t="s">
        <v>11587</v>
      </c>
      <c r="AM1445" s="470" t="s">
        <v>11588</v>
      </c>
      <c r="AN1445" s="470" t="s">
        <v>14691</v>
      </c>
      <c r="AO1445" s="470" t="s">
        <v>11589</v>
      </c>
      <c r="AP1445" s="470" t="s">
        <v>11590</v>
      </c>
      <c r="AQ1445" s="470" t="s">
        <v>11584</v>
      </c>
      <c r="AR1445" s="472" t="s">
        <v>515</v>
      </c>
      <c r="AS1445" s="473" t="s">
        <v>1385</v>
      </c>
      <c r="AT1445" s="472" t="s">
        <v>4613</v>
      </c>
      <c r="AU1445" s="472" t="s">
        <v>420</v>
      </c>
      <c r="AV1445" s="472">
        <v>2020</v>
      </c>
      <c r="AW1445" s="474" t="s">
        <v>15078</v>
      </c>
      <c r="AX1445" s="475" t="s">
        <v>15079</v>
      </c>
      <c r="AY1445" s="515">
        <v>1</v>
      </c>
      <c r="AZ1445" s="474" t="s">
        <v>15079</v>
      </c>
      <c r="BA1445" s="472" t="s">
        <v>4613</v>
      </c>
      <c r="BB1445" s="472" t="s">
        <v>1385</v>
      </c>
      <c r="BC1445" s="472" t="s">
        <v>1385</v>
      </c>
      <c r="BD1445" s="472" t="s">
        <v>1385</v>
      </c>
      <c r="BE1445" s="472" t="s">
        <v>1385</v>
      </c>
      <c r="BF1445" s="472">
        <v>17177.400000000001</v>
      </c>
      <c r="BG1445" s="472">
        <v>0</v>
      </c>
      <c r="BH1445" s="472" t="s">
        <v>1385</v>
      </c>
      <c r="BI1445" s="510">
        <v>0</v>
      </c>
      <c r="BJ1445" s="510">
        <v>0</v>
      </c>
      <c r="BK1445" s="510">
        <v>0</v>
      </c>
      <c r="BL1445" s="510">
        <v>0</v>
      </c>
      <c r="BM1445" s="510">
        <v>0</v>
      </c>
      <c r="BN1445" s="510">
        <v>2000</v>
      </c>
      <c r="BO1445" s="510">
        <v>0</v>
      </c>
      <c r="BP1445" s="510">
        <v>0</v>
      </c>
      <c r="BQ1445" s="510">
        <v>0</v>
      </c>
      <c r="BR1445" s="510">
        <v>0</v>
      </c>
      <c r="BS1445" s="510">
        <v>0</v>
      </c>
      <c r="BT1445" s="510">
        <v>0</v>
      </c>
      <c r="BU1445" s="510">
        <v>0</v>
      </c>
      <c r="BV1445" s="510">
        <v>0</v>
      </c>
      <c r="BW1445" s="510">
        <v>0</v>
      </c>
      <c r="BX1445" s="510">
        <v>30000</v>
      </c>
      <c r="BY1445" s="1011">
        <v>0</v>
      </c>
      <c r="BZ1445" s="510">
        <v>0</v>
      </c>
      <c r="CA1445" s="1011">
        <v>0</v>
      </c>
      <c r="CB1445" s="510">
        <v>0</v>
      </c>
      <c r="CC1445" s="1011">
        <v>0</v>
      </c>
      <c r="CD1445" s="510">
        <v>0</v>
      </c>
      <c r="CE1445" s="1011">
        <v>0</v>
      </c>
      <c r="CF1445" s="510">
        <v>37910.400000000001</v>
      </c>
      <c r="CG1445" s="1011">
        <v>0</v>
      </c>
      <c r="CH1445" s="510">
        <v>0</v>
      </c>
      <c r="CI1445" s="1011">
        <v>0</v>
      </c>
    </row>
    <row r="1446" spans="1:87" x14ac:dyDescent="0.2">
      <c r="A1446" s="449">
        <v>22</v>
      </c>
      <c r="B1446" s="453">
        <v>400249</v>
      </c>
      <c r="C1446" s="454" t="s">
        <v>11591</v>
      </c>
      <c r="D1446" s="454" t="s">
        <v>4613</v>
      </c>
      <c r="E1446" s="454" t="s">
        <v>11592</v>
      </c>
      <c r="F1446" s="454" t="s">
        <v>525</v>
      </c>
      <c r="G1446" s="454" t="s">
        <v>14692</v>
      </c>
      <c r="H1446" s="455">
        <v>7858204000107</v>
      </c>
      <c r="I1446" s="462">
        <v>38751</v>
      </c>
      <c r="J1446" s="457">
        <v>37358138</v>
      </c>
      <c r="K1446" s="454" t="s">
        <v>11593</v>
      </c>
      <c r="L1446" s="458">
        <v>8</v>
      </c>
      <c r="M1446" s="454" t="s">
        <v>11594</v>
      </c>
      <c r="N1446" s="459">
        <v>2255130</v>
      </c>
      <c r="O1446" s="460">
        <v>29818517</v>
      </c>
      <c r="P1446" s="462">
        <v>323520</v>
      </c>
      <c r="Q1446" s="462">
        <v>22</v>
      </c>
      <c r="R1446" s="462">
        <v>43950</v>
      </c>
      <c r="S1446" s="463">
        <v>151</v>
      </c>
      <c r="T1446" s="464">
        <v>3.6</v>
      </c>
      <c r="U1446" s="465">
        <v>543.6</v>
      </c>
      <c r="V1446" s="465">
        <v>10800</v>
      </c>
      <c r="W1446" s="466">
        <v>0</v>
      </c>
      <c r="X1446" s="467">
        <v>1</v>
      </c>
      <c r="Y1446" s="466">
        <v>17015.400000000001</v>
      </c>
      <c r="Z1446" s="468" t="s">
        <v>516</v>
      </c>
      <c r="AA1446" s="466">
        <v>84666.6</v>
      </c>
      <c r="AB1446" s="466">
        <v>84666.6</v>
      </c>
      <c r="AC1446" s="467">
        <v>0</v>
      </c>
      <c r="AD1446" s="466">
        <v>0</v>
      </c>
      <c r="AE1446" s="468" t="s">
        <v>516</v>
      </c>
      <c r="AF1446" s="466">
        <v>0</v>
      </c>
      <c r="AG1446" s="466">
        <v>0</v>
      </c>
      <c r="AH1446" s="466">
        <v>12486.73</v>
      </c>
      <c r="AI1446" s="466">
        <v>25.18</v>
      </c>
      <c r="AJ1446" s="469" t="s">
        <v>1448</v>
      </c>
      <c r="AK1446" s="470" t="s">
        <v>1449</v>
      </c>
      <c r="AL1446" s="471" t="s">
        <v>11595</v>
      </c>
      <c r="AM1446" s="470" t="s">
        <v>11596</v>
      </c>
      <c r="AN1446" s="470" t="s">
        <v>11597</v>
      </c>
      <c r="AO1446" s="470" t="s">
        <v>11598</v>
      </c>
      <c r="AP1446" s="470" t="s">
        <v>8693</v>
      </c>
      <c r="AQ1446" s="470" t="s">
        <v>11591</v>
      </c>
      <c r="AR1446" s="472" t="s">
        <v>515</v>
      </c>
      <c r="AS1446" s="473" t="s">
        <v>1385</v>
      </c>
      <c r="AT1446" s="472" t="s">
        <v>4613</v>
      </c>
      <c r="AU1446" s="472" t="s">
        <v>420</v>
      </c>
      <c r="AV1446" s="472">
        <v>2020</v>
      </c>
      <c r="AW1446" s="474" t="s">
        <v>15078</v>
      </c>
      <c r="AX1446" s="475" t="s">
        <v>15079</v>
      </c>
      <c r="AY1446" s="515">
        <v>1</v>
      </c>
      <c r="AZ1446" s="474" t="s">
        <v>15079</v>
      </c>
      <c r="BA1446" s="472" t="s">
        <v>4613</v>
      </c>
      <c r="BB1446" s="472" t="s">
        <v>1385</v>
      </c>
      <c r="BC1446" s="472" t="s">
        <v>1385</v>
      </c>
      <c r="BD1446" s="472" t="s">
        <v>1385</v>
      </c>
      <c r="BE1446" s="472" t="s">
        <v>1385</v>
      </c>
      <c r="BF1446" s="472">
        <v>17015.400000000001</v>
      </c>
      <c r="BG1446" s="472">
        <v>0</v>
      </c>
      <c r="BH1446" s="472" t="s">
        <v>1385</v>
      </c>
      <c r="BI1446" s="510">
        <v>0</v>
      </c>
      <c r="BJ1446" s="510">
        <v>0</v>
      </c>
      <c r="BK1446" s="510">
        <v>0</v>
      </c>
      <c r="BL1446" s="510">
        <v>0</v>
      </c>
      <c r="BM1446" s="510">
        <v>0</v>
      </c>
      <c r="BN1446" s="510">
        <v>2000</v>
      </c>
      <c r="BO1446" s="510">
        <v>0</v>
      </c>
      <c r="BP1446" s="510">
        <v>0</v>
      </c>
      <c r="BQ1446" s="510">
        <v>0</v>
      </c>
      <c r="BR1446" s="510">
        <v>0</v>
      </c>
      <c r="BS1446" s="510">
        <v>0</v>
      </c>
      <c r="BT1446" s="510">
        <v>0</v>
      </c>
      <c r="BU1446" s="510">
        <v>0</v>
      </c>
      <c r="BV1446" s="510">
        <v>0</v>
      </c>
      <c r="BW1446" s="510">
        <v>0</v>
      </c>
      <c r="BX1446" s="510">
        <v>30000</v>
      </c>
      <c r="BY1446" s="1011">
        <v>0</v>
      </c>
      <c r="BZ1446" s="510">
        <v>0</v>
      </c>
      <c r="CA1446" s="1011">
        <v>0</v>
      </c>
      <c r="CB1446" s="510">
        <v>0</v>
      </c>
      <c r="CC1446" s="1011">
        <v>0</v>
      </c>
      <c r="CD1446" s="510">
        <v>0</v>
      </c>
      <c r="CE1446" s="1011">
        <v>0</v>
      </c>
      <c r="CF1446" s="510">
        <v>37651.199999999997</v>
      </c>
      <c r="CG1446" s="1011">
        <v>0</v>
      </c>
      <c r="CH1446" s="510">
        <v>0</v>
      </c>
      <c r="CI1446" s="1011">
        <v>0</v>
      </c>
    </row>
    <row r="1447" spans="1:87" x14ac:dyDescent="0.2">
      <c r="A1447" s="449">
        <v>15</v>
      </c>
      <c r="B1447" s="453">
        <v>400250</v>
      </c>
      <c r="C1447" s="454" t="s">
        <v>11599</v>
      </c>
      <c r="D1447" s="454" t="s">
        <v>4613</v>
      </c>
      <c r="E1447" s="454" t="s">
        <v>11600</v>
      </c>
      <c r="F1447" s="454" t="s">
        <v>529</v>
      </c>
      <c r="G1447" s="454" t="s">
        <v>14693</v>
      </c>
      <c r="H1447" s="455">
        <v>7343519000111</v>
      </c>
      <c r="I1447" s="462">
        <v>38274</v>
      </c>
      <c r="J1447" s="457">
        <v>37523929</v>
      </c>
      <c r="K1447" s="454" t="s">
        <v>11601</v>
      </c>
      <c r="L1447" s="458">
        <v>27</v>
      </c>
      <c r="M1447" s="454" t="s">
        <v>1789</v>
      </c>
      <c r="N1447" s="459">
        <v>4405170</v>
      </c>
      <c r="O1447" s="460">
        <v>55625896</v>
      </c>
      <c r="P1447" s="462">
        <v>567690</v>
      </c>
      <c r="Q1447" s="462">
        <v>17</v>
      </c>
      <c r="R1447" s="462">
        <v>43921</v>
      </c>
      <c r="S1447" s="463">
        <v>167</v>
      </c>
      <c r="T1447" s="464">
        <v>3.6</v>
      </c>
      <c r="U1447" s="465">
        <v>601.20000000000005</v>
      </c>
      <c r="V1447" s="465">
        <v>10800</v>
      </c>
      <c r="W1447" s="466">
        <v>0</v>
      </c>
      <c r="X1447" s="467">
        <v>1</v>
      </c>
      <c r="Y1447" s="466">
        <v>17101.8</v>
      </c>
      <c r="Z1447" s="468" t="s">
        <v>516</v>
      </c>
      <c r="AA1447" s="466">
        <v>84933</v>
      </c>
      <c r="AB1447" s="466">
        <v>84933</v>
      </c>
      <c r="AC1447" s="467">
        <v>0</v>
      </c>
      <c r="AD1447" s="466">
        <v>0</v>
      </c>
      <c r="AE1447" s="468" t="s">
        <v>516</v>
      </c>
      <c r="AF1447" s="466">
        <v>0</v>
      </c>
      <c r="AG1447" s="466">
        <v>0</v>
      </c>
      <c r="AH1447" s="466">
        <v>4293.21</v>
      </c>
      <c r="AI1447" s="466">
        <v>4532.5</v>
      </c>
      <c r="AJ1447" s="469" t="s">
        <v>2103</v>
      </c>
      <c r="AK1447" s="470" t="s">
        <v>2104</v>
      </c>
      <c r="AL1447" s="471" t="s">
        <v>11602</v>
      </c>
      <c r="AM1447" s="470" t="s">
        <v>11603</v>
      </c>
      <c r="AN1447" s="470" t="s">
        <v>14693</v>
      </c>
      <c r="AO1447" s="470" t="s">
        <v>14694</v>
      </c>
      <c r="AP1447" s="470" t="s">
        <v>11604</v>
      </c>
      <c r="AQ1447" s="470" t="s">
        <v>11599</v>
      </c>
      <c r="AR1447" s="472" t="s">
        <v>515</v>
      </c>
      <c r="AS1447" s="473" t="s">
        <v>1385</v>
      </c>
      <c r="AT1447" s="472" t="s">
        <v>4613</v>
      </c>
      <c r="AU1447" s="472" t="s">
        <v>420</v>
      </c>
      <c r="AV1447" s="472">
        <v>2020</v>
      </c>
      <c r="AW1447" s="474" t="s">
        <v>15078</v>
      </c>
      <c r="AX1447" s="475" t="s">
        <v>15079</v>
      </c>
      <c r="AY1447" s="515">
        <v>1</v>
      </c>
      <c r="AZ1447" s="474" t="s">
        <v>15079</v>
      </c>
      <c r="BA1447" s="472" t="s">
        <v>4613</v>
      </c>
      <c r="BB1447" s="472" t="s">
        <v>1385</v>
      </c>
      <c r="BC1447" s="472" t="s">
        <v>1385</v>
      </c>
      <c r="BD1447" s="472" t="s">
        <v>1385</v>
      </c>
      <c r="BE1447" s="472" t="s">
        <v>1385</v>
      </c>
      <c r="BF1447" s="472">
        <v>17101.8</v>
      </c>
      <c r="BG1447" s="472">
        <v>0</v>
      </c>
      <c r="BH1447" s="472" t="s">
        <v>1385</v>
      </c>
      <c r="BI1447" s="510">
        <v>0</v>
      </c>
      <c r="BJ1447" s="510">
        <v>0</v>
      </c>
      <c r="BK1447" s="510">
        <v>0</v>
      </c>
      <c r="BL1447" s="510">
        <v>0</v>
      </c>
      <c r="BM1447" s="510">
        <v>0</v>
      </c>
      <c r="BN1447" s="510">
        <v>2000</v>
      </c>
      <c r="BO1447" s="510">
        <v>0</v>
      </c>
      <c r="BP1447" s="510">
        <v>0</v>
      </c>
      <c r="BQ1447" s="510">
        <v>0</v>
      </c>
      <c r="BR1447" s="510">
        <v>0</v>
      </c>
      <c r="BS1447" s="510">
        <v>0</v>
      </c>
      <c r="BT1447" s="510">
        <v>0</v>
      </c>
      <c r="BU1447" s="510">
        <v>0</v>
      </c>
      <c r="BV1447" s="510">
        <v>0</v>
      </c>
      <c r="BW1447" s="510">
        <v>0</v>
      </c>
      <c r="BX1447" s="510">
        <v>30000</v>
      </c>
      <c r="BY1447" s="1011">
        <v>0</v>
      </c>
      <c r="BZ1447" s="510">
        <v>0</v>
      </c>
      <c r="CA1447" s="1011">
        <v>0</v>
      </c>
      <c r="CB1447" s="510">
        <v>0</v>
      </c>
      <c r="CC1447" s="1011">
        <v>0</v>
      </c>
      <c r="CD1447" s="510">
        <v>0</v>
      </c>
      <c r="CE1447" s="1011">
        <v>0</v>
      </c>
      <c r="CF1447" s="510">
        <v>37831.199999999997</v>
      </c>
      <c r="CG1447" s="1011">
        <v>0</v>
      </c>
      <c r="CH1447" s="510">
        <v>0</v>
      </c>
      <c r="CI1447" s="1011">
        <v>0</v>
      </c>
    </row>
    <row r="1448" spans="1:87" x14ac:dyDescent="0.2">
      <c r="A1448" s="449">
        <v>28</v>
      </c>
      <c r="B1448" s="453">
        <v>400251</v>
      </c>
      <c r="C1448" s="454" t="s">
        <v>11605</v>
      </c>
      <c r="D1448" s="454" t="s">
        <v>4613</v>
      </c>
      <c r="E1448" s="454" t="s">
        <v>11606</v>
      </c>
      <c r="F1448" s="454" t="s">
        <v>527</v>
      </c>
      <c r="G1448" s="454" t="s">
        <v>14695</v>
      </c>
      <c r="H1448" s="455">
        <v>7910980000109</v>
      </c>
      <c r="I1448" s="462">
        <v>38765</v>
      </c>
      <c r="J1448" s="457">
        <v>38089750</v>
      </c>
      <c r="K1448" s="454" t="s">
        <v>11607</v>
      </c>
      <c r="L1448" s="458">
        <v>66</v>
      </c>
      <c r="M1448" s="454" t="s">
        <v>11608</v>
      </c>
      <c r="N1448" s="459">
        <v>3756120</v>
      </c>
      <c r="O1448" s="460">
        <v>26217044</v>
      </c>
      <c r="P1448" s="462">
        <v>196501</v>
      </c>
      <c r="Q1448" s="462">
        <v>28</v>
      </c>
      <c r="R1448" s="462">
        <v>43917</v>
      </c>
      <c r="S1448" s="463">
        <v>161</v>
      </c>
      <c r="T1448" s="464">
        <v>3.6</v>
      </c>
      <c r="U1448" s="465">
        <v>579.6</v>
      </c>
      <c r="V1448" s="465">
        <v>10800</v>
      </c>
      <c r="W1448" s="466">
        <v>0</v>
      </c>
      <c r="X1448" s="467">
        <v>1</v>
      </c>
      <c r="Y1448" s="466">
        <v>17069.400000000001</v>
      </c>
      <c r="Z1448" s="468" t="s">
        <v>516</v>
      </c>
      <c r="AA1448" s="466">
        <v>84821.4</v>
      </c>
      <c r="AB1448" s="466">
        <v>84821.4</v>
      </c>
      <c r="AC1448" s="467">
        <v>0</v>
      </c>
      <c r="AD1448" s="466">
        <v>0</v>
      </c>
      <c r="AE1448" s="468" t="s">
        <v>516</v>
      </c>
      <c r="AF1448" s="466">
        <v>0</v>
      </c>
      <c r="AG1448" s="466">
        <v>0</v>
      </c>
      <c r="AH1448" s="466">
        <v>12828.96</v>
      </c>
      <c r="AI1448" s="466">
        <v>100</v>
      </c>
      <c r="AJ1448" s="469" t="s">
        <v>4055</v>
      </c>
      <c r="AK1448" s="470" t="s">
        <v>11376</v>
      </c>
      <c r="AL1448" s="471" t="s">
        <v>11609</v>
      </c>
      <c r="AM1448" s="470" t="s">
        <v>11610</v>
      </c>
      <c r="AN1448" s="470" t="s">
        <v>14695</v>
      </c>
      <c r="AO1448" s="470" t="s">
        <v>14696</v>
      </c>
      <c r="AP1448" s="470" t="s">
        <v>8804</v>
      </c>
      <c r="AQ1448" s="470" t="s">
        <v>11605</v>
      </c>
      <c r="AR1448" s="472" t="s">
        <v>515</v>
      </c>
      <c r="AS1448" s="473" t="s">
        <v>1385</v>
      </c>
      <c r="AT1448" s="472" t="s">
        <v>4613</v>
      </c>
      <c r="AU1448" s="472" t="s">
        <v>420</v>
      </c>
      <c r="AV1448" s="472">
        <v>2020</v>
      </c>
      <c r="AW1448" s="474" t="s">
        <v>15078</v>
      </c>
      <c r="AX1448" s="475" t="s">
        <v>15079</v>
      </c>
      <c r="AY1448" s="515">
        <v>1</v>
      </c>
      <c r="AZ1448" s="474" t="s">
        <v>15079</v>
      </c>
      <c r="BA1448" s="472" t="s">
        <v>4613</v>
      </c>
      <c r="BB1448" s="472" t="s">
        <v>1385</v>
      </c>
      <c r="BC1448" s="472" t="s">
        <v>1385</v>
      </c>
      <c r="BD1448" s="472" t="s">
        <v>1385</v>
      </c>
      <c r="BE1448" s="472" t="s">
        <v>1385</v>
      </c>
      <c r="BF1448" s="472">
        <v>17069.400000000001</v>
      </c>
      <c r="BG1448" s="472">
        <v>0</v>
      </c>
      <c r="BH1448" s="472" t="s">
        <v>1385</v>
      </c>
      <c r="BI1448" s="510">
        <v>0</v>
      </c>
      <c r="BJ1448" s="510">
        <v>0</v>
      </c>
      <c r="BK1448" s="510">
        <v>0</v>
      </c>
      <c r="BL1448" s="510">
        <v>0</v>
      </c>
      <c r="BM1448" s="510">
        <v>0</v>
      </c>
      <c r="BN1448" s="510">
        <v>2000</v>
      </c>
      <c r="BO1448" s="510">
        <v>0</v>
      </c>
      <c r="BP1448" s="510">
        <v>0</v>
      </c>
      <c r="BQ1448" s="510">
        <v>0</v>
      </c>
      <c r="BR1448" s="510">
        <v>0</v>
      </c>
      <c r="BS1448" s="510">
        <v>0</v>
      </c>
      <c r="BT1448" s="510">
        <v>0</v>
      </c>
      <c r="BU1448" s="510">
        <v>0</v>
      </c>
      <c r="BV1448" s="510">
        <v>0</v>
      </c>
      <c r="BW1448" s="510">
        <v>0</v>
      </c>
      <c r="BX1448" s="510">
        <v>30000</v>
      </c>
      <c r="BY1448" s="1011">
        <v>0</v>
      </c>
      <c r="BZ1448" s="510">
        <v>0</v>
      </c>
      <c r="CA1448" s="1011">
        <v>0</v>
      </c>
      <c r="CB1448" s="510">
        <v>0</v>
      </c>
      <c r="CC1448" s="1011">
        <v>0</v>
      </c>
      <c r="CD1448" s="510">
        <v>0</v>
      </c>
      <c r="CE1448" s="1011">
        <v>0</v>
      </c>
      <c r="CF1448" s="510">
        <v>37752</v>
      </c>
      <c r="CG1448" s="1011">
        <v>0</v>
      </c>
      <c r="CH1448" s="510">
        <v>0</v>
      </c>
      <c r="CI1448" s="1011">
        <v>0</v>
      </c>
    </row>
    <row r="1449" spans="1:87" x14ac:dyDescent="0.2">
      <c r="A1449" s="449">
        <v>3</v>
      </c>
      <c r="B1449" s="453">
        <v>400252</v>
      </c>
      <c r="C1449" s="454" t="s">
        <v>11611</v>
      </c>
      <c r="D1449" s="454" t="s">
        <v>4613</v>
      </c>
      <c r="E1449" s="454" t="s">
        <v>11612</v>
      </c>
      <c r="F1449" s="454" t="s">
        <v>529</v>
      </c>
      <c r="G1449" s="454" t="s">
        <v>14697</v>
      </c>
      <c r="H1449" s="455">
        <v>7448751000114</v>
      </c>
      <c r="I1449" s="462">
        <v>38138</v>
      </c>
      <c r="J1449" s="457">
        <v>37524003</v>
      </c>
      <c r="K1449" s="454" t="s">
        <v>11613</v>
      </c>
      <c r="L1449" s="458">
        <v>260</v>
      </c>
      <c r="M1449" s="454" t="s">
        <v>3864</v>
      </c>
      <c r="N1449" s="459">
        <v>4387040</v>
      </c>
      <c r="O1449" s="460">
        <v>55643971</v>
      </c>
      <c r="P1449" s="462">
        <v>563130</v>
      </c>
      <c r="Q1449" s="462">
        <v>5</v>
      </c>
      <c r="R1449" s="462">
        <v>43921</v>
      </c>
      <c r="S1449" s="463">
        <v>142</v>
      </c>
      <c r="T1449" s="464">
        <v>3.6</v>
      </c>
      <c r="U1449" s="465">
        <v>511.2</v>
      </c>
      <c r="V1449" s="465">
        <v>10800</v>
      </c>
      <c r="W1449" s="466">
        <v>0</v>
      </c>
      <c r="X1449" s="467">
        <v>1</v>
      </c>
      <c r="Y1449" s="466">
        <v>16966.8</v>
      </c>
      <c r="Z1449" s="468" t="s">
        <v>516</v>
      </c>
      <c r="AA1449" s="466">
        <v>84625.2</v>
      </c>
      <c r="AB1449" s="466">
        <v>84625.2</v>
      </c>
      <c r="AC1449" s="467">
        <v>0</v>
      </c>
      <c r="AD1449" s="466">
        <v>0</v>
      </c>
      <c r="AE1449" s="468" t="s">
        <v>516</v>
      </c>
      <c r="AF1449" s="466">
        <v>0</v>
      </c>
      <c r="AG1449" s="466">
        <v>0</v>
      </c>
      <c r="AH1449" s="466">
        <v>18648.39</v>
      </c>
      <c r="AI1449" s="466">
        <v>3123.64</v>
      </c>
      <c r="AJ1449" s="469" t="s">
        <v>2103</v>
      </c>
      <c r="AK1449" s="470" t="s">
        <v>2104</v>
      </c>
      <c r="AL1449" s="471" t="s">
        <v>11614</v>
      </c>
      <c r="AM1449" s="470" t="s">
        <v>14900</v>
      </c>
      <c r="AN1449" s="470" t="s">
        <v>14697</v>
      </c>
      <c r="AO1449" s="470" t="s">
        <v>1385</v>
      </c>
      <c r="AP1449" s="470" t="s">
        <v>11615</v>
      </c>
      <c r="AQ1449" s="470" t="s">
        <v>11611</v>
      </c>
      <c r="AR1449" s="472" t="s">
        <v>515</v>
      </c>
      <c r="AS1449" s="473" t="s">
        <v>1385</v>
      </c>
      <c r="AT1449" s="472" t="s">
        <v>4613</v>
      </c>
      <c r="AU1449" s="472" t="s">
        <v>420</v>
      </c>
      <c r="AV1449" s="472">
        <v>2020</v>
      </c>
      <c r="AW1449" s="474" t="s">
        <v>15078</v>
      </c>
      <c r="AX1449" s="475" t="s">
        <v>15079</v>
      </c>
      <c r="AY1449" s="515">
        <v>1</v>
      </c>
      <c r="AZ1449" s="474" t="s">
        <v>15079</v>
      </c>
      <c r="BA1449" s="472" t="s">
        <v>4613</v>
      </c>
      <c r="BB1449" s="472" t="s">
        <v>1385</v>
      </c>
      <c r="BC1449" s="472" t="s">
        <v>1385</v>
      </c>
      <c r="BD1449" s="472" t="s">
        <v>1385</v>
      </c>
      <c r="BE1449" s="472" t="s">
        <v>1385</v>
      </c>
      <c r="BF1449" s="472">
        <v>16966.8</v>
      </c>
      <c r="BG1449" s="472">
        <v>0</v>
      </c>
      <c r="BH1449" s="472" t="s">
        <v>1385</v>
      </c>
      <c r="BI1449" s="510">
        <v>0</v>
      </c>
      <c r="BJ1449" s="510">
        <v>0</v>
      </c>
      <c r="BK1449" s="510">
        <v>0</v>
      </c>
      <c r="BL1449" s="510">
        <v>0</v>
      </c>
      <c r="BM1449" s="510">
        <v>0</v>
      </c>
      <c r="BN1449" s="510">
        <v>2000</v>
      </c>
      <c r="BO1449" s="510">
        <v>0</v>
      </c>
      <c r="BP1449" s="510">
        <v>0</v>
      </c>
      <c r="BQ1449" s="510">
        <v>0</v>
      </c>
      <c r="BR1449" s="510">
        <v>0</v>
      </c>
      <c r="BS1449" s="510">
        <v>0</v>
      </c>
      <c r="BT1449" s="510">
        <v>0</v>
      </c>
      <c r="BU1449" s="510">
        <v>0</v>
      </c>
      <c r="BV1449" s="510">
        <v>0</v>
      </c>
      <c r="BW1449" s="510">
        <v>0</v>
      </c>
      <c r="BX1449" s="510">
        <v>30000</v>
      </c>
      <c r="BY1449" s="1011">
        <v>0</v>
      </c>
      <c r="BZ1449" s="510">
        <v>0</v>
      </c>
      <c r="CA1449" s="1011">
        <v>0</v>
      </c>
      <c r="CB1449" s="510">
        <v>0</v>
      </c>
      <c r="CC1449" s="1011">
        <v>0</v>
      </c>
      <c r="CD1449" s="510">
        <v>0</v>
      </c>
      <c r="CE1449" s="1011">
        <v>0</v>
      </c>
      <c r="CF1449" s="510">
        <v>37658.400000000001</v>
      </c>
      <c r="CG1449" s="1011">
        <v>0</v>
      </c>
      <c r="CH1449" s="510">
        <v>0</v>
      </c>
      <c r="CI1449" s="1011">
        <v>0</v>
      </c>
    </row>
    <row r="1450" spans="1:87" x14ac:dyDescent="0.2">
      <c r="A1450" s="449">
        <v>16</v>
      </c>
      <c r="B1450" s="453">
        <v>400253</v>
      </c>
      <c r="C1450" s="454" t="s">
        <v>11616</v>
      </c>
      <c r="D1450" s="454" t="s">
        <v>4613</v>
      </c>
      <c r="E1450" s="454" t="s">
        <v>11617</v>
      </c>
      <c r="F1450" s="454" t="s">
        <v>529</v>
      </c>
      <c r="G1450" s="454" t="s">
        <v>14698</v>
      </c>
      <c r="H1450" s="455">
        <v>7751337000180</v>
      </c>
      <c r="I1450" s="462">
        <v>38364</v>
      </c>
      <c r="J1450" s="457">
        <v>37523937</v>
      </c>
      <c r="K1450" s="454" t="s">
        <v>5632</v>
      </c>
      <c r="L1450" s="458" t="s">
        <v>1446</v>
      </c>
      <c r="M1450" s="454" t="s">
        <v>1789</v>
      </c>
      <c r="N1450" s="459">
        <v>4430040</v>
      </c>
      <c r="O1450" s="460">
        <v>56111194</v>
      </c>
      <c r="P1450" s="462">
        <v>563261</v>
      </c>
      <c r="Q1450" s="462">
        <v>18</v>
      </c>
      <c r="R1450" s="462">
        <v>43921</v>
      </c>
      <c r="S1450" s="463">
        <v>138</v>
      </c>
      <c r="T1450" s="464">
        <v>3.6</v>
      </c>
      <c r="U1450" s="465">
        <v>496.8</v>
      </c>
      <c r="V1450" s="465">
        <v>10800</v>
      </c>
      <c r="W1450" s="466">
        <v>0</v>
      </c>
      <c r="X1450" s="467">
        <v>1</v>
      </c>
      <c r="Y1450" s="466">
        <v>16945.2</v>
      </c>
      <c r="Z1450" s="468" t="s">
        <v>516</v>
      </c>
      <c r="AA1450" s="466">
        <v>84538.8</v>
      </c>
      <c r="AB1450" s="466">
        <v>84538.8</v>
      </c>
      <c r="AC1450" s="467">
        <v>0</v>
      </c>
      <c r="AD1450" s="466">
        <v>0</v>
      </c>
      <c r="AE1450" s="468" t="s">
        <v>516</v>
      </c>
      <c r="AF1450" s="466">
        <v>2000</v>
      </c>
      <c r="AG1450" s="466">
        <v>2000</v>
      </c>
      <c r="AH1450" s="466">
        <v>11383.05</v>
      </c>
      <c r="AI1450" s="466">
        <v>0</v>
      </c>
      <c r="AJ1450" s="469" t="s">
        <v>4545</v>
      </c>
      <c r="AK1450" s="470" t="s">
        <v>1625</v>
      </c>
      <c r="AL1450" s="471" t="s">
        <v>11618</v>
      </c>
      <c r="AM1450" s="470" t="s">
        <v>11619</v>
      </c>
      <c r="AN1450" s="470" t="s">
        <v>14698</v>
      </c>
      <c r="AO1450" s="470" t="s">
        <v>11620</v>
      </c>
      <c r="AP1450" s="470" t="s">
        <v>11621</v>
      </c>
      <c r="AQ1450" s="470" t="s">
        <v>11616</v>
      </c>
      <c r="AR1450" s="472" t="s">
        <v>515</v>
      </c>
      <c r="AS1450" s="473" t="s">
        <v>1385</v>
      </c>
      <c r="AT1450" s="472" t="s">
        <v>4613</v>
      </c>
      <c r="AU1450" s="472" t="s">
        <v>420</v>
      </c>
      <c r="AV1450" s="472">
        <v>2020</v>
      </c>
      <c r="AW1450" s="474" t="s">
        <v>15078</v>
      </c>
      <c r="AX1450" s="475" t="s">
        <v>15079</v>
      </c>
      <c r="AY1450" s="515">
        <v>1</v>
      </c>
      <c r="AZ1450" s="474" t="s">
        <v>15079</v>
      </c>
      <c r="BA1450" s="472" t="s">
        <v>4613</v>
      </c>
      <c r="BB1450" s="472" t="s">
        <v>1385</v>
      </c>
      <c r="BC1450" s="472" t="s">
        <v>1385</v>
      </c>
      <c r="BD1450" s="472" t="s">
        <v>1385</v>
      </c>
      <c r="BE1450" s="472" t="s">
        <v>1385</v>
      </c>
      <c r="BF1450" s="472">
        <v>16945.2</v>
      </c>
      <c r="BG1450" s="472">
        <v>0</v>
      </c>
      <c r="BH1450" s="472" t="s">
        <v>1385</v>
      </c>
      <c r="BI1450" s="510">
        <v>0</v>
      </c>
      <c r="BJ1450" s="510">
        <v>0</v>
      </c>
      <c r="BK1450" s="510">
        <v>0</v>
      </c>
      <c r="BL1450" s="510">
        <v>0</v>
      </c>
      <c r="BM1450" s="510">
        <v>0</v>
      </c>
      <c r="BN1450" s="510">
        <v>2000</v>
      </c>
      <c r="BO1450" s="510">
        <v>0</v>
      </c>
      <c r="BP1450" s="510">
        <v>2000</v>
      </c>
      <c r="BQ1450" s="510">
        <v>0</v>
      </c>
      <c r="BR1450" s="510">
        <v>0</v>
      </c>
      <c r="BS1450" s="510">
        <v>0</v>
      </c>
      <c r="BT1450" s="510">
        <v>0</v>
      </c>
      <c r="BU1450" s="510">
        <v>0</v>
      </c>
      <c r="BV1450" s="510">
        <v>0</v>
      </c>
      <c r="BW1450" s="510">
        <v>0</v>
      </c>
      <c r="BX1450" s="510">
        <v>30000</v>
      </c>
      <c r="BY1450" s="1011">
        <v>0</v>
      </c>
      <c r="BZ1450" s="510">
        <v>0</v>
      </c>
      <c r="CA1450" s="1011">
        <v>0</v>
      </c>
      <c r="CB1450" s="510">
        <v>0</v>
      </c>
      <c r="CC1450" s="1011">
        <v>0</v>
      </c>
      <c r="CD1450" s="510">
        <v>0</v>
      </c>
      <c r="CE1450" s="1011">
        <v>0</v>
      </c>
      <c r="CF1450" s="510">
        <v>37593.599999999999</v>
      </c>
      <c r="CG1450" s="1011">
        <v>0</v>
      </c>
      <c r="CH1450" s="510">
        <v>0</v>
      </c>
      <c r="CI1450" s="1011">
        <v>0</v>
      </c>
    </row>
    <row r="1451" spans="1:87" x14ac:dyDescent="0.2">
      <c r="A1451" s="449">
        <v>13</v>
      </c>
      <c r="B1451" s="453">
        <v>400254</v>
      </c>
      <c r="C1451" s="454" t="s">
        <v>11622</v>
      </c>
      <c r="D1451" s="454" t="s">
        <v>4613</v>
      </c>
      <c r="E1451" s="454" t="s">
        <v>11623</v>
      </c>
      <c r="F1451" s="454" t="s">
        <v>522</v>
      </c>
      <c r="G1451" s="454" t="s">
        <v>14699</v>
      </c>
      <c r="H1451" s="455">
        <v>7888313000177</v>
      </c>
      <c r="I1451" s="462">
        <v>38770</v>
      </c>
      <c r="J1451" s="457">
        <v>37586750</v>
      </c>
      <c r="K1451" s="454" t="s">
        <v>11624</v>
      </c>
      <c r="L1451" s="458">
        <v>571</v>
      </c>
      <c r="M1451" s="454" t="s">
        <v>11625</v>
      </c>
      <c r="N1451" s="459">
        <v>2864000</v>
      </c>
      <c r="O1451" s="460">
        <v>39846254</v>
      </c>
      <c r="P1451" s="462">
        <v>86110</v>
      </c>
      <c r="Q1451" s="462">
        <v>46</v>
      </c>
      <c r="R1451" s="462">
        <v>43911</v>
      </c>
      <c r="S1451" s="463">
        <v>160</v>
      </c>
      <c r="T1451" s="464">
        <v>3.6</v>
      </c>
      <c r="U1451" s="465">
        <v>576</v>
      </c>
      <c r="V1451" s="465">
        <v>10800</v>
      </c>
      <c r="W1451" s="466">
        <v>0</v>
      </c>
      <c r="X1451" s="467">
        <v>1</v>
      </c>
      <c r="Y1451" s="466">
        <v>17064</v>
      </c>
      <c r="Z1451" s="468" t="s">
        <v>516</v>
      </c>
      <c r="AA1451" s="466">
        <v>84816</v>
      </c>
      <c r="AB1451" s="466">
        <v>84816</v>
      </c>
      <c r="AC1451" s="467">
        <v>0</v>
      </c>
      <c r="AD1451" s="466">
        <v>0</v>
      </c>
      <c r="AE1451" s="468" t="s">
        <v>516</v>
      </c>
      <c r="AF1451" s="466">
        <v>0</v>
      </c>
      <c r="AG1451" s="466">
        <v>0</v>
      </c>
      <c r="AH1451" s="466">
        <v>5606.13</v>
      </c>
      <c r="AI1451" s="466">
        <v>2193.59</v>
      </c>
      <c r="AJ1451" s="469" t="s">
        <v>1438</v>
      </c>
      <c r="AK1451" s="470" t="s">
        <v>12345</v>
      </c>
      <c r="AL1451" s="471" t="s">
        <v>11626</v>
      </c>
      <c r="AM1451" s="470" t="s">
        <v>11627</v>
      </c>
      <c r="AN1451" s="470" t="s">
        <v>1385</v>
      </c>
      <c r="AO1451" s="470" t="s">
        <v>14700</v>
      </c>
      <c r="AP1451" s="470" t="s">
        <v>11625</v>
      </c>
      <c r="AQ1451" s="470" t="s">
        <v>11622</v>
      </c>
      <c r="AR1451" s="472" t="s">
        <v>515</v>
      </c>
      <c r="AS1451" s="473" t="s">
        <v>1385</v>
      </c>
      <c r="AT1451" s="472" t="s">
        <v>4613</v>
      </c>
      <c r="AU1451" s="472" t="s">
        <v>420</v>
      </c>
      <c r="AV1451" s="472">
        <v>2020</v>
      </c>
      <c r="AW1451" s="474" t="s">
        <v>15078</v>
      </c>
      <c r="AX1451" s="475" t="s">
        <v>15079</v>
      </c>
      <c r="AY1451" s="515">
        <v>1</v>
      </c>
      <c r="AZ1451" s="474" t="s">
        <v>15079</v>
      </c>
      <c r="BA1451" s="472" t="s">
        <v>4613</v>
      </c>
      <c r="BB1451" s="472" t="s">
        <v>1385</v>
      </c>
      <c r="BC1451" s="472" t="s">
        <v>1385</v>
      </c>
      <c r="BD1451" s="472" t="s">
        <v>1385</v>
      </c>
      <c r="BE1451" s="472" t="s">
        <v>1385</v>
      </c>
      <c r="BF1451" s="472">
        <v>17064</v>
      </c>
      <c r="BG1451" s="472">
        <v>0</v>
      </c>
      <c r="BH1451" s="472" t="s">
        <v>1385</v>
      </c>
      <c r="BI1451" s="510">
        <v>0</v>
      </c>
      <c r="BJ1451" s="510">
        <v>0</v>
      </c>
      <c r="BK1451" s="510">
        <v>0</v>
      </c>
      <c r="BL1451" s="510">
        <v>0</v>
      </c>
      <c r="BM1451" s="510">
        <v>0</v>
      </c>
      <c r="BN1451" s="510">
        <v>2000</v>
      </c>
      <c r="BO1451" s="510">
        <v>0</v>
      </c>
      <c r="BP1451" s="510">
        <v>0</v>
      </c>
      <c r="BQ1451" s="510">
        <v>0</v>
      </c>
      <c r="BR1451" s="510">
        <v>0</v>
      </c>
      <c r="BS1451" s="510">
        <v>0</v>
      </c>
      <c r="BT1451" s="510">
        <v>0</v>
      </c>
      <c r="BU1451" s="510">
        <v>0</v>
      </c>
      <c r="BV1451" s="510">
        <v>0</v>
      </c>
      <c r="BW1451" s="510">
        <v>0</v>
      </c>
      <c r="BX1451" s="510">
        <v>30000</v>
      </c>
      <c r="BY1451" s="1011">
        <v>0</v>
      </c>
      <c r="BZ1451" s="510">
        <v>0</v>
      </c>
      <c r="CA1451" s="1011">
        <v>0</v>
      </c>
      <c r="CB1451" s="510">
        <v>0</v>
      </c>
      <c r="CC1451" s="1011">
        <v>0</v>
      </c>
      <c r="CD1451" s="510">
        <v>0</v>
      </c>
      <c r="CE1451" s="1011">
        <v>0</v>
      </c>
      <c r="CF1451" s="510">
        <v>37752</v>
      </c>
      <c r="CG1451" s="1011">
        <v>0</v>
      </c>
      <c r="CH1451" s="510">
        <v>0</v>
      </c>
      <c r="CI1451" s="1011">
        <v>0</v>
      </c>
    </row>
    <row r="1452" spans="1:87" x14ac:dyDescent="0.2">
      <c r="A1452" s="449">
        <v>22</v>
      </c>
      <c r="B1452" s="453">
        <v>400255</v>
      </c>
      <c r="C1452" s="454" t="s">
        <v>11628</v>
      </c>
      <c r="D1452" s="454" t="s">
        <v>4613</v>
      </c>
      <c r="E1452" s="454" t="s">
        <v>11629</v>
      </c>
      <c r="F1452" s="454" t="s">
        <v>528</v>
      </c>
      <c r="G1452" s="454" t="s">
        <v>14701</v>
      </c>
      <c r="H1452" s="455">
        <v>8234421000199</v>
      </c>
      <c r="I1452" s="462">
        <v>38632</v>
      </c>
      <c r="J1452" s="457">
        <v>38089661</v>
      </c>
      <c r="K1452" s="454" t="s">
        <v>11631</v>
      </c>
      <c r="L1452" s="458">
        <v>560</v>
      </c>
      <c r="M1452" s="454" t="s">
        <v>2241</v>
      </c>
      <c r="N1452" s="459">
        <v>5211210</v>
      </c>
      <c r="O1452" s="460">
        <v>39170755</v>
      </c>
      <c r="P1452" s="462">
        <v>210512</v>
      </c>
      <c r="Q1452" s="462">
        <v>22</v>
      </c>
      <c r="R1452" s="462">
        <v>43938</v>
      </c>
      <c r="S1452" s="463">
        <v>143</v>
      </c>
      <c r="T1452" s="464">
        <v>3.6</v>
      </c>
      <c r="U1452" s="465">
        <v>514.79999999999995</v>
      </c>
      <c r="V1452" s="465">
        <v>10800</v>
      </c>
      <c r="W1452" s="466">
        <v>0</v>
      </c>
      <c r="X1452" s="467">
        <v>1</v>
      </c>
      <c r="Y1452" s="466">
        <v>16972.2</v>
      </c>
      <c r="Z1452" s="468" t="s">
        <v>516</v>
      </c>
      <c r="AA1452" s="466">
        <v>84580.2</v>
      </c>
      <c r="AB1452" s="466">
        <v>84580.2</v>
      </c>
      <c r="AC1452" s="467">
        <v>0</v>
      </c>
      <c r="AD1452" s="466">
        <v>0</v>
      </c>
      <c r="AE1452" s="468" t="s">
        <v>516</v>
      </c>
      <c r="AF1452" s="466">
        <v>0</v>
      </c>
      <c r="AG1452" s="466">
        <v>0</v>
      </c>
      <c r="AH1452" s="466">
        <v>8670.1</v>
      </c>
      <c r="AI1452" s="466">
        <v>3923.29</v>
      </c>
      <c r="AJ1452" s="469" t="s">
        <v>2242</v>
      </c>
      <c r="AK1452" s="470" t="s">
        <v>2241</v>
      </c>
      <c r="AL1452" s="471" t="s">
        <v>11632</v>
      </c>
      <c r="AM1452" s="470" t="s">
        <v>4504</v>
      </c>
      <c r="AN1452" s="470" t="s">
        <v>11630</v>
      </c>
      <c r="AO1452" s="470" t="s">
        <v>14702</v>
      </c>
      <c r="AP1452" s="470" t="s">
        <v>11633</v>
      </c>
      <c r="AQ1452" s="470" t="s">
        <v>11628</v>
      </c>
      <c r="AR1452" s="472" t="s">
        <v>515</v>
      </c>
      <c r="AS1452" s="473" t="s">
        <v>1385</v>
      </c>
      <c r="AT1452" s="472" t="s">
        <v>4613</v>
      </c>
      <c r="AU1452" s="472" t="s">
        <v>420</v>
      </c>
      <c r="AV1452" s="472">
        <v>2020</v>
      </c>
      <c r="AW1452" s="474" t="s">
        <v>15078</v>
      </c>
      <c r="AX1452" s="475" t="s">
        <v>15079</v>
      </c>
      <c r="AY1452" s="515">
        <v>1</v>
      </c>
      <c r="AZ1452" s="474" t="s">
        <v>15079</v>
      </c>
      <c r="BA1452" s="472" t="s">
        <v>4613</v>
      </c>
      <c r="BB1452" s="472" t="s">
        <v>1385</v>
      </c>
      <c r="BC1452" s="472" t="s">
        <v>1385</v>
      </c>
      <c r="BD1452" s="472" t="s">
        <v>1385</v>
      </c>
      <c r="BE1452" s="472" t="s">
        <v>1385</v>
      </c>
      <c r="BF1452" s="472">
        <v>16972.2</v>
      </c>
      <c r="BG1452" s="472">
        <v>0</v>
      </c>
      <c r="BH1452" s="472" t="s">
        <v>1385</v>
      </c>
      <c r="BI1452" s="510">
        <v>0</v>
      </c>
      <c r="BJ1452" s="510">
        <v>0</v>
      </c>
      <c r="BK1452" s="510">
        <v>0</v>
      </c>
      <c r="BL1452" s="510">
        <v>0</v>
      </c>
      <c r="BM1452" s="510">
        <v>0</v>
      </c>
      <c r="BN1452" s="510">
        <v>2000</v>
      </c>
      <c r="BO1452" s="510">
        <v>0</v>
      </c>
      <c r="BP1452" s="510">
        <v>0</v>
      </c>
      <c r="BQ1452" s="510">
        <v>0</v>
      </c>
      <c r="BR1452" s="510">
        <v>0</v>
      </c>
      <c r="BS1452" s="510">
        <v>0</v>
      </c>
      <c r="BT1452" s="510">
        <v>0</v>
      </c>
      <c r="BU1452" s="510">
        <v>0</v>
      </c>
      <c r="BV1452" s="510">
        <v>0</v>
      </c>
      <c r="BW1452" s="510">
        <v>0</v>
      </c>
      <c r="BX1452" s="510">
        <v>30000</v>
      </c>
      <c r="BY1452" s="1011">
        <v>0</v>
      </c>
      <c r="BZ1452" s="510">
        <v>0</v>
      </c>
      <c r="CA1452" s="1011">
        <v>0</v>
      </c>
      <c r="CB1452" s="510">
        <v>0</v>
      </c>
      <c r="CC1452" s="1011">
        <v>0</v>
      </c>
      <c r="CD1452" s="510">
        <v>0</v>
      </c>
      <c r="CE1452" s="1011">
        <v>0</v>
      </c>
      <c r="CF1452" s="510">
        <v>37608</v>
      </c>
      <c r="CG1452" s="1011">
        <v>0</v>
      </c>
      <c r="CH1452" s="510">
        <v>0</v>
      </c>
      <c r="CI1452" s="1011">
        <v>0</v>
      </c>
    </row>
    <row r="1453" spans="1:87" x14ac:dyDescent="0.2">
      <c r="A1453" s="449">
        <v>14</v>
      </c>
      <c r="B1453" s="453">
        <v>400256</v>
      </c>
      <c r="C1453" s="454" t="s">
        <v>11634</v>
      </c>
      <c r="D1453" s="454" t="s">
        <v>4613</v>
      </c>
      <c r="E1453" s="454" t="s">
        <v>11635</v>
      </c>
      <c r="F1453" s="454" t="s">
        <v>522</v>
      </c>
      <c r="G1453" s="454" t="s">
        <v>14703</v>
      </c>
      <c r="H1453" s="455">
        <v>7829835000106</v>
      </c>
      <c r="I1453" s="462">
        <v>38685</v>
      </c>
      <c r="J1453" s="457">
        <v>37586718</v>
      </c>
      <c r="K1453" s="454" t="s">
        <v>11636</v>
      </c>
      <c r="L1453" s="458">
        <v>40</v>
      </c>
      <c r="M1453" s="454" t="s">
        <v>2554</v>
      </c>
      <c r="N1453" s="459">
        <v>2563040</v>
      </c>
      <c r="O1453" s="460">
        <v>39517689</v>
      </c>
      <c r="P1453" s="462">
        <v>96795</v>
      </c>
      <c r="Q1453" s="462">
        <v>47</v>
      </c>
      <c r="R1453" s="462">
        <v>43911</v>
      </c>
      <c r="S1453" s="463">
        <v>153</v>
      </c>
      <c r="T1453" s="464">
        <v>3.6</v>
      </c>
      <c r="U1453" s="465">
        <v>550.79999999999995</v>
      </c>
      <c r="V1453" s="465">
        <v>10800</v>
      </c>
      <c r="W1453" s="466">
        <v>0</v>
      </c>
      <c r="X1453" s="467">
        <v>1</v>
      </c>
      <c r="Y1453" s="466">
        <v>17026.2</v>
      </c>
      <c r="Z1453" s="468" t="s">
        <v>516</v>
      </c>
      <c r="AA1453" s="466">
        <v>84785.4</v>
      </c>
      <c r="AB1453" s="466">
        <v>84785.4</v>
      </c>
      <c r="AC1453" s="467">
        <v>0</v>
      </c>
      <c r="AD1453" s="466">
        <v>0</v>
      </c>
      <c r="AE1453" s="468" t="s">
        <v>516</v>
      </c>
      <c r="AF1453" s="466">
        <v>0</v>
      </c>
      <c r="AG1453" s="466">
        <v>0</v>
      </c>
      <c r="AH1453" s="466">
        <v>933.08</v>
      </c>
      <c r="AI1453" s="466">
        <v>278.7</v>
      </c>
      <c r="AJ1453" s="469" t="s">
        <v>2555</v>
      </c>
      <c r="AK1453" s="470" t="s">
        <v>2556</v>
      </c>
      <c r="AL1453" s="471" t="s">
        <v>11637</v>
      </c>
      <c r="AM1453" s="470" t="s">
        <v>14704</v>
      </c>
      <c r="AN1453" s="470" t="s">
        <v>1385</v>
      </c>
      <c r="AO1453" s="470" t="s">
        <v>14705</v>
      </c>
      <c r="AP1453" s="470" t="s">
        <v>11638</v>
      </c>
      <c r="AQ1453" s="470" t="s">
        <v>11634</v>
      </c>
      <c r="AR1453" s="472" t="s">
        <v>515</v>
      </c>
      <c r="AS1453" s="473" t="s">
        <v>1385</v>
      </c>
      <c r="AT1453" s="472" t="s">
        <v>4613</v>
      </c>
      <c r="AU1453" s="472" t="s">
        <v>420</v>
      </c>
      <c r="AV1453" s="472">
        <v>2020</v>
      </c>
      <c r="AW1453" s="474" t="s">
        <v>15078</v>
      </c>
      <c r="AX1453" s="475" t="s">
        <v>15079</v>
      </c>
      <c r="AY1453" s="515">
        <v>1</v>
      </c>
      <c r="AZ1453" s="474" t="s">
        <v>15079</v>
      </c>
      <c r="BA1453" s="472" t="s">
        <v>4613</v>
      </c>
      <c r="BB1453" s="472" t="s">
        <v>1385</v>
      </c>
      <c r="BC1453" s="472" t="s">
        <v>1385</v>
      </c>
      <c r="BD1453" s="472" t="s">
        <v>1385</v>
      </c>
      <c r="BE1453" s="472" t="s">
        <v>1385</v>
      </c>
      <c r="BF1453" s="472">
        <v>17026.2</v>
      </c>
      <c r="BG1453" s="472">
        <v>0</v>
      </c>
      <c r="BH1453" s="472" t="s">
        <v>1385</v>
      </c>
      <c r="BI1453" s="510">
        <v>0</v>
      </c>
      <c r="BJ1453" s="510">
        <v>0</v>
      </c>
      <c r="BK1453" s="510">
        <v>0</v>
      </c>
      <c r="BL1453" s="510">
        <v>0</v>
      </c>
      <c r="BM1453" s="510">
        <v>0</v>
      </c>
      <c r="BN1453" s="510">
        <v>2000</v>
      </c>
      <c r="BO1453" s="510">
        <v>0</v>
      </c>
      <c r="BP1453" s="510">
        <v>0</v>
      </c>
      <c r="BQ1453" s="510">
        <v>0</v>
      </c>
      <c r="BR1453" s="510">
        <v>0</v>
      </c>
      <c r="BS1453" s="510">
        <v>0</v>
      </c>
      <c r="BT1453" s="510">
        <v>0</v>
      </c>
      <c r="BU1453" s="510">
        <v>0</v>
      </c>
      <c r="BV1453" s="510">
        <v>0</v>
      </c>
      <c r="BW1453" s="510">
        <v>0</v>
      </c>
      <c r="BX1453" s="510">
        <v>30000</v>
      </c>
      <c r="BY1453" s="1011">
        <v>0</v>
      </c>
      <c r="BZ1453" s="510">
        <v>0</v>
      </c>
      <c r="CA1453" s="1011">
        <v>0</v>
      </c>
      <c r="CB1453" s="510">
        <v>0</v>
      </c>
      <c r="CC1453" s="1011">
        <v>0</v>
      </c>
      <c r="CD1453" s="510">
        <v>0</v>
      </c>
      <c r="CE1453" s="1011">
        <v>0</v>
      </c>
      <c r="CF1453" s="510">
        <v>37759.199999999997</v>
      </c>
      <c r="CG1453" s="1011">
        <v>0</v>
      </c>
      <c r="CH1453" s="510">
        <v>0</v>
      </c>
      <c r="CI1453" s="1011">
        <v>0</v>
      </c>
    </row>
    <row r="1454" spans="1:87" x14ac:dyDescent="0.2">
      <c r="A1454" s="449">
        <v>41</v>
      </c>
      <c r="B1454" s="453">
        <v>400257</v>
      </c>
      <c r="C1454" s="454" t="s">
        <v>11639</v>
      </c>
      <c r="D1454" s="454" t="s">
        <v>4613</v>
      </c>
      <c r="E1454" s="454" t="s">
        <v>11639</v>
      </c>
      <c r="F1454" s="454" t="s">
        <v>520</v>
      </c>
      <c r="G1454" s="454" t="s">
        <v>14706</v>
      </c>
      <c r="H1454" s="455">
        <v>8730931000157</v>
      </c>
      <c r="I1454" s="462">
        <v>39120</v>
      </c>
      <c r="J1454" s="457">
        <v>37629280</v>
      </c>
      <c r="K1454" s="454" t="s">
        <v>11641</v>
      </c>
      <c r="L1454" s="458">
        <v>179</v>
      </c>
      <c r="M1454" s="454" t="s">
        <v>5149</v>
      </c>
      <c r="N1454" s="459">
        <v>5749250</v>
      </c>
      <c r="O1454" s="460">
        <v>58452113</v>
      </c>
      <c r="P1454" s="462">
        <v>294236</v>
      </c>
      <c r="Q1454" s="462">
        <v>41</v>
      </c>
      <c r="R1454" s="462">
        <v>43969</v>
      </c>
      <c r="S1454" s="463">
        <v>100</v>
      </c>
      <c r="T1454" s="464">
        <v>3.6</v>
      </c>
      <c r="U1454" s="465">
        <v>360</v>
      </c>
      <c r="V1454" s="465">
        <v>10800</v>
      </c>
      <c r="W1454" s="466">
        <v>0</v>
      </c>
      <c r="X1454" s="467">
        <v>1</v>
      </c>
      <c r="Y1454" s="466">
        <v>16740</v>
      </c>
      <c r="Z1454" s="468" t="s">
        <v>516</v>
      </c>
      <c r="AA1454" s="466">
        <v>84110.399999999994</v>
      </c>
      <c r="AB1454" s="466">
        <v>84110.399999999994</v>
      </c>
      <c r="AC1454" s="467">
        <v>0</v>
      </c>
      <c r="AD1454" s="466">
        <v>0</v>
      </c>
      <c r="AE1454" s="468" t="s">
        <v>516</v>
      </c>
      <c r="AF1454" s="466">
        <v>0</v>
      </c>
      <c r="AG1454" s="466">
        <v>0</v>
      </c>
      <c r="AH1454" s="466">
        <v>10127.02</v>
      </c>
      <c r="AI1454" s="466">
        <v>1116</v>
      </c>
      <c r="AJ1454" s="469" t="s">
        <v>1515</v>
      </c>
      <c r="AK1454" s="470" t="s">
        <v>1516</v>
      </c>
      <c r="AL1454" s="471" t="s">
        <v>11642</v>
      </c>
      <c r="AM1454" s="470" t="s">
        <v>11643</v>
      </c>
      <c r="AN1454" s="470" t="s">
        <v>11640</v>
      </c>
      <c r="AO1454" s="470" t="s">
        <v>11644</v>
      </c>
      <c r="AP1454" s="470" t="s">
        <v>11645</v>
      </c>
      <c r="AQ1454" s="470" t="s">
        <v>11639</v>
      </c>
      <c r="AR1454" s="472" t="s">
        <v>515</v>
      </c>
      <c r="AS1454" s="473" t="s">
        <v>1385</v>
      </c>
      <c r="AT1454" s="472" t="s">
        <v>4613</v>
      </c>
      <c r="AU1454" s="472" t="s">
        <v>420</v>
      </c>
      <c r="AV1454" s="472">
        <v>2020</v>
      </c>
      <c r="AW1454" s="474" t="s">
        <v>15078</v>
      </c>
      <c r="AX1454" s="475" t="s">
        <v>15079</v>
      </c>
      <c r="AY1454" s="515">
        <v>1</v>
      </c>
      <c r="AZ1454" s="474" t="s">
        <v>15079</v>
      </c>
      <c r="BA1454" s="472" t="s">
        <v>4613</v>
      </c>
      <c r="BB1454" s="472" t="s">
        <v>1385</v>
      </c>
      <c r="BC1454" s="472" t="s">
        <v>1385</v>
      </c>
      <c r="BD1454" s="472" t="s">
        <v>1385</v>
      </c>
      <c r="BE1454" s="472" t="s">
        <v>1385</v>
      </c>
      <c r="BF1454" s="472">
        <v>16740</v>
      </c>
      <c r="BG1454" s="472">
        <v>0</v>
      </c>
      <c r="BH1454" s="472" t="s">
        <v>1385</v>
      </c>
      <c r="BI1454" s="510">
        <v>0</v>
      </c>
      <c r="BJ1454" s="510">
        <v>0</v>
      </c>
      <c r="BK1454" s="510">
        <v>0</v>
      </c>
      <c r="BL1454" s="510">
        <v>0</v>
      </c>
      <c r="BM1454" s="510">
        <v>0</v>
      </c>
      <c r="BN1454" s="510">
        <v>2000</v>
      </c>
      <c r="BO1454" s="510">
        <v>0</v>
      </c>
      <c r="BP1454" s="510">
        <v>0</v>
      </c>
      <c r="BQ1454" s="510">
        <v>0</v>
      </c>
      <c r="BR1454" s="510">
        <v>0</v>
      </c>
      <c r="BS1454" s="510">
        <v>0</v>
      </c>
      <c r="BT1454" s="510">
        <v>0</v>
      </c>
      <c r="BU1454" s="510">
        <v>0</v>
      </c>
      <c r="BV1454" s="510">
        <v>0</v>
      </c>
      <c r="BW1454" s="510">
        <v>0</v>
      </c>
      <c r="BX1454" s="510">
        <v>30000</v>
      </c>
      <c r="BY1454" s="1011">
        <v>0</v>
      </c>
      <c r="BZ1454" s="510">
        <v>0</v>
      </c>
      <c r="CA1454" s="1011">
        <v>0</v>
      </c>
      <c r="CB1454" s="510">
        <v>0</v>
      </c>
      <c r="CC1454" s="1011">
        <v>0</v>
      </c>
      <c r="CD1454" s="510">
        <v>0</v>
      </c>
      <c r="CE1454" s="1011">
        <v>0</v>
      </c>
      <c r="CF1454" s="510">
        <v>37370.400000000001</v>
      </c>
      <c r="CG1454" s="1011">
        <v>0</v>
      </c>
      <c r="CH1454" s="510">
        <v>0</v>
      </c>
      <c r="CI1454" s="1011">
        <v>0</v>
      </c>
    </row>
    <row r="1455" spans="1:87" x14ac:dyDescent="0.2">
      <c r="A1455" s="449">
        <v>35</v>
      </c>
      <c r="B1455" s="453">
        <v>400258</v>
      </c>
      <c r="C1455" s="454" t="s">
        <v>11646</v>
      </c>
      <c r="D1455" s="454" t="s">
        <v>4613</v>
      </c>
      <c r="E1455" s="454" t="s">
        <v>11647</v>
      </c>
      <c r="F1455" s="454" t="s">
        <v>526</v>
      </c>
      <c r="G1455" s="454" t="s">
        <v>14707</v>
      </c>
      <c r="H1455" s="455">
        <v>8627141000140</v>
      </c>
      <c r="I1455" s="462">
        <v>38971</v>
      </c>
      <c r="J1455" s="457">
        <v>37533231</v>
      </c>
      <c r="K1455" s="454" t="s">
        <v>11648</v>
      </c>
      <c r="L1455" s="458">
        <v>881</v>
      </c>
      <c r="M1455" s="454" t="s">
        <v>2807</v>
      </c>
      <c r="N1455" s="459">
        <v>8245160</v>
      </c>
      <c r="O1455" s="460">
        <v>20526133</v>
      </c>
      <c r="P1455" s="462">
        <v>139745</v>
      </c>
      <c r="Q1455" s="462">
        <v>35</v>
      </c>
      <c r="R1455" s="462">
        <v>43928</v>
      </c>
      <c r="S1455" s="463">
        <v>143</v>
      </c>
      <c r="T1455" s="464">
        <v>3.6</v>
      </c>
      <c r="U1455" s="465">
        <v>514.79999999999995</v>
      </c>
      <c r="V1455" s="465">
        <v>10800</v>
      </c>
      <c r="W1455" s="466">
        <v>0</v>
      </c>
      <c r="X1455" s="467">
        <v>1</v>
      </c>
      <c r="Y1455" s="466">
        <v>16972.2</v>
      </c>
      <c r="Z1455" s="468" t="s">
        <v>516</v>
      </c>
      <c r="AA1455" s="466">
        <v>84529.8</v>
      </c>
      <c r="AB1455" s="466">
        <v>84529.8</v>
      </c>
      <c r="AC1455" s="467">
        <v>0</v>
      </c>
      <c r="AD1455" s="466">
        <v>0</v>
      </c>
      <c r="AE1455" s="468" t="s">
        <v>516</v>
      </c>
      <c r="AF1455" s="466">
        <v>0</v>
      </c>
      <c r="AG1455" s="466">
        <v>0</v>
      </c>
      <c r="AH1455" s="466">
        <v>7421.31</v>
      </c>
      <c r="AI1455" s="466">
        <v>56.45</v>
      </c>
      <c r="AJ1455" s="469" t="s">
        <v>1839</v>
      </c>
      <c r="AK1455" s="470" t="s">
        <v>526</v>
      </c>
      <c r="AL1455" s="471" t="s">
        <v>11649</v>
      </c>
      <c r="AM1455" s="470" t="s">
        <v>11650</v>
      </c>
      <c r="AN1455" s="470" t="s">
        <v>1385</v>
      </c>
      <c r="AO1455" s="470" t="s">
        <v>11651</v>
      </c>
      <c r="AP1455" s="470" t="s">
        <v>2807</v>
      </c>
      <c r="AQ1455" s="470" t="s">
        <v>11646</v>
      </c>
      <c r="AR1455" s="472" t="s">
        <v>515</v>
      </c>
      <c r="AS1455" s="473" t="s">
        <v>1385</v>
      </c>
      <c r="AT1455" s="472" t="s">
        <v>4613</v>
      </c>
      <c r="AU1455" s="472" t="s">
        <v>420</v>
      </c>
      <c r="AV1455" s="472">
        <v>2020</v>
      </c>
      <c r="AW1455" s="474" t="s">
        <v>15078</v>
      </c>
      <c r="AX1455" s="475" t="s">
        <v>15079</v>
      </c>
      <c r="AY1455" s="515">
        <v>1</v>
      </c>
      <c r="AZ1455" s="474" t="s">
        <v>15079</v>
      </c>
      <c r="BA1455" s="472" t="s">
        <v>4613</v>
      </c>
      <c r="BB1455" s="472" t="s">
        <v>1385</v>
      </c>
      <c r="BC1455" s="472" t="s">
        <v>1385</v>
      </c>
      <c r="BD1455" s="472" t="s">
        <v>1385</v>
      </c>
      <c r="BE1455" s="472" t="s">
        <v>1385</v>
      </c>
      <c r="BF1455" s="472">
        <v>16972.2</v>
      </c>
      <c r="BG1455" s="472">
        <v>0</v>
      </c>
      <c r="BH1455" s="472" t="s">
        <v>1385</v>
      </c>
      <c r="BI1455" s="510">
        <v>0</v>
      </c>
      <c r="BJ1455" s="510">
        <v>0</v>
      </c>
      <c r="BK1455" s="510">
        <v>0</v>
      </c>
      <c r="BL1455" s="510">
        <v>0</v>
      </c>
      <c r="BM1455" s="510">
        <v>0</v>
      </c>
      <c r="BN1455" s="510">
        <v>2000</v>
      </c>
      <c r="BO1455" s="510">
        <v>0</v>
      </c>
      <c r="BP1455" s="510">
        <v>0</v>
      </c>
      <c r="BQ1455" s="510">
        <v>0</v>
      </c>
      <c r="BR1455" s="510">
        <v>0</v>
      </c>
      <c r="BS1455" s="510">
        <v>0</v>
      </c>
      <c r="BT1455" s="510">
        <v>0</v>
      </c>
      <c r="BU1455" s="510">
        <v>0</v>
      </c>
      <c r="BV1455" s="510">
        <v>0</v>
      </c>
      <c r="BW1455" s="510">
        <v>0</v>
      </c>
      <c r="BX1455" s="510">
        <v>30000</v>
      </c>
      <c r="BY1455" s="1011">
        <v>0</v>
      </c>
      <c r="BZ1455" s="510">
        <v>0</v>
      </c>
      <c r="CA1455" s="1011">
        <v>0</v>
      </c>
      <c r="CB1455" s="510">
        <v>0</v>
      </c>
      <c r="CC1455" s="1011">
        <v>0</v>
      </c>
      <c r="CD1455" s="510">
        <v>0</v>
      </c>
      <c r="CE1455" s="1011">
        <v>0</v>
      </c>
      <c r="CF1455" s="510">
        <v>37557.599999999999</v>
      </c>
      <c r="CG1455" s="1011">
        <v>0</v>
      </c>
      <c r="CH1455" s="510">
        <v>0</v>
      </c>
      <c r="CI1455" s="1011">
        <v>0</v>
      </c>
    </row>
    <row r="1456" spans="1:87" x14ac:dyDescent="0.2">
      <c r="A1456" s="449">
        <v>20</v>
      </c>
      <c r="B1456" s="453">
        <v>400259</v>
      </c>
      <c r="C1456" s="454" t="s">
        <v>11652</v>
      </c>
      <c r="D1456" s="454" t="s">
        <v>4613</v>
      </c>
      <c r="E1456" s="454" t="s">
        <v>11653</v>
      </c>
      <c r="F1456" s="454" t="s">
        <v>518</v>
      </c>
      <c r="G1456" s="454" t="s">
        <v>14708</v>
      </c>
      <c r="H1456" s="455">
        <v>10778449000139</v>
      </c>
      <c r="I1456" s="462">
        <v>39899</v>
      </c>
      <c r="J1456" s="457">
        <v>43256856</v>
      </c>
      <c r="K1456" s="454" t="s">
        <v>11655</v>
      </c>
      <c r="L1456" s="458">
        <v>251</v>
      </c>
      <c r="M1456" s="454" t="s">
        <v>6117</v>
      </c>
      <c r="N1456" s="459">
        <v>8235750</v>
      </c>
      <c r="O1456" s="460">
        <v>20422002</v>
      </c>
      <c r="P1456" s="462">
        <v>46640</v>
      </c>
      <c r="Q1456" s="462">
        <v>20</v>
      </c>
      <c r="R1456" s="462">
        <v>43934</v>
      </c>
      <c r="S1456" s="463">
        <v>136</v>
      </c>
      <c r="T1456" s="464">
        <v>3.6</v>
      </c>
      <c r="U1456" s="465">
        <v>489.6</v>
      </c>
      <c r="V1456" s="465">
        <v>10800</v>
      </c>
      <c r="W1456" s="466">
        <v>0</v>
      </c>
      <c r="X1456" s="467">
        <v>1</v>
      </c>
      <c r="Y1456" s="466">
        <v>16934.400000000001</v>
      </c>
      <c r="Z1456" s="468" t="s">
        <v>516</v>
      </c>
      <c r="AA1456" s="466">
        <v>84506.4</v>
      </c>
      <c r="AB1456" s="466">
        <v>84506.4</v>
      </c>
      <c r="AC1456" s="467">
        <v>0</v>
      </c>
      <c r="AD1456" s="466">
        <v>0</v>
      </c>
      <c r="AE1456" s="468" t="s">
        <v>516</v>
      </c>
      <c r="AF1456" s="466">
        <v>0</v>
      </c>
      <c r="AG1456" s="466">
        <v>0</v>
      </c>
      <c r="AH1456" s="466">
        <v>8638.32</v>
      </c>
      <c r="AI1456" s="466">
        <v>3061.38</v>
      </c>
      <c r="AJ1456" s="469" t="s">
        <v>1674</v>
      </c>
      <c r="AK1456" s="470" t="s">
        <v>518</v>
      </c>
      <c r="AL1456" s="471" t="s">
        <v>11656</v>
      </c>
      <c r="AM1456" s="470" t="s">
        <v>11657</v>
      </c>
      <c r="AN1456" s="470" t="s">
        <v>11654</v>
      </c>
      <c r="AO1456" s="470" t="s">
        <v>15059</v>
      </c>
      <c r="AP1456" s="470" t="s">
        <v>11658</v>
      </c>
      <c r="AQ1456" s="470" t="s">
        <v>11652</v>
      </c>
      <c r="AR1456" s="472" t="s">
        <v>515</v>
      </c>
      <c r="AS1456" s="473" t="s">
        <v>1385</v>
      </c>
      <c r="AT1456" s="472" t="s">
        <v>4613</v>
      </c>
      <c r="AU1456" s="472" t="s">
        <v>420</v>
      </c>
      <c r="AV1456" s="472">
        <v>2020</v>
      </c>
      <c r="AW1456" s="474" t="s">
        <v>15078</v>
      </c>
      <c r="AX1456" s="475" t="s">
        <v>15079</v>
      </c>
      <c r="AY1456" s="515">
        <v>1</v>
      </c>
      <c r="AZ1456" s="474" t="s">
        <v>15079</v>
      </c>
      <c r="BA1456" s="472" t="s">
        <v>4613</v>
      </c>
      <c r="BB1456" s="472" t="s">
        <v>1385</v>
      </c>
      <c r="BC1456" s="472" t="s">
        <v>1385</v>
      </c>
      <c r="BD1456" s="472" t="s">
        <v>1385</v>
      </c>
      <c r="BE1456" s="472" t="s">
        <v>1385</v>
      </c>
      <c r="BF1456" s="472">
        <v>16934.400000000001</v>
      </c>
      <c r="BG1456" s="472">
        <v>0</v>
      </c>
      <c r="BH1456" s="472" t="s">
        <v>1385</v>
      </c>
      <c r="BI1456" s="510">
        <v>0</v>
      </c>
      <c r="BJ1456" s="510">
        <v>0</v>
      </c>
      <c r="BK1456" s="510">
        <v>0</v>
      </c>
      <c r="BL1456" s="510">
        <v>0</v>
      </c>
      <c r="BM1456" s="510">
        <v>0</v>
      </c>
      <c r="BN1456" s="510">
        <v>2000</v>
      </c>
      <c r="BO1456" s="510">
        <v>0</v>
      </c>
      <c r="BP1456" s="510">
        <v>0</v>
      </c>
      <c r="BQ1456" s="510">
        <v>0</v>
      </c>
      <c r="BR1456" s="510">
        <v>0</v>
      </c>
      <c r="BS1456" s="510">
        <v>0</v>
      </c>
      <c r="BT1456" s="510">
        <v>0</v>
      </c>
      <c r="BU1456" s="510">
        <v>0</v>
      </c>
      <c r="BV1456" s="510">
        <v>0</v>
      </c>
      <c r="BW1456" s="510">
        <v>0</v>
      </c>
      <c r="BX1456" s="510">
        <v>30000</v>
      </c>
      <c r="BY1456" s="1011">
        <v>0</v>
      </c>
      <c r="BZ1456" s="510">
        <v>0</v>
      </c>
      <c r="CA1456" s="1011">
        <v>0</v>
      </c>
      <c r="CB1456" s="510">
        <v>0</v>
      </c>
      <c r="CC1456" s="1011">
        <v>0</v>
      </c>
      <c r="CD1456" s="510">
        <v>0</v>
      </c>
      <c r="CE1456" s="1011">
        <v>0</v>
      </c>
      <c r="CF1456" s="510">
        <v>37572</v>
      </c>
      <c r="CG1456" s="1011">
        <v>0</v>
      </c>
      <c r="CH1456" s="510">
        <v>0</v>
      </c>
      <c r="CI1456" s="1011">
        <v>0</v>
      </c>
    </row>
    <row r="1457" spans="1:87" x14ac:dyDescent="0.2">
      <c r="A1457" s="449">
        <v>29</v>
      </c>
      <c r="B1457" s="453">
        <v>400260</v>
      </c>
      <c r="C1457" s="454" t="s">
        <v>11659</v>
      </c>
      <c r="D1457" s="454" t="s">
        <v>4613</v>
      </c>
      <c r="E1457" s="454" t="s">
        <v>11660</v>
      </c>
      <c r="F1457" s="454" t="s">
        <v>527</v>
      </c>
      <c r="G1457" s="454" t="s">
        <v>14709</v>
      </c>
      <c r="H1457" s="455">
        <v>7845269000118</v>
      </c>
      <c r="I1457" s="462">
        <v>38735</v>
      </c>
      <c r="J1457" s="457">
        <v>37555600</v>
      </c>
      <c r="K1457" s="454" t="s">
        <v>11661</v>
      </c>
      <c r="L1457" s="458" t="s">
        <v>1446</v>
      </c>
      <c r="M1457" s="454" t="s">
        <v>527</v>
      </c>
      <c r="N1457" s="459">
        <v>3617190</v>
      </c>
      <c r="O1457" s="460">
        <v>26841340</v>
      </c>
      <c r="P1457" s="462">
        <v>196706</v>
      </c>
      <c r="Q1457" s="462">
        <v>29</v>
      </c>
      <c r="R1457" s="462">
        <v>43917</v>
      </c>
      <c r="S1457" s="463">
        <v>129</v>
      </c>
      <c r="T1457" s="464">
        <v>3.6</v>
      </c>
      <c r="U1457" s="465">
        <v>464.4</v>
      </c>
      <c r="V1457" s="465">
        <v>10800</v>
      </c>
      <c r="W1457" s="466">
        <v>0</v>
      </c>
      <c r="X1457" s="467">
        <v>1</v>
      </c>
      <c r="Y1457" s="466">
        <v>16896.599999999999</v>
      </c>
      <c r="Z1457" s="468" t="s">
        <v>516</v>
      </c>
      <c r="AA1457" s="466">
        <v>84468.6</v>
      </c>
      <c r="AB1457" s="466">
        <v>84468.6</v>
      </c>
      <c r="AC1457" s="467">
        <v>0</v>
      </c>
      <c r="AD1457" s="466">
        <v>0</v>
      </c>
      <c r="AE1457" s="468" t="s">
        <v>516</v>
      </c>
      <c r="AF1457" s="466">
        <v>0</v>
      </c>
      <c r="AG1457" s="466">
        <v>0</v>
      </c>
      <c r="AH1457" s="466">
        <v>8343.0499999999993</v>
      </c>
      <c r="AI1457" s="466">
        <v>753.11</v>
      </c>
      <c r="AJ1457" s="469" t="s">
        <v>4055</v>
      </c>
      <c r="AK1457" s="470" t="s">
        <v>11376</v>
      </c>
      <c r="AL1457" s="471" t="s">
        <v>11662</v>
      </c>
      <c r="AM1457" s="470" t="s">
        <v>11663</v>
      </c>
      <c r="AN1457" s="470" t="s">
        <v>14709</v>
      </c>
      <c r="AO1457" s="470" t="s">
        <v>4188</v>
      </c>
      <c r="AP1457" s="470" t="s">
        <v>11664</v>
      </c>
      <c r="AQ1457" s="470" t="s">
        <v>11659</v>
      </c>
      <c r="AR1457" s="472" t="s">
        <v>515</v>
      </c>
      <c r="AS1457" s="473" t="s">
        <v>1385</v>
      </c>
      <c r="AT1457" s="472" t="s">
        <v>4613</v>
      </c>
      <c r="AU1457" s="472" t="s">
        <v>420</v>
      </c>
      <c r="AV1457" s="472">
        <v>2020</v>
      </c>
      <c r="AW1457" s="474" t="s">
        <v>15078</v>
      </c>
      <c r="AX1457" s="475" t="s">
        <v>15079</v>
      </c>
      <c r="AY1457" s="515">
        <v>1</v>
      </c>
      <c r="AZ1457" s="474" t="s">
        <v>15079</v>
      </c>
      <c r="BA1457" s="472" t="s">
        <v>4613</v>
      </c>
      <c r="BB1457" s="472" t="s">
        <v>1385</v>
      </c>
      <c r="BC1457" s="472" t="s">
        <v>1385</v>
      </c>
      <c r="BD1457" s="472" t="s">
        <v>1385</v>
      </c>
      <c r="BE1457" s="472" t="s">
        <v>1385</v>
      </c>
      <c r="BF1457" s="472">
        <v>16896.599999999999</v>
      </c>
      <c r="BG1457" s="472">
        <v>0</v>
      </c>
      <c r="BH1457" s="472" t="s">
        <v>1385</v>
      </c>
      <c r="BI1457" s="510">
        <v>0</v>
      </c>
      <c r="BJ1457" s="510">
        <v>1815</v>
      </c>
      <c r="BK1457" s="510">
        <v>0</v>
      </c>
      <c r="BL1457" s="510">
        <v>0</v>
      </c>
      <c r="BM1457" s="510">
        <v>0</v>
      </c>
      <c r="BN1457" s="510">
        <v>2000</v>
      </c>
      <c r="BO1457" s="510">
        <v>0</v>
      </c>
      <c r="BP1457" s="510">
        <v>0</v>
      </c>
      <c r="BQ1457" s="510">
        <v>0</v>
      </c>
      <c r="BR1457" s="510">
        <v>0</v>
      </c>
      <c r="BS1457" s="510">
        <v>0</v>
      </c>
      <c r="BT1457" s="510">
        <v>0</v>
      </c>
      <c r="BU1457" s="510">
        <v>0</v>
      </c>
      <c r="BV1457" s="510">
        <v>0</v>
      </c>
      <c r="BW1457" s="510">
        <v>0</v>
      </c>
      <c r="BX1457" s="510">
        <v>30000</v>
      </c>
      <c r="BY1457" s="1011">
        <v>0</v>
      </c>
      <c r="BZ1457" s="510">
        <v>0</v>
      </c>
      <c r="CA1457" s="1011">
        <v>0</v>
      </c>
      <c r="CB1457" s="510">
        <v>0</v>
      </c>
      <c r="CC1457" s="1011">
        <v>0</v>
      </c>
      <c r="CD1457" s="510">
        <v>0</v>
      </c>
      <c r="CE1457" s="1011">
        <v>0</v>
      </c>
      <c r="CF1457" s="510">
        <v>37572</v>
      </c>
      <c r="CG1457" s="1011">
        <v>0</v>
      </c>
      <c r="CH1457" s="510">
        <v>0</v>
      </c>
      <c r="CI1457" s="1011">
        <v>0</v>
      </c>
    </row>
    <row r="1458" spans="1:87" x14ac:dyDescent="0.2">
      <c r="A1458" s="449">
        <v>36</v>
      </c>
      <c r="B1458" s="453">
        <v>400261</v>
      </c>
      <c r="C1458" s="454" t="s">
        <v>11665</v>
      </c>
      <c r="D1458" s="454" t="s">
        <v>4613</v>
      </c>
      <c r="E1458" s="454" t="s">
        <v>11666</v>
      </c>
      <c r="F1458" s="454" t="s">
        <v>526</v>
      </c>
      <c r="G1458" s="454" t="s">
        <v>14710</v>
      </c>
      <c r="H1458" s="455">
        <v>9331301000172</v>
      </c>
      <c r="I1458" s="462">
        <v>39414</v>
      </c>
      <c r="J1458" s="457">
        <v>37411667</v>
      </c>
      <c r="K1458" s="454" t="s">
        <v>11667</v>
      </c>
      <c r="L1458" s="458">
        <v>210</v>
      </c>
      <c r="M1458" s="454" t="s">
        <v>1890</v>
      </c>
      <c r="N1458" s="459">
        <v>3812030</v>
      </c>
      <c r="O1458" s="460">
        <v>25467291</v>
      </c>
      <c r="P1458" s="462">
        <v>162585</v>
      </c>
      <c r="Q1458" s="462">
        <v>36</v>
      </c>
      <c r="R1458" s="462">
        <v>43928</v>
      </c>
      <c r="S1458" s="463">
        <v>135</v>
      </c>
      <c r="T1458" s="464">
        <v>3.6</v>
      </c>
      <c r="U1458" s="465">
        <v>486</v>
      </c>
      <c r="V1458" s="465">
        <v>10800</v>
      </c>
      <c r="W1458" s="466">
        <v>0</v>
      </c>
      <c r="X1458" s="467">
        <v>1</v>
      </c>
      <c r="Y1458" s="466">
        <v>16929</v>
      </c>
      <c r="Z1458" s="468" t="s">
        <v>516</v>
      </c>
      <c r="AA1458" s="466">
        <v>84385.8</v>
      </c>
      <c r="AB1458" s="466">
        <v>84385.8</v>
      </c>
      <c r="AC1458" s="467">
        <v>0</v>
      </c>
      <c r="AD1458" s="466">
        <v>0</v>
      </c>
      <c r="AE1458" s="468" t="s">
        <v>516</v>
      </c>
      <c r="AF1458" s="466">
        <v>0</v>
      </c>
      <c r="AG1458" s="466">
        <v>0</v>
      </c>
      <c r="AH1458" s="466">
        <v>28103.68</v>
      </c>
      <c r="AI1458" s="466">
        <v>3906.96</v>
      </c>
      <c r="AJ1458" s="469" t="s">
        <v>1839</v>
      </c>
      <c r="AK1458" s="470" t="s">
        <v>526</v>
      </c>
      <c r="AL1458" s="471" t="s">
        <v>11668</v>
      </c>
      <c r="AM1458" s="470" t="s">
        <v>11669</v>
      </c>
      <c r="AN1458" s="470" t="s">
        <v>1385</v>
      </c>
      <c r="AO1458" s="470" t="s">
        <v>11670</v>
      </c>
      <c r="AP1458" s="470" t="s">
        <v>11671</v>
      </c>
      <c r="AQ1458" s="470" t="s">
        <v>11665</v>
      </c>
      <c r="AR1458" s="472" t="s">
        <v>515</v>
      </c>
      <c r="AS1458" s="473" t="s">
        <v>1385</v>
      </c>
      <c r="AT1458" s="472" t="s">
        <v>4613</v>
      </c>
      <c r="AU1458" s="472" t="s">
        <v>420</v>
      </c>
      <c r="AV1458" s="472">
        <v>2020</v>
      </c>
      <c r="AW1458" s="474" t="s">
        <v>15078</v>
      </c>
      <c r="AX1458" s="475" t="s">
        <v>15079</v>
      </c>
      <c r="AY1458" s="515">
        <v>1</v>
      </c>
      <c r="AZ1458" s="474" t="s">
        <v>15079</v>
      </c>
      <c r="BA1458" s="472" t="s">
        <v>4613</v>
      </c>
      <c r="BB1458" s="472" t="s">
        <v>1385</v>
      </c>
      <c r="BC1458" s="472" t="s">
        <v>1385</v>
      </c>
      <c r="BD1458" s="472" t="s">
        <v>1385</v>
      </c>
      <c r="BE1458" s="472" t="s">
        <v>1385</v>
      </c>
      <c r="BF1458" s="472">
        <v>16929</v>
      </c>
      <c r="BG1458" s="472">
        <v>0</v>
      </c>
      <c r="BH1458" s="472" t="s">
        <v>1385</v>
      </c>
      <c r="BI1458" s="510">
        <v>0</v>
      </c>
      <c r="BJ1458" s="510">
        <v>0</v>
      </c>
      <c r="BK1458" s="510">
        <v>0</v>
      </c>
      <c r="BL1458" s="510">
        <v>0</v>
      </c>
      <c r="BM1458" s="510">
        <v>0</v>
      </c>
      <c r="BN1458" s="510">
        <v>2000</v>
      </c>
      <c r="BO1458" s="510">
        <v>0</v>
      </c>
      <c r="BP1458" s="510">
        <v>0</v>
      </c>
      <c r="BQ1458" s="510">
        <v>0</v>
      </c>
      <c r="BR1458" s="510">
        <v>0</v>
      </c>
      <c r="BS1458" s="510">
        <v>0</v>
      </c>
      <c r="BT1458" s="510">
        <v>0</v>
      </c>
      <c r="BU1458" s="510">
        <v>0</v>
      </c>
      <c r="BV1458" s="510">
        <v>0</v>
      </c>
      <c r="BW1458" s="510">
        <v>0</v>
      </c>
      <c r="BX1458" s="510">
        <v>30000</v>
      </c>
      <c r="BY1458" s="1011">
        <v>0</v>
      </c>
      <c r="BZ1458" s="510">
        <v>0</v>
      </c>
      <c r="CA1458" s="1011">
        <v>0</v>
      </c>
      <c r="CB1458" s="510">
        <v>0</v>
      </c>
      <c r="CC1458" s="1011">
        <v>0</v>
      </c>
      <c r="CD1458" s="510">
        <v>0</v>
      </c>
      <c r="CE1458" s="1011">
        <v>0</v>
      </c>
      <c r="CF1458" s="510">
        <v>37456.800000000003</v>
      </c>
      <c r="CG1458" s="1011">
        <v>0</v>
      </c>
      <c r="CH1458" s="510">
        <v>0</v>
      </c>
      <c r="CI1458" s="1011">
        <v>0</v>
      </c>
    </row>
    <row r="1459" spans="1:87" x14ac:dyDescent="0.2">
      <c r="A1459" s="449">
        <v>15</v>
      </c>
      <c r="B1459" s="453">
        <v>400262</v>
      </c>
      <c r="C1459" s="454" t="s">
        <v>11672</v>
      </c>
      <c r="D1459" s="454" t="s">
        <v>4613</v>
      </c>
      <c r="E1459" s="454" t="s">
        <v>11673</v>
      </c>
      <c r="F1459" s="454" t="s">
        <v>524</v>
      </c>
      <c r="G1459" s="454" t="s">
        <v>14711</v>
      </c>
      <c r="H1459" s="455">
        <v>8243755000129</v>
      </c>
      <c r="I1459" s="462">
        <v>38875</v>
      </c>
      <c r="J1459" s="457">
        <v>37500600</v>
      </c>
      <c r="K1459" s="454" t="s">
        <v>11674</v>
      </c>
      <c r="L1459" s="458">
        <v>140</v>
      </c>
      <c r="M1459" s="454" t="s">
        <v>11675</v>
      </c>
      <c r="N1459" s="459">
        <v>4187200</v>
      </c>
      <c r="O1459" s="460">
        <v>23319844</v>
      </c>
      <c r="P1459" s="462">
        <v>199179</v>
      </c>
      <c r="Q1459" s="462">
        <v>17</v>
      </c>
      <c r="R1459" s="462">
        <v>43906</v>
      </c>
      <c r="S1459" s="463">
        <v>92</v>
      </c>
      <c r="T1459" s="464">
        <v>3.6</v>
      </c>
      <c r="U1459" s="465">
        <v>331.2</v>
      </c>
      <c r="V1459" s="465">
        <v>10800</v>
      </c>
      <c r="W1459" s="466">
        <v>0</v>
      </c>
      <c r="X1459" s="467">
        <v>1</v>
      </c>
      <c r="Y1459" s="466">
        <v>16696.8</v>
      </c>
      <c r="Z1459" s="468" t="s">
        <v>516</v>
      </c>
      <c r="AA1459" s="466">
        <v>83944.8</v>
      </c>
      <c r="AB1459" s="466">
        <v>83944.8</v>
      </c>
      <c r="AC1459" s="467">
        <v>0</v>
      </c>
      <c r="AD1459" s="466">
        <v>0</v>
      </c>
      <c r="AE1459" s="468" t="s">
        <v>516</v>
      </c>
      <c r="AF1459" s="466">
        <v>0</v>
      </c>
      <c r="AG1459" s="466">
        <v>0</v>
      </c>
      <c r="AH1459" s="466">
        <v>29441.87</v>
      </c>
      <c r="AI1459" s="466">
        <v>11839.1</v>
      </c>
      <c r="AJ1459" s="469" t="s">
        <v>1759</v>
      </c>
      <c r="AK1459" s="470" t="s">
        <v>1760</v>
      </c>
      <c r="AL1459" s="471" t="s">
        <v>11676</v>
      </c>
      <c r="AM1459" s="470" t="s">
        <v>15099</v>
      </c>
      <c r="AN1459" s="470" t="s">
        <v>11677</v>
      </c>
      <c r="AO1459" s="470" t="s">
        <v>14712</v>
      </c>
      <c r="AP1459" s="470" t="s">
        <v>11678</v>
      </c>
      <c r="AQ1459" s="470" t="s">
        <v>11672</v>
      </c>
      <c r="AR1459" s="472" t="s">
        <v>515</v>
      </c>
      <c r="AS1459" s="473" t="s">
        <v>1385</v>
      </c>
      <c r="AT1459" s="472" t="s">
        <v>4613</v>
      </c>
      <c r="AU1459" s="472" t="s">
        <v>420</v>
      </c>
      <c r="AV1459" s="472">
        <v>2020</v>
      </c>
      <c r="AW1459" s="474" t="s">
        <v>15078</v>
      </c>
      <c r="AX1459" s="475" t="s">
        <v>15079</v>
      </c>
      <c r="AY1459" s="515">
        <v>1</v>
      </c>
      <c r="AZ1459" s="474" t="s">
        <v>15079</v>
      </c>
      <c r="BA1459" s="472" t="s">
        <v>4613</v>
      </c>
      <c r="BB1459" s="472" t="s">
        <v>1385</v>
      </c>
      <c r="BC1459" s="472" t="s">
        <v>1385</v>
      </c>
      <c r="BD1459" s="472" t="s">
        <v>1385</v>
      </c>
      <c r="BE1459" s="472" t="s">
        <v>1385</v>
      </c>
      <c r="BF1459" s="472">
        <v>16696.8</v>
      </c>
      <c r="BG1459" s="472">
        <v>0</v>
      </c>
      <c r="BH1459" s="472" t="s">
        <v>1385</v>
      </c>
      <c r="BI1459" s="510">
        <v>0</v>
      </c>
      <c r="BJ1459" s="510">
        <v>0</v>
      </c>
      <c r="BK1459" s="510">
        <v>0</v>
      </c>
      <c r="BL1459" s="510">
        <v>0</v>
      </c>
      <c r="BM1459" s="510">
        <v>0</v>
      </c>
      <c r="BN1459" s="510">
        <v>1500</v>
      </c>
      <c r="BO1459" s="510">
        <v>0</v>
      </c>
      <c r="BP1459" s="510">
        <v>0</v>
      </c>
      <c r="BQ1459" s="510">
        <v>0</v>
      </c>
      <c r="BR1459" s="510">
        <v>0</v>
      </c>
      <c r="BS1459" s="510">
        <v>0</v>
      </c>
      <c r="BT1459" s="510">
        <v>0</v>
      </c>
      <c r="BU1459" s="510">
        <v>0</v>
      </c>
      <c r="BV1459" s="510">
        <v>0</v>
      </c>
      <c r="BW1459" s="510">
        <v>0</v>
      </c>
      <c r="BX1459" s="510">
        <v>30000</v>
      </c>
      <c r="BY1459" s="1011">
        <v>0</v>
      </c>
      <c r="BZ1459" s="510">
        <v>0</v>
      </c>
      <c r="CA1459" s="1011">
        <v>0</v>
      </c>
      <c r="CB1459" s="510">
        <v>0</v>
      </c>
      <c r="CC1459" s="1011">
        <v>0</v>
      </c>
      <c r="CD1459" s="510">
        <v>0</v>
      </c>
      <c r="CE1459" s="1011">
        <v>0</v>
      </c>
      <c r="CF1459" s="510">
        <v>37248</v>
      </c>
      <c r="CG1459" s="1011">
        <v>0</v>
      </c>
      <c r="CH1459" s="510">
        <v>0</v>
      </c>
      <c r="CI1459" s="1011">
        <v>0</v>
      </c>
    </row>
    <row r="1460" spans="1:87" x14ac:dyDescent="0.2">
      <c r="A1460" s="449">
        <v>21</v>
      </c>
      <c r="B1460" s="453">
        <v>400263</v>
      </c>
      <c r="C1460" s="454" t="s">
        <v>11679</v>
      </c>
      <c r="D1460" s="454" t="s">
        <v>4613</v>
      </c>
      <c r="E1460" s="454" t="s">
        <v>11680</v>
      </c>
      <c r="F1460" s="454" t="s">
        <v>518</v>
      </c>
      <c r="G1460" s="454" t="s">
        <v>14713</v>
      </c>
      <c r="H1460" s="455">
        <v>8297720000172</v>
      </c>
      <c r="I1460" s="462">
        <v>38954</v>
      </c>
      <c r="J1460" s="457">
        <v>37471031</v>
      </c>
      <c r="K1460" s="454" t="s">
        <v>11682</v>
      </c>
      <c r="L1460" s="458">
        <v>148</v>
      </c>
      <c r="M1460" s="454" t="s">
        <v>11683</v>
      </c>
      <c r="N1460" s="459">
        <v>8290570</v>
      </c>
      <c r="O1460" s="460">
        <v>22058662</v>
      </c>
      <c r="P1460" s="462">
        <v>46658</v>
      </c>
      <c r="Q1460" s="462">
        <v>21</v>
      </c>
      <c r="R1460" s="462">
        <v>43934</v>
      </c>
      <c r="S1460" s="463">
        <v>163</v>
      </c>
      <c r="T1460" s="464">
        <v>3.6</v>
      </c>
      <c r="U1460" s="465">
        <v>586.79999999999995</v>
      </c>
      <c r="V1460" s="465">
        <v>10800</v>
      </c>
      <c r="W1460" s="466">
        <v>0</v>
      </c>
      <c r="X1460" s="467">
        <v>1</v>
      </c>
      <c r="Y1460" s="466">
        <v>17080.2</v>
      </c>
      <c r="Z1460" s="468" t="s">
        <v>516</v>
      </c>
      <c r="AA1460" s="466">
        <v>84781.8</v>
      </c>
      <c r="AB1460" s="466">
        <v>84781.8</v>
      </c>
      <c r="AC1460" s="467">
        <v>0</v>
      </c>
      <c r="AD1460" s="466">
        <v>0</v>
      </c>
      <c r="AE1460" s="468" t="s">
        <v>516</v>
      </c>
      <c r="AF1460" s="466">
        <v>0</v>
      </c>
      <c r="AG1460" s="466">
        <v>0</v>
      </c>
      <c r="AH1460" s="466">
        <v>8475.77</v>
      </c>
      <c r="AI1460" s="466">
        <v>3416.04</v>
      </c>
      <c r="AJ1460" s="469" t="s">
        <v>1395</v>
      </c>
      <c r="AK1460" s="470" t="s">
        <v>3703</v>
      </c>
      <c r="AL1460" s="471" t="s">
        <v>11684</v>
      </c>
      <c r="AM1460" s="470" t="s">
        <v>11685</v>
      </c>
      <c r="AN1460" s="470" t="s">
        <v>11681</v>
      </c>
      <c r="AO1460" s="470" t="s">
        <v>15060</v>
      </c>
      <c r="AP1460" s="470" t="s">
        <v>11686</v>
      </c>
      <c r="AQ1460" s="470" t="s">
        <v>11679</v>
      </c>
      <c r="AR1460" s="472" t="s">
        <v>515</v>
      </c>
      <c r="AS1460" s="473" t="s">
        <v>1385</v>
      </c>
      <c r="AT1460" s="472" t="s">
        <v>4613</v>
      </c>
      <c r="AU1460" s="472" t="s">
        <v>420</v>
      </c>
      <c r="AV1460" s="472">
        <v>2020</v>
      </c>
      <c r="AW1460" s="474" t="s">
        <v>15078</v>
      </c>
      <c r="AX1460" s="475" t="s">
        <v>15079</v>
      </c>
      <c r="AY1460" s="515">
        <v>1</v>
      </c>
      <c r="AZ1460" s="474" t="s">
        <v>15079</v>
      </c>
      <c r="BA1460" s="472" t="s">
        <v>4613</v>
      </c>
      <c r="BB1460" s="472" t="s">
        <v>1385</v>
      </c>
      <c r="BC1460" s="472" t="s">
        <v>1385</v>
      </c>
      <c r="BD1460" s="472" t="s">
        <v>1385</v>
      </c>
      <c r="BE1460" s="472" t="s">
        <v>1385</v>
      </c>
      <c r="BF1460" s="472">
        <v>17080.2</v>
      </c>
      <c r="BG1460" s="472">
        <v>0</v>
      </c>
      <c r="BH1460" s="472" t="s">
        <v>1385</v>
      </c>
      <c r="BI1460" s="510">
        <v>0</v>
      </c>
      <c r="BJ1460" s="510">
        <v>0</v>
      </c>
      <c r="BK1460" s="510">
        <v>0</v>
      </c>
      <c r="BL1460" s="510">
        <v>0</v>
      </c>
      <c r="BM1460" s="510">
        <v>0</v>
      </c>
      <c r="BN1460" s="510">
        <v>2000</v>
      </c>
      <c r="BO1460" s="510">
        <v>0</v>
      </c>
      <c r="BP1460" s="510">
        <v>0</v>
      </c>
      <c r="BQ1460" s="510">
        <v>0</v>
      </c>
      <c r="BR1460" s="510">
        <v>0</v>
      </c>
      <c r="BS1460" s="510">
        <v>0</v>
      </c>
      <c r="BT1460" s="510">
        <v>0</v>
      </c>
      <c r="BU1460" s="510">
        <v>0</v>
      </c>
      <c r="BV1460" s="510">
        <v>0</v>
      </c>
      <c r="BW1460" s="510">
        <v>0</v>
      </c>
      <c r="BX1460" s="510">
        <v>30000</v>
      </c>
      <c r="BY1460" s="1011">
        <v>0</v>
      </c>
      <c r="BZ1460" s="510">
        <v>0</v>
      </c>
      <c r="CA1460" s="1011">
        <v>0</v>
      </c>
      <c r="CB1460" s="510">
        <v>0</v>
      </c>
      <c r="CC1460" s="1011">
        <v>0</v>
      </c>
      <c r="CD1460" s="510">
        <v>0</v>
      </c>
      <c r="CE1460" s="1011">
        <v>0</v>
      </c>
      <c r="CF1460" s="510">
        <v>37701.599999999999</v>
      </c>
      <c r="CG1460" s="1011">
        <v>0</v>
      </c>
      <c r="CH1460" s="510">
        <v>0</v>
      </c>
      <c r="CI1460" s="1011">
        <v>0</v>
      </c>
    </row>
    <row r="1461" spans="1:87" x14ac:dyDescent="0.2">
      <c r="A1461" s="449">
        <v>30</v>
      </c>
      <c r="B1461" s="453">
        <v>400264</v>
      </c>
      <c r="C1461" s="454" t="s">
        <v>11687</v>
      </c>
      <c r="D1461" s="454" t="s">
        <v>4613</v>
      </c>
      <c r="E1461" s="454" t="s">
        <v>11688</v>
      </c>
      <c r="F1461" s="454" t="s">
        <v>527</v>
      </c>
      <c r="G1461" s="454" t="s">
        <v>14714</v>
      </c>
      <c r="H1461" s="455">
        <v>7861730000126</v>
      </c>
      <c r="I1461" s="462">
        <v>38743</v>
      </c>
      <c r="J1461" s="457">
        <v>37555626</v>
      </c>
      <c r="K1461" s="454" t="s">
        <v>11689</v>
      </c>
      <c r="L1461" s="458">
        <v>906</v>
      </c>
      <c r="M1461" s="454" t="s">
        <v>5281</v>
      </c>
      <c r="N1461" s="459">
        <v>3679110</v>
      </c>
      <c r="O1461" s="460">
        <v>20434961</v>
      </c>
      <c r="P1461" s="462">
        <v>184821</v>
      </c>
      <c r="Q1461" s="462">
        <v>30</v>
      </c>
      <c r="R1461" s="462">
        <v>43917</v>
      </c>
      <c r="S1461" s="463">
        <v>117</v>
      </c>
      <c r="T1461" s="464">
        <v>3.6</v>
      </c>
      <c r="U1461" s="465">
        <v>421.2</v>
      </c>
      <c r="V1461" s="465">
        <v>10800</v>
      </c>
      <c r="W1461" s="466">
        <v>0</v>
      </c>
      <c r="X1461" s="467">
        <v>1</v>
      </c>
      <c r="Y1461" s="466">
        <v>16831.8</v>
      </c>
      <c r="Z1461" s="468" t="s">
        <v>516</v>
      </c>
      <c r="AA1461" s="466">
        <v>84274.2</v>
      </c>
      <c r="AB1461" s="466">
        <v>84274.2</v>
      </c>
      <c r="AC1461" s="467">
        <v>0</v>
      </c>
      <c r="AD1461" s="466">
        <v>0</v>
      </c>
      <c r="AE1461" s="468" t="s">
        <v>516</v>
      </c>
      <c r="AF1461" s="466">
        <v>0</v>
      </c>
      <c r="AG1461" s="466">
        <v>0</v>
      </c>
      <c r="AH1461" s="466">
        <v>9549.61</v>
      </c>
      <c r="AI1461" s="466">
        <v>4548.25</v>
      </c>
      <c r="AJ1461" s="469" t="s">
        <v>4600</v>
      </c>
      <c r="AK1461" s="470" t="s">
        <v>4601</v>
      </c>
      <c r="AL1461" s="471" t="s">
        <v>11690</v>
      </c>
      <c r="AM1461" s="470" t="s">
        <v>11691</v>
      </c>
      <c r="AN1461" s="470" t="s">
        <v>14714</v>
      </c>
      <c r="AO1461" s="470" t="s">
        <v>14715</v>
      </c>
      <c r="AP1461" s="470" t="s">
        <v>11692</v>
      </c>
      <c r="AQ1461" s="470" t="s">
        <v>11687</v>
      </c>
      <c r="AR1461" s="472" t="s">
        <v>515</v>
      </c>
      <c r="AS1461" s="473" t="s">
        <v>1385</v>
      </c>
      <c r="AT1461" s="472" t="s">
        <v>4613</v>
      </c>
      <c r="AU1461" s="472" t="s">
        <v>420</v>
      </c>
      <c r="AV1461" s="472">
        <v>2020</v>
      </c>
      <c r="AW1461" s="474" t="s">
        <v>15078</v>
      </c>
      <c r="AX1461" s="475" t="s">
        <v>15079</v>
      </c>
      <c r="AY1461" s="515">
        <v>1</v>
      </c>
      <c r="AZ1461" s="474" t="s">
        <v>15079</v>
      </c>
      <c r="BA1461" s="472" t="s">
        <v>4613</v>
      </c>
      <c r="BB1461" s="472" t="s">
        <v>1385</v>
      </c>
      <c r="BC1461" s="472" t="s">
        <v>1385</v>
      </c>
      <c r="BD1461" s="472" t="s">
        <v>1385</v>
      </c>
      <c r="BE1461" s="472" t="s">
        <v>1385</v>
      </c>
      <c r="BF1461" s="472">
        <v>16831.8</v>
      </c>
      <c r="BG1461" s="472">
        <v>0</v>
      </c>
      <c r="BH1461" s="472" t="s">
        <v>1385</v>
      </c>
      <c r="BI1461" s="510">
        <v>0</v>
      </c>
      <c r="BJ1461" s="510">
        <v>0</v>
      </c>
      <c r="BK1461" s="510">
        <v>0</v>
      </c>
      <c r="BL1461" s="510">
        <v>0</v>
      </c>
      <c r="BM1461" s="510">
        <v>0</v>
      </c>
      <c r="BN1461" s="510">
        <v>2000</v>
      </c>
      <c r="BO1461" s="510">
        <v>0</v>
      </c>
      <c r="BP1461" s="510">
        <v>0</v>
      </c>
      <c r="BQ1461" s="510">
        <v>0</v>
      </c>
      <c r="BR1461" s="510">
        <v>0</v>
      </c>
      <c r="BS1461" s="510">
        <v>0</v>
      </c>
      <c r="BT1461" s="510">
        <v>0</v>
      </c>
      <c r="BU1461" s="510">
        <v>0</v>
      </c>
      <c r="BV1461" s="510">
        <v>0</v>
      </c>
      <c r="BW1461" s="510">
        <v>0</v>
      </c>
      <c r="BX1461" s="510">
        <v>30000</v>
      </c>
      <c r="BY1461" s="1011">
        <v>0</v>
      </c>
      <c r="BZ1461" s="510">
        <v>0</v>
      </c>
      <c r="CA1461" s="1011">
        <v>0</v>
      </c>
      <c r="CB1461" s="510">
        <v>0</v>
      </c>
      <c r="CC1461" s="1011">
        <v>0</v>
      </c>
      <c r="CD1461" s="510">
        <v>0</v>
      </c>
      <c r="CE1461" s="1011">
        <v>0</v>
      </c>
      <c r="CF1461" s="510">
        <v>37442.400000000001</v>
      </c>
      <c r="CG1461" s="1011">
        <v>0</v>
      </c>
      <c r="CH1461" s="510">
        <v>0</v>
      </c>
      <c r="CI1461" s="1011">
        <v>0</v>
      </c>
    </row>
    <row r="1462" spans="1:87" x14ac:dyDescent="0.2">
      <c r="A1462" s="449">
        <v>4</v>
      </c>
      <c r="B1462" s="453">
        <v>400265</v>
      </c>
      <c r="C1462" s="454" t="s">
        <v>11693</v>
      </c>
      <c r="D1462" s="454" t="s">
        <v>4613</v>
      </c>
      <c r="E1462" s="454" t="s">
        <v>11694</v>
      </c>
      <c r="F1462" s="454" t="s">
        <v>525</v>
      </c>
      <c r="G1462" s="454" t="s">
        <v>14716</v>
      </c>
      <c r="H1462" s="455">
        <v>7855622000140</v>
      </c>
      <c r="I1462" s="462">
        <v>38751</v>
      </c>
      <c r="J1462" s="457">
        <v>37357840</v>
      </c>
      <c r="K1462" s="454" t="s">
        <v>11696</v>
      </c>
      <c r="L1462" s="458">
        <v>291</v>
      </c>
      <c r="M1462" s="454" t="s">
        <v>11697</v>
      </c>
      <c r="N1462" s="459">
        <v>2355270</v>
      </c>
      <c r="O1462" s="460">
        <v>29526558</v>
      </c>
      <c r="P1462" s="462">
        <v>323120</v>
      </c>
      <c r="Q1462" s="462">
        <v>4</v>
      </c>
      <c r="R1462" s="462">
        <v>43950</v>
      </c>
      <c r="S1462" s="463">
        <v>273</v>
      </c>
      <c r="T1462" s="464">
        <v>3.6</v>
      </c>
      <c r="U1462" s="465">
        <v>982.8</v>
      </c>
      <c r="V1462" s="465">
        <v>12720</v>
      </c>
      <c r="W1462" s="466">
        <v>0</v>
      </c>
      <c r="X1462" s="467">
        <v>1</v>
      </c>
      <c r="Y1462" s="466">
        <v>20554.2</v>
      </c>
      <c r="Z1462" s="468" t="s">
        <v>516</v>
      </c>
      <c r="AA1462" s="466">
        <v>90701.4</v>
      </c>
      <c r="AB1462" s="466">
        <v>90701.4</v>
      </c>
      <c r="AC1462" s="467">
        <v>0</v>
      </c>
      <c r="AD1462" s="466">
        <v>0</v>
      </c>
      <c r="AE1462" s="468" t="s">
        <v>516</v>
      </c>
      <c r="AF1462" s="466">
        <v>0</v>
      </c>
      <c r="AG1462" s="466">
        <v>0</v>
      </c>
      <c r="AH1462" s="466">
        <v>17169.07</v>
      </c>
      <c r="AI1462" s="466">
        <v>0</v>
      </c>
      <c r="AJ1462" s="469" t="s">
        <v>1448</v>
      </c>
      <c r="AK1462" s="470" t="s">
        <v>1449</v>
      </c>
      <c r="AL1462" s="471" t="s">
        <v>11698</v>
      </c>
      <c r="AM1462" s="470" t="s">
        <v>11699</v>
      </c>
      <c r="AN1462" s="470" t="s">
        <v>11695</v>
      </c>
      <c r="AO1462" s="470" t="s">
        <v>11700</v>
      </c>
      <c r="AP1462" s="470" t="s">
        <v>11701</v>
      </c>
      <c r="AQ1462" s="470" t="s">
        <v>11693</v>
      </c>
      <c r="AR1462" s="472" t="s">
        <v>515</v>
      </c>
      <c r="AS1462" s="473" t="s">
        <v>1385</v>
      </c>
      <c r="AT1462" s="472" t="s">
        <v>4613</v>
      </c>
      <c r="AU1462" s="472" t="s">
        <v>420</v>
      </c>
      <c r="AV1462" s="472">
        <v>2020</v>
      </c>
      <c r="AW1462" s="474" t="s">
        <v>15078</v>
      </c>
      <c r="AX1462" s="475" t="s">
        <v>15079</v>
      </c>
      <c r="AY1462" s="515">
        <v>1</v>
      </c>
      <c r="AZ1462" s="474" t="s">
        <v>15079</v>
      </c>
      <c r="BA1462" s="472" t="s">
        <v>4613</v>
      </c>
      <c r="BB1462" s="472" t="s">
        <v>1385</v>
      </c>
      <c r="BC1462" s="472" t="s">
        <v>1385</v>
      </c>
      <c r="BD1462" s="472" t="s">
        <v>1385</v>
      </c>
      <c r="BE1462" s="472" t="s">
        <v>1385</v>
      </c>
      <c r="BF1462" s="472">
        <v>20554.2</v>
      </c>
      <c r="BG1462" s="472">
        <v>0</v>
      </c>
      <c r="BH1462" s="472" t="s">
        <v>1385</v>
      </c>
      <c r="BI1462" s="510">
        <v>0</v>
      </c>
      <c r="BJ1462" s="510">
        <v>0</v>
      </c>
      <c r="BK1462" s="510">
        <v>0</v>
      </c>
      <c r="BL1462" s="510">
        <v>0</v>
      </c>
      <c r="BM1462" s="510">
        <v>0</v>
      </c>
      <c r="BN1462" s="510">
        <v>3000</v>
      </c>
      <c r="BO1462" s="510">
        <v>0</v>
      </c>
      <c r="BP1462" s="510">
        <v>0</v>
      </c>
      <c r="BQ1462" s="510">
        <v>0</v>
      </c>
      <c r="BR1462" s="510">
        <v>0</v>
      </c>
      <c r="BS1462" s="510">
        <v>0</v>
      </c>
      <c r="BT1462" s="510">
        <v>0</v>
      </c>
      <c r="BU1462" s="510">
        <v>0</v>
      </c>
      <c r="BV1462" s="510">
        <v>0</v>
      </c>
      <c r="BW1462" s="510">
        <v>0</v>
      </c>
      <c r="BX1462" s="510">
        <v>30000</v>
      </c>
      <c r="BY1462" s="1011">
        <v>0</v>
      </c>
      <c r="BZ1462" s="510">
        <v>0</v>
      </c>
      <c r="CA1462" s="1011">
        <v>0</v>
      </c>
      <c r="CB1462" s="510">
        <v>0</v>
      </c>
      <c r="CC1462" s="1011">
        <v>0</v>
      </c>
      <c r="CD1462" s="510">
        <v>0</v>
      </c>
      <c r="CE1462" s="1011">
        <v>0</v>
      </c>
      <c r="CF1462" s="510">
        <v>40147.199999999997</v>
      </c>
      <c r="CG1462" s="1011">
        <v>0</v>
      </c>
      <c r="CH1462" s="510">
        <v>0</v>
      </c>
      <c r="CI1462" s="1011">
        <v>0</v>
      </c>
    </row>
    <row r="1463" spans="1:87" x14ac:dyDescent="0.2">
      <c r="A1463" s="449">
        <v>19</v>
      </c>
      <c r="B1463" s="453">
        <v>400266</v>
      </c>
      <c r="C1463" s="454" t="s">
        <v>11702</v>
      </c>
      <c r="D1463" s="454" t="s">
        <v>4613</v>
      </c>
      <c r="E1463" s="454" t="s">
        <v>11703</v>
      </c>
      <c r="F1463" s="454" t="s">
        <v>524</v>
      </c>
      <c r="G1463" s="454" t="s">
        <v>14717</v>
      </c>
      <c r="H1463" s="455">
        <v>7203563000126</v>
      </c>
      <c r="I1463" s="462">
        <v>38036</v>
      </c>
      <c r="J1463" s="457">
        <v>37498851</v>
      </c>
      <c r="K1463" s="454" t="s">
        <v>6577</v>
      </c>
      <c r="L1463" s="458">
        <v>850</v>
      </c>
      <c r="M1463" s="454" t="s">
        <v>6568</v>
      </c>
      <c r="N1463" s="459">
        <v>1132010</v>
      </c>
      <c r="O1463" s="460">
        <v>32222109</v>
      </c>
      <c r="P1463" s="462">
        <v>205969</v>
      </c>
      <c r="Q1463" s="462">
        <v>21</v>
      </c>
      <c r="R1463" s="462">
        <v>43906</v>
      </c>
      <c r="S1463" s="463">
        <v>107</v>
      </c>
      <c r="T1463" s="464">
        <v>3.6</v>
      </c>
      <c r="U1463" s="465">
        <v>385.2</v>
      </c>
      <c r="V1463" s="465">
        <v>10800</v>
      </c>
      <c r="W1463" s="466">
        <v>0</v>
      </c>
      <c r="X1463" s="467">
        <v>1</v>
      </c>
      <c r="Y1463" s="466">
        <v>16777.8</v>
      </c>
      <c r="Z1463" s="468" t="s">
        <v>516</v>
      </c>
      <c r="AA1463" s="466">
        <v>84263.4</v>
      </c>
      <c r="AB1463" s="466">
        <v>84263.4</v>
      </c>
      <c r="AC1463" s="467">
        <v>0</v>
      </c>
      <c r="AD1463" s="466">
        <v>0</v>
      </c>
      <c r="AE1463" s="468" t="s">
        <v>516</v>
      </c>
      <c r="AF1463" s="466">
        <v>0</v>
      </c>
      <c r="AG1463" s="466">
        <v>0</v>
      </c>
      <c r="AH1463" s="466">
        <v>18846.57</v>
      </c>
      <c r="AI1463" s="466">
        <v>18225.669999999998</v>
      </c>
      <c r="AJ1463" s="469" t="s">
        <v>2384</v>
      </c>
      <c r="AK1463" s="470" t="s">
        <v>11705</v>
      </c>
      <c r="AL1463" s="471" t="s">
        <v>11706</v>
      </c>
      <c r="AM1463" s="470" t="s">
        <v>15104</v>
      </c>
      <c r="AN1463" s="470" t="s">
        <v>11704</v>
      </c>
      <c r="AO1463" s="470" t="s">
        <v>14718</v>
      </c>
      <c r="AP1463" s="470" t="s">
        <v>11707</v>
      </c>
      <c r="AQ1463" s="470" t="s">
        <v>11702</v>
      </c>
      <c r="AR1463" s="472" t="s">
        <v>515</v>
      </c>
      <c r="AS1463" s="473" t="s">
        <v>1385</v>
      </c>
      <c r="AT1463" s="472" t="s">
        <v>4613</v>
      </c>
      <c r="AU1463" s="472" t="s">
        <v>420</v>
      </c>
      <c r="AV1463" s="472">
        <v>2020</v>
      </c>
      <c r="AW1463" s="474" t="s">
        <v>15078</v>
      </c>
      <c r="AX1463" s="475" t="s">
        <v>15079</v>
      </c>
      <c r="AY1463" s="515">
        <v>1</v>
      </c>
      <c r="AZ1463" s="474" t="s">
        <v>15079</v>
      </c>
      <c r="BA1463" s="472" t="s">
        <v>4613</v>
      </c>
      <c r="BB1463" s="472" t="s">
        <v>1385</v>
      </c>
      <c r="BC1463" s="472" t="s">
        <v>1385</v>
      </c>
      <c r="BD1463" s="472" t="s">
        <v>1385</v>
      </c>
      <c r="BE1463" s="472" t="s">
        <v>1385</v>
      </c>
      <c r="BF1463" s="472">
        <v>16777.8</v>
      </c>
      <c r="BG1463" s="472">
        <v>0</v>
      </c>
      <c r="BH1463" s="472" t="s">
        <v>1385</v>
      </c>
      <c r="BI1463" s="510">
        <v>0</v>
      </c>
      <c r="BJ1463" s="510">
        <v>1085.2</v>
      </c>
      <c r="BK1463" s="510">
        <v>0</v>
      </c>
      <c r="BL1463" s="510">
        <v>0</v>
      </c>
      <c r="BM1463" s="510">
        <v>0</v>
      </c>
      <c r="BN1463" s="510">
        <v>2000</v>
      </c>
      <c r="BO1463" s="510">
        <v>0</v>
      </c>
      <c r="BP1463" s="510">
        <v>0</v>
      </c>
      <c r="BQ1463" s="510">
        <v>0</v>
      </c>
      <c r="BR1463" s="510">
        <v>0</v>
      </c>
      <c r="BS1463" s="510">
        <v>0</v>
      </c>
      <c r="BT1463" s="510">
        <v>0</v>
      </c>
      <c r="BU1463" s="510">
        <v>0</v>
      </c>
      <c r="BV1463" s="510">
        <v>0</v>
      </c>
      <c r="BW1463" s="510">
        <v>0</v>
      </c>
      <c r="BX1463" s="510">
        <v>30000</v>
      </c>
      <c r="BY1463" s="1011">
        <v>0</v>
      </c>
      <c r="BZ1463" s="510">
        <v>0</v>
      </c>
      <c r="CA1463" s="1011">
        <v>0</v>
      </c>
      <c r="CB1463" s="510">
        <v>0</v>
      </c>
      <c r="CC1463" s="1011">
        <v>0</v>
      </c>
      <c r="CD1463" s="510">
        <v>0</v>
      </c>
      <c r="CE1463" s="1011">
        <v>0</v>
      </c>
      <c r="CF1463" s="510">
        <v>37485.599999999999</v>
      </c>
      <c r="CG1463" s="1011">
        <v>0</v>
      </c>
      <c r="CH1463" s="510">
        <v>0</v>
      </c>
      <c r="CI1463" s="1011">
        <v>0</v>
      </c>
    </row>
    <row r="1464" spans="1:87" x14ac:dyDescent="0.2">
      <c r="A1464" s="449">
        <v>26</v>
      </c>
      <c r="B1464" s="453">
        <v>400267</v>
      </c>
      <c r="C1464" s="454" t="s">
        <v>11708</v>
      </c>
      <c r="D1464" s="454" t="s">
        <v>4613</v>
      </c>
      <c r="E1464" s="454" t="s">
        <v>11709</v>
      </c>
      <c r="F1464" s="454" t="s">
        <v>521</v>
      </c>
      <c r="G1464" s="454" t="s">
        <v>14719</v>
      </c>
      <c r="H1464" s="455">
        <v>7273523000150</v>
      </c>
      <c r="I1464" s="462">
        <v>38127</v>
      </c>
      <c r="J1464" s="457">
        <v>37552325</v>
      </c>
      <c r="K1464" s="454" t="s">
        <v>11710</v>
      </c>
      <c r="L1464" s="458">
        <v>1023</v>
      </c>
      <c r="M1464" s="454" t="s">
        <v>7030</v>
      </c>
      <c r="N1464" s="459">
        <v>4812010</v>
      </c>
      <c r="O1464" s="460">
        <v>56610889</v>
      </c>
      <c r="P1464" s="462">
        <v>88695</v>
      </c>
      <c r="Q1464" s="462">
        <v>78</v>
      </c>
      <c r="R1464" s="462">
        <v>43934</v>
      </c>
      <c r="S1464" s="463">
        <v>116</v>
      </c>
      <c r="T1464" s="464">
        <v>3.6</v>
      </c>
      <c r="U1464" s="465">
        <v>417.6</v>
      </c>
      <c r="V1464" s="465">
        <v>10800</v>
      </c>
      <c r="W1464" s="466">
        <v>0</v>
      </c>
      <c r="X1464" s="467">
        <v>1</v>
      </c>
      <c r="Y1464" s="466">
        <v>16826.400000000001</v>
      </c>
      <c r="Z1464" s="468" t="s">
        <v>516</v>
      </c>
      <c r="AA1464" s="466">
        <v>84333.6</v>
      </c>
      <c r="AB1464" s="466">
        <v>84333.6</v>
      </c>
      <c r="AC1464" s="467">
        <v>0</v>
      </c>
      <c r="AD1464" s="466">
        <v>0</v>
      </c>
      <c r="AE1464" s="468" t="s">
        <v>516</v>
      </c>
      <c r="AF1464" s="466">
        <v>0</v>
      </c>
      <c r="AG1464" s="466">
        <v>0</v>
      </c>
      <c r="AH1464" s="466">
        <v>16161.83</v>
      </c>
      <c r="AI1464" s="466">
        <v>4348.92</v>
      </c>
      <c r="AJ1464" s="469" t="s">
        <v>1481</v>
      </c>
      <c r="AK1464" s="470" t="s">
        <v>1632</v>
      </c>
      <c r="AL1464" s="471" t="s">
        <v>11711</v>
      </c>
      <c r="AM1464" s="470" t="s">
        <v>11712</v>
      </c>
      <c r="AN1464" s="470" t="s">
        <v>1385</v>
      </c>
      <c r="AO1464" s="470" t="s">
        <v>14720</v>
      </c>
      <c r="AP1464" s="470" t="s">
        <v>11713</v>
      </c>
      <c r="AQ1464" s="470" t="s">
        <v>11708</v>
      </c>
      <c r="AR1464" s="472" t="s">
        <v>515</v>
      </c>
      <c r="AS1464" s="473" t="s">
        <v>1385</v>
      </c>
      <c r="AT1464" s="472" t="s">
        <v>4613</v>
      </c>
      <c r="AU1464" s="472" t="s">
        <v>420</v>
      </c>
      <c r="AV1464" s="472">
        <v>2020</v>
      </c>
      <c r="AW1464" s="474" t="s">
        <v>15078</v>
      </c>
      <c r="AX1464" s="475" t="s">
        <v>15079</v>
      </c>
      <c r="AY1464" s="515">
        <v>1</v>
      </c>
      <c r="AZ1464" s="474" t="s">
        <v>15079</v>
      </c>
      <c r="BA1464" s="472" t="s">
        <v>4613</v>
      </c>
      <c r="BB1464" s="472" t="s">
        <v>1385</v>
      </c>
      <c r="BC1464" s="472" t="s">
        <v>1385</v>
      </c>
      <c r="BD1464" s="472" t="s">
        <v>1385</v>
      </c>
      <c r="BE1464" s="472" t="s">
        <v>1385</v>
      </c>
      <c r="BF1464" s="472">
        <v>16826.400000000001</v>
      </c>
      <c r="BG1464" s="472">
        <v>0</v>
      </c>
      <c r="BH1464" s="472" t="s">
        <v>1385</v>
      </c>
      <c r="BI1464" s="510">
        <v>0</v>
      </c>
      <c r="BJ1464" s="510">
        <v>0</v>
      </c>
      <c r="BK1464" s="510">
        <v>0</v>
      </c>
      <c r="BL1464" s="510">
        <v>0</v>
      </c>
      <c r="BM1464" s="510">
        <v>0</v>
      </c>
      <c r="BN1464" s="510">
        <v>2000</v>
      </c>
      <c r="BO1464" s="510">
        <v>0</v>
      </c>
      <c r="BP1464" s="510">
        <v>0</v>
      </c>
      <c r="BQ1464" s="510">
        <v>0</v>
      </c>
      <c r="BR1464" s="510">
        <v>0</v>
      </c>
      <c r="BS1464" s="510">
        <v>0</v>
      </c>
      <c r="BT1464" s="510">
        <v>0</v>
      </c>
      <c r="BU1464" s="510">
        <v>0</v>
      </c>
      <c r="BV1464" s="510">
        <v>0</v>
      </c>
      <c r="BW1464" s="510">
        <v>0</v>
      </c>
      <c r="BX1464" s="510">
        <v>30000</v>
      </c>
      <c r="BY1464" s="1011">
        <v>0</v>
      </c>
      <c r="BZ1464" s="510">
        <v>0</v>
      </c>
      <c r="CA1464" s="1011">
        <v>0</v>
      </c>
      <c r="CB1464" s="510">
        <v>0</v>
      </c>
      <c r="CC1464" s="1011">
        <v>0</v>
      </c>
      <c r="CD1464" s="510">
        <v>0</v>
      </c>
      <c r="CE1464" s="1011">
        <v>0</v>
      </c>
      <c r="CF1464" s="510">
        <v>37507.199999999997</v>
      </c>
      <c r="CG1464" s="1011">
        <v>0</v>
      </c>
      <c r="CH1464" s="510">
        <v>0</v>
      </c>
      <c r="CI1464" s="1011">
        <v>0</v>
      </c>
    </row>
    <row r="1465" spans="1:87" x14ac:dyDescent="0.2">
      <c r="A1465" s="449">
        <v>14</v>
      </c>
      <c r="B1465" s="453">
        <v>400268</v>
      </c>
      <c r="C1465" s="454" t="s">
        <v>11714</v>
      </c>
      <c r="D1465" s="454" t="s">
        <v>4613</v>
      </c>
      <c r="E1465" s="454" t="s">
        <v>11715</v>
      </c>
      <c r="F1465" s="454" t="s">
        <v>519</v>
      </c>
      <c r="G1465" s="454" t="s">
        <v>14721</v>
      </c>
      <c r="H1465" s="455">
        <v>6895244000166</v>
      </c>
      <c r="I1465" s="462">
        <v>38160</v>
      </c>
      <c r="J1465" s="457">
        <v>37357719</v>
      </c>
      <c r="K1465" s="454" t="s">
        <v>11717</v>
      </c>
      <c r="L1465" s="458">
        <v>17</v>
      </c>
      <c r="M1465" s="454" t="s">
        <v>7252</v>
      </c>
      <c r="N1465" s="459">
        <v>5368040</v>
      </c>
      <c r="O1465" s="460">
        <v>37356868</v>
      </c>
      <c r="P1465" s="462">
        <v>123687</v>
      </c>
      <c r="Q1465" s="462">
        <v>81</v>
      </c>
      <c r="R1465" s="462">
        <v>43881</v>
      </c>
      <c r="S1465" s="463">
        <v>163</v>
      </c>
      <c r="T1465" s="464">
        <v>3.6</v>
      </c>
      <c r="U1465" s="465">
        <v>586.79999999999995</v>
      </c>
      <c r="V1465" s="465">
        <v>10800</v>
      </c>
      <c r="W1465" s="466">
        <v>0</v>
      </c>
      <c r="X1465" s="467">
        <v>1</v>
      </c>
      <c r="Y1465" s="466">
        <v>0</v>
      </c>
      <c r="Z1465" s="468" t="s">
        <v>514</v>
      </c>
      <c r="AA1465" s="466">
        <v>0</v>
      </c>
      <c r="AB1465" s="466">
        <v>0</v>
      </c>
      <c r="AC1465" s="467">
        <v>0</v>
      </c>
      <c r="AD1465" s="466">
        <v>0</v>
      </c>
      <c r="AE1465" s="468" t="s">
        <v>516</v>
      </c>
      <c r="AF1465" s="466">
        <v>0</v>
      </c>
      <c r="AG1465" s="466">
        <v>0</v>
      </c>
      <c r="AH1465" s="466">
        <v>1932.95</v>
      </c>
      <c r="AI1465" s="466">
        <v>0</v>
      </c>
      <c r="AJ1465" s="469" t="s">
        <v>2690</v>
      </c>
      <c r="AK1465" s="470" t="s">
        <v>2691</v>
      </c>
      <c r="AL1465" s="471" t="s">
        <v>11718</v>
      </c>
      <c r="AM1465" s="470" t="s">
        <v>14722</v>
      </c>
      <c r="AN1465" s="470" t="s">
        <v>11716</v>
      </c>
      <c r="AO1465" s="470" t="s">
        <v>11719</v>
      </c>
      <c r="AP1465" s="470" t="s">
        <v>11720</v>
      </c>
      <c r="AQ1465" s="470" t="s">
        <v>11714</v>
      </c>
      <c r="AR1465" s="472" t="s">
        <v>515</v>
      </c>
      <c r="AS1465" s="473" t="s">
        <v>1385</v>
      </c>
      <c r="AT1465" s="472" t="s">
        <v>4613</v>
      </c>
      <c r="AU1465" s="472" t="s">
        <v>420</v>
      </c>
      <c r="AV1465" s="472">
        <v>2020</v>
      </c>
      <c r="AW1465" s="474" t="s">
        <v>15078</v>
      </c>
      <c r="AX1465" s="475" t="s">
        <v>15079</v>
      </c>
      <c r="AY1465" s="515">
        <v>1</v>
      </c>
      <c r="AZ1465" s="474" t="s">
        <v>15079</v>
      </c>
      <c r="BA1465" s="472" t="s">
        <v>1385</v>
      </c>
      <c r="BB1465" s="472" t="s">
        <v>1385</v>
      </c>
      <c r="BC1465" s="472" t="s">
        <v>1385</v>
      </c>
      <c r="BD1465" s="472" t="s">
        <v>1385</v>
      </c>
      <c r="BE1465" s="472" t="s">
        <v>1385</v>
      </c>
      <c r="BF1465" s="472">
        <v>17080.2</v>
      </c>
      <c r="BG1465" s="472">
        <v>0</v>
      </c>
      <c r="BH1465" s="472" t="s">
        <v>516</v>
      </c>
      <c r="BI1465" s="510">
        <v>0</v>
      </c>
      <c r="BJ1465" s="510">
        <v>0</v>
      </c>
      <c r="BK1465" s="510">
        <v>0</v>
      </c>
      <c r="BL1465" s="510">
        <v>0</v>
      </c>
      <c r="BM1465" s="510">
        <v>0</v>
      </c>
      <c r="BN1465" s="510">
        <v>0</v>
      </c>
      <c r="BO1465" s="510">
        <v>0</v>
      </c>
      <c r="BP1465" s="510">
        <v>0</v>
      </c>
      <c r="BQ1465" s="510">
        <v>0</v>
      </c>
      <c r="BR1465" s="510">
        <v>0</v>
      </c>
      <c r="BS1465" s="510">
        <v>0</v>
      </c>
      <c r="BT1465" s="510">
        <v>0</v>
      </c>
      <c r="BU1465" s="510">
        <v>0</v>
      </c>
      <c r="BV1465" s="510">
        <v>0</v>
      </c>
      <c r="BW1465" s="510">
        <v>0</v>
      </c>
      <c r="BX1465" s="510">
        <v>0</v>
      </c>
      <c r="BY1465" s="1011">
        <v>0</v>
      </c>
      <c r="BZ1465" s="510">
        <v>0</v>
      </c>
      <c r="CA1465" s="1011">
        <v>0</v>
      </c>
      <c r="CB1465" s="510">
        <v>0</v>
      </c>
      <c r="CC1465" s="1011">
        <v>0</v>
      </c>
      <c r="CD1465" s="510">
        <v>0</v>
      </c>
      <c r="CE1465" s="1011">
        <v>0</v>
      </c>
      <c r="CF1465" s="510">
        <v>0</v>
      </c>
      <c r="CG1465" s="1011">
        <v>0</v>
      </c>
      <c r="CH1465" s="510">
        <v>0</v>
      </c>
      <c r="CI1465" s="1011">
        <v>0</v>
      </c>
    </row>
    <row r="1466" spans="1:87" x14ac:dyDescent="0.2">
      <c r="A1466" s="449">
        <v>15</v>
      </c>
      <c r="B1466" s="453">
        <v>400269</v>
      </c>
      <c r="C1466" s="454" t="s">
        <v>11721</v>
      </c>
      <c r="D1466" s="454" t="s">
        <v>4613</v>
      </c>
      <c r="E1466" s="454" t="s">
        <v>11722</v>
      </c>
      <c r="F1466" s="454" t="s">
        <v>519</v>
      </c>
      <c r="G1466" s="454" t="s">
        <v>14723</v>
      </c>
      <c r="H1466" s="455">
        <v>6537165000183</v>
      </c>
      <c r="I1466" s="462">
        <v>38142</v>
      </c>
      <c r="J1466" s="457">
        <v>37357700</v>
      </c>
      <c r="K1466" s="454" t="s">
        <v>11724</v>
      </c>
      <c r="L1466" s="458">
        <v>21</v>
      </c>
      <c r="M1466" s="454" t="s">
        <v>7284</v>
      </c>
      <c r="N1466" s="459">
        <v>5373000</v>
      </c>
      <c r="O1466" s="460">
        <v>37815817</v>
      </c>
      <c r="P1466" s="462">
        <v>124039</v>
      </c>
      <c r="Q1466" s="462">
        <v>82</v>
      </c>
      <c r="R1466" s="462">
        <v>43881</v>
      </c>
      <c r="S1466" s="463">
        <v>122</v>
      </c>
      <c r="T1466" s="464">
        <v>3.6</v>
      </c>
      <c r="U1466" s="465">
        <v>439.2</v>
      </c>
      <c r="V1466" s="465">
        <v>10800</v>
      </c>
      <c r="W1466" s="466">
        <v>0</v>
      </c>
      <c r="X1466" s="467">
        <v>1</v>
      </c>
      <c r="Y1466" s="466">
        <v>0</v>
      </c>
      <c r="Z1466" s="468" t="s">
        <v>514</v>
      </c>
      <c r="AA1466" s="466">
        <v>0</v>
      </c>
      <c r="AB1466" s="466">
        <v>0</v>
      </c>
      <c r="AC1466" s="467">
        <v>0</v>
      </c>
      <c r="AD1466" s="466">
        <v>0</v>
      </c>
      <c r="AE1466" s="468" t="s">
        <v>516</v>
      </c>
      <c r="AF1466" s="466">
        <v>0</v>
      </c>
      <c r="AG1466" s="466">
        <v>0</v>
      </c>
      <c r="AH1466" s="466">
        <v>1033.67</v>
      </c>
      <c r="AI1466" s="466">
        <v>4170.6000000000004</v>
      </c>
      <c r="AJ1466" s="469" t="s">
        <v>1940</v>
      </c>
      <c r="AK1466" s="470" t="s">
        <v>1941</v>
      </c>
      <c r="AL1466" s="471" t="s">
        <v>11725</v>
      </c>
      <c r="AM1466" s="470" t="s">
        <v>11726</v>
      </c>
      <c r="AN1466" s="470" t="s">
        <v>11723</v>
      </c>
      <c r="AO1466" s="470" t="s">
        <v>11727</v>
      </c>
      <c r="AP1466" s="470" t="s">
        <v>11728</v>
      </c>
      <c r="AQ1466" s="470" t="s">
        <v>11721</v>
      </c>
      <c r="AR1466" s="472" t="s">
        <v>515</v>
      </c>
      <c r="AS1466" s="473" t="s">
        <v>1385</v>
      </c>
      <c r="AT1466" s="472" t="s">
        <v>4613</v>
      </c>
      <c r="AU1466" s="472" t="s">
        <v>420</v>
      </c>
      <c r="AV1466" s="472">
        <v>2020</v>
      </c>
      <c r="AW1466" s="474" t="s">
        <v>15078</v>
      </c>
      <c r="AX1466" s="475" t="s">
        <v>15079</v>
      </c>
      <c r="AY1466" s="515">
        <v>1</v>
      </c>
      <c r="AZ1466" s="474" t="s">
        <v>15079</v>
      </c>
      <c r="BA1466" s="472" t="s">
        <v>1385</v>
      </c>
      <c r="BB1466" s="472" t="s">
        <v>1385</v>
      </c>
      <c r="BC1466" s="472" t="s">
        <v>1385</v>
      </c>
      <c r="BD1466" s="472" t="s">
        <v>1385</v>
      </c>
      <c r="BE1466" s="472" t="s">
        <v>1385</v>
      </c>
      <c r="BF1466" s="472">
        <v>16858.8</v>
      </c>
      <c r="BG1466" s="472">
        <v>0</v>
      </c>
      <c r="BH1466" s="472" t="s">
        <v>516</v>
      </c>
      <c r="BI1466" s="510">
        <v>0</v>
      </c>
      <c r="BJ1466" s="510">
        <v>0</v>
      </c>
      <c r="BK1466" s="510">
        <v>0</v>
      </c>
      <c r="BL1466" s="510">
        <v>0</v>
      </c>
      <c r="BM1466" s="510">
        <v>0</v>
      </c>
      <c r="BN1466" s="510">
        <v>0</v>
      </c>
      <c r="BO1466" s="510">
        <v>0</v>
      </c>
      <c r="BP1466" s="510">
        <v>0</v>
      </c>
      <c r="BQ1466" s="510">
        <v>0</v>
      </c>
      <c r="BR1466" s="510">
        <v>0</v>
      </c>
      <c r="BS1466" s="510">
        <v>0</v>
      </c>
      <c r="BT1466" s="510">
        <v>0</v>
      </c>
      <c r="BU1466" s="510">
        <v>0</v>
      </c>
      <c r="BV1466" s="510">
        <v>0</v>
      </c>
      <c r="BW1466" s="510">
        <v>0</v>
      </c>
      <c r="BX1466" s="510">
        <v>0</v>
      </c>
      <c r="BY1466" s="1011">
        <v>0</v>
      </c>
      <c r="BZ1466" s="510">
        <v>0</v>
      </c>
      <c r="CA1466" s="1011">
        <v>0</v>
      </c>
      <c r="CB1466" s="510">
        <v>0</v>
      </c>
      <c r="CC1466" s="1011">
        <v>0</v>
      </c>
      <c r="CD1466" s="510">
        <v>0</v>
      </c>
      <c r="CE1466" s="1011">
        <v>0</v>
      </c>
      <c r="CF1466" s="510">
        <v>0</v>
      </c>
      <c r="CG1466" s="1011">
        <v>0</v>
      </c>
      <c r="CH1466" s="510">
        <v>0</v>
      </c>
      <c r="CI1466" s="1011">
        <v>0</v>
      </c>
    </row>
    <row r="1467" spans="1:87" x14ac:dyDescent="0.2">
      <c r="A1467" s="449">
        <v>24</v>
      </c>
      <c r="B1467" s="453">
        <v>400270</v>
      </c>
      <c r="C1467" s="454" t="s">
        <v>11729</v>
      </c>
      <c r="D1467" s="454" t="s">
        <v>4613</v>
      </c>
      <c r="E1467" s="454" t="s">
        <v>11730</v>
      </c>
      <c r="F1467" s="454" t="s">
        <v>523</v>
      </c>
      <c r="G1467" s="454" t="s">
        <v>14724</v>
      </c>
      <c r="H1467" s="455">
        <v>8815333000180</v>
      </c>
      <c r="I1467" s="462">
        <v>39197</v>
      </c>
      <c r="J1467" s="457">
        <v>36464333</v>
      </c>
      <c r="K1467" s="454" t="s">
        <v>11731</v>
      </c>
      <c r="L1467" s="458">
        <v>300</v>
      </c>
      <c r="M1467" s="454" t="s">
        <v>5660</v>
      </c>
      <c r="N1467" s="459">
        <v>8474210</v>
      </c>
      <c r="O1467" s="460">
        <v>22821380</v>
      </c>
      <c r="P1467" s="462">
        <v>264930</v>
      </c>
      <c r="Q1467" s="462">
        <v>24</v>
      </c>
      <c r="R1467" s="462">
        <v>43921</v>
      </c>
      <c r="S1467" s="463">
        <v>136</v>
      </c>
      <c r="T1467" s="464">
        <v>3.6</v>
      </c>
      <c r="U1467" s="465">
        <v>489.6</v>
      </c>
      <c r="V1467" s="465">
        <v>10800</v>
      </c>
      <c r="W1467" s="466">
        <v>0</v>
      </c>
      <c r="X1467" s="467">
        <v>1</v>
      </c>
      <c r="Y1467" s="466">
        <v>16934.400000000001</v>
      </c>
      <c r="Z1467" s="468" t="s">
        <v>516</v>
      </c>
      <c r="AA1467" s="466">
        <v>84376.8</v>
      </c>
      <c r="AB1467" s="466">
        <v>84376.8</v>
      </c>
      <c r="AC1467" s="467">
        <v>0</v>
      </c>
      <c r="AD1467" s="466">
        <v>0</v>
      </c>
      <c r="AE1467" s="468" t="s">
        <v>516</v>
      </c>
      <c r="AF1467" s="466">
        <v>0</v>
      </c>
      <c r="AG1467" s="466">
        <v>0</v>
      </c>
      <c r="AH1467" s="466">
        <v>6003.65</v>
      </c>
      <c r="AI1467" s="466">
        <v>1773.88</v>
      </c>
      <c r="AJ1467" s="469" t="s">
        <v>1580</v>
      </c>
      <c r="AK1467" s="470" t="s">
        <v>1879</v>
      </c>
      <c r="AL1467" s="471" t="s">
        <v>11732</v>
      </c>
      <c r="AM1467" s="470" t="s">
        <v>14725</v>
      </c>
      <c r="AN1467" s="470" t="s">
        <v>1385</v>
      </c>
      <c r="AO1467" s="470" t="s">
        <v>14726</v>
      </c>
      <c r="AP1467" s="470" t="s">
        <v>11734</v>
      </c>
      <c r="AQ1467" s="470" t="s">
        <v>11729</v>
      </c>
      <c r="AR1467" s="472" t="s">
        <v>515</v>
      </c>
      <c r="AS1467" s="473" t="s">
        <v>1385</v>
      </c>
      <c r="AT1467" s="472" t="s">
        <v>4613</v>
      </c>
      <c r="AU1467" s="472" t="s">
        <v>420</v>
      </c>
      <c r="AV1467" s="472">
        <v>2020</v>
      </c>
      <c r="AW1467" s="474" t="s">
        <v>15078</v>
      </c>
      <c r="AX1467" s="475" t="s">
        <v>15079</v>
      </c>
      <c r="AY1467" s="515">
        <v>1</v>
      </c>
      <c r="AZ1467" s="474" t="s">
        <v>15079</v>
      </c>
      <c r="BA1467" s="472" t="s">
        <v>4613</v>
      </c>
      <c r="BB1467" s="472" t="s">
        <v>1385</v>
      </c>
      <c r="BC1467" s="472" t="s">
        <v>1385</v>
      </c>
      <c r="BD1467" s="472" t="s">
        <v>1385</v>
      </c>
      <c r="BE1467" s="472" t="s">
        <v>1385</v>
      </c>
      <c r="BF1467" s="472">
        <v>16934.400000000001</v>
      </c>
      <c r="BG1467" s="472">
        <v>0</v>
      </c>
      <c r="BH1467" s="472" t="s">
        <v>1385</v>
      </c>
      <c r="BI1467" s="510">
        <v>0</v>
      </c>
      <c r="BJ1467" s="510">
        <v>0</v>
      </c>
      <c r="BK1467" s="510">
        <v>0</v>
      </c>
      <c r="BL1467" s="510">
        <v>0</v>
      </c>
      <c r="BM1467" s="510">
        <v>0</v>
      </c>
      <c r="BN1467" s="510">
        <v>2000</v>
      </c>
      <c r="BO1467" s="510">
        <v>0</v>
      </c>
      <c r="BP1467" s="510">
        <v>0</v>
      </c>
      <c r="BQ1467" s="510">
        <v>0</v>
      </c>
      <c r="BR1467" s="510">
        <v>0</v>
      </c>
      <c r="BS1467" s="510">
        <v>0</v>
      </c>
      <c r="BT1467" s="510">
        <v>0</v>
      </c>
      <c r="BU1467" s="510">
        <v>0</v>
      </c>
      <c r="BV1467" s="510">
        <v>0</v>
      </c>
      <c r="BW1467" s="510">
        <v>0</v>
      </c>
      <c r="BX1467" s="510">
        <v>30000</v>
      </c>
      <c r="BY1467" s="1011">
        <v>0</v>
      </c>
      <c r="BZ1467" s="510">
        <v>0</v>
      </c>
      <c r="CA1467" s="1011">
        <v>0</v>
      </c>
      <c r="CB1467" s="510">
        <v>0</v>
      </c>
      <c r="CC1467" s="1011">
        <v>0</v>
      </c>
      <c r="CD1467" s="510">
        <v>0</v>
      </c>
      <c r="CE1467" s="1011">
        <v>0</v>
      </c>
      <c r="CF1467" s="510">
        <v>37442.400000000001</v>
      </c>
      <c r="CG1467" s="1011">
        <v>0</v>
      </c>
      <c r="CH1467" s="510">
        <v>0</v>
      </c>
      <c r="CI1467" s="1011">
        <v>0</v>
      </c>
    </row>
    <row r="1468" spans="1:87" x14ac:dyDescent="0.2">
      <c r="A1468" s="449">
        <v>32</v>
      </c>
      <c r="B1468" s="453">
        <v>400272</v>
      </c>
      <c r="C1468" s="454" t="s">
        <v>11735</v>
      </c>
      <c r="D1468" s="454" t="s">
        <v>4613</v>
      </c>
      <c r="E1468" s="454" t="s">
        <v>11736</v>
      </c>
      <c r="F1468" s="454" t="s">
        <v>526</v>
      </c>
      <c r="G1468" s="454" t="s">
        <v>14727</v>
      </c>
      <c r="H1468" s="455">
        <v>7080580000113</v>
      </c>
      <c r="I1468" s="462">
        <v>38135</v>
      </c>
      <c r="J1468" s="457">
        <v>37411748</v>
      </c>
      <c r="K1468" s="454" t="s">
        <v>11737</v>
      </c>
      <c r="L1468" s="458">
        <v>398</v>
      </c>
      <c r="M1468" s="454" t="s">
        <v>11738</v>
      </c>
      <c r="N1468" s="459">
        <v>8130210</v>
      </c>
      <c r="O1468" s="460">
        <v>25721727</v>
      </c>
      <c r="P1468" s="462">
        <v>129553</v>
      </c>
      <c r="Q1468" s="462">
        <v>32</v>
      </c>
      <c r="R1468" s="462">
        <v>43928</v>
      </c>
      <c r="S1468" s="463">
        <v>127</v>
      </c>
      <c r="T1468" s="464">
        <v>3.6</v>
      </c>
      <c r="U1468" s="465">
        <v>457.2</v>
      </c>
      <c r="V1468" s="465">
        <v>10800</v>
      </c>
      <c r="W1468" s="466">
        <v>0</v>
      </c>
      <c r="X1468" s="467">
        <v>1</v>
      </c>
      <c r="Y1468" s="466">
        <v>16885.8</v>
      </c>
      <c r="Z1468" s="468" t="s">
        <v>516</v>
      </c>
      <c r="AA1468" s="466">
        <v>84313.8</v>
      </c>
      <c r="AB1468" s="466">
        <v>84313.8</v>
      </c>
      <c r="AC1468" s="467">
        <v>0</v>
      </c>
      <c r="AD1468" s="466">
        <v>0</v>
      </c>
      <c r="AE1468" s="468" t="s">
        <v>516</v>
      </c>
      <c r="AF1468" s="466">
        <v>0</v>
      </c>
      <c r="AG1468" s="466">
        <v>0</v>
      </c>
      <c r="AH1468" s="466">
        <v>1299.3399999999999</v>
      </c>
      <c r="AI1468" s="466">
        <v>188.09</v>
      </c>
      <c r="AJ1468" s="469" t="s">
        <v>1410</v>
      </c>
      <c r="AK1468" s="470" t="s">
        <v>1411</v>
      </c>
      <c r="AL1468" s="471" t="s">
        <v>11739</v>
      </c>
      <c r="AM1468" s="470" t="s">
        <v>11740</v>
      </c>
      <c r="AN1468" s="470" t="s">
        <v>1385</v>
      </c>
      <c r="AO1468" s="470" t="s">
        <v>11741</v>
      </c>
      <c r="AP1468" s="470" t="s">
        <v>11742</v>
      </c>
      <c r="AQ1468" s="470" t="s">
        <v>11735</v>
      </c>
      <c r="AR1468" s="472" t="s">
        <v>515</v>
      </c>
      <c r="AS1468" s="473" t="s">
        <v>1385</v>
      </c>
      <c r="AT1468" s="472" t="s">
        <v>4613</v>
      </c>
      <c r="AU1468" s="472" t="s">
        <v>420</v>
      </c>
      <c r="AV1468" s="472">
        <v>2020</v>
      </c>
      <c r="AW1468" s="474" t="s">
        <v>15078</v>
      </c>
      <c r="AX1468" s="475" t="s">
        <v>15079</v>
      </c>
      <c r="AY1468" s="515">
        <v>1</v>
      </c>
      <c r="AZ1468" s="474" t="s">
        <v>15079</v>
      </c>
      <c r="BA1468" s="472" t="s">
        <v>4613</v>
      </c>
      <c r="BB1468" s="472" t="s">
        <v>1385</v>
      </c>
      <c r="BC1468" s="472" t="s">
        <v>1385</v>
      </c>
      <c r="BD1468" s="472" t="s">
        <v>1385</v>
      </c>
      <c r="BE1468" s="472" t="s">
        <v>1385</v>
      </c>
      <c r="BF1468" s="472">
        <v>16885.8</v>
      </c>
      <c r="BG1468" s="472">
        <v>0</v>
      </c>
      <c r="BH1468" s="472" t="s">
        <v>1385</v>
      </c>
      <c r="BI1468" s="510">
        <v>0</v>
      </c>
      <c r="BJ1468" s="510">
        <v>0</v>
      </c>
      <c r="BK1468" s="510">
        <v>0</v>
      </c>
      <c r="BL1468" s="510">
        <v>0</v>
      </c>
      <c r="BM1468" s="510">
        <v>0</v>
      </c>
      <c r="BN1468" s="510">
        <v>2000</v>
      </c>
      <c r="BO1468" s="510">
        <v>0</v>
      </c>
      <c r="BP1468" s="510">
        <v>0</v>
      </c>
      <c r="BQ1468" s="510">
        <v>0</v>
      </c>
      <c r="BR1468" s="510">
        <v>0</v>
      </c>
      <c r="BS1468" s="510">
        <v>0</v>
      </c>
      <c r="BT1468" s="510">
        <v>0</v>
      </c>
      <c r="BU1468" s="510">
        <v>0</v>
      </c>
      <c r="BV1468" s="510">
        <v>0</v>
      </c>
      <c r="BW1468" s="510">
        <v>0</v>
      </c>
      <c r="BX1468" s="510">
        <v>30000</v>
      </c>
      <c r="BY1468" s="1011">
        <v>0</v>
      </c>
      <c r="BZ1468" s="510">
        <v>0</v>
      </c>
      <c r="CA1468" s="1011">
        <v>0</v>
      </c>
      <c r="CB1468" s="510">
        <v>0</v>
      </c>
      <c r="CC1468" s="1011">
        <v>0</v>
      </c>
      <c r="CD1468" s="510">
        <v>0</v>
      </c>
      <c r="CE1468" s="1011">
        <v>0</v>
      </c>
      <c r="CF1468" s="510">
        <v>37428</v>
      </c>
      <c r="CG1468" s="1011">
        <v>0</v>
      </c>
      <c r="CH1468" s="510">
        <v>0</v>
      </c>
      <c r="CI1468" s="1011">
        <v>0</v>
      </c>
    </row>
    <row r="1469" spans="1:87" x14ac:dyDescent="0.2">
      <c r="A1469" s="449">
        <v>4</v>
      </c>
      <c r="B1469" s="453">
        <v>400274</v>
      </c>
      <c r="C1469" s="454" t="s">
        <v>11743</v>
      </c>
      <c r="D1469" s="454" t="s">
        <v>4613</v>
      </c>
      <c r="E1469" s="454" t="s">
        <v>11744</v>
      </c>
      <c r="F1469" s="454" t="s">
        <v>519</v>
      </c>
      <c r="G1469" s="454" t="s">
        <v>14728</v>
      </c>
      <c r="H1469" s="455">
        <v>6869217000119</v>
      </c>
      <c r="I1469" s="462">
        <v>38162</v>
      </c>
      <c r="J1469" s="457">
        <v>37358383</v>
      </c>
      <c r="K1469" s="454" t="s">
        <v>1938</v>
      </c>
      <c r="L1469" s="458">
        <v>100</v>
      </c>
      <c r="M1469" s="454" t="s">
        <v>1939</v>
      </c>
      <c r="N1469" s="459">
        <v>5574450</v>
      </c>
      <c r="O1469" s="460">
        <v>37811290</v>
      </c>
      <c r="P1469" s="462">
        <v>117172</v>
      </c>
      <c r="Q1469" s="462">
        <v>71</v>
      </c>
      <c r="R1469" s="462">
        <v>43881</v>
      </c>
      <c r="S1469" s="463">
        <v>153</v>
      </c>
      <c r="T1469" s="464">
        <v>3.6</v>
      </c>
      <c r="U1469" s="465">
        <v>550.79999999999995</v>
      </c>
      <c r="V1469" s="465">
        <v>10800</v>
      </c>
      <c r="W1469" s="466">
        <v>0</v>
      </c>
      <c r="X1469" s="467">
        <v>1</v>
      </c>
      <c r="Y1469" s="466">
        <v>0</v>
      </c>
      <c r="Z1469" s="468" t="s">
        <v>514</v>
      </c>
      <c r="AA1469" s="466">
        <v>0</v>
      </c>
      <c r="AB1469" s="466">
        <v>0</v>
      </c>
      <c r="AC1469" s="467">
        <v>0</v>
      </c>
      <c r="AD1469" s="466">
        <v>0</v>
      </c>
      <c r="AE1469" s="468" t="s">
        <v>516</v>
      </c>
      <c r="AF1469" s="466">
        <v>0</v>
      </c>
      <c r="AG1469" s="466">
        <v>0</v>
      </c>
      <c r="AH1469" s="466">
        <v>415.21</v>
      </c>
      <c r="AI1469" s="466">
        <v>2080.98</v>
      </c>
      <c r="AJ1469" s="469" t="s">
        <v>1606</v>
      </c>
      <c r="AK1469" s="470" t="s">
        <v>519</v>
      </c>
      <c r="AL1469" s="471" t="s">
        <v>11746</v>
      </c>
      <c r="AM1469" s="470" t="s">
        <v>11747</v>
      </c>
      <c r="AN1469" s="470" t="s">
        <v>11745</v>
      </c>
      <c r="AO1469" s="470" t="s">
        <v>11748</v>
      </c>
      <c r="AP1469" s="470" t="s">
        <v>11749</v>
      </c>
      <c r="AQ1469" s="470" t="s">
        <v>11743</v>
      </c>
      <c r="AR1469" s="472" t="s">
        <v>515</v>
      </c>
      <c r="AS1469" s="473" t="s">
        <v>1385</v>
      </c>
      <c r="AT1469" s="472" t="s">
        <v>4613</v>
      </c>
      <c r="AU1469" s="472" t="s">
        <v>420</v>
      </c>
      <c r="AV1469" s="472">
        <v>2020</v>
      </c>
      <c r="AW1469" s="474" t="s">
        <v>15078</v>
      </c>
      <c r="AX1469" s="475" t="s">
        <v>15079</v>
      </c>
      <c r="AY1469" s="515">
        <v>1</v>
      </c>
      <c r="AZ1469" s="474" t="s">
        <v>15079</v>
      </c>
      <c r="BA1469" s="472" t="s">
        <v>1385</v>
      </c>
      <c r="BB1469" s="472" t="s">
        <v>1385</v>
      </c>
      <c r="BC1469" s="472" t="s">
        <v>1385</v>
      </c>
      <c r="BD1469" s="472" t="s">
        <v>1385</v>
      </c>
      <c r="BE1469" s="472" t="s">
        <v>1385</v>
      </c>
      <c r="BF1469" s="472">
        <v>17026.2</v>
      </c>
      <c r="BG1469" s="472">
        <v>0</v>
      </c>
      <c r="BH1469" s="472" t="s">
        <v>516</v>
      </c>
      <c r="BI1469" s="510">
        <v>0</v>
      </c>
      <c r="BJ1469" s="510">
        <v>0</v>
      </c>
      <c r="BK1469" s="510">
        <v>0</v>
      </c>
      <c r="BL1469" s="510">
        <v>0</v>
      </c>
      <c r="BM1469" s="510">
        <v>0</v>
      </c>
      <c r="BN1469" s="510">
        <v>0</v>
      </c>
      <c r="BO1469" s="510">
        <v>0</v>
      </c>
      <c r="BP1469" s="510">
        <v>0</v>
      </c>
      <c r="BQ1469" s="510">
        <v>0</v>
      </c>
      <c r="BR1469" s="510">
        <v>0</v>
      </c>
      <c r="BS1469" s="510">
        <v>0</v>
      </c>
      <c r="BT1469" s="510">
        <v>0</v>
      </c>
      <c r="BU1469" s="510">
        <v>0</v>
      </c>
      <c r="BV1469" s="510">
        <v>0</v>
      </c>
      <c r="BW1469" s="510">
        <v>0</v>
      </c>
      <c r="BX1469" s="510">
        <v>0</v>
      </c>
      <c r="BY1469" s="1011">
        <v>0</v>
      </c>
      <c r="BZ1469" s="510">
        <v>0</v>
      </c>
      <c r="CA1469" s="1011">
        <v>0</v>
      </c>
      <c r="CB1469" s="510">
        <v>0</v>
      </c>
      <c r="CC1469" s="1011">
        <v>0</v>
      </c>
      <c r="CD1469" s="510">
        <v>0</v>
      </c>
      <c r="CE1469" s="1011">
        <v>0</v>
      </c>
      <c r="CF1469" s="510">
        <v>0</v>
      </c>
      <c r="CG1469" s="1011">
        <v>0</v>
      </c>
      <c r="CH1469" s="510">
        <v>0</v>
      </c>
      <c r="CI1469" s="1011">
        <v>0</v>
      </c>
    </row>
    <row r="1470" spans="1:87" x14ac:dyDescent="0.2">
      <c r="A1470" s="449">
        <v>19</v>
      </c>
      <c r="B1470" s="453">
        <v>400275</v>
      </c>
      <c r="C1470" s="454" t="s">
        <v>11750</v>
      </c>
      <c r="D1470" s="454" t="s">
        <v>4613</v>
      </c>
      <c r="E1470" s="454" t="s">
        <v>11751</v>
      </c>
      <c r="F1470" s="454" t="s">
        <v>521</v>
      </c>
      <c r="G1470" s="454" t="s">
        <v>14729</v>
      </c>
      <c r="H1470" s="455">
        <v>7888665000122</v>
      </c>
      <c r="I1470" s="462">
        <v>38324</v>
      </c>
      <c r="J1470" s="457">
        <v>37552511</v>
      </c>
      <c r="K1470" s="454" t="s">
        <v>11752</v>
      </c>
      <c r="L1470" s="458">
        <v>377</v>
      </c>
      <c r="M1470" s="454" t="s">
        <v>7805</v>
      </c>
      <c r="N1470" s="459">
        <v>4821150</v>
      </c>
      <c r="O1470" s="460">
        <v>56633812</v>
      </c>
      <c r="P1470" s="462">
        <v>89098</v>
      </c>
      <c r="Q1470" s="462">
        <v>81</v>
      </c>
      <c r="R1470" s="462">
        <v>43934</v>
      </c>
      <c r="S1470" s="463">
        <v>161</v>
      </c>
      <c r="T1470" s="464">
        <v>3.6</v>
      </c>
      <c r="U1470" s="465">
        <v>579.6</v>
      </c>
      <c r="V1470" s="465">
        <v>10800</v>
      </c>
      <c r="W1470" s="466">
        <v>0</v>
      </c>
      <c r="X1470" s="467">
        <v>1</v>
      </c>
      <c r="Y1470" s="466">
        <v>17069.400000000001</v>
      </c>
      <c r="Z1470" s="468" t="s">
        <v>516</v>
      </c>
      <c r="AA1470" s="466">
        <v>84814.2</v>
      </c>
      <c r="AB1470" s="466">
        <v>84814.2</v>
      </c>
      <c r="AC1470" s="467">
        <v>0</v>
      </c>
      <c r="AD1470" s="466">
        <v>0</v>
      </c>
      <c r="AE1470" s="468" t="s">
        <v>516</v>
      </c>
      <c r="AF1470" s="466">
        <v>0</v>
      </c>
      <c r="AG1470" s="466">
        <v>0</v>
      </c>
      <c r="AH1470" s="466">
        <v>16364.94</v>
      </c>
      <c r="AI1470" s="466">
        <v>4936.79</v>
      </c>
      <c r="AJ1470" s="469" t="s">
        <v>1481</v>
      </c>
      <c r="AK1470" s="470" t="s">
        <v>1632</v>
      </c>
      <c r="AL1470" s="471" t="s">
        <v>11753</v>
      </c>
      <c r="AM1470" s="470" t="s">
        <v>11754</v>
      </c>
      <c r="AN1470" s="470" t="s">
        <v>1385</v>
      </c>
      <c r="AO1470" s="470" t="s">
        <v>14730</v>
      </c>
      <c r="AP1470" s="470" t="s">
        <v>11755</v>
      </c>
      <c r="AQ1470" s="470" t="s">
        <v>11750</v>
      </c>
      <c r="AR1470" s="472" t="s">
        <v>515</v>
      </c>
      <c r="AS1470" s="473" t="s">
        <v>1385</v>
      </c>
      <c r="AT1470" s="472" t="s">
        <v>4613</v>
      </c>
      <c r="AU1470" s="472" t="s">
        <v>420</v>
      </c>
      <c r="AV1470" s="472">
        <v>2020</v>
      </c>
      <c r="AW1470" s="474" t="s">
        <v>15078</v>
      </c>
      <c r="AX1470" s="475" t="s">
        <v>15079</v>
      </c>
      <c r="AY1470" s="515">
        <v>1</v>
      </c>
      <c r="AZ1470" s="474" t="s">
        <v>15079</v>
      </c>
      <c r="BA1470" s="472" t="s">
        <v>4613</v>
      </c>
      <c r="BB1470" s="472" t="s">
        <v>1385</v>
      </c>
      <c r="BC1470" s="472" t="s">
        <v>1385</v>
      </c>
      <c r="BD1470" s="472" t="s">
        <v>1385</v>
      </c>
      <c r="BE1470" s="472" t="s">
        <v>1385</v>
      </c>
      <c r="BF1470" s="472">
        <v>17069.400000000001</v>
      </c>
      <c r="BG1470" s="472">
        <v>0</v>
      </c>
      <c r="BH1470" s="472" t="s">
        <v>1385</v>
      </c>
      <c r="BI1470" s="510">
        <v>0</v>
      </c>
      <c r="BJ1470" s="510">
        <v>0</v>
      </c>
      <c r="BK1470" s="510">
        <v>0</v>
      </c>
      <c r="BL1470" s="510">
        <v>0</v>
      </c>
      <c r="BM1470" s="510">
        <v>0</v>
      </c>
      <c r="BN1470" s="510">
        <v>2000</v>
      </c>
      <c r="BO1470" s="510">
        <v>0</v>
      </c>
      <c r="BP1470" s="510">
        <v>0</v>
      </c>
      <c r="BQ1470" s="510">
        <v>0</v>
      </c>
      <c r="BR1470" s="510">
        <v>0</v>
      </c>
      <c r="BS1470" s="510">
        <v>0</v>
      </c>
      <c r="BT1470" s="510">
        <v>0</v>
      </c>
      <c r="BU1470" s="510">
        <v>0</v>
      </c>
      <c r="BV1470" s="510">
        <v>0</v>
      </c>
      <c r="BW1470" s="510">
        <v>0</v>
      </c>
      <c r="BX1470" s="510">
        <v>30000</v>
      </c>
      <c r="BY1470" s="1011">
        <v>0</v>
      </c>
      <c r="BZ1470" s="510">
        <v>0</v>
      </c>
      <c r="CA1470" s="1011">
        <v>0</v>
      </c>
      <c r="CB1470" s="510">
        <v>0</v>
      </c>
      <c r="CC1470" s="1011">
        <v>0</v>
      </c>
      <c r="CD1470" s="510">
        <v>0</v>
      </c>
      <c r="CE1470" s="1011">
        <v>0</v>
      </c>
      <c r="CF1470" s="510">
        <v>37744.800000000003</v>
      </c>
      <c r="CG1470" s="1011">
        <v>0</v>
      </c>
      <c r="CH1470" s="510">
        <v>0</v>
      </c>
      <c r="CI1470" s="1011">
        <v>0</v>
      </c>
    </row>
    <row r="1471" spans="1:87" x14ac:dyDescent="0.2">
      <c r="A1471" s="449">
        <v>2</v>
      </c>
      <c r="B1471" s="453">
        <v>400276</v>
      </c>
      <c r="C1471" s="454" t="s">
        <v>11756</v>
      </c>
      <c r="D1471" s="454" t="s">
        <v>4613</v>
      </c>
      <c r="E1471" s="454" t="s">
        <v>11757</v>
      </c>
      <c r="F1471" s="454" t="s">
        <v>522</v>
      </c>
      <c r="G1471" s="454" t="s">
        <v>14731</v>
      </c>
      <c r="H1471" s="455">
        <v>8386176000135</v>
      </c>
      <c r="I1471" s="462">
        <v>38758</v>
      </c>
      <c r="J1471" s="457">
        <v>38089548</v>
      </c>
      <c r="K1471" s="454" t="s">
        <v>11758</v>
      </c>
      <c r="L1471" s="458">
        <v>26</v>
      </c>
      <c r="M1471" s="454" t="s">
        <v>3436</v>
      </c>
      <c r="N1471" s="459">
        <v>2567200</v>
      </c>
      <c r="O1471" s="460">
        <v>22556294</v>
      </c>
      <c r="P1471" s="462">
        <v>86021</v>
      </c>
      <c r="Q1471" s="462">
        <v>35</v>
      </c>
      <c r="R1471" s="462">
        <v>43911</v>
      </c>
      <c r="S1471" s="463">
        <v>159</v>
      </c>
      <c r="T1471" s="464">
        <v>3.6</v>
      </c>
      <c r="U1471" s="465">
        <v>572.4</v>
      </c>
      <c r="V1471" s="465">
        <v>10800</v>
      </c>
      <c r="W1471" s="466">
        <v>0</v>
      </c>
      <c r="X1471" s="467">
        <v>1</v>
      </c>
      <c r="Y1471" s="466">
        <v>17058.599999999999</v>
      </c>
      <c r="Z1471" s="468" t="s">
        <v>516</v>
      </c>
      <c r="AA1471" s="466">
        <v>84781.8</v>
      </c>
      <c r="AB1471" s="466">
        <v>84781.8</v>
      </c>
      <c r="AC1471" s="467">
        <v>0</v>
      </c>
      <c r="AD1471" s="466">
        <v>0</v>
      </c>
      <c r="AE1471" s="468" t="s">
        <v>516</v>
      </c>
      <c r="AF1471" s="466">
        <v>0</v>
      </c>
      <c r="AG1471" s="466">
        <v>0</v>
      </c>
      <c r="AH1471" s="466">
        <v>9155.74</v>
      </c>
      <c r="AI1471" s="466">
        <v>2839.16</v>
      </c>
      <c r="AJ1471" s="469" t="s">
        <v>1438</v>
      </c>
      <c r="AK1471" s="470" t="s">
        <v>12345</v>
      </c>
      <c r="AL1471" s="471" t="s">
        <v>11759</v>
      </c>
      <c r="AM1471" s="470" t="s">
        <v>11760</v>
      </c>
      <c r="AN1471" s="470" t="s">
        <v>1385</v>
      </c>
      <c r="AO1471" s="470" t="s">
        <v>14732</v>
      </c>
      <c r="AP1471" s="470" t="s">
        <v>11761</v>
      </c>
      <c r="AQ1471" s="470" t="s">
        <v>11756</v>
      </c>
      <c r="AR1471" s="472" t="s">
        <v>515</v>
      </c>
      <c r="AS1471" s="473" t="s">
        <v>1385</v>
      </c>
      <c r="AT1471" s="472" t="s">
        <v>4613</v>
      </c>
      <c r="AU1471" s="472" t="s">
        <v>420</v>
      </c>
      <c r="AV1471" s="472">
        <v>2020</v>
      </c>
      <c r="AW1471" s="474" t="s">
        <v>15078</v>
      </c>
      <c r="AX1471" s="475" t="s">
        <v>15079</v>
      </c>
      <c r="AY1471" s="515">
        <v>1</v>
      </c>
      <c r="AZ1471" s="474" t="s">
        <v>15079</v>
      </c>
      <c r="BA1471" s="472" t="s">
        <v>4613</v>
      </c>
      <c r="BB1471" s="472" t="s">
        <v>1385</v>
      </c>
      <c r="BC1471" s="472" t="s">
        <v>1385</v>
      </c>
      <c r="BD1471" s="472" t="s">
        <v>1385</v>
      </c>
      <c r="BE1471" s="472" t="s">
        <v>1385</v>
      </c>
      <c r="BF1471" s="472">
        <v>17058.599999999999</v>
      </c>
      <c r="BG1471" s="472">
        <v>0</v>
      </c>
      <c r="BH1471" s="472" t="s">
        <v>1385</v>
      </c>
      <c r="BI1471" s="510">
        <v>0</v>
      </c>
      <c r="BJ1471" s="510">
        <v>0</v>
      </c>
      <c r="BK1471" s="510">
        <v>0</v>
      </c>
      <c r="BL1471" s="510">
        <v>0</v>
      </c>
      <c r="BM1471" s="510">
        <v>0</v>
      </c>
      <c r="BN1471" s="510">
        <v>2000</v>
      </c>
      <c r="BO1471" s="510">
        <v>0</v>
      </c>
      <c r="BP1471" s="510">
        <v>0</v>
      </c>
      <c r="BQ1471" s="510">
        <v>0</v>
      </c>
      <c r="BR1471" s="510">
        <v>0</v>
      </c>
      <c r="BS1471" s="510">
        <v>0</v>
      </c>
      <c r="BT1471" s="510">
        <v>0</v>
      </c>
      <c r="BU1471" s="510">
        <v>0</v>
      </c>
      <c r="BV1471" s="510">
        <v>0</v>
      </c>
      <c r="BW1471" s="510">
        <v>0</v>
      </c>
      <c r="BX1471" s="510">
        <v>30000</v>
      </c>
      <c r="BY1471" s="1011">
        <v>0</v>
      </c>
      <c r="BZ1471" s="510">
        <v>0</v>
      </c>
      <c r="CA1471" s="1011">
        <v>0</v>
      </c>
      <c r="CB1471" s="510">
        <v>0</v>
      </c>
      <c r="CC1471" s="1011">
        <v>0</v>
      </c>
      <c r="CD1471" s="510">
        <v>0</v>
      </c>
      <c r="CE1471" s="1011">
        <v>0</v>
      </c>
      <c r="CF1471" s="510">
        <v>37723.199999999997</v>
      </c>
      <c r="CG1471" s="1011">
        <v>0</v>
      </c>
      <c r="CH1471" s="510">
        <v>0</v>
      </c>
      <c r="CI1471" s="1011">
        <v>0</v>
      </c>
    </row>
    <row r="1472" spans="1:87" x14ac:dyDescent="0.2">
      <c r="A1472" s="449">
        <v>17</v>
      </c>
      <c r="B1472" s="453">
        <v>400277</v>
      </c>
      <c r="C1472" s="454" t="s">
        <v>11762</v>
      </c>
      <c r="D1472" s="454" t="s">
        <v>4613</v>
      </c>
      <c r="E1472" s="454" t="s">
        <v>11763</v>
      </c>
      <c r="F1472" s="454" t="s">
        <v>523</v>
      </c>
      <c r="G1472" s="454" t="s">
        <v>14733</v>
      </c>
      <c r="H1472" s="455">
        <v>8737123000111</v>
      </c>
      <c r="I1472" s="462">
        <v>39168</v>
      </c>
      <c r="J1472" s="457">
        <v>37620126</v>
      </c>
      <c r="K1472" s="454" t="s">
        <v>11765</v>
      </c>
      <c r="L1472" s="458">
        <v>200</v>
      </c>
      <c r="M1472" s="454" t="s">
        <v>1950</v>
      </c>
      <c r="N1472" s="459">
        <v>8475340</v>
      </c>
      <c r="O1472" s="460">
        <v>29644455</v>
      </c>
      <c r="P1472" s="462">
        <v>267565</v>
      </c>
      <c r="Q1472" s="462">
        <v>17</v>
      </c>
      <c r="R1472" s="462">
        <v>43921</v>
      </c>
      <c r="S1472" s="463">
        <v>174</v>
      </c>
      <c r="T1472" s="464">
        <v>3.6</v>
      </c>
      <c r="U1472" s="465">
        <v>626.4</v>
      </c>
      <c r="V1472" s="465">
        <v>10800</v>
      </c>
      <c r="W1472" s="466">
        <v>0</v>
      </c>
      <c r="X1472" s="467">
        <v>1</v>
      </c>
      <c r="Y1472" s="466">
        <v>17139.599999999999</v>
      </c>
      <c r="Z1472" s="468" t="s">
        <v>516</v>
      </c>
      <c r="AA1472" s="466">
        <v>85050</v>
      </c>
      <c r="AB1472" s="466">
        <v>85050</v>
      </c>
      <c r="AC1472" s="467">
        <v>0</v>
      </c>
      <c r="AD1472" s="466">
        <v>0</v>
      </c>
      <c r="AE1472" s="468" t="s">
        <v>516</v>
      </c>
      <c r="AF1472" s="466">
        <v>0</v>
      </c>
      <c r="AG1472" s="466">
        <v>0</v>
      </c>
      <c r="AH1472" s="466">
        <v>8956.61</v>
      </c>
      <c r="AI1472" s="466">
        <v>3603.58</v>
      </c>
      <c r="AJ1472" s="469" t="s">
        <v>2050</v>
      </c>
      <c r="AK1472" s="470" t="s">
        <v>2051</v>
      </c>
      <c r="AL1472" s="471" t="s">
        <v>11766</v>
      </c>
      <c r="AM1472" s="470" t="s">
        <v>11767</v>
      </c>
      <c r="AN1472" s="470" t="s">
        <v>11764</v>
      </c>
      <c r="AO1472" s="470" t="s">
        <v>14734</v>
      </c>
      <c r="AP1472" s="470" t="s">
        <v>11768</v>
      </c>
      <c r="AQ1472" s="470" t="s">
        <v>11762</v>
      </c>
      <c r="AR1472" s="472" t="s">
        <v>515</v>
      </c>
      <c r="AS1472" s="473" t="s">
        <v>1385</v>
      </c>
      <c r="AT1472" s="472" t="s">
        <v>4613</v>
      </c>
      <c r="AU1472" s="472" t="s">
        <v>420</v>
      </c>
      <c r="AV1472" s="472">
        <v>2020</v>
      </c>
      <c r="AW1472" s="474" t="s">
        <v>15078</v>
      </c>
      <c r="AX1472" s="475" t="s">
        <v>15079</v>
      </c>
      <c r="AY1472" s="515">
        <v>1</v>
      </c>
      <c r="AZ1472" s="474" t="s">
        <v>15079</v>
      </c>
      <c r="BA1472" s="472" t="s">
        <v>4613</v>
      </c>
      <c r="BB1472" s="472" t="s">
        <v>1385</v>
      </c>
      <c r="BC1472" s="472" t="s">
        <v>1385</v>
      </c>
      <c r="BD1472" s="472" t="s">
        <v>1385</v>
      </c>
      <c r="BE1472" s="472" t="s">
        <v>1385</v>
      </c>
      <c r="BF1472" s="472">
        <v>17139.599999999999</v>
      </c>
      <c r="BG1472" s="472">
        <v>0</v>
      </c>
      <c r="BH1472" s="472" t="s">
        <v>1385</v>
      </c>
      <c r="BI1472" s="510">
        <v>0</v>
      </c>
      <c r="BJ1472" s="510">
        <v>0</v>
      </c>
      <c r="BK1472" s="510">
        <v>0</v>
      </c>
      <c r="BL1472" s="510">
        <v>0</v>
      </c>
      <c r="BM1472" s="510">
        <v>0</v>
      </c>
      <c r="BN1472" s="510">
        <v>2000</v>
      </c>
      <c r="BO1472" s="510">
        <v>0</v>
      </c>
      <c r="BP1472" s="510">
        <v>0</v>
      </c>
      <c r="BQ1472" s="510">
        <v>0</v>
      </c>
      <c r="BR1472" s="510">
        <v>0</v>
      </c>
      <c r="BS1472" s="510">
        <v>0</v>
      </c>
      <c r="BT1472" s="510">
        <v>0</v>
      </c>
      <c r="BU1472" s="510">
        <v>0</v>
      </c>
      <c r="BV1472" s="510">
        <v>0</v>
      </c>
      <c r="BW1472" s="510">
        <v>0</v>
      </c>
      <c r="BX1472" s="510">
        <v>30000</v>
      </c>
      <c r="BY1472" s="1011">
        <v>0</v>
      </c>
      <c r="BZ1472" s="510">
        <v>0</v>
      </c>
      <c r="CA1472" s="1011">
        <v>0</v>
      </c>
      <c r="CB1472" s="510">
        <v>0</v>
      </c>
      <c r="CC1472" s="1011">
        <v>0</v>
      </c>
      <c r="CD1472" s="510">
        <v>0</v>
      </c>
      <c r="CE1472" s="1011">
        <v>0</v>
      </c>
      <c r="CF1472" s="510">
        <v>37910.400000000001</v>
      </c>
      <c r="CG1472" s="1011">
        <v>0</v>
      </c>
      <c r="CH1472" s="510">
        <v>0</v>
      </c>
      <c r="CI1472" s="1011">
        <v>0</v>
      </c>
    </row>
    <row r="1473" spans="1:87" x14ac:dyDescent="0.2">
      <c r="A1473" s="449">
        <v>19</v>
      </c>
      <c r="B1473" s="453">
        <v>400278</v>
      </c>
      <c r="C1473" s="454" t="s">
        <v>11769</v>
      </c>
      <c r="D1473" s="454" t="s">
        <v>4613</v>
      </c>
      <c r="E1473" s="454" t="s">
        <v>11770</v>
      </c>
      <c r="F1473" s="454" t="s">
        <v>523</v>
      </c>
      <c r="G1473" s="454" t="s">
        <v>14735</v>
      </c>
      <c r="H1473" s="455">
        <v>8684325000142</v>
      </c>
      <c r="I1473" s="462">
        <v>38614</v>
      </c>
      <c r="J1473" s="457">
        <v>37512692</v>
      </c>
      <c r="K1473" s="454" t="s">
        <v>2262</v>
      </c>
      <c r="L1473" s="458">
        <v>159</v>
      </c>
      <c r="M1473" s="454" t="s">
        <v>1950</v>
      </c>
      <c r="N1473" s="459">
        <v>8485440</v>
      </c>
      <c r="O1473" s="460">
        <v>22853744</v>
      </c>
      <c r="P1473" s="462">
        <v>267590</v>
      </c>
      <c r="Q1473" s="462">
        <v>19</v>
      </c>
      <c r="R1473" s="462">
        <v>43921</v>
      </c>
      <c r="S1473" s="463">
        <v>149</v>
      </c>
      <c r="T1473" s="464">
        <v>3.6</v>
      </c>
      <c r="U1473" s="465">
        <v>536.4</v>
      </c>
      <c r="V1473" s="465">
        <v>10800</v>
      </c>
      <c r="W1473" s="466">
        <v>0</v>
      </c>
      <c r="X1473" s="467">
        <v>1</v>
      </c>
      <c r="Y1473" s="466">
        <v>17004.599999999999</v>
      </c>
      <c r="Z1473" s="468" t="s">
        <v>516</v>
      </c>
      <c r="AA1473" s="466">
        <v>84663</v>
      </c>
      <c r="AB1473" s="466">
        <v>84663</v>
      </c>
      <c r="AC1473" s="467">
        <v>0</v>
      </c>
      <c r="AD1473" s="466">
        <v>0</v>
      </c>
      <c r="AE1473" s="468" t="s">
        <v>516</v>
      </c>
      <c r="AF1473" s="466">
        <v>0</v>
      </c>
      <c r="AG1473" s="466">
        <v>0</v>
      </c>
      <c r="AH1473" s="466">
        <v>11201.48</v>
      </c>
      <c r="AI1473" s="466">
        <v>4803.78</v>
      </c>
      <c r="AJ1473" s="469" t="s">
        <v>2050</v>
      </c>
      <c r="AK1473" s="470" t="s">
        <v>2051</v>
      </c>
      <c r="AL1473" s="471" t="s">
        <v>11771</v>
      </c>
      <c r="AM1473" s="470" t="s">
        <v>14736</v>
      </c>
      <c r="AN1473" s="470" t="s">
        <v>1385</v>
      </c>
      <c r="AO1473" s="470" t="s">
        <v>11772</v>
      </c>
      <c r="AP1473" s="470" t="s">
        <v>11773</v>
      </c>
      <c r="AQ1473" s="470" t="s">
        <v>11769</v>
      </c>
      <c r="AR1473" s="472" t="s">
        <v>515</v>
      </c>
      <c r="AS1473" s="473" t="s">
        <v>1385</v>
      </c>
      <c r="AT1473" s="472" t="s">
        <v>4613</v>
      </c>
      <c r="AU1473" s="472" t="s">
        <v>420</v>
      </c>
      <c r="AV1473" s="472">
        <v>2020</v>
      </c>
      <c r="AW1473" s="474" t="s">
        <v>15078</v>
      </c>
      <c r="AX1473" s="475" t="s">
        <v>15079</v>
      </c>
      <c r="AY1473" s="515">
        <v>1</v>
      </c>
      <c r="AZ1473" s="474" t="s">
        <v>15079</v>
      </c>
      <c r="BA1473" s="472" t="s">
        <v>4613</v>
      </c>
      <c r="BB1473" s="472" t="s">
        <v>1385</v>
      </c>
      <c r="BC1473" s="472" t="s">
        <v>1385</v>
      </c>
      <c r="BD1473" s="472" t="s">
        <v>1385</v>
      </c>
      <c r="BE1473" s="472" t="s">
        <v>1385</v>
      </c>
      <c r="BF1473" s="472">
        <v>17004.599999999999</v>
      </c>
      <c r="BG1473" s="472">
        <v>0</v>
      </c>
      <c r="BH1473" s="472" t="s">
        <v>1385</v>
      </c>
      <c r="BI1473" s="510">
        <v>0</v>
      </c>
      <c r="BJ1473" s="510">
        <v>0</v>
      </c>
      <c r="BK1473" s="510">
        <v>0</v>
      </c>
      <c r="BL1473" s="510">
        <v>0</v>
      </c>
      <c r="BM1473" s="510">
        <v>0</v>
      </c>
      <c r="BN1473" s="510">
        <v>2000</v>
      </c>
      <c r="BO1473" s="510">
        <v>0</v>
      </c>
      <c r="BP1473" s="510">
        <v>0</v>
      </c>
      <c r="BQ1473" s="510">
        <v>0</v>
      </c>
      <c r="BR1473" s="510">
        <v>0</v>
      </c>
      <c r="BS1473" s="510">
        <v>0</v>
      </c>
      <c r="BT1473" s="510">
        <v>0</v>
      </c>
      <c r="BU1473" s="510">
        <v>0</v>
      </c>
      <c r="BV1473" s="510">
        <v>0</v>
      </c>
      <c r="BW1473" s="510">
        <v>0</v>
      </c>
      <c r="BX1473" s="510">
        <v>30000</v>
      </c>
      <c r="BY1473" s="1011">
        <v>0</v>
      </c>
      <c r="BZ1473" s="510">
        <v>0</v>
      </c>
      <c r="CA1473" s="1011">
        <v>0</v>
      </c>
      <c r="CB1473" s="510">
        <v>0</v>
      </c>
      <c r="CC1473" s="1011">
        <v>0</v>
      </c>
      <c r="CD1473" s="510">
        <v>0</v>
      </c>
      <c r="CE1473" s="1011">
        <v>0</v>
      </c>
      <c r="CF1473" s="510">
        <v>37658.400000000001</v>
      </c>
      <c r="CG1473" s="1011">
        <v>0</v>
      </c>
      <c r="CH1473" s="510">
        <v>0</v>
      </c>
      <c r="CI1473" s="1011">
        <v>0</v>
      </c>
    </row>
    <row r="1474" spans="1:87" x14ac:dyDescent="0.2">
      <c r="A1474" s="449">
        <v>16</v>
      </c>
      <c r="B1474" s="453">
        <v>400279</v>
      </c>
      <c r="C1474" s="454" t="s">
        <v>11774</v>
      </c>
      <c r="D1474" s="454" t="s">
        <v>4613</v>
      </c>
      <c r="E1474" s="454" t="s">
        <v>11775</v>
      </c>
      <c r="F1474" s="454" t="s">
        <v>523</v>
      </c>
      <c r="G1474" s="454" t="s">
        <v>14737</v>
      </c>
      <c r="H1474" s="455">
        <v>7885061000122</v>
      </c>
      <c r="I1474" s="462">
        <v>38229</v>
      </c>
      <c r="J1474" s="457">
        <v>37621386</v>
      </c>
      <c r="K1474" s="454" t="s">
        <v>11777</v>
      </c>
      <c r="L1474" s="458">
        <v>323</v>
      </c>
      <c r="M1474" s="454" t="s">
        <v>2221</v>
      </c>
      <c r="N1474" s="459">
        <v>8490010</v>
      </c>
      <c r="O1474" s="460">
        <v>25184913</v>
      </c>
      <c r="P1474" s="462">
        <v>267557</v>
      </c>
      <c r="Q1474" s="462">
        <v>16</v>
      </c>
      <c r="R1474" s="462">
        <v>43921</v>
      </c>
      <c r="S1474" s="463">
        <v>125</v>
      </c>
      <c r="T1474" s="464">
        <v>3.6</v>
      </c>
      <c r="U1474" s="465">
        <v>450</v>
      </c>
      <c r="V1474" s="465">
        <v>10800</v>
      </c>
      <c r="W1474" s="466">
        <v>0</v>
      </c>
      <c r="X1474" s="467">
        <v>1</v>
      </c>
      <c r="Y1474" s="466">
        <v>16875</v>
      </c>
      <c r="Z1474" s="468" t="s">
        <v>516</v>
      </c>
      <c r="AA1474" s="466">
        <v>84418.2</v>
      </c>
      <c r="AB1474" s="466">
        <v>84418.2</v>
      </c>
      <c r="AC1474" s="467">
        <v>0</v>
      </c>
      <c r="AD1474" s="466">
        <v>0</v>
      </c>
      <c r="AE1474" s="468" t="s">
        <v>516</v>
      </c>
      <c r="AF1474" s="466">
        <v>0</v>
      </c>
      <c r="AG1474" s="466">
        <v>0</v>
      </c>
      <c r="AH1474" s="466">
        <v>20253.900000000001</v>
      </c>
      <c r="AI1474" s="466">
        <v>6750.85</v>
      </c>
      <c r="AJ1474" s="469" t="s">
        <v>4055</v>
      </c>
      <c r="AK1474" s="470" t="s">
        <v>11376</v>
      </c>
      <c r="AL1474" s="471" t="s">
        <v>11778</v>
      </c>
      <c r="AM1474" s="470" t="s">
        <v>14738</v>
      </c>
      <c r="AN1474" s="470" t="s">
        <v>11776</v>
      </c>
      <c r="AO1474" s="470" t="s">
        <v>11779</v>
      </c>
      <c r="AP1474" s="470" t="s">
        <v>11780</v>
      </c>
      <c r="AQ1474" s="470" t="s">
        <v>11774</v>
      </c>
      <c r="AR1474" s="472" t="s">
        <v>515</v>
      </c>
      <c r="AS1474" s="473" t="s">
        <v>1385</v>
      </c>
      <c r="AT1474" s="472" t="s">
        <v>4613</v>
      </c>
      <c r="AU1474" s="472" t="s">
        <v>420</v>
      </c>
      <c r="AV1474" s="472">
        <v>2020</v>
      </c>
      <c r="AW1474" s="474" t="s">
        <v>15078</v>
      </c>
      <c r="AX1474" s="475" t="s">
        <v>15079</v>
      </c>
      <c r="AY1474" s="515">
        <v>1</v>
      </c>
      <c r="AZ1474" s="474" t="s">
        <v>15079</v>
      </c>
      <c r="BA1474" s="472" t="s">
        <v>4613</v>
      </c>
      <c r="BB1474" s="472" t="s">
        <v>1385</v>
      </c>
      <c r="BC1474" s="472" t="s">
        <v>1385</v>
      </c>
      <c r="BD1474" s="472" t="s">
        <v>1385</v>
      </c>
      <c r="BE1474" s="472" t="s">
        <v>1385</v>
      </c>
      <c r="BF1474" s="472">
        <v>16875</v>
      </c>
      <c r="BG1474" s="472">
        <v>0</v>
      </c>
      <c r="BH1474" s="472" t="s">
        <v>1385</v>
      </c>
      <c r="BI1474" s="510">
        <v>0</v>
      </c>
      <c r="BJ1474" s="510">
        <v>0</v>
      </c>
      <c r="BK1474" s="510">
        <v>0</v>
      </c>
      <c r="BL1474" s="510">
        <v>0</v>
      </c>
      <c r="BM1474" s="510">
        <v>0</v>
      </c>
      <c r="BN1474" s="510">
        <v>2000</v>
      </c>
      <c r="BO1474" s="510">
        <v>0</v>
      </c>
      <c r="BP1474" s="510">
        <v>0</v>
      </c>
      <c r="BQ1474" s="510">
        <v>0</v>
      </c>
      <c r="BR1474" s="510">
        <v>0</v>
      </c>
      <c r="BS1474" s="510">
        <v>0</v>
      </c>
      <c r="BT1474" s="510">
        <v>0</v>
      </c>
      <c r="BU1474" s="510">
        <v>0</v>
      </c>
      <c r="BV1474" s="510">
        <v>0</v>
      </c>
      <c r="BW1474" s="510">
        <v>0</v>
      </c>
      <c r="BX1474" s="510">
        <v>30000</v>
      </c>
      <c r="BY1474" s="1011">
        <v>0</v>
      </c>
      <c r="BZ1474" s="510">
        <v>0</v>
      </c>
      <c r="CA1474" s="1011">
        <v>0</v>
      </c>
      <c r="CB1474" s="510">
        <v>0</v>
      </c>
      <c r="CC1474" s="1011">
        <v>0</v>
      </c>
      <c r="CD1474" s="510">
        <v>0</v>
      </c>
      <c r="CE1474" s="1011">
        <v>0</v>
      </c>
      <c r="CF1474" s="510">
        <v>37543.199999999997</v>
      </c>
      <c r="CG1474" s="1011">
        <v>0</v>
      </c>
      <c r="CH1474" s="510">
        <v>0</v>
      </c>
      <c r="CI1474" s="1011">
        <v>0</v>
      </c>
    </row>
    <row r="1475" spans="1:87" x14ac:dyDescent="0.2">
      <c r="A1475" s="449">
        <v>1</v>
      </c>
      <c r="B1475" s="453">
        <v>400280</v>
      </c>
      <c r="C1475" s="454" t="s">
        <v>11781</v>
      </c>
      <c r="D1475" s="454" t="s">
        <v>4613</v>
      </c>
      <c r="E1475" s="454" t="s">
        <v>11782</v>
      </c>
      <c r="F1475" s="454" t="s">
        <v>523</v>
      </c>
      <c r="G1475" s="454" t="s">
        <v>14739</v>
      </c>
      <c r="H1475" s="455">
        <v>7898847000184</v>
      </c>
      <c r="I1475" s="462">
        <v>38779</v>
      </c>
      <c r="J1475" s="457">
        <v>37621246</v>
      </c>
      <c r="K1475" s="454" t="s">
        <v>11784</v>
      </c>
      <c r="L1475" s="458" t="s">
        <v>1446</v>
      </c>
      <c r="M1475" s="454" t="s">
        <v>11785</v>
      </c>
      <c r="N1475" s="459">
        <v>8473270</v>
      </c>
      <c r="O1475" s="460">
        <v>29642166</v>
      </c>
      <c r="P1475" s="462">
        <v>267271</v>
      </c>
      <c r="Q1475" s="462">
        <v>1</v>
      </c>
      <c r="R1475" s="462">
        <v>43921</v>
      </c>
      <c r="S1475" s="463">
        <v>149</v>
      </c>
      <c r="T1475" s="464">
        <v>3.6</v>
      </c>
      <c r="U1475" s="465">
        <v>536.4</v>
      </c>
      <c r="V1475" s="465">
        <v>10800</v>
      </c>
      <c r="W1475" s="466">
        <v>0</v>
      </c>
      <c r="X1475" s="467">
        <v>1</v>
      </c>
      <c r="Y1475" s="466">
        <v>17004.599999999999</v>
      </c>
      <c r="Z1475" s="468" t="s">
        <v>516</v>
      </c>
      <c r="AA1475" s="466">
        <v>84706.2</v>
      </c>
      <c r="AB1475" s="466">
        <v>84706.2</v>
      </c>
      <c r="AC1475" s="467">
        <v>0</v>
      </c>
      <c r="AD1475" s="466">
        <v>0</v>
      </c>
      <c r="AE1475" s="468" t="s">
        <v>516</v>
      </c>
      <c r="AF1475" s="466">
        <v>0</v>
      </c>
      <c r="AG1475" s="466">
        <v>0</v>
      </c>
      <c r="AH1475" s="466">
        <v>13196.38</v>
      </c>
      <c r="AI1475" s="466">
        <v>13.8</v>
      </c>
      <c r="AJ1475" s="469" t="s">
        <v>1395</v>
      </c>
      <c r="AK1475" s="470" t="s">
        <v>523</v>
      </c>
      <c r="AL1475" s="471" t="s">
        <v>11786</v>
      </c>
      <c r="AM1475" s="470" t="s">
        <v>11787</v>
      </c>
      <c r="AN1475" s="470" t="s">
        <v>11783</v>
      </c>
      <c r="AO1475" s="470" t="s">
        <v>14740</v>
      </c>
      <c r="AP1475" s="470" t="s">
        <v>11788</v>
      </c>
      <c r="AQ1475" s="470" t="s">
        <v>11781</v>
      </c>
      <c r="AR1475" s="472" t="s">
        <v>515</v>
      </c>
      <c r="AS1475" s="473" t="s">
        <v>1385</v>
      </c>
      <c r="AT1475" s="472" t="s">
        <v>4613</v>
      </c>
      <c r="AU1475" s="472" t="s">
        <v>420</v>
      </c>
      <c r="AV1475" s="472">
        <v>2020</v>
      </c>
      <c r="AW1475" s="474" t="s">
        <v>15078</v>
      </c>
      <c r="AX1475" s="475" t="s">
        <v>15079</v>
      </c>
      <c r="AY1475" s="515">
        <v>1</v>
      </c>
      <c r="AZ1475" s="474" t="s">
        <v>15079</v>
      </c>
      <c r="BA1475" s="472" t="s">
        <v>4613</v>
      </c>
      <c r="BB1475" s="472" t="s">
        <v>1385</v>
      </c>
      <c r="BC1475" s="472" t="s">
        <v>1385</v>
      </c>
      <c r="BD1475" s="472" t="s">
        <v>1385</v>
      </c>
      <c r="BE1475" s="472" t="s">
        <v>1385</v>
      </c>
      <c r="BF1475" s="472">
        <v>17004.599999999999</v>
      </c>
      <c r="BG1475" s="472">
        <v>0</v>
      </c>
      <c r="BH1475" s="472" t="s">
        <v>1385</v>
      </c>
      <c r="BI1475" s="510">
        <v>0</v>
      </c>
      <c r="BJ1475" s="510">
        <v>0</v>
      </c>
      <c r="BK1475" s="510">
        <v>0</v>
      </c>
      <c r="BL1475" s="510">
        <v>0</v>
      </c>
      <c r="BM1475" s="510">
        <v>0</v>
      </c>
      <c r="BN1475" s="510">
        <v>2000</v>
      </c>
      <c r="BO1475" s="510">
        <v>0</v>
      </c>
      <c r="BP1475" s="510">
        <v>0</v>
      </c>
      <c r="BQ1475" s="510">
        <v>0</v>
      </c>
      <c r="BR1475" s="510">
        <v>0</v>
      </c>
      <c r="BS1475" s="510">
        <v>0</v>
      </c>
      <c r="BT1475" s="510">
        <v>0</v>
      </c>
      <c r="BU1475" s="510">
        <v>0</v>
      </c>
      <c r="BV1475" s="510">
        <v>0</v>
      </c>
      <c r="BW1475" s="510">
        <v>0</v>
      </c>
      <c r="BX1475" s="510">
        <v>30000</v>
      </c>
      <c r="BY1475" s="1011">
        <v>0</v>
      </c>
      <c r="BZ1475" s="510">
        <v>0</v>
      </c>
      <c r="CA1475" s="1011">
        <v>0</v>
      </c>
      <c r="CB1475" s="510">
        <v>0</v>
      </c>
      <c r="CC1475" s="1011">
        <v>0</v>
      </c>
      <c r="CD1475" s="510">
        <v>0</v>
      </c>
      <c r="CE1475" s="1011">
        <v>0</v>
      </c>
      <c r="CF1475" s="510">
        <v>37701.599999999999</v>
      </c>
      <c r="CG1475" s="1011">
        <v>0</v>
      </c>
      <c r="CH1475" s="510">
        <v>0</v>
      </c>
      <c r="CI1475" s="1011">
        <v>0</v>
      </c>
    </row>
    <row r="1476" spans="1:87" x14ac:dyDescent="0.2">
      <c r="A1476" s="449">
        <v>9</v>
      </c>
      <c r="B1476" s="453">
        <v>400281</v>
      </c>
      <c r="C1476" s="454" t="s">
        <v>11789</v>
      </c>
      <c r="D1476" s="454" t="s">
        <v>4613</v>
      </c>
      <c r="E1476" s="454" t="s">
        <v>11790</v>
      </c>
      <c r="F1476" s="454" t="s">
        <v>518</v>
      </c>
      <c r="G1476" s="454" t="s">
        <v>14741</v>
      </c>
      <c r="H1476" s="455">
        <v>7931290000136</v>
      </c>
      <c r="I1476" s="462">
        <v>38758</v>
      </c>
      <c r="J1476" s="457">
        <v>37474774</v>
      </c>
      <c r="K1476" s="454" t="s">
        <v>3029</v>
      </c>
      <c r="L1476" s="458" t="s">
        <v>1446</v>
      </c>
      <c r="M1476" s="454" t="s">
        <v>2858</v>
      </c>
      <c r="N1476" s="459">
        <v>8220280</v>
      </c>
      <c r="O1476" s="460">
        <v>20436110</v>
      </c>
      <c r="P1476" s="462">
        <v>46488</v>
      </c>
      <c r="Q1476" s="462">
        <v>9</v>
      </c>
      <c r="R1476" s="462">
        <v>43934</v>
      </c>
      <c r="S1476" s="463">
        <v>90</v>
      </c>
      <c r="T1476" s="464">
        <v>3.6</v>
      </c>
      <c r="U1476" s="465">
        <v>324</v>
      </c>
      <c r="V1476" s="465">
        <v>10800</v>
      </c>
      <c r="W1476" s="466">
        <v>0</v>
      </c>
      <c r="X1476" s="467">
        <v>1</v>
      </c>
      <c r="Y1476" s="466">
        <v>16686</v>
      </c>
      <c r="Z1476" s="468" t="s">
        <v>516</v>
      </c>
      <c r="AA1476" s="466">
        <v>83905.2</v>
      </c>
      <c r="AB1476" s="466">
        <v>83905.2</v>
      </c>
      <c r="AC1476" s="467">
        <v>0</v>
      </c>
      <c r="AD1476" s="466">
        <v>0</v>
      </c>
      <c r="AE1476" s="468" t="s">
        <v>516</v>
      </c>
      <c r="AF1476" s="466">
        <v>0</v>
      </c>
      <c r="AG1476" s="466">
        <v>0</v>
      </c>
      <c r="AH1476" s="466">
        <v>7094.2</v>
      </c>
      <c r="AI1476" s="466">
        <v>5991.6</v>
      </c>
      <c r="AJ1476" s="469" t="s">
        <v>2644</v>
      </c>
      <c r="AK1476" s="470" t="s">
        <v>2859</v>
      </c>
      <c r="AL1476" s="471" t="s">
        <v>11792</v>
      </c>
      <c r="AM1476" s="470" t="s">
        <v>11793</v>
      </c>
      <c r="AN1476" s="470" t="s">
        <v>11791</v>
      </c>
      <c r="AO1476" s="470" t="s">
        <v>15061</v>
      </c>
      <c r="AP1476" s="470" t="s">
        <v>11794</v>
      </c>
      <c r="AQ1476" s="470" t="s">
        <v>11789</v>
      </c>
      <c r="AR1476" s="472" t="s">
        <v>515</v>
      </c>
      <c r="AS1476" s="473" t="s">
        <v>1385</v>
      </c>
      <c r="AT1476" s="472" t="s">
        <v>4613</v>
      </c>
      <c r="AU1476" s="472" t="s">
        <v>420</v>
      </c>
      <c r="AV1476" s="472">
        <v>2020</v>
      </c>
      <c r="AW1476" s="474" t="s">
        <v>15078</v>
      </c>
      <c r="AX1476" s="475" t="s">
        <v>15079</v>
      </c>
      <c r="AY1476" s="515">
        <v>1</v>
      </c>
      <c r="AZ1476" s="474" t="s">
        <v>15079</v>
      </c>
      <c r="BA1476" s="472" t="s">
        <v>4613</v>
      </c>
      <c r="BB1476" s="472" t="s">
        <v>1385</v>
      </c>
      <c r="BC1476" s="472" t="s">
        <v>1385</v>
      </c>
      <c r="BD1476" s="472" t="s">
        <v>1385</v>
      </c>
      <c r="BE1476" s="472" t="s">
        <v>1385</v>
      </c>
      <c r="BF1476" s="472">
        <v>16686</v>
      </c>
      <c r="BG1476" s="472">
        <v>0</v>
      </c>
      <c r="BH1476" s="472" t="s">
        <v>1385</v>
      </c>
      <c r="BI1476" s="510">
        <v>0</v>
      </c>
      <c r="BJ1476" s="510">
        <v>0</v>
      </c>
      <c r="BK1476" s="510">
        <v>0</v>
      </c>
      <c r="BL1476" s="510">
        <v>0</v>
      </c>
      <c r="BM1476" s="510">
        <v>0</v>
      </c>
      <c r="BN1476" s="510">
        <v>1500</v>
      </c>
      <c r="BO1476" s="510">
        <v>0</v>
      </c>
      <c r="BP1476" s="510">
        <v>0</v>
      </c>
      <c r="BQ1476" s="510">
        <v>0</v>
      </c>
      <c r="BR1476" s="510">
        <v>0</v>
      </c>
      <c r="BS1476" s="510">
        <v>0</v>
      </c>
      <c r="BT1476" s="510">
        <v>0</v>
      </c>
      <c r="BU1476" s="510">
        <v>0</v>
      </c>
      <c r="BV1476" s="510">
        <v>0</v>
      </c>
      <c r="BW1476" s="510">
        <v>0</v>
      </c>
      <c r="BX1476" s="510">
        <v>30000</v>
      </c>
      <c r="BY1476" s="1011">
        <v>0</v>
      </c>
      <c r="BZ1476" s="510">
        <v>0</v>
      </c>
      <c r="CA1476" s="1011">
        <v>0</v>
      </c>
      <c r="CB1476" s="510">
        <v>0</v>
      </c>
      <c r="CC1476" s="1011">
        <v>0</v>
      </c>
      <c r="CD1476" s="510">
        <v>0</v>
      </c>
      <c r="CE1476" s="1011">
        <v>0</v>
      </c>
      <c r="CF1476" s="510">
        <v>37219.199999999997</v>
      </c>
      <c r="CG1476" s="1011">
        <v>0</v>
      </c>
      <c r="CH1476" s="510">
        <v>0</v>
      </c>
      <c r="CI1476" s="1011">
        <v>0</v>
      </c>
    </row>
    <row r="1477" spans="1:87" x14ac:dyDescent="0.2">
      <c r="A1477" s="449">
        <v>33</v>
      </c>
      <c r="B1477" s="453">
        <v>400282</v>
      </c>
      <c r="C1477" s="454" t="s">
        <v>11795</v>
      </c>
      <c r="D1477" s="454" t="s">
        <v>3469</v>
      </c>
      <c r="E1477" s="454" t="s">
        <v>11796</v>
      </c>
      <c r="F1477" s="454" t="s">
        <v>527</v>
      </c>
      <c r="G1477" s="454" t="s">
        <v>14742</v>
      </c>
      <c r="H1477" s="455">
        <v>7845264000195</v>
      </c>
      <c r="I1477" s="462">
        <v>38730</v>
      </c>
      <c r="J1477" s="457">
        <v>37555316</v>
      </c>
      <c r="K1477" s="454" t="s">
        <v>3015</v>
      </c>
      <c r="L1477" s="458">
        <v>220</v>
      </c>
      <c r="M1477" s="454" t="s">
        <v>3016</v>
      </c>
      <c r="N1477" s="459">
        <v>3704015</v>
      </c>
      <c r="O1477" s="460">
        <v>22270510</v>
      </c>
      <c r="P1477" s="462">
        <v>196480</v>
      </c>
      <c r="Q1477" s="462">
        <v>32</v>
      </c>
      <c r="R1477" s="462">
        <v>43917</v>
      </c>
      <c r="S1477" s="463">
        <v>219</v>
      </c>
      <c r="T1477" s="464">
        <v>3.6</v>
      </c>
      <c r="U1477" s="465">
        <v>788.4</v>
      </c>
      <c r="V1477" s="465">
        <v>11760</v>
      </c>
      <c r="W1477" s="466">
        <v>0</v>
      </c>
      <c r="X1477" s="467">
        <v>1</v>
      </c>
      <c r="Y1477" s="466">
        <v>18822.599999999999</v>
      </c>
      <c r="Z1477" s="468" t="s">
        <v>516</v>
      </c>
      <c r="AA1477" s="466">
        <v>89027.4</v>
      </c>
      <c r="AB1477" s="466">
        <v>89027.4</v>
      </c>
      <c r="AC1477" s="467">
        <v>0</v>
      </c>
      <c r="AD1477" s="466">
        <v>0</v>
      </c>
      <c r="AE1477" s="468" t="s">
        <v>516</v>
      </c>
      <c r="AF1477" s="466">
        <v>0</v>
      </c>
      <c r="AG1477" s="466">
        <v>0</v>
      </c>
      <c r="AH1477" s="466">
        <v>13626.52</v>
      </c>
      <c r="AI1477" s="466">
        <v>2509.6799999999998</v>
      </c>
      <c r="AJ1477" s="469" t="s">
        <v>2233</v>
      </c>
      <c r="AK1477" s="470" t="s">
        <v>2653</v>
      </c>
      <c r="AL1477" s="471" t="s">
        <v>11797</v>
      </c>
      <c r="AM1477" s="470" t="s">
        <v>14743</v>
      </c>
      <c r="AN1477" s="470" t="s">
        <v>14744</v>
      </c>
      <c r="AO1477" s="470" t="s">
        <v>14745</v>
      </c>
      <c r="AP1477" s="470" t="s">
        <v>11798</v>
      </c>
      <c r="AQ1477" s="470" t="s">
        <v>11795</v>
      </c>
      <c r="AR1477" s="472" t="s">
        <v>515</v>
      </c>
      <c r="AS1477" s="473">
        <v>3.6</v>
      </c>
      <c r="AT1477" s="472" t="s">
        <v>3469</v>
      </c>
      <c r="AU1477" s="472" t="s">
        <v>420</v>
      </c>
      <c r="AV1477" s="472">
        <v>2020</v>
      </c>
      <c r="AW1477" s="474" t="s">
        <v>15078</v>
      </c>
      <c r="AX1477" s="475" t="s">
        <v>15079</v>
      </c>
      <c r="AY1477" s="515">
        <v>1</v>
      </c>
      <c r="AZ1477" s="474" t="s">
        <v>15079</v>
      </c>
      <c r="BA1477" s="472" t="s">
        <v>3469</v>
      </c>
      <c r="BB1477" s="472" t="s">
        <v>1385</v>
      </c>
      <c r="BC1477" s="472" t="s">
        <v>1385</v>
      </c>
      <c r="BD1477" s="472" t="s">
        <v>1385</v>
      </c>
      <c r="BE1477" s="472" t="s">
        <v>1385</v>
      </c>
      <c r="BF1477" s="472">
        <v>18822.599999999999</v>
      </c>
      <c r="BG1477" s="472">
        <v>0</v>
      </c>
      <c r="BH1477" s="472" t="s">
        <v>1385</v>
      </c>
      <c r="BI1477" s="510">
        <v>0</v>
      </c>
      <c r="BJ1477" s="510">
        <v>388.9</v>
      </c>
      <c r="BK1477" s="510">
        <v>0</v>
      </c>
      <c r="BL1477" s="510">
        <v>0</v>
      </c>
      <c r="BM1477" s="510">
        <v>0</v>
      </c>
      <c r="BN1477" s="510">
        <v>2000</v>
      </c>
      <c r="BO1477" s="510">
        <v>0</v>
      </c>
      <c r="BP1477" s="510">
        <v>0</v>
      </c>
      <c r="BQ1477" s="510">
        <v>0</v>
      </c>
      <c r="BR1477" s="510">
        <v>0</v>
      </c>
      <c r="BS1477" s="510">
        <v>0</v>
      </c>
      <c r="BT1477" s="510">
        <v>0</v>
      </c>
      <c r="BU1477" s="510">
        <v>0</v>
      </c>
      <c r="BV1477" s="510">
        <v>0</v>
      </c>
      <c r="BW1477" s="510">
        <v>0</v>
      </c>
      <c r="BX1477" s="510">
        <v>30000</v>
      </c>
      <c r="BY1477" s="1011">
        <v>0</v>
      </c>
      <c r="BZ1477" s="510">
        <v>0</v>
      </c>
      <c r="CA1477" s="1011">
        <v>0</v>
      </c>
      <c r="CB1477" s="510">
        <v>0</v>
      </c>
      <c r="CC1477" s="1011">
        <v>0</v>
      </c>
      <c r="CD1477" s="510">
        <v>0</v>
      </c>
      <c r="CE1477" s="1011">
        <v>0</v>
      </c>
      <c r="CF1477" s="510">
        <v>40204.800000000003</v>
      </c>
      <c r="CG1477" s="1011">
        <v>0</v>
      </c>
      <c r="CH1477" s="510">
        <v>0</v>
      </c>
      <c r="CI1477" s="1011">
        <v>0</v>
      </c>
    </row>
    <row r="1478" spans="1:87" x14ac:dyDescent="0.2">
      <c r="A1478" s="449">
        <v>2</v>
      </c>
      <c r="B1478" s="453">
        <v>400283</v>
      </c>
      <c r="C1478" s="454" t="s">
        <v>11799</v>
      </c>
      <c r="D1478" s="454" t="s">
        <v>4613</v>
      </c>
      <c r="E1478" s="454" t="s">
        <v>11800</v>
      </c>
      <c r="F1478" s="454" t="s">
        <v>529</v>
      </c>
      <c r="G1478" s="454" t="s">
        <v>14746</v>
      </c>
      <c r="H1478" s="455">
        <v>7751367000196</v>
      </c>
      <c r="I1478" s="462">
        <v>38502</v>
      </c>
      <c r="J1478" s="457">
        <v>37524062</v>
      </c>
      <c r="K1478" s="454" t="s">
        <v>11801</v>
      </c>
      <c r="L1478" s="458" t="s">
        <v>1446</v>
      </c>
      <c r="M1478" s="454" t="s">
        <v>1480</v>
      </c>
      <c r="N1478" s="459">
        <v>4463060</v>
      </c>
      <c r="O1478" s="460">
        <v>56155000</v>
      </c>
      <c r="P1478" s="462">
        <v>563105</v>
      </c>
      <c r="Q1478" s="462">
        <v>2</v>
      </c>
      <c r="R1478" s="462">
        <v>43921</v>
      </c>
      <c r="S1478" s="463">
        <v>66</v>
      </c>
      <c r="T1478" s="464">
        <v>3.6</v>
      </c>
      <c r="U1478" s="465">
        <v>237.6</v>
      </c>
      <c r="V1478" s="465">
        <v>10800</v>
      </c>
      <c r="W1478" s="466">
        <v>0</v>
      </c>
      <c r="X1478" s="467">
        <v>1</v>
      </c>
      <c r="Y1478" s="466">
        <v>16556.400000000001</v>
      </c>
      <c r="Z1478" s="468" t="s">
        <v>516</v>
      </c>
      <c r="AA1478" s="466">
        <v>83631.600000000006</v>
      </c>
      <c r="AB1478" s="466">
        <v>83631.600000000006</v>
      </c>
      <c r="AC1478" s="467">
        <v>0</v>
      </c>
      <c r="AD1478" s="466">
        <v>0</v>
      </c>
      <c r="AE1478" s="468" t="s">
        <v>516</v>
      </c>
      <c r="AF1478" s="466">
        <v>0</v>
      </c>
      <c r="AG1478" s="466">
        <v>0</v>
      </c>
      <c r="AH1478" s="466">
        <v>17076.939999999999</v>
      </c>
      <c r="AI1478" s="466">
        <v>7720.96</v>
      </c>
      <c r="AJ1478" s="469" t="s">
        <v>1481</v>
      </c>
      <c r="AK1478" s="470" t="s">
        <v>1482</v>
      </c>
      <c r="AL1478" s="471" t="s">
        <v>11802</v>
      </c>
      <c r="AM1478" s="470" t="s">
        <v>4548</v>
      </c>
      <c r="AN1478" s="470" t="s">
        <v>14746</v>
      </c>
      <c r="AO1478" s="470" t="s">
        <v>11803</v>
      </c>
      <c r="AP1478" s="470" t="s">
        <v>11804</v>
      </c>
      <c r="AQ1478" s="470" t="s">
        <v>11799</v>
      </c>
      <c r="AR1478" s="472" t="s">
        <v>515</v>
      </c>
      <c r="AS1478" s="473" t="s">
        <v>1385</v>
      </c>
      <c r="AT1478" s="472" t="s">
        <v>4613</v>
      </c>
      <c r="AU1478" s="472" t="s">
        <v>420</v>
      </c>
      <c r="AV1478" s="472">
        <v>2020</v>
      </c>
      <c r="AW1478" s="474" t="s">
        <v>15078</v>
      </c>
      <c r="AX1478" s="475" t="s">
        <v>15079</v>
      </c>
      <c r="AY1478" s="515">
        <v>1</v>
      </c>
      <c r="AZ1478" s="474" t="s">
        <v>15079</v>
      </c>
      <c r="BA1478" s="472" t="s">
        <v>4613</v>
      </c>
      <c r="BB1478" s="472" t="s">
        <v>1385</v>
      </c>
      <c r="BC1478" s="472" t="s">
        <v>1385</v>
      </c>
      <c r="BD1478" s="472" t="s">
        <v>1385</v>
      </c>
      <c r="BE1478" s="472" t="s">
        <v>1385</v>
      </c>
      <c r="BF1478" s="472">
        <v>16556.400000000001</v>
      </c>
      <c r="BG1478" s="472">
        <v>0</v>
      </c>
      <c r="BH1478" s="472" t="s">
        <v>1385</v>
      </c>
      <c r="BI1478" s="510">
        <v>0</v>
      </c>
      <c r="BJ1478" s="510">
        <v>0</v>
      </c>
      <c r="BK1478" s="510">
        <v>0</v>
      </c>
      <c r="BL1478" s="510">
        <v>0</v>
      </c>
      <c r="BM1478" s="510">
        <v>0</v>
      </c>
      <c r="BN1478" s="510">
        <v>1500</v>
      </c>
      <c r="BO1478" s="510">
        <v>0</v>
      </c>
      <c r="BP1478" s="510">
        <v>0</v>
      </c>
      <c r="BQ1478" s="510">
        <v>0</v>
      </c>
      <c r="BR1478" s="510">
        <v>0</v>
      </c>
      <c r="BS1478" s="510">
        <v>0</v>
      </c>
      <c r="BT1478" s="510">
        <v>0</v>
      </c>
      <c r="BU1478" s="510">
        <v>0</v>
      </c>
      <c r="BV1478" s="510">
        <v>0</v>
      </c>
      <c r="BW1478" s="510">
        <v>0</v>
      </c>
      <c r="BX1478" s="510">
        <v>30000</v>
      </c>
      <c r="BY1478" s="1011">
        <v>0</v>
      </c>
      <c r="BZ1478" s="510">
        <v>0</v>
      </c>
      <c r="CA1478" s="1011">
        <v>0</v>
      </c>
      <c r="CB1478" s="510">
        <v>0</v>
      </c>
      <c r="CC1478" s="1011">
        <v>0</v>
      </c>
      <c r="CD1478" s="510">
        <v>0</v>
      </c>
      <c r="CE1478" s="1011">
        <v>0</v>
      </c>
      <c r="CF1478" s="510">
        <v>37075.199999999997</v>
      </c>
      <c r="CG1478" s="1011">
        <v>0</v>
      </c>
      <c r="CH1478" s="510">
        <v>0</v>
      </c>
      <c r="CI1478" s="1011">
        <v>0</v>
      </c>
    </row>
    <row r="1479" spans="1:87" x14ac:dyDescent="0.2">
      <c r="A1479" s="449">
        <v>13</v>
      </c>
      <c r="B1479" s="453">
        <v>400284</v>
      </c>
      <c r="C1479" s="454" t="s">
        <v>11805</v>
      </c>
      <c r="D1479" s="454" t="s">
        <v>4613</v>
      </c>
      <c r="E1479" s="454" t="s">
        <v>11806</v>
      </c>
      <c r="F1479" s="454" t="s">
        <v>523</v>
      </c>
      <c r="G1479" s="454" t="s">
        <v>14747</v>
      </c>
      <c r="H1479" s="455">
        <v>7999648000162</v>
      </c>
      <c r="I1479" s="462">
        <v>38288</v>
      </c>
      <c r="J1479" s="457">
        <v>35396008</v>
      </c>
      <c r="K1479" s="454" t="s">
        <v>11807</v>
      </c>
      <c r="L1479" s="458">
        <v>28</v>
      </c>
      <c r="M1479" s="454" t="s">
        <v>3510</v>
      </c>
      <c r="N1479" s="459">
        <v>8450560</v>
      </c>
      <c r="O1479" s="460">
        <v>25521482</v>
      </c>
      <c r="P1479" s="462">
        <v>267492</v>
      </c>
      <c r="Q1479" s="462">
        <v>13</v>
      </c>
      <c r="R1479" s="462">
        <v>43921</v>
      </c>
      <c r="S1479" s="463">
        <v>170</v>
      </c>
      <c r="T1479" s="464">
        <v>3.6</v>
      </c>
      <c r="U1479" s="465">
        <v>612</v>
      </c>
      <c r="V1479" s="465">
        <v>10800</v>
      </c>
      <c r="W1479" s="466">
        <v>0</v>
      </c>
      <c r="X1479" s="467">
        <v>1</v>
      </c>
      <c r="Y1479" s="466">
        <v>17118</v>
      </c>
      <c r="Z1479" s="468" t="s">
        <v>516</v>
      </c>
      <c r="AA1479" s="466">
        <v>84862.8</v>
      </c>
      <c r="AB1479" s="466">
        <v>84862.8</v>
      </c>
      <c r="AC1479" s="467">
        <v>0</v>
      </c>
      <c r="AD1479" s="466">
        <v>0</v>
      </c>
      <c r="AE1479" s="468" t="s">
        <v>516</v>
      </c>
      <c r="AF1479" s="466">
        <v>0</v>
      </c>
      <c r="AG1479" s="466">
        <v>0</v>
      </c>
      <c r="AH1479" s="466">
        <v>11808.6</v>
      </c>
      <c r="AI1479" s="466">
        <v>2803.79</v>
      </c>
      <c r="AJ1479" s="469" t="s">
        <v>1674</v>
      </c>
      <c r="AK1479" s="470" t="s">
        <v>518</v>
      </c>
      <c r="AL1479" s="471" t="s">
        <v>11808</v>
      </c>
      <c r="AM1479" s="470" t="s">
        <v>11809</v>
      </c>
      <c r="AN1479" s="470" t="s">
        <v>1385</v>
      </c>
      <c r="AO1479" s="470" t="s">
        <v>11810</v>
      </c>
      <c r="AP1479" s="470" t="s">
        <v>11811</v>
      </c>
      <c r="AQ1479" s="470" t="s">
        <v>11805</v>
      </c>
      <c r="AR1479" s="472" t="s">
        <v>515</v>
      </c>
      <c r="AS1479" s="473" t="s">
        <v>1385</v>
      </c>
      <c r="AT1479" s="472" t="s">
        <v>4613</v>
      </c>
      <c r="AU1479" s="472" t="s">
        <v>420</v>
      </c>
      <c r="AV1479" s="472">
        <v>2020</v>
      </c>
      <c r="AW1479" s="474" t="s">
        <v>15078</v>
      </c>
      <c r="AX1479" s="475" t="s">
        <v>15079</v>
      </c>
      <c r="AY1479" s="515">
        <v>1</v>
      </c>
      <c r="AZ1479" s="474" t="s">
        <v>15079</v>
      </c>
      <c r="BA1479" s="472" t="s">
        <v>4613</v>
      </c>
      <c r="BB1479" s="472" t="s">
        <v>1385</v>
      </c>
      <c r="BC1479" s="472" t="s">
        <v>1385</v>
      </c>
      <c r="BD1479" s="472" t="s">
        <v>1385</v>
      </c>
      <c r="BE1479" s="472" t="s">
        <v>1385</v>
      </c>
      <c r="BF1479" s="472">
        <v>17118</v>
      </c>
      <c r="BG1479" s="472">
        <v>0</v>
      </c>
      <c r="BH1479" s="472" t="s">
        <v>1385</v>
      </c>
      <c r="BI1479" s="510">
        <v>0</v>
      </c>
      <c r="BJ1479" s="510">
        <v>0</v>
      </c>
      <c r="BK1479" s="510">
        <v>0</v>
      </c>
      <c r="BL1479" s="510">
        <v>0</v>
      </c>
      <c r="BM1479" s="510">
        <v>0</v>
      </c>
      <c r="BN1479" s="510">
        <v>2000</v>
      </c>
      <c r="BO1479" s="510">
        <v>0</v>
      </c>
      <c r="BP1479" s="510">
        <v>0</v>
      </c>
      <c r="BQ1479" s="510">
        <v>0</v>
      </c>
      <c r="BR1479" s="510">
        <v>0</v>
      </c>
      <c r="BS1479" s="510">
        <v>0</v>
      </c>
      <c r="BT1479" s="510">
        <v>0</v>
      </c>
      <c r="BU1479" s="510">
        <v>0</v>
      </c>
      <c r="BV1479" s="510">
        <v>0</v>
      </c>
      <c r="BW1479" s="510">
        <v>0</v>
      </c>
      <c r="BX1479" s="510">
        <v>30000</v>
      </c>
      <c r="BY1479" s="1011">
        <v>0</v>
      </c>
      <c r="BZ1479" s="510">
        <v>0</v>
      </c>
      <c r="CA1479" s="1011">
        <v>0</v>
      </c>
      <c r="CB1479" s="510">
        <v>0</v>
      </c>
      <c r="CC1479" s="1011">
        <v>0</v>
      </c>
      <c r="CD1479" s="510">
        <v>0</v>
      </c>
      <c r="CE1479" s="1011">
        <v>0</v>
      </c>
      <c r="CF1479" s="510">
        <v>37744.800000000003</v>
      </c>
      <c r="CG1479" s="1011">
        <v>0</v>
      </c>
      <c r="CH1479" s="510">
        <v>0</v>
      </c>
      <c r="CI1479" s="1011">
        <v>0</v>
      </c>
    </row>
    <row r="1480" spans="1:87" x14ac:dyDescent="0.2">
      <c r="A1480" s="449">
        <v>19</v>
      </c>
      <c r="B1480" s="453">
        <v>400285</v>
      </c>
      <c r="C1480" s="454" t="s">
        <v>11812</v>
      </c>
      <c r="D1480" s="454" t="s">
        <v>4613</v>
      </c>
      <c r="E1480" s="454" t="s">
        <v>11812</v>
      </c>
      <c r="F1480" s="454" t="s">
        <v>520</v>
      </c>
      <c r="G1480" s="454" t="s">
        <v>14748</v>
      </c>
      <c r="H1480" s="455">
        <v>7885658000177</v>
      </c>
      <c r="I1480" s="462">
        <v>38545</v>
      </c>
      <c r="J1480" s="457">
        <v>37620479</v>
      </c>
      <c r="K1480" s="454" t="s">
        <v>11813</v>
      </c>
      <c r="L1480" s="458">
        <v>37</v>
      </c>
      <c r="M1480" s="454" t="s">
        <v>11814</v>
      </c>
      <c r="N1480" s="459">
        <v>4930070</v>
      </c>
      <c r="O1480" s="460">
        <v>58930232</v>
      </c>
      <c r="P1480" s="462">
        <v>292772</v>
      </c>
      <c r="Q1480" s="462">
        <v>19</v>
      </c>
      <c r="R1480" s="462">
        <v>43969</v>
      </c>
      <c r="S1480" s="463">
        <v>78</v>
      </c>
      <c r="T1480" s="464">
        <v>3.6</v>
      </c>
      <c r="U1480" s="465">
        <v>280.8</v>
      </c>
      <c r="V1480" s="465">
        <v>10800</v>
      </c>
      <c r="W1480" s="466">
        <v>0</v>
      </c>
      <c r="X1480" s="467">
        <v>1</v>
      </c>
      <c r="Y1480" s="466">
        <v>16621.2</v>
      </c>
      <c r="Z1480" s="468" t="s">
        <v>516</v>
      </c>
      <c r="AA1480" s="466">
        <v>83840.399999999994</v>
      </c>
      <c r="AB1480" s="466">
        <v>83840.399999999994</v>
      </c>
      <c r="AC1480" s="467">
        <v>0</v>
      </c>
      <c r="AD1480" s="466">
        <v>0</v>
      </c>
      <c r="AE1480" s="468" t="s">
        <v>516</v>
      </c>
      <c r="AF1480" s="466">
        <v>0</v>
      </c>
      <c r="AG1480" s="466">
        <v>0</v>
      </c>
      <c r="AH1480" s="466">
        <v>12508.69</v>
      </c>
      <c r="AI1480" s="466">
        <v>5507.46</v>
      </c>
      <c r="AJ1480" s="469" t="s">
        <v>1515</v>
      </c>
      <c r="AK1480" s="470" t="s">
        <v>1516</v>
      </c>
      <c r="AL1480" s="471" t="s">
        <v>11815</v>
      </c>
      <c r="AM1480" s="470" t="s">
        <v>11816</v>
      </c>
      <c r="AN1480" s="470" t="s">
        <v>11817</v>
      </c>
      <c r="AO1480" s="470" t="s">
        <v>14749</v>
      </c>
      <c r="AP1480" s="470" t="s">
        <v>11814</v>
      </c>
      <c r="AQ1480" s="470" t="s">
        <v>11812</v>
      </c>
      <c r="AR1480" s="472" t="s">
        <v>515</v>
      </c>
      <c r="AS1480" s="473" t="s">
        <v>1385</v>
      </c>
      <c r="AT1480" s="472" t="s">
        <v>4613</v>
      </c>
      <c r="AU1480" s="472" t="s">
        <v>420</v>
      </c>
      <c r="AV1480" s="472">
        <v>2020</v>
      </c>
      <c r="AW1480" s="474" t="s">
        <v>15078</v>
      </c>
      <c r="AX1480" s="475" t="s">
        <v>15079</v>
      </c>
      <c r="AY1480" s="515">
        <v>1</v>
      </c>
      <c r="AZ1480" s="474" t="s">
        <v>15079</v>
      </c>
      <c r="BA1480" s="472" t="s">
        <v>4613</v>
      </c>
      <c r="BB1480" s="472" t="s">
        <v>1385</v>
      </c>
      <c r="BC1480" s="472" t="s">
        <v>1385</v>
      </c>
      <c r="BD1480" s="472" t="s">
        <v>1385</v>
      </c>
      <c r="BE1480" s="472" t="s">
        <v>1385</v>
      </c>
      <c r="BF1480" s="472">
        <v>16621.2</v>
      </c>
      <c r="BG1480" s="472">
        <v>0</v>
      </c>
      <c r="BH1480" s="472" t="s">
        <v>1385</v>
      </c>
      <c r="BI1480" s="510">
        <v>0</v>
      </c>
      <c r="BJ1480" s="510">
        <v>0.2</v>
      </c>
      <c r="BK1480" s="510">
        <v>0</v>
      </c>
      <c r="BL1480" s="510">
        <v>0</v>
      </c>
      <c r="BM1480" s="510">
        <v>0</v>
      </c>
      <c r="BN1480" s="510">
        <v>1500</v>
      </c>
      <c r="BO1480" s="510">
        <v>0</v>
      </c>
      <c r="BP1480" s="510">
        <v>0</v>
      </c>
      <c r="BQ1480" s="510">
        <v>0</v>
      </c>
      <c r="BR1480" s="510">
        <v>0</v>
      </c>
      <c r="BS1480" s="510">
        <v>0</v>
      </c>
      <c r="BT1480" s="510">
        <v>0</v>
      </c>
      <c r="BU1480" s="510">
        <v>0</v>
      </c>
      <c r="BV1480" s="510">
        <v>0</v>
      </c>
      <c r="BW1480" s="510">
        <v>0</v>
      </c>
      <c r="BX1480" s="510">
        <v>30000</v>
      </c>
      <c r="BY1480" s="1011">
        <v>0</v>
      </c>
      <c r="BZ1480" s="510">
        <v>0</v>
      </c>
      <c r="CA1480" s="1011">
        <v>0</v>
      </c>
      <c r="CB1480" s="510">
        <v>0</v>
      </c>
      <c r="CC1480" s="1011">
        <v>0</v>
      </c>
      <c r="CD1480" s="510">
        <v>0</v>
      </c>
      <c r="CE1480" s="1011">
        <v>0</v>
      </c>
      <c r="CF1480" s="510">
        <v>37219.199999999997</v>
      </c>
      <c r="CG1480" s="1011">
        <v>0</v>
      </c>
      <c r="CH1480" s="510">
        <v>0</v>
      </c>
      <c r="CI1480" s="1011">
        <v>0</v>
      </c>
    </row>
    <row r="1481" spans="1:87" x14ac:dyDescent="0.2">
      <c r="A1481" s="449">
        <v>7</v>
      </c>
      <c r="B1481" s="453">
        <v>400286</v>
      </c>
      <c r="C1481" s="454" t="s">
        <v>11818</v>
      </c>
      <c r="D1481" s="454" t="s">
        <v>4613</v>
      </c>
      <c r="E1481" s="454" t="s">
        <v>11819</v>
      </c>
      <c r="F1481" s="454" t="s">
        <v>528</v>
      </c>
      <c r="G1481" s="454" t="s">
        <v>14750</v>
      </c>
      <c r="H1481" s="455">
        <v>7570639000151</v>
      </c>
      <c r="I1481" s="462">
        <v>38547</v>
      </c>
      <c r="J1481" s="457">
        <v>37375474</v>
      </c>
      <c r="K1481" s="454" t="s">
        <v>11820</v>
      </c>
      <c r="L1481" s="458">
        <v>678</v>
      </c>
      <c r="M1481" s="454" t="s">
        <v>11821</v>
      </c>
      <c r="N1481" s="459">
        <v>5052000</v>
      </c>
      <c r="O1481" s="460">
        <v>36754132</v>
      </c>
      <c r="P1481" s="462">
        <v>249095</v>
      </c>
      <c r="Q1481" s="462">
        <v>7</v>
      </c>
      <c r="R1481" s="462">
        <v>43938</v>
      </c>
      <c r="S1481" s="463">
        <v>111</v>
      </c>
      <c r="T1481" s="464">
        <v>3.6</v>
      </c>
      <c r="U1481" s="465">
        <v>399.6</v>
      </c>
      <c r="V1481" s="465">
        <v>10800</v>
      </c>
      <c r="W1481" s="466">
        <v>0</v>
      </c>
      <c r="X1481" s="467">
        <v>1</v>
      </c>
      <c r="Y1481" s="466">
        <v>16799.400000000001</v>
      </c>
      <c r="Z1481" s="468" t="s">
        <v>516</v>
      </c>
      <c r="AA1481" s="466">
        <v>84198.6</v>
      </c>
      <c r="AB1481" s="466">
        <v>84198.6</v>
      </c>
      <c r="AC1481" s="467">
        <v>0</v>
      </c>
      <c r="AD1481" s="466">
        <v>0</v>
      </c>
      <c r="AE1481" s="468" t="s">
        <v>516</v>
      </c>
      <c r="AF1481" s="466">
        <v>0</v>
      </c>
      <c r="AG1481" s="466">
        <v>0</v>
      </c>
      <c r="AH1481" s="466">
        <v>10950.42</v>
      </c>
      <c r="AI1481" s="466">
        <v>6719.76</v>
      </c>
      <c r="AJ1481" s="469" t="s">
        <v>10247</v>
      </c>
      <c r="AK1481" s="470" t="s">
        <v>10248</v>
      </c>
      <c r="AL1481" s="471" t="s">
        <v>11822</v>
      </c>
      <c r="AM1481" s="470" t="s">
        <v>11823</v>
      </c>
      <c r="AN1481" s="470" t="s">
        <v>1385</v>
      </c>
      <c r="AO1481" s="470" t="s">
        <v>11824</v>
      </c>
      <c r="AP1481" s="470" t="s">
        <v>11825</v>
      </c>
      <c r="AQ1481" s="470" t="s">
        <v>11818</v>
      </c>
      <c r="AR1481" s="472" t="s">
        <v>515</v>
      </c>
      <c r="AS1481" s="473" t="s">
        <v>1385</v>
      </c>
      <c r="AT1481" s="472" t="s">
        <v>4613</v>
      </c>
      <c r="AU1481" s="472" t="s">
        <v>420</v>
      </c>
      <c r="AV1481" s="472">
        <v>2020</v>
      </c>
      <c r="AW1481" s="474" t="s">
        <v>15078</v>
      </c>
      <c r="AX1481" s="475" t="s">
        <v>15079</v>
      </c>
      <c r="AY1481" s="515">
        <v>1</v>
      </c>
      <c r="AZ1481" s="474" t="s">
        <v>15079</v>
      </c>
      <c r="BA1481" s="472" t="s">
        <v>4613</v>
      </c>
      <c r="BB1481" s="472" t="s">
        <v>1385</v>
      </c>
      <c r="BC1481" s="472" t="s">
        <v>1385</v>
      </c>
      <c r="BD1481" s="472" t="s">
        <v>1385</v>
      </c>
      <c r="BE1481" s="472" t="s">
        <v>1385</v>
      </c>
      <c r="BF1481" s="472">
        <v>16799.400000000001</v>
      </c>
      <c r="BG1481" s="472">
        <v>0</v>
      </c>
      <c r="BH1481" s="472" t="s">
        <v>1385</v>
      </c>
      <c r="BI1481" s="510">
        <v>0</v>
      </c>
      <c r="BJ1481" s="510">
        <v>0</v>
      </c>
      <c r="BK1481" s="510">
        <v>0</v>
      </c>
      <c r="BL1481" s="510">
        <v>0</v>
      </c>
      <c r="BM1481" s="510">
        <v>0</v>
      </c>
      <c r="BN1481" s="510">
        <v>2000</v>
      </c>
      <c r="BO1481" s="510">
        <v>0</v>
      </c>
      <c r="BP1481" s="510">
        <v>0</v>
      </c>
      <c r="BQ1481" s="510">
        <v>0</v>
      </c>
      <c r="BR1481" s="510">
        <v>0</v>
      </c>
      <c r="BS1481" s="510">
        <v>0</v>
      </c>
      <c r="BT1481" s="510">
        <v>0</v>
      </c>
      <c r="BU1481" s="510">
        <v>0</v>
      </c>
      <c r="BV1481" s="510">
        <v>0</v>
      </c>
      <c r="BW1481" s="510">
        <v>0</v>
      </c>
      <c r="BX1481" s="510">
        <v>30000</v>
      </c>
      <c r="BY1481" s="1011">
        <v>0</v>
      </c>
      <c r="BZ1481" s="510">
        <v>0</v>
      </c>
      <c r="CA1481" s="1011">
        <v>0</v>
      </c>
      <c r="CB1481" s="510">
        <v>0</v>
      </c>
      <c r="CC1481" s="1011">
        <v>0</v>
      </c>
      <c r="CD1481" s="510">
        <v>0</v>
      </c>
      <c r="CE1481" s="1011">
        <v>0</v>
      </c>
      <c r="CF1481" s="510">
        <v>37399.199999999997</v>
      </c>
      <c r="CG1481" s="1011">
        <v>0</v>
      </c>
      <c r="CH1481" s="510">
        <v>0</v>
      </c>
      <c r="CI1481" s="1011">
        <v>0</v>
      </c>
    </row>
    <row r="1482" spans="1:87" x14ac:dyDescent="0.2">
      <c r="A1482" s="449">
        <v>3</v>
      </c>
      <c r="B1482" s="453">
        <v>400287</v>
      </c>
      <c r="C1482" s="454" t="s">
        <v>11826</v>
      </c>
      <c r="D1482" s="454" t="s">
        <v>4613</v>
      </c>
      <c r="E1482" s="454" t="s">
        <v>11827</v>
      </c>
      <c r="F1482" s="454" t="s">
        <v>518</v>
      </c>
      <c r="G1482" s="454" t="s">
        <v>14751</v>
      </c>
      <c r="H1482" s="455">
        <v>7834269000112</v>
      </c>
      <c r="I1482" s="462">
        <v>38660</v>
      </c>
      <c r="J1482" s="457">
        <v>37474839</v>
      </c>
      <c r="K1482" s="454" t="s">
        <v>11829</v>
      </c>
      <c r="L1482" s="458">
        <v>535</v>
      </c>
      <c r="M1482" s="454" t="s">
        <v>10158</v>
      </c>
      <c r="N1482" s="459">
        <v>8285340</v>
      </c>
      <c r="O1482" s="460">
        <v>27460999</v>
      </c>
      <c r="P1482" s="462">
        <v>46356</v>
      </c>
      <c r="Q1482" s="462">
        <v>3</v>
      </c>
      <c r="R1482" s="462">
        <v>43934</v>
      </c>
      <c r="S1482" s="463">
        <v>104</v>
      </c>
      <c r="T1482" s="464">
        <v>3.6</v>
      </c>
      <c r="U1482" s="465">
        <v>374.4</v>
      </c>
      <c r="V1482" s="465">
        <v>10800</v>
      </c>
      <c r="W1482" s="466">
        <v>0</v>
      </c>
      <c r="X1482" s="467">
        <v>1</v>
      </c>
      <c r="Y1482" s="466">
        <v>16761.599999999999</v>
      </c>
      <c r="Z1482" s="468" t="s">
        <v>516</v>
      </c>
      <c r="AA1482" s="466">
        <v>84074.4</v>
      </c>
      <c r="AB1482" s="466">
        <v>84074.4</v>
      </c>
      <c r="AC1482" s="467">
        <v>0</v>
      </c>
      <c r="AD1482" s="466">
        <v>0</v>
      </c>
      <c r="AE1482" s="468" t="s">
        <v>516</v>
      </c>
      <c r="AF1482" s="466">
        <v>0</v>
      </c>
      <c r="AG1482" s="466">
        <v>0</v>
      </c>
      <c r="AH1482" s="466">
        <v>14365.55</v>
      </c>
      <c r="AI1482" s="466">
        <v>1387.48</v>
      </c>
      <c r="AJ1482" s="469" t="s">
        <v>2614</v>
      </c>
      <c r="AK1482" s="470" t="s">
        <v>10093</v>
      </c>
      <c r="AL1482" s="471" t="s">
        <v>11830</v>
      </c>
      <c r="AM1482" s="470" t="s">
        <v>14752</v>
      </c>
      <c r="AN1482" s="470" t="s">
        <v>11828</v>
      </c>
      <c r="AO1482" s="470" t="s">
        <v>15062</v>
      </c>
      <c r="AP1482" s="470" t="s">
        <v>11831</v>
      </c>
      <c r="AQ1482" s="470" t="s">
        <v>11826</v>
      </c>
      <c r="AR1482" s="472" t="s">
        <v>515</v>
      </c>
      <c r="AS1482" s="473" t="s">
        <v>1385</v>
      </c>
      <c r="AT1482" s="472" t="s">
        <v>4613</v>
      </c>
      <c r="AU1482" s="472" t="s">
        <v>420</v>
      </c>
      <c r="AV1482" s="472">
        <v>2020</v>
      </c>
      <c r="AW1482" s="474" t="s">
        <v>15078</v>
      </c>
      <c r="AX1482" s="475" t="s">
        <v>15079</v>
      </c>
      <c r="AY1482" s="515">
        <v>1</v>
      </c>
      <c r="AZ1482" s="474" t="s">
        <v>15079</v>
      </c>
      <c r="BA1482" s="472" t="s">
        <v>4613</v>
      </c>
      <c r="BB1482" s="472" t="s">
        <v>1385</v>
      </c>
      <c r="BC1482" s="472" t="s">
        <v>1385</v>
      </c>
      <c r="BD1482" s="472" t="s">
        <v>1385</v>
      </c>
      <c r="BE1482" s="472" t="s">
        <v>1385</v>
      </c>
      <c r="BF1482" s="472">
        <v>16761.599999999999</v>
      </c>
      <c r="BG1482" s="472">
        <v>0</v>
      </c>
      <c r="BH1482" s="472" t="s">
        <v>1385</v>
      </c>
      <c r="BI1482" s="510">
        <v>0</v>
      </c>
      <c r="BJ1482" s="510">
        <v>0</v>
      </c>
      <c r="BK1482" s="510">
        <v>0</v>
      </c>
      <c r="BL1482" s="510">
        <v>0</v>
      </c>
      <c r="BM1482" s="510">
        <v>0</v>
      </c>
      <c r="BN1482" s="510">
        <v>2000</v>
      </c>
      <c r="BO1482" s="510">
        <v>0</v>
      </c>
      <c r="BP1482" s="510">
        <v>0</v>
      </c>
      <c r="BQ1482" s="510">
        <v>0</v>
      </c>
      <c r="BR1482" s="510">
        <v>0</v>
      </c>
      <c r="BS1482" s="510">
        <v>0</v>
      </c>
      <c r="BT1482" s="510">
        <v>0</v>
      </c>
      <c r="BU1482" s="510">
        <v>0</v>
      </c>
      <c r="BV1482" s="510">
        <v>0</v>
      </c>
      <c r="BW1482" s="510">
        <v>0</v>
      </c>
      <c r="BX1482" s="510">
        <v>30000</v>
      </c>
      <c r="BY1482" s="1011">
        <v>0</v>
      </c>
      <c r="BZ1482" s="510">
        <v>0</v>
      </c>
      <c r="CA1482" s="1011">
        <v>0</v>
      </c>
      <c r="CB1482" s="510">
        <v>0</v>
      </c>
      <c r="CC1482" s="1011">
        <v>0</v>
      </c>
      <c r="CD1482" s="510">
        <v>0</v>
      </c>
      <c r="CE1482" s="1011">
        <v>0</v>
      </c>
      <c r="CF1482" s="510">
        <v>37312.800000000003</v>
      </c>
      <c r="CG1482" s="1011">
        <v>0</v>
      </c>
      <c r="CH1482" s="510">
        <v>0</v>
      </c>
      <c r="CI1482" s="1011">
        <v>0</v>
      </c>
    </row>
    <row r="1483" spans="1:87" x14ac:dyDescent="0.2">
      <c r="A1483" s="449">
        <v>1</v>
      </c>
      <c r="B1483" s="453">
        <v>400288</v>
      </c>
      <c r="C1483" s="454" t="s">
        <v>11832</v>
      </c>
      <c r="D1483" s="454" t="s">
        <v>4613</v>
      </c>
      <c r="E1483" s="454" t="s">
        <v>11833</v>
      </c>
      <c r="F1483" s="454" t="s">
        <v>524</v>
      </c>
      <c r="G1483" s="454" t="s">
        <v>14753</v>
      </c>
      <c r="H1483" s="455">
        <v>7224806000102</v>
      </c>
      <c r="I1483" s="462">
        <v>38322</v>
      </c>
      <c r="J1483" s="457">
        <v>37498622</v>
      </c>
      <c r="K1483" s="454" t="s">
        <v>11834</v>
      </c>
      <c r="L1483" s="458">
        <v>921</v>
      </c>
      <c r="M1483" s="454" t="s">
        <v>6614</v>
      </c>
      <c r="N1483" s="459">
        <v>4134001</v>
      </c>
      <c r="O1483" s="460">
        <v>55852666</v>
      </c>
      <c r="P1483" s="462">
        <v>209263</v>
      </c>
      <c r="Q1483" s="462">
        <v>2</v>
      </c>
      <c r="R1483" s="462">
        <v>43906</v>
      </c>
      <c r="S1483" s="463">
        <v>39</v>
      </c>
      <c r="T1483" s="464">
        <v>3.6</v>
      </c>
      <c r="U1483" s="465">
        <v>140.4</v>
      </c>
      <c r="V1483" s="465">
        <v>10800</v>
      </c>
      <c r="W1483" s="466">
        <v>0</v>
      </c>
      <c r="X1483" s="467">
        <v>1</v>
      </c>
      <c r="Y1483" s="466">
        <v>16410.599999999999</v>
      </c>
      <c r="Z1483" s="468" t="s">
        <v>516</v>
      </c>
      <c r="AA1483" s="466">
        <v>83385</v>
      </c>
      <c r="AB1483" s="466">
        <v>83385</v>
      </c>
      <c r="AC1483" s="467">
        <v>0</v>
      </c>
      <c r="AD1483" s="466">
        <v>0</v>
      </c>
      <c r="AE1483" s="468" t="s">
        <v>516</v>
      </c>
      <c r="AF1483" s="466">
        <v>0</v>
      </c>
      <c r="AG1483" s="466">
        <v>0</v>
      </c>
      <c r="AH1483" s="466">
        <v>7747.02</v>
      </c>
      <c r="AI1483" s="466">
        <v>5949.96</v>
      </c>
      <c r="AJ1483" s="469" t="s">
        <v>2511</v>
      </c>
      <c r="AK1483" s="470" t="s">
        <v>2512</v>
      </c>
      <c r="AL1483" s="471" t="s">
        <v>11835</v>
      </c>
      <c r="AM1483" s="470" t="s">
        <v>15084</v>
      </c>
      <c r="AN1483" s="470" t="s">
        <v>14754</v>
      </c>
      <c r="AO1483" s="470" t="s">
        <v>14755</v>
      </c>
      <c r="AP1483" s="470" t="s">
        <v>11836</v>
      </c>
      <c r="AQ1483" s="470" t="s">
        <v>11832</v>
      </c>
      <c r="AR1483" s="472" t="s">
        <v>515</v>
      </c>
      <c r="AS1483" s="473" t="s">
        <v>1385</v>
      </c>
      <c r="AT1483" s="472" t="s">
        <v>4613</v>
      </c>
      <c r="AU1483" s="472" t="s">
        <v>420</v>
      </c>
      <c r="AV1483" s="472">
        <v>2020</v>
      </c>
      <c r="AW1483" s="474" t="s">
        <v>15078</v>
      </c>
      <c r="AX1483" s="475" t="s">
        <v>15079</v>
      </c>
      <c r="AY1483" s="515">
        <v>1</v>
      </c>
      <c r="AZ1483" s="474" t="s">
        <v>15079</v>
      </c>
      <c r="BA1483" s="472" t="s">
        <v>4613</v>
      </c>
      <c r="BB1483" s="472" t="s">
        <v>1385</v>
      </c>
      <c r="BC1483" s="472" t="s">
        <v>1385</v>
      </c>
      <c r="BD1483" s="472" t="s">
        <v>1385</v>
      </c>
      <c r="BE1483" s="472" t="s">
        <v>1385</v>
      </c>
      <c r="BF1483" s="472">
        <v>16410.599999999999</v>
      </c>
      <c r="BG1483" s="472">
        <v>0</v>
      </c>
      <c r="BH1483" s="472" t="s">
        <v>1385</v>
      </c>
      <c r="BI1483" s="510">
        <v>0</v>
      </c>
      <c r="BJ1483" s="510">
        <v>0</v>
      </c>
      <c r="BK1483" s="510">
        <v>0</v>
      </c>
      <c r="BL1483" s="510">
        <v>0</v>
      </c>
      <c r="BM1483" s="510">
        <v>0</v>
      </c>
      <c r="BN1483" s="510">
        <v>1500</v>
      </c>
      <c r="BO1483" s="510">
        <v>0</v>
      </c>
      <c r="BP1483" s="510">
        <v>0</v>
      </c>
      <c r="BQ1483" s="510">
        <v>0</v>
      </c>
      <c r="BR1483" s="510">
        <v>0</v>
      </c>
      <c r="BS1483" s="510">
        <v>0</v>
      </c>
      <c r="BT1483" s="510">
        <v>0</v>
      </c>
      <c r="BU1483" s="510">
        <v>0</v>
      </c>
      <c r="BV1483" s="510">
        <v>0</v>
      </c>
      <c r="BW1483" s="510">
        <v>0</v>
      </c>
      <c r="BX1483" s="510">
        <v>30000</v>
      </c>
      <c r="BY1483" s="1011">
        <v>0</v>
      </c>
      <c r="BZ1483" s="510">
        <v>0</v>
      </c>
      <c r="CA1483" s="1011">
        <v>0</v>
      </c>
      <c r="CB1483" s="510">
        <v>0</v>
      </c>
      <c r="CC1483" s="1011">
        <v>0</v>
      </c>
      <c r="CD1483" s="510">
        <v>0</v>
      </c>
      <c r="CE1483" s="1011">
        <v>0</v>
      </c>
      <c r="CF1483" s="510">
        <v>36974.400000000001</v>
      </c>
      <c r="CG1483" s="1011">
        <v>0</v>
      </c>
      <c r="CH1483" s="510">
        <v>0</v>
      </c>
      <c r="CI1483" s="1011">
        <v>0</v>
      </c>
    </row>
    <row r="1484" spans="1:87" x14ac:dyDescent="0.2">
      <c r="A1484" s="449">
        <v>4</v>
      </c>
      <c r="B1484" s="453">
        <v>400290</v>
      </c>
      <c r="C1484" s="454" t="s">
        <v>11837</v>
      </c>
      <c r="D1484" s="454" t="s">
        <v>4613</v>
      </c>
      <c r="E1484" s="454" t="s">
        <v>11838</v>
      </c>
      <c r="F1484" s="454" t="s">
        <v>526</v>
      </c>
      <c r="G1484" s="454" t="s">
        <v>14756</v>
      </c>
      <c r="H1484" s="455">
        <v>8325780000151</v>
      </c>
      <c r="I1484" s="462">
        <v>38968</v>
      </c>
      <c r="J1484" s="457">
        <v>37605011</v>
      </c>
      <c r="K1484" s="454" t="s">
        <v>11839</v>
      </c>
      <c r="L1484" s="458">
        <v>70</v>
      </c>
      <c r="M1484" s="454" t="s">
        <v>1838</v>
      </c>
      <c r="N1484" s="459">
        <v>8111765</v>
      </c>
      <c r="O1484" s="460">
        <v>25721728</v>
      </c>
      <c r="P1484" s="462">
        <v>119434</v>
      </c>
      <c r="Q1484" s="462">
        <v>4</v>
      </c>
      <c r="R1484" s="462">
        <v>43928</v>
      </c>
      <c r="S1484" s="463">
        <v>167</v>
      </c>
      <c r="T1484" s="464">
        <v>3.6</v>
      </c>
      <c r="U1484" s="465">
        <v>601.20000000000005</v>
      </c>
      <c r="V1484" s="465">
        <v>10800</v>
      </c>
      <c r="W1484" s="466">
        <v>0</v>
      </c>
      <c r="X1484" s="467">
        <v>1</v>
      </c>
      <c r="Y1484" s="466">
        <v>17101.8</v>
      </c>
      <c r="Z1484" s="468" t="s">
        <v>516</v>
      </c>
      <c r="AA1484" s="466">
        <v>84501</v>
      </c>
      <c r="AB1484" s="466">
        <v>84501</v>
      </c>
      <c r="AC1484" s="467">
        <v>0</v>
      </c>
      <c r="AD1484" s="466">
        <v>0</v>
      </c>
      <c r="AE1484" s="468" t="s">
        <v>516</v>
      </c>
      <c r="AF1484" s="466">
        <v>0</v>
      </c>
      <c r="AG1484" s="466">
        <v>0</v>
      </c>
      <c r="AH1484" s="466">
        <v>8535.49</v>
      </c>
      <c r="AI1484" s="466">
        <v>1583.01</v>
      </c>
      <c r="AJ1484" s="469" t="s">
        <v>1410</v>
      </c>
      <c r="AK1484" s="470" t="s">
        <v>1411</v>
      </c>
      <c r="AL1484" s="471" t="s">
        <v>11840</v>
      </c>
      <c r="AM1484" s="470" t="s">
        <v>11841</v>
      </c>
      <c r="AN1484" s="470" t="s">
        <v>1385</v>
      </c>
      <c r="AO1484" s="470" t="s">
        <v>11842</v>
      </c>
      <c r="AP1484" s="470" t="s">
        <v>11843</v>
      </c>
      <c r="AQ1484" s="470" t="s">
        <v>11837</v>
      </c>
      <c r="AR1484" s="472" t="s">
        <v>515</v>
      </c>
      <c r="AS1484" s="473" t="s">
        <v>1385</v>
      </c>
      <c r="AT1484" s="472" t="s">
        <v>4613</v>
      </c>
      <c r="AU1484" s="472" t="s">
        <v>420</v>
      </c>
      <c r="AV1484" s="472">
        <v>2020</v>
      </c>
      <c r="AW1484" s="474" t="s">
        <v>15078</v>
      </c>
      <c r="AX1484" s="475" t="s">
        <v>15079</v>
      </c>
      <c r="AY1484" s="515">
        <v>1</v>
      </c>
      <c r="AZ1484" s="474" t="s">
        <v>15079</v>
      </c>
      <c r="BA1484" s="472" t="s">
        <v>4613</v>
      </c>
      <c r="BB1484" s="472" t="s">
        <v>1385</v>
      </c>
      <c r="BC1484" s="472" t="s">
        <v>1385</v>
      </c>
      <c r="BD1484" s="472" t="s">
        <v>1385</v>
      </c>
      <c r="BE1484" s="472" t="s">
        <v>1385</v>
      </c>
      <c r="BF1484" s="472">
        <v>17101.8</v>
      </c>
      <c r="BG1484" s="472">
        <v>0</v>
      </c>
      <c r="BH1484" s="472" t="s">
        <v>1385</v>
      </c>
      <c r="BI1484" s="510">
        <v>0</v>
      </c>
      <c r="BJ1484" s="510">
        <v>0</v>
      </c>
      <c r="BK1484" s="510">
        <v>0</v>
      </c>
      <c r="BL1484" s="510">
        <v>0</v>
      </c>
      <c r="BM1484" s="510">
        <v>0</v>
      </c>
      <c r="BN1484" s="510">
        <v>2000</v>
      </c>
      <c r="BO1484" s="510">
        <v>0</v>
      </c>
      <c r="BP1484" s="510">
        <v>0</v>
      </c>
      <c r="BQ1484" s="510">
        <v>0</v>
      </c>
      <c r="BR1484" s="510">
        <v>0</v>
      </c>
      <c r="BS1484" s="510">
        <v>0</v>
      </c>
      <c r="BT1484" s="510">
        <v>0</v>
      </c>
      <c r="BU1484" s="510">
        <v>0</v>
      </c>
      <c r="BV1484" s="510">
        <v>0</v>
      </c>
      <c r="BW1484" s="510">
        <v>0</v>
      </c>
      <c r="BX1484" s="510">
        <v>30000</v>
      </c>
      <c r="BY1484" s="1011">
        <v>0</v>
      </c>
      <c r="BZ1484" s="510">
        <v>0</v>
      </c>
      <c r="CA1484" s="1011">
        <v>0</v>
      </c>
      <c r="CB1484" s="510">
        <v>0</v>
      </c>
      <c r="CC1484" s="1011">
        <v>0</v>
      </c>
      <c r="CD1484" s="510">
        <v>0</v>
      </c>
      <c r="CE1484" s="1011">
        <v>0</v>
      </c>
      <c r="CF1484" s="510">
        <v>37399.199999999997</v>
      </c>
      <c r="CG1484" s="1011">
        <v>0</v>
      </c>
      <c r="CH1484" s="510">
        <v>0</v>
      </c>
      <c r="CI1484" s="1011">
        <v>0</v>
      </c>
    </row>
    <row r="1485" spans="1:87" x14ac:dyDescent="0.2">
      <c r="A1485" s="449">
        <v>19</v>
      </c>
      <c r="B1485" s="453">
        <v>400291</v>
      </c>
      <c r="C1485" s="454" t="s">
        <v>11844</v>
      </c>
      <c r="D1485" s="454" t="s">
        <v>4613</v>
      </c>
      <c r="E1485" s="454" t="s">
        <v>11845</v>
      </c>
      <c r="F1485" s="454" t="s">
        <v>527</v>
      </c>
      <c r="G1485" s="454" t="s">
        <v>14757</v>
      </c>
      <c r="H1485" s="455">
        <v>8593224000166</v>
      </c>
      <c r="I1485" s="462">
        <v>39057</v>
      </c>
      <c r="J1485" s="457">
        <v>37554794</v>
      </c>
      <c r="K1485" s="454" t="s">
        <v>11846</v>
      </c>
      <c r="L1485" s="458">
        <v>99</v>
      </c>
      <c r="M1485" s="454" t="s">
        <v>2197</v>
      </c>
      <c r="N1485" s="459">
        <v>3591150</v>
      </c>
      <c r="O1485" s="460">
        <v>27480074</v>
      </c>
      <c r="P1485" s="462">
        <v>234853</v>
      </c>
      <c r="Q1485" s="462">
        <v>19</v>
      </c>
      <c r="R1485" s="462">
        <v>43917</v>
      </c>
      <c r="S1485" s="463">
        <v>123</v>
      </c>
      <c r="T1485" s="464">
        <v>3.6</v>
      </c>
      <c r="U1485" s="465">
        <v>442.8</v>
      </c>
      <c r="V1485" s="465">
        <v>10800</v>
      </c>
      <c r="W1485" s="466">
        <v>0</v>
      </c>
      <c r="X1485" s="467">
        <v>1</v>
      </c>
      <c r="Y1485" s="466">
        <v>16864.2</v>
      </c>
      <c r="Z1485" s="468" t="s">
        <v>516</v>
      </c>
      <c r="AA1485" s="466">
        <v>84321</v>
      </c>
      <c r="AB1485" s="466">
        <v>84321</v>
      </c>
      <c r="AC1485" s="467">
        <v>0</v>
      </c>
      <c r="AD1485" s="466">
        <v>0</v>
      </c>
      <c r="AE1485" s="468" t="s">
        <v>516</v>
      </c>
      <c r="AF1485" s="466">
        <v>0</v>
      </c>
      <c r="AG1485" s="466">
        <v>0</v>
      </c>
      <c r="AH1485" s="466">
        <v>2857.71</v>
      </c>
      <c r="AI1485" s="466">
        <v>4658.12</v>
      </c>
      <c r="AJ1485" s="469" t="s">
        <v>2196</v>
      </c>
      <c r="AK1485" s="470" t="s">
        <v>2197</v>
      </c>
      <c r="AL1485" s="471" t="s">
        <v>11847</v>
      </c>
      <c r="AM1485" s="470" t="s">
        <v>11848</v>
      </c>
      <c r="AN1485" s="470" t="s">
        <v>14758</v>
      </c>
      <c r="AO1485" s="470" t="s">
        <v>14759</v>
      </c>
      <c r="AP1485" s="470" t="s">
        <v>11849</v>
      </c>
      <c r="AQ1485" s="470" t="s">
        <v>11844</v>
      </c>
      <c r="AR1485" s="472" t="s">
        <v>515</v>
      </c>
      <c r="AS1485" s="473" t="s">
        <v>1385</v>
      </c>
      <c r="AT1485" s="472" t="s">
        <v>4613</v>
      </c>
      <c r="AU1485" s="472" t="s">
        <v>420</v>
      </c>
      <c r="AV1485" s="472">
        <v>2020</v>
      </c>
      <c r="AW1485" s="474" t="s">
        <v>15078</v>
      </c>
      <c r="AX1485" s="475" t="s">
        <v>15079</v>
      </c>
      <c r="AY1485" s="515">
        <v>1</v>
      </c>
      <c r="AZ1485" s="474" t="s">
        <v>15079</v>
      </c>
      <c r="BA1485" s="472" t="s">
        <v>4613</v>
      </c>
      <c r="BB1485" s="472" t="s">
        <v>1385</v>
      </c>
      <c r="BC1485" s="472" t="s">
        <v>1385</v>
      </c>
      <c r="BD1485" s="472" t="s">
        <v>1385</v>
      </c>
      <c r="BE1485" s="472" t="s">
        <v>1385</v>
      </c>
      <c r="BF1485" s="472">
        <v>16864.2</v>
      </c>
      <c r="BG1485" s="472">
        <v>0</v>
      </c>
      <c r="BH1485" s="472" t="s">
        <v>1385</v>
      </c>
      <c r="BI1485" s="510">
        <v>0</v>
      </c>
      <c r="BJ1485" s="510">
        <v>0</v>
      </c>
      <c r="BK1485" s="510">
        <v>0</v>
      </c>
      <c r="BL1485" s="510">
        <v>0</v>
      </c>
      <c r="BM1485" s="510">
        <v>0</v>
      </c>
      <c r="BN1485" s="510">
        <v>1300</v>
      </c>
      <c r="BO1485" s="510">
        <v>0</v>
      </c>
      <c r="BP1485" s="510">
        <v>0</v>
      </c>
      <c r="BQ1485" s="510">
        <v>0</v>
      </c>
      <c r="BR1485" s="510">
        <v>0</v>
      </c>
      <c r="BS1485" s="510">
        <v>0</v>
      </c>
      <c r="BT1485" s="510">
        <v>0</v>
      </c>
      <c r="BU1485" s="510">
        <v>0</v>
      </c>
      <c r="BV1485" s="510">
        <v>0</v>
      </c>
      <c r="BW1485" s="510">
        <v>0</v>
      </c>
      <c r="BX1485" s="510">
        <v>30000</v>
      </c>
      <c r="BY1485" s="1011">
        <v>0</v>
      </c>
      <c r="BZ1485" s="510">
        <v>0</v>
      </c>
      <c r="CA1485" s="1011">
        <v>0</v>
      </c>
      <c r="CB1485" s="510">
        <v>0</v>
      </c>
      <c r="CC1485" s="1011">
        <v>0</v>
      </c>
      <c r="CD1485" s="510">
        <v>0</v>
      </c>
      <c r="CE1485" s="1011">
        <v>0</v>
      </c>
      <c r="CF1485" s="510">
        <v>37456.800000000003</v>
      </c>
      <c r="CG1485" s="1011">
        <v>0</v>
      </c>
      <c r="CH1485" s="510">
        <v>0</v>
      </c>
      <c r="CI1485" s="1011">
        <v>0</v>
      </c>
    </row>
    <row r="1486" spans="1:87" x14ac:dyDescent="0.2">
      <c r="A1486" s="449">
        <v>1</v>
      </c>
      <c r="B1486" s="453">
        <v>400292</v>
      </c>
      <c r="C1486" s="454" t="s">
        <v>11850</v>
      </c>
      <c r="D1486" s="454" t="s">
        <v>4613</v>
      </c>
      <c r="E1486" s="454" t="s">
        <v>11851</v>
      </c>
      <c r="F1486" s="454" t="s">
        <v>527</v>
      </c>
      <c r="G1486" s="454" t="s">
        <v>14760</v>
      </c>
      <c r="H1486" s="455">
        <v>9311219000186</v>
      </c>
      <c r="I1486" s="462">
        <v>39045</v>
      </c>
      <c r="J1486" s="457">
        <v>38557096</v>
      </c>
      <c r="K1486" s="454" t="s">
        <v>11852</v>
      </c>
      <c r="L1486" s="458">
        <v>27</v>
      </c>
      <c r="M1486" s="454" t="s">
        <v>11853</v>
      </c>
      <c r="N1486" s="459">
        <v>8220030</v>
      </c>
      <c r="O1486" s="460">
        <v>20418371</v>
      </c>
      <c r="P1486" s="462">
        <v>178856</v>
      </c>
      <c r="Q1486" s="462">
        <v>1</v>
      </c>
      <c r="R1486" s="462">
        <v>43917</v>
      </c>
      <c r="S1486" s="463">
        <v>127</v>
      </c>
      <c r="T1486" s="464">
        <v>3.6</v>
      </c>
      <c r="U1486" s="465">
        <v>457.2</v>
      </c>
      <c r="V1486" s="465">
        <v>10800</v>
      </c>
      <c r="W1486" s="466">
        <v>0</v>
      </c>
      <c r="X1486" s="467">
        <v>1</v>
      </c>
      <c r="Y1486" s="466">
        <v>0</v>
      </c>
      <c r="Z1486" s="468" t="s">
        <v>514</v>
      </c>
      <c r="AA1486" s="466">
        <v>0</v>
      </c>
      <c r="AB1486" s="466">
        <v>0</v>
      </c>
      <c r="AC1486" s="467">
        <v>0</v>
      </c>
      <c r="AD1486" s="466">
        <v>0</v>
      </c>
      <c r="AE1486" s="468" t="s">
        <v>516</v>
      </c>
      <c r="AF1486" s="466">
        <v>0</v>
      </c>
      <c r="AG1486" s="466">
        <v>0</v>
      </c>
      <c r="AH1486" s="466">
        <v>0</v>
      </c>
      <c r="AI1486" s="466">
        <v>0</v>
      </c>
      <c r="AJ1486" s="469" t="s">
        <v>2644</v>
      </c>
      <c r="AK1486" s="470" t="s">
        <v>11854</v>
      </c>
      <c r="AL1486" s="471" t="s">
        <v>11855</v>
      </c>
      <c r="AM1486" s="470" t="s">
        <v>11856</v>
      </c>
      <c r="AN1486" s="470" t="s">
        <v>14760</v>
      </c>
      <c r="AO1486" s="470" t="s">
        <v>14761</v>
      </c>
      <c r="AP1486" s="470" t="s">
        <v>11857</v>
      </c>
      <c r="AQ1486" s="470" t="s">
        <v>11850</v>
      </c>
      <c r="AR1486" s="472" t="s">
        <v>515</v>
      </c>
      <c r="AS1486" s="473" t="s">
        <v>1385</v>
      </c>
      <c r="AT1486" s="472" t="s">
        <v>4613</v>
      </c>
      <c r="AU1486" s="472" t="s">
        <v>420</v>
      </c>
      <c r="AV1486" s="472">
        <v>2020</v>
      </c>
      <c r="AW1486" s="474" t="s">
        <v>15078</v>
      </c>
      <c r="AX1486" s="475" t="s">
        <v>15079</v>
      </c>
      <c r="AY1486" s="515">
        <v>1</v>
      </c>
      <c r="AZ1486" s="474" t="s">
        <v>15079</v>
      </c>
      <c r="BA1486" s="472" t="s">
        <v>1385</v>
      </c>
      <c r="BB1486" s="472" t="s">
        <v>1385</v>
      </c>
      <c r="BC1486" s="472" t="s">
        <v>1385</v>
      </c>
      <c r="BD1486" s="472" t="s">
        <v>1385</v>
      </c>
      <c r="BE1486" s="472" t="s">
        <v>1385</v>
      </c>
      <c r="BF1486" s="472">
        <v>16885.8</v>
      </c>
      <c r="BG1486" s="472">
        <v>0</v>
      </c>
      <c r="BH1486" s="472" t="s">
        <v>516</v>
      </c>
      <c r="BI1486" s="510">
        <v>0</v>
      </c>
      <c r="BJ1486" s="510">
        <v>0</v>
      </c>
      <c r="BK1486" s="510">
        <v>0</v>
      </c>
      <c r="BL1486" s="510">
        <v>0</v>
      </c>
      <c r="BM1486" s="510">
        <v>0</v>
      </c>
      <c r="BN1486" s="510">
        <v>0</v>
      </c>
      <c r="BO1486" s="510">
        <v>0</v>
      </c>
      <c r="BP1486" s="510">
        <v>0</v>
      </c>
      <c r="BQ1486" s="510">
        <v>0</v>
      </c>
      <c r="BR1486" s="510">
        <v>0</v>
      </c>
      <c r="BS1486" s="510">
        <v>0</v>
      </c>
      <c r="BT1486" s="510">
        <v>0</v>
      </c>
      <c r="BU1486" s="510">
        <v>0</v>
      </c>
      <c r="BV1486" s="510">
        <v>0</v>
      </c>
      <c r="BW1486" s="510">
        <v>0</v>
      </c>
      <c r="BX1486" s="510">
        <v>0</v>
      </c>
      <c r="BY1486" s="1011">
        <v>0</v>
      </c>
      <c r="BZ1486" s="510">
        <v>0</v>
      </c>
      <c r="CA1486" s="1011">
        <v>0</v>
      </c>
      <c r="CB1486" s="510">
        <v>0</v>
      </c>
      <c r="CC1486" s="1011">
        <v>0</v>
      </c>
      <c r="CD1486" s="510">
        <v>0</v>
      </c>
      <c r="CE1486" s="1011">
        <v>0</v>
      </c>
      <c r="CF1486" s="510">
        <v>0</v>
      </c>
      <c r="CG1486" s="1011">
        <v>0</v>
      </c>
      <c r="CH1486" s="510">
        <v>0</v>
      </c>
      <c r="CI1486" s="1011">
        <v>0</v>
      </c>
    </row>
    <row r="1487" spans="1:87" x14ac:dyDescent="0.2">
      <c r="A1487" s="449">
        <v>18</v>
      </c>
      <c r="B1487" s="453">
        <v>400293</v>
      </c>
      <c r="C1487" s="454" t="s">
        <v>11858</v>
      </c>
      <c r="D1487" s="454" t="s">
        <v>4613</v>
      </c>
      <c r="E1487" s="454" t="s">
        <v>11859</v>
      </c>
      <c r="F1487" s="454" t="s">
        <v>528</v>
      </c>
      <c r="G1487" s="454" t="s">
        <v>14762</v>
      </c>
      <c r="H1487" s="455">
        <v>7751581000142</v>
      </c>
      <c r="I1487" s="462">
        <v>38617</v>
      </c>
      <c r="J1487" s="457">
        <v>37375636</v>
      </c>
      <c r="K1487" s="454" t="s">
        <v>2577</v>
      </c>
      <c r="L1487" s="458" t="s">
        <v>1446</v>
      </c>
      <c r="M1487" s="454" t="s">
        <v>2241</v>
      </c>
      <c r="N1487" s="459">
        <v>5209000</v>
      </c>
      <c r="O1487" s="460">
        <v>39191050</v>
      </c>
      <c r="P1487" s="462">
        <v>218785</v>
      </c>
      <c r="Q1487" s="462">
        <v>18</v>
      </c>
      <c r="R1487" s="462">
        <v>43938</v>
      </c>
      <c r="S1487" s="463">
        <v>144</v>
      </c>
      <c r="T1487" s="464">
        <v>3.6</v>
      </c>
      <c r="U1487" s="465">
        <v>518.4</v>
      </c>
      <c r="V1487" s="465">
        <v>10800</v>
      </c>
      <c r="W1487" s="466">
        <v>0</v>
      </c>
      <c r="X1487" s="467">
        <v>1</v>
      </c>
      <c r="Y1487" s="466">
        <v>16977.599999999999</v>
      </c>
      <c r="Z1487" s="468" t="s">
        <v>516</v>
      </c>
      <c r="AA1487" s="466">
        <v>84484.800000000003</v>
      </c>
      <c r="AB1487" s="466">
        <v>84484.800000000003</v>
      </c>
      <c r="AC1487" s="467">
        <v>0</v>
      </c>
      <c r="AD1487" s="466">
        <v>0</v>
      </c>
      <c r="AE1487" s="468" t="s">
        <v>516</v>
      </c>
      <c r="AF1487" s="466">
        <v>0</v>
      </c>
      <c r="AG1487" s="466">
        <v>0</v>
      </c>
      <c r="AH1487" s="466">
        <v>16204.02</v>
      </c>
      <c r="AI1487" s="466">
        <v>6727.72</v>
      </c>
      <c r="AJ1487" s="469" t="s">
        <v>2242</v>
      </c>
      <c r="AK1487" s="470" t="s">
        <v>2241</v>
      </c>
      <c r="AL1487" s="471" t="s">
        <v>11860</v>
      </c>
      <c r="AM1487" s="470" t="s">
        <v>14763</v>
      </c>
      <c r="AN1487" s="470" t="s">
        <v>11861</v>
      </c>
      <c r="AO1487" s="470" t="s">
        <v>14764</v>
      </c>
      <c r="AP1487" s="470" t="s">
        <v>2886</v>
      </c>
      <c r="AQ1487" s="470" t="s">
        <v>11858</v>
      </c>
      <c r="AR1487" s="472" t="s">
        <v>515</v>
      </c>
      <c r="AS1487" s="473" t="s">
        <v>1385</v>
      </c>
      <c r="AT1487" s="472" t="s">
        <v>4613</v>
      </c>
      <c r="AU1487" s="472" t="s">
        <v>420</v>
      </c>
      <c r="AV1487" s="472">
        <v>2020</v>
      </c>
      <c r="AW1487" s="474" t="s">
        <v>15078</v>
      </c>
      <c r="AX1487" s="475" t="s">
        <v>15079</v>
      </c>
      <c r="AY1487" s="515">
        <v>1</v>
      </c>
      <c r="AZ1487" s="474" t="s">
        <v>15079</v>
      </c>
      <c r="BA1487" s="472" t="s">
        <v>4613</v>
      </c>
      <c r="BB1487" s="472" t="s">
        <v>1385</v>
      </c>
      <c r="BC1487" s="472" t="s">
        <v>1385</v>
      </c>
      <c r="BD1487" s="472" t="s">
        <v>1385</v>
      </c>
      <c r="BE1487" s="472" t="s">
        <v>1385</v>
      </c>
      <c r="BF1487" s="472">
        <v>16977.599999999999</v>
      </c>
      <c r="BG1487" s="472">
        <v>0</v>
      </c>
      <c r="BH1487" s="472" t="s">
        <v>1385</v>
      </c>
      <c r="BI1487" s="510">
        <v>0</v>
      </c>
      <c r="BJ1487" s="510">
        <v>0</v>
      </c>
      <c r="BK1487" s="510">
        <v>0</v>
      </c>
      <c r="BL1487" s="510">
        <v>0</v>
      </c>
      <c r="BM1487" s="510">
        <v>0</v>
      </c>
      <c r="BN1487" s="510">
        <v>2000</v>
      </c>
      <c r="BO1487" s="510">
        <v>0</v>
      </c>
      <c r="BP1487" s="510">
        <v>0</v>
      </c>
      <c r="BQ1487" s="510">
        <v>0</v>
      </c>
      <c r="BR1487" s="510">
        <v>0</v>
      </c>
      <c r="BS1487" s="510">
        <v>0</v>
      </c>
      <c r="BT1487" s="510">
        <v>0</v>
      </c>
      <c r="BU1487" s="510">
        <v>0</v>
      </c>
      <c r="BV1487" s="510">
        <v>0</v>
      </c>
      <c r="BW1487" s="510">
        <v>0</v>
      </c>
      <c r="BX1487" s="510">
        <v>30000</v>
      </c>
      <c r="BY1487" s="1011">
        <v>0</v>
      </c>
      <c r="BZ1487" s="510">
        <v>0</v>
      </c>
      <c r="CA1487" s="1011">
        <v>0</v>
      </c>
      <c r="CB1487" s="510">
        <v>0</v>
      </c>
      <c r="CC1487" s="1011">
        <v>0</v>
      </c>
      <c r="CD1487" s="510">
        <v>0</v>
      </c>
      <c r="CE1487" s="1011">
        <v>0</v>
      </c>
      <c r="CF1487" s="510">
        <v>37507.199999999997</v>
      </c>
      <c r="CG1487" s="1011">
        <v>0</v>
      </c>
      <c r="CH1487" s="510">
        <v>0</v>
      </c>
      <c r="CI1487" s="1011">
        <v>0</v>
      </c>
    </row>
    <row r="1488" spans="1:87" x14ac:dyDescent="0.2">
      <c r="A1488" s="449">
        <v>9</v>
      </c>
      <c r="B1488" s="453">
        <v>400294</v>
      </c>
      <c r="C1488" s="454" t="s">
        <v>11862</v>
      </c>
      <c r="D1488" s="454" t="s">
        <v>4613</v>
      </c>
      <c r="E1488" s="454" t="s">
        <v>11863</v>
      </c>
      <c r="F1488" s="454" t="s">
        <v>524</v>
      </c>
      <c r="G1488" s="454" t="s">
        <v>14765</v>
      </c>
      <c r="H1488" s="455">
        <v>7486549000187</v>
      </c>
      <c r="I1488" s="462">
        <v>38146</v>
      </c>
      <c r="J1488" s="457">
        <v>37499335</v>
      </c>
      <c r="K1488" s="454" t="s">
        <v>11865</v>
      </c>
      <c r="L1488" s="458" t="s">
        <v>1446</v>
      </c>
      <c r="M1488" s="454" t="s">
        <v>6627</v>
      </c>
      <c r="N1488" s="459">
        <v>4191290</v>
      </c>
      <c r="O1488" s="460">
        <v>23316664</v>
      </c>
      <c r="P1488" s="462">
        <v>204695</v>
      </c>
      <c r="Q1488" s="462">
        <v>11</v>
      </c>
      <c r="R1488" s="462">
        <v>43906</v>
      </c>
      <c r="S1488" s="463">
        <v>133</v>
      </c>
      <c r="T1488" s="464">
        <v>3.6</v>
      </c>
      <c r="U1488" s="465">
        <v>478.8</v>
      </c>
      <c r="V1488" s="465">
        <v>10800</v>
      </c>
      <c r="W1488" s="466">
        <v>0</v>
      </c>
      <c r="X1488" s="467">
        <v>1</v>
      </c>
      <c r="Y1488" s="466">
        <v>16918.2</v>
      </c>
      <c r="Z1488" s="468" t="s">
        <v>516</v>
      </c>
      <c r="AA1488" s="466">
        <v>84468.6</v>
      </c>
      <c r="AB1488" s="466">
        <v>84468.6</v>
      </c>
      <c r="AC1488" s="467">
        <v>0</v>
      </c>
      <c r="AD1488" s="466">
        <v>0</v>
      </c>
      <c r="AE1488" s="468" t="s">
        <v>516</v>
      </c>
      <c r="AF1488" s="466">
        <v>0</v>
      </c>
      <c r="AG1488" s="466">
        <v>0</v>
      </c>
      <c r="AH1488" s="466">
        <v>1516.68</v>
      </c>
      <c r="AI1488" s="466">
        <v>0</v>
      </c>
      <c r="AJ1488" s="469" t="s">
        <v>2511</v>
      </c>
      <c r="AK1488" s="470" t="s">
        <v>2512</v>
      </c>
      <c r="AL1488" s="471" t="s">
        <v>11866</v>
      </c>
      <c r="AM1488" s="470" t="s">
        <v>15093</v>
      </c>
      <c r="AN1488" s="470" t="s">
        <v>11864</v>
      </c>
      <c r="AO1488" s="470" t="s">
        <v>14766</v>
      </c>
      <c r="AP1488" s="470" t="s">
        <v>11867</v>
      </c>
      <c r="AQ1488" s="470" t="s">
        <v>11862</v>
      </c>
      <c r="AR1488" s="472" t="s">
        <v>515</v>
      </c>
      <c r="AS1488" s="473" t="s">
        <v>1385</v>
      </c>
      <c r="AT1488" s="472" t="s">
        <v>4613</v>
      </c>
      <c r="AU1488" s="472" t="s">
        <v>420</v>
      </c>
      <c r="AV1488" s="472">
        <v>2020</v>
      </c>
      <c r="AW1488" s="474" t="s">
        <v>15078</v>
      </c>
      <c r="AX1488" s="475" t="s">
        <v>15079</v>
      </c>
      <c r="AY1488" s="515">
        <v>1</v>
      </c>
      <c r="AZ1488" s="474" t="s">
        <v>15079</v>
      </c>
      <c r="BA1488" s="472" t="s">
        <v>4613</v>
      </c>
      <c r="BB1488" s="472" t="s">
        <v>1385</v>
      </c>
      <c r="BC1488" s="472" t="s">
        <v>1385</v>
      </c>
      <c r="BD1488" s="472" t="s">
        <v>1385</v>
      </c>
      <c r="BE1488" s="472" t="s">
        <v>1385</v>
      </c>
      <c r="BF1488" s="472">
        <v>16918.2</v>
      </c>
      <c r="BG1488" s="472">
        <v>0</v>
      </c>
      <c r="BH1488" s="472" t="s">
        <v>1385</v>
      </c>
      <c r="BI1488" s="510">
        <v>0</v>
      </c>
      <c r="BJ1488" s="510">
        <v>0</v>
      </c>
      <c r="BK1488" s="510">
        <v>0</v>
      </c>
      <c r="BL1488" s="510">
        <v>0</v>
      </c>
      <c r="BM1488" s="510">
        <v>0</v>
      </c>
      <c r="BN1488" s="510">
        <v>2000</v>
      </c>
      <c r="BO1488" s="510">
        <v>0</v>
      </c>
      <c r="BP1488" s="510">
        <v>0</v>
      </c>
      <c r="BQ1488" s="510">
        <v>0</v>
      </c>
      <c r="BR1488" s="510">
        <v>0</v>
      </c>
      <c r="BS1488" s="510">
        <v>0</v>
      </c>
      <c r="BT1488" s="510">
        <v>0</v>
      </c>
      <c r="BU1488" s="510">
        <v>0</v>
      </c>
      <c r="BV1488" s="510">
        <v>0</v>
      </c>
      <c r="BW1488" s="510">
        <v>0</v>
      </c>
      <c r="BX1488" s="510">
        <v>30000</v>
      </c>
      <c r="BY1488" s="1011">
        <v>0</v>
      </c>
      <c r="BZ1488" s="510">
        <v>0</v>
      </c>
      <c r="CA1488" s="1011">
        <v>0</v>
      </c>
      <c r="CB1488" s="510">
        <v>0</v>
      </c>
      <c r="CC1488" s="1011">
        <v>0</v>
      </c>
      <c r="CD1488" s="510">
        <v>0</v>
      </c>
      <c r="CE1488" s="1011">
        <v>0</v>
      </c>
      <c r="CF1488" s="510">
        <v>37550.400000000001</v>
      </c>
      <c r="CG1488" s="1011">
        <v>0</v>
      </c>
      <c r="CH1488" s="510">
        <v>0</v>
      </c>
      <c r="CI1488" s="1011">
        <v>0</v>
      </c>
    </row>
    <row r="1489" spans="1:87" x14ac:dyDescent="0.2">
      <c r="A1489" s="449">
        <v>23</v>
      </c>
      <c r="B1489" s="453">
        <v>400295</v>
      </c>
      <c r="C1489" s="454" t="s">
        <v>11868</v>
      </c>
      <c r="D1489" s="454" t="s">
        <v>4613</v>
      </c>
      <c r="E1489" s="454" t="s">
        <v>11869</v>
      </c>
      <c r="F1489" s="454" t="s">
        <v>523</v>
      </c>
      <c r="G1489" s="454" t="s">
        <v>14767</v>
      </c>
      <c r="H1489" s="455">
        <v>8181723000146</v>
      </c>
      <c r="I1489" s="462">
        <v>38169</v>
      </c>
      <c r="J1489" s="457">
        <v>35502584</v>
      </c>
      <c r="K1489" s="454" t="s">
        <v>11871</v>
      </c>
      <c r="L1489" s="458">
        <v>200</v>
      </c>
      <c r="M1489" s="454" t="s">
        <v>2003</v>
      </c>
      <c r="N1489" s="459">
        <v>8411410</v>
      </c>
      <c r="O1489" s="460">
        <v>25544199</v>
      </c>
      <c r="P1489" s="462">
        <v>267743</v>
      </c>
      <c r="Q1489" s="462">
        <v>23</v>
      </c>
      <c r="R1489" s="462">
        <v>43930</v>
      </c>
      <c r="S1489" s="463">
        <v>80</v>
      </c>
      <c r="T1489" s="464">
        <v>3.6</v>
      </c>
      <c r="U1489" s="465">
        <v>288</v>
      </c>
      <c r="V1489" s="465">
        <v>10800</v>
      </c>
      <c r="W1489" s="466">
        <v>0</v>
      </c>
      <c r="X1489" s="467">
        <v>1</v>
      </c>
      <c r="Y1489" s="466">
        <v>16632</v>
      </c>
      <c r="Z1489" s="468" t="s">
        <v>516</v>
      </c>
      <c r="AA1489" s="466">
        <v>83793.600000000006</v>
      </c>
      <c r="AB1489" s="466">
        <v>83793.600000000006</v>
      </c>
      <c r="AC1489" s="467">
        <v>0</v>
      </c>
      <c r="AD1489" s="466">
        <v>0</v>
      </c>
      <c r="AE1489" s="468" t="s">
        <v>516</v>
      </c>
      <c r="AF1489" s="466">
        <v>0</v>
      </c>
      <c r="AG1489" s="466">
        <v>0</v>
      </c>
      <c r="AH1489" s="466">
        <v>15987.65</v>
      </c>
      <c r="AI1489" s="466">
        <v>4240.66</v>
      </c>
      <c r="AJ1489" s="469" t="s">
        <v>1395</v>
      </c>
      <c r="AK1489" s="470" t="s">
        <v>523</v>
      </c>
      <c r="AL1489" s="471" t="s">
        <v>11872</v>
      </c>
      <c r="AM1489" s="470" t="s">
        <v>11873</v>
      </c>
      <c r="AN1489" s="470" t="s">
        <v>11870</v>
      </c>
      <c r="AO1489" s="470" t="s">
        <v>11874</v>
      </c>
      <c r="AP1489" s="470" t="s">
        <v>11875</v>
      </c>
      <c r="AQ1489" s="470" t="s">
        <v>11868</v>
      </c>
      <c r="AR1489" s="472" t="s">
        <v>515</v>
      </c>
      <c r="AS1489" s="473" t="s">
        <v>1385</v>
      </c>
      <c r="AT1489" s="472" t="s">
        <v>4613</v>
      </c>
      <c r="AU1489" s="472" t="s">
        <v>420</v>
      </c>
      <c r="AV1489" s="472">
        <v>2020</v>
      </c>
      <c r="AW1489" s="474" t="s">
        <v>15078</v>
      </c>
      <c r="AX1489" s="475" t="s">
        <v>15079</v>
      </c>
      <c r="AY1489" s="515">
        <v>1</v>
      </c>
      <c r="AZ1489" s="474" t="s">
        <v>15079</v>
      </c>
      <c r="BA1489" s="472" t="s">
        <v>4613</v>
      </c>
      <c r="BB1489" s="472" t="s">
        <v>1385</v>
      </c>
      <c r="BC1489" s="472" t="s">
        <v>1385</v>
      </c>
      <c r="BD1489" s="472" t="s">
        <v>1385</v>
      </c>
      <c r="BE1489" s="472" t="s">
        <v>1385</v>
      </c>
      <c r="BF1489" s="472">
        <v>16632</v>
      </c>
      <c r="BG1489" s="472">
        <v>0</v>
      </c>
      <c r="BH1489" s="472" t="s">
        <v>1385</v>
      </c>
      <c r="BI1489" s="510">
        <v>0</v>
      </c>
      <c r="BJ1489" s="510">
        <v>0</v>
      </c>
      <c r="BK1489" s="510">
        <v>0</v>
      </c>
      <c r="BL1489" s="510">
        <v>0</v>
      </c>
      <c r="BM1489" s="510">
        <v>0</v>
      </c>
      <c r="BN1489" s="510">
        <v>1500</v>
      </c>
      <c r="BO1489" s="510">
        <v>0</v>
      </c>
      <c r="BP1489" s="510">
        <v>0</v>
      </c>
      <c r="BQ1489" s="510">
        <v>0</v>
      </c>
      <c r="BR1489" s="510">
        <v>0</v>
      </c>
      <c r="BS1489" s="510">
        <v>0</v>
      </c>
      <c r="BT1489" s="510">
        <v>0</v>
      </c>
      <c r="BU1489" s="510">
        <v>0</v>
      </c>
      <c r="BV1489" s="510">
        <v>0</v>
      </c>
      <c r="BW1489" s="510">
        <v>0</v>
      </c>
      <c r="BX1489" s="510">
        <v>30000</v>
      </c>
      <c r="BY1489" s="1011">
        <v>0</v>
      </c>
      <c r="BZ1489" s="510">
        <v>0</v>
      </c>
      <c r="CA1489" s="1011">
        <v>0</v>
      </c>
      <c r="CB1489" s="510">
        <v>0</v>
      </c>
      <c r="CC1489" s="1011">
        <v>0</v>
      </c>
      <c r="CD1489" s="510">
        <v>0</v>
      </c>
      <c r="CE1489" s="1011">
        <v>0</v>
      </c>
      <c r="CF1489" s="510">
        <v>37161.599999999999</v>
      </c>
      <c r="CG1489" s="1011">
        <v>0</v>
      </c>
      <c r="CH1489" s="510">
        <v>0</v>
      </c>
      <c r="CI1489" s="1011">
        <v>0</v>
      </c>
    </row>
    <row r="1490" spans="1:87" x14ac:dyDescent="0.2">
      <c r="A1490" s="449">
        <v>22</v>
      </c>
      <c r="B1490" s="453">
        <v>400296</v>
      </c>
      <c r="C1490" s="454" t="s">
        <v>15212</v>
      </c>
      <c r="D1490" s="454" t="s">
        <v>4613</v>
      </c>
      <c r="E1490" s="454" t="s">
        <v>15213</v>
      </c>
      <c r="F1490" s="454" t="s">
        <v>523</v>
      </c>
      <c r="G1490" s="454" t="s">
        <v>14768</v>
      </c>
      <c r="H1490" s="455">
        <v>7898542000172</v>
      </c>
      <c r="I1490" s="462">
        <v>38779</v>
      </c>
      <c r="J1490" s="457">
        <v>37620304</v>
      </c>
      <c r="K1490" s="454" t="s">
        <v>7836</v>
      </c>
      <c r="L1490" s="458" t="s">
        <v>1446</v>
      </c>
      <c r="M1490" s="454" t="s">
        <v>1950</v>
      </c>
      <c r="N1490" s="459">
        <v>8471533</v>
      </c>
      <c r="O1490" s="460">
        <v>22856055</v>
      </c>
      <c r="P1490" s="462">
        <v>267727</v>
      </c>
      <c r="Q1490" s="462">
        <v>22</v>
      </c>
      <c r="R1490" s="462">
        <v>43921</v>
      </c>
      <c r="S1490" s="463">
        <v>130</v>
      </c>
      <c r="T1490" s="464">
        <v>3.6</v>
      </c>
      <c r="U1490" s="465">
        <v>468</v>
      </c>
      <c r="V1490" s="465">
        <v>10800</v>
      </c>
      <c r="W1490" s="466">
        <v>0</v>
      </c>
      <c r="X1490" s="467">
        <v>1</v>
      </c>
      <c r="Y1490" s="466">
        <v>16902</v>
      </c>
      <c r="Z1490" s="468" t="s">
        <v>516</v>
      </c>
      <c r="AA1490" s="466">
        <v>84322.8</v>
      </c>
      <c r="AB1490" s="466">
        <v>84322.8</v>
      </c>
      <c r="AC1490" s="467">
        <v>0</v>
      </c>
      <c r="AD1490" s="466">
        <v>0</v>
      </c>
      <c r="AE1490" s="468" t="s">
        <v>516</v>
      </c>
      <c r="AF1490" s="466">
        <v>0</v>
      </c>
      <c r="AG1490" s="466">
        <v>0</v>
      </c>
      <c r="AH1490" s="466">
        <v>8148.01</v>
      </c>
      <c r="AI1490" s="466">
        <v>7417.73</v>
      </c>
      <c r="AJ1490" s="469" t="s">
        <v>5766</v>
      </c>
      <c r="AK1490" s="470" t="s">
        <v>14769</v>
      </c>
      <c r="AL1490" s="471" t="s">
        <v>14770</v>
      </c>
      <c r="AM1490" s="470" t="s">
        <v>11876</v>
      </c>
      <c r="AN1490" s="470" t="s">
        <v>1385</v>
      </c>
      <c r="AO1490" s="470" t="s">
        <v>14771</v>
      </c>
      <c r="AP1490" s="470" t="s">
        <v>15214</v>
      </c>
      <c r="AQ1490" s="470" t="s">
        <v>15212</v>
      </c>
      <c r="AR1490" s="472" t="s">
        <v>515</v>
      </c>
      <c r="AS1490" s="473" t="s">
        <v>1385</v>
      </c>
      <c r="AT1490" s="472" t="s">
        <v>4613</v>
      </c>
      <c r="AU1490" s="472" t="s">
        <v>420</v>
      </c>
      <c r="AV1490" s="472">
        <v>2020</v>
      </c>
      <c r="AW1490" s="474" t="s">
        <v>15078</v>
      </c>
      <c r="AX1490" s="475" t="s">
        <v>15079</v>
      </c>
      <c r="AY1490" s="515">
        <v>1</v>
      </c>
      <c r="AZ1490" s="474" t="s">
        <v>15079</v>
      </c>
      <c r="BA1490" s="472" t="s">
        <v>4613</v>
      </c>
      <c r="BB1490" s="472" t="s">
        <v>1385</v>
      </c>
      <c r="BC1490" s="472" t="s">
        <v>1385</v>
      </c>
      <c r="BD1490" s="472" t="s">
        <v>1385</v>
      </c>
      <c r="BE1490" s="472" t="s">
        <v>1385</v>
      </c>
      <c r="BF1490" s="472">
        <v>16902</v>
      </c>
      <c r="BG1490" s="472">
        <v>0</v>
      </c>
      <c r="BH1490" s="472" t="s">
        <v>1385</v>
      </c>
      <c r="BI1490" s="510">
        <v>0</v>
      </c>
      <c r="BJ1490" s="510">
        <v>0</v>
      </c>
      <c r="BK1490" s="510">
        <v>0</v>
      </c>
      <c r="BL1490" s="510">
        <v>0</v>
      </c>
      <c r="BM1490" s="510">
        <v>0</v>
      </c>
      <c r="BN1490" s="510">
        <v>2000</v>
      </c>
      <c r="BO1490" s="510">
        <v>0</v>
      </c>
      <c r="BP1490" s="510">
        <v>0</v>
      </c>
      <c r="BQ1490" s="510">
        <v>0</v>
      </c>
      <c r="BR1490" s="510">
        <v>0</v>
      </c>
      <c r="BS1490" s="510">
        <v>0</v>
      </c>
      <c r="BT1490" s="510">
        <v>0</v>
      </c>
      <c r="BU1490" s="510">
        <v>0</v>
      </c>
      <c r="BV1490" s="510">
        <v>0</v>
      </c>
      <c r="BW1490" s="510">
        <v>0</v>
      </c>
      <c r="BX1490" s="510">
        <v>30000</v>
      </c>
      <c r="BY1490" s="1011">
        <v>0</v>
      </c>
      <c r="BZ1490" s="510">
        <v>0</v>
      </c>
      <c r="CA1490" s="1011">
        <v>0</v>
      </c>
      <c r="CB1490" s="510">
        <v>0</v>
      </c>
      <c r="CC1490" s="1011">
        <v>0</v>
      </c>
      <c r="CD1490" s="510">
        <v>0</v>
      </c>
      <c r="CE1490" s="1011">
        <v>0</v>
      </c>
      <c r="CF1490" s="510">
        <v>37420.800000000003</v>
      </c>
      <c r="CG1490" s="1011">
        <v>0</v>
      </c>
      <c r="CH1490" s="510">
        <v>0</v>
      </c>
      <c r="CI1490" s="1011">
        <v>0</v>
      </c>
    </row>
    <row r="1491" spans="1:87" x14ac:dyDescent="0.2">
      <c r="A1491" s="449">
        <v>26</v>
      </c>
      <c r="B1491" s="453">
        <v>400297</v>
      </c>
      <c r="C1491" s="454" t="s">
        <v>11877</v>
      </c>
      <c r="D1491" s="454" t="s">
        <v>4613</v>
      </c>
      <c r="E1491" s="454" t="s">
        <v>11878</v>
      </c>
      <c r="F1491" s="454" t="s">
        <v>513</v>
      </c>
      <c r="G1491" s="454" t="s">
        <v>14772</v>
      </c>
      <c r="H1491" s="455">
        <v>7851905000114</v>
      </c>
      <c r="I1491" s="462">
        <v>38555</v>
      </c>
      <c r="J1491" s="457">
        <v>37411241</v>
      </c>
      <c r="K1491" s="454" t="s">
        <v>11879</v>
      </c>
      <c r="L1491" s="458" t="s">
        <v>11880</v>
      </c>
      <c r="M1491" s="454" t="s">
        <v>3400</v>
      </c>
      <c r="N1491" s="459">
        <v>3978750</v>
      </c>
      <c r="O1491" s="460">
        <v>27020894</v>
      </c>
      <c r="P1491" s="462">
        <v>145419</v>
      </c>
      <c r="Q1491" s="462">
        <v>26</v>
      </c>
      <c r="R1491" s="462">
        <v>43937</v>
      </c>
      <c r="S1491" s="463">
        <v>122</v>
      </c>
      <c r="T1491" s="464">
        <v>3.6</v>
      </c>
      <c r="U1491" s="465">
        <v>439.2</v>
      </c>
      <c r="V1491" s="465">
        <v>10800</v>
      </c>
      <c r="W1491" s="466">
        <v>0</v>
      </c>
      <c r="X1491" s="467">
        <v>1</v>
      </c>
      <c r="Y1491" s="466">
        <v>16858.8</v>
      </c>
      <c r="Z1491" s="468" t="s">
        <v>516</v>
      </c>
      <c r="AA1491" s="466">
        <v>84387.6</v>
      </c>
      <c r="AB1491" s="466">
        <v>84387.6</v>
      </c>
      <c r="AC1491" s="467">
        <v>0</v>
      </c>
      <c r="AD1491" s="466">
        <v>0</v>
      </c>
      <c r="AE1491" s="468" t="s">
        <v>516</v>
      </c>
      <c r="AF1491" s="466">
        <v>0</v>
      </c>
      <c r="AG1491" s="466">
        <v>0</v>
      </c>
      <c r="AH1491" s="466">
        <v>3701.33</v>
      </c>
      <c r="AI1491" s="466">
        <v>404.89</v>
      </c>
      <c r="AJ1491" s="469" t="s">
        <v>1580</v>
      </c>
      <c r="AK1491" s="470" t="s">
        <v>1879</v>
      </c>
      <c r="AL1491" s="471" t="s">
        <v>11881</v>
      </c>
      <c r="AM1491" s="470" t="s">
        <v>11882</v>
      </c>
      <c r="AN1491" s="470" t="s">
        <v>1385</v>
      </c>
      <c r="AO1491" s="470" t="s">
        <v>11883</v>
      </c>
      <c r="AP1491" s="470" t="s">
        <v>11884</v>
      </c>
      <c r="AQ1491" s="470" t="s">
        <v>11877</v>
      </c>
      <c r="AR1491" s="472" t="s">
        <v>515</v>
      </c>
      <c r="AS1491" s="473" t="s">
        <v>1385</v>
      </c>
      <c r="AT1491" s="472" t="s">
        <v>4613</v>
      </c>
      <c r="AU1491" s="472" t="s">
        <v>420</v>
      </c>
      <c r="AV1491" s="472">
        <v>2020</v>
      </c>
      <c r="AW1491" s="474" t="s">
        <v>15078</v>
      </c>
      <c r="AX1491" s="475" t="s">
        <v>15079</v>
      </c>
      <c r="AY1491" s="515">
        <v>1</v>
      </c>
      <c r="AZ1491" s="474" t="s">
        <v>15079</v>
      </c>
      <c r="BA1491" s="472" t="s">
        <v>4613</v>
      </c>
      <c r="BB1491" s="472" t="s">
        <v>1385</v>
      </c>
      <c r="BC1491" s="472" t="s">
        <v>1385</v>
      </c>
      <c r="BD1491" s="472" t="s">
        <v>1385</v>
      </c>
      <c r="BE1491" s="472" t="s">
        <v>1385</v>
      </c>
      <c r="BF1491" s="472">
        <v>16858.8</v>
      </c>
      <c r="BG1491" s="472">
        <v>0</v>
      </c>
      <c r="BH1491" s="472" t="s">
        <v>1385</v>
      </c>
      <c r="BI1491" s="510">
        <v>0</v>
      </c>
      <c r="BJ1491" s="510">
        <v>0</v>
      </c>
      <c r="BK1491" s="510">
        <v>0</v>
      </c>
      <c r="BL1491" s="510">
        <v>0</v>
      </c>
      <c r="BM1491" s="510">
        <v>0</v>
      </c>
      <c r="BN1491" s="510">
        <v>2000</v>
      </c>
      <c r="BO1491" s="510">
        <v>0</v>
      </c>
      <c r="BP1491" s="510">
        <v>0</v>
      </c>
      <c r="BQ1491" s="510">
        <v>0</v>
      </c>
      <c r="BR1491" s="510">
        <v>0</v>
      </c>
      <c r="BS1491" s="510">
        <v>0</v>
      </c>
      <c r="BT1491" s="510">
        <v>0</v>
      </c>
      <c r="BU1491" s="510">
        <v>0</v>
      </c>
      <c r="BV1491" s="510">
        <v>0</v>
      </c>
      <c r="BW1491" s="510">
        <v>0</v>
      </c>
      <c r="BX1491" s="510">
        <v>30000</v>
      </c>
      <c r="BY1491" s="1011">
        <v>0</v>
      </c>
      <c r="BZ1491" s="510">
        <v>0</v>
      </c>
      <c r="CA1491" s="1011">
        <v>0</v>
      </c>
      <c r="CB1491" s="510">
        <v>0</v>
      </c>
      <c r="CC1491" s="1011">
        <v>0</v>
      </c>
      <c r="CD1491" s="510">
        <v>0</v>
      </c>
      <c r="CE1491" s="1011">
        <v>0</v>
      </c>
      <c r="CF1491" s="510">
        <v>37528.800000000003</v>
      </c>
      <c r="CG1491" s="1011">
        <v>0</v>
      </c>
      <c r="CH1491" s="510">
        <v>0</v>
      </c>
      <c r="CI1491" s="1011">
        <v>0</v>
      </c>
    </row>
    <row r="1492" spans="1:87" x14ac:dyDescent="0.2">
      <c r="A1492" s="449">
        <v>6</v>
      </c>
      <c r="B1492" s="453">
        <v>400298</v>
      </c>
      <c r="C1492" s="454" t="s">
        <v>11885</v>
      </c>
      <c r="D1492" s="454" t="s">
        <v>4613</v>
      </c>
      <c r="E1492" s="454" t="s">
        <v>11886</v>
      </c>
      <c r="F1492" s="454" t="s">
        <v>519</v>
      </c>
      <c r="G1492" s="454" t="s">
        <v>14773</v>
      </c>
      <c r="H1492" s="455">
        <v>7036596000129</v>
      </c>
      <c r="I1492" s="462">
        <v>38201</v>
      </c>
      <c r="J1492" s="457">
        <v>37358316</v>
      </c>
      <c r="K1492" s="454" t="s">
        <v>11888</v>
      </c>
      <c r="L1492" s="458">
        <v>53</v>
      </c>
      <c r="M1492" s="454" t="s">
        <v>5239</v>
      </c>
      <c r="N1492" s="459">
        <v>5541200</v>
      </c>
      <c r="O1492" s="460">
        <v>37460084</v>
      </c>
      <c r="P1492" s="462">
        <v>123598</v>
      </c>
      <c r="Q1492" s="462">
        <v>73</v>
      </c>
      <c r="R1492" s="462">
        <v>43881</v>
      </c>
      <c r="S1492" s="463">
        <v>146</v>
      </c>
      <c r="T1492" s="464">
        <v>3.6</v>
      </c>
      <c r="U1492" s="465">
        <v>525.6</v>
      </c>
      <c r="V1492" s="465">
        <v>10800</v>
      </c>
      <c r="W1492" s="466">
        <v>0</v>
      </c>
      <c r="X1492" s="467">
        <v>1</v>
      </c>
      <c r="Y1492" s="466">
        <v>0</v>
      </c>
      <c r="Z1492" s="468" t="s">
        <v>514</v>
      </c>
      <c r="AA1492" s="466">
        <v>0</v>
      </c>
      <c r="AB1492" s="466">
        <v>0</v>
      </c>
      <c r="AC1492" s="467">
        <v>0</v>
      </c>
      <c r="AD1492" s="466">
        <v>0</v>
      </c>
      <c r="AE1492" s="468" t="s">
        <v>516</v>
      </c>
      <c r="AF1492" s="466">
        <v>0</v>
      </c>
      <c r="AG1492" s="466">
        <v>0</v>
      </c>
      <c r="AH1492" s="466">
        <v>7424.6</v>
      </c>
      <c r="AI1492" s="466">
        <v>5761.83</v>
      </c>
      <c r="AJ1492" s="469" t="s">
        <v>1940</v>
      </c>
      <c r="AK1492" s="470" t="s">
        <v>11889</v>
      </c>
      <c r="AL1492" s="471" t="s">
        <v>11890</v>
      </c>
      <c r="AM1492" s="470" t="s">
        <v>11891</v>
      </c>
      <c r="AN1492" s="470" t="s">
        <v>11887</v>
      </c>
      <c r="AO1492" s="470" t="s">
        <v>11892</v>
      </c>
      <c r="AP1492" s="470" t="s">
        <v>11893</v>
      </c>
      <c r="AQ1492" s="470" t="s">
        <v>11885</v>
      </c>
      <c r="AR1492" s="472" t="s">
        <v>515</v>
      </c>
      <c r="AS1492" s="473" t="s">
        <v>1385</v>
      </c>
      <c r="AT1492" s="472" t="s">
        <v>4613</v>
      </c>
      <c r="AU1492" s="472" t="s">
        <v>420</v>
      </c>
      <c r="AV1492" s="472">
        <v>2020</v>
      </c>
      <c r="AW1492" s="474" t="s">
        <v>15078</v>
      </c>
      <c r="AX1492" s="475" t="s">
        <v>15079</v>
      </c>
      <c r="AY1492" s="515">
        <v>1</v>
      </c>
      <c r="AZ1492" s="474" t="s">
        <v>15079</v>
      </c>
      <c r="BA1492" s="472" t="s">
        <v>1385</v>
      </c>
      <c r="BB1492" s="472" t="s">
        <v>1385</v>
      </c>
      <c r="BC1492" s="472" t="s">
        <v>1385</v>
      </c>
      <c r="BD1492" s="472" t="s">
        <v>1385</v>
      </c>
      <c r="BE1492" s="472" t="s">
        <v>1385</v>
      </c>
      <c r="BF1492" s="472">
        <v>16988.400000000001</v>
      </c>
      <c r="BG1492" s="472">
        <v>0</v>
      </c>
      <c r="BH1492" s="472" t="s">
        <v>516</v>
      </c>
      <c r="BI1492" s="510">
        <v>0</v>
      </c>
      <c r="BJ1492" s="510">
        <v>0</v>
      </c>
      <c r="BK1492" s="510">
        <v>0</v>
      </c>
      <c r="BL1492" s="510">
        <v>0</v>
      </c>
      <c r="BM1492" s="510">
        <v>0</v>
      </c>
      <c r="BN1492" s="510">
        <v>0</v>
      </c>
      <c r="BO1492" s="510">
        <v>0</v>
      </c>
      <c r="BP1492" s="510">
        <v>0</v>
      </c>
      <c r="BQ1492" s="510">
        <v>0</v>
      </c>
      <c r="BR1492" s="510">
        <v>0</v>
      </c>
      <c r="BS1492" s="510">
        <v>0</v>
      </c>
      <c r="BT1492" s="510">
        <v>0</v>
      </c>
      <c r="BU1492" s="510">
        <v>0</v>
      </c>
      <c r="BV1492" s="510">
        <v>0</v>
      </c>
      <c r="BW1492" s="510">
        <v>0</v>
      </c>
      <c r="BX1492" s="510">
        <v>0</v>
      </c>
      <c r="BY1492" s="1011">
        <v>0</v>
      </c>
      <c r="BZ1492" s="510">
        <v>0</v>
      </c>
      <c r="CA1492" s="1011">
        <v>0</v>
      </c>
      <c r="CB1492" s="510">
        <v>0</v>
      </c>
      <c r="CC1492" s="1011">
        <v>0</v>
      </c>
      <c r="CD1492" s="510">
        <v>0</v>
      </c>
      <c r="CE1492" s="1011">
        <v>0</v>
      </c>
      <c r="CF1492" s="510">
        <v>0</v>
      </c>
      <c r="CG1492" s="1011">
        <v>0</v>
      </c>
      <c r="CH1492" s="510">
        <v>0</v>
      </c>
      <c r="CI1492" s="1011">
        <v>0</v>
      </c>
    </row>
    <row r="1493" spans="1:87" x14ac:dyDescent="0.2">
      <c r="A1493" s="449">
        <v>22</v>
      </c>
      <c r="B1493" s="453">
        <v>400299</v>
      </c>
      <c r="C1493" s="454" t="s">
        <v>11894</v>
      </c>
      <c r="D1493" s="454" t="s">
        <v>4613</v>
      </c>
      <c r="E1493" s="454" t="s">
        <v>11895</v>
      </c>
      <c r="F1493" s="454" t="s">
        <v>513</v>
      </c>
      <c r="G1493" s="454" t="s">
        <v>14774</v>
      </c>
      <c r="H1493" s="455">
        <v>8236159000111</v>
      </c>
      <c r="I1493" s="462">
        <v>38925</v>
      </c>
      <c r="J1493" s="457">
        <v>37529447</v>
      </c>
      <c r="K1493" s="454" t="s">
        <v>4120</v>
      </c>
      <c r="L1493" s="458">
        <v>851</v>
      </c>
      <c r="M1493" s="454" t="s">
        <v>3373</v>
      </c>
      <c r="N1493" s="459">
        <v>8341000</v>
      </c>
      <c r="O1493" s="460">
        <v>27314561</v>
      </c>
      <c r="P1493" s="462">
        <v>145370</v>
      </c>
      <c r="Q1493" s="462">
        <v>22</v>
      </c>
      <c r="R1493" s="462">
        <v>43937</v>
      </c>
      <c r="S1493" s="463">
        <v>115</v>
      </c>
      <c r="T1493" s="464">
        <v>3.6</v>
      </c>
      <c r="U1493" s="465">
        <v>414</v>
      </c>
      <c r="V1493" s="465">
        <v>10800</v>
      </c>
      <c r="W1493" s="466">
        <v>0</v>
      </c>
      <c r="X1493" s="467">
        <v>1</v>
      </c>
      <c r="Y1493" s="466">
        <v>16821</v>
      </c>
      <c r="Z1493" s="468" t="s">
        <v>516</v>
      </c>
      <c r="AA1493" s="466">
        <v>84198.6</v>
      </c>
      <c r="AB1493" s="466">
        <v>84198.6</v>
      </c>
      <c r="AC1493" s="467">
        <v>0</v>
      </c>
      <c r="AD1493" s="466">
        <v>0</v>
      </c>
      <c r="AE1493" s="468" t="s">
        <v>516</v>
      </c>
      <c r="AF1493" s="466">
        <v>0</v>
      </c>
      <c r="AG1493" s="466">
        <v>0</v>
      </c>
      <c r="AH1493" s="466">
        <v>13789.32</v>
      </c>
      <c r="AI1493" s="466">
        <v>2154.5</v>
      </c>
      <c r="AJ1493" s="469" t="s">
        <v>2520</v>
      </c>
      <c r="AK1493" s="470" t="s">
        <v>2521</v>
      </c>
      <c r="AL1493" s="471" t="s">
        <v>11896</v>
      </c>
      <c r="AM1493" s="470" t="s">
        <v>11897</v>
      </c>
      <c r="AN1493" s="470" t="s">
        <v>11898</v>
      </c>
      <c r="AO1493" s="470" t="s">
        <v>11899</v>
      </c>
      <c r="AP1493" s="470" t="s">
        <v>11900</v>
      </c>
      <c r="AQ1493" s="470" t="s">
        <v>11894</v>
      </c>
      <c r="AR1493" s="472" t="s">
        <v>515</v>
      </c>
      <c r="AS1493" s="473" t="s">
        <v>1385</v>
      </c>
      <c r="AT1493" s="472" t="s">
        <v>4613</v>
      </c>
      <c r="AU1493" s="472" t="s">
        <v>420</v>
      </c>
      <c r="AV1493" s="472">
        <v>2020</v>
      </c>
      <c r="AW1493" s="474" t="s">
        <v>15078</v>
      </c>
      <c r="AX1493" s="475" t="s">
        <v>15079</v>
      </c>
      <c r="AY1493" s="515">
        <v>1</v>
      </c>
      <c r="AZ1493" s="474" t="s">
        <v>15079</v>
      </c>
      <c r="BA1493" s="472" t="s">
        <v>4613</v>
      </c>
      <c r="BB1493" s="472" t="s">
        <v>1385</v>
      </c>
      <c r="BC1493" s="472" t="s">
        <v>1385</v>
      </c>
      <c r="BD1493" s="472" t="s">
        <v>1385</v>
      </c>
      <c r="BE1493" s="472" t="s">
        <v>1385</v>
      </c>
      <c r="BF1493" s="472">
        <v>16821</v>
      </c>
      <c r="BG1493" s="472">
        <v>0</v>
      </c>
      <c r="BH1493" s="472" t="s">
        <v>1385</v>
      </c>
      <c r="BI1493" s="510">
        <v>0</v>
      </c>
      <c r="BJ1493" s="510">
        <v>0</v>
      </c>
      <c r="BK1493" s="510">
        <v>0</v>
      </c>
      <c r="BL1493" s="510">
        <v>0</v>
      </c>
      <c r="BM1493" s="510">
        <v>0</v>
      </c>
      <c r="BN1493" s="510">
        <v>2000</v>
      </c>
      <c r="BO1493" s="510">
        <v>0</v>
      </c>
      <c r="BP1493" s="510">
        <v>0</v>
      </c>
      <c r="BQ1493" s="510">
        <v>0</v>
      </c>
      <c r="BR1493" s="510">
        <v>0</v>
      </c>
      <c r="BS1493" s="510">
        <v>0</v>
      </c>
      <c r="BT1493" s="510">
        <v>0</v>
      </c>
      <c r="BU1493" s="510">
        <v>0</v>
      </c>
      <c r="BV1493" s="510">
        <v>0</v>
      </c>
      <c r="BW1493" s="510">
        <v>0</v>
      </c>
      <c r="BX1493" s="510">
        <v>30000</v>
      </c>
      <c r="BY1493" s="1011">
        <v>0</v>
      </c>
      <c r="BZ1493" s="510">
        <v>0</v>
      </c>
      <c r="CA1493" s="1011">
        <v>0</v>
      </c>
      <c r="CB1493" s="510">
        <v>0</v>
      </c>
      <c r="CC1493" s="1011">
        <v>0</v>
      </c>
      <c r="CD1493" s="510">
        <v>0</v>
      </c>
      <c r="CE1493" s="1011">
        <v>0</v>
      </c>
      <c r="CF1493" s="510">
        <v>37377.599999999999</v>
      </c>
      <c r="CG1493" s="1011">
        <v>0</v>
      </c>
      <c r="CH1493" s="510">
        <v>0</v>
      </c>
      <c r="CI1493" s="1011">
        <v>0</v>
      </c>
    </row>
    <row r="1494" spans="1:87" x14ac:dyDescent="0.2">
      <c r="A1494" s="449">
        <v>3</v>
      </c>
      <c r="B1494" s="453">
        <v>400300</v>
      </c>
      <c r="C1494" s="454" t="s">
        <v>11901</v>
      </c>
      <c r="D1494" s="454" t="s">
        <v>4613</v>
      </c>
      <c r="E1494" s="454" t="s">
        <v>11902</v>
      </c>
      <c r="F1494" s="454" t="s">
        <v>528</v>
      </c>
      <c r="G1494" s="454" t="s">
        <v>14775</v>
      </c>
      <c r="H1494" s="455">
        <v>10013917000184</v>
      </c>
      <c r="I1494" s="462">
        <v>39629</v>
      </c>
      <c r="J1494" s="457">
        <v>39638952</v>
      </c>
      <c r="K1494" s="454" t="s">
        <v>11903</v>
      </c>
      <c r="L1494" s="458">
        <v>252</v>
      </c>
      <c r="M1494" s="454" t="s">
        <v>11904</v>
      </c>
      <c r="N1494" s="459">
        <v>2998270</v>
      </c>
      <c r="O1494" s="460">
        <v>39281786</v>
      </c>
      <c r="P1494" s="462">
        <v>248870</v>
      </c>
      <c r="Q1494" s="462">
        <v>3</v>
      </c>
      <c r="R1494" s="462">
        <v>43938</v>
      </c>
      <c r="S1494" s="463">
        <v>145</v>
      </c>
      <c r="T1494" s="464">
        <v>3.6</v>
      </c>
      <c r="U1494" s="465">
        <v>522</v>
      </c>
      <c r="V1494" s="465">
        <v>10800</v>
      </c>
      <c r="W1494" s="466">
        <v>0</v>
      </c>
      <c r="X1494" s="467">
        <v>1</v>
      </c>
      <c r="Y1494" s="466">
        <v>16983</v>
      </c>
      <c r="Z1494" s="468" t="s">
        <v>516</v>
      </c>
      <c r="AA1494" s="466">
        <v>84583.8</v>
      </c>
      <c r="AB1494" s="466">
        <v>84583.8</v>
      </c>
      <c r="AC1494" s="467">
        <v>0</v>
      </c>
      <c r="AD1494" s="466">
        <v>0</v>
      </c>
      <c r="AE1494" s="468" t="s">
        <v>516</v>
      </c>
      <c r="AF1494" s="466">
        <v>0</v>
      </c>
      <c r="AG1494" s="466">
        <v>0</v>
      </c>
      <c r="AH1494" s="466">
        <v>16265.11</v>
      </c>
      <c r="AI1494" s="466">
        <v>3158.47</v>
      </c>
      <c r="AJ1494" s="469" t="s">
        <v>11905</v>
      </c>
      <c r="AK1494" s="470" t="s">
        <v>10671</v>
      </c>
      <c r="AL1494" s="471" t="s">
        <v>11906</v>
      </c>
      <c r="AM1494" s="470" t="s">
        <v>11907</v>
      </c>
      <c r="AN1494" s="470" t="s">
        <v>11908</v>
      </c>
      <c r="AO1494" s="470" t="s">
        <v>14776</v>
      </c>
      <c r="AP1494" s="470" t="s">
        <v>3554</v>
      </c>
      <c r="AQ1494" s="470" t="s">
        <v>11901</v>
      </c>
      <c r="AR1494" s="472" t="s">
        <v>515</v>
      </c>
      <c r="AS1494" s="473" t="s">
        <v>1385</v>
      </c>
      <c r="AT1494" s="472" t="s">
        <v>4613</v>
      </c>
      <c r="AU1494" s="472" t="s">
        <v>420</v>
      </c>
      <c r="AV1494" s="472">
        <v>2020</v>
      </c>
      <c r="AW1494" s="474" t="s">
        <v>15078</v>
      </c>
      <c r="AX1494" s="475" t="s">
        <v>15079</v>
      </c>
      <c r="AY1494" s="515">
        <v>1</v>
      </c>
      <c r="AZ1494" s="474" t="s">
        <v>15079</v>
      </c>
      <c r="BA1494" s="472" t="s">
        <v>4613</v>
      </c>
      <c r="BB1494" s="472" t="s">
        <v>1385</v>
      </c>
      <c r="BC1494" s="472" t="s">
        <v>1385</v>
      </c>
      <c r="BD1494" s="472" t="s">
        <v>1385</v>
      </c>
      <c r="BE1494" s="472" t="s">
        <v>1385</v>
      </c>
      <c r="BF1494" s="472">
        <v>16983</v>
      </c>
      <c r="BG1494" s="472">
        <v>0</v>
      </c>
      <c r="BH1494" s="472" t="s">
        <v>1385</v>
      </c>
      <c r="BI1494" s="510">
        <v>0</v>
      </c>
      <c r="BJ1494" s="510">
        <v>183</v>
      </c>
      <c r="BK1494" s="510">
        <v>0</v>
      </c>
      <c r="BL1494" s="510">
        <v>0</v>
      </c>
      <c r="BM1494" s="510">
        <v>0</v>
      </c>
      <c r="BN1494" s="510">
        <v>2000</v>
      </c>
      <c r="BO1494" s="510">
        <v>0</v>
      </c>
      <c r="BP1494" s="510">
        <v>0</v>
      </c>
      <c r="BQ1494" s="510">
        <v>0</v>
      </c>
      <c r="BR1494" s="510">
        <v>0</v>
      </c>
      <c r="BS1494" s="510">
        <v>0</v>
      </c>
      <c r="BT1494" s="510">
        <v>0</v>
      </c>
      <c r="BU1494" s="510">
        <v>0</v>
      </c>
      <c r="BV1494" s="510">
        <v>0</v>
      </c>
      <c r="BW1494" s="510">
        <v>0</v>
      </c>
      <c r="BX1494" s="510">
        <v>30000</v>
      </c>
      <c r="BY1494" s="1011">
        <v>0</v>
      </c>
      <c r="BZ1494" s="510">
        <v>0</v>
      </c>
      <c r="CA1494" s="1011">
        <v>0</v>
      </c>
      <c r="CB1494" s="510">
        <v>0</v>
      </c>
      <c r="CC1494" s="1011">
        <v>0</v>
      </c>
      <c r="CD1494" s="510">
        <v>0</v>
      </c>
      <c r="CE1494" s="1011">
        <v>0</v>
      </c>
      <c r="CF1494" s="510">
        <v>37600.800000000003</v>
      </c>
      <c r="CG1494" s="1011">
        <v>0</v>
      </c>
      <c r="CH1494" s="510">
        <v>0</v>
      </c>
      <c r="CI1494" s="1011">
        <v>0</v>
      </c>
    </row>
    <row r="1495" spans="1:87" x14ac:dyDescent="0.2">
      <c r="A1495" s="449">
        <v>1</v>
      </c>
      <c r="B1495" s="453">
        <v>400301</v>
      </c>
      <c r="C1495" s="454" t="s">
        <v>11909</v>
      </c>
      <c r="D1495" s="454" t="s">
        <v>4613</v>
      </c>
      <c r="E1495" s="454" t="s">
        <v>11909</v>
      </c>
      <c r="F1495" s="454" t="s">
        <v>520</v>
      </c>
      <c r="G1495" s="454" t="s">
        <v>14777</v>
      </c>
      <c r="H1495" s="455">
        <v>6537576000179</v>
      </c>
      <c r="I1495" s="462">
        <v>38162</v>
      </c>
      <c r="J1495" s="457">
        <v>37621394</v>
      </c>
      <c r="K1495" s="454" t="s">
        <v>11911</v>
      </c>
      <c r="L1495" s="458" t="s">
        <v>1446</v>
      </c>
      <c r="M1495" s="454" t="s">
        <v>1469</v>
      </c>
      <c r="N1495" s="459">
        <v>5868040</v>
      </c>
      <c r="O1495" s="460">
        <v>58241089</v>
      </c>
      <c r="P1495" s="462">
        <v>281649</v>
      </c>
      <c r="Q1495" s="462">
        <v>1</v>
      </c>
      <c r="R1495" s="462">
        <v>43969</v>
      </c>
      <c r="S1495" s="463">
        <v>155</v>
      </c>
      <c r="T1495" s="464">
        <v>3.6</v>
      </c>
      <c r="U1495" s="465">
        <v>558</v>
      </c>
      <c r="V1495" s="465">
        <v>10800</v>
      </c>
      <c r="W1495" s="466">
        <v>0</v>
      </c>
      <c r="X1495" s="467">
        <v>1</v>
      </c>
      <c r="Y1495" s="466">
        <v>17037</v>
      </c>
      <c r="Z1495" s="468" t="s">
        <v>516</v>
      </c>
      <c r="AA1495" s="466">
        <v>84745.8</v>
      </c>
      <c r="AB1495" s="466">
        <v>84745.8</v>
      </c>
      <c r="AC1495" s="467">
        <v>0</v>
      </c>
      <c r="AD1495" s="466">
        <v>0</v>
      </c>
      <c r="AE1495" s="468" t="s">
        <v>516</v>
      </c>
      <c r="AF1495" s="466">
        <v>0</v>
      </c>
      <c r="AG1495" s="466">
        <v>0</v>
      </c>
      <c r="AH1495" s="466">
        <v>14375.77</v>
      </c>
      <c r="AI1495" s="466">
        <v>1696.52</v>
      </c>
      <c r="AJ1495" s="469" t="s">
        <v>1515</v>
      </c>
      <c r="AK1495" s="470" t="s">
        <v>1516</v>
      </c>
      <c r="AL1495" s="471" t="s">
        <v>11912</v>
      </c>
      <c r="AM1495" s="470" t="s">
        <v>11913</v>
      </c>
      <c r="AN1495" s="470" t="s">
        <v>11910</v>
      </c>
      <c r="AO1495" s="470" t="s">
        <v>14778</v>
      </c>
      <c r="AP1495" s="470" t="s">
        <v>11914</v>
      </c>
      <c r="AQ1495" s="470" t="s">
        <v>11909</v>
      </c>
      <c r="AR1495" s="472" t="s">
        <v>515</v>
      </c>
      <c r="AS1495" s="473" t="s">
        <v>1385</v>
      </c>
      <c r="AT1495" s="472" t="s">
        <v>4613</v>
      </c>
      <c r="AU1495" s="472" t="s">
        <v>420</v>
      </c>
      <c r="AV1495" s="472">
        <v>2020</v>
      </c>
      <c r="AW1495" s="474" t="s">
        <v>15078</v>
      </c>
      <c r="AX1495" s="475" t="s">
        <v>15079</v>
      </c>
      <c r="AY1495" s="515">
        <v>1</v>
      </c>
      <c r="AZ1495" s="474" t="s">
        <v>15079</v>
      </c>
      <c r="BA1495" s="472" t="s">
        <v>4613</v>
      </c>
      <c r="BB1495" s="472" t="s">
        <v>1385</v>
      </c>
      <c r="BC1495" s="472" t="s">
        <v>1385</v>
      </c>
      <c r="BD1495" s="472" t="s">
        <v>1385</v>
      </c>
      <c r="BE1495" s="472" t="s">
        <v>1385</v>
      </c>
      <c r="BF1495" s="472">
        <v>17037</v>
      </c>
      <c r="BG1495" s="472">
        <v>0</v>
      </c>
      <c r="BH1495" s="472" t="s">
        <v>1385</v>
      </c>
      <c r="BI1495" s="510">
        <v>0</v>
      </c>
      <c r="BJ1495" s="510">
        <v>1.47</v>
      </c>
      <c r="BK1495" s="510">
        <v>0</v>
      </c>
      <c r="BL1495" s="510">
        <v>0</v>
      </c>
      <c r="BM1495" s="510">
        <v>0</v>
      </c>
      <c r="BN1495" s="510">
        <v>2000</v>
      </c>
      <c r="BO1495" s="510">
        <v>0</v>
      </c>
      <c r="BP1495" s="510">
        <v>0</v>
      </c>
      <c r="BQ1495" s="510">
        <v>0</v>
      </c>
      <c r="BR1495" s="510">
        <v>0</v>
      </c>
      <c r="BS1495" s="510">
        <v>0</v>
      </c>
      <c r="BT1495" s="510">
        <v>0</v>
      </c>
      <c r="BU1495" s="510">
        <v>0</v>
      </c>
      <c r="BV1495" s="510">
        <v>0</v>
      </c>
      <c r="BW1495" s="510">
        <v>0</v>
      </c>
      <c r="BX1495" s="510">
        <v>30000</v>
      </c>
      <c r="BY1495" s="1011">
        <v>0</v>
      </c>
      <c r="BZ1495" s="510">
        <v>0</v>
      </c>
      <c r="CA1495" s="1011">
        <v>0</v>
      </c>
      <c r="CB1495" s="510">
        <v>0</v>
      </c>
      <c r="CC1495" s="1011">
        <v>0</v>
      </c>
      <c r="CD1495" s="510">
        <v>0</v>
      </c>
      <c r="CE1495" s="1011">
        <v>0</v>
      </c>
      <c r="CF1495" s="510">
        <v>37708.800000000003</v>
      </c>
      <c r="CG1495" s="1011">
        <v>0</v>
      </c>
      <c r="CH1495" s="510">
        <v>0</v>
      </c>
      <c r="CI1495" s="1011">
        <v>0</v>
      </c>
    </row>
    <row r="1496" spans="1:87" x14ac:dyDescent="0.2">
      <c r="A1496" s="449">
        <v>10</v>
      </c>
      <c r="B1496" s="453">
        <v>400302</v>
      </c>
      <c r="C1496" s="454" t="s">
        <v>11915</v>
      </c>
      <c r="D1496" s="454" t="s">
        <v>4613</v>
      </c>
      <c r="E1496" s="454" t="s">
        <v>11916</v>
      </c>
      <c r="F1496" s="454" t="s">
        <v>519</v>
      </c>
      <c r="G1496" s="454" t="s">
        <v>14779</v>
      </c>
      <c r="H1496" s="455">
        <v>6341476000172</v>
      </c>
      <c r="I1496" s="462">
        <v>38139</v>
      </c>
      <c r="J1496" s="457">
        <v>37358260</v>
      </c>
      <c r="K1496" s="454" t="s">
        <v>3592</v>
      </c>
      <c r="L1496" s="458">
        <v>405</v>
      </c>
      <c r="M1496" s="454" t="s">
        <v>11918</v>
      </c>
      <c r="N1496" s="459">
        <v>5376020</v>
      </c>
      <c r="O1496" s="460">
        <v>37143019</v>
      </c>
      <c r="P1496" s="462">
        <v>123733</v>
      </c>
      <c r="Q1496" s="462">
        <v>77</v>
      </c>
      <c r="R1496" s="462">
        <v>43881</v>
      </c>
      <c r="S1496" s="463">
        <v>137</v>
      </c>
      <c r="T1496" s="464">
        <v>3.6</v>
      </c>
      <c r="U1496" s="465">
        <v>493.2</v>
      </c>
      <c r="V1496" s="465">
        <v>10800</v>
      </c>
      <c r="W1496" s="466">
        <v>0</v>
      </c>
      <c r="X1496" s="467">
        <v>1</v>
      </c>
      <c r="Y1496" s="466">
        <v>0</v>
      </c>
      <c r="Z1496" s="468" t="s">
        <v>514</v>
      </c>
      <c r="AA1496" s="466">
        <v>0</v>
      </c>
      <c r="AB1496" s="466">
        <v>0</v>
      </c>
      <c r="AC1496" s="467">
        <v>0</v>
      </c>
      <c r="AD1496" s="466">
        <v>0</v>
      </c>
      <c r="AE1496" s="468" t="s">
        <v>516</v>
      </c>
      <c r="AF1496" s="466">
        <v>0</v>
      </c>
      <c r="AG1496" s="466">
        <v>0</v>
      </c>
      <c r="AH1496" s="466">
        <v>3226.65</v>
      </c>
      <c r="AI1496" s="466">
        <v>0</v>
      </c>
      <c r="AJ1496" s="469" t="s">
        <v>2690</v>
      </c>
      <c r="AK1496" s="470" t="s">
        <v>2691</v>
      </c>
      <c r="AL1496" s="471" t="s">
        <v>11919</v>
      </c>
      <c r="AM1496" s="470" t="s">
        <v>14780</v>
      </c>
      <c r="AN1496" s="470" t="s">
        <v>11917</v>
      </c>
      <c r="AO1496" s="470" t="s">
        <v>14781</v>
      </c>
      <c r="AP1496" s="470" t="s">
        <v>11920</v>
      </c>
      <c r="AQ1496" s="470" t="s">
        <v>11915</v>
      </c>
      <c r="AR1496" s="472" t="s">
        <v>515</v>
      </c>
      <c r="AS1496" s="473" t="s">
        <v>1385</v>
      </c>
      <c r="AT1496" s="472" t="s">
        <v>4613</v>
      </c>
      <c r="AU1496" s="472" t="s">
        <v>420</v>
      </c>
      <c r="AV1496" s="472">
        <v>2020</v>
      </c>
      <c r="AW1496" s="474" t="s">
        <v>15078</v>
      </c>
      <c r="AX1496" s="475" t="s">
        <v>15079</v>
      </c>
      <c r="AY1496" s="515">
        <v>1</v>
      </c>
      <c r="AZ1496" s="474" t="s">
        <v>15079</v>
      </c>
      <c r="BA1496" s="472" t="s">
        <v>1385</v>
      </c>
      <c r="BB1496" s="472" t="s">
        <v>1385</v>
      </c>
      <c r="BC1496" s="472" t="s">
        <v>1385</v>
      </c>
      <c r="BD1496" s="472" t="s">
        <v>1385</v>
      </c>
      <c r="BE1496" s="472" t="s">
        <v>1385</v>
      </c>
      <c r="BF1496" s="472">
        <v>16939.8</v>
      </c>
      <c r="BG1496" s="472">
        <v>0</v>
      </c>
      <c r="BH1496" s="472" t="s">
        <v>516</v>
      </c>
      <c r="BI1496" s="510">
        <v>0</v>
      </c>
      <c r="BJ1496" s="510">
        <v>0</v>
      </c>
      <c r="BK1496" s="510">
        <v>0</v>
      </c>
      <c r="BL1496" s="510">
        <v>0</v>
      </c>
      <c r="BM1496" s="510">
        <v>0</v>
      </c>
      <c r="BN1496" s="510">
        <v>0</v>
      </c>
      <c r="BO1496" s="510">
        <v>0</v>
      </c>
      <c r="BP1496" s="510">
        <v>0</v>
      </c>
      <c r="BQ1496" s="510">
        <v>0</v>
      </c>
      <c r="BR1496" s="510">
        <v>0</v>
      </c>
      <c r="BS1496" s="510">
        <v>0</v>
      </c>
      <c r="BT1496" s="510">
        <v>0</v>
      </c>
      <c r="BU1496" s="510">
        <v>0</v>
      </c>
      <c r="BV1496" s="510">
        <v>0</v>
      </c>
      <c r="BW1496" s="510">
        <v>0</v>
      </c>
      <c r="BX1496" s="510">
        <v>0</v>
      </c>
      <c r="BY1496" s="1011">
        <v>0</v>
      </c>
      <c r="BZ1496" s="510">
        <v>0</v>
      </c>
      <c r="CA1496" s="1011">
        <v>0</v>
      </c>
      <c r="CB1496" s="510">
        <v>0</v>
      </c>
      <c r="CC1496" s="1011">
        <v>0</v>
      </c>
      <c r="CD1496" s="510">
        <v>0</v>
      </c>
      <c r="CE1496" s="1011">
        <v>0</v>
      </c>
      <c r="CF1496" s="510">
        <v>0</v>
      </c>
      <c r="CG1496" s="1011">
        <v>0</v>
      </c>
      <c r="CH1496" s="510">
        <v>0</v>
      </c>
      <c r="CI1496" s="1011">
        <v>0</v>
      </c>
    </row>
    <row r="1497" spans="1:87" x14ac:dyDescent="0.2">
      <c r="A1497" s="449">
        <v>14</v>
      </c>
      <c r="B1497" s="453">
        <v>400303</v>
      </c>
      <c r="C1497" s="454" t="s">
        <v>11921</v>
      </c>
      <c r="D1497" s="454" t="s">
        <v>4613</v>
      </c>
      <c r="E1497" s="454" t="s">
        <v>11922</v>
      </c>
      <c r="F1497" s="454" t="s">
        <v>523</v>
      </c>
      <c r="G1497" s="454" t="s">
        <v>14782</v>
      </c>
      <c r="H1497" s="455">
        <v>7970293000189</v>
      </c>
      <c r="I1497" s="462">
        <v>38770</v>
      </c>
      <c r="J1497" s="457">
        <v>37620193</v>
      </c>
      <c r="K1497" s="454" t="s">
        <v>11923</v>
      </c>
      <c r="L1497" s="458">
        <v>801</v>
      </c>
      <c r="M1497" s="454" t="s">
        <v>9300</v>
      </c>
      <c r="N1497" s="459">
        <v>8473592</v>
      </c>
      <c r="O1497" s="460">
        <v>22822245</v>
      </c>
      <c r="P1497" s="462">
        <v>267522</v>
      </c>
      <c r="Q1497" s="462">
        <v>14</v>
      </c>
      <c r="R1497" s="462">
        <v>43921</v>
      </c>
      <c r="S1497" s="463">
        <v>142</v>
      </c>
      <c r="T1497" s="464">
        <v>3.6</v>
      </c>
      <c r="U1497" s="465">
        <v>511.2</v>
      </c>
      <c r="V1497" s="465">
        <v>10800</v>
      </c>
      <c r="W1497" s="466">
        <v>0</v>
      </c>
      <c r="X1497" s="467">
        <v>1</v>
      </c>
      <c r="Y1497" s="466">
        <v>16966.8</v>
      </c>
      <c r="Z1497" s="468" t="s">
        <v>516</v>
      </c>
      <c r="AA1497" s="466">
        <v>84553.2</v>
      </c>
      <c r="AB1497" s="466">
        <v>84553.2</v>
      </c>
      <c r="AC1497" s="467">
        <v>0</v>
      </c>
      <c r="AD1497" s="466">
        <v>0</v>
      </c>
      <c r="AE1497" s="468" t="s">
        <v>516</v>
      </c>
      <c r="AF1497" s="466">
        <v>0</v>
      </c>
      <c r="AG1497" s="466">
        <v>0</v>
      </c>
      <c r="AH1497" s="466">
        <v>6935.4</v>
      </c>
      <c r="AI1497" s="466">
        <v>4207.8599999999997</v>
      </c>
      <c r="AJ1497" s="469" t="s">
        <v>1395</v>
      </c>
      <c r="AK1497" s="470" t="s">
        <v>523</v>
      </c>
      <c r="AL1497" s="471" t="s">
        <v>11924</v>
      </c>
      <c r="AM1497" s="470" t="s">
        <v>11925</v>
      </c>
      <c r="AN1497" s="470" t="s">
        <v>1385</v>
      </c>
      <c r="AO1497" s="470" t="s">
        <v>11926</v>
      </c>
      <c r="AP1497" s="470" t="s">
        <v>11927</v>
      </c>
      <c r="AQ1497" s="470" t="s">
        <v>11921</v>
      </c>
      <c r="AR1497" s="472" t="s">
        <v>515</v>
      </c>
      <c r="AS1497" s="473" t="s">
        <v>1385</v>
      </c>
      <c r="AT1497" s="472" t="s">
        <v>4613</v>
      </c>
      <c r="AU1497" s="472" t="s">
        <v>420</v>
      </c>
      <c r="AV1497" s="472">
        <v>2020</v>
      </c>
      <c r="AW1497" s="474" t="s">
        <v>15078</v>
      </c>
      <c r="AX1497" s="475" t="s">
        <v>15079</v>
      </c>
      <c r="AY1497" s="515">
        <v>1</v>
      </c>
      <c r="AZ1497" s="474" t="s">
        <v>15079</v>
      </c>
      <c r="BA1497" s="472" t="s">
        <v>4613</v>
      </c>
      <c r="BB1497" s="472" t="s">
        <v>1385</v>
      </c>
      <c r="BC1497" s="472" t="s">
        <v>1385</v>
      </c>
      <c r="BD1497" s="472" t="s">
        <v>1385</v>
      </c>
      <c r="BE1497" s="472" t="s">
        <v>1385</v>
      </c>
      <c r="BF1497" s="472">
        <v>16966.8</v>
      </c>
      <c r="BG1497" s="472">
        <v>0</v>
      </c>
      <c r="BH1497" s="472" t="s">
        <v>1385</v>
      </c>
      <c r="BI1497" s="510">
        <v>0</v>
      </c>
      <c r="BJ1497" s="510">
        <v>0</v>
      </c>
      <c r="BK1497" s="510">
        <v>0</v>
      </c>
      <c r="BL1497" s="510">
        <v>0</v>
      </c>
      <c r="BM1497" s="510">
        <v>0</v>
      </c>
      <c r="BN1497" s="510">
        <v>2000</v>
      </c>
      <c r="BO1497" s="510">
        <v>0</v>
      </c>
      <c r="BP1497" s="510">
        <v>0</v>
      </c>
      <c r="BQ1497" s="510">
        <v>0</v>
      </c>
      <c r="BR1497" s="510">
        <v>0</v>
      </c>
      <c r="BS1497" s="510">
        <v>0</v>
      </c>
      <c r="BT1497" s="510">
        <v>0</v>
      </c>
      <c r="BU1497" s="510">
        <v>0</v>
      </c>
      <c r="BV1497" s="510">
        <v>0</v>
      </c>
      <c r="BW1497" s="510">
        <v>0</v>
      </c>
      <c r="BX1497" s="510">
        <v>30000</v>
      </c>
      <c r="BY1497" s="1011">
        <v>0</v>
      </c>
      <c r="BZ1497" s="510">
        <v>0</v>
      </c>
      <c r="CA1497" s="1011">
        <v>0</v>
      </c>
      <c r="CB1497" s="510">
        <v>0</v>
      </c>
      <c r="CC1497" s="1011">
        <v>0</v>
      </c>
      <c r="CD1497" s="510">
        <v>0</v>
      </c>
      <c r="CE1497" s="1011">
        <v>0</v>
      </c>
      <c r="CF1497" s="510">
        <v>37586.400000000001</v>
      </c>
      <c r="CG1497" s="1011">
        <v>0</v>
      </c>
      <c r="CH1497" s="510">
        <v>0</v>
      </c>
      <c r="CI1497" s="1011">
        <v>0</v>
      </c>
    </row>
    <row r="1498" spans="1:87" x14ac:dyDescent="0.2">
      <c r="A1498" s="449">
        <v>4</v>
      </c>
      <c r="B1498" s="453">
        <v>400304</v>
      </c>
      <c r="C1498" s="454" t="s">
        <v>11928</v>
      </c>
      <c r="D1498" s="454" t="s">
        <v>4613</v>
      </c>
      <c r="E1498" s="454" t="s">
        <v>11929</v>
      </c>
      <c r="F1498" s="454" t="s">
        <v>523</v>
      </c>
      <c r="G1498" s="454" t="s">
        <v>14783</v>
      </c>
      <c r="H1498" s="455">
        <v>7906487000115</v>
      </c>
      <c r="I1498" s="462">
        <v>38217</v>
      </c>
      <c r="J1498" s="457">
        <v>37621360</v>
      </c>
      <c r="K1498" s="454" t="s">
        <v>11930</v>
      </c>
      <c r="L1498" s="458">
        <v>65</v>
      </c>
      <c r="M1498" s="454" t="s">
        <v>11931</v>
      </c>
      <c r="N1498" s="459">
        <v>3918010</v>
      </c>
      <c r="O1498" s="460">
        <v>25592201</v>
      </c>
      <c r="P1498" s="462">
        <v>267328</v>
      </c>
      <c r="Q1498" s="462">
        <v>4</v>
      </c>
      <c r="R1498" s="462">
        <v>43921</v>
      </c>
      <c r="S1498" s="463">
        <v>127</v>
      </c>
      <c r="T1498" s="464">
        <v>3.6</v>
      </c>
      <c r="U1498" s="465">
        <v>457.2</v>
      </c>
      <c r="V1498" s="465">
        <v>10800</v>
      </c>
      <c r="W1498" s="466">
        <v>0</v>
      </c>
      <c r="X1498" s="467">
        <v>1</v>
      </c>
      <c r="Y1498" s="466">
        <v>16885.8</v>
      </c>
      <c r="Z1498" s="468" t="s">
        <v>516</v>
      </c>
      <c r="AA1498" s="466">
        <v>84349.8</v>
      </c>
      <c r="AB1498" s="466">
        <v>84349.8</v>
      </c>
      <c r="AC1498" s="467">
        <v>0</v>
      </c>
      <c r="AD1498" s="466">
        <v>0</v>
      </c>
      <c r="AE1498" s="468" t="s">
        <v>516</v>
      </c>
      <c r="AF1498" s="466">
        <v>0</v>
      </c>
      <c r="AG1498" s="466">
        <v>0</v>
      </c>
      <c r="AH1498" s="466">
        <v>19390.87</v>
      </c>
      <c r="AI1498" s="466">
        <v>2280.1</v>
      </c>
      <c r="AJ1498" s="469" t="s">
        <v>1395</v>
      </c>
      <c r="AK1498" s="470" t="s">
        <v>523</v>
      </c>
      <c r="AL1498" s="471" t="s">
        <v>11932</v>
      </c>
      <c r="AM1498" s="470" t="s">
        <v>14784</v>
      </c>
      <c r="AN1498" s="470" t="s">
        <v>1385</v>
      </c>
      <c r="AO1498" s="470" t="s">
        <v>14785</v>
      </c>
      <c r="AP1498" s="470" t="s">
        <v>11933</v>
      </c>
      <c r="AQ1498" s="470" t="s">
        <v>11928</v>
      </c>
      <c r="AR1498" s="472" t="s">
        <v>515</v>
      </c>
      <c r="AS1498" s="473" t="s">
        <v>1385</v>
      </c>
      <c r="AT1498" s="472" t="s">
        <v>4613</v>
      </c>
      <c r="AU1498" s="472" t="s">
        <v>420</v>
      </c>
      <c r="AV1498" s="472">
        <v>2020</v>
      </c>
      <c r="AW1498" s="474" t="s">
        <v>15078</v>
      </c>
      <c r="AX1498" s="475" t="s">
        <v>15079</v>
      </c>
      <c r="AY1498" s="515">
        <v>1</v>
      </c>
      <c r="AZ1498" s="474" t="s">
        <v>15079</v>
      </c>
      <c r="BA1498" s="472" t="s">
        <v>4613</v>
      </c>
      <c r="BB1498" s="472" t="s">
        <v>1385</v>
      </c>
      <c r="BC1498" s="472" t="s">
        <v>1385</v>
      </c>
      <c r="BD1498" s="472" t="s">
        <v>1385</v>
      </c>
      <c r="BE1498" s="472" t="s">
        <v>1385</v>
      </c>
      <c r="BF1498" s="509">
        <v>16885.8</v>
      </c>
      <c r="BG1498" s="509">
        <v>0</v>
      </c>
      <c r="BH1498" s="472" t="s">
        <v>1385</v>
      </c>
      <c r="BI1498" s="510">
        <v>0</v>
      </c>
      <c r="BJ1498" s="510">
        <v>0</v>
      </c>
      <c r="BK1498" s="510">
        <v>0</v>
      </c>
      <c r="BL1498" s="510">
        <v>0</v>
      </c>
      <c r="BM1498" s="510">
        <v>0</v>
      </c>
      <c r="BN1498" s="510">
        <v>2000</v>
      </c>
      <c r="BO1498" s="510">
        <v>0</v>
      </c>
      <c r="BP1498" s="510">
        <v>0</v>
      </c>
      <c r="BQ1498" s="510">
        <v>0</v>
      </c>
      <c r="BR1498" s="510">
        <v>0</v>
      </c>
      <c r="BS1498" s="510">
        <v>0</v>
      </c>
      <c r="BT1498" s="510">
        <v>0</v>
      </c>
      <c r="BU1498" s="510">
        <v>0</v>
      </c>
      <c r="BV1498" s="510">
        <v>0</v>
      </c>
      <c r="BW1498" s="510">
        <v>0</v>
      </c>
      <c r="BX1498" s="510">
        <v>30000</v>
      </c>
      <c r="BY1498" s="1011">
        <v>0</v>
      </c>
      <c r="BZ1498" s="510">
        <v>0</v>
      </c>
      <c r="CA1498" s="1011">
        <v>0</v>
      </c>
      <c r="CB1498" s="510">
        <v>0</v>
      </c>
      <c r="CC1498" s="1011">
        <v>0</v>
      </c>
      <c r="CD1498" s="510">
        <v>0</v>
      </c>
      <c r="CE1498" s="1011">
        <v>0</v>
      </c>
      <c r="CF1498" s="510">
        <v>37464</v>
      </c>
      <c r="CG1498" s="1011">
        <v>0</v>
      </c>
      <c r="CH1498" s="510">
        <v>0</v>
      </c>
      <c r="CI1498" s="1011">
        <v>0</v>
      </c>
    </row>
    <row r="1499" spans="1:87" x14ac:dyDescent="0.2">
      <c r="A1499" s="449">
        <v>9</v>
      </c>
      <c r="B1499" s="453">
        <v>400305</v>
      </c>
      <c r="C1499" s="454" t="s">
        <v>11934</v>
      </c>
      <c r="D1499" s="454" t="s">
        <v>4613</v>
      </c>
      <c r="E1499" s="454" t="s">
        <v>11935</v>
      </c>
      <c r="F1499" s="454" t="s">
        <v>519</v>
      </c>
      <c r="G1499" s="454" t="s">
        <v>14786</v>
      </c>
      <c r="H1499" s="455">
        <v>7823739000142</v>
      </c>
      <c r="I1499" s="462">
        <v>38650</v>
      </c>
      <c r="J1499" s="457">
        <v>37357743</v>
      </c>
      <c r="K1499" s="454" t="s">
        <v>11937</v>
      </c>
      <c r="L1499" s="458">
        <v>2679</v>
      </c>
      <c r="M1499" s="454" t="s">
        <v>5559</v>
      </c>
      <c r="N1499" s="459">
        <v>5401350</v>
      </c>
      <c r="O1499" s="460">
        <v>30824387</v>
      </c>
      <c r="P1499" s="462">
        <v>116702</v>
      </c>
      <c r="Q1499" s="462">
        <v>76</v>
      </c>
      <c r="R1499" s="462">
        <v>43881</v>
      </c>
      <c r="S1499" s="463">
        <v>87</v>
      </c>
      <c r="T1499" s="464">
        <v>3.6</v>
      </c>
      <c r="U1499" s="465">
        <v>313.2</v>
      </c>
      <c r="V1499" s="465">
        <v>10800</v>
      </c>
      <c r="W1499" s="466">
        <v>0</v>
      </c>
      <c r="X1499" s="467">
        <v>1</v>
      </c>
      <c r="Y1499" s="466">
        <v>0</v>
      </c>
      <c r="Z1499" s="468" t="s">
        <v>514</v>
      </c>
      <c r="AA1499" s="466">
        <v>0</v>
      </c>
      <c r="AB1499" s="466">
        <v>0</v>
      </c>
      <c r="AC1499" s="467">
        <v>0</v>
      </c>
      <c r="AD1499" s="466">
        <v>0</v>
      </c>
      <c r="AE1499" s="468" t="s">
        <v>516</v>
      </c>
      <c r="AF1499" s="466">
        <v>0</v>
      </c>
      <c r="AG1499" s="466">
        <v>0</v>
      </c>
      <c r="AH1499" s="466">
        <v>9225.48</v>
      </c>
      <c r="AI1499" s="466">
        <v>2752.06</v>
      </c>
      <c r="AJ1499" s="469" t="s">
        <v>11938</v>
      </c>
      <c r="AK1499" s="470" t="s">
        <v>11937</v>
      </c>
      <c r="AL1499" s="471" t="s">
        <v>11939</v>
      </c>
      <c r="AM1499" s="470" t="s">
        <v>14787</v>
      </c>
      <c r="AN1499" s="470" t="s">
        <v>11936</v>
      </c>
      <c r="AO1499" s="470" t="s">
        <v>11940</v>
      </c>
      <c r="AP1499" s="470" t="s">
        <v>5559</v>
      </c>
      <c r="AQ1499" s="470" t="s">
        <v>11934</v>
      </c>
      <c r="AR1499" s="472" t="s">
        <v>515</v>
      </c>
      <c r="AS1499" s="473" t="s">
        <v>1385</v>
      </c>
      <c r="AT1499" s="472" t="s">
        <v>4613</v>
      </c>
      <c r="AU1499" s="472" t="s">
        <v>420</v>
      </c>
      <c r="AV1499" s="472">
        <v>2020</v>
      </c>
      <c r="AW1499" s="474" t="s">
        <v>15078</v>
      </c>
      <c r="AX1499" s="475" t="s">
        <v>15079</v>
      </c>
      <c r="AY1499" s="515">
        <v>1</v>
      </c>
      <c r="AZ1499" s="474" t="s">
        <v>15079</v>
      </c>
      <c r="BA1499" s="472" t="s">
        <v>1385</v>
      </c>
      <c r="BB1499" s="472" t="s">
        <v>1385</v>
      </c>
      <c r="BC1499" s="472" t="s">
        <v>1385</v>
      </c>
      <c r="BD1499" s="472" t="s">
        <v>1385</v>
      </c>
      <c r="BE1499" s="472" t="s">
        <v>1385</v>
      </c>
      <c r="BF1499" s="472">
        <v>16669.8</v>
      </c>
      <c r="BG1499" s="472">
        <v>0</v>
      </c>
      <c r="BH1499" s="472" t="s">
        <v>516</v>
      </c>
      <c r="BI1499" s="510">
        <v>0</v>
      </c>
      <c r="BJ1499" s="510">
        <v>0</v>
      </c>
      <c r="BK1499" s="510">
        <v>0</v>
      </c>
      <c r="BL1499" s="510">
        <v>0</v>
      </c>
      <c r="BM1499" s="510">
        <v>0</v>
      </c>
      <c r="BN1499" s="510">
        <v>0</v>
      </c>
      <c r="BO1499" s="510">
        <v>0</v>
      </c>
      <c r="BP1499" s="510">
        <v>0</v>
      </c>
      <c r="BQ1499" s="510">
        <v>0</v>
      </c>
      <c r="BR1499" s="510">
        <v>0</v>
      </c>
      <c r="BS1499" s="510">
        <v>0</v>
      </c>
      <c r="BT1499" s="510">
        <v>0</v>
      </c>
      <c r="BU1499" s="510">
        <v>0</v>
      </c>
      <c r="BV1499" s="510">
        <v>0</v>
      </c>
      <c r="BW1499" s="510">
        <v>0</v>
      </c>
      <c r="BX1499" s="510">
        <v>0</v>
      </c>
      <c r="BY1499" s="1011">
        <v>0</v>
      </c>
      <c r="BZ1499" s="510">
        <v>0</v>
      </c>
      <c r="CA1499" s="1011">
        <v>0</v>
      </c>
      <c r="CB1499" s="510">
        <v>0</v>
      </c>
      <c r="CC1499" s="1011">
        <v>0</v>
      </c>
      <c r="CD1499" s="510">
        <v>0</v>
      </c>
      <c r="CE1499" s="1011">
        <v>0</v>
      </c>
      <c r="CF1499" s="510">
        <v>0</v>
      </c>
      <c r="CG1499" s="1011">
        <v>0</v>
      </c>
      <c r="CH1499" s="510">
        <v>0</v>
      </c>
      <c r="CI1499" s="1011">
        <v>0</v>
      </c>
    </row>
    <row r="1500" spans="1:87" x14ac:dyDescent="0.2">
      <c r="A1500" s="449">
        <v>18</v>
      </c>
      <c r="B1500" s="453">
        <v>400377</v>
      </c>
      <c r="C1500" s="454" t="s">
        <v>11941</v>
      </c>
      <c r="D1500" s="454" t="s">
        <v>4613</v>
      </c>
      <c r="E1500" s="454" t="s">
        <v>11942</v>
      </c>
      <c r="F1500" s="454" t="s">
        <v>525</v>
      </c>
      <c r="G1500" s="454" t="s">
        <v>14788</v>
      </c>
      <c r="H1500" s="455">
        <v>8538002000140</v>
      </c>
      <c r="I1500" s="462">
        <v>39059</v>
      </c>
      <c r="J1500" s="457">
        <v>37358049</v>
      </c>
      <c r="K1500" s="454" t="s">
        <v>11944</v>
      </c>
      <c r="L1500" s="458">
        <v>390</v>
      </c>
      <c r="M1500" s="454" t="s">
        <v>1536</v>
      </c>
      <c r="N1500" s="459">
        <v>2229070</v>
      </c>
      <c r="O1500" s="460">
        <v>22405722</v>
      </c>
      <c r="P1500" s="462">
        <v>323465</v>
      </c>
      <c r="Q1500" s="462">
        <v>18</v>
      </c>
      <c r="R1500" s="462">
        <v>43950</v>
      </c>
      <c r="S1500" s="463">
        <v>163</v>
      </c>
      <c r="T1500" s="464">
        <v>3.6</v>
      </c>
      <c r="U1500" s="465">
        <v>586.79999999999995</v>
      </c>
      <c r="V1500" s="465">
        <v>10800</v>
      </c>
      <c r="W1500" s="466">
        <v>0</v>
      </c>
      <c r="X1500" s="467">
        <v>1</v>
      </c>
      <c r="Y1500" s="466">
        <v>17080.2</v>
      </c>
      <c r="Z1500" s="468" t="s">
        <v>516</v>
      </c>
      <c r="AA1500" s="466">
        <v>84832.2</v>
      </c>
      <c r="AB1500" s="466">
        <v>84832.2</v>
      </c>
      <c r="AC1500" s="467">
        <v>0</v>
      </c>
      <c r="AD1500" s="466">
        <v>0</v>
      </c>
      <c r="AE1500" s="468" t="s">
        <v>516</v>
      </c>
      <c r="AF1500" s="466">
        <v>0</v>
      </c>
      <c r="AG1500" s="466">
        <v>0</v>
      </c>
      <c r="AH1500" s="466">
        <v>12262.45</v>
      </c>
      <c r="AI1500" s="466">
        <v>0</v>
      </c>
      <c r="AJ1500" s="469" t="s">
        <v>1448</v>
      </c>
      <c r="AK1500" s="470" t="s">
        <v>1449</v>
      </c>
      <c r="AL1500" s="471" t="s">
        <v>11945</v>
      </c>
      <c r="AM1500" s="470" t="s">
        <v>11946</v>
      </c>
      <c r="AN1500" s="470" t="s">
        <v>11943</v>
      </c>
      <c r="AO1500" s="470" t="s">
        <v>11947</v>
      </c>
      <c r="AP1500" s="470" t="s">
        <v>6832</v>
      </c>
      <c r="AQ1500" s="470" t="s">
        <v>11941</v>
      </c>
      <c r="AR1500" s="472" t="s">
        <v>515</v>
      </c>
      <c r="AS1500" s="473" t="s">
        <v>1385</v>
      </c>
      <c r="AT1500" s="472" t="s">
        <v>4613</v>
      </c>
      <c r="AU1500" s="472" t="s">
        <v>420</v>
      </c>
      <c r="AV1500" s="472">
        <v>2020</v>
      </c>
      <c r="AW1500" s="474" t="s">
        <v>15078</v>
      </c>
      <c r="AX1500" s="475" t="s">
        <v>15079</v>
      </c>
      <c r="AY1500" s="515">
        <v>1</v>
      </c>
      <c r="AZ1500" s="474" t="s">
        <v>15079</v>
      </c>
      <c r="BA1500" s="472" t="s">
        <v>4613</v>
      </c>
      <c r="BB1500" s="472" t="s">
        <v>1385</v>
      </c>
      <c r="BC1500" s="472" t="s">
        <v>1385</v>
      </c>
      <c r="BD1500" s="472" t="s">
        <v>1385</v>
      </c>
      <c r="BE1500" s="472" t="s">
        <v>1385</v>
      </c>
      <c r="BF1500" s="472">
        <v>17080.2</v>
      </c>
      <c r="BG1500" s="472">
        <v>0</v>
      </c>
      <c r="BH1500" s="472" t="s">
        <v>1385</v>
      </c>
      <c r="BI1500" s="510">
        <v>0</v>
      </c>
      <c r="BJ1500" s="510">
        <v>0</v>
      </c>
      <c r="BK1500" s="510">
        <v>0</v>
      </c>
      <c r="BL1500" s="510">
        <v>0</v>
      </c>
      <c r="BM1500" s="510">
        <v>0</v>
      </c>
      <c r="BN1500" s="510">
        <v>2000</v>
      </c>
      <c r="BO1500" s="510">
        <v>0</v>
      </c>
      <c r="BP1500" s="510">
        <v>0</v>
      </c>
      <c r="BQ1500" s="510">
        <v>0</v>
      </c>
      <c r="BR1500" s="510">
        <v>0</v>
      </c>
      <c r="BS1500" s="510">
        <v>0</v>
      </c>
      <c r="BT1500" s="510">
        <v>0</v>
      </c>
      <c r="BU1500" s="510">
        <v>0</v>
      </c>
      <c r="BV1500" s="510">
        <v>0</v>
      </c>
      <c r="BW1500" s="510">
        <v>0</v>
      </c>
      <c r="BX1500" s="510">
        <v>30000</v>
      </c>
      <c r="BY1500" s="1011">
        <v>0</v>
      </c>
      <c r="BZ1500" s="510">
        <v>0</v>
      </c>
      <c r="CA1500" s="1011">
        <v>0</v>
      </c>
      <c r="CB1500" s="510">
        <v>0</v>
      </c>
      <c r="CC1500" s="1011">
        <v>0</v>
      </c>
      <c r="CD1500" s="510">
        <v>0</v>
      </c>
      <c r="CE1500" s="1011">
        <v>0</v>
      </c>
      <c r="CF1500" s="510">
        <v>37752</v>
      </c>
      <c r="CG1500" s="1011">
        <v>0</v>
      </c>
      <c r="CH1500" s="510">
        <v>0</v>
      </c>
      <c r="CI1500" s="1011">
        <v>0</v>
      </c>
    </row>
    <row r="1501" spans="1:87" x14ac:dyDescent="0.2">
      <c r="A1501" s="449">
        <v>8</v>
      </c>
      <c r="B1501" s="453">
        <v>400461</v>
      </c>
      <c r="C1501" s="454" t="s">
        <v>11948</v>
      </c>
      <c r="D1501" s="454" t="s">
        <v>4613</v>
      </c>
      <c r="E1501" s="454" t="s">
        <v>11949</v>
      </c>
      <c r="F1501" s="454" t="s">
        <v>528</v>
      </c>
      <c r="G1501" s="454" t="s">
        <v>14789</v>
      </c>
      <c r="H1501" s="455">
        <v>7914561000145</v>
      </c>
      <c r="I1501" s="462">
        <v>39584</v>
      </c>
      <c r="J1501" s="457">
        <v>37585878</v>
      </c>
      <c r="K1501" s="454" t="s">
        <v>11951</v>
      </c>
      <c r="L1501" s="458">
        <v>70</v>
      </c>
      <c r="M1501" s="454" t="s">
        <v>11952</v>
      </c>
      <c r="N1501" s="459">
        <v>2995160</v>
      </c>
      <c r="O1501" s="460">
        <v>39421571</v>
      </c>
      <c r="P1501" s="462">
        <v>218173</v>
      </c>
      <c r="Q1501" s="462">
        <v>8</v>
      </c>
      <c r="R1501" s="462">
        <v>43938</v>
      </c>
      <c r="S1501" s="463">
        <v>145</v>
      </c>
      <c r="T1501" s="464">
        <v>3.6</v>
      </c>
      <c r="U1501" s="465">
        <v>522</v>
      </c>
      <c r="V1501" s="465">
        <v>10800</v>
      </c>
      <c r="W1501" s="466">
        <v>0</v>
      </c>
      <c r="X1501" s="467">
        <v>1</v>
      </c>
      <c r="Y1501" s="466">
        <v>16983</v>
      </c>
      <c r="Z1501" s="468" t="s">
        <v>516</v>
      </c>
      <c r="AA1501" s="466">
        <v>84519</v>
      </c>
      <c r="AB1501" s="466">
        <v>84519</v>
      </c>
      <c r="AC1501" s="467">
        <v>0</v>
      </c>
      <c r="AD1501" s="466">
        <v>0</v>
      </c>
      <c r="AE1501" s="468" t="s">
        <v>516</v>
      </c>
      <c r="AF1501" s="466">
        <v>0</v>
      </c>
      <c r="AG1501" s="466">
        <v>0</v>
      </c>
      <c r="AH1501" s="466">
        <v>899.56</v>
      </c>
      <c r="AI1501" s="466">
        <v>3191.32</v>
      </c>
      <c r="AJ1501" s="469" t="s">
        <v>1571</v>
      </c>
      <c r="AK1501" s="470" t="s">
        <v>528</v>
      </c>
      <c r="AL1501" s="471" t="s">
        <v>11953</v>
      </c>
      <c r="AM1501" s="470" t="s">
        <v>11954</v>
      </c>
      <c r="AN1501" s="470" t="s">
        <v>11950</v>
      </c>
      <c r="AO1501" s="470" t="s">
        <v>14790</v>
      </c>
      <c r="AP1501" s="470" t="s">
        <v>11955</v>
      </c>
      <c r="AQ1501" s="470" t="s">
        <v>11948</v>
      </c>
      <c r="AR1501" s="472" t="s">
        <v>515</v>
      </c>
      <c r="AS1501" s="473" t="s">
        <v>1385</v>
      </c>
      <c r="AT1501" s="472" t="s">
        <v>4613</v>
      </c>
      <c r="AU1501" s="472" t="s">
        <v>420</v>
      </c>
      <c r="AV1501" s="472">
        <v>2020</v>
      </c>
      <c r="AW1501" s="474" t="s">
        <v>15078</v>
      </c>
      <c r="AX1501" s="475" t="s">
        <v>15079</v>
      </c>
      <c r="AY1501" s="515">
        <v>1</v>
      </c>
      <c r="AZ1501" s="474" t="s">
        <v>15079</v>
      </c>
      <c r="BA1501" s="472" t="s">
        <v>4613</v>
      </c>
      <c r="BB1501" s="472" t="s">
        <v>1385</v>
      </c>
      <c r="BC1501" s="472" t="s">
        <v>1385</v>
      </c>
      <c r="BD1501" s="472" t="s">
        <v>1385</v>
      </c>
      <c r="BE1501" s="472" t="s">
        <v>1385</v>
      </c>
      <c r="BF1501" s="472">
        <v>16983</v>
      </c>
      <c r="BG1501" s="472">
        <v>0</v>
      </c>
      <c r="BH1501" s="472" t="s">
        <v>1385</v>
      </c>
      <c r="BI1501" s="510">
        <v>0</v>
      </c>
      <c r="BJ1501" s="510">
        <v>0</v>
      </c>
      <c r="BK1501" s="510">
        <v>0</v>
      </c>
      <c r="BL1501" s="510">
        <v>0</v>
      </c>
      <c r="BM1501" s="510">
        <v>0</v>
      </c>
      <c r="BN1501" s="510">
        <v>2000</v>
      </c>
      <c r="BO1501" s="510">
        <v>0</v>
      </c>
      <c r="BP1501" s="510">
        <v>0</v>
      </c>
      <c r="BQ1501" s="510">
        <v>0</v>
      </c>
      <c r="BR1501" s="510">
        <v>0</v>
      </c>
      <c r="BS1501" s="510">
        <v>0</v>
      </c>
      <c r="BT1501" s="510">
        <v>0</v>
      </c>
      <c r="BU1501" s="510">
        <v>0</v>
      </c>
      <c r="BV1501" s="510">
        <v>0</v>
      </c>
      <c r="BW1501" s="510">
        <v>0</v>
      </c>
      <c r="BX1501" s="510">
        <v>30000</v>
      </c>
      <c r="BY1501" s="1011">
        <v>0</v>
      </c>
      <c r="BZ1501" s="510">
        <v>0</v>
      </c>
      <c r="CA1501" s="1011">
        <v>0</v>
      </c>
      <c r="CB1501" s="510">
        <v>0</v>
      </c>
      <c r="CC1501" s="1011">
        <v>0</v>
      </c>
      <c r="CD1501" s="510">
        <v>0</v>
      </c>
      <c r="CE1501" s="1011">
        <v>0</v>
      </c>
      <c r="CF1501" s="510">
        <v>37536</v>
      </c>
      <c r="CG1501" s="1011">
        <v>0</v>
      </c>
      <c r="CH1501" s="510">
        <v>0</v>
      </c>
      <c r="CI1501" s="1011">
        <v>0</v>
      </c>
    </row>
    <row r="1502" spans="1:87" x14ac:dyDescent="0.2">
      <c r="A1502" s="449">
        <v>33</v>
      </c>
      <c r="B1502" s="453">
        <v>400489</v>
      </c>
      <c r="C1502" s="454" t="s">
        <v>11956</v>
      </c>
      <c r="D1502" s="454" t="s">
        <v>4613</v>
      </c>
      <c r="E1502" s="454" t="s">
        <v>11957</v>
      </c>
      <c r="F1502" s="454" t="s">
        <v>526</v>
      </c>
      <c r="G1502" s="454" t="s">
        <v>14791</v>
      </c>
      <c r="H1502" s="455">
        <v>7745465000110</v>
      </c>
      <c r="I1502" s="462">
        <v>38685</v>
      </c>
      <c r="J1502" s="457">
        <v>37604996</v>
      </c>
      <c r="K1502" s="454" t="s">
        <v>11958</v>
      </c>
      <c r="L1502" s="458" t="s">
        <v>1446</v>
      </c>
      <c r="M1502" s="454" t="s">
        <v>8000</v>
      </c>
      <c r="N1502" s="459">
        <v>8180500</v>
      </c>
      <c r="O1502" s="460">
        <v>25815037</v>
      </c>
      <c r="P1502" s="462">
        <v>145907</v>
      </c>
      <c r="Q1502" s="462">
        <v>33</v>
      </c>
      <c r="R1502" s="462">
        <v>43928</v>
      </c>
      <c r="S1502" s="463">
        <v>145</v>
      </c>
      <c r="T1502" s="464">
        <v>3.6</v>
      </c>
      <c r="U1502" s="465">
        <v>522</v>
      </c>
      <c r="V1502" s="465">
        <v>10800</v>
      </c>
      <c r="W1502" s="466">
        <v>0</v>
      </c>
      <c r="X1502" s="467">
        <v>1</v>
      </c>
      <c r="Y1502" s="466">
        <v>16983</v>
      </c>
      <c r="Z1502" s="468" t="s">
        <v>516</v>
      </c>
      <c r="AA1502" s="466">
        <v>84555</v>
      </c>
      <c r="AB1502" s="466">
        <v>84555</v>
      </c>
      <c r="AC1502" s="467">
        <v>0</v>
      </c>
      <c r="AD1502" s="466">
        <v>0</v>
      </c>
      <c r="AE1502" s="468" t="s">
        <v>516</v>
      </c>
      <c r="AF1502" s="466">
        <v>0</v>
      </c>
      <c r="AG1502" s="466">
        <v>0</v>
      </c>
      <c r="AH1502" s="466">
        <v>13094.97</v>
      </c>
      <c r="AI1502" s="466">
        <v>11271.6</v>
      </c>
      <c r="AJ1502" s="469" t="s">
        <v>1839</v>
      </c>
      <c r="AK1502" s="470" t="s">
        <v>526</v>
      </c>
      <c r="AL1502" s="471" t="s">
        <v>11959</v>
      </c>
      <c r="AM1502" s="470" t="s">
        <v>11960</v>
      </c>
      <c r="AN1502" s="470" t="s">
        <v>1385</v>
      </c>
      <c r="AO1502" s="470" t="s">
        <v>14792</v>
      </c>
      <c r="AP1502" s="470" t="s">
        <v>11961</v>
      </c>
      <c r="AQ1502" s="470" t="s">
        <v>11956</v>
      </c>
      <c r="AR1502" s="472" t="s">
        <v>515</v>
      </c>
      <c r="AS1502" s="473" t="s">
        <v>1385</v>
      </c>
      <c r="AT1502" s="472" t="s">
        <v>4613</v>
      </c>
      <c r="AU1502" s="472" t="s">
        <v>420</v>
      </c>
      <c r="AV1502" s="472">
        <v>2020</v>
      </c>
      <c r="AW1502" s="474" t="s">
        <v>15078</v>
      </c>
      <c r="AX1502" s="475" t="s">
        <v>15079</v>
      </c>
      <c r="AY1502" s="515">
        <v>1</v>
      </c>
      <c r="AZ1502" s="474" t="s">
        <v>15079</v>
      </c>
      <c r="BA1502" s="472" t="s">
        <v>4613</v>
      </c>
      <c r="BB1502" s="472" t="s">
        <v>1385</v>
      </c>
      <c r="BC1502" s="472" t="s">
        <v>1385</v>
      </c>
      <c r="BD1502" s="472" t="s">
        <v>1385</v>
      </c>
      <c r="BE1502" s="472" t="s">
        <v>1385</v>
      </c>
      <c r="BF1502" s="472">
        <v>16983</v>
      </c>
      <c r="BG1502" s="472">
        <v>0</v>
      </c>
      <c r="BH1502" s="472" t="s">
        <v>1385</v>
      </c>
      <c r="BI1502" s="510">
        <v>0</v>
      </c>
      <c r="BJ1502" s="510">
        <v>0</v>
      </c>
      <c r="BK1502" s="510">
        <v>0</v>
      </c>
      <c r="BL1502" s="510">
        <v>0</v>
      </c>
      <c r="BM1502" s="510">
        <v>0</v>
      </c>
      <c r="BN1502" s="510">
        <v>2000</v>
      </c>
      <c r="BO1502" s="510">
        <v>0</v>
      </c>
      <c r="BP1502" s="510">
        <v>0</v>
      </c>
      <c r="BQ1502" s="510">
        <v>0</v>
      </c>
      <c r="BR1502" s="510">
        <v>0</v>
      </c>
      <c r="BS1502" s="510">
        <v>0</v>
      </c>
      <c r="BT1502" s="510">
        <v>0</v>
      </c>
      <c r="BU1502" s="510">
        <v>0</v>
      </c>
      <c r="BV1502" s="510">
        <v>0</v>
      </c>
      <c r="BW1502" s="510">
        <v>0</v>
      </c>
      <c r="BX1502" s="510">
        <v>30000</v>
      </c>
      <c r="BY1502" s="1011">
        <v>0</v>
      </c>
      <c r="BZ1502" s="510">
        <v>0</v>
      </c>
      <c r="CA1502" s="1011">
        <v>0</v>
      </c>
      <c r="CB1502" s="510">
        <v>0</v>
      </c>
      <c r="CC1502" s="1011">
        <v>0</v>
      </c>
      <c r="CD1502" s="510">
        <v>0</v>
      </c>
      <c r="CE1502" s="1011">
        <v>0</v>
      </c>
      <c r="CF1502" s="510">
        <v>37572</v>
      </c>
      <c r="CG1502" s="1011">
        <v>0</v>
      </c>
      <c r="CH1502" s="510">
        <v>0</v>
      </c>
      <c r="CI1502" s="1011">
        <v>0</v>
      </c>
    </row>
    <row r="1503" spans="1:87" x14ac:dyDescent="0.2">
      <c r="A1503" s="449">
        <v>112</v>
      </c>
      <c r="B1503" s="453">
        <v>400496</v>
      </c>
      <c r="C1503" s="454" t="s">
        <v>11962</v>
      </c>
      <c r="D1503" s="454" t="s">
        <v>4613</v>
      </c>
      <c r="E1503" s="454" t="s">
        <v>11963</v>
      </c>
      <c r="F1503" s="454" t="s">
        <v>524</v>
      </c>
      <c r="G1503" s="454" t="s">
        <v>14793</v>
      </c>
      <c r="H1503" s="455">
        <v>22454411000190</v>
      </c>
      <c r="I1503" s="462">
        <v>42209</v>
      </c>
      <c r="J1503" s="457">
        <v>52582582</v>
      </c>
      <c r="K1503" s="454" t="s">
        <v>11964</v>
      </c>
      <c r="L1503" s="458">
        <v>1279</v>
      </c>
      <c r="M1503" s="454" t="s">
        <v>4023</v>
      </c>
      <c r="N1503" s="459">
        <v>1327001</v>
      </c>
      <c r="O1503" s="460">
        <v>32888478</v>
      </c>
      <c r="P1503" s="462">
        <v>199314</v>
      </c>
      <c r="Q1503" s="462">
        <v>1</v>
      </c>
      <c r="R1503" s="462">
        <v>43906</v>
      </c>
      <c r="S1503" s="463">
        <v>91</v>
      </c>
      <c r="T1503" s="464">
        <v>3.6</v>
      </c>
      <c r="U1503" s="465">
        <v>327.60000000000002</v>
      </c>
      <c r="V1503" s="465">
        <v>10800</v>
      </c>
      <c r="W1503" s="466">
        <v>0</v>
      </c>
      <c r="X1503" s="467">
        <v>1</v>
      </c>
      <c r="Y1503" s="466">
        <v>16691.400000000001</v>
      </c>
      <c r="Z1503" s="468" t="s">
        <v>516</v>
      </c>
      <c r="AA1503" s="466">
        <v>83874.600000000006</v>
      </c>
      <c r="AB1503" s="466">
        <v>83874.600000000006</v>
      </c>
      <c r="AC1503" s="467">
        <v>0</v>
      </c>
      <c r="AD1503" s="466">
        <v>0</v>
      </c>
      <c r="AE1503" s="468" t="s">
        <v>516</v>
      </c>
      <c r="AF1503" s="466">
        <v>0</v>
      </c>
      <c r="AG1503" s="466">
        <v>0</v>
      </c>
      <c r="AH1503" s="466">
        <v>159.74</v>
      </c>
      <c r="AI1503" s="466">
        <v>2633.33</v>
      </c>
      <c r="AJ1503" s="469" t="s">
        <v>1750</v>
      </c>
      <c r="AK1503" s="470" t="s">
        <v>1751</v>
      </c>
      <c r="AL1503" s="471" t="s">
        <v>11965</v>
      </c>
      <c r="AM1503" s="470" t="s">
        <v>15199</v>
      </c>
      <c r="AN1503" s="470" t="s">
        <v>11966</v>
      </c>
      <c r="AO1503" s="470" t="s">
        <v>14794</v>
      </c>
      <c r="AP1503" s="470" t="s">
        <v>11967</v>
      </c>
      <c r="AQ1503" s="470" t="s">
        <v>11962</v>
      </c>
      <c r="AR1503" s="472" t="s">
        <v>515</v>
      </c>
      <c r="AS1503" s="473" t="s">
        <v>1385</v>
      </c>
      <c r="AT1503" s="472" t="s">
        <v>4613</v>
      </c>
      <c r="AU1503" s="472" t="s">
        <v>420</v>
      </c>
      <c r="AV1503" s="472">
        <v>2020</v>
      </c>
      <c r="AW1503" s="474" t="s">
        <v>15078</v>
      </c>
      <c r="AX1503" s="475" t="s">
        <v>15079</v>
      </c>
      <c r="AY1503" s="515">
        <v>1</v>
      </c>
      <c r="AZ1503" s="474" t="s">
        <v>15079</v>
      </c>
      <c r="BA1503" s="472" t="s">
        <v>4613</v>
      </c>
      <c r="BB1503" s="472" t="s">
        <v>1385</v>
      </c>
      <c r="BC1503" s="472" t="s">
        <v>1385</v>
      </c>
      <c r="BD1503" s="472" t="s">
        <v>1385</v>
      </c>
      <c r="BE1503" s="472" t="s">
        <v>1385</v>
      </c>
      <c r="BF1503" s="472">
        <v>16691.400000000001</v>
      </c>
      <c r="BG1503" s="472">
        <v>0</v>
      </c>
      <c r="BH1503" s="472" t="s">
        <v>1385</v>
      </c>
      <c r="BI1503" s="510">
        <v>0</v>
      </c>
      <c r="BJ1503" s="510">
        <v>0</v>
      </c>
      <c r="BK1503" s="510">
        <v>0</v>
      </c>
      <c r="BL1503" s="510">
        <v>0</v>
      </c>
      <c r="BM1503" s="510">
        <v>0</v>
      </c>
      <c r="BN1503" s="510">
        <v>1500</v>
      </c>
      <c r="BO1503" s="510">
        <v>0</v>
      </c>
      <c r="BP1503" s="510">
        <v>0</v>
      </c>
      <c r="BQ1503" s="510">
        <v>0</v>
      </c>
      <c r="BR1503" s="510">
        <v>0</v>
      </c>
      <c r="BS1503" s="510">
        <v>0</v>
      </c>
      <c r="BT1503" s="510">
        <v>0</v>
      </c>
      <c r="BU1503" s="510">
        <v>0</v>
      </c>
      <c r="BV1503" s="510">
        <v>0</v>
      </c>
      <c r="BW1503" s="510">
        <v>0</v>
      </c>
      <c r="BX1503" s="510">
        <v>30000</v>
      </c>
      <c r="BY1503" s="1011">
        <v>0</v>
      </c>
      <c r="BZ1503" s="510">
        <v>0</v>
      </c>
      <c r="CA1503" s="1011">
        <v>0</v>
      </c>
      <c r="CB1503" s="510">
        <v>0</v>
      </c>
      <c r="CC1503" s="1011">
        <v>0</v>
      </c>
      <c r="CD1503" s="510">
        <v>0</v>
      </c>
      <c r="CE1503" s="1011">
        <v>0</v>
      </c>
      <c r="CF1503" s="510">
        <v>37183.199999999997</v>
      </c>
      <c r="CG1503" s="1011">
        <v>0</v>
      </c>
      <c r="CH1503" s="510">
        <v>0</v>
      </c>
      <c r="CI1503" s="1011">
        <v>0</v>
      </c>
    </row>
    <row r="1504" spans="1:87" x14ac:dyDescent="0.2">
      <c r="A1504" s="449">
        <v>116</v>
      </c>
      <c r="B1504" s="453">
        <v>400505</v>
      </c>
      <c r="C1504" s="454" t="s">
        <v>11968</v>
      </c>
      <c r="D1504" s="454" t="s">
        <v>4613</v>
      </c>
      <c r="E1504" s="454" t="s">
        <v>11969</v>
      </c>
      <c r="F1504" s="454" t="s">
        <v>524</v>
      </c>
      <c r="G1504" s="454" t="s">
        <v>14795</v>
      </c>
      <c r="H1504" s="455">
        <v>24495784000134</v>
      </c>
      <c r="I1504" s="462">
        <v>42450</v>
      </c>
      <c r="J1504" s="457">
        <v>54597129</v>
      </c>
      <c r="K1504" s="454" t="s">
        <v>11971</v>
      </c>
      <c r="L1504" s="458">
        <v>163</v>
      </c>
      <c r="M1504" s="454" t="s">
        <v>6506</v>
      </c>
      <c r="N1504" s="459">
        <v>1532001</v>
      </c>
      <c r="O1504" s="460">
        <v>32081545</v>
      </c>
      <c r="P1504" s="462">
        <v>204148</v>
      </c>
      <c r="Q1504" s="462">
        <v>7</v>
      </c>
      <c r="R1504" s="462">
        <v>43906</v>
      </c>
      <c r="S1504" s="463">
        <v>98</v>
      </c>
      <c r="T1504" s="464">
        <v>3.6</v>
      </c>
      <c r="U1504" s="465">
        <v>352.8</v>
      </c>
      <c r="V1504" s="465">
        <v>10800</v>
      </c>
      <c r="W1504" s="466">
        <v>0</v>
      </c>
      <c r="X1504" s="467">
        <v>1</v>
      </c>
      <c r="Y1504" s="466">
        <v>16729.2</v>
      </c>
      <c r="Z1504" s="468" t="s">
        <v>516</v>
      </c>
      <c r="AA1504" s="466">
        <v>84085.2</v>
      </c>
      <c r="AB1504" s="466">
        <v>84085.2</v>
      </c>
      <c r="AC1504" s="467">
        <v>0</v>
      </c>
      <c r="AD1504" s="466">
        <v>0</v>
      </c>
      <c r="AE1504" s="468" t="s">
        <v>516</v>
      </c>
      <c r="AF1504" s="466">
        <v>0</v>
      </c>
      <c r="AG1504" s="466">
        <v>0</v>
      </c>
      <c r="AH1504" s="466">
        <v>9077.7000000000007</v>
      </c>
      <c r="AI1504" s="466">
        <v>3091.99</v>
      </c>
      <c r="AJ1504" s="469" t="s">
        <v>11972</v>
      </c>
      <c r="AK1504" s="470" t="s">
        <v>11973</v>
      </c>
      <c r="AL1504" s="471" t="s">
        <v>11974</v>
      </c>
      <c r="AM1504" s="470" t="s">
        <v>15202</v>
      </c>
      <c r="AN1504" s="470" t="s">
        <v>11970</v>
      </c>
      <c r="AO1504" s="470" t="s">
        <v>14796</v>
      </c>
      <c r="AP1504" s="470" t="s">
        <v>11975</v>
      </c>
      <c r="AQ1504" s="470" t="s">
        <v>11968</v>
      </c>
      <c r="AR1504" s="472" t="s">
        <v>515</v>
      </c>
      <c r="AS1504" s="473" t="s">
        <v>1385</v>
      </c>
      <c r="AT1504" s="472" t="s">
        <v>4613</v>
      </c>
      <c r="AU1504" s="472" t="s">
        <v>420</v>
      </c>
      <c r="AV1504" s="472">
        <v>2020</v>
      </c>
      <c r="AW1504" s="474" t="s">
        <v>15078</v>
      </c>
      <c r="AX1504" s="475" t="s">
        <v>15079</v>
      </c>
      <c r="AY1504" s="515">
        <v>1</v>
      </c>
      <c r="AZ1504" s="474" t="s">
        <v>15079</v>
      </c>
      <c r="BA1504" s="472" t="s">
        <v>4613</v>
      </c>
      <c r="BB1504" s="472" t="s">
        <v>1385</v>
      </c>
      <c r="BC1504" s="472" t="s">
        <v>1385</v>
      </c>
      <c r="BD1504" s="472" t="s">
        <v>1385</v>
      </c>
      <c r="BE1504" s="472" t="s">
        <v>1385</v>
      </c>
      <c r="BF1504" s="472">
        <v>16729.2</v>
      </c>
      <c r="BG1504" s="472">
        <v>0</v>
      </c>
      <c r="BH1504" s="472" t="s">
        <v>1385</v>
      </c>
      <c r="BI1504" s="510">
        <v>0</v>
      </c>
      <c r="BJ1504" s="510">
        <v>0</v>
      </c>
      <c r="BK1504" s="510">
        <v>0</v>
      </c>
      <c r="BL1504" s="510">
        <v>0</v>
      </c>
      <c r="BM1504" s="510">
        <v>0</v>
      </c>
      <c r="BN1504" s="510">
        <v>1500</v>
      </c>
      <c r="BO1504" s="510">
        <v>0</v>
      </c>
      <c r="BP1504" s="510">
        <v>0</v>
      </c>
      <c r="BQ1504" s="510">
        <v>0</v>
      </c>
      <c r="BR1504" s="510">
        <v>0</v>
      </c>
      <c r="BS1504" s="510">
        <v>0</v>
      </c>
      <c r="BT1504" s="510">
        <v>0</v>
      </c>
      <c r="BU1504" s="510">
        <v>0</v>
      </c>
      <c r="BV1504" s="510">
        <v>0</v>
      </c>
      <c r="BW1504" s="510">
        <v>0</v>
      </c>
      <c r="BX1504" s="510">
        <v>30000</v>
      </c>
      <c r="BY1504" s="1011">
        <v>0</v>
      </c>
      <c r="BZ1504" s="510">
        <v>0</v>
      </c>
      <c r="CA1504" s="1011">
        <v>0</v>
      </c>
      <c r="CB1504" s="510">
        <v>0</v>
      </c>
      <c r="CC1504" s="1011">
        <v>0</v>
      </c>
      <c r="CD1504" s="510">
        <v>0</v>
      </c>
      <c r="CE1504" s="1011">
        <v>0</v>
      </c>
      <c r="CF1504" s="510">
        <v>37356</v>
      </c>
      <c r="CG1504" s="1011">
        <v>0</v>
      </c>
      <c r="CH1504" s="510">
        <v>0</v>
      </c>
      <c r="CI1504" s="1011">
        <v>0</v>
      </c>
    </row>
    <row r="1505" spans="1:87" x14ac:dyDescent="0.2">
      <c r="A1505" s="449">
        <v>37</v>
      </c>
      <c r="B1505" s="453">
        <v>400511</v>
      </c>
      <c r="C1505" s="454" t="s">
        <v>11976</v>
      </c>
      <c r="D1505" s="454" t="s">
        <v>4613</v>
      </c>
      <c r="E1505" s="454" t="s">
        <v>11976</v>
      </c>
      <c r="F1505" s="454" t="s">
        <v>520</v>
      </c>
      <c r="G1505" s="454" t="s">
        <v>14797</v>
      </c>
      <c r="H1505" s="455">
        <v>7729865000132</v>
      </c>
      <c r="I1505" s="462">
        <v>38664</v>
      </c>
      <c r="J1505" s="457">
        <v>37620975</v>
      </c>
      <c r="K1505" s="454" t="s">
        <v>11978</v>
      </c>
      <c r="L1505" s="458">
        <v>383</v>
      </c>
      <c r="M1505" s="454" t="s">
        <v>1469</v>
      </c>
      <c r="N1505" s="459">
        <v>5868880</v>
      </c>
      <c r="O1505" s="460">
        <v>55137203</v>
      </c>
      <c r="P1505" s="462">
        <v>293914</v>
      </c>
      <c r="Q1505" s="462">
        <v>37</v>
      </c>
      <c r="R1505" s="462">
        <v>43969</v>
      </c>
      <c r="S1505" s="463">
        <v>153</v>
      </c>
      <c r="T1505" s="464">
        <v>3.6</v>
      </c>
      <c r="U1505" s="465">
        <v>550.79999999999995</v>
      </c>
      <c r="V1505" s="465">
        <v>10800</v>
      </c>
      <c r="W1505" s="466">
        <v>0</v>
      </c>
      <c r="X1505" s="467">
        <v>1</v>
      </c>
      <c r="Y1505" s="466">
        <v>17026.2</v>
      </c>
      <c r="Z1505" s="468" t="s">
        <v>516</v>
      </c>
      <c r="AA1505" s="466">
        <v>84763.8</v>
      </c>
      <c r="AB1505" s="466">
        <v>84763.8</v>
      </c>
      <c r="AC1505" s="467">
        <v>0</v>
      </c>
      <c r="AD1505" s="466">
        <v>0</v>
      </c>
      <c r="AE1505" s="468" t="s">
        <v>516</v>
      </c>
      <c r="AF1505" s="466">
        <v>0</v>
      </c>
      <c r="AG1505" s="466">
        <v>0</v>
      </c>
      <c r="AH1505" s="466">
        <v>9481.82</v>
      </c>
      <c r="AI1505" s="466">
        <v>6011.88</v>
      </c>
      <c r="AJ1505" s="469" t="s">
        <v>1489</v>
      </c>
      <c r="AK1505" s="470" t="s">
        <v>520</v>
      </c>
      <c r="AL1505" s="471" t="s">
        <v>11979</v>
      </c>
      <c r="AM1505" s="470" t="s">
        <v>11980</v>
      </c>
      <c r="AN1505" s="470" t="s">
        <v>11977</v>
      </c>
      <c r="AO1505" s="470" t="s">
        <v>14798</v>
      </c>
      <c r="AP1505" s="470" t="s">
        <v>11981</v>
      </c>
      <c r="AQ1505" s="470" t="s">
        <v>11976</v>
      </c>
      <c r="AR1505" s="472" t="s">
        <v>515</v>
      </c>
      <c r="AS1505" s="473" t="s">
        <v>1385</v>
      </c>
      <c r="AT1505" s="472" t="s">
        <v>4613</v>
      </c>
      <c r="AU1505" s="472" t="s">
        <v>420</v>
      </c>
      <c r="AV1505" s="472">
        <v>2020</v>
      </c>
      <c r="AW1505" s="474" t="s">
        <v>15078</v>
      </c>
      <c r="AX1505" s="475" t="s">
        <v>15079</v>
      </c>
      <c r="AY1505" s="515">
        <v>1</v>
      </c>
      <c r="AZ1505" s="474" t="s">
        <v>15079</v>
      </c>
      <c r="BA1505" s="472" t="s">
        <v>4613</v>
      </c>
      <c r="BB1505" s="472" t="s">
        <v>1385</v>
      </c>
      <c r="BC1505" s="472" t="s">
        <v>1385</v>
      </c>
      <c r="BD1505" s="472" t="s">
        <v>1385</v>
      </c>
      <c r="BE1505" s="472" t="s">
        <v>1385</v>
      </c>
      <c r="BF1505" s="472">
        <v>17026.2</v>
      </c>
      <c r="BG1505" s="472">
        <v>0</v>
      </c>
      <c r="BH1505" s="472" t="s">
        <v>1385</v>
      </c>
      <c r="BI1505" s="510">
        <v>0</v>
      </c>
      <c r="BJ1505" s="510">
        <v>0</v>
      </c>
      <c r="BK1505" s="510">
        <v>0</v>
      </c>
      <c r="BL1505" s="510">
        <v>0</v>
      </c>
      <c r="BM1505" s="510">
        <v>0</v>
      </c>
      <c r="BN1505" s="510">
        <v>2000</v>
      </c>
      <c r="BO1505" s="510">
        <v>0</v>
      </c>
      <c r="BP1505" s="510">
        <v>0</v>
      </c>
      <c r="BQ1505" s="510">
        <v>0</v>
      </c>
      <c r="BR1505" s="510">
        <v>0</v>
      </c>
      <c r="BS1505" s="510">
        <v>0</v>
      </c>
      <c r="BT1505" s="510">
        <v>0</v>
      </c>
      <c r="BU1505" s="510">
        <v>0</v>
      </c>
      <c r="BV1505" s="510">
        <v>0</v>
      </c>
      <c r="BW1505" s="510">
        <v>0</v>
      </c>
      <c r="BX1505" s="510">
        <v>30000</v>
      </c>
      <c r="BY1505" s="1011">
        <v>0</v>
      </c>
      <c r="BZ1505" s="510">
        <v>0</v>
      </c>
      <c r="CA1505" s="1011">
        <v>0</v>
      </c>
      <c r="CB1505" s="510">
        <v>0</v>
      </c>
      <c r="CC1505" s="1011">
        <v>0</v>
      </c>
      <c r="CD1505" s="510">
        <v>0</v>
      </c>
      <c r="CE1505" s="1011">
        <v>0</v>
      </c>
      <c r="CF1505" s="510">
        <v>37737.599999999999</v>
      </c>
      <c r="CG1505" s="1011">
        <v>0</v>
      </c>
      <c r="CH1505" s="510">
        <v>0</v>
      </c>
      <c r="CI1505" s="1011">
        <v>0</v>
      </c>
    </row>
    <row r="1506" spans="1:87" x14ac:dyDescent="0.2">
      <c r="A1506" s="449">
        <v>17</v>
      </c>
      <c r="B1506" s="453">
        <v>400512</v>
      </c>
      <c r="C1506" s="454" t="s">
        <v>11982</v>
      </c>
      <c r="D1506" s="454" t="s">
        <v>3469</v>
      </c>
      <c r="E1506" s="454" t="s">
        <v>11983</v>
      </c>
      <c r="F1506" s="454" t="s">
        <v>529</v>
      </c>
      <c r="G1506" s="454" t="s">
        <v>14799</v>
      </c>
      <c r="H1506" s="455">
        <v>7855142000180</v>
      </c>
      <c r="I1506" s="462">
        <v>38510</v>
      </c>
      <c r="J1506" s="457">
        <v>37523988</v>
      </c>
      <c r="K1506" s="454" t="s">
        <v>3200</v>
      </c>
      <c r="L1506" s="458">
        <v>3752</v>
      </c>
      <c r="M1506" s="454" t="s">
        <v>1480</v>
      </c>
      <c r="N1506" s="459">
        <v>4474340</v>
      </c>
      <c r="O1506" s="460">
        <v>56722551</v>
      </c>
      <c r="P1506" s="462">
        <v>567682</v>
      </c>
      <c r="Q1506" s="462">
        <v>3</v>
      </c>
      <c r="R1506" s="462">
        <v>43921</v>
      </c>
      <c r="S1506" s="463">
        <v>319</v>
      </c>
      <c r="T1506" s="464">
        <v>3.6</v>
      </c>
      <c r="U1506" s="465">
        <v>1148.4000000000001</v>
      </c>
      <c r="V1506" s="465">
        <v>13680</v>
      </c>
      <c r="W1506" s="466">
        <v>0</v>
      </c>
      <c r="X1506" s="467">
        <v>1</v>
      </c>
      <c r="Y1506" s="466">
        <v>22242.6</v>
      </c>
      <c r="Z1506" s="468" t="s">
        <v>516</v>
      </c>
      <c r="AA1506" s="466">
        <v>96935.4</v>
      </c>
      <c r="AB1506" s="466">
        <v>96935.4</v>
      </c>
      <c r="AC1506" s="467">
        <v>0</v>
      </c>
      <c r="AD1506" s="466">
        <v>0</v>
      </c>
      <c r="AE1506" s="468" t="s">
        <v>516</v>
      </c>
      <c r="AF1506" s="466">
        <v>0</v>
      </c>
      <c r="AG1506" s="466">
        <v>0</v>
      </c>
      <c r="AH1506" s="466">
        <v>22742.42</v>
      </c>
      <c r="AI1506" s="466">
        <v>8413.14</v>
      </c>
      <c r="AJ1506" s="469" t="s">
        <v>4545</v>
      </c>
      <c r="AK1506" s="470" t="s">
        <v>1625</v>
      </c>
      <c r="AL1506" s="471" t="s">
        <v>11984</v>
      </c>
      <c r="AM1506" s="470" t="s">
        <v>11985</v>
      </c>
      <c r="AN1506" s="470" t="s">
        <v>14799</v>
      </c>
      <c r="AO1506" s="470" t="s">
        <v>11986</v>
      </c>
      <c r="AP1506" s="470" t="s">
        <v>3317</v>
      </c>
      <c r="AQ1506" s="470" t="s">
        <v>11982</v>
      </c>
      <c r="AR1506" s="472" t="s">
        <v>515</v>
      </c>
      <c r="AS1506" s="473">
        <v>3.6</v>
      </c>
      <c r="AT1506" s="472" t="s">
        <v>3469</v>
      </c>
      <c r="AU1506" s="472" t="s">
        <v>420</v>
      </c>
      <c r="AV1506" s="472">
        <v>2020</v>
      </c>
      <c r="AW1506" s="474" t="s">
        <v>15078</v>
      </c>
      <c r="AX1506" s="475" t="s">
        <v>15079</v>
      </c>
      <c r="AY1506" s="515">
        <v>1</v>
      </c>
      <c r="AZ1506" s="474" t="s">
        <v>15079</v>
      </c>
      <c r="BA1506" s="472" t="s">
        <v>3469</v>
      </c>
      <c r="BB1506" s="472" t="s">
        <v>1385</v>
      </c>
      <c r="BC1506" s="472" t="s">
        <v>1385</v>
      </c>
      <c r="BD1506" s="472" t="s">
        <v>1385</v>
      </c>
      <c r="BE1506" s="472" t="s">
        <v>1385</v>
      </c>
      <c r="BF1506" s="509">
        <v>22242.6</v>
      </c>
      <c r="BG1506" s="509">
        <v>0</v>
      </c>
      <c r="BH1506" s="472" t="s">
        <v>1385</v>
      </c>
      <c r="BI1506" s="510">
        <v>0</v>
      </c>
      <c r="BJ1506" s="510">
        <v>0</v>
      </c>
      <c r="BK1506" s="510">
        <v>0</v>
      </c>
      <c r="BL1506" s="510">
        <v>0</v>
      </c>
      <c r="BM1506" s="510">
        <v>0</v>
      </c>
      <c r="BN1506" s="510">
        <v>3000</v>
      </c>
      <c r="BO1506" s="510">
        <v>0</v>
      </c>
      <c r="BP1506" s="510">
        <v>0</v>
      </c>
      <c r="BQ1506" s="510">
        <v>0</v>
      </c>
      <c r="BR1506" s="510">
        <v>0</v>
      </c>
      <c r="BS1506" s="510">
        <v>0</v>
      </c>
      <c r="BT1506" s="510">
        <v>0</v>
      </c>
      <c r="BU1506" s="510">
        <v>0</v>
      </c>
      <c r="BV1506" s="510">
        <v>0</v>
      </c>
      <c r="BW1506" s="510">
        <v>0</v>
      </c>
      <c r="BX1506" s="510">
        <v>30000</v>
      </c>
      <c r="BY1506" s="1011">
        <v>0</v>
      </c>
      <c r="BZ1506" s="510">
        <v>0</v>
      </c>
      <c r="CA1506" s="1011">
        <v>0</v>
      </c>
      <c r="CB1506" s="510">
        <v>0</v>
      </c>
      <c r="CC1506" s="1011">
        <v>0</v>
      </c>
      <c r="CD1506" s="510">
        <v>0</v>
      </c>
      <c r="CE1506" s="1011">
        <v>0</v>
      </c>
      <c r="CF1506" s="510">
        <v>44692.800000000003</v>
      </c>
      <c r="CG1506" s="1011">
        <v>0</v>
      </c>
      <c r="CH1506" s="510">
        <v>0</v>
      </c>
      <c r="CI1506" s="1011">
        <v>0</v>
      </c>
    </row>
    <row r="1507" spans="1:87" x14ac:dyDescent="0.2">
      <c r="A1507" s="449">
        <v>23</v>
      </c>
      <c r="B1507" s="453">
        <v>400513</v>
      </c>
      <c r="C1507" s="454" t="s">
        <v>11987</v>
      </c>
      <c r="D1507" s="454" t="s">
        <v>3469</v>
      </c>
      <c r="E1507" s="454" t="s">
        <v>11988</v>
      </c>
      <c r="F1507" s="454" t="s">
        <v>518</v>
      </c>
      <c r="G1507" s="454" t="s">
        <v>14800</v>
      </c>
      <c r="H1507" s="455">
        <v>8284072000110</v>
      </c>
      <c r="I1507" s="462">
        <v>38945</v>
      </c>
      <c r="J1507" s="457">
        <v>37470809</v>
      </c>
      <c r="K1507" s="454" t="s">
        <v>3321</v>
      </c>
      <c r="L1507" s="458" t="s">
        <v>1446</v>
      </c>
      <c r="M1507" s="454" t="s">
        <v>10390</v>
      </c>
      <c r="N1507" s="459">
        <v>3572020</v>
      </c>
      <c r="O1507" s="460">
        <v>27237515</v>
      </c>
      <c r="P1507" s="462">
        <v>46674</v>
      </c>
      <c r="Q1507" s="462">
        <v>23</v>
      </c>
      <c r="R1507" s="462">
        <v>43934</v>
      </c>
      <c r="S1507" s="463">
        <v>253</v>
      </c>
      <c r="T1507" s="464">
        <v>3.6</v>
      </c>
      <c r="U1507" s="465">
        <v>910.8</v>
      </c>
      <c r="V1507" s="465">
        <v>12720</v>
      </c>
      <c r="W1507" s="466">
        <v>0</v>
      </c>
      <c r="X1507" s="467">
        <v>1</v>
      </c>
      <c r="Y1507" s="466">
        <v>20446.2</v>
      </c>
      <c r="Z1507" s="468" t="s">
        <v>516</v>
      </c>
      <c r="AA1507" s="466">
        <v>90708.6</v>
      </c>
      <c r="AB1507" s="466">
        <v>90708.6</v>
      </c>
      <c r="AC1507" s="467">
        <v>0</v>
      </c>
      <c r="AD1507" s="466">
        <v>0</v>
      </c>
      <c r="AE1507" s="468" t="s">
        <v>516</v>
      </c>
      <c r="AF1507" s="466">
        <v>0</v>
      </c>
      <c r="AG1507" s="466">
        <v>0</v>
      </c>
      <c r="AH1507" s="466">
        <v>19928.87</v>
      </c>
      <c r="AI1507" s="466">
        <v>5286.4</v>
      </c>
      <c r="AJ1507" s="469" t="s">
        <v>1560</v>
      </c>
      <c r="AK1507" s="470" t="s">
        <v>1776</v>
      </c>
      <c r="AL1507" s="471" t="s">
        <v>11989</v>
      </c>
      <c r="AM1507" s="470" t="s">
        <v>11990</v>
      </c>
      <c r="AN1507" s="470" t="s">
        <v>11991</v>
      </c>
      <c r="AO1507" s="470" t="s">
        <v>15063</v>
      </c>
      <c r="AP1507" s="470" t="s">
        <v>11992</v>
      </c>
      <c r="AQ1507" s="470" t="s">
        <v>11987</v>
      </c>
      <c r="AR1507" s="472" t="s">
        <v>515</v>
      </c>
      <c r="AS1507" s="473">
        <v>3.6</v>
      </c>
      <c r="AT1507" s="472" t="s">
        <v>3469</v>
      </c>
      <c r="AU1507" s="472" t="s">
        <v>420</v>
      </c>
      <c r="AV1507" s="472">
        <v>2020</v>
      </c>
      <c r="AW1507" s="474" t="s">
        <v>15078</v>
      </c>
      <c r="AX1507" s="475" t="s">
        <v>15079</v>
      </c>
      <c r="AY1507" s="515">
        <v>1</v>
      </c>
      <c r="AZ1507" s="474" t="s">
        <v>15079</v>
      </c>
      <c r="BA1507" s="472" t="s">
        <v>3469</v>
      </c>
      <c r="BB1507" s="472" t="s">
        <v>1385</v>
      </c>
      <c r="BC1507" s="472" t="s">
        <v>1385</v>
      </c>
      <c r="BD1507" s="472" t="s">
        <v>1385</v>
      </c>
      <c r="BE1507" s="472" t="s">
        <v>1385</v>
      </c>
      <c r="BF1507" s="472">
        <v>20446.2</v>
      </c>
      <c r="BG1507" s="472">
        <v>0</v>
      </c>
      <c r="BH1507" s="472" t="s">
        <v>1385</v>
      </c>
      <c r="BI1507" s="510">
        <v>0</v>
      </c>
      <c r="BJ1507" s="510">
        <v>0</v>
      </c>
      <c r="BK1507" s="510">
        <v>0</v>
      </c>
      <c r="BL1507" s="510">
        <v>0</v>
      </c>
      <c r="BM1507" s="510">
        <v>0</v>
      </c>
      <c r="BN1507" s="510">
        <v>3000</v>
      </c>
      <c r="BO1507" s="510">
        <v>0</v>
      </c>
      <c r="BP1507" s="510">
        <v>0</v>
      </c>
      <c r="BQ1507" s="510">
        <v>0</v>
      </c>
      <c r="BR1507" s="510">
        <v>0</v>
      </c>
      <c r="BS1507" s="510">
        <v>0</v>
      </c>
      <c r="BT1507" s="510">
        <v>0</v>
      </c>
      <c r="BU1507" s="510">
        <v>0</v>
      </c>
      <c r="BV1507" s="510">
        <v>0</v>
      </c>
      <c r="BW1507" s="510">
        <v>0</v>
      </c>
      <c r="BX1507" s="510">
        <v>30000</v>
      </c>
      <c r="BY1507" s="1011">
        <v>0</v>
      </c>
      <c r="BZ1507" s="510">
        <v>0</v>
      </c>
      <c r="CA1507" s="1011">
        <v>0</v>
      </c>
      <c r="CB1507" s="510">
        <v>0</v>
      </c>
      <c r="CC1507" s="1011">
        <v>0</v>
      </c>
      <c r="CD1507" s="510">
        <v>0</v>
      </c>
      <c r="CE1507" s="1011">
        <v>0</v>
      </c>
      <c r="CF1507" s="510">
        <v>40262.400000000001</v>
      </c>
      <c r="CG1507" s="1011">
        <v>0</v>
      </c>
      <c r="CH1507" s="510">
        <v>0</v>
      </c>
      <c r="CI1507" s="1011">
        <v>0</v>
      </c>
    </row>
    <row r="1508" spans="1:87" x14ac:dyDescent="0.2">
      <c r="A1508" s="449">
        <v>16</v>
      </c>
      <c r="B1508" s="453">
        <v>400514</v>
      </c>
      <c r="C1508" s="454" t="s">
        <v>11993</v>
      </c>
      <c r="D1508" s="454" t="s">
        <v>3469</v>
      </c>
      <c r="E1508" s="454" t="s">
        <v>11994</v>
      </c>
      <c r="F1508" s="454" t="s">
        <v>519</v>
      </c>
      <c r="G1508" s="454" t="s">
        <v>14801</v>
      </c>
      <c r="H1508" s="455">
        <v>7578353000112</v>
      </c>
      <c r="I1508" s="462">
        <v>38518</v>
      </c>
      <c r="J1508" s="457">
        <v>37358413</v>
      </c>
      <c r="K1508" s="454" t="s">
        <v>3216</v>
      </c>
      <c r="L1508" s="458">
        <v>1870</v>
      </c>
      <c r="M1508" s="454" t="s">
        <v>3217</v>
      </c>
      <c r="N1508" s="459">
        <v>5588001</v>
      </c>
      <c r="O1508" s="460">
        <v>37324511</v>
      </c>
      <c r="P1508" s="462">
        <v>115986</v>
      </c>
      <c r="Q1508" s="462">
        <v>69</v>
      </c>
      <c r="R1508" s="462">
        <v>43881</v>
      </c>
      <c r="S1508" s="463">
        <v>239</v>
      </c>
      <c r="T1508" s="464">
        <v>3.6</v>
      </c>
      <c r="U1508" s="465">
        <v>860.4</v>
      </c>
      <c r="V1508" s="465">
        <v>11760</v>
      </c>
      <c r="W1508" s="466">
        <v>0</v>
      </c>
      <c r="X1508" s="467">
        <v>1</v>
      </c>
      <c r="Y1508" s="466">
        <v>0</v>
      </c>
      <c r="Z1508" s="468" t="s">
        <v>514</v>
      </c>
      <c r="AA1508" s="466">
        <v>0</v>
      </c>
      <c r="AB1508" s="466">
        <v>0</v>
      </c>
      <c r="AC1508" s="467">
        <v>0</v>
      </c>
      <c r="AD1508" s="466">
        <v>0</v>
      </c>
      <c r="AE1508" s="468" t="s">
        <v>516</v>
      </c>
      <c r="AF1508" s="466">
        <v>0</v>
      </c>
      <c r="AG1508" s="466">
        <v>0</v>
      </c>
      <c r="AH1508" s="466">
        <v>0</v>
      </c>
      <c r="AI1508" s="466">
        <v>0</v>
      </c>
      <c r="AJ1508" s="469" t="s">
        <v>1940</v>
      </c>
      <c r="AK1508" s="470" t="s">
        <v>1941</v>
      </c>
      <c r="AL1508" s="471" t="s">
        <v>11996</v>
      </c>
      <c r="AM1508" s="470" t="s">
        <v>11997</v>
      </c>
      <c r="AN1508" s="470" t="s">
        <v>11995</v>
      </c>
      <c r="AO1508" s="470" t="s">
        <v>11998</v>
      </c>
      <c r="AP1508" s="470" t="s">
        <v>3221</v>
      </c>
      <c r="AQ1508" s="470" t="s">
        <v>11993</v>
      </c>
      <c r="AR1508" s="472" t="s">
        <v>515</v>
      </c>
      <c r="AS1508" s="473">
        <v>3.6</v>
      </c>
      <c r="AT1508" s="472" t="s">
        <v>3469</v>
      </c>
      <c r="AU1508" s="472" t="s">
        <v>420</v>
      </c>
      <c r="AV1508" s="472">
        <v>2020</v>
      </c>
      <c r="AW1508" s="474" t="s">
        <v>15078</v>
      </c>
      <c r="AX1508" s="475" t="s">
        <v>15079</v>
      </c>
      <c r="AY1508" s="515">
        <v>1</v>
      </c>
      <c r="AZ1508" s="474" t="s">
        <v>15079</v>
      </c>
      <c r="BA1508" s="472" t="s">
        <v>1385</v>
      </c>
      <c r="BB1508" s="472" t="s">
        <v>1385</v>
      </c>
      <c r="BC1508" s="472" t="s">
        <v>1385</v>
      </c>
      <c r="BD1508" s="472" t="s">
        <v>1385</v>
      </c>
      <c r="BE1508" s="472" t="s">
        <v>1385</v>
      </c>
      <c r="BF1508" s="472">
        <v>18930.599999999999</v>
      </c>
      <c r="BG1508" s="472">
        <v>0</v>
      </c>
      <c r="BH1508" s="472" t="s">
        <v>516</v>
      </c>
      <c r="BI1508" s="510">
        <v>0</v>
      </c>
      <c r="BJ1508" s="510">
        <v>0</v>
      </c>
      <c r="BK1508" s="510">
        <v>0</v>
      </c>
      <c r="BL1508" s="510">
        <v>0</v>
      </c>
      <c r="BM1508" s="510">
        <v>0</v>
      </c>
      <c r="BN1508" s="510">
        <v>0</v>
      </c>
      <c r="BO1508" s="510">
        <v>0</v>
      </c>
      <c r="BP1508" s="510">
        <v>0</v>
      </c>
      <c r="BQ1508" s="510">
        <v>0</v>
      </c>
      <c r="BR1508" s="510">
        <v>0</v>
      </c>
      <c r="BS1508" s="510">
        <v>0</v>
      </c>
      <c r="BT1508" s="510">
        <v>0</v>
      </c>
      <c r="BU1508" s="510">
        <v>0</v>
      </c>
      <c r="BV1508" s="510">
        <v>0</v>
      </c>
      <c r="BW1508" s="510">
        <v>0</v>
      </c>
      <c r="BX1508" s="510">
        <v>0</v>
      </c>
      <c r="BY1508" s="1011">
        <v>0</v>
      </c>
      <c r="BZ1508" s="510">
        <v>0</v>
      </c>
      <c r="CA1508" s="1011">
        <v>0</v>
      </c>
      <c r="CB1508" s="510">
        <v>0</v>
      </c>
      <c r="CC1508" s="1011">
        <v>0</v>
      </c>
      <c r="CD1508" s="510">
        <v>0</v>
      </c>
      <c r="CE1508" s="1011">
        <v>0</v>
      </c>
      <c r="CF1508" s="510">
        <v>0</v>
      </c>
      <c r="CG1508" s="1011">
        <v>0</v>
      </c>
      <c r="CH1508" s="510">
        <v>0</v>
      </c>
      <c r="CI1508" s="1011">
        <v>0</v>
      </c>
    </row>
    <row r="1509" spans="1:87" x14ac:dyDescent="0.2">
      <c r="A1509" s="449">
        <v>27</v>
      </c>
      <c r="B1509" s="453">
        <v>400515</v>
      </c>
      <c r="C1509" s="454" t="s">
        <v>11999</v>
      </c>
      <c r="D1509" s="454" t="s">
        <v>3469</v>
      </c>
      <c r="E1509" s="454" t="s">
        <v>12000</v>
      </c>
      <c r="F1509" s="454" t="s">
        <v>521</v>
      </c>
      <c r="G1509" s="454" t="s">
        <v>14802</v>
      </c>
      <c r="H1509" s="455">
        <v>7044640000142</v>
      </c>
      <c r="I1509" s="462">
        <v>38127</v>
      </c>
      <c r="J1509" s="457">
        <v>37552031</v>
      </c>
      <c r="K1509" s="454" t="s">
        <v>2741</v>
      </c>
      <c r="L1509" s="458">
        <v>7350</v>
      </c>
      <c r="M1509" s="454" t="s">
        <v>1625</v>
      </c>
      <c r="N1509" s="459">
        <v>4777000</v>
      </c>
      <c r="O1509" s="460">
        <v>56681911</v>
      </c>
      <c r="P1509" s="462">
        <v>103449</v>
      </c>
      <c r="Q1509" s="462">
        <v>17</v>
      </c>
      <c r="R1509" s="462">
        <v>43934</v>
      </c>
      <c r="S1509" s="463">
        <v>257</v>
      </c>
      <c r="T1509" s="464">
        <v>3.6</v>
      </c>
      <c r="U1509" s="465">
        <v>925.2</v>
      </c>
      <c r="V1509" s="465">
        <v>12720</v>
      </c>
      <c r="W1509" s="466">
        <v>0</v>
      </c>
      <c r="X1509" s="467">
        <v>1</v>
      </c>
      <c r="Y1509" s="466">
        <v>20467.8</v>
      </c>
      <c r="Z1509" s="468" t="s">
        <v>516</v>
      </c>
      <c r="AA1509" s="466">
        <v>90629.4</v>
      </c>
      <c r="AB1509" s="466">
        <v>90629.4</v>
      </c>
      <c r="AC1509" s="467">
        <v>0</v>
      </c>
      <c r="AD1509" s="466">
        <v>0</v>
      </c>
      <c r="AE1509" s="468" t="s">
        <v>516</v>
      </c>
      <c r="AF1509" s="466">
        <v>0</v>
      </c>
      <c r="AG1509" s="466">
        <v>0</v>
      </c>
      <c r="AH1509" s="466">
        <v>14761.11</v>
      </c>
      <c r="AI1509" s="466">
        <v>811.76</v>
      </c>
      <c r="AJ1509" s="469" t="s">
        <v>1624</v>
      </c>
      <c r="AK1509" s="470" t="s">
        <v>1625</v>
      </c>
      <c r="AL1509" s="471" t="s">
        <v>12001</v>
      </c>
      <c r="AM1509" s="470" t="s">
        <v>14803</v>
      </c>
      <c r="AN1509" s="470" t="s">
        <v>1385</v>
      </c>
      <c r="AO1509" s="470" t="s">
        <v>14804</v>
      </c>
      <c r="AP1509" s="470" t="s">
        <v>3226</v>
      </c>
      <c r="AQ1509" s="470" t="s">
        <v>11999</v>
      </c>
      <c r="AR1509" s="472" t="s">
        <v>515</v>
      </c>
      <c r="AS1509" s="473">
        <v>3.6</v>
      </c>
      <c r="AT1509" s="472" t="s">
        <v>3469</v>
      </c>
      <c r="AU1509" s="472" t="s">
        <v>420</v>
      </c>
      <c r="AV1509" s="472">
        <v>2020</v>
      </c>
      <c r="AW1509" s="474" t="s">
        <v>15078</v>
      </c>
      <c r="AX1509" s="475" t="s">
        <v>15079</v>
      </c>
      <c r="AY1509" s="515">
        <v>1</v>
      </c>
      <c r="AZ1509" s="474" t="s">
        <v>15079</v>
      </c>
      <c r="BA1509" s="472" t="s">
        <v>3469</v>
      </c>
      <c r="BB1509" s="472" t="s">
        <v>1385</v>
      </c>
      <c r="BC1509" s="472" t="s">
        <v>1385</v>
      </c>
      <c r="BD1509" s="472" t="s">
        <v>1385</v>
      </c>
      <c r="BE1509" s="472" t="s">
        <v>1385</v>
      </c>
      <c r="BF1509" s="472">
        <v>20467.8</v>
      </c>
      <c r="BG1509" s="472">
        <v>0</v>
      </c>
      <c r="BH1509" s="472" t="s">
        <v>1385</v>
      </c>
      <c r="BI1509" s="510">
        <v>0</v>
      </c>
      <c r="BJ1509" s="510">
        <v>0</v>
      </c>
      <c r="BK1509" s="510">
        <v>0</v>
      </c>
      <c r="BL1509" s="510">
        <v>0</v>
      </c>
      <c r="BM1509" s="510">
        <v>0</v>
      </c>
      <c r="BN1509" s="510">
        <v>3000</v>
      </c>
      <c r="BO1509" s="510">
        <v>0</v>
      </c>
      <c r="BP1509" s="510">
        <v>0</v>
      </c>
      <c r="BQ1509" s="510">
        <v>0</v>
      </c>
      <c r="BR1509" s="510">
        <v>0</v>
      </c>
      <c r="BS1509" s="510">
        <v>0</v>
      </c>
      <c r="BT1509" s="510">
        <v>0</v>
      </c>
      <c r="BU1509" s="510">
        <v>0</v>
      </c>
      <c r="BV1509" s="510">
        <v>0</v>
      </c>
      <c r="BW1509" s="510">
        <v>0</v>
      </c>
      <c r="BX1509" s="510">
        <v>30000</v>
      </c>
      <c r="BY1509" s="1011">
        <v>0</v>
      </c>
      <c r="BZ1509" s="510">
        <v>0</v>
      </c>
      <c r="CA1509" s="1011">
        <v>0</v>
      </c>
      <c r="CB1509" s="510">
        <v>0</v>
      </c>
      <c r="CC1509" s="1011">
        <v>0</v>
      </c>
      <c r="CD1509" s="510">
        <v>0</v>
      </c>
      <c r="CE1509" s="1011">
        <v>0</v>
      </c>
      <c r="CF1509" s="510">
        <v>40161.599999999999</v>
      </c>
      <c r="CG1509" s="1011">
        <v>0</v>
      </c>
      <c r="CH1509" s="510">
        <v>0</v>
      </c>
      <c r="CI1509" s="1011">
        <v>0</v>
      </c>
    </row>
    <row r="1510" spans="1:87" x14ac:dyDescent="0.2">
      <c r="A1510" s="449">
        <v>27</v>
      </c>
      <c r="B1510" s="453">
        <v>400516</v>
      </c>
      <c r="C1510" s="454" t="s">
        <v>12002</v>
      </c>
      <c r="D1510" s="454" t="s">
        <v>3469</v>
      </c>
      <c r="E1510" s="454" t="s">
        <v>12003</v>
      </c>
      <c r="F1510" s="454" t="s">
        <v>523</v>
      </c>
      <c r="G1510" s="454" t="s">
        <v>14805</v>
      </c>
      <c r="H1510" s="455">
        <v>7909663000172</v>
      </c>
      <c r="I1510" s="462">
        <v>38552</v>
      </c>
      <c r="J1510" s="457">
        <v>35395982</v>
      </c>
      <c r="K1510" s="454" t="s">
        <v>12004</v>
      </c>
      <c r="L1510" s="458" t="s">
        <v>1446</v>
      </c>
      <c r="M1510" s="454" t="s">
        <v>1699</v>
      </c>
      <c r="N1510" s="459">
        <v>8472725</v>
      </c>
      <c r="O1510" s="460">
        <v>25189033</v>
      </c>
      <c r="P1510" s="462">
        <v>264892</v>
      </c>
      <c r="Q1510" s="462">
        <v>27</v>
      </c>
      <c r="R1510" s="462">
        <v>43921</v>
      </c>
      <c r="S1510" s="463">
        <v>291</v>
      </c>
      <c r="T1510" s="464">
        <v>3.6</v>
      </c>
      <c r="U1510" s="465">
        <v>1047.5999999999999</v>
      </c>
      <c r="V1510" s="465">
        <v>12720</v>
      </c>
      <c r="W1510" s="466">
        <v>0</v>
      </c>
      <c r="X1510" s="467">
        <v>1</v>
      </c>
      <c r="Y1510" s="466">
        <v>20651.400000000001</v>
      </c>
      <c r="Z1510" s="468" t="s">
        <v>516</v>
      </c>
      <c r="AA1510" s="466">
        <v>95193</v>
      </c>
      <c r="AB1510" s="466">
        <v>95193</v>
      </c>
      <c r="AC1510" s="467">
        <v>0</v>
      </c>
      <c r="AD1510" s="466">
        <v>0</v>
      </c>
      <c r="AE1510" s="468" t="s">
        <v>516</v>
      </c>
      <c r="AF1510" s="466">
        <v>0</v>
      </c>
      <c r="AG1510" s="466">
        <v>0</v>
      </c>
      <c r="AH1510" s="466">
        <v>28806.17</v>
      </c>
      <c r="AI1510" s="466">
        <v>3769.85</v>
      </c>
      <c r="AJ1510" s="469" t="s">
        <v>1395</v>
      </c>
      <c r="AK1510" s="470" t="s">
        <v>523</v>
      </c>
      <c r="AL1510" s="471" t="s">
        <v>12005</v>
      </c>
      <c r="AM1510" s="470" t="s">
        <v>12006</v>
      </c>
      <c r="AN1510" s="470" t="s">
        <v>1385</v>
      </c>
      <c r="AO1510" s="470" t="s">
        <v>12007</v>
      </c>
      <c r="AP1510" s="470" t="s">
        <v>12008</v>
      </c>
      <c r="AQ1510" s="470" t="s">
        <v>12002</v>
      </c>
      <c r="AR1510" s="472" t="s">
        <v>515</v>
      </c>
      <c r="AS1510" s="473">
        <v>3.6</v>
      </c>
      <c r="AT1510" s="472" t="s">
        <v>3469</v>
      </c>
      <c r="AU1510" s="472" t="s">
        <v>420</v>
      </c>
      <c r="AV1510" s="472">
        <v>2020</v>
      </c>
      <c r="AW1510" s="474" t="s">
        <v>15078</v>
      </c>
      <c r="AX1510" s="475" t="s">
        <v>15079</v>
      </c>
      <c r="AY1510" s="515">
        <v>1</v>
      </c>
      <c r="AZ1510" s="474" t="s">
        <v>15079</v>
      </c>
      <c r="BA1510" s="472" t="s">
        <v>3469</v>
      </c>
      <c r="BB1510" s="472" t="s">
        <v>1385</v>
      </c>
      <c r="BC1510" s="472" t="s">
        <v>1385</v>
      </c>
      <c r="BD1510" s="472" t="s">
        <v>1385</v>
      </c>
      <c r="BE1510" s="472" t="s">
        <v>1385</v>
      </c>
      <c r="BF1510" s="472">
        <v>20651.400000000001</v>
      </c>
      <c r="BG1510" s="472">
        <v>0</v>
      </c>
      <c r="BH1510" s="472" t="s">
        <v>1385</v>
      </c>
      <c r="BI1510" s="510">
        <v>0</v>
      </c>
      <c r="BJ1510" s="510">
        <v>0</v>
      </c>
      <c r="BK1510" s="510">
        <v>0</v>
      </c>
      <c r="BL1510" s="510">
        <v>0</v>
      </c>
      <c r="BM1510" s="510">
        <v>0</v>
      </c>
      <c r="BN1510" s="510">
        <v>3000</v>
      </c>
      <c r="BO1510" s="510">
        <v>0</v>
      </c>
      <c r="BP1510" s="510">
        <v>0</v>
      </c>
      <c r="BQ1510" s="510">
        <v>0</v>
      </c>
      <c r="BR1510" s="510">
        <v>0</v>
      </c>
      <c r="BS1510" s="510">
        <v>0</v>
      </c>
      <c r="BT1510" s="510">
        <v>0</v>
      </c>
      <c r="BU1510" s="510">
        <v>0</v>
      </c>
      <c r="BV1510" s="510">
        <v>0</v>
      </c>
      <c r="BW1510" s="510">
        <v>0</v>
      </c>
      <c r="BX1510" s="510">
        <v>30000</v>
      </c>
      <c r="BY1510" s="1011">
        <v>0</v>
      </c>
      <c r="BZ1510" s="510">
        <v>0</v>
      </c>
      <c r="CA1510" s="1011">
        <v>0</v>
      </c>
      <c r="CB1510" s="510">
        <v>0</v>
      </c>
      <c r="CC1510" s="1011">
        <v>0</v>
      </c>
      <c r="CD1510" s="510">
        <v>0</v>
      </c>
      <c r="CE1510" s="1011">
        <v>0</v>
      </c>
      <c r="CF1510" s="510">
        <v>44541.599999999999</v>
      </c>
      <c r="CG1510" s="1011">
        <v>0</v>
      </c>
      <c r="CH1510" s="510">
        <v>0</v>
      </c>
      <c r="CI1510" s="1011">
        <v>0</v>
      </c>
    </row>
    <row r="1511" spans="1:87" x14ac:dyDescent="0.2">
      <c r="A1511" s="449">
        <v>26</v>
      </c>
      <c r="B1511" s="453">
        <v>400517</v>
      </c>
      <c r="C1511" s="454" t="s">
        <v>12009</v>
      </c>
      <c r="D1511" s="454" t="s">
        <v>3469</v>
      </c>
      <c r="E1511" s="454" t="s">
        <v>12010</v>
      </c>
      <c r="F1511" s="454" t="s">
        <v>523</v>
      </c>
      <c r="G1511" s="454" t="s">
        <v>14806</v>
      </c>
      <c r="H1511" s="455">
        <v>8604095000164</v>
      </c>
      <c r="I1511" s="462">
        <v>39077</v>
      </c>
      <c r="J1511" s="457">
        <v>37622609</v>
      </c>
      <c r="K1511" s="454" t="s">
        <v>3236</v>
      </c>
      <c r="L1511" s="458">
        <v>61</v>
      </c>
      <c r="M1511" s="454" t="s">
        <v>3510</v>
      </c>
      <c r="N1511" s="459">
        <v>8430810</v>
      </c>
      <c r="O1511" s="460">
        <v>29602013</v>
      </c>
      <c r="P1511" s="462">
        <v>264906</v>
      </c>
      <c r="Q1511" s="462">
        <v>26</v>
      </c>
      <c r="R1511" s="462">
        <v>43921</v>
      </c>
      <c r="S1511" s="463">
        <v>258</v>
      </c>
      <c r="T1511" s="464">
        <v>3.6</v>
      </c>
      <c r="U1511" s="465">
        <v>928.8</v>
      </c>
      <c r="V1511" s="465">
        <v>12720</v>
      </c>
      <c r="W1511" s="466">
        <v>0</v>
      </c>
      <c r="X1511" s="467">
        <v>1</v>
      </c>
      <c r="Y1511" s="466">
        <v>20473.2</v>
      </c>
      <c r="Z1511" s="468" t="s">
        <v>516</v>
      </c>
      <c r="AA1511" s="466">
        <v>90663.6</v>
      </c>
      <c r="AB1511" s="466">
        <v>90663.6</v>
      </c>
      <c r="AC1511" s="467">
        <v>0</v>
      </c>
      <c r="AD1511" s="466">
        <v>0</v>
      </c>
      <c r="AE1511" s="468" t="s">
        <v>516</v>
      </c>
      <c r="AF1511" s="466">
        <v>0</v>
      </c>
      <c r="AG1511" s="466">
        <v>0</v>
      </c>
      <c r="AH1511" s="466">
        <v>15377.22</v>
      </c>
      <c r="AI1511" s="466">
        <v>10375.18</v>
      </c>
      <c r="AJ1511" s="469" t="s">
        <v>1395</v>
      </c>
      <c r="AK1511" s="470" t="s">
        <v>523</v>
      </c>
      <c r="AL1511" s="471" t="s">
        <v>12012</v>
      </c>
      <c r="AM1511" s="470" t="s">
        <v>14807</v>
      </c>
      <c r="AN1511" s="470" t="s">
        <v>12011</v>
      </c>
      <c r="AO1511" s="470" t="s">
        <v>14808</v>
      </c>
      <c r="AP1511" s="470" t="s">
        <v>12013</v>
      </c>
      <c r="AQ1511" s="470" t="s">
        <v>12009</v>
      </c>
      <c r="AR1511" s="472" t="s">
        <v>515</v>
      </c>
      <c r="AS1511" s="473">
        <v>3.6</v>
      </c>
      <c r="AT1511" s="472" t="s">
        <v>3469</v>
      </c>
      <c r="AU1511" s="472" t="s">
        <v>420</v>
      </c>
      <c r="AV1511" s="472">
        <v>2020</v>
      </c>
      <c r="AW1511" s="474" t="s">
        <v>15078</v>
      </c>
      <c r="AX1511" s="475" t="s">
        <v>15079</v>
      </c>
      <c r="AY1511" s="515">
        <v>1</v>
      </c>
      <c r="AZ1511" s="474" t="s">
        <v>15079</v>
      </c>
      <c r="BA1511" s="472" t="s">
        <v>3469</v>
      </c>
      <c r="BB1511" s="472" t="s">
        <v>1385</v>
      </c>
      <c r="BC1511" s="472" t="s">
        <v>1385</v>
      </c>
      <c r="BD1511" s="472" t="s">
        <v>1385</v>
      </c>
      <c r="BE1511" s="472" t="s">
        <v>1385</v>
      </c>
      <c r="BF1511" s="472">
        <v>20473.2</v>
      </c>
      <c r="BG1511" s="472">
        <v>0</v>
      </c>
      <c r="BH1511" s="472" t="s">
        <v>1385</v>
      </c>
      <c r="BI1511" s="510">
        <v>0</v>
      </c>
      <c r="BJ1511" s="510">
        <v>0</v>
      </c>
      <c r="BK1511" s="510">
        <v>0</v>
      </c>
      <c r="BL1511" s="510">
        <v>0</v>
      </c>
      <c r="BM1511" s="510">
        <v>0</v>
      </c>
      <c r="BN1511" s="510">
        <v>3000</v>
      </c>
      <c r="BO1511" s="510">
        <v>0</v>
      </c>
      <c r="BP1511" s="510">
        <v>0</v>
      </c>
      <c r="BQ1511" s="510">
        <v>0</v>
      </c>
      <c r="BR1511" s="510">
        <v>0</v>
      </c>
      <c r="BS1511" s="510">
        <v>0</v>
      </c>
      <c r="BT1511" s="510">
        <v>0</v>
      </c>
      <c r="BU1511" s="510">
        <v>0</v>
      </c>
      <c r="BV1511" s="510">
        <v>0</v>
      </c>
      <c r="BW1511" s="510">
        <v>0</v>
      </c>
      <c r="BX1511" s="510">
        <v>30000</v>
      </c>
      <c r="BY1511" s="1011">
        <v>0</v>
      </c>
      <c r="BZ1511" s="510">
        <v>0</v>
      </c>
      <c r="CA1511" s="1011">
        <v>0</v>
      </c>
      <c r="CB1511" s="510">
        <v>0</v>
      </c>
      <c r="CC1511" s="1011">
        <v>0</v>
      </c>
      <c r="CD1511" s="510">
        <v>0</v>
      </c>
      <c r="CE1511" s="1011">
        <v>0</v>
      </c>
      <c r="CF1511" s="510">
        <v>40190.400000000001</v>
      </c>
      <c r="CG1511" s="1011">
        <v>0</v>
      </c>
      <c r="CH1511" s="510">
        <v>0</v>
      </c>
      <c r="CI1511" s="1011">
        <v>0</v>
      </c>
    </row>
    <row r="1512" spans="1:87" x14ac:dyDescent="0.2">
      <c r="A1512" s="449">
        <v>20</v>
      </c>
      <c r="B1512" s="453">
        <v>400518</v>
      </c>
      <c r="C1512" s="454" t="s">
        <v>12014</v>
      </c>
      <c r="D1512" s="454" t="s">
        <v>3469</v>
      </c>
      <c r="E1512" s="454" t="s">
        <v>12015</v>
      </c>
      <c r="F1512" s="454" t="s">
        <v>524</v>
      </c>
      <c r="G1512" s="454" t="s">
        <v>14809</v>
      </c>
      <c r="H1512" s="455">
        <v>7583418000118</v>
      </c>
      <c r="I1512" s="462">
        <v>38519</v>
      </c>
      <c r="J1512" s="457">
        <v>37500597</v>
      </c>
      <c r="K1512" s="454" t="s">
        <v>3244</v>
      </c>
      <c r="L1512" s="458">
        <v>111</v>
      </c>
      <c r="M1512" s="454" t="s">
        <v>3245</v>
      </c>
      <c r="N1512" s="459">
        <v>4240110</v>
      </c>
      <c r="O1512" s="460">
        <v>29452513</v>
      </c>
      <c r="P1512" s="462">
        <v>199829</v>
      </c>
      <c r="Q1512" s="462">
        <v>22</v>
      </c>
      <c r="R1512" s="462">
        <v>43906</v>
      </c>
      <c r="S1512" s="463">
        <v>267</v>
      </c>
      <c r="T1512" s="464">
        <v>3.6</v>
      </c>
      <c r="U1512" s="465">
        <v>961.2</v>
      </c>
      <c r="V1512" s="465">
        <v>12720</v>
      </c>
      <c r="W1512" s="466">
        <v>0</v>
      </c>
      <c r="X1512" s="467">
        <v>1</v>
      </c>
      <c r="Y1512" s="466">
        <v>20521.8</v>
      </c>
      <c r="Z1512" s="468" t="s">
        <v>516</v>
      </c>
      <c r="AA1512" s="466">
        <v>90755.4</v>
      </c>
      <c r="AB1512" s="466">
        <v>90755.4</v>
      </c>
      <c r="AC1512" s="467">
        <v>0</v>
      </c>
      <c r="AD1512" s="466">
        <v>0</v>
      </c>
      <c r="AE1512" s="468" t="s">
        <v>516</v>
      </c>
      <c r="AF1512" s="466">
        <v>0</v>
      </c>
      <c r="AG1512" s="466">
        <v>0</v>
      </c>
      <c r="AH1512" s="466">
        <v>12017.79</v>
      </c>
      <c r="AI1512" s="466">
        <v>2736.43</v>
      </c>
      <c r="AJ1512" s="469" t="s">
        <v>6985</v>
      </c>
      <c r="AK1512" s="470" t="s">
        <v>6986</v>
      </c>
      <c r="AL1512" s="471" t="s">
        <v>12017</v>
      </c>
      <c r="AM1512" s="470" t="s">
        <v>15105</v>
      </c>
      <c r="AN1512" s="470" t="s">
        <v>12016</v>
      </c>
      <c r="AO1512" s="470" t="s">
        <v>14810</v>
      </c>
      <c r="AP1512" s="470" t="s">
        <v>3247</v>
      </c>
      <c r="AQ1512" s="470" t="s">
        <v>12014</v>
      </c>
      <c r="AR1512" s="472" t="s">
        <v>515</v>
      </c>
      <c r="AS1512" s="473">
        <v>3.6</v>
      </c>
      <c r="AT1512" s="472" t="s">
        <v>3469</v>
      </c>
      <c r="AU1512" s="472" t="s">
        <v>420</v>
      </c>
      <c r="AV1512" s="472">
        <v>2020</v>
      </c>
      <c r="AW1512" s="474" t="s">
        <v>15078</v>
      </c>
      <c r="AX1512" s="475" t="s">
        <v>15079</v>
      </c>
      <c r="AY1512" s="515">
        <v>1</v>
      </c>
      <c r="AZ1512" s="474" t="s">
        <v>15079</v>
      </c>
      <c r="BA1512" s="472" t="s">
        <v>3469</v>
      </c>
      <c r="BB1512" s="472" t="s">
        <v>1385</v>
      </c>
      <c r="BC1512" s="472" t="s">
        <v>1385</v>
      </c>
      <c r="BD1512" s="472" t="s">
        <v>1385</v>
      </c>
      <c r="BE1512" s="472" t="s">
        <v>1385</v>
      </c>
      <c r="BF1512" s="472">
        <v>20521.8</v>
      </c>
      <c r="BG1512" s="472">
        <v>0</v>
      </c>
      <c r="BH1512" s="472" t="s">
        <v>1385</v>
      </c>
      <c r="BI1512" s="510">
        <v>0</v>
      </c>
      <c r="BJ1512" s="510">
        <v>0</v>
      </c>
      <c r="BK1512" s="510">
        <v>0</v>
      </c>
      <c r="BL1512" s="510">
        <v>0</v>
      </c>
      <c r="BM1512" s="510">
        <v>0</v>
      </c>
      <c r="BN1512" s="510">
        <v>3000</v>
      </c>
      <c r="BO1512" s="510">
        <v>0</v>
      </c>
      <c r="BP1512" s="510">
        <v>0</v>
      </c>
      <c r="BQ1512" s="510">
        <v>0</v>
      </c>
      <c r="BR1512" s="510">
        <v>0</v>
      </c>
      <c r="BS1512" s="510">
        <v>0</v>
      </c>
      <c r="BT1512" s="510">
        <v>0</v>
      </c>
      <c r="BU1512" s="510">
        <v>0</v>
      </c>
      <c r="BV1512" s="510">
        <v>0</v>
      </c>
      <c r="BW1512" s="510">
        <v>0</v>
      </c>
      <c r="BX1512" s="510">
        <v>30000</v>
      </c>
      <c r="BY1512" s="1011">
        <v>0</v>
      </c>
      <c r="BZ1512" s="510">
        <v>0</v>
      </c>
      <c r="CA1512" s="1011">
        <v>0</v>
      </c>
      <c r="CB1512" s="510">
        <v>0</v>
      </c>
      <c r="CC1512" s="1011">
        <v>0</v>
      </c>
      <c r="CD1512" s="510">
        <v>0</v>
      </c>
      <c r="CE1512" s="1011">
        <v>0</v>
      </c>
      <c r="CF1512" s="510">
        <v>40233.599999999999</v>
      </c>
      <c r="CG1512" s="1011">
        <v>0</v>
      </c>
      <c r="CH1512" s="510">
        <v>0</v>
      </c>
      <c r="CI1512" s="1011">
        <v>0</v>
      </c>
    </row>
    <row r="1513" spans="1:87" x14ac:dyDescent="0.2">
      <c r="A1513" s="449">
        <v>28</v>
      </c>
      <c r="B1513" s="453">
        <v>400519</v>
      </c>
      <c r="C1513" s="454" t="s">
        <v>12018</v>
      </c>
      <c r="D1513" s="454" t="s">
        <v>3469</v>
      </c>
      <c r="E1513" s="454" t="s">
        <v>12019</v>
      </c>
      <c r="F1513" s="454" t="s">
        <v>521</v>
      </c>
      <c r="G1513" s="454" t="s">
        <v>14811</v>
      </c>
      <c r="H1513" s="455">
        <v>7125083000194</v>
      </c>
      <c r="I1513" s="462">
        <v>38142</v>
      </c>
      <c r="J1513" s="457">
        <v>37586327</v>
      </c>
      <c r="K1513" s="454" t="s">
        <v>3352</v>
      </c>
      <c r="L1513" s="458" t="s">
        <v>1446</v>
      </c>
      <c r="M1513" s="454" t="s">
        <v>4904</v>
      </c>
      <c r="N1513" s="459">
        <v>4849503</v>
      </c>
      <c r="O1513" s="460">
        <v>59765517</v>
      </c>
      <c r="P1513" s="462">
        <v>91066</v>
      </c>
      <c r="Q1513" s="462">
        <v>12</v>
      </c>
      <c r="R1513" s="462">
        <v>43934</v>
      </c>
      <c r="S1513" s="463">
        <v>321</v>
      </c>
      <c r="T1513" s="464">
        <v>3.6</v>
      </c>
      <c r="U1513" s="465">
        <v>1155.5999999999999</v>
      </c>
      <c r="V1513" s="465">
        <v>13680</v>
      </c>
      <c r="W1513" s="466">
        <v>0</v>
      </c>
      <c r="X1513" s="467">
        <v>1</v>
      </c>
      <c r="Y1513" s="466">
        <v>22253.4</v>
      </c>
      <c r="Z1513" s="468" t="s">
        <v>516</v>
      </c>
      <c r="AA1513" s="466">
        <v>92573.4</v>
      </c>
      <c r="AB1513" s="466">
        <v>92573.4</v>
      </c>
      <c r="AC1513" s="467">
        <v>0</v>
      </c>
      <c r="AD1513" s="466">
        <v>0</v>
      </c>
      <c r="AE1513" s="468" t="s">
        <v>516</v>
      </c>
      <c r="AF1513" s="466">
        <v>0</v>
      </c>
      <c r="AG1513" s="466">
        <v>0</v>
      </c>
      <c r="AH1513" s="466">
        <v>9351.42</v>
      </c>
      <c r="AI1513" s="466">
        <v>1849.12</v>
      </c>
      <c r="AJ1513" s="469" t="s">
        <v>1624</v>
      </c>
      <c r="AK1513" s="470" t="s">
        <v>1625</v>
      </c>
      <c r="AL1513" s="471" t="s">
        <v>12020</v>
      </c>
      <c r="AM1513" s="470" t="s">
        <v>12021</v>
      </c>
      <c r="AN1513" s="470" t="s">
        <v>1385</v>
      </c>
      <c r="AO1513" s="470" t="s">
        <v>14812</v>
      </c>
      <c r="AP1513" s="470" t="s">
        <v>3355</v>
      </c>
      <c r="AQ1513" s="470" t="s">
        <v>12018</v>
      </c>
      <c r="AR1513" s="472" t="s">
        <v>515</v>
      </c>
      <c r="AS1513" s="473">
        <v>3.6</v>
      </c>
      <c r="AT1513" s="472" t="s">
        <v>3469</v>
      </c>
      <c r="AU1513" s="472" t="s">
        <v>420</v>
      </c>
      <c r="AV1513" s="472">
        <v>2020</v>
      </c>
      <c r="AW1513" s="474" t="s">
        <v>15078</v>
      </c>
      <c r="AX1513" s="475" t="s">
        <v>15079</v>
      </c>
      <c r="AY1513" s="515">
        <v>1</v>
      </c>
      <c r="AZ1513" s="474" t="s">
        <v>15079</v>
      </c>
      <c r="BA1513" s="472" t="s">
        <v>3469</v>
      </c>
      <c r="BB1513" s="472" t="s">
        <v>1385</v>
      </c>
      <c r="BC1513" s="472" t="s">
        <v>1385</v>
      </c>
      <c r="BD1513" s="472" t="s">
        <v>1385</v>
      </c>
      <c r="BE1513" s="472" t="s">
        <v>1385</v>
      </c>
      <c r="BF1513" s="472">
        <v>22253.4</v>
      </c>
      <c r="BG1513" s="472">
        <v>0</v>
      </c>
      <c r="BH1513" s="472" t="s">
        <v>1385</v>
      </c>
      <c r="BI1513" s="510">
        <v>0</v>
      </c>
      <c r="BJ1513" s="510">
        <v>0</v>
      </c>
      <c r="BK1513" s="510">
        <v>0</v>
      </c>
      <c r="BL1513" s="510">
        <v>0</v>
      </c>
      <c r="BM1513" s="510">
        <v>0</v>
      </c>
      <c r="BN1513" s="510">
        <v>3000</v>
      </c>
      <c r="BO1513" s="510">
        <v>0</v>
      </c>
      <c r="BP1513" s="510">
        <v>0</v>
      </c>
      <c r="BQ1513" s="510">
        <v>0</v>
      </c>
      <c r="BR1513" s="510">
        <v>0</v>
      </c>
      <c r="BS1513" s="510">
        <v>0</v>
      </c>
      <c r="BT1513" s="510">
        <v>0</v>
      </c>
      <c r="BU1513" s="510">
        <v>0</v>
      </c>
      <c r="BV1513" s="510">
        <v>0</v>
      </c>
      <c r="BW1513" s="510">
        <v>0</v>
      </c>
      <c r="BX1513" s="510">
        <v>30000</v>
      </c>
      <c r="BY1513" s="1011">
        <v>0</v>
      </c>
      <c r="BZ1513" s="510">
        <v>0</v>
      </c>
      <c r="CA1513" s="1011">
        <v>0</v>
      </c>
      <c r="CB1513" s="510">
        <v>0</v>
      </c>
      <c r="CC1513" s="1011">
        <v>0</v>
      </c>
      <c r="CD1513" s="510">
        <v>0</v>
      </c>
      <c r="CE1513" s="1011">
        <v>0</v>
      </c>
      <c r="CF1513" s="510">
        <v>40320</v>
      </c>
      <c r="CG1513" s="1011">
        <v>0</v>
      </c>
      <c r="CH1513" s="510">
        <v>0</v>
      </c>
      <c r="CI1513" s="1011">
        <v>0</v>
      </c>
    </row>
    <row r="1514" spans="1:87" x14ac:dyDescent="0.2">
      <c r="A1514" s="449">
        <v>37</v>
      </c>
      <c r="B1514" s="453">
        <v>400520</v>
      </c>
      <c r="C1514" s="454" t="s">
        <v>12022</v>
      </c>
      <c r="D1514" s="454" t="s">
        <v>3469</v>
      </c>
      <c r="E1514" s="454" t="s">
        <v>12023</v>
      </c>
      <c r="F1514" s="454" t="s">
        <v>526</v>
      </c>
      <c r="G1514" s="454" t="s">
        <v>14813</v>
      </c>
      <c r="H1514" s="455">
        <v>7716980000172</v>
      </c>
      <c r="I1514" s="462">
        <v>38649</v>
      </c>
      <c r="J1514" s="457">
        <v>37585843</v>
      </c>
      <c r="K1514" s="454" t="s">
        <v>2002</v>
      </c>
      <c r="L1514" s="458">
        <v>141</v>
      </c>
      <c r="M1514" s="454" t="s">
        <v>2003</v>
      </c>
      <c r="N1514" s="459">
        <v>8062590</v>
      </c>
      <c r="O1514" s="460">
        <v>20454236</v>
      </c>
      <c r="P1514" s="462">
        <v>132171</v>
      </c>
      <c r="Q1514" s="462">
        <v>37</v>
      </c>
      <c r="R1514" s="462">
        <v>43928</v>
      </c>
      <c r="S1514" s="463">
        <v>223</v>
      </c>
      <c r="T1514" s="464">
        <v>3.6</v>
      </c>
      <c r="U1514" s="465">
        <v>802.8</v>
      </c>
      <c r="V1514" s="465">
        <v>11760</v>
      </c>
      <c r="W1514" s="466">
        <v>0</v>
      </c>
      <c r="X1514" s="467">
        <v>1</v>
      </c>
      <c r="Y1514" s="466">
        <v>18844.2</v>
      </c>
      <c r="Z1514" s="468" t="s">
        <v>516</v>
      </c>
      <c r="AA1514" s="466">
        <v>89164.2</v>
      </c>
      <c r="AB1514" s="466">
        <v>89164.2</v>
      </c>
      <c r="AC1514" s="467">
        <v>0</v>
      </c>
      <c r="AD1514" s="466">
        <v>0</v>
      </c>
      <c r="AE1514" s="468" t="s">
        <v>516</v>
      </c>
      <c r="AF1514" s="466">
        <v>0</v>
      </c>
      <c r="AG1514" s="466">
        <v>0</v>
      </c>
      <c r="AH1514" s="466">
        <v>15119.79</v>
      </c>
      <c r="AI1514" s="466">
        <v>2106.4</v>
      </c>
      <c r="AJ1514" s="469" t="s">
        <v>2004</v>
      </c>
      <c r="AK1514" s="470" t="s">
        <v>2005</v>
      </c>
      <c r="AL1514" s="471" t="s">
        <v>12024</v>
      </c>
      <c r="AM1514" s="470" t="s">
        <v>12025</v>
      </c>
      <c r="AN1514" s="470" t="s">
        <v>1385</v>
      </c>
      <c r="AO1514" s="470" t="s">
        <v>12026</v>
      </c>
      <c r="AP1514" s="470" t="s">
        <v>3260</v>
      </c>
      <c r="AQ1514" s="470" t="s">
        <v>12022</v>
      </c>
      <c r="AR1514" s="472" t="s">
        <v>515</v>
      </c>
      <c r="AS1514" s="473">
        <v>3.6</v>
      </c>
      <c r="AT1514" s="472" t="s">
        <v>3469</v>
      </c>
      <c r="AU1514" s="472" t="s">
        <v>420</v>
      </c>
      <c r="AV1514" s="472">
        <v>2020</v>
      </c>
      <c r="AW1514" s="474" t="s">
        <v>15078</v>
      </c>
      <c r="AX1514" s="475" t="s">
        <v>15079</v>
      </c>
      <c r="AY1514" s="515">
        <v>1</v>
      </c>
      <c r="AZ1514" s="474" t="s">
        <v>15079</v>
      </c>
      <c r="BA1514" s="472" t="s">
        <v>3469</v>
      </c>
      <c r="BB1514" s="472" t="s">
        <v>1385</v>
      </c>
      <c r="BC1514" s="472" t="s">
        <v>1385</v>
      </c>
      <c r="BD1514" s="472" t="s">
        <v>1385</v>
      </c>
      <c r="BE1514" s="472" t="s">
        <v>1385</v>
      </c>
      <c r="BF1514" s="472">
        <v>18844.2</v>
      </c>
      <c r="BG1514" s="472">
        <v>0</v>
      </c>
      <c r="BH1514" s="472" t="s">
        <v>1385</v>
      </c>
      <c r="BI1514" s="510">
        <v>0</v>
      </c>
      <c r="BJ1514" s="510">
        <v>181.85</v>
      </c>
      <c r="BK1514" s="510">
        <v>0</v>
      </c>
      <c r="BL1514" s="510">
        <v>0</v>
      </c>
      <c r="BM1514" s="510">
        <v>0</v>
      </c>
      <c r="BN1514" s="510">
        <v>2000</v>
      </c>
      <c r="BO1514" s="510">
        <v>0</v>
      </c>
      <c r="BP1514" s="510">
        <v>0</v>
      </c>
      <c r="BQ1514" s="510">
        <v>0</v>
      </c>
      <c r="BR1514" s="510">
        <v>0</v>
      </c>
      <c r="BS1514" s="510">
        <v>0</v>
      </c>
      <c r="BT1514" s="510">
        <v>0</v>
      </c>
      <c r="BU1514" s="510">
        <v>0</v>
      </c>
      <c r="BV1514" s="510">
        <v>0</v>
      </c>
      <c r="BW1514" s="510">
        <v>0</v>
      </c>
      <c r="BX1514" s="510">
        <v>30000</v>
      </c>
      <c r="BY1514" s="1011">
        <v>0</v>
      </c>
      <c r="BZ1514" s="510">
        <v>0</v>
      </c>
      <c r="CA1514" s="1011">
        <v>0</v>
      </c>
      <c r="CB1514" s="510">
        <v>0</v>
      </c>
      <c r="CC1514" s="1011">
        <v>0</v>
      </c>
      <c r="CD1514" s="510">
        <v>0</v>
      </c>
      <c r="CE1514" s="1011">
        <v>0</v>
      </c>
      <c r="CF1514" s="510">
        <v>40320</v>
      </c>
      <c r="CG1514" s="1011">
        <v>0</v>
      </c>
      <c r="CH1514" s="510">
        <v>0</v>
      </c>
      <c r="CI1514" s="1011">
        <v>0</v>
      </c>
    </row>
    <row r="1515" spans="1:87" x14ac:dyDescent="0.2">
      <c r="A1515" s="449">
        <v>38</v>
      </c>
      <c r="B1515" s="453">
        <v>400521</v>
      </c>
      <c r="C1515" s="454" t="s">
        <v>12027</v>
      </c>
      <c r="D1515" s="454" t="s">
        <v>3469</v>
      </c>
      <c r="E1515" s="454" t="s">
        <v>12028</v>
      </c>
      <c r="F1515" s="454" t="s">
        <v>526</v>
      </c>
      <c r="G1515" s="454" t="s">
        <v>14814</v>
      </c>
      <c r="H1515" s="455">
        <v>7850331000160</v>
      </c>
      <c r="I1515" s="462">
        <v>38681</v>
      </c>
      <c r="J1515" s="457">
        <v>37585711</v>
      </c>
      <c r="K1515" s="454" t="s">
        <v>2952</v>
      </c>
      <c r="L1515" s="458">
        <v>347</v>
      </c>
      <c r="M1515" s="454" t="s">
        <v>1411</v>
      </c>
      <c r="N1515" s="459">
        <v>8141290</v>
      </c>
      <c r="O1515" s="460">
        <v>25636216</v>
      </c>
      <c r="P1515" s="462">
        <v>125787</v>
      </c>
      <c r="Q1515" s="462">
        <v>38</v>
      </c>
      <c r="R1515" s="462">
        <v>43928</v>
      </c>
      <c r="S1515" s="463">
        <v>290</v>
      </c>
      <c r="T1515" s="464">
        <v>3.6</v>
      </c>
      <c r="U1515" s="465">
        <v>1044</v>
      </c>
      <c r="V1515" s="465">
        <v>12720</v>
      </c>
      <c r="W1515" s="466">
        <v>0</v>
      </c>
      <c r="X1515" s="467">
        <v>1</v>
      </c>
      <c r="Y1515" s="466">
        <v>20646</v>
      </c>
      <c r="Z1515" s="468" t="s">
        <v>516</v>
      </c>
      <c r="AA1515" s="466">
        <v>90822</v>
      </c>
      <c r="AB1515" s="466">
        <v>90822</v>
      </c>
      <c r="AC1515" s="467">
        <v>0</v>
      </c>
      <c r="AD1515" s="466">
        <v>0</v>
      </c>
      <c r="AE1515" s="468" t="s">
        <v>516</v>
      </c>
      <c r="AF1515" s="466">
        <v>0</v>
      </c>
      <c r="AG1515" s="466">
        <v>0</v>
      </c>
      <c r="AH1515" s="466">
        <v>11001.54</v>
      </c>
      <c r="AI1515" s="466">
        <v>2324.9699999999998</v>
      </c>
      <c r="AJ1515" s="469" t="s">
        <v>1410</v>
      </c>
      <c r="AK1515" s="470" t="s">
        <v>1411</v>
      </c>
      <c r="AL1515" s="471" t="s">
        <v>12029</v>
      </c>
      <c r="AM1515" s="470" t="s">
        <v>12030</v>
      </c>
      <c r="AN1515" s="470" t="s">
        <v>1385</v>
      </c>
      <c r="AO1515" s="470" t="s">
        <v>14815</v>
      </c>
      <c r="AP1515" s="470" t="s">
        <v>12031</v>
      </c>
      <c r="AQ1515" s="470" t="s">
        <v>12027</v>
      </c>
      <c r="AR1515" s="472" t="s">
        <v>515</v>
      </c>
      <c r="AS1515" s="473">
        <v>3.6</v>
      </c>
      <c r="AT1515" s="472" t="s">
        <v>3469</v>
      </c>
      <c r="AU1515" s="472" t="s">
        <v>420</v>
      </c>
      <c r="AV1515" s="472">
        <v>2020</v>
      </c>
      <c r="AW1515" s="474" t="s">
        <v>15078</v>
      </c>
      <c r="AX1515" s="475" t="s">
        <v>15079</v>
      </c>
      <c r="AY1515" s="515">
        <v>1</v>
      </c>
      <c r="AZ1515" s="474" t="s">
        <v>15079</v>
      </c>
      <c r="BA1515" s="472" t="s">
        <v>3469</v>
      </c>
      <c r="BB1515" s="472" t="s">
        <v>1385</v>
      </c>
      <c r="BC1515" s="472" t="s">
        <v>1385</v>
      </c>
      <c r="BD1515" s="472" t="s">
        <v>1385</v>
      </c>
      <c r="BE1515" s="472" t="s">
        <v>1385</v>
      </c>
      <c r="BF1515" s="472">
        <v>20646</v>
      </c>
      <c r="BG1515" s="472">
        <v>0</v>
      </c>
      <c r="BH1515" s="472" t="s">
        <v>1385</v>
      </c>
      <c r="BI1515" s="510">
        <v>0</v>
      </c>
      <c r="BJ1515" s="510">
        <v>0</v>
      </c>
      <c r="BK1515" s="510">
        <v>0</v>
      </c>
      <c r="BL1515" s="510">
        <v>0</v>
      </c>
      <c r="BM1515" s="510">
        <v>0</v>
      </c>
      <c r="BN1515" s="510">
        <v>3000</v>
      </c>
      <c r="BO1515" s="510">
        <v>0</v>
      </c>
      <c r="BP1515" s="510">
        <v>0</v>
      </c>
      <c r="BQ1515" s="510">
        <v>0</v>
      </c>
      <c r="BR1515" s="510">
        <v>0</v>
      </c>
      <c r="BS1515" s="510">
        <v>0</v>
      </c>
      <c r="BT1515" s="510">
        <v>0</v>
      </c>
      <c r="BU1515" s="510">
        <v>0</v>
      </c>
      <c r="BV1515" s="510">
        <v>0</v>
      </c>
      <c r="BW1515" s="510">
        <v>0</v>
      </c>
      <c r="BX1515" s="510">
        <v>30000</v>
      </c>
      <c r="BY1515" s="1011">
        <v>0</v>
      </c>
      <c r="BZ1515" s="510">
        <v>0</v>
      </c>
      <c r="CA1515" s="1011">
        <v>0</v>
      </c>
      <c r="CB1515" s="510">
        <v>0</v>
      </c>
      <c r="CC1515" s="1011">
        <v>0</v>
      </c>
      <c r="CD1515" s="510">
        <v>0</v>
      </c>
      <c r="CE1515" s="1011">
        <v>0</v>
      </c>
      <c r="CF1515" s="510">
        <v>40176</v>
      </c>
      <c r="CG1515" s="1011">
        <v>0</v>
      </c>
      <c r="CH1515" s="510">
        <v>0</v>
      </c>
      <c r="CI1515" s="1011">
        <v>0</v>
      </c>
    </row>
    <row r="1516" spans="1:87" x14ac:dyDescent="0.2">
      <c r="A1516" s="449">
        <v>26</v>
      </c>
      <c r="B1516" s="453">
        <v>400522</v>
      </c>
      <c r="C1516" s="454" t="s">
        <v>12032</v>
      </c>
      <c r="D1516" s="454" t="s">
        <v>3469</v>
      </c>
      <c r="E1516" s="454" t="s">
        <v>12033</v>
      </c>
      <c r="F1516" s="454" t="s">
        <v>528</v>
      </c>
      <c r="G1516" s="454" t="s">
        <v>14816</v>
      </c>
      <c r="H1516" s="455">
        <v>7829436000137</v>
      </c>
      <c r="I1516" s="462">
        <v>38548</v>
      </c>
      <c r="J1516" s="457">
        <v>37375431</v>
      </c>
      <c r="K1516" s="454" t="s">
        <v>3263</v>
      </c>
      <c r="L1516" s="458">
        <v>226</v>
      </c>
      <c r="M1516" s="454" t="s">
        <v>1728</v>
      </c>
      <c r="N1516" s="459">
        <v>5185420</v>
      </c>
      <c r="O1516" s="460">
        <v>39483933</v>
      </c>
      <c r="P1516" s="462">
        <v>210741</v>
      </c>
      <c r="Q1516" s="462">
        <v>26</v>
      </c>
      <c r="R1516" s="462">
        <v>43938</v>
      </c>
      <c r="S1516" s="463">
        <v>296</v>
      </c>
      <c r="T1516" s="464">
        <v>3.6</v>
      </c>
      <c r="U1516" s="465">
        <v>1065.5999999999999</v>
      </c>
      <c r="V1516" s="465">
        <v>12720</v>
      </c>
      <c r="W1516" s="466">
        <v>0</v>
      </c>
      <c r="X1516" s="467">
        <v>1</v>
      </c>
      <c r="Y1516" s="466">
        <v>20678.400000000001</v>
      </c>
      <c r="Z1516" s="468" t="s">
        <v>516</v>
      </c>
      <c r="AA1516" s="466">
        <v>95328</v>
      </c>
      <c r="AB1516" s="466">
        <v>95328</v>
      </c>
      <c r="AC1516" s="467">
        <v>0</v>
      </c>
      <c r="AD1516" s="466">
        <v>0</v>
      </c>
      <c r="AE1516" s="468" t="s">
        <v>516</v>
      </c>
      <c r="AF1516" s="466">
        <v>0</v>
      </c>
      <c r="AG1516" s="466">
        <v>0</v>
      </c>
      <c r="AH1516" s="466">
        <v>11353.55</v>
      </c>
      <c r="AI1516" s="466">
        <v>2783.71</v>
      </c>
      <c r="AJ1516" s="469" t="s">
        <v>1422</v>
      </c>
      <c r="AK1516" s="470" t="s">
        <v>1423</v>
      </c>
      <c r="AL1516" s="471" t="s">
        <v>12034</v>
      </c>
      <c r="AM1516" s="470" t="s">
        <v>14817</v>
      </c>
      <c r="AN1516" s="470" t="s">
        <v>12035</v>
      </c>
      <c r="AO1516" s="470" t="s">
        <v>14818</v>
      </c>
      <c r="AP1516" s="470" t="s">
        <v>3267</v>
      </c>
      <c r="AQ1516" s="470" t="s">
        <v>12032</v>
      </c>
      <c r="AR1516" s="472" t="s">
        <v>515</v>
      </c>
      <c r="AS1516" s="473">
        <v>3.6</v>
      </c>
      <c r="AT1516" s="472" t="s">
        <v>3469</v>
      </c>
      <c r="AU1516" s="472" t="s">
        <v>420</v>
      </c>
      <c r="AV1516" s="472">
        <v>2020</v>
      </c>
      <c r="AW1516" s="474" t="s">
        <v>15078</v>
      </c>
      <c r="AX1516" s="475" t="s">
        <v>15079</v>
      </c>
      <c r="AY1516" s="515">
        <v>1</v>
      </c>
      <c r="AZ1516" s="474" t="s">
        <v>15079</v>
      </c>
      <c r="BA1516" s="472" t="s">
        <v>3469</v>
      </c>
      <c r="BB1516" s="472" t="s">
        <v>1385</v>
      </c>
      <c r="BC1516" s="472" t="s">
        <v>1385</v>
      </c>
      <c r="BD1516" s="472" t="s">
        <v>1385</v>
      </c>
      <c r="BE1516" s="472" t="s">
        <v>1385</v>
      </c>
      <c r="BF1516" s="472">
        <v>20678.400000000001</v>
      </c>
      <c r="BG1516" s="472">
        <v>0</v>
      </c>
      <c r="BH1516" s="472" t="s">
        <v>1385</v>
      </c>
      <c r="BI1516" s="510">
        <v>0</v>
      </c>
      <c r="BJ1516" s="510">
        <v>0</v>
      </c>
      <c r="BK1516" s="510">
        <v>0</v>
      </c>
      <c r="BL1516" s="510">
        <v>0</v>
      </c>
      <c r="BM1516" s="510">
        <v>0</v>
      </c>
      <c r="BN1516" s="510">
        <v>3000</v>
      </c>
      <c r="BO1516" s="510">
        <v>0</v>
      </c>
      <c r="BP1516" s="510">
        <v>0</v>
      </c>
      <c r="BQ1516" s="510">
        <v>0</v>
      </c>
      <c r="BR1516" s="510">
        <v>0</v>
      </c>
      <c r="BS1516" s="510">
        <v>0</v>
      </c>
      <c r="BT1516" s="510">
        <v>0</v>
      </c>
      <c r="BU1516" s="510">
        <v>0</v>
      </c>
      <c r="BV1516" s="510">
        <v>0</v>
      </c>
      <c r="BW1516" s="510">
        <v>0</v>
      </c>
      <c r="BX1516" s="510">
        <v>30000</v>
      </c>
      <c r="BY1516" s="1011">
        <v>0</v>
      </c>
      <c r="BZ1516" s="510">
        <v>0</v>
      </c>
      <c r="CA1516" s="1011">
        <v>0</v>
      </c>
      <c r="CB1516" s="510">
        <v>0</v>
      </c>
      <c r="CC1516" s="1011">
        <v>0</v>
      </c>
      <c r="CD1516" s="510">
        <v>0</v>
      </c>
      <c r="CE1516" s="1011">
        <v>0</v>
      </c>
      <c r="CF1516" s="510">
        <v>44649.599999999999</v>
      </c>
      <c r="CG1516" s="1011">
        <v>0</v>
      </c>
      <c r="CH1516" s="510">
        <v>0</v>
      </c>
      <c r="CI1516" s="1011">
        <v>0</v>
      </c>
    </row>
    <row r="1517" spans="1:87" x14ac:dyDescent="0.2">
      <c r="A1517" s="449">
        <v>27</v>
      </c>
      <c r="B1517" s="453">
        <v>400523</v>
      </c>
      <c r="C1517" s="454" t="s">
        <v>12036</v>
      </c>
      <c r="D1517" s="454" t="s">
        <v>3469</v>
      </c>
      <c r="E1517" s="454" t="s">
        <v>12037</v>
      </c>
      <c r="F1517" s="454" t="s">
        <v>528</v>
      </c>
      <c r="G1517" s="454" t="s">
        <v>14819</v>
      </c>
      <c r="H1517" s="455">
        <v>9207813000121</v>
      </c>
      <c r="I1517" s="462">
        <v>39345</v>
      </c>
      <c r="J1517" s="457">
        <v>37585894</v>
      </c>
      <c r="K1517" s="454" t="s">
        <v>12038</v>
      </c>
      <c r="L1517" s="458" t="s">
        <v>1446</v>
      </c>
      <c r="M1517" s="454" t="s">
        <v>2241</v>
      </c>
      <c r="N1517" s="459">
        <v>5203200</v>
      </c>
      <c r="O1517" s="460">
        <v>39158717</v>
      </c>
      <c r="P1517" s="462">
        <v>234829</v>
      </c>
      <c r="Q1517" s="462">
        <v>27</v>
      </c>
      <c r="R1517" s="462">
        <v>43938</v>
      </c>
      <c r="S1517" s="463">
        <v>248</v>
      </c>
      <c r="T1517" s="464">
        <v>3.6</v>
      </c>
      <c r="U1517" s="465">
        <v>892.8</v>
      </c>
      <c r="V1517" s="465">
        <v>11760</v>
      </c>
      <c r="W1517" s="466">
        <v>0</v>
      </c>
      <c r="X1517" s="467">
        <v>1</v>
      </c>
      <c r="Y1517" s="466">
        <v>18979.2</v>
      </c>
      <c r="Z1517" s="468" t="s">
        <v>516</v>
      </c>
      <c r="AA1517" s="466">
        <v>89176.8</v>
      </c>
      <c r="AB1517" s="466">
        <v>89176.8</v>
      </c>
      <c r="AC1517" s="467">
        <v>0</v>
      </c>
      <c r="AD1517" s="466">
        <v>0</v>
      </c>
      <c r="AE1517" s="468" t="s">
        <v>516</v>
      </c>
      <c r="AF1517" s="466">
        <v>0</v>
      </c>
      <c r="AG1517" s="466">
        <v>0</v>
      </c>
      <c r="AH1517" s="466">
        <v>24920.43</v>
      </c>
      <c r="AI1517" s="466">
        <v>7821.16</v>
      </c>
      <c r="AJ1517" s="469" t="s">
        <v>2242</v>
      </c>
      <c r="AK1517" s="470" t="s">
        <v>2241</v>
      </c>
      <c r="AL1517" s="471" t="s">
        <v>12039</v>
      </c>
      <c r="AM1517" s="470" t="s">
        <v>14820</v>
      </c>
      <c r="AN1517" s="470" t="s">
        <v>12040</v>
      </c>
      <c r="AO1517" s="470" t="s">
        <v>14821</v>
      </c>
      <c r="AP1517" s="470" t="s">
        <v>2241</v>
      </c>
      <c r="AQ1517" s="470" t="s">
        <v>12036</v>
      </c>
      <c r="AR1517" s="472" t="s">
        <v>515</v>
      </c>
      <c r="AS1517" s="473">
        <v>3.6</v>
      </c>
      <c r="AT1517" s="472" t="s">
        <v>3469</v>
      </c>
      <c r="AU1517" s="472" t="s">
        <v>420</v>
      </c>
      <c r="AV1517" s="472">
        <v>2020</v>
      </c>
      <c r="AW1517" s="474" t="s">
        <v>15078</v>
      </c>
      <c r="AX1517" s="475" t="s">
        <v>15079</v>
      </c>
      <c r="AY1517" s="515">
        <v>1</v>
      </c>
      <c r="AZ1517" s="474" t="s">
        <v>15079</v>
      </c>
      <c r="BA1517" s="472" t="s">
        <v>3469</v>
      </c>
      <c r="BB1517" s="472" t="s">
        <v>1385</v>
      </c>
      <c r="BC1517" s="472" t="s">
        <v>1385</v>
      </c>
      <c r="BD1517" s="472" t="s">
        <v>1385</v>
      </c>
      <c r="BE1517" s="472" t="s">
        <v>1385</v>
      </c>
      <c r="BF1517" s="472">
        <v>18979.2</v>
      </c>
      <c r="BG1517" s="472">
        <v>0</v>
      </c>
      <c r="BH1517" s="472" t="s">
        <v>1385</v>
      </c>
      <c r="BI1517" s="510">
        <v>0</v>
      </c>
      <c r="BJ1517" s="510">
        <v>2994.6</v>
      </c>
      <c r="BK1517" s="510">
        <v>0</v>
      </c>
      <c r="BL1517" s="510">
        <v>0</v>
      </c>
      <c r="BM1517" s="510">
        <v>0</v>
      </c>
      <c r="BN1517" s="510">
        <v>2000</v>
      </c>
      <c r="BO1517" s="510">
        <v>0</v>
      </c>
      <c r="BP1517" s="510">
        <v>0</v>
      </c>
      <c r="BQ1517" s="510">
        <v>0</v>
      </c>
      <c r="BR1517" s="510">
        <v>0</v>
      </c>
      <c r="BS1517" s="510">
        <v>0</v>
      </c>
      <c r="BT1517" s="510">
        <v>0</v>
      </c>
      <c r="BU1517" s="510">
        <v>0</v>
      </c>
      <c r="BV1517" s="510">
        <v>0</v>
      </c>
      <c r="BW1517" s="510">
        <v>0</v>
      </c>
      <c r="BX1517" s="510">
        <v>30000</v>
      </c>
      <c r="BY1517" s="1011">
        <v>0</v>
      </c>
      <c r="BZ1517" s="510">
        <v>0</v>
      </c>
      <c r="CA1517" s="1011">
        <v>0</v>
      </c>
      <c r="CB1517" s="510">
        <v>0</v>
      </c>
      <c r="CC1517" s="1011">
        <v>0</v>
      </c>
      <c r="CD1517" s="510">
        <v>0</v>
      </c>
      <c r="CE1517" s="1011">
        <v>0</v>
      </c>
      <c r="CF1517" s="510">
        <v>40197.599999999999</v>
      </c>
      <c r="CG1517" s="1011">
        <v>0</v>
      </c>
      <c r="CH1517" s="510">
        <v>0</v>
      </c>
      <c r="CI1517" s="1011">
        <v>0</v>
      </c>
    </row>
    <row r="1518" spans="1:87" x14ac:dyDescent="0.2">
      <c r="A1518" s="449">
        <v>30</v>
      </c>
      <c r="B1518" s="453">
        <v>400524</v>
      </c>
      <c r="C1518" s="454" t="s">
        <v>12041</v>
      </c>
      <c r="D1518" s="454" t="s">
        <v>3469</v>
      </c>
      <c r="E1518" s="454" t="s">
        <v>12042</v>
      </c>
      <c r="F1518" s="454" t="s">
        <v>513</v>
      </c>
      <c r="G1518" s="454" t="s">
        <v>14822</v>
      </c>
      <c r="H1518" s="455">
        <v>7910506000187</v>
      </c>
      <c r="I1518" s="462">
        <v>38684</v>
      </c>
      <c r="J1518" s="457">
        <v>37531093</v>
      </c>
      <c r="K1518" s="454" t="s">
        <v>3372</v>
      </c>
      <c r="L1518" s="458">
        <v>201</v>
      </c>
      <c r="M1518" s="454" t="s">
        <v>3373</v>
      </c>
      <c r="N1518" s="459">
        <v>8341240</v>
      </c>
      <c r="O1518" s="460">
        <v>37930131</v>
      </c>
      <c r="P1518" s="462">
        <v>147110</v>
      </c>
      <c r="Q1518" s="462">
        <v>30</v>
      </c>
      <c r="R1518" s="462">
        <v>43937</v>
      </c>
      <c r="S1518" s="463">
        <v>303</v>
      </c>
      <c r="T1518" s="464">
        <v>3.6</v>
      </c>
      <c r="U1518" s="465">
        <v>1090.8</v>
      </c>
      <c r="V1518" s="465">
        <v>13680</v>
      </c>
      <c r="W1518" s="466">
        <v>0</v>
      </c>
      <c r="X1518" s="467">
        <v>1</v>
      </c>
      <c r="Y1518" s="466">
        <v>22156.2</v>
      </c>
      <c r="Z1518" s="468" t="s">
        <v>516</v>
      </c>
      <c r="AA1518" s="466">
        <v>96690.6</v>
      </c>
      <c r="AB1518" s="466">
        <v>96690.6</v>
      </c>
      <c r="AC1518" s="467">
        <v>0</v>
      </c>
      <c r="AD1518" s="466">
        <v>0</v>
      </c>
      <c r="AE1518" s="468" t="s">
        <v>516</v>
      </c>
      <c r="AF1518" s="466">
        <v>0</v>
      </c>
      <c r="AG1518" s="466">
        <v>0</v>
      </c>
      <c r="AH1518" s="466">
        <v>34092.47</v>
      </c>
      <c r="AI1518" s="466">
        <v>5966.34</v>
      </c>
      <c r="AJ1518" s="469" t="s">
        <v>2520</v>
      </c>
      <c r="AK1518" s="470" t="s">
        <v>2521</v>
      </c>
      <c r="AL1518" s="471" t="s">
        <v>12043</v>
      </c>
      <c r="AM1518" s="470" t="s">
        <v>14823</v>
      </c>
      <c r="AN1518" s="470" t="s">
        <v>12044</v>
      </c>
      <c r="AO1518" s="470" t="s">
        <v>12045</v>
      </c>
      <c r="AP1518" s="470" t="s">
        <v>3377</v>
      </c>
      <c r="AQ1518" s="470" t="s">
        <v>12041</v>
      </c>
      <c r="AR1518" s="472" t="s">
        <v>515</v>
      </c>
      <c r="AS1518" s="473">
        <v>3.6</v>
      </c>
      <c r="AT1518" s="472" t="s">
        <v>3469</v>
      </c>
      <c r="AU1518" s="472" t="s">
        <v>420</v>
      </c>
      <c r="AV1518" s="472">
        <v>2020</v>
      </c>
      <c r="AW1518" s="474" t="s">
        <v>15078</v>
      </c>
      <c r="AX1518" s="475" t="s">
        <v>15079</v>
      </c>
      <c r="AY1518" s="515">
        <v>1</v>
      </c>
      <c r="AZ1518" s="474" t="s">
        <v>15079</v>
      </c>
      <c r="BA1518" s="472" t="s">
        <v>3469</v>
      </c>
      <c r="BB1518" s="472" t="s">
        <v>1385</v>
      </c>
      <c r="BC1518" s="472" t="s">
        <v>1385</v>
      </c>
      <c r="BD1518" s="472" t="s">
        <v>1385</v>
      </c>
      <c r="BE1518" s="472" t="s">
        <v>1385</v>
      </c>
      <c r="BF1518" s="472">
        <v>22156.2</v>
      </c>
      <c r="BG1518" s="472">
        <v>0</v>
      </c>
      <c r="BH1518" s="472" t="s">
        <v>1385</v>
      </c>
      <c r="BI1518" s="510">
        <v>0</v>
      </c>
      <c r="BJ1518" s="510">
        <v>0</v>
      </c>
      <c r="BK1518" s="510">
        <v>0</v>
      </c>
      <c r="BL1518" s="510">
        <v>0</v>
      </c>
      <c r="BM1518" s="510">
        <v>0</v>
      </c>
      <c r="BN1518" s="510">
        <v>3000</v>
      </c>
      <c r="BO1518" s="510">
        <v>0</v>
      </c>
      <c r="BP1518" s="510">
        <v>0</v>
      </c>
      <c r="BQ1518" s="510">
        <v>0</v>
      </c>
      <c r="BR1518" s="510">
        <v>0</v>
      </c>
      <c r="BS1518" s="510">
        <v>0</v>
      </c>
      <c r="BT1518" s="510">
        <v>0</v>
      </c>
      <c r="BU1518" s="510">
        <v>0</v>
      </c>
      <c r="BV1518" s="510">
        <v>0</v>
      </c>
      <c r="BW1518" s="510">
        <v>0</v>
      </c>
      <c r="BX1518" s="510">
        <v>30000</v>
      </c>
      <c r="BY1518" s="1011">
        <v>0</v>
      </c>
      <c r="BZ1518" s="510">
        <v>0</v>
      </c>
      <c r="CA1518" s="1011">
        <v>0</v>
      </c>
      <c r="CB1518" s="510">
        <v>0</v>
      </c>
      <c r="CC1518" s="1011">
        <v>0</v>
      </c>
      <c r="CD1518" s="510">
        <v>0</v>
      </c>
      <c r="CE1518" s="1011">
        <v>0</v>
      </c>
      <c r="CF1518" s="510">
        <v>44534.400000000001</v>
      </c>
      <c r="CG1518" s="1011">
        <v>0</v>
      </c>
      <c r="CH1518" s="510">
        <v>0</v>
      </c>
      <c r="CI1518" s="1011">
        <v>0</v>
      </c>
    </row>
    <row r="1519" spans="1:87" x14ac:dyDescent="0.2">
      <c r="A1519" s="449">
        <v>31</v>
      </c>
      <c r="B1519" s="453">
        <v>400525</v>
      </c>
      <c r="C1519" s="454" t="s">
        <v>12046</v>
      </c>
      <c r="D1519" s="454" t="s">
        <v>3469</v>
      </c>
      <c r="E1519" s="454" t="s">
        <v>12047</v>
      </c>
      <c r="F1519" s="454" t="s">
        <v>513</v>
      </c>
      <c r="G1519" s="454" t="s">
        <v>14824</v>
      </c>
      <c r="H1519" s="455">
        <v>8428903000180</v>
      </c>
      <c r="I1519" s="462">
        <v>39017</v>
      </c>
      <c r="J1519" s="457">
        <v>37411233</v>
      </c>
      <c r="K1519" s="454" t="s">
        <v>3276</v>
      </c>
      <c r="L1519" s="458">
        <v>100</v>
      </c>
      <c r="M1519" s="454" t="s">
        <v>3277</v>
      </c>
      <c r="N1519" s="459">
        <v>8395320</v>
      </c>
      <c r="O1519" s="460">
        <v>27521022</v>
      </c>
      <c r="P1519" s="462">
        <v>147128</v>
      </c>
      <c r="Q1519" s="462">
        <v>31</v>
      </c>
      <c r="R1519" s="462">
        <v>43937</v>
      </c>
      <c r="S1519" s="463">
        <v>295</v>
      </c>
      <c r="T1519" s="464">
        <v>3.6</v>
      </c>
      <c r="U1519" s="465">
        <v>1062</v>
      </c>
      <c r="V1519" s="465">
        <v>12720</v>
      </c>
      <c r="W1519" s="466">
        <v>0</v>
      </c>
      <c r="X1519" s="467">
        <v>1</v>
      </c>
      <c r="Y1519" s="466">
        <v>20673</v>
      </c>
      <c r="Z1519" s="468" t="s">
        <v>516</v>
      </c>
      <c r="AA1519" s="466">
        <v>93186.6</v>
      </c>
      <c r="AB1519" s="466">
        <v>93186.6</v>
      </c>
      <c r="AC1519" s="467">
        <v>0</v>
      </c>
      <c r="AD1519" s="466">
        <v>0</v>
      </c>
      <c r="AE1519" s="468" t="s">
        <v>516</v>
      </c>
      <c r="AF1519" s="466">
        <v>0</v>
      </c>
      <c r="AG1519" s="466">
        <v>0</v>
      </c>
      <c r="AH1519" s="466">
        <v>33595.82</v>
      </c>
      <c r="AI1519" s="466">
        <v>17402.38</v>
      </c>
      <c r="AJ1519" s="469" t="s">
        <v>1560</v>
      </c>
      <c r="AK1519" s="470" t="s">
        <v>1561</v>
      </c>
      <c r="AL1519" s="471" t="s">
        <v>12048</v>
      </c>
      <c r="AM1519" s="470" t="s">
        <v>12049</v>
      </c>
      <c r="AN1519" s="470" t="s">
        <v>1385</v>
      </c>
      <c r="AO1519" s="470" t="s">
        <v>12050</v>
      </c>
      <c r="AP1519" s="470" t="s">
        <v>9757</v>
      </c>
      <c r="AQ1519" s="470" t="s">
        <v>12046</v>
      </c>
      <c r="AR1519" s="472" t="s">
        <v>515</v>
      </c>
      <c r="AS1519" s="473">
        <v>3.6</v>
      </c>
      <c r="AT1519" s="472" t="s">
        <v>3469</v>
      </c>
      <c r="AU1519" s="472" t="s">
        <v>420</v>
      </c>
      <c r="AV1519" s="472">
        <v>2020</v>
      </c>
      <c r="AW1519" s="474" t="s">
        <v>15078</v>
      </c>
      <c r="AX1519" s="475" t="s">
        <v>15079</v>
      </c>
      <c r="AY1519" s="515">
        <v>1</v>
      </c>
      <c r="AZ1519" s="474" t="s">
        <v>15079</v>
      </c>
      <c r="BA1519" s="472" t="s">
        <v>3469</v>
      </c>
      <c r="BB1519" s="472" t="s">
        <v>1385</v>
      </c>
      <c r="BC1519" s="472" t="s">
        <v>1385</v>
      </c>
      <c r="BD1519" s="472" t="s">
        <v>1385</v>
      </c>
      <c r="BE1519" s="472" t="s">
        <v>1385</v>
      </c>
      <c r="BF1519" s="472">
        <v>20673</v>
      </c>
      <c r="BG1519" s="472">
        <v>0</v>
      </c>
      <c r="BH1519" s="472" t="s">
        <v>1385</v>
      </c>
      <c r="BI1519" s="510">
        <v>0</v>
      </c>
      <c r="BJ1519" s="510">
        <v>0</v>
      </c>
      <c r="BK1519" s="510">
        <v>0</v>
      </c>
      <c r="BL1519" s="510">
        <v>0</v>
      </c>
      <c r="BM1519" s="510">
        <v>0</v>
      </c>
      <c r="BN1519" s="510">
        <v>3000</v>
      </c>
      <c r="BO1519" s="510">
        <v>0</v>
      </c>
      <c r="BP1519" s="510">
        <v>0</v>
      </c>
      <c r="BQ1519" s="510">
        <v>0</v>
      </c>
      <c r="BR1519" s="510">
        <v>0</v>
      </c>
      <c r="BS1519" s="510">
        <v>0</v>
      </c>
      <c r="BT1519" s="510">
        <v>0</v>
      </c>
      <c r="BU1519" s="510">
        <v>0</v>
      </c>
      <c r="BV1519" s="510">
        <v>0</v>
      </c>
      <c r="BW1519" s="510">
        <v>0</v>
      </c>
      <c r="BX1519" s="510">
        <v>30000</v>
      </c>
      <c r="BY1519" s="1011">
        <v>0</v>
      </c>
      <c r="BZ1519" s="510">
        <v>0</v>
      </c>
      <c r="CA1519" s="1011">
        <v>0</v>
      </c>
      <c r="CB1519" s="510">
        <v>0</v>
      </c>
      <c r="CC1519" s="1011">
        <v>0</v>
      </c>
      <c r="CD1519" s="510">
        <v>0</v>
      </c>
      <c r="CE1519" s="1011">
        <v>0</v>
      </c>
      <c r="CF1519" s="510">
        <v>42513.599999999999</v>
      </c>
      <c r="CG1519" s="1011">
        <v>0</v>
      </c>
      <c r="CH1519" s="510">
        <v>0</v>
      </c>
      <c r="CI1519" s="1011">
        <v>0</v>
      </c>
    </row>
    <row r="1520" spans="1:87" x14ac:dyDescent="0.2">
      <c r="A1520" s="449">
        <v>30</v>
      </c>
      <c r="B1520" s="453">
        <v>400526</v>
      </c>
      <c r="C1520" s="454" t="s">
        <v>12051</v>
      </c>
      <c r="D1520" s="454" t="s">
        <v>3469</v>
      </c>
      <c r="E1520" s="454" t="s">
        <v>12052</v>
      </c>
      <c r="F1520" s="454" t="s">
        <v>521</v>
      </c>
      <c r="G1520" s="454" t="s">
        <v>14825</v>
      </c>
      <c r="H1520" s="455">
        <v>7070047000170</v>
      </c>
      <c r="I1520" s="462">
        <v>38167</v>
      </c>
      <c r="J1520" s="457">
        <v>37552392</v>
      </c>
      <c r="K1520" s="454" t="s">
        <v>3293</v>
      </c>
      <c r="L1520" s="458" t="s">
        <v>1446</v>
      </c>
      <c r="M1520" s="454" t="s">
        <v>9300</v>
      </c>
      <c r="N1520" s="459">
        <v>4852320</v>
      </c>
      <c r="O1520" s="460">
        <v>59765641</v>
      </c>
      <c r="P1520" s="462">
        <v>98186</v>
      </c>
      <c r="Q1520" s="462">
        <v>8</v>
      </c>
      <c r="R1520" s="462">
        <v>43934</v>
      </c>
      <c r="S1520" s="463">
        <v>415</v>
      </c>
      <c r="T1520" s="464">
        <v>3.6</v>
      </c>
      <c r="U1520" s="465">
        <v>1494</v>
      </c>
      <c r="V1520" s="465">
        <v>13680</v>
      </c>
      <c r="W1520" s="466">
        <v>0</v>
      </c>
      <c r="X1520" s="467">
        <v>1</v>
      </c>
      <c r="Y1520" s="466">
        <v>22761</v>
      </c>
      <c r="Z1520" s="468" t="s">
        <v>516</v>
      </c>
      <c r="AA1520" s="466">
        <v>97389</v>
      </c>
      <c r="AB1520" s="466">
        <v>97389</v>
      </c>
      <c r="AC1520" s="467">
        <v>0</v>
      </c>
      <c r="AD1520" s="466">
        <v>0</v>
      </c>
      <c r="AE1520" s="468" t="s">
        <v>516</v>
      </c>
      <c r="AF1520" s="466">
        <v>0</v>
      </c>
      <c r="AG1520" s="466">
        <v>0</v>
      </c>
      <c r="AH1520" s="466">
        <v>11530.72</v>
      </c>
      <c r="AI1520" s="466">
        <v>1517.4</v>
      </c>
      <c r="AJ1520" s="469" t="s">
        <v>1657</v>
      </c>
      <c r="AK1520" s="470" t="s">
        <v>3495</v>
      </c>
      <c r="AL1520" s="471" t="s">
        <v>12053</v>
      </c>
      <c r="AM1520" s="470" t="s">
        <v>12054</v>
      </c>
      <c r="AN1520" s="470" t="s">
        <v>12055</v>
      </c>
      <c r="AO1520" s="470" t="s">
        <v>14826</v>
      </c>
      <c r="AP1520" s="470" t="s">
        <v>3296</v>
      </c>
      <c r="AQ1520" s="470" t="s">
        <v>12051</v>
      </c>
      <c r="AR1520" s="472" t="s">
        <v>515</v>
      </c>
      <c r="AS1520" s="473">
        <v>3.6</v>
      </c>
      <c r="AT1520" s="472" t="s">
        <v>3469</v>
      </c>
      <c r="AU1520" s="472" t="s">
        <v>420</v>
      </c>
      <c r="AV1520" s="472">
        <v>2020</v>
      </c>
      <c r="AW1520" s="474" t="s">
        <v>15078</v>
      </c>
      <c r="AX1520" s="475" t="s">
        <v>15079</v>
      </c>
      <c r="AY1520" s="515">
        <v>1</v>
      </c>
      <c r="AZ1520" s="474" t="s">
        <v>15079</v>
      </c>
      <c r="BA1520" s="472" t="s">
        <v>3469</v>
      </c>
      <c r="BB1520" s="472" t="s">
        <v>1385</v>
      </c>
      <c r="BC1520" s="472" t="s">
        <v>1385</v>
      </c>
      <c r="BD1520" s="472" t="s">
        <v>1385</v>
      </c>
      <c r="BE1520" s="472" t="s">
        <v>1385</v>
      </c>
      <c r="BF1520" s="472">
        <v>22761</v>
      </c>
      <c r="BG1520" s="472">
        <v>0</v>
      </c>
      <c r="BH1520" s="472" t="s">
        <v>1385</v>
      </c>
      <c r="BI1520" s="510">
        <v>0</v>
      </c>
      <c r="BJ1520" s="510">
        <v>0</v>
      </c>
      <c r="BK1520" s="510">
        <v>0</v>
      </c>
      <c r="BL1520" s="510">
        <v>0</v>
      </c>
      <c r="BM1520" s="510">
        <v>0</v>
      </c>
      <c r="BN1520" s="510">
        <v>3000</v>
      </c>
      <c r="BO1520" s="510">
        <v>0</v>
      </c>
      <c r="BP1520" s="510">
        <v>0</v>
      </c>
      <c r="BQ1520" s="510">
        <v>0</v>
      </c>
      <c r="BR1520" s="510">
        <v>0</v>
      </c>
      <c r="BS1520" s="510">
        <v>0</v>
      </c>
      <c r="BT1520" s="510">
        <v>0</v>
      </c>
      <c r="BU1520" s="510">
        <v>0</v>
      </c>
      <c r="BV1520" s="510">
        <v>0</v>
      </c>
      <c r="BW1520" s="510">
        <v>0</v>
      </c>
      <c r="BX1520" s="510">
        <v>30000</v>
      </c>
      <c r="BY1520" s="1011">
        <v>0</v>
      </c>
      <c r="BZ1520" s="510">
        <v>0</v>
      </c>
      <c r="CA1520" s="1011">
        <v>0</v>
      </c>
      <c r="CB1520" s="510">
        <v>0</v>
      </c>
      <c r="CC1520" s="1011">
        <v>0</v>
      </c>
      <c r="CD1520" s="510">
        <v>0</v>
      </c>
      <c r="CE1520" s="1011">
        <v>0</v>
      </c>
      <c r="CF1520" s="510">
        <v>44628</v>
      </c>
      <c r="CG1520" s="1011">
        <v>0</v>
      </c>
      <c r="CH1520" s="510">
        <v>0</v>
      </c>
      <c r="CI1520" s="1011">
        <v>0</v>
      </c>
    </row>
    <row r="1521" spans="1:87" x14ac:dyDescent="0.2">
      <c r="A1521" s="449">
        <v>28</v>
      </c>
      <c r="B1521" s="453">
        <v>400527</v>
      </c>
      <c r="C1521" s="454" t="s">
        <v>12056</v>
      </c>
      <c r="D1521" s="454" t="s">
        <v>3469</v>
      </c>
      <c r="E1521" s="454" t="s">
        <v>12057</v>
      </c>
      <c r="F1521" s="454" t="s">
        <v>528</v>
      </c>
      <c r="G1521" s="454" t="s">
        <v>14827</v>
      </c>
      <c r="H1521" s="455">
        <v>7706701000190</v>
      </c>
      <c r="I1521" s="462">
        <v>38561</v>
      </c>
      <c r="J1521" s="457">
        <v>37375539</v>
      </c>
      <c r="K1521" s="454" t="s">
        <v>3299</v>
      </c>
      <c r="L1521" s="458">
        <v>840</v>
      </c>
      <c r="M1521" s="454" t="s">
        <v>3300</v>
      </c>
      <c r="N1521" s="459">
        <v>5160030</v>
      </c>
      <c r="O1521" s="460">
        <v>39018714</v>
      </c>
      <c r="P1521" s="462">
        <v>210792</v>
      </c>
      <c r="Q1521" s="462">
        <v>28</v>
      </c>
      <c r="R1521" s="462">
        <v>43938</v>
      </c>
      <c r="S1521" s="463">
        <v>299</v>
      </c>
      <c r="T1521" s="464">
        <v>3.6</v>
      </c>
      <c r="U1521" s="465">
        <v>1076.4000000000001</v>
      </c>
      <c r="V1521" s="465">
        <v>12720</v>
      </c>
      <c r="W1521" s="466">
        <v>0</v>
      </c>
      <c r="X1521" s="467">
        <v>1</v>
      </c>
      <c r="Y1521" s="466">
        <v>20694.599999999999</v>
      </c>
      <c r="Z1521" s="468" t="s">
        <v>516</v>
      </c>
      <c r="AA1521" s="466">
        <v>93186.6</v>
      </c>
      <c r="AB1521" s="466">
        <v>93186.6</v>
      </c>
      <c r="AC1521" s="467">
        <v>0</v>
      </c>
      <c r="AD1521" s="466">
        <v>0</v>
      </c>
      <c r="AE1521" s="468" t="s">
        <v>516</v>
      </c>
      <c r="AF1521" s="466">
        <v>0</v>
      </c>
      <c r="AG1521" s="466">
        <v>0</v>
      </c>
      <c r="AH1521" s="466">
        <v>13442.15</v>
      </c>
      <c r="AI1521" s="466">
        <v>11988.41</v>
      </c>
      <c r="AJ1521" s="469" t="s">
        <v>1422</v>
      </c>
      <c r="AK1521" s="470" t="s">
        <v>1423</v>
      </c>
      <c r="AL1521" s="471" t="s">
        <v>12058</v>
      </c>
      <c r="AM1521" s="470" t="s">
        <v>12059</v>
      </c>
      <c r="AN1521" s="470" t="s">
        <v>12060</v>
      </c>
      <c r="AO1521" s="470" t="s">
        <v>14828</v>
      </c>
      <c r="AP1521" s="470" t="s">
        <v>3304</v>
      </c>
      <c r="AQ1521" s="470" t="s">
        <v>12056</v>
      </c>
      <c r="AR1521" s="472" t="s">
        <v>515</v>
      </c>
      <c r="AS1521" s="473">
        <v>3.6</v>
      </c>
      <c r="AT1521" s="472" t="s">
        <v>3469</v>
      </c>
      <c r="AU1521" s="472" t="s">
        <v>420</v>
      </c>
      <c r="AV1521" s="472">
        <v>2020</v>
      </c>
      <c r="AW1521" s="474" t="s">
        <v>15078</v>
      </c>
      <c r="AX1521" s="475" t="s">
        <v>15079</v>
      </c>
      <c r="AY1521" s="515">
        <v>1</v>
      </c>
      <c r="AZ1521" s="474" t="s">
        <v>15079</v>
      </c>
      <c r="BA1521" s="472" t="s">
        <v>3469</v>
      </c>
      <c r="BB1521" s="472" t="s">
        <v>1385</v>
      </c>
      <c r="BC1521" s="472" t="s">
        <v>1385</v>
      </c>
      <c r="BD1521" s="472" t="s">
        <v>1385</v>
      </c>
      <c r="BE1521" s="472" t="s">
        <v>1385</v>
      </c>
      <c r="BF1521" s="472">
        <v>20694.599999999999</v>
      </c>
      <c r="BG1521" s="472">
        <v>0</v>
      </c>
      <c r="BH1521" s="472" t="s">
        <v>1385</v>
      </c>
      <c r="BI1521" s="510">
        <v>0</v>
      </c>
      <c r="BJ1521" s="510">
        <v>6378.4</v>
      </c>
      <c r="BK1521" s="510">
        <v>0</v>
      </c>
      <c r="BL1521" s="510">
        <v>0</v>
      </c>
      <c r="BM1521" s="510">
        <v>0</v>
      </c>
      <c r="BN1521" s="510">
        <v>3000</v>
      </c>
      <c r="BO1521" s="510">
        <v>0</v>
      </c>
      <c r="BP1521" s="510">
        <v>0</v>
      </c>
      <c r="BQ1521" s="510">
        <v>0</v>
      </c>
      <c r="BR1521" s="510">
        <v>0</v>
      </c>
      <c r="BS1521" s="510">
        <v>0</v>
      </c>
      <c r="BT1521" s="510">
        <v>0</v>
      </c>
      <c r="BU1521" s="510">
        <v>0</v>
      </c>
      <c r="BV1521" s="510">
        <v>0</v>
      </c>
      <c r="BW1521" s="510">
        <v>0</v>
      </c>
      <c r="BX1521" s="510">
        <v>30000</v>
      </c>
      <c r="BY1521" s="1011">
        <v>0</v>
      </c>
      <c r="BZ1521" s="510">
        <v>0</v>
      </c>
      <c r="CA1521" s="1011">
        <v>0</v>
      </c>
      <c r="CB1521" s="510">
        <v>0</v>
      </c>
      <c r="CC1521" s="1011">
        <v>0</v>
      </c>
      <c r="CD1521" s="510">
        <v>0</v>
      </c>
      <c r="CE1521" s="1011">
        <v>0</v>
      </c>
      <c r="CF1521" s="510">
        <v>42492</v>
      </c>
      <c r="CG1521" s="1011">
        <v>0</v>
      </c>
      <c r="CH1521" s="510">
        <v>0</v>
      </c>
      <c r="CI1521" s="1011">
        <v>0</v>
      </c>
    </row>
    <row r="1522" spans="1:87" x14ac:dyDescent="0.2">
      <c r="A1522" s="449">
        <v>40</v>
      </c>
      <c r="B1522" s="453">
        <v>400528</v>
      </c>
      <c r="C1522" s="454" t="s">
        <v>12061</v>
      </c>
      <c r="D1522" s="454" t="s">
        <v>3469</v>
      </c>
      <c r="E1522" s="454" t="s">
        <v>12062</v>
      </c>
      <c r="F1522" s="454" t="s">
        <v>526</v>
      </c>
      <c r="G1522" s="454" t="s">
        <v>14829</v>
      </c>
      <c r="H1522" s="455">
        <v>7728014000175</v>
      </c>
      <c r="I1522" s="462">
        <v>38666</v>
      </c>
      <c r="J1522" s="457">
        <v>37585720</v>
      </c>
      <c r="K1522" s="454" t="s">
        <v>3390</v>
      </c>
      <c r="L1522" s="458">
        <v>3400</v>
      </c>
      <c r="M1522" s="454" t="s">
        <v>1838</v>
      </c>
      <c r="N1522" s="459">
        <v>8115000</v>
      </c>
      <c r="O1522" s="460">
        <v>25636127</v>
      </c>
      <c r="P1522" s="462">
        <v>135022</v>
      </c>
      <c r="Q1522" s="462">
        <v>40</v>
      </c>
      <c r="R1522" s="462">
        <v>43928</v>
      </c>
      <c r="S1522" s="463">
        <v>257</v>
      </c>
      <c r="T1522" s="464">
        <v>3.6</v>
      </c>
      <c r="U1522" s="465">
        <v>925.2</v>
      </c>
      <c r="V1522" s="465">
        <v>12720</v>
      </c>
      <c r="W1522" s="466">
        <v>0</v>
      </c>
      <c r="X1522" s="467">
        <v>1</v>
      </c>
      <c r="Y1522" s="466">
        <v>20467.8</v>
      </c>
      <c r="Z1522" s="468" t="s">
        <v>516</v>
      </c>
      <c r="AA1522" s="466">
        <v>90615</v>
      </c>
      <c r="AB1522" s="466">
        <v>90615</v>
      </c>
      <c r="AC1522" s="467">
        <v>0</v>
      </c>
      <c r="AD1522" s="466">
        <v>0</v>
      </c>
      <c r="AE1522" s="468" t="s">
        <v>516</v>
      </c>
      <c r="AF1522" s="466">
        <v>0</v>
      </c>
      <c r="AG1522" s="466">
        <v>0</v>
      </c>
      <c r="AH1522" s="466">
        <v>1806.99</v>
      </c>
      <c r="AI1522" s="466">
        <v>3131.09</v>
      </c>
      <c r="AJ1522" s="469" t="s">
        <v>1839</v>
      </c>
      <c r="AK1522" s="470" t="s">
        <v>526</v>
      </c>
      <c r="AL1522" s="471" t="s">
        <v>12063</v>
      </c>
      <c r="AM1522" s="470" t="s">
        <v>14830</v>
      </c>
      <c r="AN1522" s="470" t="s">
        <v>1385</v>
      </c>
      <c r="AO1522" s="470" t="s">
        <v>14831</v>
      </c>
      <c r="AP1522" s="470" t="s">
        <v>12064</v>
      </c>
      <c r="AQ1522" s="470" t="s">
        <v>12061</v>
      </c>
      <c r="AR1522" s="472" t="s">
        <v>515</v>
      </c>
      <c r="AS1522" s="473">
        <v>3.6</v>
      </c>
      <c r="AT1522" s="472" t="s">
        <v>3469</v>
      </c>
      <c r="AU1522" s="472" t="s">
        <v>420</v>
      </c>
      <c r="AV1522" s="472">
        <v>2020</v>
      </c>
      <c r="AW1522" s="474" t="s">
        <v>15078</v>
      </c>
      <c r="AX1522" s="475" t="s">
        <v>15079</v>
      </c>
      <c r="AY1522" s="515">
        <v>1</v>
      </c>
      <c r="AZ1522" s="474" t="s">
        <v>15079</v>
      </c>
      <c r="BA1522" s="472" t="s">
        <v>3469</v>
      </c>
      <c r="BB1522" s="472" t="s">
        <v>1385</v>
      </c>
      <c r="BC1522" s="472" t="s">
        <v>1385</v>
      </c>
      <c r="BD1522" s="472" t="s">
        <v>1385</v>
      </c>
      <c r="BE1522" s="472" t="s">
        <v>1385</v>
      </c>
      <c r="BF1522" s="472">
        <v>20467.8</v>
      </c>
      <c r="BG1522" s="472">
        <v>0</v>
      </c>
      <c r="BH1522" s="472" t="s">
        <v>1385</v>
      </c>
      <c r="BI1522" s="510">
        <v>0</v>
      </c>
      <c r="BJ1522" s="510">
        <v>0.45</v>
      </c>
      <c r="BK1522" s="510">
        <v>0</v>
      </c>
      <c r="BL1522" s="510">
        <v>0</v>
      </c>
      <c r="BM1522" s="510">
        <v>0</v>
      </c>
      <c r="BN1522" s="510">
        <v>3000</v>
      </c>
      <c r="BO1522" s="510">
        <v>0</v>
      </c>
      <c r="BP1522" s="510">
        <v>0</v>
      </c>
      <c r="BQ1522" s="510">
        <v>0</v>
      </c>
      <c r="BR1522" s="510">
        <v>0</v>
      </c>
      <c r="BS1522" s="510">
        <v>0</v>
      </c>
      <c r="BT1522" s="510">
        <v>0</v>
      </c>
      <c r="BU1522" s="510">
        <v>0</v>
      </c>
      <c r="BV1522" s="510">
        <v>0</v>
      </c>
      <c r="BW1522" s="510">
        <v>0</v>
      </c>
      <c r="BX1522" s="510">
        <v>30000</v>
      </c>
      <c r="BY1522" s="1011">
        <v>0</v>
      </c>
      <c r="BZ1522" s="510">
        <v>0</v>
      </c>
      <c r="CA1522" s="1011">
        <v>0</v>
      </c>
      <c r="CB1522" s="510">
        <v>0</v>
      </c>
      <c r="CC1522" s="1011">
        <v>0</v>
      </c>
      <c r="CD1522" s="510">
        <v>0</v>
      </c>
      <c r="CE1522" s="1011">
        <v>0</v>
      </c>
      <c r="CF1522" s="510">
        <v>40147.199999999997</v>
      </c>
      <c r="CG1522" s="1011">
        <v>0</v>
      </c>
      <c r="CH1522" s="510">
        <v>0</v>
      </c>
      <c r="CI1522" s="1011">
        <v>0</v>
      </c>
    </row>
    <row r="1523" spans="1:87" x14ac:dyDescent="0.2">
      <c r="A1523" s="449">
        <v>29</v>
      </c>
      <c r="B1523" s="453">
        <v>400529</v>
      </c>
      <c r="C1523" s="454" t="s">
        <v>12065</v>
      </c>
      <c r="D1523" s="454" t="s">
        <v>3469</v>
      </c>
      <c r="E1523" s="454" t="s">
        <v>12066</v>
      </c>
      <c r="F1523" s="454" t="s">
        <v>513</v>
      </c>
      <c r="G1523" s="454" t="s">
        <v>14832</v>
      </c>
      <c r="H1523" s="455">
        <v>7826069000118</v>
      </c>
      <c r="I1523" s="462">
        <v>38481</v>
      </c>
      <c r="J1523" s="457">
        <v>37531077</v>
      </c>
      <c r="K1523" s="454" t="s">
        <v>3399</v>
      </c>
      <c r="L1523" s="458">
        <v>113</v>
      </c>
      <c r="M1523" s="454" t="s">
        <v>3400</v>
      </c>
      <c r="N1523" s="459">
        <v>3978500</v>
      </c>
      <c r="O1523" s="460">
        <v>27012310</v>
      </c>
      <c r="P1523" s="462">
        <v>147101</v>
      </c>
      <c r="Q1523" s="462">
        <v>29</v>
      </c>
      <c r="R1523" s="462">
        <v>43937</v>
      </c>
      <c r="S1523" s="463">
        <v>279</v>
      </c>
      <c r="T1523" s="464">
        <v>3.6</v>
      </c>
      <c r="U1523" s="465">
        <v>1004.4</v>
      </c>
      <c r="V1523" s="465">
        <v>12720</v>
      </c>
      <c r="W1523" s="466">
        <v>0</v>
      </c>
      <c r="X1523" s="467">
        <v>1</v>
      </c>
      <c r="Y1523" s="466">
        <v>20586.599999999999</v>
      </c>
      <c r="Z1523" s="468" t="s">
        <v>516</v>
      </c>
      <c r="AA1523" s="466">
        <v>93035.4</v>
      </c>
      <c r="AB1523" s="466">
        <v>93035.4</v>
      </c>
      <c r="AC1523" s="467">
        <v>0</v>
      </c>
      <c r="AD1523" s="466">
        <v>0</v>
      </c>
      <c r="AE1523" s="468" t="s">
        <v>516</v>
      </c>
      <c r="AF1523" s="466">
        <v>0</v>
      </c>
      <c r="AG1523" s="466">
        <v>0</v>
      </c>
      <c r="AH1523" s="466">
        <v>35862.28</v>
      </c>
      <c r="AI1523" s="466">
        <v>7837.38</v>
      </c>
      <c r="AJ1523" s="469" t="s">
        <v>2030</v>
      </c>
      <c r="AK1523" s="470" t="s">
        <v>513</v>
      </c>
      <c r="AL1523" s="471" t="s">
        <v>12067</v>
      </c>
      <c r="AM1523" s="470" t="s">
        <v>12068</v>
      </c>
      <c r="AN1523" s="470" t="s">
        <v>1385</v>
      </c>
      <c r="AO1523" s="470" t="s">
        <v>12069</v>
      </c>
      <c r="AP1523" s="470" t="s">
        <v>3404</v>
      </c>
      <c r="AQ1523" s="470" t="s">
        <v>12065</v>
      </c>
      <c r="AR1523" s="472" t="s">
        <v>515</v>
      </c>
      <c r="AS1523" s="473">
        <v>3.6</v>
      </c>
      <c r="AT1523" s="472" t="s">
        <v>3469</v>
      </c>
      <c r="AU1523" s="472" t="s">
        <v>420</v>
      </c>
      <c r="AV1523" s="472">
        <v>2020</v>
      </c>
      <c r="AW1523" s="474" t="s">
        <v>15078</v>
      </c>
      <c r="AX1523" s="475" t="s">
        <v>15079</v>
      </c>
      <c r="AY1523" s="515">
        <v>1</v>
      </c>
      <c r="AZ1523" s="474" t="s">
        <v>15079</v>
      </c>
      <c r="BA1523" s="472" t="s">
        <v>3469</v>
      </c>
      <c r="BB1523" s="472" t="s">
        <v>1385</v>
      </c>
      <c r="BC1523" s="472" t="s">
        <v>1385</v>
      </c>
      <c r="BD1523" s="472" t="s">
        <v>1385</v>
      </c>
      <c r="BE1523" s="472" t="s">
        <v>1385</v>
      </c>
      <c r="BF1523" s="472">
        <v>20586.599999999999</v>
      </c>
      <c r="BG1523" s="472">
        <v>0</v>
      </c>
      <c r="BH1523" s="472" t="s">
        <v>1385</v>
      </c>
      <c r="BI1523" s="510">
        <v>0</v>
      </c>
      <c r="BJ1523" s="510">
        <v>0</v>
      </c>
      <c r="BK1523" s="510">
        <v>0</v>
      </c>
      <c r="BL1523" s="510">
        <v>0</v>
      </c>
      <c r="BM1523" s="510">
        <v>0</v>
      </c>
      <c r="BN1523" s="510">
        <v>3000</v>
      </c>
      <c r="BO1523" s="510">
        <v>0</v>
      </c>
      <c r="BP1523" s="510">
        <v>0</v>
      </c>
      <c r="BQ1523" s="510">
        <v>0</v>
      </c>
      <c r="BR1523" s="510">
        <v>0</v>
      </c>
      <c r="BS1523" s="510">
        <v>0</v>
      </c>
      <c r="BT1523" s="510">
        <v>0</v>
      </c>
      <c r="BU1523" s="510">
        <v>0</v>
      </c>
      <c r="BV1523" s="510">
        <v>0</v>
      </c>
      <c r="BW1523" s="510">
        <v>0</v>
      </c>
      <c r="BX1523" s="510">
        <v>30000</v>
      </c>
      <c r="BY1523" s="1011">
        <v>0</v>
      </c>
      <c r="BZ1523" s="510">
        <v>0</v>
      </c>
      <c r="CA1523" s="1011">
        <v>0</v>
      </c>
      <c r="CB1523" s="510">
        <v>0</v>
      </c>
      <c r="CC1523" s="1011">
        <v>0</v>
      </c>
      <c r="CD1523" s="510">
        <v>0</v>
      </c>
      <c r="CE1523" s="1011">
        <v>0</v>
      </c>
      <c r="CF1523" s="510">
        <v>42448.800000000003</v>
      </c>
      <c r="CG1523" s="1011">
        <v>0</v>
      </c>
      <c r="CH1523" s="510">
        <v>0</v>
      </c>
      <c r="CI1523" s="1011">
        <v>0</v>
      </c>
    </row>
    <row r="1524" spans="1:87" x14ac:dyDescent="0.2">
      <c r="A1524" s="449">
        <v>45</v>
      </c>
      <c r="B1524" s="453">
        <v>400534</v>
      </c>
      <c r="C1524" s="454" t="s">
        <v>12070</v>
      </c>
      <c r="D1524" s="454" t="s">
        <v>3469</v>
      </c>
      <c r="E1524" s="454" t="s">
        <v>12070</v>
      </c>
      <c r="F1524" s="454" t="s">
        <v>520</v>
      </c>
      <c r="G1524" s="454" t="s">
        <v>14833</v>
      </c>
      <c r="H1524" s="455">
        <v>7570745000135</v>
      </c>
      <c r="I1524" s="462">
        <v>38496</v>
      </c>
      <c r="J1524" s="457">
        <v>37621530</v>
      </c>
      <c r="K1524" s="454" t="s">
        <v>3420</v>
      </c>
      <c r="L1524" s="458">
        <v>85</v>
      </c>
      <c r="M1524" s="454" t="s">
        <v>3421</v>
      </c>
      <c r="N1524" s="459">
        <v>5841160</v>
      </c>
      <c r="O1524" s="460">
        <v>58742608</v>
      </c>
      <c r="P1524" s="462">
        <v>296220</v>
      </c>
      <c r="Q1524" s="462">
        <v>45</v>
      </c>
      <c r="R1524" s="462">
        <v>43969</v>
      </c>
      <c r="S1524" s="463">
        <v>321</v>
      </c>
      <c r="T1524" s="464">
        <v>3.6</v>
      </c>
      <c r="U1524" s="465">
        <v>1155.5999999999999</v>
      </c>
      <c r="V1524" s="465">
        <v>13680</v>
      </c>
      <c r="W1524" s="466">
        <v>0</v>
      </c>
      <c r="X1524" s="467">
        <v>1</v>
      </c>
      <c r="Y1524" s="466">
        <v>22253.4</v>
      </c>
      <c r="Z1524" s="468" t="s">
        <v>516</v>
      </c>
      <c r="AA1524" s="466">
        <v>96831</v>
      </c>
      <c r="AB1524" s="466">
        <v>96831</v>
      </c>
      <c r="AC1524" s="467">
        <v>0</v>
      </c>
      <c r="AD1524" s="466">
        <v>0</v>
      </c>
      <c r="AE1524" s="468" t="s">
        <v>516</v>
      </c>
      <c r="AF1524" s="466">
        <v>0</v>
      </c>
      <c r="AG1524" s="466">
        <v>0</v>
      </c>
      <c r="AH1524" s="466">
        <v>9129.3700000000008</v>
      </c>
      <c r="AI1524" s="466">
        <v>552.02</v>
      </c>
      <c r="AJ1524" s="469" t="s">
        <v>2585</v>
      </c>
      <c r="AK1524" s="470" t="s">
        <v>2586</v>
      </c>
      <c r="AL1524" s="471" t="s">
        <v>12072</v>
      </c>
      <c r="AM1524" s="470" t="s">
        <v>12073</v>
      </c>
      <c r="AN1524" s="470" t="s">
        <v>12071</v>
      </c>
      <c r="AO1524" s="470" t="s">
        <v>12074</v>
      </c>
      <c r="AP1524" s="470" t="s">
        <v>3426</v>
      </c>
      <c r="AQ1524" s="470" t="s">
        <v>12070</v>
      </c>
      <c r="AR1524" s="472" t="s">
        <v>515</v>
      </c>
      <c r="AS1524" s="473">
        <v>3.6</v>
      </c>
      <c r="AT1524" s="472" t="s">
        <v>3469</v>
      </c>
      <c r="AU1524" s="472" t="s">
        <v>420</v>
      </c>
      <c r="AV1524" s="472">
        <v>2020</v>
      </c>
      <c r="AW1524" s="474" t="s">
        <v>15078</v>
      </c>
      <c r="AX1524" s="475" t="s">
        <v>15079</v>
      </c>
      <c r="AY1524" s="515">
        <v>1</v>
      </c>
      <c r="AZ1524" s="474" t="s">
        <v>15079</v>
      </c>
      <c r="BA1524" s="472" t="s">
        <v>3469</v>
      </c>
      <c r="BB1524" s="472" t="s">
        <v>1385</v>
      </c>
      <c r="BC1524" s="472" t="s">
        <v>1385</v>
      </c>
      <c r="BD1524" s="472" t="s">
        <v>1385</v>
      </c>
      <c r="BE1524" s="472" t="s">
        <v>1385</v>
      </c>
      <c r="BF1524" s="472">
        <v>22253.4</v>
      </c>
      <c r="BG1524" s="472">
        <v>0</v>
      </c>
      <c r="BH1524" s="472" t="s">
        <v>1385</v>
      </c>
      <c r="BI1524" s="510">
        <v>0</v>
      </c>
      <c r="BJ1524" s="510">
        <v>0</v>
      </c>
      <c r="BK1524" s="510">
        <v>0</v>
      </c>
      <c r="BL1524" s="510">
        <v>0</v>
      </c>
      <c r="BM1524" s="510">
        <v>0</v>
      </c>
      <c r="BN1524" s="510">
        <v>3000</v>
      </c>
      <c r="BO1524" s="510">
        <v>0</v>
      </c>
      <c r="BP1524" s="510">
        <v>0</v>
      </c>
      <c r="BQ1524" s="510">
        <v>0</v>
      </c>
      <c r="BR1524" s="510">
        <v>0</v>
      </c>
      <c r="BS1524" s="510">
        <v>0</v>
      </c>
      <c r="BT1524" s="510">
        <v>0</v>
      </c>
      <c r="BU1524" s="510">
        <v>0</v>
      </c>
      <c r="BV1524" s="510">
        <v>0</v>
      </c>
      <c r="BW1524" s="510">
        <v>0</v>
      </c>
      <c r="BX1524" s="510">
        <v>30000</v>
      </c>
      <c r="BY1524" s="1011">
        <v>0</v>
      </c>
      <c r="BZ1524" s="510">
        <v>0</v>
      </c>
      <c r="CA1524" s="1011">
        <v>0</v>
      </c>
      <c r="CB1524" s="510">
        <v>0</v>
      </c>
      <c r="CC1524" s="1011">
        <v>0</v>
      </c>
      <c r="CD1524" s="510">
        <v>0</v>
      </c>
      <c r="CE1524" s="1011">
        <v>0</v>
      </c>
      <c r="CF1524" s="510">
        <v>44577.599999999999</v>
      </c>
      <c r="CG1524" s="1011">
        <v>0</v>
      </c>
      <c r="CH1524" s="510">
        <v>0</v>
      </c>
      <c r="CI1524" s="1011">
        <v>0</v>
      </c>
    </row>
    <row r="1525" spans="1:87" x14ac:dyDescent="0.2">
      <c r="A1525" s="449">
        <v>16</v>
      </c>
      <c r="B1525" s="453">
        <v>400535</v>
      </c>
      <c r="C1525" s="454" t="s">
        <v>12075</v>
      </c>
      <c r="D1525" s="454" t="s">
        <v>3469</v>
      </c>
      <c r="E1525" s="454" t="s">
        <v>12076</v>
      </c>
      <c r="F1525" s="454" t="s">
        <v>522</v>
      </c>
      <c r="G1525" s="454" t="s">
        <v>14834</v>
      </c>
      <c r="H1525" s="455">
        <v>8342752000142</v>
      </c>
      <c r="I1525" s="462">
        <v>38726</v>
      </c>
      <c r="J1525" s="457">
        <v>37605038</v>
      </c>
      <c r="K1525" s="454" t="s">
        <v>3434</v>
      </c>
      <c r="L1525" s="458">
        <v>7</v>
      </c>
      <c r="M1525" s="454" t="s">
        <v>3435</v>
      </c>
      <c r="N1525" s="459">
        <v>2878990</v>
      </c>
      <c r="O1525" s="460">
        <v>39863444</v>
      </c>
      <c r="P1525" s="462">
        <v>86323</v>
      </c>
      <c r="Q1525" s="462">
        <v>49</v>
      </c>
      <c r="R1525" s="462">
        <v>43911</v>
      </c>
      <c r="S1525" s="463">
        <v>312</v>
      </c>
      <c r="T1525" s="464">
        <v>3.6</v>
      </c>
      <c r="U1525" s="465">
        <v>1123.2</v>
      </c>
      <c r="V1525" s="465">
        <v>13680</v>
      </c>
      <c r="W1525" s="466">
        <v>0</v>
      </c>
      <c r="X1525" s="467">
        <v>1</v>
      </c>
      <c r="Y1525" s="466">
        <v>22204.799999999999</v>
      </c>
      <c r="Z1525" s="468" t="s">
        <v>516</v>
      </c>
      <c r="AA1525" s="466">
        <v>96760.8</v>
      </c>
      <c r="AB1525" s="466">
        <v>96760.8</v>
      </c>
      <c r="AC1525" s="467">
        <v>0</v>
      </c>
      <c r="AD1525" s="466">
        <v>0</v>
      </c>
      <c r="AE1525" s="468" t="s">
        <v>516</v>
      </c>
      <c r="AF1525" s="466">
        <v>0</v>
      </c>
      <c r="AG1525" s="466">
        <v>0</v>
      </c>
      <c r="AH1525" s="466">
        <v>4150.57</v>
      </c>
      <c r="AI1525" s="466">
        <v>4474.88</v>
      </c>
      <c r="AJ1525" s="469" t="s">
        <v>1438</v>
      </c>
      <c r="AK1525" s="470" t="s">
        <v>12345</v>
      </c>
      <c r="AL1525" s="471" t="s">
        <v>12077</v>
      </c>
      <c r="AM1525" s="470" t="s">
        <v>14835</v>
      </c>
      <c r="AN1525" s="470" t="s">
        <v>1385</v>
      </c>
      <c r="AO1525" s="470" t="s">
        <v>14836</v>
      </c>
      <c r="AP1525" s="470" t="s">
        <v>3438</v>
      </c>
      <c r="AQ1525" s="470" t="s">
        <v>12075</v>
      </c>
      <c r="AR1525" s="472" t="s">
        <v>515</v>
      </c>
      <c r="AS1525" s="473">
        <v>3.6</v>
      </c>
      <c r="AT1525" s="472" t="s">
        <v>3469</v>
      </c>
      <c r="AU1525" s="472" t="s">
        <v>420</v>
      </c>
      <c r="AV1525" s="472">
        <v>2020</v>
      </c>
      <c r="AW1525" s="474" t="s">
        <v>15078</v>
      </c>
      <c r="AX1525" s="475" t="s">
        <v>15079</v>
      </c>
      <c r="AY1525" s="515">
        <v>1</v>
      </c>
      <c r="AZ1525" s="474" t="s">
        <v>15079</v>
      </c>
      <c r="BA1525" s="472" t="s">
        <v>3469</v>
      </c>
      <c r="BB1525" s="472" t="s">
        <v>1385</v>
      </c>
      <c r="BC1525" s="472" t="s">
        <v>1385</v>
      </c>
      <c r="BD1525" s="472" t="s">
        <v>1385</v>
      </c>
      <c r="BE1525" s="472" t="s">
        <v>1385</v>
      </c>
      <c r="BF1525" s="472">
        <v>22204.799999999999</v>
      </c>
      <c r="BG1525" s="472">
        <v>0</v>
      </c>
      <c r="BH1525" s="472" t="s">
        <v>1385</v>
      </c>
      <c r="BI1525" s="510">
        <v>0</v>
      </c>
      <c r="BJ1525" s="510">
        <v>0</v>
      </c>
      <c r="BK1525" s="510">
        <v>0</v>
      </c>
      <c r="BL1525" s="510">
        <v>0</v>
      </c>
      <c r="BM1525" s="510">
        <v>0</v>
      </c>
      <c r="BN1525" s="510">
        <v>3000</v>
      </c>
      <c r="BO1525" s="510">
        <v>0</v>
      </c>
      <c r="BP1525" s="510">
        <v>0</v>
      </c>
      <c r="BQ1525" s="510">
        <v>0</v>
      </c>
      <c r="BR1525" s="510">
        <v>0</v>
      </c>
      <c r="BS1525" s="510">
        <v>0</v>
      </c>
      <c r="BT1525" s="510">
        <v>0</v>
      </c>
      <c r="BU1525" s="510">
        <v>0</v>
      </c>
      <c r="BV1525" s="510">
        <v>0</v>
      </c>
      <c r="BW1525" s="510">
        <v>0</v>
      </c>
      <c r="BX1525" s="510">
        <v>30000</v>
      </c>
      <c r="BY1525" s="1011">
        <v>0</v>
      </c>
      <c r="BZ1525" s="510">
        <v>0</v>
      </c>
      <c r="CA1525" s="1011">
        <v>0</v>
      </c>
      <c r="CB1525" s="510">
        <v>0</v>
      </c>
      <c r="CC1525" s="1011">
        <v>0</v>
      </c>
      <c r="CD1525" s="510">
        <v>0</v>
      </c>
      <c r="CE1525" s="1011">
        <v>0</v>
      </c>
      <c r="CF1525" s="510">
        <v>44556</v>
      </c>
      <c r="CG1525" s="1011">
        <v>0</v>
      </c>
      <c r="CH1525" s="510">
        <v>0</v>
      </c>
      <c r="CI1525" s="1011">
        <v>0</v>
      </c>
    </row>
    <row r="1526" spans="1:87" x14ac:dyDescent="0.2">
      <c r="A1526" s="449">
        <v>42</v>
      </c>
      <c r="B1526" s="453">
        <v>400536</v>
      </c>
      <c r="C1526" s="454" t="s">
        <v>12078</v>
      </c>
      <c r="D1526" s="454" t="s">
        <v>3469</v>
      </c>
      <c r="E1526" s="454" t="s">
        <v>12078</v>
      </c>
      <c r="F1526" s="454" t="s">
        <v>520</v>
      </c>
      <c r="G1526" s="454" t="s">
        <v>14837</v>
      </c>
      <c r="H1526" s="455">
        <v>10308751000123</v>
      </c>
      <c r="I1526" s="462">
        <v>39652</v>
      </c>
      <c r="J1526" s="457">
        <v>41875915</v>
      </c>
      <c r="K1526" s="454" t="s">
        <v>3449</v>
      </c>
      <c r="L1526" s="458">
        <v>678</v>
      </c>
      <c r="M1526" s="454" t="s">
        <v>3450</v>
      </c>
      <c r="N1526" s="459">
        <v>5789000</v>
      </c>
      <c r="O1526" s="460">
        <v>58434823</v>
      </c>
      <c r="P1526" s="462">
        <v>313907</v>
      </c>
      <c r="Q1526" s="462">
        <v>42</v>
      </c>
      <c r="R1526" s="462">
        <v>43969</v>
      </c>
      <c r="S1526" s="463">
        <v>222</v>
      </c>
      <c r="T1526" s="464">
        <v>3.6</v>
      </c>
      <c r="U1526" s="465">
        <v>799.2</v>
      </c>
      <c r="V1526" s="465">
        <v>11760</v>
      </c>
      <c r="W1526" s="466">
        <v>0</v>
      </c>
      <c r="X1526" s="467">
        <v>1</v>
      </c>
      <c r="Y1526" s="466">
        <v>18838.8</v>
      </c>
      <c r="Z1526" s="468" t="s">
        <v>516</v>
      </c>
      <c r="AA1526" s="466">
        <v>88964.4</v>
      </c>
      <c r="AB1526" s="466">
        <v>88964.4</v>
      </c>
      <c r="AC1526" s="467">
        <v>0</v>
      </c>
      <c r="AD1526" s="466">
        <v>0</v>
      </c>
      <c r="AE1526" s="468" t="s">
        <v>516</v>
      </c>
      <c r="AF1526" s="466">
        <v>0</v>
      </c>
      <c r="AG1526" s="466">
        <v>0</v>
      </c>
      <c r="AH1526" s="466">
        <v>10335.43</v>
      </c>
      <c r="AI1526" s="466">
        <v>11050.19</v>
      </c>
      <c r="AJ1526" s="469" t="s">
        <v>1489</v>
      </c>
      <c r="AK1526" s="470" t="s">
        <v>12079</v>
      </c>
      <c r="AL1526" s="471" t="s">
        <v>12080</v>
      </c>
      <c r="AM1526" s="470" t="s">
        <v>14838</v>
      </c>
      <c r="AN1526" s="470" t="s">
        <v>12081</v>
      </c>
      <c r="AO1526" s="470" t="s">
        <v>12082</v>
      </c>
      <c r="AP1526" s="470" t="s">
        <v>520</v>
      </c>
      <c r="AQ1526" s="470" t="s">
        <v>12078</v>
      </c>
      <c r="AR1526" s="472" t="s">
        <v>515</v>
      </c>
      <c r="AS1526" s="473">
        <v>3.6</v>
      </c>
      <c r="AT1526" s="472" t="s">
        <v>3469</v>
      </c>
      <c r="AU1526" s="472" t="s">
        <v>420</v>
      </c>
      <c r="AV1526" s="472">
        <v>2020</v>
      </c>
      <c r="AW1526" s="474" t="s">
        <v>15078</v>
      </c>
      <c r="AX1526" s="475" t="s">
        <v>15079</v>
      </c>
      <c r="AY1526" s="515">
        <v>1</v>
      </c>
      <c r="AZ1526" s="474" t="s">
        <v>15079</v>
      </c>
      <c r="BA1526" s="472" t="s">
        <v>3469</v>
      </c>
      <c r="BB1526" s="472" t="s">
        <v>1385</v>
      </c>
      <c r="BC1526" s="472" t="s">
        <v>1385</v>
      </c>
      <c r="BD1526" s="472" t="s">
        <v>1385</v>
      </c>
      <c r="BE1526" s="472" t="s">
        <v>1385</v>
      </c>
      <c r="BF1526" s="472">
        <v>18838.8</v>
      </c>
      <c r="BG1526" s="472">
        <v>0</v>
      </c>
      <c r="BH1526" s="472" t="s">
        <v>1385</v>
      </c>
      <c r="BI1526" s="510">
        <v>0</v>
      </c>
      <c r="BJ1526" s="510">
        <v>1860.4</v>
      </c>
      <c r="BK1526" s="510">
        <v>0</v>
      </c>
      <c r="BL1526" s="510">
        <v>0</v>
      </c>
      <c r="BM1526" s="510">
        <v>0</v>
      </c>
      <c r="BN1526" s="510">
        <v>2000</v>
      </c>
      <c r="BO1526" s="510">
        <v>0</v>
      </c>
      <c r="BP1526" s="510">
        <v>0</v>
      </c>
      <c r="BQ1526" s="510">
        <v>0</v>
      </c>
      <c r="BR1526" s="510">
        <v>0</v>
      </c>
      <c r="BS1526" s="510">
        <v>0</v>
      </c>
      <c r="BT1526" s="510">
        <v>0</v>
      </c>
      <c r="BU1526" s="510">
        <v>0</v>
      </c>
      <c r="BV1526" s="510">
        <v>0</v>
      </c>
      <c r="BW1526" s="510">
        <v>0</v>
      </c>
      <c r="BX1526" s="510">
        <v>30000</v>
      </c>
      <c r="BY1526" s="1011">
        <v>0</v>
      </c>
      <c r="BZ1526" s="510">
        <v>0</v>
      </c>
      <c r="CA1526" s="1011">
        <v>0</v>
      </c>
      <c r="CB1526" s="510">
        <v>0</v>
      </c>
      <c r="CC1526" s="1011">
        <v>0</v>
      </c>
      <c r="CD1526" s="510">
        <v>0</v>
      </c>
      <c r="CE1526" s="1011">
        <v>0</v>
      </c>
      <c r="CF1526" s="510">
        <v>40125.599999999999</v>
      </c>
      <c r="CG1526" s="1011">
        <v>0</v>
      </c>
      <c r="CH1526" s="510">
        <v>0</v>
      </c>
      <c r="CI1526" s="1011">
        <v>0</v>
      </c>
    </row>
    <row r="1527" spans="1:87" x14ac:dyDescent="0.2">
      <c r="A1527" s="449">
        <v>8</v>
      </c>
      <c r="B1527" s="453">
        <v>400543</v>
      </c>
      <c r="C1527" s="454" t="s">
        <v>12083</v>
      </c>
      <c r="D1527" s="454" t="s">
        <v>4613</v>
      </c>
      <c r="E1527" s="454" t="s">
        <v>12084</v>
      </c>
      <c r="F1527" s="454" t="s">
        <v>524</v>
      </c>
      <c r="G1527" s="454" t="s">
        <v>14839</v>
      </c>
      <c r="H1527" s="455">
        <v>7593099000121</v>
      </c>
      <c r="I1527" s="462">
        <v>38537</v>
      </c>
      <c r="J1527" s="457">
        <v>37498584</v>
      </c>
      <c r="K1527" s="454" t="s">
        <v>3244</v>
      </c>
      <c r="L1527" s="458" t="s">
        <v>1446</v>
      </c>
      <c r="M1527" s="454" t="s">
        <v>3245</v>
      </c>
      <c r="N1527" s="459">
        <v>4240110</v>
      </c>
      <c r="O1527" s="460">
        <v>29458187</v>
      </c>
      <c r="P1527" s="462">
        <v>198881</v>
      </c>
      <c r="Q1527" s="462">
        <v>10</v>
      </c>
      <c r="R1527" s="462">
        <v>43924</v>
      </c>
      <c r="S1527" s="463">
        <v>140</v>
      </c>
      <c r="T1527" s="464">
        <v>3.6</v>
      </c>
      <c r="U1527" s="465">
        <v>504</v>
      </c>
      <c r="V1527" s="465">
        <v>10800</v>
      </c>
      <c r="W1527" s="466">
        <v>0</v>
      </c>
      <c r="X1527" s="467">
        <v>1</v>
      </c>
      <c r="Y1527" s="466">
        <v>16956</v>
      </c>
      <c r="Z1527" s="468" t="s">
        <v>516</v>
      </c>
      <c r="AA1527" s="466">
        <v>84463.2</v>
      </c>
      <c r="AB1527" s="466">
        <v>84463.2</v>
      </c>
      <c r="AC1527" s="467">
        <v>0</v>
      </c>
      <c r="AD1527" s="466">
        <v>0</v>
      </c>
      <c r="AE1527" s="468" t="s">
        <v>516</v>
      </c>
      <c r="AF1527" s="466">
        <v>0</v>
      </c>
      <c r="AG1527" s="466">
        <v>0</v>
      </c>
      <c r="AH1527" s="466">
        <v>22077.06</v>
      </c>
      <c r="AI1527" s="466">
        <v>4521.6000000000004</v>
      </c>
      <c r="AJ1527" s="469" t="s">
        <v>12086</v>
      </c>
      <c r="AK1527" s="470" t="s">
        <v>9950</v>
      </c>
      <c r="AL1527" s="471" t="s">
        <v>12087</v>
      </c>
      <c r="AM1527" s="470" t="s">
        <v>15092</v>
      </c>
      <c r="AN1527" s="470" t="s">
        <v>12085</v>
      </c>
      <c r="AO1527" s="470" t="s">
        <v>14840</v>
      </c>
      <c r="AP1527" s="470" t="s">
        <v>12088</v>
      </c>
      <c r="AQ1527" s="470" t="s">
        <v>12083</v>
      </c>
      <c r="AR1527" s="472" t="s">
        <v>515</v>
      </c>
      <c r="AS1527" s="473" t="s">
        <v>1385</v>
      </c>
      <c r="AT1527" s="472" t="s">
        <v>4613</v>
      </c>
      <c r="AU1527" s="472" t="s">
        <v>420</v>
      </c>
      <c r="AV1527" s="472">
        <v>2020</v>
      </c>
      <c r="AW1527" s="474" t="s">
        <v>15078</v>
      </c>
      <c r="AX1527" s="475" t="s">
        <v>15079</v>
      </c>
      <c r="AY1527" s="515">
        <v>1</v>
      </c>
      <c r="AZ1527" s="474" t="s">
        <v>15079</v>
      </c>
      <c r="BA1527" s="472" t="s">
        <v>4613</v>
      </c>
      <c r="BB1527" s="472" t="s">
        <v>1385</v>
      </c>
      <c r="BC1527" s="472" t="s">
        <v>1385</v>
      </c>
      <c r="BD1527" s="472" t="s">
        <v>1385</v>
      </c>
      <c r="BE1527" s="472" t="s">
        <v>1385</v>
      </c>
      <c r="BF1527" s="472">
        <v>16956</v>
      </c>
      <c r="BG1527" s="472">
        <v>0</v>
      </c>
      <c r="BH1527" s="472" t="s">
        <v>1385</v>
      </c>
      <c r="BI1527" s="510">
        <v>0</v>
      </c>
      <c r="BJ1527" s="510">
        <v>11289.4</v>
      </c>
      <c r="BK1527" s="510">
        <v>0</v>
      </c>
      <c r="BL1527" s="510">
        <v>0</v>
      </c>
      <c r="BM1527" s="510">
        <v>0</v>
      </c>
      <c r="BN1527" s="510">
        <v>2000</v>
      </c>
      <c r="BO1527" s="510">
        <v>0</v>
      </c>
      <c r="BP1527" s="510">
        <v>0</v>
      </c>
      <c r="BQ1527" s="510">
        <v>0</v>
      </c>
      <c r="BR1527" s="510">
        <v>0</v>
      </c>
      <c r="BS1527" s="510">
        <v>0</v>
      </c>
      <c r="BT1527" s="510">
        <v>0</v>
      </c>
      <c r="BU1527" s="510">
        <v>0</v>
      </c>
      <c r="BV1527" s="510">
        <v>0</v>
      </c>
      <c r="BW1527" s="510">
        <v>0</v>
      </c>
      <c r="BX1527" s="510">
        <v>30000</v>
      </c>
      <c r="BY1527" s="1011">
        <v>0</v>
      </c>
      <c r="BZ1527" s="510">
        <v>0</v>
      </c>
      <c r="CA1527" s="1011">
        <v>0</v>
      </c>
      <c r="CB1527" s="510">
        <v>0</v>
      </c>
      <c r="CC1527" s="1011">
        <v>0</v>
      </c>
      <c r="CD1527" s="510">
        <v>0</v>
      </c>
      <c r="CE1527" s="1011">
        <v>0</v>
      </c>
      <c r="CF1527" s="510">
        <v>37507.199999999997</v>
      </c>
      <c r="CG1527" s="1011">
        <v>0</v>
      </c>
      <c r="CH1527" s="510">
        <v>0</v>
      </c>
      <c r="CI1527" s="1011">
        <v>0</v>
      </c>
    </row>
    <row r="1528" spans="1:87" x14ac:dyDescent="0.2">
      <c r="A1528" s="449">
        <v>23</v>
      </c>
      <c r="B1528" s="453">
        <v>400549</v>
      </c>
      <c r="C1528" s="454" t="s">
        <v>12089</v>
      </c>
      <c r="D1528" s="454" t="s">
        <v>4613</v>
      </c>
      <c r="E1528" s="454" t="s">
        <v>12090</v>
      </c>
      <c r="F1528" s="454" t="s">
        <v>528</v>
      </c>
      <c r="G1528" s="454" t="s">
        <v>14841</v>
      </c>
      <c r="H1528" s="455">
        <v>7765967000103</v>
      </c>
      <c r="I1528" s="462">
        <v>38677</v>
      </c>
      <c r="J1528" s="457">
        <v>37375270</v>
      </c>
      <c r="K1528" s="454" t="s">
        <v>12091</v>
      </c>
      <c r="L1528" s="458">
        <v>300</v>
      </c>
      <c r="M1528" s="454" t="s">
        <v>2492</v>
      </c>
      <c r="N1528" s="459">
        <v>2995040</v>
      </c>
      <c r="O1528" s="460">
        <v>39448824</v>
      </c>
      <c r="P1528" s="462">
        <v>273468</v>
      </c>
      <c r="Q1528" s="462">
        <v>23</v>
      </c>
      <c r="R1528" s="462">
        <v>43938</v>
      </c>
      <c r="S1528" s="463">
        <v>168</v>
      </c>
      <c r="T1528" s="464">
        <v>3.6</v>
      </c>
      <c r="U1528" s="465">
        <v>604.79999999999995</v>
      </c>
      <c r="V1528" s="465">
        <v>10800</v>
      </c>
      <c r="W1528" s="466">
        <v>0</v>
      </c>
      <c r="X1528" s="467">
        <v>1</v>
      </c>
      <c r="Y1528" s="466">
        <v>0</v>
      </c>
      <c r="Z1528" s="468" t="s">
        <v>514</v>
      </c>
      <c r="AA1528" s="466">
        <v>0</v>
      </c>
      <c r="AB1528" s="466">
        <v>0</v>
      </c>
      <c r="AC1528" s="467">
        <v>0</v>
      </c>
      <c r="AD1528" s="466">
        <v>0</v>
      </c>
      <c r="AE1528" s="468" t="s">
        <v>516</v>
      </c>
      <c r="AF1528" s="466">
        <v>0</v>
      </c>
      <c r="AG1528" s="466">
        <v>0</v>
      </c>
      <c r="AH1528" s="466">
        <v>0</v>
      </c>
      <c r="AI1528" s="466">
        <v>0</v>
      </c>
      <c r="AJ1528" s="469" t="s">
        <v>1588</v>
      </c>
      <c r="AK1528" s="470" t="s">
        <v>1589</v>
      </c>
      <c r="AL1528" s="471" t="s">
        <v>12092</v>
      </c>
      <c r="AM1528" s="470" t="s">
        <v>12093</v>
      </c>
      <c r="AN1528" s="470" t="s">
        <v>12094</v>
      </c>
      <c r="AO1528" s="470" t="s">
        <v>14842</v>
      </c>
      <c r="AP1528" s="470" t="s">
        <v>12095</v>
      </c>
      <c r="AQ1528" s="470" t="s">
        <v>12089</v>
      </c>
      <c r="AR1528" s="472" t="s">
        <v>515</v>
      </c>
      <c r="AS1528" s="473" t="s">
        <v>1385</v>
      </c>
      <c r="AT1528" s="472" t="s">
        <v>4613</v>
      </c>
      <c r="AU1528" s="472" t="s">
        <v>420</v>
      </c>
      <c r="AV1528" s="472">
        <v>2020</v>
      </c>
      <c r="AW1528" s="474" t="s">
        <v>15078</v>
      </c>
      <c r="AX1528" s="475" t="s">
        <v>15079</v>
      </c>
      <c r="AY1528" s="515">
        <v>1</v>
      </c>
      <c r="AZ1528" s="474" t="s">
        <v>15079</v>
      </c>
      <c r="BA1528" s="472" t="s">
        <v>1385</v>
      </c>
      <c r="BB1528" s="472" t="s">
        <v>1385</v>
      </c>
      <c r="BC1528" s="472" t="s">
        <v>1385</v>
      </c>
      <c r="BD1528" s="472" t="s">
        <v>1385</v>
      </c>
      <c r="BE1528" s="472" t="s">
        <v>1385</v>
      </c>
      <c r="BF1528" s="472">
        <v>17107.2</v>
      </c>
      <c r="BG1528" s="472">
        <v>0</v>
      </c>
      <c r="BH1528" s="472" t="s">
        <v>516</v>
      </c>
      <c r="BI1528" s="510">
        <v>0</v>
      </c>
      <c r="BJ1528" s="510">
        <v>0</v>
      </c>
      <c r="BK1528" s="510">
        <v>0</v>
      </c>
      <c r="BL1528" s="510">
        <v>0</v>
      </c>
      <c r="BM1528" s="510">
        <v>0</v>
      </c>
      <c r="BN1528" s="510">
        <v>0</v>
      </c>
      <c r="BO1528" s="510">
        <v>0</v>
      </c>
      <c r="BP1528" s="510">
        <v>0</v>
      </c>
      <c r="BQ1528" s="510">
        <v>0</v>
      </c>
      <c r="BR1528" s="510">
        <v>0</v>
      </c>
      <c r="BS1528" s="510">
        <v>0</v>
      </c>
      <c r="BT1528" s="510">
        <v>0</v>
      </c>
      <c r="BU1528" s="510">
        <v>0</v>
      </c>
      <c r="BV1528" s="510">
        <v>0</v>
      </c>
      <c r="BW1528" s="510">
        <v>0</v>
      </c>
      <c r="BX1528" s="510">
        <v>0</v>
      </c>
      <c r="BY1528" s="1011">
        <v>0</v>
      </c>
      <c r="BZ1528" s="510">
        <v>0</v>
      </c>
      <c r="CA1528" s="1011">
        <v>0</v>
      </c>
      <c r="CB1528" s="510">
        <v>0</v>
      </c>
      <c r="CC1528" s="1011">
        <v>0</v>
      </c>
      <c r="CD1528" s="510">
        <v>0</v>
      </c>
      <c r="CE1528" s="1011">
        <v>0</v>
      </c>
      <c r="CF1528" s="510">
        <v>0</v>
      </c>
      <c r="CG1528" s="1011">
        <v>0</v>
      </c>
      <c r="CH1528" s="510">
        <v>0</v>
      </c>
      <c r="CI1528" s="1011">
        <v>0</v>
      </c>
    </row>
    <row r="1529" spans="1:87" x14ac:dyDescent="0.2">
      <c r="A1529" s="449">
        <v>34</v>
      </c>
      <c r="B1529" s="453">
        <v>400550</v>
      </c>
      <c r="C1529" s="454" t="s">
        <v>12096</v>
      </c>
      <c r="D1529" s="454" t="s">
        <v>4613</v>
      </c>
      <c r="E1529" s="454" t="s">
        <v>12097</v>
      </c>
      <c r="F1529" s="454" t="s">
        <v>526</v>
      </c>
      <c r="G1529" s="454" t="s">
        <v>14843</v>
      </c>
      <c r="H1529" s="455">
        <v>7718407000106</v>
      </c>
      <c r="I1529" s="462">
        <v>38624</v>
      </c>
      <c r="J1529" s="457">
        <v>37531107</v>
      </c>
      <c r="K1529" s="454" t="s">
        <v>12098</v>
      </c>
      <c r="L1529" s="458">
        <v>350</v>
      </c>
      <c r="M1529" s="454" t="s">
        <v>7960</v>
      </c>
      <c r="N1529" s="459">
        <v>8031560</v>
      </c>
      <c r="O1529" s="460">
        <v>25150032</v>
      </c>
      <c r="P1529" s="462">
        <v>123555</v>
      </c>
      <c r="Q1529" s="462">
        <v>34</v>
      </c>
      <c r="R1529" s="462">
        <v>43928</v>
      </c>
      <c r="S1529" s="463">
        <v>74</v>
      </c>
      <c r="T1529" s="464">
        <v>3.6</v>
      </c>
      <c r="U1529" s="465">
        <v>266.39999999999998</v>
      </c>
      <c r="V1529" s="465">
        <v>10800</v>
      </c>
      <c r="W1529" s="466">
        <v>0</v>
      </c>
      <c r="X1529" s="467">
        <v>1</v>
      </c>
      <c r="Y1529" s="466">
        <v>0</v>
      </c>
      <c r="Z1529" s="468" t="s">
        <v>514</v>
      </c>
      <c r="AA1529" s="466">
        <v>0</v>
      </c>
      <c r="AB1529" s="466">
        <v>0</v>
      </c>
      <c r="AC1529" s="467">
        <v>0</v>
      </c>
      <c r="AD1529" s="466">
        <v>0</v>
      </c>
      <c r="AE1529" s="468" t="s">
        <v>516</v>
      </c>
      <c r="AF1529" s="466">
        <v>0</v>
      </c>
      <c r="AG1529" s="466">
        <v>0</v>
      </c>
      <c r="AH1529" s="466">
        <v>0</v>
      </c>
      <c r="AI1529" s="466">
        <v>0</v>
      </c>
      <c r="AJ1529" s="469" t="s">
        <v>1839</v>
      </c>
      <c r="AK1529" s="470" t="s">
        <v>526</v>
      </c>
      <c r="AL1529" s="471" t="s">
        <v>12099</v>
      </c>
      <c r="AM1529" s="470" t="s">
        <v>12100</v>
      </c>
      <c r="AN1529" s="470" t="s">
        <v>1385</v>
      </c>
      <c r="AO1529" s="470" t="s">
        <v>12101</v>
      </c>
      <c r="AP1529" s="470" t="s">
        <v>12102</v>
      </c>
      <c r="AQ1529" s="470" t="s">
        <v>12096</v>
      </c>
      <c r="AR1529" s="472" t="s">
        <v>515</v>
      </c>
      <c r="AS1529" s="473" t="s">
        <v>1385</v>
      </c>
      <c r="AT1529" s="472" t="s">
        <v>4613</v>
      </c>
      <c r="AU1529" s="472" t="s">
        <v>420</v>
      </c>
      <c r="AV1529" s="472">
        <v>2020</v>
      </c>
      <c r="AW1529" s="474" t="s">
        <v>15078</v>
      </c>
      <c r="AX1529" s="475" t="s">
        <v>15079</v>
      </c>
      <c r="AY1529" s="515">
        <v>1</v>
      </c>
      <c r="AZ1529" s="474" t="s">
        <v>15079</v>
      </c>
      <c r="BA1529" s="472" t="s">
        <v>1385</v>
      </c>
      <c r="BB1529" s="472" t="s">
        <v>1385</v>
      </c>
      <c r="BC1529" s="472" t="s">
        <v>1385</v>
      </c>
      <c r="BD1529" s="472" t="s">
        <v>1385</v>
      </c>
      <c r="BE1529" s="472" t="s">
        <v>1385</v>
      </c>
      <c r="BF1529" s="472">
        <v>16599.599999999999</v>
      </c>
      <c r="BG1529" s="472">
        <v>0</v>
      </c>
      <c r="BH1529" s="472" t="s">
        <v>516</v>
      </c>
      <c r="BI1529" s="510">
        <v>0</v>
      </c>
      <c r="BJ1529" s="510">
        <v>0</v>
      </c>
      <c r="BK1529" s="510">
        <v>0</v>
      </c>
      <c r="BL1529" s="510">
        <v>0</v>
      </c>
      <c r="BM1529" s="510">
        <v>0</v>
      </c>
      <c r="BN1529" s="510">
        <v>0</v>
      </c>
      <c r="BO1529" s="510">
        <v>0</v>
      </c>
      <c r="BP1529" s="510">
        <v>0</v>
      </c>
      <c r="BQ1529" s="510">
        <v>0</v>
      </c>
      <c r="BR1529" s="510">
        <v>0</v>
      </c>
      <c r="BS1529" s="510">
        <v>0</v>
      </c>
      <c r="BT1529" s="510">
        <v>0</v>
      </c>
      <c r="BU1529" s="510">
        <v>0</v>
      </c>
      <c r="BV1529" s="510">
        <v>0</v>
      </c>
      <c r="BW1529" s="510">
        <v>0</v>
      </c>
      <c r="BX1529" s="510">
        <v>0</v>
      </c>
      <c r="BY1529" s="1011">
        <v>0</v>
      </c>
      <c r="BZ1529" s="510">
        <v>0</v>
      </c>
      <c r="CA1529" s="1011">
        <v>0</v>
      </c>
      <c r="CB1529" s="510">
        <v>0</v>
      </c>
      <c r="CC1529" s="1011">
        <v>0</v>
      </c>
      <c r="CD1529" s="510">
        <v>0</v>
      </c>
      <c r="CE1529" s="1011">
        <v>0</v>
      </c>
      <c r="CF1529" s="510">
        <v>0</v>
      </c>
      <c r="CG1529" s="1011">
        <v>0</v>
      </c>
      <c r="CH1529" s="510">
        <v>0</v>
      </c>
      <c r="CI1529" s="1011">
        <v>0</v>
      </c>
    </row>
    <row r="1530" spans="1:87" x14ac:dyDescent="0.2">
      <c r="A1530" s="449">
        <v>10</v>
      </c>
      <c r="B1530" s="453">
        <v>400553</v>
      </c>
      <c r="C1530" s="454" t="s">
        <v>12103</v>
      </c>
      <c r="D1530" s="454" t="s">
        <v>4613</v>
      </c>
      <c r="E1530" s="454" t="s">
        <v>12104</v>
      </c>
      <c r="F1530" s="454" t="s">
        <v>521</v>
      </c>
      <c r="G1530" s="454" t="s">
        <v>14844</v>
      </c>
      <c r="H1530" s="455">
        <v>7711612000131</v>
      </c>
      <c r="I1530" s="462">
        <v>38541</v>
      </c>
      <c r="J1530" s="457">
        <v>37586360</v>
      </c>
      <c r="K1530" s="454" t="s">
        <v>12105</v>
      </c>
      <c r="L1530" s="458">
        <v>301</v>
      </c>
      <c r="M1530" s="454" t="s">
        <v>12106</v>
      </c>
      <c r="N1530" s="459">
        <v>4813060</v>
      </c>
      <c r="O1530" s="460">
        <v>56626525</v>
      </c>
      <c r="P1530" s="462">
        <v>134441</v>
      </c>
      <c r="Q1530" s="462">
        <v>76</v>
      </c>
      <c r="R1530" s="462">
        <v>43934</v>
      </c>
      <c r="S1530" s="463">
        <v>133</v>
      </c>
      <c r="T1530" s="464">
        <v>3.6</v>
      </c>
      <c r="U1530" s="465">
        <v>478.8</v>
      </c>
      <c r="V1530" s="465">
        <v>10800</v>
      </c>
      <c r="W1530" s="466">
        <v>0</v>
      </c>
      <c r="X1530" s="467">
        <v>1</v>
      </c>
      <c r="Y1530" s="466">
        <v>16918.2</v>
      </c>
      <c r="Z1530" s="468" t="s">
        <v>516</v>
      </c>
      <c r="AA1530" s="466">
        <v>84403.8</v>
      </c>
      <c r="AB1530" s="466">
        <v>84403.8</v>
      </c>
      <c r="AC1530" s="467">
        <v>0</v>
      </c>
      <c r="AD1530" s="466">
        <v>0</v>
      </c>
      <c r="AE1530" s="468" t="s">
        <v>516</v>
      </c>
      <c r="AF1530" s="466">
        <v>0</v>
      </c>
      <c r="AG1530" s="466">
        <v>0</v>
      </c>
      <c r="AH1530" s="466">
        <v>30526.98</v>
      </c>
      <c r="AI1530" s="466">
        <v>4030.76</v>
      </c>
      <c r="AJ1530" s="469" t="s">
        <v>1481</v>
      </c>
      <c r="AK1530" s="470" t="s">
        <v>1632</v>
      </c>
      <c r="AL1530" s="471" t="s">
        <v>12107</v>
      </c>
      <c r="AM1530" s="470" t="s">
        <v>14845</v>
      </c>
      <c r="AN1530" s="470" t="s">
        <v>1385</v>
      </c>
      <c r="AO1530" s="470" t="s">
        <v>14846</v>
      </c>
      <c r="AP1530" s="470" t="s">
        <v>12108</v>
      </c>
      <c r="AQ1530" s="470" t="s">
        <v>12103</v>
      </c>
      <c r="AR1530" s="472" t="s">
        <v>515</v>
      </c>
      <c r="AS1530" s="473" t="s">
        <v>1385</v>
      </c>
      <c r="AT1530" s="472" t="s">
        <v>4613</v>
      </c>
      <c r="AU1530" s="472" t="s">
        <v>420</v>
      </c>
      <c r="AV1530" s="472">
        <v>2020</v>
      </c>
      <c r="AW1530" s="474" t="s">
        <v>15078</v>
      </c>
      <c r="AX1530" s="475" t="s">
        <v>15079</v>
      </c>
      <c r="AY1530" s="515">
        <v>1</v>
      </c>
      <c r="AZ1530" s="474" t="s">
        <v>15079</v>
      </c>
      <c r="BA1530" s="472" t="s">
        <v>4613</v>
      </c>
      <c r="BB1530" s="472" t="s">
        <v>1385</v>
      </c>
      <c r="BC1530" s="472" t="s">
        <v>1385</v>
      </c>
      <c r="BD1530" s="472" t="s">
        <v>1385</v>
      </c>
      <c r="BE1530" s="472" t="s">
        <v>1385</v>
      </c>
      <c r="BF1530" s="472">
        <v>16918.2</v>
      </c>
      <c r="BG1530" s="472">
        <v>0</v>
      </c>
      <c r="BH1530" s="472" t="s">
        <v>1385</v>
      </c>
      <c r="BI1530" s="510">
        <v>0</v>
      </c>
      <c r="BJ1530" s="510">
        <v>0</v>
      </c>
      <c r="BK1530" s="510">
        <v>0</v>
      </c>
      <c r="BL1530" s="510">
        <v>0</v>
      </c>
      <c r="BM1530" s="510">
        <v>0</v>
      </c>
      <c r="BN1530" s="510">
        <v>2000</v>
      </c>
      <c r="BO1530" s="510">
        <v>0</v>
      </c>
      <c r="BP1530" s="510">
        <v>0</v>
      </c>
      <c r="BQ1530" s="510">
        <v>0</v>
      </c>
      <c r="BR1530" s="510">
        <v>0</v>
      </c>
      <c r="BS1530" s="510">
        <v>0</v>
      </c>
      <c r="BT1530" s="510">
        <v>0</v>
      </c>
      <c r="BU1530" s="510">
        <v>0</v>
      </c>
      <c r="BV1530" s="510">
        <v>0</v>
      </c>
      <c r="BW1530" s="510">
        <v>0</v>
      </c>
      <c r="BX1530" s="510">
        <v>30000</v>
      </c>
      <c r="BY1530" s="1011">
        <v>0</v>
      </c>
      <c r="BZ1530" s="510">
        <v>0</v>
      </c>
      <c r="CA1530" s="1011">
        <v>0</v>
      </c>
      <c r="CB1530" s="510">
        <v>0</v>
      </c>
      <c r="CC1530" s="1011">
        <v>0</v>
      </c>
      <c r="CD1530" s="510">
        <v>0</v>
      </c>
      <c r="CE1530" s="1011">
        <v>0</v>
      </c>
      <c r="CF1530" s="510">
        <v>37485.599999999999</v>
      </c>
      <c r="CG1530" s="1011">
        <v>0</v>
      </c>
      <c r="CH1530" s="510">
        <v>0</v>
      </c>
      <c r="CI1530" s="1011">
        <v>0</v>
      </c>
    </row>
    <row r="1531" spans="1:87" x14ac:dyDescent="0.2">
      <c r="A1531" s="449">
        <v>20</v>
      </c>
      <c r="B1531" s="453">
        <v>400554</v>
      </c>
      <c r="C1531" s="454" t="s">
        <v>12109</v>
      </c>
      <c r="D1531" s="454" t="s">
        <v>4613</v>
      </c>
      <c r="E1531" s="454" t="s">
        <v>12110</v>
      </c>
      <c r="F1531" s="454" t="s">
        <v>521</v>
      </c>
      <c r="G1531" s="454" t="s">
        <v>14847</v>
      </c>
      <c r="H1531" s="455">
        <v>7701989000100</v>
      </c>
      <c r="I1531" s="462">
        <v>38616</v>
      </c>
      <c r="J1531" s="457">
        <v>37553178</v>
      </c>
      <c r="K1531" s="454" t="s">
        <v>12111</v>
      </c>
      <c r="L1531" s="458">
        <v>202</v>
      </c>
      <c r="M1531" s="454" t="s">
        <v>5682</v>
      </c>
      <c r="N1531" s="459">
        <v>4822140</v>
      </c>
      <c r="O1531" s="460">
        <v>59248750</v>
      </c>
      <c r="P1531" s="462">
        <v>89047</v>
      </c>
      <c r="Q1531" s="462">
        <v>19</v>
      </c>
      <c r="R1531" s="462">
        <v>43934</v>
      </c>
      <c r="S1531" s="463">
        <v>96</v>
      </c>
      <c r="T1531" s="464">
        <v>3.6</v>
      </c>
      <c r="U1531" s="465">
        <v>345.6</v>
      </c>
      <c r="V1531" s="465">
        <v>10800</v>
      </c>
      <c r="W1531" s="466">
        <v>0</v>
      </c>
      <c r="X1531" s="467">
        <v>1</v>
      </c>
      <c r="Y1531" s="466">
        <v>16718.400000000001</v>
      </c>
      <c r="Z1531" s="468" t="s">
        <v>516</v>
      </c>
      <c r="AA1531" s="466">
        <v>84045.6</v>
      </c>
      <c r="AB1531" s="466">
        <v>84045.6</v>
      </c>
      <c r="AC1531" s="467">
        <v>0</v>
      </c>
      <c r="AD1531" s="466">
        <v>0</v>
      </c>
      <c r="AE1531" s="468" t="s">
        <v>516</v>
      </c>
      <c r="AF1531" s="466">
        <v>0</v>
      </c>
      <c r="AG1531" s="466">
        <v>0</v>
      </c>
      <c r="AH1531" s="466">
        <v>15854.25</v>
      </c>
      <c r="AI1531" s="466">
        <v>1208.51</v>
      </c>
      <c r="AJ1531" s="469" t="s">
        <v>12112</v>
      </c>
      <c r="AK1531" s="470" t="s">
        <v>2966</v>
      </c>
      <c r="AL1531" s="471" t="s">
        <v>12113</v>
      </c>
      <c r="AM1531" s="470" t="s">
        <v>14848</v>
      </c>
      <c r="AN1531" s="470" t="s">
        <v>1385</v>
      </c>
      <c r="AO1531" s="470" t="s">
        <v>14849</v>
      </c>
      <c r="AP1531" s="470" t="s">
        <v>12114</v>
      </c>
      <c r="AQ1531" s="470" t="s">
        <v>12109</v>
      </c>
      <c r="AR1531" s="472" t="s">
        <v>515</v>
      </c>
      <c r="AS1531" s="473" t="s">
        <v>1385</v>
      </c>
      <c r="AT1531" s="472" t="s">
        <v>4613</v>
      </c>
      <c r="AU1531" s="472" t="s">
        <v>420</v>
      </c>
      <c r="AV1531" s="472">
        <v>2020</v>
      </c>
      <c r="AW1531" s="474" t="s">
        <v>15078</v>
      </c>
      <c r="AX1531" s="475" t="s">
        <v>15079</v>
      </c>
      <c r="AY1531" s="515">
        <v>1</v>
      </c>
      <c r="AZ1531" s="474" t="s">
        <v>15079</v>
      </c>
      <c r="BA1531" s="472" t="s">
        <v>4613</v>
      </c>
      <c r="BB1531" s="472" t="s">
        <v>1385</v>
      </c>
      <c r="BC1531" s="472" t="s">
        <v>1385</v>
      </c>
      <c r="BD1531" s="472" t="s">
        <v>1385</v>
      </c>
      <c r="BE1531" s="472" t="s">
        <v>1385</v>
      </c>
      <c r="BF1531" s="472">
        <v>16718.400000000001</v>
      </c>
      <c r="BG1531" s="472">
        <v>0</v>
      </c>
      <c r="BH1531" s="472" t="s">
        <v>1385</v>
      </c>
      <c r="BI1531" s="510">
        <v>0</v>
      </c>
      <c r="BJ1531" s="510">
        <v>0</v>
      </c>
      <c r="BK1531" s="510">
        <v>0</v>
      </c>
      <c r="BL1531" s="510">
        <v>0</v>
      </c>
      <c r="BM1531" s="510">
        <v>0</v>
      </c>
      <c r="BN1531" s="510">
        <v>1500</v>
      </c>
      <c r="BO1531" s="510">
        <v>0</v>
      </c>
      <c r="BP1531" s="510">
        <v>0</v>
      </c>
      <c r="BQ1531" s="510">
        <v>0</v>
      </c>
      <c r="BR1531" s="510">
        <v>0</v>
      </c>
      <c r="BS1531" s="510">
        <v>0</v>
      </c>
      <c r="BT1531" s="510">
        <v>0</v>
      </c>
      <c r="BU1531" s="510">
        <v>0</v>
      </c>
      <c r="BV1531" s="510">
        <v>0</v>
      </c>
      <c r="BW1531" s="510">
        <v>0</v>
      </c>
      <c r="BX1531" s="510">
        <v>30000</v>
      </c>
      <c r="BY1531" s="1011">
        <v>0</v>
      </c>
      <c r="BZ1531" s="510">
        <v>0</v>
      </c>
      <c r="CA1531" s="1011">
        <v>0</v>
      </c>
      <c r="CB1531" s="510">
        <v>0</v>
      </c>
      <c r="CC1531" s="1011">
        <v>0</v>
      </c>
      <c r="CD1531" s="510">
        <v>0</v>
      </c>
      <c r="CE1531" s="1011">
        <v>0</v>
      </c>
      <c r="CF1531" s="510">
        <v>37327.199999999997</v>
      </c>
      <c r="CG1531" s="1011">
        <v>0</v>
      </c>
      <c r="CH1531" s="510">
        <v>0</v>
      </c>
      <c r="CI1531" s="1011">
        <v>0</v>
      </c>
    </row>
    <row r="1532" spans="1:87" x14ac:dyDescent="0.2">
      <c r="A1532" s="449">
        <v>17</v>
      </c>
      <c r="B1532" s="453">
        <v>400564</v>
      </c>
      <c r="C1532" s="454" t="s">
        <v>12115</v>
      </c>
      <c r="D1532" s="454" t="s">
        <v>4613</v>
      </c>
      <c r="E1532" s="454" t="s">
        <v>12116</v>
      </c>
      <c r="F1532" s="454" t="s">
        <v>528</v>
      </c>
      <c r="G1532" s="454" t="s">
        <v>14850</v>
      </c>
      <c r="H1532" s="455">
        <v>8421412000107</v>
      </c>
      <c r="I1532" s="462">
        <v>38657</v>
      </c>
      <c r="J1532" s="457">
        <v>38090015</v>
      </c>
      <c r="K1532" s="454" t="s">
        <v>12117</v>
      </c>
      <c r="L1532" s="458">
        <v>82</v>
      </c>
      <c r="M1532" s="454" t="s">
        <v>528</v>
      </c>
      <c r="N1532" s="459">
        <v>5138160</v>
      </c>
      <c r="O1532" s="460">
        <v>39044302</v>
      </c>
      <c r="P1532" s="462">
        <v>249192</v>
      </c>
      <c r="Q1532" s="462">
        <v>17</v>
      </c>
      <c r="R1532" s="462">
        <v>43938</v>
      </c>
      <c r="S1532" s="463">
        <v>175</v>
      </c>
      <c r="T1532" s="464">
        <v>3.6</v>
      </c>
      <c r="U1532" s="465">
        <v>630</v>
      </c>
      <c r="V1532" s="465">
        <v>10800</v>
      </c>
      <c r="W1532" s="466">
        <v>0</v>
      </c>
      <c r="X1532" s="467">
        <v>1</v>
      </c>
      <c r="Y1532" s="466">
        <v>17145</v>
      </c>
      <c r="Z1532" s="468" t="s">
        <v>516</v>
      </c>
      <c r="AA1532" s="466">
        <v>84990.6</v>
      </c>
      <c r="AB1532" s="466">
        <v>84990.6</v>
      </c>
      <c r="AC1532" s="467">
        <v>0</v>
      </c>
      <c r="AD1532" s="466">
        <v>0</v>
      </c>
      <c r="AE1532" s="468" t="s">
        <v>516</v>
      </c>
      <c r="AF1532" s="466">
        <v>0</v>
      </c>
      <c r="AG1532" s="466">
        <v>0</v>
      </c>
      <c r="AH1532" s="466">
        <v>16653.8</v>
      </c>
      <c r="AI1532" s="466">
        <v>4969.93</v>
      </c>
      <c r="AJ1532" s="469" t="s">
        <v>1571</v>
      </c>
      <c r="AK1532" s="470" t="s">
        <v>528</v>
      </c>
      <c r="AL1532" s="471" t="s">
        <v>10658</v>
      </c>
      <c r="AM1532" s="470" t="s">
        <v>12118</v>
      </c>
      <c r="AN1532" s="470" t="s">
        <v>12119</v>
      </c>
      <c r="AO1532" s="470" t="s">
        <v>14851</v>
      </c>
      <c r="AP1532" s="470" t="s">
        <v>12120</v>
      </c>
      <c r="AQ1532" s="470" t="s">
        <v>12115</v>
      </c>
      <c r="AR1532" s="472" t="s">
        <v>515</v>
      </c>
      <c r="AS1532" s="473" t="s">
        <v>1385</v>
      </c>
      <c r="AT1532" s="472" t="s">
        <v>4613</v>
      </c>
      <c r="AU1532" s="472" t="s">
        <v>420</v>
      </c>
      <c r="AV1532" s="472">
        <v>2020</v>
      </c>
      <c r="AW1532" s="474" t="s">
        <v>15078</v>
      </c>
      <c r="AX1532" s="475" t="s">
        <v>15079</v>
      </c>
      <c r="AY1532" s="515">
        <v>1</v>
      </c>
      <c r="AZ1532" s="474" t="s">
        <v>15079</v>
      </c>
      <c r="BA1532" s="472" t="s">
        <v>4613</v>
      </c>
      <c r="BB1532" s="472" t="s">
        <v>1385</v>
      </c>
      <c r="BC1532" s="472" t="s">
        <v>1385</v>
      </c>
      <c r="BD1532" s="472" t="s">
        <v>1385</v>
      </c>
      <c r="BE1532" s="472" t="s">
        <v>1385</v>
      </c>
      <c r="BF1532" s="472">
        <v>17145</v>
      </c>
      <c r="BG1532" s="472">
        <v>0</v>
      </c>
      <c r="BH1532" s="472" t="s">
        <v>1385</v>
      </c>
      <c r="BI1532" s="510">
        <v>0</v>
      </c>
      <c r="BJ1532" s="510">
        <v>0</v>
      </c>
      <c r="BK1532" s="510">
        <v>0</v>
      </c>
      <c r="BL1532" s="510">
        <v>0</v>
      </c>
      <c r="BM1532" s="510">
        <v>0</v>
      </c>
      <c r="BN1532" s="510">
        <v>2000</v>
      </c>
      <c r="BO1532" s="510">
        <v>0</v>
      </c>
      <c r="BP1532" s="510">
        <v>0</v>
      </c>
      <c r="BQ1532" s="510">
        <v>0</v>
      </c>
      <c r="BR1532" s="510">
        <v>0</v>
      </c>
      <c r="BS1532" s="510">
        <v>0</v>
      </c>
      <c r="BT1532" s="510">
        <v>0</v>
      </c>
      <c r="BU1532" s="510">
        <v>0</v>
      </c>
      <c r="BV1532" s="510">
        <v>0</v>
      </c>
      <c r="BW1532" s="510">
        <v>0</v>
      </c>
      <c r="BX1532" s="510">
        <v>30000</v>
      </c>
      <c r="BY1532" s="1011">
        <v>0</v>
      </c>
      <c r="BZ1532" s="510">
        <v>0</v>
      </c>
      <c r="CA1532" s="1011">
        <v>0</v>
      </c>
      <c r="CB1532" s="510">
        <v>0</v>
      </c>
      <c r="CC1532" s="1011">
        <v>0</v>
      </c>
      <c r="CD1532" s="510">
        <v>0</v>
      </c>
      <c r="CE1532" s="1011">
        <v>0</v>
      </c>
      <c r="CF1532" s="510">
        <v>37845.599999999999</v>
      </c>
      <c r="CG1532" s="1011">
        <v>0</v>
      </c>
      <c r="CH1532" s="510">
        <v>0</v>
      </c>
      <c r="CI1532" s="1011">
        <v>0</v>
      </c>
    </row>
    <row r="1533" spans="1:87" x14ac:dyDescent="0.2">
      <c r="A1533" s="449">
        <v>11</v>
      </c>
      <c r="B1533" s="453">
        <v>400569</v>
      </c>
      <c r="C1533" s="454" t="s">
        <v>12121</v>
      </c>
      <c r="D1533" s="454" t="s">
        <v>4613</v>
      </c>
      <c r="E1533" s="454" t="s">
        <v>12122</v>
      </c>
      <c r="F1533" s="454" t="s">
        <v>522</v>
      </c>
      <c r="G1533" s="454" t="s">
        <v>14852</v>
      </c>
      <c r="H1533" s="455">
        <v>7970436000152</v>
      </c>
      <c r="I1533" s="462">
        <v>38687</v>
      </c>
      <c r="J1533" s="457">
        <v>37586815</v>
      </c>
      <c r="K1533" s="454" t="s">
        <v>12123</v>
      </c>
      <c r="L1533" s="458">
        <v>200</v>
      </c>
      <c r="M1533" s="454" t="s">
        <v>12124</v>
      </c>
      <c r="N1533" s="459">
        <v>2541070</v>
      </c>
      <c r="O1533" s="460">
        <v>22558892</v>
      </c>
      <c r="P1533" s="462">
        <v>86048</v>
      </c>
      <c r="Q1533" s="462">
        <v>44</v>
      </c>
      <c r="R1533" s="462">
        <v>43911</v>
      </c>
      <c r="S1533" s="463">
        <v>103</v>
      </c>
      <c r="T1533" s="464">
        <v>3.6</v>
      </c>
      <c r="U1533" s="465">
        <v>370.8</v>
      </c>
      <c r="V1533" s="465">
        <v>10800</v>
      </c>
      <c r="W1533" s="466">
        <v>0</v>
      </c>
      <c r="X1533" s="467">
        <v>1</v>
      </c>
      <c r="Y1533" s="466">
        <v>0</v>
      </c>
      <c r="Z1533" s="468" t="s">
        <v>514</v>
      </c>
      <c r="AA1533" s="466">
        <v>0</v>
      </c>
      <c r="AB1533" s="466">
        <v>0</v>
      </c>
      <c r="AC1533" s="467">
        <v>0</v>
      </c>
      <c r="AD1533" s="466">
        <v>0</v>
      </c>
      <c r="AE1533" s="468" t="s">
        <v>516</v>
      </c>
      <c r="AF1533" s="466">
        <v>0</v>
      </c>
      <c r="AG1533" s="466">
        <v>0</v>
      </c>
      <c r="AH1533" s="466">
        <v>257.7</v>
      </c>
      <c r="AI1533" s="466">
        <v>5089.3599999999997</v>
      </c>
      <c r="AJ1533" s="469" t="s">
        <v>1403</v>
      </c>
      <c r="AK1533" s="470" t="s">
        <v>6341</v>
      </c>
      <c r="AL1533" s="471" t="s">
        <v>12125</v>
      </c>
      <c r="AM1533" s="470" t="s">
        <v>14853</v>
      </c>
      <c r="AN1533" s="470" t="s">
        <v>1385</v>
      </c>
      <c r="AO1533" s="470" t="s">
        <v>14854</v>
      </c>
      <c r="AP1533" s="470" t="s">
        <v>12126</v>
      </c>
      <c r="AQ1533" s="470" t="s">
        <v>12121</v>
      </c>
      <c r="AR1533" s="472" t="s">
        <v>515</v>
      </c>
      <c r="AS1533" s="473" t="s">
        <v>1385</v>
      </c>
      <c r="AT1533" s="472" t="s">
        <v>4613</v>
      </c>
      <c r="AU1533" s="472" t="s">
        <v>420</v>
      </c>
      <c r="AV1533" s="472">
        <v>2020</v>
      </c>
      <c r="AW1533" s="474" t="s">
        <v>15078</v>
      </c>
      <c r="AX1533" s="475" t="s">
        <v>15079</v>
      </c>
      <c r="AY1533" s="515">
        <v>1</v>
      </c>
      <c r="AZ1533" s="474" t="s">
        <v>15079</v>
      </c>
      <c r="BA1533" s="472" t="s">
        <v>1385</v>
      </c>
      <c r="BB1533" s="472" t="s">
        <v>1385</v>
      </c>
      <c r="BC1533" s="472" t="s">
        <v>1385</v>
      </c>
      <c r="BD1533" s="509" t="s">
        <v>1385</v>
      </c>
      <c r="BE1533" s="472" t="s">
        <v>1385</v>
      </c>
      <c r="BF1533" s="509">
        <v>16756.2</v>
      </c>
      <c r="BG1533" s="509">
        <v>0</v>
      </c>
      <c r="BH1533" s="472" t="s">
        <v>516</v>
      </c>
      <c r="BI1533" s="510">
        <v>0</v>
      </c>
      <c r="BJ1533" s="510">
        <v>0</v>
      </c>
      <c r="BK1533" s="510">
        <v>0</v>
      </c>
      <c r="BL1533" s="510">
        <v>0</v>
      </c>
      <c r="BM1533" s="510">
        <v>0</v>
      </c>
      <c r="BN1533" s="510">
        <v>0</v>
      </c>
      <c r="BO1533" s="510">
        <v>0</v>
      </c>
      <c r="BP1533" s="510">
        <v>0</v>
      </c>
      <c r="BQ1533" s="510">
        <v>0</v>
      </c>
      <c r="BR1533" s="510">
        <v>0</v>
      </c>
      <c r="BS1533" s="510">
        <v>0</v>
      </c>
      <c r="BT1533" s="510">
        <v>0</v>
      </c>
      <c r="BU1533" s="510">
        <v>0</v>
      </c>
      <c r="BV1533" s="510">
        <v>0</v>
      </c>
      <c r="BW1533" s="510">
        <v>0</v>
      </c>
      <c r="BX1533" s="510">
        <v>0</v>
      </c>
      <c r="BY1533" s="1011">
        <v>0</v>
      </c>
      <c r="BZ1533" s="510">
        <v>0</v>
      </c>
      <c r="CA1533" s="1011">
        <v>0</v>
      </c>
      <c r="CB1533" s="510">
        <v>0</v>
      </c>
      <c r="CC1533" s="1011">
        <v>0</v>
      </c>
      <c r="CD1533" s="510">
        <v>0</v>
      </c>
      <c r="CE1533" s="1011">
        <v>0</v>
      </c>
      <c r="CF1533" s="510">
        <v>0</v>
      </c>
      <c r="CG1533" s="1011">
        <v>0</v>
      </c>
      <c r="CH1533" s="510">
        <v>0</v>
      </c>
      <c r="CI1533" s="1011">
        <v>0</v>
      </c>
    </row>
    <row r="1534" spans="1:87" x14ac:dyDescent="0.2">
      <c r="A1534" s="449">
        <v>25</v>
      </c>
      <c r="B1534" s="453">
        <v>400596</v>
      </c>
      <c r="C1534" s="454" t="s">
        <v>12127</v>
      </c>
      <c r="D1534" s="454" t="s">
        <v>3469</v>
      </c>
      <c r="E1534" s="454" t="s">
        <v>12128</v>
      </c>
      <c r="F1534" s="454" t="s">
        <v>523</v>
      </c>
      <c r="G1534" s="454" t="s">
        <v>14855</v>
      </c>
      <c r="H1534" s="455">
        <v>10295968000146</v>
      </c>
      <c r="I1534" s="462">
        <v>39666</v>
      </c>
      <c r="J1534" s="457">
        <v>38092697</v>
      </c>
      <c r="K1534" s="454" t="s">
        <v>12130</v>
      </c>
      <c r="L1534" s="458">
        <v>1300</v>
      </c>
      <c r="M1534" s="454" t="s">
        <v>1950</v>
      </c>
      <c r="N1534" s="459">
        <v>8471000</v>
      </c>
      <c r="O1534" s="460">
        <v>22827157</v>
      </c>
      <c r="P1534" s="462">
        <v>264914</v>
      </c>
      <c r="Q1534" s="462">
        <v>25</v>
      </c>
      <c r="R1534" s="462">
        <v>43921</v>
      </c>
      <c r="S1534" s="463">
        <v>221</v>
      </c>
      <c r="T1534" s="464">
        <v>3.6</v>
      </c>
      <c r="U1534" s="465">
        <v>795.6</v>
      </c>
      <c r="V1534" s="465">
        <v>11760</v>
      </c>
      <c r="W1534" s="466">
        <v>0</v>
      </c>
      <c r="X1534" s="467">
        <v>1</v>
      </c>
      <c r="Y1534" s="466">
        <v>18833.400000000001</v>
      </c>
      <c r="Z1534" s="468" t="s">
        <v>516</v>
      </c>
      <c r="AA1534" s="466">
        <v>88858.2</v>
      </c>
      <c r="AB1534" s="466">
        <v>88858.2</v>
      </c>
      <c r="AC1534" s="467">
        <v>0</v>
      </c>
      <c r="AD1534" s="466">
        <v>0</v>
      </c>
      <c r="AE1534" s="468" t="s">
        <v>516</v>
      </c>
      <c r="AF1534" s="466">
        <v>0</v>
      </c>
      <c r="AG1534" s="466">
        <v>0</v>
      </c>
      <c r="AH1534" s="466">
        <v>8722.76</v>
      </c>
      <c r="AI1534" s="466">
        <v>0.03</v>
      </c>
      <c r="AJ1534" s="469" t="s">
        <v>1395</v>
      </c>
      <c r="AK1534" s="470" t="s">
        <v>523</v>
      </c>
      <c r="AL1534" s="471" t="s">
        <v>14856</v>
      </c>
      <c r="AM1534" s="470" t="s">
        <v>12131</v>
      </c>
      <c r="AN1534" s="470" t="s">
        <v>12129</v>
      </c>
      <c r="AO1534" s="470" t="s">
        <v>12132</v>
      </c>
      <c r="AP1534" s="470" t="s">
        <v>3632</v>
      </c>
      <c r="AQ1534" s="470" t="s">
        <v>12127</v>
      </c>
      <c r="AR1534" s="472" t="s">
        <v>515</v>
      </c>
      <c r="AS1534" s="473">
        <v>3.6</v>
      </c>
      <c r="AT1534" s="472" t="s">
        <v>3469</v>
      </c>
      <c r="AU1534" s="472" t="s">
        <v>420</v>
      </c>
      <c r="AV1534" s="472">
        <v>2020</v>
      </c>
      <c r="AW1534" s="474" t="s">
        <v>15078</v>
      </c>
      <c r="AX1534" s="475" t="s">
        <v>15079</v>
      </c>
      <c r="AY1534" s="515">
        <v>1</v>
      </c>
      <c r="AZ1534" s="474" t="s">
        <v>15079</v>
      </c>
      <c r="BA1534" s="472" t="s">
        <v>3469</v>
      </c>
      <c r="BB1534" s="472" t="s">
        <v>1385</v>
      </c>
      <c r="BC1534" s="472" t="s">
        <v>1385</v>
      </c>
      <c r="BD1534" s="472" t="s">
        <v>1385</v>
      </c>
      <c r="BE1534" s="472" t="s">
        <v>1385</v>
      </c>
      <c r="BF1534" s="472">
        <v>18833.400000000001</v>
      </c>
      <c r="BG1534" s="472">
        <v>0</v>
      </c>
      <c r="BH1534" s="472" t="s">
        <v>1385</v>
      </c>
      <c r="BI1534" s="510">
        <v>0</v>
      </c>
      <c r="BJ1534" s="510">
        <v>0</v>
      </c>
      <c r="BK1534" s="510">
        <v>0</v>
      </c>
      <c r="BL1534" s="510">
        <v>0</v>
      </c>
      <c r="BM1534" s="510">
        <v>0</v>
      </c>
      <c r="BN1534" s="510">
        <v>2000</v>
      </c>
      <c r="BO1534" s="510">
        <v>0</v>
      </c>
      <c r="BP1534" s="510">
        <v>0</v>
      </c>
      <c r="BQ1534" s="510">
        <v>0</v>
      </c>
      <c r="BR1534" s="510">
        <v>0</v>
      </c>
      <c r="BS1534" s="510">
        <v>0</v>
      </c>
      <c r="BT1534" s="510">
        <v>0</v>
      </c>
      <c r="BU1534" s="510">
        <v>0</v>
      </c>
      <c r="BV1534" s="510">
        <v>0</v>
      </c>
      <c r="BW1534" s="510">
        <v>0</v>
      </c>
      <c r="BX1534" s="510">
        <v>30000</v>
      </c>
      <c r="BY1534" s="1011">
        <v>0</v>
      </c>
      <c r="BZ1534" s="510">
        <v>0</v>
      </c>
      <c r="CA1534" s="1011">
        <v>0</v>
      </c>
      <c r="CB1534" s="510">
        <v>0</v>
      </c>
      <c r="CC1534" s="1011">
        <v>0</v>
      </c>
      <c r="CD1534" s="510">
        <v>0</v>
      </c>
      <c r="CE1534" s="1011">
        <v>0</v>
      </c>
      <c r="CF1534" s="510">
        <v>40024.800000000003</v>
      </c>
      <c r="CG1534" s="1011">
        <v>0</v>
      </c>
      <c r="CH1534" s="510">
        <v>0</v>
      </c>
      <c r="CI1534" s="1011">
        <v>0</v>
      </c>
    </row>
    <row r="1535" spans="1:87" x14ac:dyDescent="0.2">
      <c r="A1535" s="449">
        <v>22</v>
      </c>
      <c r="B1535" s="453">
        <v>400597</v>
      </c>
      <c r="C1535" s="454" t="s">
        <v>12133</v>
      </c>
      <c r="D1535" s="454" t="s">
        <v>3469</v>
      </c>
      <c r="E1535" s="454" t="s">
        <v>12134</v>
      </c>
      <c r="F1535" s="454" t="s">
        <v>518</v>
      </c>
      <c r="G1535" s="454" t="s">
        <v>14857</v>
      </c>
      <c r="H1535" s="455">
        <v>10338141000172</v>
      </c>
      <c r="I1535" s="462">
        <v>39623</v>
      </c>
      <c r="J1535" s="457">
        <v>38156504</v>
      </c>
      <c r="K1535" s="454" t="s">
        <v>2958</v>
      </c>
      <c r="L1535" s="458">
        <v>2171</v>
      </c>
      <c r="M1535" s="454" t="s">
        <v>2859</v>
      </c>
      <c r="N1535" s="459">
        <v>8225380</v>
      </c>
      <c r="O1535" s="460">
        <v>20424092</v>
      </c>
      <c r="P1535" s="462">
        <v>46666</v>
      </c>
      <c r="Q1535" s="462">
        <v>22</v>
      </c>
      <c r="R1535" s="462">
        <v>43943</v>
      </c>
      <c r="S1535" s="463">
        <v>209</v>
      </c>
      <c r="T1535" s="464">
        <v>3.6</v>
      </c>
      <c r="U1535" s="465">
        <v>752.4</v>
      </c>
      <c r="V1535" s="465">
        <v>11760</v>
      </c>
      <c r="W1535" s="466">
        <v>0</v>
      </c>
      <c r="X1535" s="467">
        <v>1</v>
      </c>
      <c r="Y1535" s="466">
        <v>18768.599999999999</v>
      </c>
      <c r="Z1535" s="468" t="s">
        <v>516</v>
      </c>
      <c r="AA1535" s="466">
        <v>88800.6</v>
      </c>
      <c r="AB1535" s="466">
        <v>88800.6</v>
      </c>
      <c r="AC1535" s="467">
        <v>0</v>
      </c>
      <c r="AD1535" s="466">
        <v>0</v>
      </c>
      <c r="AE1535" s="468" t="s">
        <v>516</v>
      </c>
      <c r="AF1535" s="466">
        <v>0</v>
      </c>
      <c r="AG1535" s="466">
        <v>0</v>
      </c>
      <c r="AH1535" s="466">
        <v>12571.08</v>
      </c>
      <c r="AI1535" s="466">
        <v>4341.5</v>
      </c>
      <c r="AJ1535" s="469" t="s">
        <v>2644</v>
      </c>
      <c r="AK1535" s="470" t="s">
        <v>12136</v>
      </c>
      <c r="AL1535" s="471" t="s">
        <v>12137</v>
      </c>
      <c r="AM1535" s="470" t="s">
        <v>12138</v>
      </c>
      <c r="AN1535" s="470" t="s">
        <v>12135</v>
      </c>
      <c r="AO1535" s="470" t="s">
        <v>15064</v>
      </c>
      <c r="AP1535" s="470" t="s">
        <v>12139</v>
      </c>
      <c r="AQ1535" s="470" t="s">
        <v>12133</v>
      </c>
      <c r="AR1535" s="472" t="s">
        <v>515</v>
      </c>
      <c r="AS1535" s="473">
        <v>3.6</v>
      </c>
      <c r="AT1535" s="472" t="s">
        <v>3469</v>
      </c>
      <c r="AU1535" s="472" t="s">
        <v>420</v>
      </c>
      <c r="AV1535" s="472">
        <v>2020</v>
      </c>
      <c r="AW1535" s="474" t="s">
        <v>15078</v>
      </c>
      <c r="AX1535" s="475" t="s">
        <v>15079</v>
      </c>
      <c r="AY1535" s="515">
        <v>1</v>
      </c>
      <c r="AZ1535" s="474" t="s">
        <v>15079</v>
      </c>
      <c r="BA1535" s="472" t="s">
        <v>3469</v>
      </c>
      <c r="BB1535" s="472" t="s">
        <v>1385</v>
      </c>
      <c r="BC1535" s="472" t="s">
        <v>1385</v>
      </c>
      <c r="BD1535" s="472" t="s">
        <v>1385</v>
      </c>
      <c r="BE1535" s="472" t="s">
        <v>1385</v>
      </c>
      <c r="BF1535" s="472">
        <v>18768.599999999999</v>
      </c>
      <c r="BG1535" s="472">
        <v>0</v>
      </c>
      <c r="BH1535" s="472" t="s">
        <v>1385</v>
      </c>
      <c r="BI1535" s="510">
        <v>0</v>
      </c>
      <c r="BJ1535" s="510">
        <v>540</v>
      </c>
      <c r="BK1535" s="510">
        <v>0</v>
      </c>
      <c r="BL1535" s="510">
        <v>0</v>
      </c>
      <c r="BM1535" s="510">
        <v>0</v>
      </c>
      <c r="BN1535" s="510">
        <v>2000</v>
      </c>
      <c r="BO1535" s="510">
        <v>0</v>
      </c>
      <c r="BP1535" s="510">
        <v>0</v>
      </c>
      <c r="BQ1535" s="510">
        <v>0</v>
      </c>
      <c r="BR1535" s="510">
        <v>0</v>
      </c>
      <c r="BS1535" s="510">
        <v>0</v>
      </c>
      <c r="BT1535" s="510">
        <v>0</v>
      </c>
      <c r="BU1535" s="510">
        <v>0</v>
      </c>
      <c r="BV1535" s="510">
        <v>0</v>
      </c>
      <c r="BW1535" s="510">
        <v>0</v>
      </c>
      <c r="BX1535" s="510">
        <v>30000</v>
      </c>
      <c r="BY1535" s="1011">
        <v>0</v>
      </c>
      <c r="BZ1535" s="510">
        <v>0</v>
      </c>
      <c r="CA1535" s="1011">
        <v>0</v>
      </c>
      <c r="CB1535" s="510">
        <v>0</v>
      </c>
      <c r="CC1535" s="1011">
        <v>0</v>
      </c>
      <c r="CD1535" s="510">
        <v>0</v>
      </c>
      <c r="CE1535" s="1011">
        <v>0</v>
      </c>
      <c r="CF1535" s="510">
        <v>40032</v>
      </c>
      <c r="CG1535" s="1011">
        <v>0</v>
      </c>
      <c r="CH1535" s="510">
        <v>0</v>
      </c>
      <c r="CI1535" s="1011">
        <v>0</v>
      </c>
    </row>
    <row r="1536" spans="1:87" x14ac:dyDescent="0.2">
      <c r="A1536" s="449">
        <v>49</v>
      </c>
      <c r="B1536" s="453">
        <v>400598</v>
      </c>
      <c r="C1536" s="454" t="s">
        <v>12140</v>
      </c>
      <c r="D1536" s="454" t="s">
        <v>3469</v>
      </c>
      <c r="E1536" s="454" t="s">
        <v>12141</v>
      </c>
      <c r="F1536" s="454" t="s">
        <v>520</v>
      </c>
      <c r="G1536" s="454" t="s">
        <v>14858</v>
      </c>
      <c r="H1536" s="455">
        <v>10343719000189</v>
      </c>
      <c r="I1536" s="462">
        <v>39623</v>
      </c>
      <c r="J1536" s="457">
        <v>44868766</v>
      </c>
      <c r="K1536" s="454" t="s">
        <v>3636</v>
      </c>
      <c r="L1536" s="458">
        <v>399</v>
      </c>
      <c r="M1536" s="454" t="s">
        <v>3637</v>
      </c>
      <c r="N1536" s="459">
        <v>5879000</v>
      </c>
      <c r="O1536" s="460">
        <v>58744151</v>
      </c>
      <c r="P1536" s="462">
        <v>296352</v>
      </c>
      <c r="Q1536" s="462">
        <v>49</v>
      </c>
      <c r="R1536" s="462">
        <v>43969</v>
      </c>
      <c r="S1536" s="463">
        <v>206</v>
      </c>
      <c r="T1536" s="464">
        <v>3.6</v>
      </c>
      <c r="U1536" s="465">
        <v>741.6</v>
      </c>
      <c r="V1536" s="465">
        <v>11760</v>
      </c>
      <c r="W1536" s="466">
        <v>0</v>
      </c>
      <c r="X1536" s="467">
        <v>1</v>
      </c>
      <c r="Y1536" s="466">
        <v>18752.400000000001</v>
      </c>
      <c r="Z1536" s="468" t="s">
        <v>516</v>
      </c>
      <c r="AA1536" s="466">
        <v>88726.8</v>
      </c>
      <c r="AB1536" s="466">
        <v>88726.8</v>
      </c>
      <c r="AC1536" s="467">
        <v>0</v>
      </c>
      <c r="AD1536" s="466">
        <v>0</v>
      </c>
      <c r="AE1536" s="468" t="s">
        <v>516</v>
      </c>
      <c r="AF1536" s="466">
        <v>0</v>
      </c>
      <c r="AG1536" s="466">
        <v>0</v>
      </c>
      <c r="AH1536" s="466">
        <v>3817.06</v>
      </c>
      <c r="AI1536" s="466">
        <v>4415.3900000000003</v>
      </c>
      <c r="AJ1536" s="469" t="s">
        <v>1489</v>
      </c>
      <c r="AK1536" s="470" t="s">
        <v>520</v>
      </c>
      <c r="AL1536" s="471" t="s">
        <v>12143</v>
      </c>
      <c r="AM1536" s="470" t="s">
        <v>14859</v>
      </c>
      <c r="AN1536" s="470" t="s">
        <v>12142</v>
      </c>
      <c r="AO1536" s="470" t="s">
        <v>12144</v>
      </c>
      <c r="AP1536" s="470" t="s">
        <v>12145</v>
      </c>
      <c r="AQ1536" s="470" t="s">
        <v>12140</v>
      </c>
      <c r="AR1536" s="472" t="s">
        <v>515</v>
      </c>
      <c r="AS1536" s="473">
        <v>3.6</v>
      </c>
      <c r="AT1536" s="472" t="s">
        <v>3469</v>
      </c>
      <c r="AU1536" s="472" t="s">
        <v>420</v>
      </c>
      <c r="AV1536" s="472">
        <v>2020</v>
      </c>
      <c r="AW1536" s="474" t="s">
        <v>15078</v>
      </c>
      <c r="AX1536" s="475" t="s">
        <v>15079</v>
      </c>
      <c r="AY1536" s="515">
        <v>1</v>
      </c>
      <c r="AZ1536" s="474" t="s">
        <v>15079</v>
      </c>
      <c r="BA1536" s="472" t="s">
        <v>3469</v>
      </c>
      <c r="BB1536" s="472" t="s">
        <v>1385</v>
      </c>
      <c r="BC1536" s="472" t="s">
        <v>1385</v>
      </c>
      <c r="BD1536" s="472" t="s">
        <v>1385</v>
      </c>
      <c r="BE1536" s="472" t="s">
        <v>1385</v>
      </c>
      <c r="BF1536" s="472">
        <v>18752.400000000001</v>
      </c>
      <c r="BG1536" s="472">
        <v>0</v>
      </c>
      <c r="BH1536" s="472" t="s">
        <v>1385</v>
      </c>
      <c r="BI1536" s="510">
        <v>0</v>
      </c>
      <c r="BJ1536" s="510">
        <v>0</v>
      </c>
      <c r="BK1536" s="510">
        <v>0</v>
      </c>
      <c r="BL1536" s="510">
        <v>0</v>
      </c>
      <c r="BM1536" s="510">
        <v>0</v>
      </c>
      <c r="BN1536" s="510">
        <v>2000</v>
      </c>
      <c r="BO1536" s="510">
        <v>0</v>
      </c>
      <c r="BP1536" s="510">
        <v>0</v>
      </c>
      <c r="BQ1536" s="510">
        <v>0</v>
      </c>
      <c r="BR1536" s="510">
        <v>0</v>
      </c>
      <c r="BS1536" s="510">
        <v>0</v>
      </c>
      <c r="BT1536" s="510">
        <v>0</v>
      </c>
      <c r="BU1536" s="510">
        <v>0</v>
      </c>
      <c r="BV1536" s="510">
        <v>0</v>
      </c>
      <c r="BW1536" s="510">
        <v>0</v>
      </c>
      <c r="BX1536" s="510">
        <v>30000</v>
      </c>
      <c r="BY1536" s="1011">
        <v>0</v>
      </c>
      <c r="BZ1536" s="510">
        <v>0</v>
      </c>
      <c r="CA1536" s="1011">
        <v>0</v>
      </c>
      <c r="CB1536" s="510">
        <v>0</v>
      </c>
      <c r="CC1536" s="1011">
        <v>0</v>
      </c>
      <c r="CD1536" s="510">
        <v>0</v>
      </c>
      <c r="CE1536" s="1011">
        <v>0</v>
      </c>
      <c r="CF1536" s="510">
        <v>39974.400000000001</v>
      </c>
      <c r="CG1536" s="1011">
        <v>0</v>
      </c>
      <c r="CH1536" s="510">
        <v>0</v>
      </c>
      <c r="CI1536" s="1011">
        <v>0</v>
      </c>
    </row>
    <row r="1537" spans="1:87" x14ac:dyDescent="0.2">
      <c r="A1537" s="449">
        <v>31</v>
      </c>
      <c r="B1537" s="453">
        <v>400599</v>
      </c>
      <c r="C1537" s="454" t="s">
        <v>12146</v>
      </c>
      <c r="D1537" s="454" t="s">
        <v>3469</v>
      </c>
      <c r="E1537" s="454" t="s">
        <v>12147</v>
      </c>
      <c r="F1537" s="454" t="s">
        <v>521</v>
      </c>
      <c r="G1537" s="454" t="s">
        <v>14860</v>
      </c>
      <c r="H1537" s="455">
        <v>10345880000191</v>
      </c>
      <c r="I1537" s="462">
        <v>39632</v>
      </c>
      <c r="J1537" s="457">
        <v>41428030</v>
      </c>
      <c r="K1537" s="454" t="s">
        <v>3642</v>
      </c>
      <c r="L1537" s="458">
        <v>101</v>
      </c>
      <c r="M1537" s="454" t="s">
        <v>3613</v>
      </c>
      <c r="N1537" s="459">
        <v>4823090</v>
      </c>
      <c r="O1537" s="460">
        <v>56613562</v>
      </c>
      <c r="P1537" s="462">
        <v>81470</v>
      </c>
      <c r="Q1537" s="462">
        <v>86</v>
      </c>
      <c r="R1537" s="462">
        <v>43934</v>
      </c>
      <c r="S1537" s="463">
        <v>210</v>
      </c>
      <c r="T1537" s="464">
        <v>3.6</v>
      </c>
      <c r="U1537" s="465">
        <v>756</v>
      </c>
      <c r="V1537" s="465">
        <v>11760</v>
      </c>
      <c r="W1537" s="466">
        <v>0</v>
      </c>
      <c r="X1537" s="467">
        <v>1</v>
      </c>
      <c r="Y1537" s="466">
        <v>18774</v>
      </c>
      <c r="Z1537" s="468" t="s">
        <v>516</v>
      </c>
      <c r="AA1537" s="466">
        <v>86749.2</v>
      </c>
      <c r="AB1537" s="466">
        <v>86749.2</v>
      </c>
      <c r="AC1537" s="467">
        <v>0</v>
      </c>
      <c r="AD1537" s="466">
        <v>0</v>
      </c>
      <c r="AE1537" s="468" t="s">
        <v>516</v>
      </c>
      <c r="AF1537" s="466">
        <v>0</v>
      </c>
      <c r="AG1537" s="466">
        <v>0</v>
      </c>
      <c r="AH1537" s="466">
        <v>33012.5</v>
      </c>
      <c r="AI1537" s="466">
        <v>7454.11</v>
      </c>
      <c r="AJ1537" s="469" t="s">
        <v>2546</v>
      </c>
      <c r="AK1537" s="470" t="s">
        <v>1625</v>
      </c>
      <c r="AL1537" s="471" t="s">
        <v>12148</v>
      </c>
      <c r="AM1537" s="470" t="s">
        <v>12149</v>
      </c>
      <c r="AN1537" s="470" t="s">
        <v>1385</v>
      </c>
      <c r="AO1537" s="470" t="s">
        <v>14861</v>
      </c>
      <c r="AP1537" s="470" t="s">
        <v>3613</v>
      </c>
      <c r="AQ1537" s="470" t="s">
        <v>12146</v>
      </c>
      <c r="AR1537" s="472" t="s">
        <v>515</v>
      </c>
      <c r="AS1537" s="473">
        <v>3.6</v>
      </c>
      <c r="AT1537" s="472" t="s">
        <v>3469</v>
      </c>
      <c r="AU1537" s="472" t="s">
        <v>420</v>
      </c>
      <c r="AV1537" s="472">
        <v>2020</v>
      </c>
      <c r="AW1537" s="474" t="s">
        <v>15078</v>
      </c>
      <c r="AX1537" s="475" t="s">
        <v>15079</v>
      </c>
      <c r="AY1537" s="515">
        <v>1</v>
      </c>
      <c r="AZ1537" s="474" t="s">
        <v>15079</v>
      </c>
      <c r="BA1537" s="472" t="s">
        <v>3469</v>
      </c>
      <c r="BB1537" s="472" t="s">
        <v>1385</v>
      </c>
      <c r="BC1537" s="472" t="s">
        <v>1385</v>
      </c>
      <c r="BD1537" s="472" t="s">
        <v>1385</v>
      </c>
      <c r="BE1537" s="472" t="s">
        <v>1385</v>
      </c>
      <c r="BF1537" s="509">
        <v>18774</v>
      </c>
      <c r="BG1537" s="509">
        <v>0</v>
      </c>
      <c r="BH1537" s="472" t="s">
        <v>1385</v>
      </c>
      <c r="BI1537" s="510">
        <v>0</v>
      </c>
      <c r="BJ1537" s="510">
        <v>4775.8999999999996</v>
      </c>
      <c r="BK1537" s="510">
        <v>0</v>
      </c>
      <c r="BL1537" s="510">
        <v>0</v>
      </c>
      <c r="BM1537" s="510">
        <v>0</v>
      </c>
      <c r="BN1537" s="510">
        <v>2000</v>
      </c>
      <c r="BO1537" s="510">
        <v>0</v>
      </c>
      <c r="BP1537" s="510">
        <v>0</v>
      </c>
      <c r="BQ1537" s="510">
        <v>0</v>
      </c>
      <c r="BR1537" s="510">
        <v>0</v>
      </c>
      <c r="BS1537" s="510">
        <v>0</v>
      </c>
      <c r="BT1537" s="510">
        <v>0</v>
      </c>
      <c r="BU1537" s="510">
        <v>0</v>
      </c>
      <c r="BV1537" s="510">
        <v>0</v>
      </c>
      <c r="BW1537" s="510">
        <v>0</v>
      </c>
      <c r="BX1537" s="510">
        <v>30000</v>
      </c>
      <c r="BY1537" s="1011">
        <v>0</v>
      </c>
      <c r="BZ1537" s="510">
        <v>0</v>
      </c>
      <c r="CA1537" s="1011">
        <v>0</v>
      </c>
      <c r="CB1537" s="510">
        <v>0</v>
      </c>
      <c r="CC1537" s="1011">
        <v>0</v>
      </c>
      <c r="CD1537" s="510">
        <v>0</v>
      </c>
      <c r="CE1537" s="1011">
        <v>0</v>
      </c>
      <c r="CF1537" s="510">
        <v>37975.199999999997</v>
      </c>
      <c r="CG1537" s="1011">
        <v>0</v>
      </c>
      <c r="CH1537" s="510">
        <v>0</v>
      </c>
      <c r="CI1537" s="1011">
        <v>0</v>
      </c>
    </row>
    <row r="1538" spans="1:87" x14ac:dyDescent="0.2">
      <c r="A1538" s="449">
        <v>24</v>
      </c>
      <c r="B1538" s="453">
        <v>400600</v>
      </c>
      <c r="C1538" s="454" t="s">
        <v>12150</v>
      </c>
      <c r="D1538" s="454" t="s">
        <v>3469</v>
      </c>
      <c r="E1538" s="454" t="s">
        <v>12151</v>
      </c>
      <c r="F1538" s="454" t="s">
        <v>525</v>
      </c>
      <c r="G1538" s="454" t="s">
        <v>14862</v>
      </c>
      <c r="H1538" s="455">
        <v>9423324000107</v>
      </c>
      <c r="I1538" s="462">
        <v>39325</v>
      </c>
      <c r="J1538" s="457">
        <v>37604988</v>
      </c>
      <c r="K1538" s="454" t="s">
        <v>3619</v>
      </c>
      <c r="L1538" s="458">
        <v>105</v>
      </c>
      <c r="M1538" s="454" t="s">
        <v>3620</v>
      </c>
      <c r="N1538" s="459">
        <v>2276000</v>
      </c>
      <c r="O1538" s="460">
        <v>22435605</v>
      </c>
      <c r="P1538" s="462">
        <v>323589</v>
      </c>
      <c r="Q1538" s="462">
        <v>24</v>
      </c>
      <c r="R1538" s="462">
        <v>43950</v>
      </c>
      <c r="S1538" s="463">
        <v>279</v>
      </c>
      <c r="T1538" s="464">
        <v>3.6</v>
      </c>
      <c r="U1538" s="465">
        <v>1004.4</v>
      </c>
      <c r="V1538" s="465">
        <v>12720</v>
      </c>
      <c r="W1538" s="466">
        <v>0</v>
      </c>
      <c r="X1538" s="467">
        <v>1</v>
      </c>
      <c r="Y1538" s="466">
        <v>20586.599999999999</v>
      </c>
      <c r="Z1538" s="468" t="s">
        <v>516</v>
      </c>
      <c r="AA1538" s="466">
        <v>93150.6</v>
      </c>
      <c r="AB1538" s="466">
        <v>93150.6</v>
      </c>
      <c r="AC1538" s="467">
        <v>0</v>
      </c>
      <c r="AD1538" s="466">
        <v>0</v>
      </c>
      <c r="AE1538" s="468" t="s">
        <v>516</v>
      </c>
      <c r="AF1538" s="466">
        <v>0</v>
      </c>
      <c r="AG1538" s="466">
        <v>0</v>
      </c>
      <c r="AH1538" s="466">
        <v>24897.68</v>
      </c>
      <c r="AI1538" s="466">
        <v>889.76</v>
      </c>
      <c r="AJ1538" s="469" t="s">
        <v>1448</v>
      </c>
      <c r="AK1538" s="470" t="s">
        <v>1449</v>
      </c>
      <c r="AL1538" s="471" t="s">
        <v>12153</v>
      </c>
      <c r="AM1538" s="470" t="s">
        <v>12154</v>
      </c>
      <c r="AN1538" s="470" t="s">
        <v>12152</v>
      </c>
      <c r="AO1538" s="470" t="s">
        <v>12155</v>
      </c>
      <c r="AP1538" s="470" t="s">
        <v>3625</v>
      </c>
      <c r="AQ1538" s="470" t="s">
        <v>12150</v>
      </c>
      <c r="AR1538" s="472" t="s">
        <v>515</v>
      </c>
      <c r="AS1538" s="473">
        <v>3.6</v>
      </c>
      <c r="AT1538" s="472" t="s">
        <v>3469</v>
      </c>
      <c r="AU1538" s="472" t="s">
        <v>420</v>
      </c>
      <c r="AV1538" s="472">
        <v>2020</v>
      </c>
      <c r="AW1538" s="474" t="s">
        <v>15078</v>
      </c>
      <c r="AX1538" s="475" t="s">
        <v>15079</v>
      </c>
      <c r="AY1538" s="515">
        <v>1</v>
      </c>
      <c r="AZ1538" s="474" t="s">
        <v>15079</v>
      </c>
      <c r="BA1538" s="472" t="s">
        <v>3469</v>
      </c>
      <c r="BB1538" s="472" t="s">
        <v>1385</v>
      </c>
      <c r="BC1538" s="472" t="s">
        <v>1385</v>
      </c>
      <c r="BD1538" s="472" t="s">
        <v>1385</v>
      </c>
      <c r="BE1538" s="472" t="s">
        <v>1385</v>
      </c>
      <c r="BF1538" s="509">
        <v>20586.599999999999</v>
      </c>
      <c r="BG1538" s="472">
        <v>0</v>
      </c>
      <c r="BH1538" s="472" t="s">
        <v>1385</v>
      </c>
      <c r="BI1538" s="510">
        <v>0</v>
      </c>
      <c r="BJ1538" s="510">
        <v>0</v>
      </c>
      <c r="BK1538" s="510">
        <v>0</v>
      </c>
      <c r="BL1538" s="510">
        <v>0</v>
      </c>
      <c r="BM1538" s="510">
        <v>0</v>
      </c>
      <c r="BN1538" s="510">
        <v>3000</v>
      </c>
      <c r="BO1538" s="510">
        <v>0</v>
      </c>
      <c r="BP1538" s="510">
        <v>0</v>
      </c>
      <c r="BQ1538" s="510">
        <v>0</v>
      </c>
      <c r="BR1538" s="510">
        <v>0</v>
      </c>
      <c r="BS1538" s="510">
        <v>0</v>
      </c>
      <c r="BT1538" s="510">
        <v>0</v>
      </c>
      <c r="BU1538" s="510">
        <v>0</v>
      </c>
      <c r="BV1538" s="510">
        <v>0</v>
      </c>
      <c r="BW1538" s="510">
        <v>0</v>
      </c>
      <c r="BX1538" s="510">
        <v>30000</v>
      </c>
      <c r="BY1538" s="1011">
        <v>0</v>
      </c>
      <c r="BZ1538" s="510">
        <v>0</v>
      </c>
      <c r="CA1538" s="1011">
        <v>0</v>
      </c>
      <c r="CB1538" s="510">
        <v>0</v>
      </c>
      <c r="CC1538" s="1011">
        <v>0</v>
      </c>
      <c r="CD1538" s="510">
        <v>0</v>
      </c>
      <c r="CE1538" s="1011">
        <v>0</v>
      </c>
      <c r="CF1538" s="510">
        <v>42564</v>
      </c>
      <c r="CG1538" s="1011">
        <v>0</v>
      </c>
      <c r="CH1538" s="510">
        <v>0</v>
      </c>
      <c r="CI1538" s="1011">
        <v>0</v>
      </c>
    </row>
    <row r="1539" spans="1:87" x14ac:dyDescent="0.2">
      <c r="A1539" s="449">
        <v>46</v>
      </c>
      <c r="B1539" s="453">
        <v>400669</v>
      </c>
      <c r="C1539" s="454" t="s">
        <v>12156</v>
      </c>
      <c r="D1539" s="454" t="s">
        <v>3469</v>
      </c>
      <c r="E1539" s="454" t="s">
        <v>12156</v>
      </c>
      <c r="F1539" s="454" t="s">
        <v>520</v>
      </c>
      <c r="G1539" s="454" t="s">
        <v>14863</v>
      </c>
      <c r="H1539" s="455">
        <v>10404760000118</v>
      </c>
      <c r="I1539" s="462">
        <v>39673</v>
      </c>
      <c r="J1539" s="457">
        <v>45727961</v>
      </c>
      <c r="K1539" s="454" t="s">
        <v>3746</v>
      </c>
      <c r="L1539" s="458">
        <v>1120</v>
      </c>
      <c r="M1539" s="454" t="s">
        <v>3747</v>
      </c>
      <c r="N1539" s="459">
        <v>4941175</v>
      </c>
      <c r="O1539" s="460">
        <v>58335671</v>
      </c>
      <c r="P1539" s="462">
        <v>296255</v>
      </c>
      <c r="Q1539" s="462">
        <v>46</v>
      </c>
      <c r="R1539" s="462">
        <v>43979</v>
      </c>
      <c r="S1539" s="463">
        <v>183</v>
      </c>
      <c r="T1539" s="464">
        <v>3.6</v>
      </c>
      <c r="U1539" s="465">
        <v>658.8</v>
      </c>
      <c r="V1539" s="465">
        <v>10800</v>
      </c>
      <c r="W1539" s="466">
        <v>0</v>
      </c>
      <c r="X1539" s="467">
        <v>1</v>
      </c>
      <c r="Y1539" s="466">
        <v>17188.2</v>
      </c>
      <c r="Z1539" s="468" t="s">
        <v>516</v>
      </c>
      <c r="AA1539" s="466">
        <v>85098.6</v>
      </c>
      <c r="AB1539" s="466">
        <v>85098.6</v>
      </c>
      <c r="AC1539" s="467">
        <v>0</v>
      </c>
      <c r="AD1539" s="466">
        <v>0</v>
      </c>
      <c r="AE1539" s="468" t="s">
        <v>516</v>
      </c>
      <c r="AF1539" s="466">
        <v>0</v>
      </c>
      <c r="AG1539" s="466">
        <v>0</v>
      </c>
      <c r="AH1539" s="466">
        <v>21676.14</v>
      </c>
      <c r="AI1539" s="466">
        <v>2174.0700000000002</v>
      </c>
      <c r="AJ1539" s="469" t="s">
        <v>1515</v>
      </c>
      <c r="AK1539" s="470" t="s">
        <v>1516</v>
      </c>
      <c r="AL1539" s="471" t="s">
        <v>12158</v>
      </c>
      <c r="AM1539" s="470" t="s">
        <v>14864</v>
      </c>
      <c r="AN1539" s="470" t="s">
        <v>12157</v>
      </c>
      <c r="AO1539" s="470" t="s">
        <v>12159</v>
      </c>
      <c r="AP1539" s="470" t="s">
        <v>3751</v>
      </c>
      <c r="AQ1539" s="470" t="s">
        <v>12156</v>
      </c>
      <c r="AR1539" s="472" t="s">
        <v>515</v>
      </c>
      <c r="AS1539" s="473">
        <v>3.6</v>
      </c>
      <c r="AT1539" s="472" t="s">
        <v>3469</v>
      </c>
      <c r="AU1539" s="472" t="s">
        <v>420</v>
      </c>
      <c r="AV1539" s="472">
        <v>2020</v>
      </c>
      <c r="AW1539" s="474" t="s">
        <v>15078</v>
      </c>
      <c r="AX1539" s="475" t="s">
        <v>15079</v>
      </c>
      <c r="AY1539" s="515">
        <v>1</v>
      </c>
      <c r="AZ1539" s="474" t="s">
        <v>15079</v>
      </c>
      <c r="BA1539" s="472" t="s">
        <v>3469</v>
      </c>
      <c r="BB1539" s="472" t="s">
        <v>1385</v>
      </c>
      <c r="BC1539" s="472" t="s">
        <v>1385</v>
      </c>
      <c r="BD1539" s="472" t="s">
        <v>1385</v>
      </c>
      <c r="BE1539" s="472" t="s">
        <v>1385</v>
      </c>
      <c r="BF1539" s="509">
        <v>17188.2</v>
      </c>
      <c r="BG1539" s="509">
        <v>0</v>
      </c>
      <c r="BH1539" s="472" t="s">
        <v>1385</v>
      </c>
      <c r="BI1539" s="510">
        <v>0</v>
      </c>
      <c r="BJ1539" s="510">
        <v>0</v>
      </c>
      <c r="BK1539" s="510">
        <v>0</v>
      </c>
      <c r="BL1539" s="510">
        <v>0</v>
      </c>
      <c r="BM1539" s="510">
        <v>0</v>
      </c>
      <c r="BN1539" s="510">
        <v>2000</v>
      </c>
      <c r="BO1539" s="510">
        <v>0</v>
      </c>
      <c r="BP1539" s="510">
        <v>0</v>
      </c>
      <c r="BQ1539" s="510">
        <v>0</v>
      </c>
      <c r="BR1539" s="510">
        <v>0</v>
      </c>
      <c r="BS1539" s="510">
        <v>0</v>
      </c>
      <c r="BT1539" s="510">
        <v>0</v>
      </c>
      <c r="BU1539" s="510">
        <v>0</v>
      </c>
      <c r="BV1539" s="510">
        <v>0</v>
      </c>
      <c r="BW1539" s="510">
        <v>0</v>
      </c>
      <c r="BX1539" s="510">
        <v>30000</v>
      </c>
      <c r="BY1539" s="1011">
        <v>0</v>
      </c>
      <c r="BZ1539" s="510">
        <v>0</v>
      </c>
      <c r="CA1539" s="1011">
        <v>0</v>
      </c>
      <c r="CB1539" s="510">
        <v>0</v>
      </c>
      <c r="CC1539" s="1011">
        <v>0</v>
      </c>
      <c r="CD1539" s="510">
        <v>0</v>
      </c>
      <c r="CE1539" s="1011">
        <v>0</v>
      </c>
      <c r="CF1539" s="510">
        <v>37910.400000000001</v>
      </c>
      <c r="CG1539" s="1011">
        <v>0</v>
      </c>
      <c r="CH1539" s="510">
        <v>0</v>
      </c>
      <c r="CI1539" s="1011">
        <v>0</v>
      </c>
    </row>
    <row r="1540" spans="1:87" x14ac:dyDescent="0.2">
      <c r="A1540" s="449">
        <v>43</v>
      </c>
      <c r="B1540" s="453">
        <v>400670</v>
      </c>
      <c r="C1540" s="454" t="s">
        <v>12160</v>
      </c>
      <c r="D1540" s="454" t="s">
        <v>3469</v>
      </c>
      <c r="E1540" s="454" t="s">
        <v>12160</v>
      </c>
      <c r="F1540" s="454" t="s">
        <v>520</v>
      </c>
      <c r="G1540" s="454" t="s">
        <v>14865</v>
      </c>
      <c r="H1540" s="455">
        <v>10662719000141</v>
      </c>
      <c r="I1540" s="462">
        <v>39784</v>
      </c>
      <c r="J1540" s="457">
        <v>40201520</v>
      </c>
      <c r="K1540" s="454" t="s">
        <v>12162</v>
      </c>
      <c r="L1540" s="458" t="s">
        <v>1446</v>
      </c>
      <c r="M1540" s="454" t="s">
        <v>3756</v>
      </c>
      <c r="N1540" s="459">
        <v>5856020</v>
      </c>
      <c r="O1540" s="460">
        <v>33979744</v>
      </c>
      <c r="P1540" s="462">
        <v>296050</v>
      </c>
      <c r="Q1540" s="462">
        <v>43</v>
      </c>
      <c r="R1540" s="462">
        <v>43979</v>
      </c>
      <c r="S1540" s="463">
        <v>174</v>
      </c>
      <c r="T1540" s="464">
        <v>3.6</v>
      </c>
      <c r="U1540" s="465">
        <v>626.4</v>
      </c>
      <c r="V1540" s="465">
        <v>10800</v>
      </c>
      <c r="W1540" s="466">
        <v>0</v>
      </c>
      <c r="X1540" s="467">
        <v>1</v>
      </c>
      <c r="Y1540" s="466">
        <v>17139.599999999999</v>
      </c>
      <c r="Z1540" s="468" t="s">
        <v>516</v>
      </c>
      <c r="AA1540" s="466">
        <v>85114.8</v>
      </c>
      <c r="AB1540" s="466">
        <v>85114.8</v>
      </c>
      <c r="AC1540" s="467">
        <v>0</v>
      </c>
      <c r="AD1540" s="466">
        <v>0</v>
      </c>
      <c r="AE1540" s="468" t="s">
        <v>516</v>
      </c>
      <c r="AF1540" s="466">
        <v>0</v>
      </c>
      <c r="AG1540" s="466">
        <v>0</v>
      </c>
      <c r="AH1540" s="466">
        <v>18284.16</v>
      </c>
      <c r="AI1540" s="466">
        <v>4044.1</v>
      </c>
      <c r="AJ1540" s="469" t="s">
        <v>1515</v>
      </c>
      <c r="AK1540" s="470" t="s">
        <v>1516</v>
      </c>
      <c r="AL1540" s="471" t="s">
        <v>12163</v>
      </c>
      <c r="AM1540" s="470" t="s">
        <v>12164</v>
      </c>
      <c r="AN1540" s="470" t="s">
        <v>12161</v>
      </c>
      <c r="AO1540" s="470" t="s">
        <v>12165</v>
      </c>
      <c r="AP1540" s="470" t="s">
        <v>3760</v>
      </c>
      <c r="AQ1540" s="470" t="s">
        <v>12160</v>
      </c>
      <c r="AR1540" s="472" t="s">
        <v>515</v>
      </c>
      <c r="AS1540" s="473">
        <v>3.6</v>
      </c>
      <c r="AT1540" s="472" t="s">
        <v>3469</v>
      </c>
      <c r="AU1540" s="472" t="s">
        <v>420</v>
      </c>
      <c r="AV1540" s="472">
        <v>2020</v>
      </c>
      <c r="AW1540" s="474" t="s">
        <v>15078</v>
      </c>
      <c r="AX1540" s="475" t="s">
        <v>15079</v>
      </c>
      <c r="AY1540" s="515">
        <v>1</v>
      </c>
      <c r="AZ1540" s="474" t="s">
        <v>15079</v>
      </c>
      <c r="BA1540" s="472" t="s">
        <v>3469</v>
      </c>
      <c r="BB1540" s="472" t="s">
        <v>1385</v>
      </c>
      <c r="BC1540" s="472" t="s">
        <v>1385</v>
      </c>
      <c r="BD1540" s="472" t="s">
        <v>1385</v>
      </c>
      <c r="BE1540" s="472" t="s">
        <v>1385</v>
      </c>
      <c r="BF1540" s="472">
        <v>17139.599999999999</v>
      </c>
      <c r="BG1540" s="472">
        <v>0</v>
      </c>
      <c r="BH1540" s="472" t="s">
        <v>1385</v>
      </c>
      <c r="BI1540" s="510">
        <v>0</v>
      </c>
      <c r="BJ1540" s="510">
        <v>965</v>
      </c>
      <c r="BK1540" s="510">
        <v>0</v>
      </c>
      <c r="BL1540" s="510">
        <v>0</v>
      </c>
      <c r="BM1540" s="510">
        <v>0</v>
      </c>
      <c r="BN1540" s="510">
        <v>2000</v>
      </c>
      <c r="BO1540" s="510">
        <v>0</v>
      </c>
      <c r="BP1540" s="510">
        <v>0</v>
      </c>
      <c r="BQ1540" s="510">
        <v>0</v>
      </c>
      <c r="BR1540" s="510">
        <v>0</v>
      </c>
      <c r="BS1540" s="510">
        <v>0</v>
      </c>
      <c r="BT1540" s="510">
        <v>0</v>
      </c>
      <c r="BU1540" s="510">
        <v>0</v>
      </c>
      <c r="BV1540" s="510">
        <v>0</v>
      </c>
      <c r="BW1540" s="510">
        <v>0</v>
      </c>
      <c r="BX1540" s="510">
        <v>30000</v>
      </c>
      <c r="BY1540" s="1011">
        <v>0</v>
      </c>
      <c r="BZ1540" s="510">
        <v>0</v>
      </c>
      <c r="CA1540" s="1011">
        <v>0</v>
      </c>
      <c r="CB1540" s="510">
        <v>0</v>
      </c>
      <c r="CC1540" s="1011">
        <v>0</v>
      </c>
      <c r="CD1540" s="510">
        <v>0</v>
      </c>
      <c r="CE1540" s="1011">
        <v>0</v>
      </c>
      <c r="CF1540" s="510">
        <v>37975.199999999997</v>
      </c>
      <c r="CG1540" s="1011">
        <v>0</v>
      </c>
      <c r="CH1540" s="510">
        <v>0</v>
      </c>
      <c r="CI1540" s="1011">
        <v>0</v>
      </c>
    </row>
    <row r="1541" spans="1:87" x14ac:dyDescent="0.2">
      <c r="A1541" s="449">
        <v>48</v>
      </c>
      <c r="B1541" s="453">
        <v>400671</v>
      </c>
      <c r="C1541" s="454" t="s">
        <v>12166</v>
      </c>
      <c r="D1541" s="454" t="s">
        <v>3469</v>
      </c>
      <c r="E1541" s="454" t="s">
        <v>12166</v>
      </c>
      <c r="F1541" s="454" t="s">
        <v>520</v>
      </c>
      <c r="G1541" s="454" t="s">
        <v>14866</v>
      </c>
      <c r="H1541" s="455">
        <v>11251331000110</v>
      </c>
      <c r="I1541" s="462">
        <v>40094</v>
      </c>
      <c r="J1541" s="457">
        <v>43801803</v>
      </c>
      <c r="K1541" s="454" t="s">
        <v>3764</v>
      </c>
      <c r="L1541" s="458">
        <v>369</v>
      </c>
      <c r="M1541" s="454" t="s">
        <v>3765</v>
      </c>
      <c r="N1541" s="459">
        <v>4962000</v>
      </c>
      <c r="O1541" s="460">
        <v>58963386</v>
      </c>
      <c r="P1541" s="462">
        <v>296310</v>
      </c>
      <c r="Q1541" s="462">
        <v>48</v>
      </c>
      <c r="R1541" s="462">
        <v>43969</v>
      </c>
      <c r="S1541" s="463">
        <v>230</v>
      </c>
      <c r="T1541" s="464">
        <v>3.6</v>
      </c>
      <c r="U1541" s="465">
        <v>828</v>
      </c>
      <c r="V1541" s="465">
        <v>11760</v>
      </c>
      <c r="W1541" s="466">
        <v>0</v>
      </c>
      <c r="X1541" s="467">
        <v>1</v>
      </c>
      <c r="Y1541" s="466">
        <v>18882</v>
      </c>
      <c r="Z1541" s="468" t="s">
        <v>516</v>
      </c>
      <c r="AA1541" s="466">
        <v>89115.6</v>
      </c>
      <c r="AB1541" s="466">
        <v>89115.6</v>
      </c>
      <c r="AC1541" s="467">
        <v>0</v>
      </c>
      <c r="AD1541" s="466">
        <v>0</v>
      </c>
      <c r="AE1541" s="468" t="s">
        <v>516</v>
      </c>
      <c r="AF1541" s="466">
        <v>2000</v>
      </c>
      <c r="AG1541" s="466">
        <v>2000</v>
      </c>
      <c r="AH1541" s="466">
        <v>12509.3</v>
      </c>
      <c r="AI1541" s="466">
        <v>0</v>
      </c>
      <c r="AJ1541" s="469" t="s">
        <v>1515</v>
      </c>
      <c r="AK1541" s="470" t="s">
        <v>1516</v>
      </c>
      <c r="AL1541" s="471" t="s">
        <v>12168</v>
      </c>
      <c r="AM1541" s="470" t="s">
        <v>12169</v>
      </c>
      <c r="AN1541" s="470" t="s">
        <v>12167</v>
      </c>
      <c r="AO1541" s="470" t="s">
        <v>12170</v>
      </c>
      <c r="AP1541" s="470" t="s">
        <v>3765</v>
      </c>
      <c r="AQ1541" s="470" t="s">
        <v>12166</v>
      </c>
      <c r="AR1541" s="472" t="s">
        <v>515</v>
      </c>
      <c r="AS1541" s="473">
        <v>3.6</v>
      </c>
      <c r="AT1541" s="472" t="s">
        <v>3469</v>
      </c>
      <c r="AU1541" s="472" t="s">
        <v>420</v>
      </c>
      <c r="AV1541" s="472">
        <v>2020</v>
      </c>
      <c r="AW1541" s="474" t="s">
        <v>15078</v>
      </c>
      <c r="AX1541" s="475" t="s">
        <v>15079</v>
      </c>
      <c r="AY1541" s="515">
        <v>1</v>
      </c>
      <c r="AZ1541" s="474" t="s">
        <v>15079</v>
      </c>
      <c r="BA1541" s="472" t="s">
        <v>3469</v>
      </c>
      <c r="BB1541" s="472" t="s">
        <v>1385</v>
      </c>
      <c r="BC1541" s="472" t="s">
        <v>1385</v>
      </c>
      <c r="BD1541" s="472" t="s">
        <v>1385</v>
      </c>
      <c r="BE1541" s="472" t="s">
        <v>1385</v>
      </c>
      <c r="BF1541" s="472">
        <v>18882</v>
      </c>
      <c r="BG1541" s="472">
        <v>0</v>
      </c>
      <c r="BH1541" s="472" t="s">
        <v>1385</v>
      </c>
      <c r="BI1541" s="510">
        <v>0</v>
      </c>
      <c r="BJ1541" s="510">
        <v>0</v>
      </c>
      <c r="BK1541" s="510">
        <v>0</v>
      </c>
      <c r="BL1541" s="510">
        <v>0</v>
      </c>
      <c r="BM1541" s="510">
        <v>0</v>
      </c>
      <c r="BN1541" s="510">
        <v>2000</v>
      </c>
      <c r="BO1541" s="510">
        <v>0</v>
      </c>
      <c r="BP1541" s="510">
        <v>2000</v>
      </c>
      <c r="BQ1541" s="510">
        <v>0</v>
      </c>
      <c r="BR1541" s="510">
        <v>0</v>
      </c>
      <c r="BS1541" s="510">
        <v>0</v>
      </c>
      <c r="BT1541" s="510">
        <v>0</v>
      </c>
      <c r="BU1541" s="510">
        <v>0</v>
      </c>
      <c r="BV1541" s="510">
        <v>0</v>
      </c>
      <c r="BW1541" s="510">
        <v>0</v>
      </c>
      <c r="BX1541" s="510">
        <v>30000</v>
      </c>
      <c r="BY1541" s="1011">
        <v>0</v>
      </c>
      <c r="BZ1541" s="510">
        <v>0</v>
      </c>
      <c r="CA1541" s="1011">
        <v>0</v>
      </c>
      <c r="CB1541" s="510">
        <v>0</v>
      </c>
      <c r="CC1541" s="1011">
        <v>0</v>
      </c>
      <c r="CD1541" s="510">
        <v>0</v>
      </c>
      <c r="CE1541" s="1011">
        <v>0</v>
      </c>
      <c r="CF1541" s="510">
        <v>40233.599999999999</v>
      </c>
      <c r="CG1541" s="1011">
        <v>0</v>
      </c>
      <c r="CH1541" s="510">
        <v>0</v>
      </c>
      <c r="CI1541" s="1011">
        <v>0</v>
      </c>
    </row>
    <row r="1542" spans="1:87" x14ac:dyDescent="0.2">
      <c r="A1542" s="449">
        <v>15</v>
      </c>
      <c r="B1542" s="453">
        <v>400672</v>
      </c>
      <c r="C1542" s="454" t="s">
        <v>12171</v>
      </c>
      <c r="D1542" s="454" t="s">
        <v>3469</v>
      </c>
      <c r="E1542" s="454" t="s">
        <v>12172</v>
      </c>
      <c r="F1542" s="454" t="s">
        <v>522</v>
      </c>
      <c r="G1542" s="454" t="s">
        <v>14867</v>
      </c>
      <c r="H1542" s="455">
        <v>11001751000149</v>
      </c>
      <c r="I1542" s="462">
        <v>38708</v>
      </c>
      <c r="J1542" s="457">
        <v>40570134</v>
      </c>
      <c r="K1542" s="454" t="s">
        <v>3816</v>
      </c>
      <c r="L1542" s="458">
        <v>400</v>
      </c>
      <c r="M1542" s="454" t="s">
        <v>3772</v>
      </c>
      <c r="N1542" s="459">
        <v>2814000</v>
      </c>
      <c r="O1542" s="460">
        <v>33975433</v>
      </c>
      <c r="P1542" s="462">
        <v>86161</v>
      </c>
      <c r="Q1542" s="462">
        <v>48</v>
      </c>
      <c r="R1542" s="462">
        <v>43911</v>
      </c>
      <c r="S1542" s="463">
        <v>256</v>
      </c>
      <c r="T1542" s="464">
        <v>3.6</v>
      </c>
      <c r="U1542" s="465">
        <v>921.6</v>
      </c>
      <c r="V1542" s="465">
        <v>12720</v>
      </c>
      <c r="W1542" s="466">
        <v>0</v>
      </c>
      <c r="X1542" s="467">
        <v>1</v>
      </c>
      <c r="Y1542" s="466">
        <v>20462.400000000001</v>
      </c>
      <c r="Z1542" s="468" t="s">
        <v>516</v>
      </c>
      <c r="AA1542" s="466">
        <v>92731.199999999997</v>
      </c>
      <c r="AB1542" s="466">
        <v>92731.199999999997</v>
      </c>
      <c r="AC1542" s="467">
        <v>0</v>
      </c>
      <c r="AD1542" s="466">
        <v>0</v>
      </c>
      <c r="AE1542" s="468" t="s">
        <v>516</v>
      </c>
      <c r="AF1542" s="466">
        <v>0</v>
      </c>
      <c r="AG1542" s="466">
        <v>0</v>
      </c>
      <c r="AH1542" s="466">
        <v>15116.35</v>
      </c>
      <c r="AI1542" s="466">
        <v>0</v>
      </c>
      <c r="AJ1542" s="469" t="s">
        <v>1438</v>
      </c>
      <c r="AK1542" s="470" t="s">
        <v>12345</v>
      </c>
      <c r="AL1542" s="471" t="s">
        <v>14868</v>
      </c>
      <c r="AM1542" s="470" t="s">
        <v>12173</v>
      </c>
      <c r="AN1542" s="470" t="s">
        <v>1385</v>
      </c>
      <c r="AO1542" s="470" t="s">
        <v>12174</v>
      </c>
      <c r="AP1542" s="470" t="s">
        <v>3772</v>
      </c>
      <c r="AQ1542" s="470" t="s">
        <v>12171</v>
      </c>
      <c r="AR1542" s="472" t="s">
        <v>515</v>
      </c>
      <c r="AS1542" s="473">
        <v>3.6</v>
      </c>
      <c r="AT1542" s="472" t="s">
        <v>3469</v>
      </c>
      <c r="AU1542" s="472" t="s">
        <v>420</v>
      </c>
      <c r="AV1542" s="472">
        <v>2020</v>
      </c>
      <c r="AW1542" s="474" t="s">
        <v>15078</v>
      </c>
      <c r="AX1542" s="475" t="s">
        <v>15079</v>
      </c>
      <c r="AY1542" s="515">
        <v>1</v>
      </c>
      <c r="AZ1542" s="474" t="s">
        <v>15079</v>
      </c>
      <c r="BA1542" s="472" t="s">
        <v>3469</v>
      </c>
      <c r="BB1542" s="472" t="s">
        <v>1385</v>
      </c>
      <c r="BC1542" s="472" t="s">
        <v>1385</v>
      </c>
      <c r="BD1542" s="472" t="s">
        <v>1385</v>
      </c>
      <c r="BE1542" s="472" t="s">
        <v>1385</v>
      </c>
      <c r="BF1542" s="472">
        <v>20462.400000000001</v>
      </c>
      <c r="BG1542" s="472">
        <v>0</v>
      </c>
      <c r="BH1542" s="472" t="s">
        <v>1385</v>
      </c>
      <c r="BI1542" s="510">
        <v>0</v>
      </c>
      <c r="BJ1542" s="510">
        <v>0</v>
      </c>
      <c r="BK1542" s="510">
        <v>0</v>
      </c>
      <c r="BL1542" s="510">
        <v>0</v>
      </c>
      <c r="BM1542" s="510">
        <v>0</v>
      </c>
      <c r="BN1542" s="510">
        <v>3000</v>
      </c>
      <c r="BO1542" s="510">
        <v>0</v>
      </c>
      <c r="BP1542" s="510">
        <v>0</v>
      </c>
      <c r="BQ1542" s="510">
        <v>0</v>
      </c>
      <c r="BR1542" s="510">
        <v>0</v>
      </c>
      <c r="BS1542" s="510">
        <v>0</v>
      </c>
      <c r="BT1542" s="510">
        <v>0</v>
      </c>
      <c r="BU1542" s="510">
        <v>0</v>
      </c>
      <c r="BV1542" s="510">
        <v>0</v>
      </c>
      <c r="BW1542" s="510">
        <v>0</v>
      </c>
      <c r="BX1542" s="510">
        <v>30000</v>
      </c>
      <c r="BY1542" s="1011">
        <v>0</v>
      </c>
      <c r="BZ1542" s="510">
        <v>0</v>
      </c>
      <c r="CA1542" s="1011">
        <v>0</v>
      </c>
      <c r="CB1542" s="510">
        <v>0</v>
      </c>
      <c r="CC1542" s="1011">
        <v>0</v>
      </c>
      <c r="CD1542" s="510">
        <v>0</v>
      </c>
      <c r="CE1542" s="1011">
        <v>0</v>
      </c>
      <c r="CF1542" s="510">
        <v>42268.800000000003</v>
      </c>
      <c r="CG1542" s="1011">
        <v>0</v>
      </c>
      <c r="CH1542" s="510">
        <v>0</v>
      </c>
      <c r="CI1542" s="1011">
        <v>0</v>
      </c>
    </row>
    <row r="1543" spans="1:87" x14ac:dyDescent="0.2">
      <c r="A1543" s="449">
        <v>32</v>
      </c>
      <c r="B1543" s="453">
        <v>400674</v>
      </c>
      <c r="C1543" s="454" t="s">
        <v>12175</v>
      </c>
      <c r="D1543" s="454" t="s">
        <v>3469</v>
      </c>
      <c r="E1543" s="454" t="s">
        <v>12176</v>
      </c>
      <c r="F1543" s="454" t="s">
        <v>527</v>
      </c>
      <c r="G1543" s="454" t="s">
        <v>14869</v>
      </c>
      <c r="H1543" s="455">
        <v>10467345000103</v>
      </c>
      <c r="I1543" s="462">
        <v>39743</v>
      </c>
      <c r="J1543" s="457">
        <v>44821174</v>
      </c>
      <c r="K1543" s="454" t="s">
        <v>3827</v>
      </c>
      <c r="L1543" s="458">
        <v>564</v>
      </c>
      <c r="M1543" s="454" t="s">
        <v>2211</v>
      </c>
      <c r="N1543" s="459">
        <v>3819160</v>
      </c>
      <c r="O1543" s="460">
        <v>22147113</v>
      </c>
      <c r="P1543" s="462">
        <v>210164</v>
      </c>
      <c r="Q1543" s="462">
        <v>31</v>
      </c>
      <c r="R1543" s="462">
        <v>43917</v>
      </c>
      <c r="S1543" s="463">
        <v>194</v>
      </c>
      <c r="T1543" s="464">
        <v>3.6</v>
      </c>
      <c r="U1543" s="465">
        <v>698.4</v>
      </c>
      <c r="V1543" s="465">
        <v>10800</v>
      </c>
      <c r="W1543" s="466">
        <v>0</v>
      </c>
      <c r="X1543" s="467">
        <v>1</v>
      </c>
      <c r="Y1543" s="466">
        <v>17247.599999999999</v>
      </c>
      <c r="Z1543" s="468" t="s">
        <v>516</v>
      </c>
      <c r="AA1543" s="466">
        <v>85244.4</v>
      </c>
      <c r="AB1543" s="466">
        <v>85244.4</v>
      </c>
      <c r="AC1543" s="467">
        <v>0</v>
      </c>
      <c r="AD1543" s="466">
        <v>0</v>
      </c>
      <c r="AE1543" s="468" t="s">
        <v>516</v>
      </c>
      <c r="AF1543" s="466">
        <v>0</v>
      </c>
      <c r="AG1543" s="466">
        <v>0</v>
      </c>
      <c r="AH1543" s="466">
        <v>13271.04</v>
      </c>
      <c r="AI1543" s="466">
        <v>11101.42</v>
      </c>
      <c r="AJ1543" s="469" t="s">
        <v>2004</v>
      </c>
      <c r="AK1543" s="470" t="s">
        <v>2005</v>
      </c>
      <c r="AL1543" s="471" t="s">
        <v>12177</v>
      </c>
      <c r="AM1543" s="470" t="s">
        <v>12178</v>
      </c>
      <c r="AN1543" s="470" t="s">
        <v>14869</v>
      </c>
      <c r="AO1543" s="470" t="s">
        <v>14870</v>
      </c>
      <c r="AP1543" s="470" t="s">
        <v>9877</v>
      </c>
      <c r="AQ1543" s="470" t="s">
        <v>12175</v>
      </c>
      <c r="AR1543" s="472" t="s">
        <v>515</v>
      </c>
      <c r="AS1543" s="473">
        <v>3.6</v>
      </c>
      <c r="AT1543" s="472" t="s">
        <v>3469</v>
      </c>
      <c r="AU1543" s="472" t="s">
        <v>420</v>
      </c>
      <c r="AV1543" s="472">
        <v>2020</v>
      </c>
      <c r="AW1543" s="474" t="s">
        <v>15078</v>
      </c>
      <c r="AX1543" s="475" t="s">
        <v>15079</v>
      </c>
      <c r="AY1543" s="515">
        <v>1</v>
      </c>
      <c r="AZ1543" s="474" t="s">
        <v>15079</v>
      </c>
      <c r="BA1543" s="472" t="s">
        <v>3469</v>
      </c>
      <c r="BB1543" s="472" t="s">
        <v>1385</v>
      </c>
      <c r="BC1543" s="472" t="s">
        <v>1385</v>
      </c>
      <c r="BD1543" s="472" t="s">
        <v>1385</v>
      </c>
      <c r="BE1543" s="472" t="s">
        <v>1385</v>
      </c>
      <c r="BF1543" s="472">
        <v>17247.599999999999</v>
      </c>
      <c r="BG1543" s="472">
        <v>0</v>
      </c>
      <c r="BH1543" s="472" t="s">
        <v>1385</v>
      </c>
      <c r="BI1543" s="510">
        <v>0</v>
      </c>
      <c r="BJ1543" s="510">
        <v>0</v>
      </c>
      <c r="BK1543" s="510">
        <v>0</v>
      </c>
      <c r="BL1543" s="510">
        <v>0</v>
      </c>
      <c r="BM1543" s="510">
        <v>0</v>
      </c>
      <c r="BN1543" s="510">
        <v>2000</v>
      </c>
      <c r="BO1543" s="510">
        <v>0</v>
      </c>
      <c r="BP1543" s="510">
        <v>0</v>
      </c>
      <c r="BQ1543" s="510">
        <v>0</v>
      </c>
      <c r="BR1543" s="510">
        <v>0</v>
      </c>
      <c r="BS1543" s="510">
        <v>0</v>
      </c>
      <c r="BT1543" s="510">
        <v>0</v>
      </c>
      <c r="BU1543" s="510">
        <v>0</v>
      </c>
      <c r="BV1543" s="510">
        <v>0</v>
      </c>
      <c r="BW1543" s="510">
        <v>0</v>
      </c>
      <c r="BX1543" s="510">
        <v>30000</v>
      </c>
      <c r="BY1543" s="1011">
        <v>0</v>
      </c>
      <c r="BZ1543" s="510">
        <v>0</v>
      </c>
      <c r="CA1543" s="1011">
        <v>0</v>
      </c>
      <c r="CB1543" s="510">
        <v>0</v>
      </c>
      <c r="CC1543" s="1011">
        <v>0</v>
      </c>
      <c r="CD1543" s="510">
        <v>0</v>
      </c>
      <c r="CE1543" s="1011">
        <v>0</v>
      </c>
      <c r="CF1543" s="510">
        <v>37996.800000000003</v>
      </c>
      <c r="CG1543" s="1011">
        <v>0</v>
      </c>
      <c r="CH1543" s="510">
        <v>0</v>
      </c>
      <c r="CI1543" s="1011">
        <v>0</v>
      </c>
    </row>
    <row r="1544" spans="1:87" x14ac:dyDescent="0.2">
      <c r="A1544" s="449">
        <v>32</v>
      </c>
      <c r="B1544" s="453">
        <v>400675</v>
      </c>
      <c r="C1544" s="454" t="s">
        <v>12179</v>
      </c>
      <c r="D1544" s="454" t="s">
        <v>3469</v>
      </c>
      <c r="E1544" s="454" t="s">
        <v>12180</v>
      </c>
      <c r="F1544" s="454" t="s">
        <v>513</v>
      </c>
      <c r="G1544" s="454" t="s">
        <v>14871</v>
      </c>
      <c r="H1544" s="455">
        <v>10921485000100</v>
      </c>
      <c r="I1544" s="462">
        <v>39979</v>
      </c>
      <c r="J1544" s="457">
        <v>43806309</v>
      </c>
      <c r="K1544" s="454" t="s">
        <v>3782</v>
      </c>
      <c r="L1544" s="458" t="s">
        <v>1446</v>
      </c>
      <c r="M1544" s="454" t="s">
        <v>3783</v>
      </c>
      <c r="N1544" s="459">
        <v>3969000</v>
      </c>
      <c r="O1544" s="460">
        <v>37930131</v>
      </c>
      <c r="P1544" s="462">
        <v>147136</v>
      </c>
      <c r="Q1544" s="462">
        <v>32</v>
      </c>
      <c r="R1544" s="462">
        <v>43937</v>
      </c>
      <c r="S1544" s="463">
        <v>204</v>
      </c>
      <c r="T1544" s="464">
        <v>3.6</v>
      </c>
      <c r="U1544" s="465">
        <v>734.4</v>
      </c>
      <c r="V1544" s="465">
        <v>11760</v>
      </c>
      <c r="W1544" s="466">
        <v>0</v>
      </c>
      <c r="X1544" s="467">
        <v>1</v>
      </c>
      <c r="Y1544" s="466">
        <v>18741.599999999999</v>
      </c>
      <c r="Z1544" s="468" t="s">
        <v>516</v>
      </c>
      <c r="AA1544" s="466">
        <v>88730.4</v>
      </c>
      <c r="AB1544" s="466">
        <v>88730.4</v>
      </c>
      <c r="AC1544" s="467">
        <v>0</v>
      </c>
      <c r="AD1544" s="466">
        <v>0</v>
      </c>
      <c r="AE1544" s="468" t="s">
        <v>516</v>
      </c>
      <c r="AF1544" s="466">
        <v>2000</v>
      </c>
      <c r="AG1544" s="466">
        <v>2000</v>
      </c>
      <c r="AH1544" s="466">
        <v>14194.95</v>
      </c>
      <c r="AI1544" s="466">
        <v>10889.14</v>
      </c>
      <c r="AJ1544" s="469" t="s">
        <v>1972</v>
      </c>
      <c r="AK1544" s="470" t="s">
        <v>1973</v>
      </c>
      <c r="AL1544" s="471" t="s">
        <v>12181</v>
      </c>
      <c r="AM1544" s="470" t="s">
        <v>12182</v>
      </c>
      <c r="AN1544" s="470" t="s">
        <v>1385</v>
      </c>
      <c r="AO1544" s="470" t="s">
        <v>12183</v>
      </c>
      <c r="AP1544" s="470" t="s">
        <v>12184</v>
      </c>
      <c r="AQ1544" s="470" t="s">
        <v>12179</v>
      </c>
      <c r="AR1544" s="472" t="s">
        <v>515</v>
      </c>
      <c r="AS1544" s="473">
        <v>3.6</v>
      </c>
      <c r="AT1544" s="472" t="s">
        <v>3469</v>
      </c>
      <c r="AU1544" s="472" t="s">
        <v>420</v>
      </c>
      <c r="AV1544" s="472">
        <v>2020</v>
      </c>
      <c r="AW1544" s="474" t="s">
        <v>15078</v>
      </c>
      <c r="AX1544" s="475" t="s">
        <v>15079</v>
      </c>
      <c r="AY1544" s="515">
        <v>1</v>
      </c>
      <c r="AZ1544" s="474" t="s">
        <v>15079</v>
      </c>
      <c r="BA1544" s="472" t="s">
        <v>3469</v>
      </c>
      <c r="BB1544" s="472" t="s">
        <v>1385</v>
      </c>
      <c r="BC1544" s="472" t="s">
        <v>1385</v>
      </c>
      <c r="BD1544" s="472" t="s">
        <v>1385</v>
      </c>
      <c r="BE1544" s="472" t="s">
        <v>1385</v>
      </c>
      <c r="BF1544" s="472">
        <v>18741.599999999999</v>
      </c>
      <c r="BG1544" s="472">
        <v>0</v>
      </c>
      <c r="BH1544" s="472" t="s">
        <v>1385</v>
      </c>
      <c r="BI1544" s="510">
        <v>0</v>
      </c>
      <c r="BJ1544" s="510">
        <v>0</v>
      </c>
      <c r="BK1544" s="510">
        <v>0</v>
      </c>
      <c r="BL1544" s="510">
        <v>0</v>
      </c>
      <c r="BM1544" s="510">
        <v>0</v>
      </c>
      <c r="BN1544" s="510">
        <v>2000</v>
      </c>
      <c r="BO1544" s="510">
        <v>0</v>
      </c>
      <c r="BP1544" s="510">
        <v>2000</v>
      </c>
      <c r="BQ1544" s="510">
        <v>0</v>
      </c>
      <c r="BR1544" s="510">
        <v>0</v>
      </c>
      <c r="BS1544" s="510">
        <v>0</v>
      </c>
      <c r="BT1544" s="510">
        <v>0</v>
      </c>
      <c r="BU1544" s="510">
        <v>0</v>
      </c>
      <c r="BV1544" s="510">
        <v>0</v>
      </c>
      <c r="BW1544" s="510">
        <v>0</v>
      </c>
      <c r="BX1544" s="510">
        <v>30000</v>
      </c>
      <c r="BY1544" s="1011">
        <v>0</v>
      </c>
      <c r="BZ1544" s="510">
        <v>0</v>
      </c>
      <c r="CA1544" s="1011">
        <v>0</v>
      </c>
      <c r="CB1544" s="510">
        <v>0</v>
      </c>
      <c r="CC1544" s="1011">
        <v>0</v>
      </c>
      <c r="CD1544" s="510">
        <v>0</v>
      </c>
      <c r="CE1544" s="1011">
        <v>0</v>
      </c>
      <c r="CF1544" s="510">
        <v>39988.800000000003</v>
      </c>
      <c r="CG1544" s="1011">
        <v>0</v>
      </c>
      <c r="CH1544" s="510">
        <v>0</v>
      </c>
      <c r="CI1544" s="1011">
        <v>0</v>
      </c>
    </row>
    <row r="1545" spans="1:87" x14ac:dyDescent="0.2">
      <c r="A1545" s="449">
        <v>39</v>
      </c>
      <c r="B1545" s="453">
        <v>400676</v>
      </c>
      <c r="C1545" s="454" t="s">
        <v>12185</v>
      </c>
      <c r="D1545" s="454" t="s">
        <v>3469</v>
      </c>
      <c r="E1545" s="454" t="s">
        <v>12186</v>
      </c>
      <c r="F1545" s="454" t="s">
        <v>526</v>
      </c>
      <c r="G1545" s="454" t="s">
        <v>14872</v>
      </c>
      <c r="H1545" s="455">
        <v>10585346000152</v>
      </c>
      <c r="I1545" s="462">
        <v>39791</v>
      </c>
      <c r="J1545" s="457">
        <v>42592623</v>
      </c>
      <c r="K1545" s="454" t="s">
        <v>3791</v>
      </c>
      <c r="L1545" s="458">
        <v>400</v>
      </c>
      <c r="M1545" s="454" t="s">
        <v>3792</v>
      </c>
      <c r="N1545" s="459">
        <v>8191330</v>
      </c>
      <c r="O1545" s="460">
        <v>36785385</v>
      </c>
      <c r="P1545" s="462">
        <v>145990</v>
      </c>
      <c r="Q1545" s="462">
        <v>39</v>
      </c>
      <c r="R1545" s="462">
        <v>43928</v>
      </c>
      <c r="S1545" s="463">
        <v>204</v>
      </c>
      <c r="T1545" s="464">
        <v>3.6</v>
      </c>
      <c r="U1545" s="465">
        <v>734.4</v>
      </c>
      <c r="V1545" s="465">
        <v>11760</v>
      </c>
      <c r="W1545" s="466">
        <v>0</v>
      </c>
      <c r="X1545" s="467">
        <v>1</v>
      </c>
      <c r="Y1545" s="466">
        <v>18741.599999999999</v>
      </c>
      <c r="Z1545" s="468" t="s">
        <v>516</v>
      </c>
      <c r="AA1545" s="466">
        <v>86709.6</v>
      </c>
      <c r="AB1545" s="466">
        <v>86709.6</v>
      </c>
      <c r="AC1545" s="467">
        <v>0</v>
      </c>
      <c r="AD1545" s="466">
        <v>0</v>
      </c>
      <c r="AE1545" s="468" t="s">
        <v>516</v>
      </c>
      <c r="AF1545" s="466">
        <v>0</v>
      </c>
      <c r="AG1545" s="466">
        <v>0</v>
      </c>
      <c r="AH1545" s="466">
        <v>13556.9</v>
      </c>
      <c r="AI1545" s="466">
        <v>0</v>
      </c>
      <c r="AJ1545" s="469" t="s">
        <v>1410</v>
      </c>
      <c r="AK1545" s="470" t="s">
        <v>1411</v>
      </c>
      <c r="AL1545" s="471" t="s">
        <v>12187</v>
      </c>
      <c r="AM1545" s="470" t="s">
        <v>12188</v>
      </c>
      <c r="AN1545" s="470" t="s">
        <v>1385</v>
      </c>
      <c r="AO1545" s="470" t="s">
        <v>12189</v>
      </c>
      <c r="AP1545" s="470" t="s">
        <v>3794</v>
      </c>
      <c r="AQ1545" s="470" t="s">
        <v>12185</v>
      </c>
      <c r="AR1545" s="472" t="s">
        <v>515</v>
      </c>
      <c r="AS1545" s="473">
        <v>3.6</v>
      </c>
      <c r="AT1545" s="472" t="s">
        <v>3469</v>
      </c>
      <c r="AU1545" s="472" t="s">
        <v>420</v>
      </c>
      <c r="AV1545" s="472">
        <v>2020</v>
      </c>
      <c r="AW1545" s="474" t="s">
        <v>15078</v>
      </c>
      <c r="AX1545" s="475" t="s">
        <v>15079</v>
      </c>
      <c r="AY1545" s="515">
        <v>1</v>
      </c>
      <c r="AZ1545" s="474" t="s">
        <v>15079</v>
      </c>
      <c r="BA1545" s="472" t="s">
        <v>3469</v>
      </c>
      <c r="BB1545" s="472" t="s">
        <v>1385</v>
      </c>
      <c r="BC1545" s="472" t="s">
        <v>1385</v>
      </c>
      <c r="BD1545" s="472" t="s">
        <v>1385</v>
      </c>
      <c r="BE1545" s="472" t="s">
        <v>1385</v>
      </c>
      <c r="BF1545" s="472">
        <v>18741.599999999999</v>
      </c>
      <c r="BG1545" s="472">
        <v>0</v>
      </c>
      <c r="BH1545" s="472" t="s">
        <v>1385</v>
      </c>
      <c r="BI1545" s="510">
        <v>0</v>
      </c>
      <c r="BJ1545" s="510">
        <v>0</v>
      </c>
      <c r="BK1545" s="510">
        <v>0</v>
      </c>
      <c r="BL1545" s="510">
        <v>0</v>
      </c>
      <c r="BM1545" s="510">
        <v>0</v>
      </c>
      <c r="BN1545" s="510">
        <v>2000</v>
      </c>
      <c r="BO1545" s="510">
        <v>0</v>
      </c>
      <c r="BP1545" s="510">
        <v>0</v>
      </c>
      <c r="BQ1545" s="510">
        <v>0</v>
      </c>
      <c r="BR1545" s="510">
        <v>0</v>
      </c>
      <c r="BS1545" s="510">
        <v>0</v>
      </c>
      <c r="BT1545" s="510">
        <v>0</v>
      </c>
      <c r="BU1545" s="510">
        <v>0</v>
      </c>
      <c r="BV1545" s="510">
        <v>0</v>
      </c>
      <c r="BW1545" s="510">
        <v>0</v>
      </c>
      <c r="BX1545" s="510">
        <v>30000</v>
      </c>
      <c r="BY1545" s="1011">
        <v>0</v>
      </c>
      <c r="BZ1545" s="510">
        <v>0</v>
      </c>
      <c r="CA1545" s="1011">
        <v>0</v>
      </c>
      <c r="CB1545" s="510">
        <v>0</v>
      </c>
      <c r="CC1545" s="1011">
        <v>0</v>
      </c>
      <c r="CD1545" s="510">
        <v>0</v>
      </c>
      <c r="CE1545" s="1011">
        <v>0</v>
      </c>
      <c r="CF1545" s="510">
        <v>37968</v>
      </c>
      <c r="CG1545" s="1011">
        <v>0</v>
      </c>
      <c r="CH1545" s="510">
        <v>0</v>
      </c>
      <c r="CI1545" s="1011">
        <v>0</v>
      </c>
    </row>
    <row r="1546" spans="1:87" x14ac:dyDescent="0.2">
      <c r="A1546" s="449">
        <v>18</v>
      </c>
      <c r="B1546" s="453">
        <v>400684</v>
      </c>
      <c r="C1546" s="454" t="s">
        <v>12190</v>
      </c>
      <c r="D1546" s="454" t="s">
        <v>3469</v>
      </c>
      <c r="E1546" s="454" t="s">
        <v>12191</v>
      </c>
      <c r="F1546" s="454" t="s">
        <v>529</v>
      </c>
      <c r="G1546" s="454" t="s">
        <v>14873</v>
      </c>
      <c r="H1546" s="455">
        <v>10940555000177</v>
      </c>
      <c r="I1546" s="462">
        <v>39982</v>
      </c>
      <c r="J1546" s="457">
        <v>43130224</v>
      </c>
      <c r="K1546" s="454" t="s">
        <v>3878</v>
      </c>
      <c r="L1546" s="458">
        <v>5241</v>
      </c>
      <c r="M1546" s="454" t="s">
        <v>3864</v>
      </c>
      <c r="N1546" s="459">
        <v>4309001</v>
      </c>
      <c r="O1546" s="460">
        <v>33965563</v>
      </c>
      <c r="P1546" s="462">
        <v>563113</v>
      </c>
      <c r="Q1546" s="462">
        <v>4</v>
      </c>
      <c r="R1546" s="462">
        <v>43921</v>
      </c>
      <c r="S1546" s="463">
        <v>271</v>
      </c>
      <c r="T1546" s="464">
        <v>3.6</v>
      </c>
      <c r="U1546" s="465">
        <v>975.6</v>
      </c>
      <c r="V1546" s="465">
        <v>12720</v>
      </c>
      <c r="W1546" s="466">
        <v>0</v>
      </c>
      <c r="X1546" s="467">
        <v>1</v>
      </c>
      <c r="Y1546" s="466">
        <v>20543.400000000001</v>
      </c>
      <c r="Z1546" s="468" t="s">
        <v>516</v>
      </c>
      <c r="AA1546" s="466">
        <v>92934.6</v>
      </c>
      <c r="AB1546" s="466">
        <v>92934.6</v>
      </c>
      <c r="AC1546" s="467">
        <v>0</v>
      </c>
      <c r="AD1546" s="466">
        <v>0</v>
      </c>
      <c r="AE1546" s="468" t="s">
        <v>516</v>
      </c>
      <c r="AF1546" s="466">
        <v>0</v>
      </c>
      <c r="AG1546" s="466">
        <v>0</v>
      </c>
      <c r="AH1546" s="466">
        <v>13035.6</v>
      </c>
      <c r="AI1546" s="466">
        <v>4918.41</v>
      </c>
      <c r="AJ1546" s="469" t="s">
        <v>3879</v>
      </c>
      <c r="AK1546" s="470" t="s">
        <v>3864</v>
      </c>
      <c r="AL1546" s="471" t="s">
        <v>12192</v>
      </c>
      <c r="AM1546" s="470" t="s">
        <v>12193</v>
      </c>
      <c r="AN1546" s="470" t="s">
        <v>14873</v>
      </c>
      <c r="AO1546" s="470" t="s">
        <v>12194</v>
      </c>
      <c r="AP1546" s="470" t="s">
        <v>3868</v>
      </c>
      <c r="AQ1546" s="470" t="s">
        <v>12190</v>
      </c>
      <c r="AR1546" s="472" t="s">
        <v>515</v>
      </c>
      <c r="AS1546" s="473">
        <v>3.6</v>
      </c>
      <c r="AT1546" s="472" t="s">
        <v>3469</v>
      </c>
      <c r="AU1546" s="472" t="s">
        <v>420</v>
      </c>
      <c r="AV1546" s="472">
        <v>2020</v>
      </c>
      <c r="AW1546" s="474" t="s">
        <v>15078</v>
      </c>
      <c r="AX1546" s="475" t="s">
        <v>15079</v>
      </c>
      <c r="AY1546" s="515">
        <v>1</v>
      </c>
      <c r="AZ1546" s="474" t="s">
        <v>15079</v>
      </c>
      <c r="BA1546" s="472" t="s">
        <v>3469</v>
      </c>
      <c r="BB1546" s="472" t="s">
        <v>1385</v>
      </c>
      <c r="BC1546" s="472" t="s">
        <v>1385</v>
      </c>
      <c r="BD1546" s="472" t="s">
        <v>1385</v>
      </c>
      <c r="BE1546" s="472" t="s">
        <v>1385</v>
      </c>
      <c r="BF1546" s="472">
        <v>20543.400000000001</v>
      </c>
      <c r="BG1546" s="472">
        <v>0</v>
      </c>
      <c r="BH1546" s="472" t="s">
        <v>1385</v>
      </c>
      <c r="BI1546" s="510">
        <v>0</v>
      </c>
      <c r="BJ1546" s="510">
        <v>0</v>
      </c>
      <c r="BK1546" s="510">
        <v>0</v>
      </c>
      <c r="BL1546" s="510">
        <v>0</v>
      </c>
      <c r="BM1546" s="510">
        <v>0</v>
      </c>
      <c r="BN1546" s="510">
        <v>3000</v>
      </c>
      <c r="BO1546" s="510">
        <v>0</v>
      </c>
      <c r="BP1546" s="510">
        <v>0</v>
      </c>
      <c r="BQ1546" s="510">
        <v>0</v>
      </c>
      <c r="BR1546" s="510">
        <v>0</v>
      </c>
      <c r="BS1546" s="510">
        <v>0</v>
      </c>
      <c r="BT1546" s="510">
        <v>0</v>
      </c>
      <c r="BU1546" s="510">
        <v>0</v>
      </c>
      <c r="BV1546" s="510">
        <v>0</v>
      </c>
      <c r="BW1546" s="510">
        <v>0</v>
      </c>
      <c r="BX1546" s="510">
        <v>30000</v>
      </c>
      <c r="BY1546" s="1011">
        <v>0</v>
      </c>
      <c r="BZ1546" s="510">
        <v>0</v>
      </c>
      <c r="CA1546" s="1011">
        <v>0</v>
      </c>
      <c r="CB1546" s="510">
        <v>0</v>
      </c>
      <c r="CC1546" s="1011">
        <v>0</v>
      </c>
      <c r="CD1546" s="510">
        <v>0</v>
      </c>
      <c r="CE1546" s="1011">
        <v>0</v>
      </c>
      <c r="CF1546" s="510">
        <v>42391.199999999997</v>
      </c>
      <c r="CG1546" s="1011">
        <v>0</v>
      </c>
      <c r="CH1546" s="510">
        <v>0</v>
      </c>
      <c r="CI1546" s="1011">
        <v>0</v>
      </c>
    </row>
    <row r="1547" spans="1:87" x14ac:dyDescent="0.2">
      <c r="A1547" s="449">
        <v>44</v>
      </c>
      <c r="B1547" s="453">
        <v>400688</v>
      </c>
      <c r="C1547" s="454" t="s">
        <v>12195</v>
      </c>
      <c r="D1547" s="454" t="s">
        <v>3469</v>
      </c>
      <c r="E1547" s="454" t="s">
        <v>12195</v>
      </c>
      <c r="F1547" s="454" t="s">
        <v>520</v>
      </c>
      <c r="G1547" s="454" t="s">
        <v>14874</v>
      </c>
      <c r="H1547" s="455">
        <v>11063053000178</v>
      </c>
      <c r="I1547" s="462">
        <v>39983</v>
      </c>
      <c r="J1547" s="457">
        <v>44868901</v>
      </c>
      <c r="K1547" s="454" t="s">
        <v>3886</v>
      </c>
      <c r="L1547" s="458" t="s">
        <v>1446</v>
      </c>
      <c r="M1547" s="454" t="s">
        <v>3887</v>
      </c>
      <c r="N1547" s="459">
        <v>5867380</v>
      </c>
      <c r="O1547" s="460">
        <v>58738079</v>
      </c>
      <c r="P1547" s="462">
        <v>296115</v>
      </c>
      <c r="Q1547" s="462">
        <v>44</v>
      </c>
      <c r="R1547" s="462">
        <v>43969</v>
      </c>
      <c r="S1547" s="463">
        <v>197</v>
      </c>
      <c r="T1547" s="464">
        <v>3.6</v>
      </c>
      <c r="U1547" s="465">
        <v>709.2</v>
      </c>
      <c r="V1547" s="465">
        <v>10800</v>
      </c>
      <c r="W1547" s="466">
        <v>0</v>
      </c>
      <c r="X1547" s="467">
        <v>1</v>
      </c>
      <c r="Y1547" s="466">
        <v>17263.8</v>
      </c>
      <c r="Z1547" s="468" t="s">
        <v>516</v>
      </c>
      <c r="AA1547" s="466">
        <v>85267.8</v>
      </c>
      <c r="AB1547" s="466">
        <v>85267.8</v>
      </c>
      <c r="AC1547" s="467">
        <v>0</v>
      </c>
      <c r="AD1547" s="466">
        <v>0</v>
      </c>
      <c r="AE1547" s="468" t="s">
        <v>516</v>
      </c>
      <c r="AF1547" s="466">
        <v>0</v>
      </c>
      <c r="AG1547" s="466">
        <v>0</v>
      </c>
      <c r="AH1547" s="466">
        <v>9189.6</v>
      </c>
      <c r="AI1547" s="466">
        <v>5381.12</v>
      </c>
      <c r="AJ1547" s="469" t="s">
        <v>1515</v>
      </c>
      <c r="AK1547" s="470" t="s">
        <v>1516</v>
      </c>
      <c r="AL1547" s="471" t="s">
        <v>12197</v>
      </c>
      <c r="AM1547" s="470" t="s">
        <v>12198</v>
      </c>
      <c r="AN1547" s="470" t="s">
        <v>12196</v>
      </c>
      <c r="AO1547" s="470" t="s">
        <v>12199</v>
      </c>
      <c r="AP1547" s="470" t="s">
        <v>4687</v>
      </c>
      <c r="AQ1547" s="470" t="s">
        <v>12195</v>
      </c>
      <c r="AR1547" s="472" t="s">
        <v>515</v>
      </c>
      <c r="AS1547" s="473">
        <v>3.6</v>
      </c>
      <c r="AT1547" s="472" t="s">
        <v>3469</v>
      </c>
      <c r="AU1547" s="472" t="s">
        <v>420</v>
      </c>
      <c r="AV1547" s="472">
        <v>2020</v>
      </c>
      <c r="AW1547" s="474" t="s">
        <v>15078</v>
      </c>
      <c r="AX1547" s="475" t="s">
        <v>15079</v>
      </c>
      <c r="AY1547" s="515">
        <v>1</v>
      </c>
      <c r="AZ1547" s="474" t="s">
        <v>15079</v>
      </c>
      <c r="BA1547" s="472" t="s">
        <v>3469</v>
      </c>
      <c r="BB1547" s="472" t="s">
        <v>1385</v>
      </c>
      <c r="BC1547" s="472" t="s">
        <v>1385</v>
      </c>
      <c r="BD1547" s="472" t="s">
        <v>1385</v>
      </c>
      <c r="BE1547" s="472" t="s">
        <v>1385</v>
      </c>
      <c r="BF1547" s="472">
        <v>17263.8</v>
      </c>
      <c r="BG1547" s="472">
        <v>0</v>
      </c>
      <c r="BH1547" s="472" t="s">
        <v>1385</v>
      </c>
      <c r="BI1547" s="510">
        <v>0</v>
      </c>
      <c r="BJ1547" s="510">
        <v>0</v>
      </c>
      <c r="BK1547" s="510">
        <v>0</v>
      </c>
      <c r="BL1547" s="510">
        <v>0</v>
      </c>
      <c r="BM1547" s="510">
        <v>0</v>
      </c>
      <c r="BN1547" s="510">
        <v>2000</v>
      </c>
      <c r="BO1547" s="510">
        <v>0</v>
      </c>
      <c r="BP1547" s="510">
        <v>0</v>
      </c>
      <c r="BQ1547" s="510">
        <v>0</v>
      </c>
      <c r="BR1547" s="510">
        <v>0</v>
      </c>
      <c r="BS1547" s="510">
        <v>0</v>
      </c>
      <c r="BT1547" s="510">
        <v>0</v>
      </c>
      <c r="BU1547" s="510">
        <v>0</v>
      </c>
      <c r="BV1547" s="510">
        <v>0</v>
      </c>
      <c r="BW1547" s="510">
        <v>0</v>
      </c>
      <c r="BX1547" s="510">
        <v>30000</v>
      </c>
      <c r="BY1547" s="1011">
        <v>0</v>
      </c>
      <c r="BZ1547" s="510">
        <v>0</v>
      </c>
      <c r="CA1547" s="1011">
        <v>0</v>
      </c>
      <c r="CB1547" s="510">
        <v>0</v>
      </c>
      <c r="CC1547" s="1011">
        <v>0</v>
      </c>
      <c r="CD1547" s="510">
        <v>0</v>
      </c>
      <c r="CE1547" s="1011">
        <v>0</v>
      </c>
      <c r="CF1547" s="510">
        <v>38004</v>
      </c>
      <c r="CG1547" s="1011">
        <v>0</v>
      </c>
      <c r="CH1547" s="510">
        <v>0</v>
      </c>
      <c r="CI1547" s="1011">
        <v>0</v>
      </c>
    </row>
    <row r="1548" spans="1:87" x14ac:dyDescent="0.2">
      <c r="A1548" s="449">
        <v>47</v>
      </c>
      <c r="B1548" s="453">
        <v>400689</v>
      </c>
      <c r="C1548" s="454" t="s">
        <v>12200</v>
      </c>
      <c r="D1548" s="454" t="s">
        <v>3469</v>
      </c>
      <c r="E1548" s="454" t="s">
        <v>12200</v>
      </c>
      <c r="F1548" s="454" t="s">
        <v>520</v>
      </c>
      <c r="G1548" s="454" t="s">
        <v>14875</v>
      </c>
      <c r="H1548" s="455">
        <v>11039754000171</v>
      </c>
      <c r="I1548" s="462">
        <v>39996</v>
      </c>
      <c r="J1548" s="457">
        <v>42046610</v>
      </c>
      <c r="K1548" s="454" t="s">
        <v>3894</v>
      </c>
      <c r="L1548" s="458" t="s">
        <v>1446</v>
      </c>
      <c r="M1548" s="454" t="s">
        <v>3895</v>
      </c>
      <c r="N1548" s="459">
        <v>5712040</v>
      </c>
      <c r="O1548" s="460">
        <v>37394357</v>
      </c>
      <c r="P1548" s="462">
        <v>296280</v>
      </c>
      <c r="Q1548" s="462">
        <v>47</v>
      </c>
      <c r="R1548" s="462">
        <v>43979</v>
      </c>
      <c r="S1548" s="463">
        <v>181</v>
      </c>
      <c r="T1548" s="464">
        <v>3.6</v>
      </c>
      <c r="U1548" s="465">
        <v>651.6</v>
      </c>
      <c r="V1548" s="465">
        <v>10800</v>
      </c>
      <c r="W1548" s="466">
        <v>0</v>
      </c>
      <c r="X1548" s="467">
        <v>1</v>
      </c>
      <c r="Y1548" s="466">
        <v>17177.400000000001</v>
      </c>
      <c r="Z1548" s="468" t="s">
        <v>516</v>
      </c>
      <c r="AA1548" s="466">
        <v>85080.6</v>
      </c>
      <c r="AB1548" s="466">
        <v>85080.6</v>
      </c>
      <c r="AC1548" s="467">
        <v>0</v>
      </c>
      <c r="AD1548" s="466">
        <v>0</v>
      </c>
      <c r="AE1548" s="468" t="s">
        <v>516</v>
      </c>
      <c r="AF1548" s="466">
        <v>2000</v>
      </c>
      <c r="AG1548" s="466">
        <v>2000</v>
      </c>
      <c r="AH1548" s="466">
        <v>21973.09</v>
      </c>
      <c r="AI1548" s="466">
        <v>6587.29</v>
      </c>
      <c r="AJ1548" s="469" t="s">
        <v>1470</v>
      </c>
      <c r="AK1548" s="470" t="s">
        <v>3856</v>
      </c>
      <c r="AL1548" s="471" t="s">
        <v>12202</v>
      </c>
      <c r="AM1548" s="470" t="s">
        <v>12203</v>
      </c>
      <c r="AN1548" s="470" t="s">
        <v>12201</v>
      </c>
      <c r="AO1548" s="470" t="s">
        <v>12204</v>
      </c>
      <c r="AP1548" s="470" t="s">
        <v>3139</v>
      </c>
      <c r="AQ1548" s="470" t="s">
        <v>12200</v>
      </c>
      <c r="AR1548" s="472" t="s">
        <v>515</v>
      </c>
      <c r="AS1548" s="473">
        <v>3.6</v>
      </c>
      <c r="AT1548" s="472" t="s">
        <v>3469</v>
      </c>
      <c r="AU1548" s="472" t="s">
        <v>420</v>
      </c>
      <c r="AV1548" s="472">
        <v>2020</v>
      </c>
      <c r="AW1548" s="474" t="s">
        <v>15078</v>
      </c>
      <c r="AX1548" s="475" t="s">
        <v>15079</v>
      </c>
      <c r="AY1548" s="515">
        <v>1</v>
      </c>
      <c r="AZ1548" s="474" t="s">
        <v>15079</v>
      </c>
      <c r="BA1548" s="472" t="s">
        <v>3469</v>
      </c>
      <c r="BB1548" s="472" t="s">
        <v>1385</v>
      </c>
      <c r="BC1548" s="472" t="s">
        <v>1385</v>
      </c>
      <c r="BD1548" s="472" t="s">
        <v>1385</v>
      </c>
      <c r="BE1548" s="472" t="s">
        <v>1385</v>
      </c>
      <c r="BF1548" s="472">
        <v>17177.400000000001</v>
      </c>
      <c r="BG1548" s="472">
        <v>0</v>
      </c>
      <c r="BH1548" s="472" t="s">
        <v>1385</v>
      </c>
      <c r="BI1548" s="510">
        <v>0</v>
      </c>
      <c r="BJ1548" s="510">
        <v>1800</v>
      </c>
      <c r="BK1548" s="510">
        <v>0</v>
      </c>
      <c r="BL1548" s="510">
        <v>0</v>
      </c>
      <c r="BM1548" s="510">
        <v>0</v>
      </c>
      <c r="BN1548" s="510">
        <v>2000</v>
      </c>
      <c r="BO1548" s="510">
        <v>0</v>
      </c>
      <c r="BP1548" s="510">
        <v>2000</v>
      </c>
      <c r="BQ1548" s="510">
        <v>0</v>
      </c>
      <c r="BR1548" s="510">
        <v>0</v>
      </c>
      <c r="BS1548" s="510">
        <v>0</v>
      </c>
      <c r="BT1548" s="510">
        <v>0</v>
      </c>
      <c r="BU1548" s="510">
        <v>0</v>
      </c>
      <c r="BV1548" s="510">
        <v>0</v>
      </c>
      <c r="BW1548" s="510">
        <v>0</v>
      </c>
      <c r="BX1548" s="510">
        <v>30000</v>
      </c>
      <c r="BY1548" s="1011">
        <v>0</v>
      </c>
      <c r="BZ1548" s="510">
        <v>0</v>
      </c>
      <c r="CA1548" s="1011">
        <v>0</v>
      </c>
      <c r="CB1548" s="510">
        <v>0</v>
      </c>
      <c r="CC1548" s="1011">
        <v>0</v>
      </c>
      <c r="CD1548" s="510">
        <v>0</v>
      </c>
      <c r="CE1548" s="1011">
        <v>0</v>
      </c>
      <c r="CF1548" s="510">
        <v>37903.199999999997</v>
      </c>
      <c r="CG1548" s="1011">
        <v>0</v>
      </c>
      <c r="CH1548" s="510">
        <v>0</v>
      </c>
      <c r="CI1548" s="1011">
        <v>0</v>
      </c>
    </row>
    <row r="1549" spans="1:87" x14ac:dyDescent="0.2">
      <c r="A1549" s="449">
        <v>21</v>
      </c>
      <c r="B1549" s="453">
        <v>400690</v>
      </c>
      <c r="C1549" s="454" t="s">
        <v>12205</v>
      </c>
      <c r="D1549" s="454" t="s">
        <v>3469</v>
      </c>
      <c r="E1549" s="454" t="s">
        <v>12206</v>
      </c>
      <c r="F1549" s="454" t="s">
        <v>524</v>
      </c>
      <c r="G1549" s="454" t="s">
        <v>14876</v>
      </c>
      <c r="H1549" s="455">
        <v>10937939000130</v>
      </c>
      <c r="I1549" s="462">
        <v>39990</v>
      </c>
      <c r="J1549" s="457">
        <v>40922588</v>
      </c>
      <c r="K1549" s="454" t="s">
        <v>3961</v>
      </c>
      <c r="L1549" s="458" t="s">
        <v>1446</v>
      </c>
      <c r="M1549" s="454" t="s">
        <v>3901</v>
      </c>
      <c r="N1549" s="459">
        <v>4177070</v>
      </c>
      <c r="O1549" s="460">
        <v>22648762</v>
      </c>
      <c r="P1549" s="462">
        <v>197907</v>
      </c>
      <c r="Q1549" s="462">
        <v>23</v>
      </c>
      <c r="R1549" s="462">
        <v>43906</v>
      </c>
      <c r="S1549" s="463">
        <v>251</v>
      </c>
      <c r="T1549" s="464">
        <v>3.6</v>
      </c>
      <c r="U1549" s="465">
        <v>903.6</v>
      </c>
      <c r="V1549" s="465">
        <v>12720</v>
      </c>
      <c r="W1549" s="466">
        <v>0</v>
      </c>
      <c r="X1549" s="467">
        <v>1</v>
      </c>
      <c r="Y1549" s="466">
        <v>20435.400000000001</v>
      </c>
      <c r="Z1549" s="468" t="s">
        <v>516</v>
      </c>
      <c r="AA1549" s="466">
        <v>90589.8</v>
      </c>
      <c r="AB1549" s="466">
        <v>90589.8</v>
      </c>
      <c r="AC1549" s="467">
        <v>0</v>
      </c>
      <c r="AD1549" s="466">
        <v>0</v>
      </c>
      <c r="AE1549" s="468" t="s">
        <v>516</v>
      </c>
      <c r="AF1549" s="466">
        <v>0</v>
      </c>
      <c r="AG1549" s="466">
        <v>0</v>
      </c>
      <c r="AH1549" s="466">
        <v>41393.06</v>
      </c>
      <c r="AI1549" s="466">
        <v>2997.15</v>
      </c>
      <c r="AJ1549" s="469" t="s">
        <v>2402</v>
      </c>
      <c r="AK1549" s="470" t="s">
        <v>2403</v>
      </c>
      <c r="AL1549" s="471" t="s">
        <v>12208</v>
      </c>
      <c r="AM1549" s="470" t="s">
        <v>15106</v>
      </c>
      <c r="AN1549" s="470" t="s">
        <v>12207</v>
      </c>
      <c r="AO1549" s="470" t="s">
        <v>14877</v>
      </c>
      <c r="AP1549" s="470" t="s">
        <v>3901</v>
      </c>
      <c r="AQ1549" s="470" t="s">
        <v>12205</v>
      </c>
      <c r="AR1549" s="472" t="s">
        <v>515</v>
      </c>
      <c r="AS1549" s="473">
        <v>3.6</v>
      </c>
      <c r="AT1549" s="472" t="s">
        <v>3469</v>
      </c>
      <c r="AU1549" s="472" t="s">
        <v>420</v>
      </c>
      <c r="AV1549" s="472">
        <v>2020</v>
      </c>
      <c r="AW1549" s="474" t="s">
        <v>15078</v>
      </c>
      <c r="AX1549" s="475" t="s">
        <v>15079</v>
      </c>
      <c r="AY1549" s="515">
        <v>1</v>
      </c>
      <c r="AZ1549" s="474" t="s">
        <v>15079</v>
      </c>
      <c r="BA1549" s="472" t="s">
        <v>3469</v>
      </c>
      <c r="BB1549" s="472" t="s">
        <v>1385</v>
      </c>
      <c r="BC1549" s="472" t="s">
        <v>1385</v>
      </c>
      <c r="BD1549" s="472" t="s">
        <v>1385</v>
      </c>
      <c r="BE1549" s="472" t="s">
        <v>1385</v>
      </c>
      <c r="BF1549" s="472">
        <v>20435.400000000001</v>
      </c>
      <c r="BG1549" s="472">
        <v>0</v>
      </c>
      <c r="BH1549" s="472" t="s">
        <v>1385</v>
      </c>
      <c r="BI1549" s="510">
        <v>0</v>
      </c>
      <c r="BJ1549" s="510">
        <v>0</v>
      </c>
      <c r="BK1549" s="510">
        <v>0</v>
      </c>
      <c r="BL1549" s="510">
        <v>0</v>
      </c>
      <c r="BM1549" s="510">
        <v>0</v>
      </c>
      <c r="BN1549" s="510">
        <v>3000</v>
      </c>
      <c r="BO1549" s="510">
        <v>0</v>
      </c>
      <c r="BP1549" s="510">
        <v>0</v>
      </c>
      <c r="BQ1549" s="510">
        <v>0</v>
      </c>
      <c r="BR1549" s="510">
        <v>0</v>
      </c>
      <c r="BS1549" s="510">
        <v>0</v>
      </c>
      <c r="BT1549" s="510">
        <v>0</v>
      </c>
      <c r="BU1549" s="510">
        <v>0</v>
      </c>
      <c r="BV1549" s="510">
        <v>0</v>
      </c>
      <c r="BW1549" s="510">
        <v>0</v>
      </c>
      <c r="BX1549" s="510">
        <v>30000</v>
      </c>
      <c r="BY1549" s="1011">
        <v>0</v>
      </c>
      <c r="BZ1549" s="510">
        <v>0</v>
      </c>
      <c r="CA1549" s="1011">
        <v>0</v>
      </c>
      <c r="CB1549" s="510">
        <v>0</v>
      </c>
      <c r="CC1549" s="1011">
        <v>0</v>
      </c>
      <c r="CD1549" s="510">
        <v>0</v>
      </c>
      <c r="CE1549" s="1011">
        <v>0</v>
      </c>
      <c r="CF1549" s="510">
        <v>40154.400000000001</v>
      </c>
      <c r="CG1549" s="1011">
        <v>0</v>
      </c>
      <c r="CH1549" s="510">
        <v>0</v>
      </c>
      <c r="CI1549" s="1011">
        <v>0</v>
      </c>
    </row>
    <row r="1550" spans="1:87" x14ac:dyDescent="0.2">
      <c r="A1550" s="449">
        <v>24</v>
      </c>
      <c r="B1550" s="453">
        <v>400691</v>
      </c>
      <c r="C1550" s="454" t="s">
        <v>12209</v>
      </c>
      <c r="D1550" s="454" t="s">
        <v>3469</v>
      </c>
      <c r="E1550" s="454" t="s">
        <v>12210</v>
      </c>
      <c r="F1550" s="454" t="s">
        <v>518</v>
      </c>
      <c r="G1550" s="454" t="s">
        <v>14878</v>
      </c>
      <c r="H1550" s="455">
        <v>11068072000197</v>
      </c>
      <c r="I1550" s="462">
        <v>40002</v>
      </c>
      <c r="J1550" s="457">
        <v>41861663</v>
      </c>
      <c r="K1550" s="454" t="s">
        <v>3907</v>
      </c>
      <c r="L1550" s="458" t="s">
        <v>1446</v>
      </c>
      <c r="M1550" s="454" t="s">
        <v>3908</v>
      </c>
      <c r="N1550" s="459">
        <v>3386090</v>
      </c>
      <c r="O1550" s="460">
        <v>22160526</v>
      </c>
      <c r="P1550" s="462">
        <v>46682</v>
      </c>
      <c r="Q1550" s="462">
        <v>24</v>
      </c>
      <c r="R1550" s="462">
        <v>43934</v>
      </c>
      <c r="S1550" s="463">
        <v>204</v>
      </c>
      <c r="T1550" s="464">
        <v>3.6</v>
      </c>
      <c r="U1550" s="465">
        <v>734.4</v>
      </c>
      <c r="V1550" s="465">
        <v>11760</v>
      </c>
      <c r="W1550" s="466">
        <v>0</v>
      </c>
      <c r="X1550" s="467">
        <v>1</v>
      </c>
      <c r="Y1550" s="466">
        <v>18741.599999999999</v>
      </c>
      <c r="Z1550" s="468" t="s">
        <v>516</v>
      </c>
      <c r="AA1550" s="466">
        <v>86745.600000000006</v>
      </c>
      <c r="AB1550" s="466">
        <v>86745.600000000006</v>
      </c>
      <c r="AC1550" s="467">
        <v>0</v>
      </c>
      <c r="AD1550" s="466">
        <v>0</v>
      </c>
      <c r="AE1550" s="468" t="s">
        <v>516</v>
      </c>
      <c r="AF1550" s="466">
        <v>0</v>
      </c>
      <c r="AG1550" s="466">
        <v>0</v>
      </c>
      <c r="AH1550" s="466">
        <v>11234.55</v>
      </c>
      <c r="AI1550" s="466">
        <v>7609.08</v>
      </c>
      <c r="AJ1550" s="469" t="s">
        <v>3969</v>
      </c>
      <c r="AK1550" s="470" t="s">
        <v>2613</v>
      </c>
      <c r="AL1550" s="471" t="s">
        <v>12211</v>
      </c>
      <c r="AM1550" s="470" t="s">
        <v>14879</v>
      </c>
      <c r="AN1550" s="470" t="s">
        <v>12212</v>
      </c>
      <c r="AO1550" s="470" t="s">
        <v>15065</v>
      </c>
      <c r="AP1550" s="470" t="s">
        <v>12213</v>
      </c>
      <c r="AQ1550" s="470" t="s">
        <v>12209</v>
      </c>
      <c r="AR1550" s="472" t="s">
        <v>515</v>
      </c>
      <c r="AS1550" s="473">
        <v>3.6</v>
      </c>
      <c r="AT1550" s="472" t="s">
        <v>3469</v>
      </c>
      <c r="AU1550" s="472" t="s">
        <v>420</v>
      </c>
      <c r="AV1550" s="472">
        <v>2020</v>
      </c>
      <c r="AW1550" s="474" t="s">
        <v>15078</v>
      </c>
      <c r="AX1550" s="475" t="s">
        <v>15079</v>
      </c>
      <c r="AY1550" s="515">
        <v>1</v>
      </c>
      <c r="AZ1550" s="474" t="s">
        <v>15079</v>
      </c>
      <c r="BA1550" s="472" t="s">
        <v>3469</v>
      </c>
      <c r="BB1550" s="472" t="s">
        <v>1385</v>
      </c>
      <c r="BC1550" s="472" t="s">
        <v>1385</v>
      </c>
      <c r="BD1550" s="472" t="s">
        <v>1385</v>
      </c>
      <c r="BE1550" s="472" t="s">
        <v>1385</v>
      </c>
      <c r="BF1550" s="472">
        <v>18741.599999999999</v>
      </c>
      <c r="BG1550" s="472">
        <v>0</v>
      </c>
      <c r="BH1550" s="472" t="s">
        <v>1385</v>
      </c>
      <c r="BI1550" s="510">
        <v>0</v>
      </c>
      <c r="BJ1550" s="510">
        <v>0</v>
      </c>
      <c r="BK1550" s="510">
        <v>0</v>
      </c>
      <c r="BL1550" s="510">
        <v>0</v>
      </c>
      <c r="BM1550" s="510">
        <v>0</v>
      </c>
      <c r="BN1550" s="510">
        <v>800</v>
      </c>
      <c r="BO1550" s="510">
        <v>0</v>
      </c>
      <c r="BP1550" s="510">
        <v>0</v>
      </c>
      <c r="BQ1550" s="510">
        <v>0</v>
      </c>
      <c r="BR1550" s="510">
        <v>0</v>
      </c>
      <c r="BS1550" s="510">
        <v>0</v>
      </c>
      <c r="BT1550" s="510">
        <v>0</v>
      </c>
      <c r="BU1550" s="510">
        <v>0</v>
      </c>
      <c r="BV1550" s="510">
        <v>0</v>
      </c>
      <c r="BW1550" s="510">
        <v>0</v>
      </c>
      <c r="BX1550" s="510">
        <v>30000</v>
      </c>
      <c r="BY1550" s="1011">
        <v>0</v>
      </c>
      <c r="BZ1550" s="510">
        <v>0</v>
      </c>
      <c r="CA1550" s="1011">
        <v>0</v>
      </c>
      <c r="CB1550" s="510">
        <v>0</v>
      </c>
      <c r="CC1550" s="1011">
        <v>0</v>
      </c>
      <c r="CD1550" s="510">
        <v>0</v>
      </c>
      <c r="CE1550" s="1011">
        <v>0</v>
      </c>
      <c r="CF1550" s="510">
        <v>38004</v>
      </c>
      <c r="CG1550" s="1011">
        <v>0</v>
      </c>
      <c r="CH1550" s="510">
        <v>0</v>
      </c>
      <c r="CI1550" s="1011">
        <v>0</v>
      </c>
    </row>
    <row r="1551" spans="1:87" x14ac:dyDescent="0.2">
      <c r="A1551" s="449">
        <v>17</v>
      </c>
      <c r="B1551" s="453">
        <v>400692</v>
      </c>
      <c r="C1551" s="454" t="s">
        <v>12214</v>
      </c>
      <c r="D1551" s="454" t="s">
        <v>3469</v>
      </c>
      <c r="E1551" s="454" t="s">
        <v>12215</v>
      </c>
      <c r="F1551" s="454" t="s">
        <v>519</v>
      </c>
      <c r="G1551" s="454" t="s">
        <v>14880</v>
      </c>
      <c r="H1551" s="455">
        <v>10885244000152</v>
      </c>
      <c r="I1551" s="462">
        <v>39960</v>
      </c>
      <c r="J1551" s="457">
        <v>39276228</v>
      </c>
      <c r="K1551" s="454" t="s">
        <v>3917</v>
      </c>
      <c r="L1551" s="458">
        <v>849</v>
      </c>
      <c r="M1551" s="454" t="s">
        <v>3918</v>
      </c>
      <c r="N1551" s="459">
        <v>5570030</v>
      </c>
      <c r="O1551" s="460">
        <v>37831926</v>
      </c>
      <c r="P1551" s="462">
        <v>133526</v>
      </c>
      <c r="Q1551" s="462">
        <v>70</v>
      </c>
      <c r="R1551" s="462">
        <v>43881</v>
      </c>
      <c r="S1551" s="463">
        <v>227</v>
      </c>
      <c r="T1551" s="464">
        <v>3.6</v>
      </c>
      <c r="U1551" s="465">
        <v>817.2</v>
      </c>
      <c r="V1551" s="465">
        <v>11760</v>
      </c>
      <c r="W1551" s="466">
        <v>0</v>
      </c>
      <c r="X1551" s="467">
        <v>1</v>
      </c>
      <c r="Y1551" s="466">
        <v>0</v>
      </c>
      <c r="Z1551" s="468" t="s">
        <v>514</v>
      </c>
      <c r="AA1551" s="466">
        <v>0</v>
      </c>
      <c r="AB1551" s="466">
        <v>0</v>
      </c>
      <c r="AC1551" s="467">
        <v>0</v>
      </c>
      <c r="AD1551" s="466">
        <v>0</v>
      </c>
      <c r="AE1551" s="468" t="s">
        <v>516</v>
      </c>
      <c r="AF1551" s="466">
        <v>0</v>
      </c>
      <c r="AG1551" s="466">
        <v>0</v>
      </c>
      <c r="AH1551" s="466">
        <v>3140.05</v>
      </c>
      <c r="AI1551" s="466">
        <v>1274.1600000000001</v>
      </c>
      <c r="AJ1551" s="469" t="s">
        <v>1940</v>
      </c>
      <c r="AK1551" s="470" t="s">
        <v>1941</v>
      </c>
      <c r="AL1551" s="471" t="s">
        <v>12217</v>
      </c>
      <c r="AM1551" s="470" t="s">
        <v>12218</v>
      </c>
      <c r="AN1551" s="470" t="s">
        <v>12216</v>
      </c>
      <c r="AO1551" s="470" t="s">
        <v>12219</v>
      </c>
      <c r="AP1551" s="470" t="s">
        <v>3921</v>
      </c>
      <c r="AQ1551" s="470" t="s">
        <v>12214</v>
      </c>
      <c r="AR1551" s="472" t="s">
        <v>515</v>
      </c>
      <c r="AS1551" s="473">
        <v>3.6</v>
      </c>
      <c r="AT1551" s="472" t="s">
        <v>3469</v>
      </c>
      <c r="AU1551" s="472" t="s">
        <v>420</v>
      </c>
      <c r="AV1551" s="472">
        <v>2020</v>
      </c>
      <c r="AW1551" s="474" t="s">
        <v>15078</v>
      </c>
      <c r="AX1551" s="475" t="s">
        <v>15079</v>
      </c>
      <c r="AY1551" s="515">
        <v>1</v>
      </c>
      <c r="AZ1551" s="474" t="s">
        <v>15079</v>
      </c>
      <c r="BA1551" s="472" t="s">
        <v>1385</v>
      </c>
      <c r="BB1551" s="472" t="s">
        <v>1385</v>
      </c>
      <c r="BC1551" s="472" t="s">
        <v>1385</v>
      </c>
      <c r="BD1551" s="472" t="s">
        <v>1385</v>
      </c>
      <c r="BE1551" s="472" t="s">
        <v>1385</v>
      </c>
      <c r="BF1551" s="472">
        <v>18865.8</v>
      </c>
      <c r="BG1551" s="472">
        <v>0</v>
      </c>
      <c r="BH1551" s="472" t="s">
        <v>516</v>
      </c>
      <c r="BI1551" s="510">
        <v>0</v>
      </c>
      <c r="BJ1551" s="510">
        <v>0</v>
      </c>
      <c r="BK1551" s="510">
        <v>0</v>
      </c>
      <c r="BL1551" s="510">
        <v>0</v>
      </c>
      <c r="BM1551" s="510">
        <v>0</v>
      </c>
      <c r="BN1551" s="510">
        <v>0</v>
      </c>
      <c r="BO1551" s="510">
        <v>0</v>
      </c>
      <c r="BP1551" s="510">
        <v>0</v>
      </c>
      <c r="BQ1551" s="510">
        <v>0</v>
      </c>
      <c r="BR1551" s="510">
        <v>0</v>
      </c>
      <c r="BS1551" s="510">
        <v>0</v>
      </c>
      <c r="BT1551" s="510">
        <v>0</v>
      </c>
      <c r="BU1551" s="510">
        <v>0</v>
      </c>
      <c r="BV1551" s="510">
        <v>0</v>
      </c>
      <c r="BW1551" s="510">
        <v>0</v>
      </c>
      <c r="BX1551" s="510">
        <v>0</v>
      </c>
      <c r="BY1551" s="1011">
        <v>0</v>
      </c>
      <c r="BZ1551" s="510">
        <v>0</v>
      </c>
      <c r="CA1551" s="1011">
        <v>0</v>
      </c>
      <c r="CB1551" s="510">
        <v>0</v>
      </c>
      <c r="CC1551" s="1011">
        <v>0</v>
      </c>
      <c r="CD1551" s="510">
        <v>0</v>
      </c>
      <c r="CE1551" s="1011">
        <v>0</v>
      </c>
      <c r="CF1551" s="510">
        <v>0</v>
      </c>
      <c r="CG1551" s="1011">
        <v>0</v>
      </c>
      <c r="CH1551" s="510">
        <v>0</v>
      </c>
      <c r="CI1551" s="1011">
        <v>0</v>
      </c>
    </row>
    <row r="1552" spans="1:87" x14ac:dyDescent="0.2">
      <c r="A1552" s="449">
        <v>25</v>
      </c>
      <c r="B1552" s="453">
        <v>400694</v>
      </c>
      <c r="C1552" s="454" t="s">
        <v>12220</v>
      </c>
      <c r="D1552" s="454" t="s">
        <v>3469</v>
      </c>
      <c r="E1552" s="454" t="s">
        <v>12221</v>
      </c>
      <c r="F1552" s="454" t="s">
        <v>528</v>
      </c>
      <c r="G1552" s="454" t="s">
        <v>14881</v>
      </c>
      <c r="H1552" s="455">
        <v>11206379000107</v>
      </c>
      <c r="I1552" s="462">
        <v>40028</v>
      </c>
      <c r="J1552" s="457">
        <v>42211107</v>
      </c>
      <c r="K1552" s="454" t="s">
        <v>12222</v>
      </c>
      <c r="L1552" s="458">
        <v>1020</v>
      </c>
      <c r="M1552" s="454" t="s">
        <v>3930</v>
      </c>
      <c r="N1552" s="459">
        <v>5267174</v>
      </c>
      <c r="O1552" s="460">
        <v>39114772</v>
      </c>
      <c r="P1552" s="462">
        <v>225080</v>
      </c>
      <c r="Q1552" s="462">
        <v>25</v>
      </c>
      <c r="R1552" s="462">
        <v>43938</v>
      </c>
      <c r="S1552" s="463">
        <v>221</v>
      </c>
      <c r="T1552" s="464">
        <v>3.6</v>
      </c>
      <c r="U1552" s="465">
        <v>795.6</v>
      </c>
      <c r="V1552" s="465">
        <v>11760</v>
      </c>
      <c r="W1552" s="466">
        <v>0</v>
      </c>
      <c r="X1552" s="467">
        <v>1</v>
      </c>
      <c r="Y1552" s="466">
        <v>18833.400000000001</v>
      </c>
      <c r="Z1552" s="468" t="s">
        <v>516</v>
      </c>
      <c r="AA1552" s="466">
        <v>88951.8</v>
      </c>
      <c r="AB1552" s="466">
        <v>88951.8</v>
      </c>
      <c r="AC1552" s="467">
        <v>0</v>
      </c>
      <c r="AD1552" s="466">
        <v>0</v>
      </c>
      <c r="AE1552" s="468" t="s">
        <v>516</v>
      </c>
      <c r="AF1552" s="466">
        <v>0</v>
      </c>
      <c r="AG1552" s="466">
        <v>0</v>
      </c>
      <c r="AH1552" s="466">
        <v>15688.54</v>
      </c>
      <c r="AI1552" s="466">
        <v>10462.209999999999</v>
      </c>
      <c r="AJ1552" s="469" t="s">
        <v>2242</v>
      </c>
      <c r="AK1552" s="470" t="s">
        <v>2241</v>
      </c>
      <c r="AL1552" s="471" t="s">
        <v>12223</v>
      </c>
      <c r="AM1552" s="470" t="s">
        <v>14882</v>
      </c>
      <c r="AN1552" s="470" t="s">
        <v>12224</v>
      </c>
      <c r="AO1552" s="470" t="s">
        <v>14883</v>
      </c>
      <c r="AP1552" s="470" t="s">
        <v>3930</v>
      </c>
      <c r="AQ1552" s="470" t="s">
        <v>12220</v>
      </c>
      <c r="AR1552" s="472" t="s">
        <v>515</v>
      </c>
      <c r="AS1552" s="473">
        <v>3.6</v>
      </c>
      <c r="AT1552" s="472" t="s">
        <v>3469</v>
      </c>
      <c r="AU1552" s="472" t="s">
        <v>420</v>
      </c>
      <c r="AV1552" s="472">
        <v>2020</v>
      </c>
      <c r="AW1552" s="474" t="s">
        <v>15078</v>
      </c>
      <c r="AX1552" s="475" t="s">
        <v>15079</v>
      </c>
      <c r="AY1552" s="515">
        <v>1</v>
      </c>
      <c r="AZ1552" s="474" t="s">
        <v>15079</v>
      </c>
      <c r="BA1552" s="472" t="s">
        <v>3469</v>
      </c>
      <c r="BB1552" s="472" t="s">
        <v>1385</v>
      </c>
      <c r="BC1552" s="472" t="s">
        <v>1385</v>
      </c>
      <c r="BD1552" s="472" t="s">
        <v>1385</v>
      </c>
      <c r="BE1552" s="472" t="s">
        <v>1385</v>
      </c>
      <c r="BF1552" s="472">
        <v>18833.400000000001</v>
      </c>
      <c r="BG1552" s="472">
        <v>0</v>
      </c>
      <c r="BH1552" s="472" t="s">
        <v>1385</v>
      </c>
      <c r="BI1552" s="510">
        <v>0</v>
      </c>
      <c r="BJ1552" s="510">
        <v>148</v>
      </c>
      <c r="BK1552" s="510">
        <v>0</v>
      </c>
      <c r="BL1552" s="510">
        <v>0</v>
      </c>
      <c r="BM1552" s="510">
        <v>0</v>
      </c>
      <c r="BN1552" s="510">
        <v>2000</v>
      </c>
      <c r="BO1552" s="510">
        <v>0</v>
      </c>
      <c r="BP1552" s="510">
        <v>0</v>
      </c>
      <c r="BQ1552" s="510">
        <v>0</v>
      </c>
      <c r="BR1552" s="510">
        <v>0</v>
      </c>
      <c r="BS1552" s="510">
        <v>0</v>
      </c>
      <c r="BT1552" s="510">
        <v>0</v>
      </c>
      <c r="BU1552" s="510">
        <v>0</v>
      </c>
      <c r="BV1552" s="510">
        <v>0</v>
      </c>
      <c r="BW1552" s="510">
        <v>0</v>
      </c>
      <c r="BX1552" s="510">
        <v>30000</v>
      </c>
      <c r="BY1552" s="1011">
        <v>0</v>
      </c>
      <c r="BZ1552" s="510">
        <v>0</v>
      </c>
      <c r="CA1552" s="1011">
        <v>0</v>
      </c>
      <c r="CB1552" s="510">
        <v>0</v>
      </c>
      <c r="CC1552" s="1011">
        <v>0</v>
      </c>
      <c r="CD1552" s="510">
        <v>0</v>
      </c>
      <c r="CE1552" s="1011">
        <v>0</v>
      </c>
      <c r="CF1552" s="510">
        <v>40118.400000000001</v>
      </c>
      <c r="CG1552" s="1011">
        <v>0</v>
      </c>
      <c r="CH1552" s="510">
        <v>0</v>
      </c>
      <c r="CI1552" s="1011">
        <v>0</v>
      </c>
    </row>
    <row r="1553" spans="1:87" x14ac:dyDescent="0.2">
      <c r="A1553" s="449">
        <v>24</v>
      </c>
      <c r="B1553" s="453">
        <v>400695</v>
      </c>
      <c r="C1553" s="454" t="s">
        <v>12225</v>
      </c>
      <c r="D1553" s="454" t="s">
        <v>3469</v>
      </c>
      <c r="E1553" s="454" t="s">
        <v>12226</v>
      </c>
      <c r="F1553" s="454" t="s">
        <v>528</v>
      </c>
      <c r="G1553" s="454" t="s">
        <v>14884</v>
      </c>
      <c r="H1553" s="455">
        <v>11698652000168</v>
      </c>
      <c r="I1553" s="462">
        <v>40239</v>
      </c>
      <c r="J1553" s="457">
        <v>42655137</v>
      </c>
      <c r="K1553" s="454" t="s">
        <v>12228</v>
      </c>
      <c r="L1553" s="458">
        <v>80</v>
      </c>
      <c r="M1553" s="454" t="s">
        <v>3988</v>
      </c>
      <c r="N1553" s="459">
        <v>5347010</v>
      </c>
      <c r="O1553" s="460">
        <v>37192284</v>
      </c>
      <c r="P1553" s="462">
        <v>210601</v>
      </c>
      <c r="Q1553" s="462">
        <v>24</v>
      </c>
      <c r="R1553" s="462">
        <v>43938</v>
      </c>
      <c r="S1553" s="463">
        <v>186</v>
      </c>
      <c r="T1553" s="464">
        <v>3.6</v>
      </c>
      <c r="U1553" s="465">
        <v>669.6</v>
      </c>
      <c r="V1553" s="465">
        <v>10800</v>
      </c>
      <c r="W1553" s="466">
        <v>0</v>
      </c>
      <c r="X1553" s="467">
        <v>1</v>
      </c>
      <c r="Y1553" s="466">
        <v>17204.400000000001</v>
      </c>
      <c r="Z1553" s="468" t="s">
        <v>516</v>
      </c>
      <c r="AA1553" s="466">
        <v>85143.6</v>
      </c>
      <c r="AB1553" s="466">
        <v>85143.6</v>
      </c>
      <c r="AC1553" s="467">
        <v>0</v>
      </c>
      <c r="AD1553" s="466">
        <v>0</v>
      </c>
      <c r="AE1553" s="468" t="s">
        <v>516</v>
      </c>
      <c r="AF1553" s="466">
        <v>0</v>
      </c>
      <c r="AG1553" s="466">
        <v>0</v>
      </c>
      <c r="AH1553" s="466">
        <v>16492.919999999998</v>
      </c>
      <c r="AI1553" s="466">
        <v>9694.2900000000009</v>
      </c>
      <c r="AJ1553" s="469" t="s">
        <v>3585</v>
      </c>
      <c r="AK1553" s="470" t="s">
        <v>3584</v>
      </c>
      <c r="AL1553" s="471" t="s">
        <v>12229</v>
      </c>
      <c r="AM1553" s="470" t="s">
        <v>14885</v>
      </c>
      <c r="AN1553" s="470" t="s">
        <v>12227</v>
      </c>
      <c r="AO1553" s="470" t="s">
        <v>14886</v>
      </c>
      <c r="AP1553" s="470" t="s">
        <v>3584</v>
      </c>
      <c r="AQ1553" s="470" t="s">
        <v>12225</v>
      </c>
      <c r="AR1553" s="472" t="s">
        <v>515</v>
      </c>
      <c r="AS1553" s="473">
        <v>3.6</v>
      </c>
      <c r="AT1553" s="472" t="s">
        <v>3469</v>
      </c>
      <c r="AU1553" s="472" t="s">
        <v>420</v>
      </c>
      <c r="AV1553" s="472">
        <v>2020</v>
      </c>
      <c r="AW1553" s="474" t="s">
        <v>15078</v>
      </c>
      <c r="AX1553" s="475" t="s">
        <v>15079</v>
      </c>
      <c r="AY1553" s="515">
        <v>1</v>
      </c>
      <c r="AZ1553" s="474" t="s">
        <v>15079</v>
      </c>
      <c r="BA1553" s="472" t="s">
        <v>3469</v>
      </c>
      <c r="BB1553" s="472" t="s">
        <v>1385</v>
      </c>
      <c r="BC1553" s="472" t="s">
        <v>1385</v>
      </c>
      <c r="BD1553" s="472" t="s">
        <v>1385</v>
      </c>
      <c r="BE1553" s="472" t="s">
        <v>1385</v>
      </c>
      <c r="BF1553" s="472">
        <v>17204.400000000001</v>
      </c>
      <c r="BG1553" s="472">
        <v>0</v>
      </c>
      <c r="BH1553" s="472" t="s">
        <v>1385</v>
      </c>
      <c r="BI1553" s="510">
        <v>0</v>
      </c>
      <c r="BJ1553" s="510">
        <v>0</v>
      </c>
      <c r="BK1553" s="510">
        <v>0</v>
      </c>
      <c r="BL1553" s="510">
        <v>0</v>
      </c>
      <c r="BM1553" s="510">
        <v>0</v>
      </c>
      <c r="BN1553" s="510">
        <v>2000</v>
      </c>
      <c r="BO1553" s="510">
        <v>0</v>
      </c>
      <c r="BP1553" s="510">
        <v>0</v>
      </c>
      <c r="BQ1553" s="510">
        <v>0</v>
      </c>
      <c r="BR1553" s="510">
        <v>0</v>
      </c>
      <c r="BS1553" s="510">
        <v>0</v>
      </c>
      <c r="BT1553" s="510">
        <v>0</v>
      </c>
      <c r="BU1553" s="510">
        <v>0</v>
      </c>
      <c r="BV1553" s="510">
        <v>0</v>
      </c>
      <c r="BW1553" s="510">
        <v>0</v>
      </c>
      <c r="BX1553" s="510">
        <v>30000</v>
      </c>
      <c r="BY1553" s="1011">
        <v>0</v>
      </c>
      <c r="BZ1553" s="510">
        <v>0</v>
      </c>
      <c r="CA1553" s="1011">
        <v>0</v>
      </c>
      <c r="CB1553" s="510">
        <v>0</v>
      </c>
      <c r="CC1553" s="1011">
        <v>0</v>
      </c>
      <c r="CD1553" s="510">
        <v>0</v>
      </c>
      <c r="CE1553" s="1011">
        <v>0</v>
      </c>
      <c r="CF1553" s="510">
        <v>37939.199999999997</v>
      </c>
      <c r="CG1553" s="1011">
        <v>0</v>
      </c>
      <c r="CH1553" s="510">
        <v>0</v>
      </c>
      <c r="CI1553" s="1011">
        <v>0</v>
      </c>
    </row>
    <row r="1554" spans="1:87" x14ac:dyDescent="0.2">
      <c r="A1554" s="449">
        <v>28</v>
      </c>
      <c r="B1554" s="453">
        <v>400696</v>
      </c>
      <c r="C1554" s="454" t="s">
        <v>12230</v>
      </c>
      <c r="D1554" s="454" t="s">
        <v>3469</v>
      </c>
      <c r="E1554" s="454" t="s">
        <v>12231</v>
      </c>
      <c r="F1554" s="454" t="s">
        <v>513</v>
      </c>
      <c r="G1554" s="454" t="s">
        <v>14887</v>
      </c>
      <c r="H1554" s="455">
        <v>11127754000123</v>
      </c>
      <c r="I1554" s="462">
        <v>39954</v>
      </c>
      <c r="J1554" s="457">
        <v>43933483</v>
      </c>
      <c r="K1554" s="454" t="s">
        <v>3943</v>
      </c>
      <c r="L1554" s="458" t="s">
        <v>12232</v>
      </c>
      <c r="M1554" s="454" t="s">
        <v>12233</v>
      </c>
      <c r="N1554" s="459">
        <v>8381001</v>
      </c>
      <c r="O1554" s="460">
        <v>27311123</v>
      </c>
      <c r="P1554" s="462">
        <v>147098</v>
      </c>
      <c r="Q1554" s="462">
        <v>28</v>
      </c>
      <c r="R1554" s="462">
        <v>43937</v>
      </c>
      <c r="S1554" s="463">
        <v>245</v>
      </c>
      <c r="T1554" s="464">
        <v>3.6</v>
      </c>
      <c r="U1554" s="465">
        <v>882</v>
      </c>
      <c r="V1554" s="465">
        <v>11760</v>
      </c>
      <c r="W1554" s="466">
        <v>0</v>
      </c>
      <c r="X1554" s="467">
        <v>1</v>
      </c>
      <c r="Y1554" s="466">
        <v>18963</v>
      </c>
      <c r="Z1554" s="468" t="s">
        <v>516</v>
      </c>
      <c r="AA1554" s="466">
        <v>89232.6</v>
      </c>
      <c r="AB1554" s="466">
        <v>89232.6</v>
      </c>
      <c r="AC1554" s="467">
        <v>0</v>
      </c>
      <c r="AD1554" s="466">
        <v>0</v>
      </c>
      <c r="AE1554" s="468" t="s">
        <v>516</v>
      </c>
      <c r="AF1554" s="466">
        <v>0</v>
      </c>
      <c r="AG1554" s="466">
        <v>0</v>
      </c>
      <c r="AH1554" s="466">
        <v>29411.82</v>
      </c>
      <c r="AI1554" s="466">
        <v>2081.66</v>
      </c>
      <c r="AJ1554" s="469" t="s">
        <v>2030</v>
      </c>
      <c r="AK1554" s="470" t="s">
        <v>513</v>
      </c>
      <c r="AL1554" s="471" t="s">
        <v>12234</v>
      </c>
      <c r="AM1554" s="470" t="s">
        <v>12235</v>
      </c>
      <c r="AN1554" s="470" t="s">
        <v>1385</v>
      </c>
      <c r="AO1554" s="470" t="s">
        <v>12236</v>
      </c>
      <c r="AP1554" s="470" t="s">
        <v>3947</v>
      </c>
      <c r="AQ1554" s="470" t="s">
        <v>12230</v>
      </c>
      <c r="AR1554" s="472" t="s">
        <v>515</v>
      </c>
      <c r="AS1554" s="473">
        <v>3.6</v>
      </c>
      <c r="AT1554" s="472" t="s">
        <v>3469</v>
      </c>
      <c r="AU1554" s="472" t="s">
        <v>420</v>
      </c>
      <c r="AV1554" s="472">
        <v>2020</v>
      </c>
      <c r="AW1554" s="474" t="s">
        <v>15078</v>
      </c>
      <c r="AX1554" s="475" t="s">
        <v>15079</v>
      </c>
      <c r="AY1554" s="515">
        <v>1</v>
      </c>
      <c r="AZ1554" s="474" t="s">
        <v>15079</v>
      </c>
      <c r="BA1554" s="472" t="s">
        <v>3469</v>
      </c>
      <c r="BB1554" s="472" t="s">
        <v>1385</v>
      </c>
      <c r="BC1554" s="472" t="s">
        <v>1385</v>
      </c>
      <c r="BD1554" s="472" t="s">
        <v>1385</v>
      </c>
      <c r="BE1554" s="472" t="s">
        <v>1385</v>
      </c>
      <c r="BF1554" s="472">
        <v>18963</v>
      </c>
      <c r="BG1554" s="472">
        <v>0</v>
      </c>
      <c r="BH1554" s="472" t="s">
        <v>1385</v>
      </c>
      <c r="BI1554" s="510">
        <v>0</v>
      </c>
      <c r="BJ1554" s="510">
        <v>0</v>
      </c>
      <c r="BK1554" s="510">
        <v>0</v>
      </c>
      <c r="BL1554" s="510">
        <v>0</v>
      </c>
      <c r="BM1554" s="510">
        <v>0</v>
      </c>
      <c r="BN1554" s="510">
        <v>2000</v>
      </c>
      <c r="BO1554" s="510">
        <v>0</v>
      </c>
      <c r="BP1554" s="510">
        <v>0</v>
      </c>
      <c r="BQ1554" s="510">
        <v>0</v>
      </c>
      <c r="BR1554" s="510">
        <v>0</v>
      </c>
      <c r="BS1554" s="510">
        <v>0</v>
      </c>
      <c r="BT1554" s="510">
        <v>0</v>
      </c>
      <c r="BU1554" s="510">
        <v>0</v>
      </c>
      <c r="BV1554" s="510">
        <v>0</v>
      </c>
      <c r="BW1554" s="510">
        <v>0</v>
      </c>
      <c r="BX1554" s="510">
        <v>30000</v>
      </c>
      <c r="BY1554" s="1011">
        <v>0</v>
      </c>
      <c r="BZ1554" s="510">
        <v>0</v>
      </c>
      <c r="CA1554" s="1011">
        <v>0</v>
      </c>
      <c r="CB1554" s="510">
        <v>0</v>
      </c>
      <c r="CC1554" s="1011">
        <v>0</v>
      </c>
      <c r="CD1554" s="510">
        <v>0</v>
      </c>
      <c r="CE1554" s="1011">
        <v>0</v>
      </c>
      <c r="CF1554" s="510">
        <v>40269.599999999999</v>
      </c>
      <c r="CG1554" s="1011">
        <v>0</v>
      </c>
      <c r="CH1554" s="510">
        <v>0</v>
      </c>
      <c r="CI1554" s="1011">
        <v>0</v>
      </c>
    </row>
    <row r="1555" spans="1:87" x14ac:dyDescent="0.2">
      <c r="A1555" s="449">
        <v>29</v>
      </c>
      <c r="B1555" s="453">
        <v>400710</v>
      </c>
      <c r="C1555" s="454" t="s">
        <v>12237</v>
      </c>
      <c r="D1555" s="454" t="s">
        <v>3469</v>
      </c>
      <c r="E1555" s="454" t="s">
        <v>12238</v>
      </c>
      <c r="F1555" s="454" t="s">
        <v>521</v>
      </c>
      <c r="G1555" s="454" t="s">
        <v>14888</v>
      </c>
      <c r="H1555" s="455">
        <v>11189848000127</v>
      </c>
      <c r="I1555" s="462">
        <v>40057</v>
      </c>
      <c r="J1555" s="457">
        <v>43244602</v>
      </c>
      <c r="K1555" s="454" t="s">
        <v>4336</v>
      </c>
      <c r="L1555" s="458">
        <v>20</v>
      </c>
      <c r="M1555" s="454" t="s">
        <v>3494</v>
      </c>
      <c r="N1555" s="459">
        <v>4890090</v>
      </c>
      <c r="O1555" s="460">
        <v>59214679</v>
      </c>
      <c r="P1555" s="462">
        <v>82271</v>
      </c>
      <c r="Q1555" s="462">
        <v>88</v>
      </c>
      <c r="R1555" s="462">
        <v>43934</v>
      </c>
      <c r="S1555" s="463">
        <v>286</v>
      </c>
      <c r="T1555" s="464">
        <v>3.6</v>
      </c>
      <c r="U1555" s="465">
        <v>1029.5999999999999</v>
      </c>
      <c r="V1555" s="465">
        <v>12720</v>
      </c>
      <c r="W1555" s="466">
        <v>0</v>
      </c>
      <c r="X1555" s="467">
        <v>1</v>
      </c>
      <c r="Y1555" s="466">
        <v>20624.400000000001</v>
      </c>
      <c r="Z1555" s="468" t="s">
        <v>516</v>
      </c>
      <c r="AA1555" s="466">
        <v>90750</v>
      </c>
      <c r="AB1555" s="466">
        <v>90750</v>
      </c>
      <c r="AC1555" s="467">
        <v>0</v>
      </c>
      <c r="AD1555" s="466">
        <v>0</v>
      </c>
      <c r="AE1555" s="468" t="s">
        <v>516</v>
      </c>
      <c r="AF1555" s="466">
        <v>0</v>
      </c>
      <c r="AG1555" s="466">
        <v>0</v>
      </c>
      <c r="AH1555" s="466">
        <v>19235.03</v>
      </c>
      <c r="AI1555" s="466">
        <v>13731.91</v>
      </c>
      <c r="AJ1555" s="469" t="s">
        <v>1624</v>
      </c>
      <c r="AK1555" s="470" t="s">
        <v>1625</v>
      </c>
      <c r="AL1555" s="471" t="s">
        <v>12239</v>
      </c>
      <c r="AM1555" s="470" t="s">
        <v>12240</v>
      </c>
      <c r="AN1555" s="470" t="s">
        <v>1385</v>
      </c>
      <c r="AO1555" s="470" t="s">
        <v>14889</v>
      </c>
      <c r="AP1555" s="470" t="s">
        <v>4339</v>
      </c>
      <c r="AQ1555" s="470" t="s">
        <v>12237</v>
      </c>
      <c r="AR1555" s="472" t="s">
        <v>515</v>
      </c>
      <c r="AS1555" s="473">
        <v>3.6</v>
      </c>
      <c r="AT1555" s="472" t="s">
        <v>3469</v>
      </c>
      <c r="AU1555" s="472" t="s">
        <v>420</v>
      </c>
      <c r="AV1555" s="472">
        <v>2020</v>
      </c>
      <c r="AW1555" s="474" t="s">
        <v>15078</v>
      </c>
      <c r="AX1555" s="475" t="s">
        <v>15079</v>
      </c>
      <c r="AY1555" s="515">
        <v>1</v>
      </c>
      <c r="AZ1555" s="474" t="s">
        <v>15079</v>
      </c>
      <c r="BA1555" s="472" t="s">
        <v>3469</v>
      </c>
      <c r="BB1555" s="472" t="s">
        <v>1385</v>
      </c>
      <c r="BC1555" s="472" t="s">
        <v>1385</v>
      </c>
      <c r="BD1555" s="472" t="s">
        <v>1385</v>
      </c>
      <c r="BE1555" s="472" t="s">
        <v>1385</v>
      </c>
      <c r="BF1555" s="509">
        <v>20624.400000000001</v>
      </c>
      <c r="BG1555" s="509">
        <v>0</v>
      </c>
      <c r="BH1555" s="472" t="s">
        <v>1385</v>
      </c>
      <c r="BI1555" s="510">
        <v>0</v>
      </c>
      <c r="BJ1555" s="510">
        <v>0</v>
      </c>
      <c r="BK1555" s="510">
        <v>0</v>
      </c>
      <c r="BL1555" s="510">
        <v>0</v>
      </c>
      <c r="BM1555" s="510">
        <v>0</v>
      </c>
      <c r="BN1555" s="510">
        <v>3000</v>
      </c>
      <c r="BO1555" s="510">
        <v>0</v>
      </c>
      <c r="BP1555" s="510">
        <v>0</v>
      </c>
      <c r="BQ1555" s="510">
        <v>0</v>
      </c>
      <c r="BR1555" s="510">
        <v>0</v>
      </c>
      <c r="BS1555" s="510">
        <v>0</v>
      </c>
      <c r="BT1555" s="510">
        <v>0</v>
      </c>
      <c r="BU1555" s="510">
        <v>0</v>
      </c>
      <c r="BV1555" s="510">
        <v>0</v>
      </c>
      <c r="BW1555" s="510">
        <v>0</v>
      </c>
      <c r="BX1555" s="510">
        <v>30000</v>
      </c>
      <c r="BY1555" s="1011">
        <v>0</v>
      </c>
      <c r="BZ1555" s="510">
        <v>0</v>
      </c>
      <c r="CA1555" s="1011">
        <v>0</v>
      </c>
      <c r="CB1555" s="510">
        <v>0</v>
      </c>
      <c r="CC1555" s="1011">
        <v>0</v>
      </c>
      <c r="CD1555" s="510">
        <v>0</v>
      </c>
      <c r="CE1555" s="1011">
        <v>0</v>
      </c>
      <c r="CF1555" s="510">
        <v>40125.599999999999</v>
      </c>
      <c r="CG1555" s="1011">
        <v>0</v>
      </c>
      <c r="CH1555" s="510">
        <v>0</v>
      </c>
      <c r="CI1555" s="1011">
        <v>0</v>
      </c>
    </row>
    <row r="1556" spans="1:87" x14ac:dyDescent="0.2">
      <c r="A1556" s="449">
        <v>6</v>
      </c>
      <c r="B1556" s="453">
        <v>400713</v>
      </c>
      <c r="C1556" s="454" t="s">
        <v>12241</v>
      </c>
      <c r="D1556" s="454" t="s">
        <v>4613</v>
      </c>
      <c r="E1556" s="454" t="s">
        <v>12242</v>
      </c>
      <c r="F1556" s="454" t="s">
        <v>524</v>
      </c>
      <c r="G1556" s="454" t="s">
        <v>14890</v>
      </c>
      <c r="H1556" s="455">
        <v>11082463000166</v>
      </c>
      <c r="I1556" s="462">
        <v>40021</v>
      </c>
      <c r="J1556" s="457">
        <v>40813398</v>
      </c>
      <c r="K1556" s="454" t="s">
        <v>12244</v>
      </c>
      <c r="L1556" s="458">
        <v>35</v>
      </c>
      <c r="M1556" s="454" t="s">
        <v>12245</v>
      </c>
      <c r="N1556" s="459">
        <v>4075000</v>
      </c>
      <c r="O1556" s="460">
        <v>50512517</v>
      </c>
      <c r="P1556" s="462">
        <v>205268</v>
      </c>
      <c r="Q1556" s="462">
        <v>8</v>
      </c>
      <c r="R1556" s="462">
        <v>43906</v>
      </c>
      <c r="S1556" s="463">
        <v>94</v>
      </c>
      <c r="T1556" s="464">
        <v>3.6</v>
      </c>
      <c r="U1556" s="465">
        <v>338.4</v>
      </c>
      <c r="V1556" s="465">
        <v>10800</v>
      </c>
      <c r="W1556" s="466">
        <v>0</v>
      </c>
      <c r="X1556" s="467">
        <v>1</v>
      </c>
      <c r="Y1556" s="466">
        <v>16707.599999999999</v>
      </c>
      <c r="Z1556" s="468" t="s">
        <v>516</v>
      </c>
      <c r="AA1556" s="466">
        <v>84128.4</v>
      </c>
      <c r="AB1556" s="466">
        <v>84128.4</v>
      </c>
      <c r="AC1556" s="467">
        <v>0</v>
      </c>
      <c r="AD1556" s="466">
        <v>0</v>
      </c>
      <c r="AE1556" s="468" t="s">
        <v>516</v>
      </c>
      <c r="AF1556" s="466">
        <v>0</v>
      </c>
      <c r="AG1556" s="466">
        <v>0</v>
      </c>
      <c r="AH1556" s="466">
        <v>17991.75</v>
      </c>
      <c r="AI1556" s="466">
        <v>4115.46</v>
      </c>
      <c r="AJ1556" s="469" t="s">
        <v>6925</v>
      </c>
      <c r="AK1556" s="470" t="s">
        <v>6926</v>
      </c>
      <c r="AL1556" s="471" t="s">
        <v>12246</v>
      </c>
      <c r="AM1556" s="470" t="s">
        <v>15089</v>
      </c>
      <c r="AN1556" s="470" t="s">
        <v>12243</v>
      </c>
      <c r="AO1556" s="470" t="s">
        <v>14891</v>
      </c>
      <c r="AP1556" s="470" t="s">
        <v>12247</v>
      </c>
      <c r="AQ1556" s="470" t="s">
        <v>12241</v>
      </c>
      <c r="AR1556" s="472" t="s">
        <v>515</v>
      </c>
      <c r="AS1556" s="473" t="s">
        <v>1385</v>
      </c>
      <c r="AT1556" s="472" t="s">
        <v>4613</v>
      </c>
      <c r="AU1556" s="472" t="s">
        <v>420</v>
      </c>
      <c r="AV1556" s="472">
        <v>2020</v>
      </c>
      <c r="AW1556" s="474" t="s">
        <v>15078</v>
      </c>
      <c r="AX1556" s="475" t="s">
        <v>15079</v>
      </c>
      <c r="AY1556" s="515">
        <v>1</v>
      </c>
      <c r="AZ1556" s="474" t="s">
        <v>15079</v>
      </c>
      <c r="BA1556" s="472" t="s">
        <v>4613</v>
      </c>
      <c r="BB1556" s="472" t="s">
        <v>1385</v>
      </c>
      <c r="BC1556" s="472" t="s">
        <v>1385</v>
      </c>
      <c r="BD1556" s="472" t="s">
        <v>1385</v>
      </c>
      <c r="BE1556" s="472" t="s">
        <v>1385</v>
      </c>
      <c r="BF1556" s="472">
        <v>16707.599999999999</v>
      </c>
      <c r="BG1556" s="472">
        <v>0</v>
      </c>
      <c r="BH1556" s="472" t="s">
        <v>1385</v>
      </c>
      <c r="BI1556" s="510">
        <v>0</v>
      </c>
      <c r="BJ1556" s="510">
        <v>0</v>
      </c>
      <c r="BK1556" s="510">
        <v>0</v>
      </c>
      <c r="BL1556" s="510">
        <v>0</v>
      </c>
      <c r="BM1556" s="510">
        <v>0</v>
      </c>
      <c r="BN1556" s="510">
        <v>1500</v>
      </c>
      <c r="BO1556" s="510">
        <v>0</v>
      </c>
      <c r="BP1556" s="510">
        <v>0</v>
      </c>
      <c r="BQ1556" s="510">
        <v>0</v>
      </c>
      <c r="BR1556" s="510">
        <v>0</v>
      </c>
      <c r="BS1556" s="510">
        <v>0</v>
      </c>
      <c r="BT1556" s="510">
        <v>0</v>
      </c>
      <c r="BU1556" s="510">
        <v>0</v>
      </c>
      <c r="BV1556" s="510">
        <v>0</v>
      </c>
      <c r="BW1556" s="510">
        <v>0</v>
      </c>
      <c r="BX1556" s="510">
        <v>30000</v>
      </c>
      <c r="BY1556" s="1011">
        <v>0</v>
      </c>
      <c r="BZ1556" s="510">
        <v>0</v>
      </c>
      <c r="CA1556" s="1011">
        <v>0</v>
      </c>
      <c r="CB1556" s="510">
        <v>0</v>
      </c>
      <c r="CC1556" s="1011">
        <v>0</v>
      </c>
      <c r="CD1556" s="510">
        <v>0</v>
      </c>
      <c r="CE1556" s="1011">
        <v>0</v>
      </c>
      <c r="CF1556" s="510">
        <v>37420.800000000003</v>
      </c>
      <c r="CG1556" s="1011">
        <v>0</v>
      </c>
      <c r="CH1556" s="510">
        <v>0</v>
      </c>
      <c r="CI1556" s="1011">
        <v>0</v>
      </c>
    </row>
    <row r="1557" spans="1:87" x14ac:dyDescent="0.2">
      <c r="A1557" s="449">
        <v>5</v>
      </c>
      <c r="B1557" s="453">
        <v>400753</v>
      </c>
      <c r="C1557" s="454" t="s">
        <v>12248</v>
      </c>
      <c r="D1557" s="454" t="s">
        <v>4613</v>
      </c>
      <c r="E1557" s="454" t="s">
        <v>12248</v>
      </c>
      <c r="F1557" s="454" t="s">
        <v>524</v>
      </c>
      <c r="G1557" s="454" t="s">
        <v>14892</v>
      </c>
      <c r="H1557" s="455">
        <v>11040416000150</v>
      </c>
      <c r="I1557" s="462">
        <v>40017</v>
      </c>
      <c r="J1557" s="457">
        <v>39582329</v>
      </c>
      <c r="K1557" s="454" t="s">
        <v>12249</v>
      </c>
      <c r="L1557" s="458">
        <v>565</v>
      </c>
      <c r="M1557" s="454" t="s">
        <v>1647</v>
      </c>
      <c r="N1557" s="459">
        <v>4022001</v>
      </c>
      <c r="O1557" s="460">
        <v>50845229</v>
      </c>
      <c r="P1557" s="462">
        <v>204431</v>
      </c>
      <c r="Q1557" s="462">
        <v>6</v>
      </c>
      <c r="R1557" s="462">
        <v>43906</v>
      </c>
      <c r="S1557" s="463">
        <v>87</v>
      </c>
      <c r="T1557" s="464">
        <v>3.6</v>
      </c>
      <c r="U1557" s="465">
        <v>313.2</v>
      </c>
      <c r="V1557" s="465">
        <v>10800</v>
      </c>
      <c r="W1557" s="466">
        <v>0</v>
      </c>
      <c r="X1557" s="467">
        <v>1</v>
      </c>
      <c r="Y1557" s="466">
        <v>16669.8</v>
      </c>
      <c r="Z1557" s="468" t="s">
        <v>516</v>
      </c>
      <c r="AA1557" s="466">
        <v>83932.2</v>
      </c>
      <c r="AB1557" s="466">
        <v>83932.2</v>
      </c>
      <c r="AC1557" s="467">
        <v>0</v>
      </c>
      <c r="AD1557" s="466">
        <v>0</v>
      </c>
      <c r="AE1557" s="468" t="s">
        <v>516</v>
      </c>
      <c r="AF1557" s="466">
        <v>0</v>
      </c>
      <c r="AG1557" s="466">
        <v>0</v>
      </c>
      <c r="AH1557" s="466">
        <v>12298.87</v>
      </c>
      <c r="AI1557" s="466">
        <v>2309.2399999999998</v>
      </c>
      <c r="AJ1557" s="469" t="s">
        <v>6925</v>
      </c>
      <c r="AK1557" s="470" t="s">
        <v>6926</v>
      </c>
      <c r="AL1557" s="471" t="s">
        <v>12250</v>
      </c>
      <c r="AM1557" s="470" t="s">
        <v>15088</v>
      </c>
      <c r="AN1557" s="470" t="s">
        <v>14893</v>
      </c>
      <c r="AO1557" s="470" t="s">
        <v>14894</v>
      </c>
      <c r="AP1557" s="470" t="s">
        <v>9131</v>
      </c>
      <c r="AQ1557" s="470" t="s">
        <v>12248</v>
      </c>
      <c r="AR1557" s="472" t="s">
        <v>515</v>
      </c>
      <c r="AS1557" s="473" t="s">
        <v>1385</v>
      </c>
      <c r="AT1557" s="472" t="s">
        <v>4613</v>
      </c>
      <c r="AU1557" s="472" t="s">
        <v>420</v>
      </c>
      <c r="AV1557" s="472">
        <v>2020</v>
      </c>
      <c r="AW1557" s="474" t="s">
        <v>15078</v>
      </c>
      <c r="AX1557" s="475" t="s">
        <v>15079</v>
      </c>
      <c r="AY1557" s="515">
        <v>1</v>
      </c>
      <c r="AZ1557" s="474" t="s">
        <v>15079</v>
      </c>
      <c r="BA1557" s="472" t="s">
        <v>4613</v>
      </c>
      <c r="BB1557" s="472" t="s">
        <v>1385</v>
      </c>
      <c r="BC1557" s="472" t="s">
        <v>1385</v>
      </c>
      <c r="BD1557" s="472" t="s">
        <v>1385</v>
      </c>
      <c r="BE1557" s="472" t="s">
        <v>1385</v>
      </c>
      <c r="BF1557" s="472">
        <v>16669.8</v>
      </c>
      <c r="BG1557" s="472">
        <v>0</v>
      </c>
      <c r="BH1557" s="472" t="s">
        <v>1385</v>
      </c>
      <c r="BI1557" s="510">
        <v>0</v>
      </c>
      <c r="BJ1557" s="510">
        <v>0</v>
      </c>
      <c r="BK1557" s="510">
        <v>0</v>
      </c>
      <c r="BL1557" s="510">
        <v>0</v>
      </c>
      <c r="BM1557" s="510">
        <v>0</v>
      </c>
      <c r="BN1557" s="510">
        <v>1500</v>
      </c>
      <c r="BO1557" s="510">
        <v>0</v>
      </c>
      <c r="BP1557" s="510">
        <v>0</v>
      </c>
      <c r="BQ1557" s="510">
        <v>0</v>
      </c>
      <c r="BR1557" s="510">
        <v>0</v>
      </c>
      <c r="BS1557" s="510">
        <v>0</v>
      </c>
      <c r="BT1557" s="510">
        <v>0</v>
      </c>
      <c r="BU1557" s="510">
        <v>0</v>
      </c>
      <c r="BV1557" s="510">
        <v>0</v>
      </c>
      <c r="BW1557" s="510">
        <v>0</v>
      </c>
      <c r="BX1557" s="510">
        <v>30000</v>
      </c>
      <c r="BY1557" s="1011">
        <v>0</v>
      </c>
      <c r="BZ1557" s="510">
        <v>0</v>
      </c>
      <c r="CA1557" s="1011">
        <v>0</v>
      </c>
      <c r="CB1557" s="510">
        <v>0</v>
      </c>
      <c r="CC1557" s="1011">
        <v>0</v>
      </c>
      <c r="CD1557" s="510">
        <v>0</v>
      </c>
      <c r="CE1557" s="1011">
        <v>0</v>
      </c>
      <c r="CF1557" s="510">
        <v>37262.400000000001</v>
      </c>
      <c r="CG1557" s="1011">
        <v>0</v>
      </c>
      <c r="CH1557" s="510">
        <v>0</v>
      </c>
      <c r="CI1557" s="1011">
        <v>0</v>
      </c>
    </row>
    <row r="1558" spans="1:87" x14ac:dyDescent="0.2">
      <c r="A1558" s="449">
        <v>133</v>
      </c>
      <c r="B1558" s="453">
        <v>400762</v>
      </c>
      <c r="C1558" s="454" t="s">
        <v>12251</v>
      </c>
      <c r="D1558" s="454" t="s">
        <v>4613</v>
      </c>
      <c r="E1558" s="454" t="s">
        <v>12252</v>
      </c>
      <c r="F1558" s="454" t="s">
        <v>513</v>
      </c>
      <c r="G1558" s="454" t="s">
        <v>14895</v>
      </c>
      <c r="H1558" s="455">
        <v>19328906000168</v>
      </c>
      <c r="I1558" s="462">
        <v>41596</v>
      </c>
      <c r="J1558" s="457" t="s">
        <v>4800</v>
      </c>
      <c r="K1558" s="454" t="s">
        <v>2876</v>
      </c>
      <c r="L1558" s="458">
        <v>262</v>
      </c>
      <c r="M1558" s="454" t="s">
        <v>2877</v>
      </c>
      <c r="N1558" s="459">
        <v>8390000</v>
      </c>
      <c r="O1558" s="460">
        <v>22532923</v>
      </c>
      <c r="P1558" s="462">
        <v>154787</v>
      </c>
      <c r="Q1558" s="462">
        <v>133</v>
      </c>
      <c r="R1558" s="462">
        <v>43937</v>
      </c>
      <c r="S1558" s="463">
        <v>242</v>
      </c>
      <c r="T1558" s="464">
        <v>3.6</v>
      </c>
      <c r="U1558" s="465">
        <v>871.2</v>
      </c>
      <c r="V1558" s="465">
        <v>11760</v>
      </c>
      <c r="W1558" s="466">
        <v>0</v>
      </c>
      <c r="X1558" s="467">
        <v>1</v>
      </c>
      <c r="Y1558" s="466">
        <v>18946.8</v>
      </c>
      <c r="Z1558" s="468" t="s">
        <v>516</v>
      </c>
      <c r="AA1558" s="466">
        <v>89180.4</v>
      </c>
      <c r="AB1558" s="466">
        <v>89180.4</v>
      </c>
      <c r="AC1558" s="467">
        <v>0</v>
      </c>
      <c r="AD1558" s="466">
        <v>0</v>
      </c>
      <c r="AE1558" s="468" t="s">
        <v>516</v>
      </c>
      <c r="AF1558" s="466">
        <v>0</v>
      </c>
      <c r="AG1558" s="466">
        <v>0</v>
      </c>
      <c r="AH1558" s="466">
        <v>3212.61</v>
      </c>
      <c r="AI1558" s="466">
        <v>47.68</v>
      </c>
      <c r="AJ1558" s="469" t="s">
        <v>1972</v>
      </c>
      <c r="AK1558" s="470" t="s">
        <v>1973</v>
      </c>
      <c r="AL1558" s="471" t="s">
        <v>12253</v>
      </c>
      <c r="AM1558" s="470" t="s">
        <v>12254</v>
      </c>
      <c r="AN1558" s="470" t="s">
        <v>280</v>
      </c>
      <c r="AO1558" s="470" t="s">
        <v>12255</v>
      </c>
      <c r="AP1558" s="470" t="s">
        <v>12256</v>
      </c>
      <c r="AQ1558" s="470" t="s">
        <v>12251</v>
      </c>
      <c r="AR1558" s="472" t="s">
        <v>515</v>
      </c>
      <c r="AS1558" s="473" t="s">
        <v>1385</v>
      </c>
      <c r="AT1558" s="472" t="s">
        <v>4613</v>
      </c>
      <c r="AU1558" s="472" t="s">
        <v>420</v>
      </c>
      <c r="AV1558" s="472">
        <v>2020</v>
      </c>
      <c r="AW1558" s="474" t="s">
        <v>15078</v>
      </c>
      <c r="AX1558" s="475" t="s">
        <v>15079</v>
      </c>
      <c r="AY1558" s="515">
        <v>1</v>
      </c>
      <c r="AZ1558" s="474" t="s">
        <v>15079</v>
      </c>
      <c r="BA1558" s="472" t="s">
        <v>4613</v>
      </c>
      <c r="BB1558" s="472" t="s">
        <v>1385</v>
      </c>
      <c r="BC1558" s="472" t="s">
        <v>1385</v>
      </c>
      <c r="BD1558" s="472" t="s">
        <v>1385</v>
      </c>
      <c r="BE1558" s="472" t="s">
        <v>1385</v>
      </c>
      <c r="BF1558" s="472">
        <v>18946.8</v>
      </c>
      <c r="BG1558" s="472">
        <v>0</v>
      </c>
      <c r="BH1558" s="472" t="s">
        <v>1385</v>
      </c>
      <c r="BI1558" s="510">
        <v>0</v>
      </c>
      <c r="BJ1558" s="510">
        <v>0</v>
      </c>
      <c r="BK1558" s="510">
        <v>0</v>
      </c>
      <c r="BL1558" s="510">
        <v>0</v>
      </c>
      <c r="BM1558" s="510">
        <v>0</v>
      </c>
      <c r="BN1558" s="510">
        <v>1600</v>
      </c>
      <c r="BO1558" s="510">
        <v>0</v>
      </c>
      <c r="BP1558" s="510">
        <v>0</v>
      </c>
      <c r="BQ1558" s="510">
        <v>0</v>
      </c>
      <c r="BR1558" s="510">
        <v>0</v>
      </c>
      <c r="BS1558" s="510">
        <v>0</v>
      </c>
      <c r="BT1558" s="510">
        <v>0</v>
      </c>
      <c r="BU1558" s="510">
        <v>0</v>
      </c>
      <c r="BV1558" s="510">
        <v>0</v>
      </c>
      <c r="BW1558" s="510">
        <v>0</v>
      </c>
      <c r="BX1558" s="510">
        <v>30000</v>
      </c>
      <c r="BY1558" s="1011">
        <v>0</v>
      </c>
      <c r="BZ1558" s="510">
        <v>0</v>
      </c>
      <c r="CA1558" s="1011">
        <v>0</v>
      </c>
      <c r="CB1558" s="510">
        <v>0</v>
      </c>
      <c r="CC1558" s="1011">
        <v>0</v>
      </c>
      <c r="CD1558" s="510">
        <v>0</v>
      </c>
      <c r="CE1558" s="1011">
        <v>0</v>
      </c>
      <c r="CF1558" s="510">
        <v>40233.599999999999</v>
      </c>
      <c r="CG1558" s="1011">
        <v>0</v>
      </c>
      <c r="CH1558" s="510">
        <v>0</v>
      </c>
      <c r="CI1558" s="1011">
        <v>0</v>
      </c>
    </row>
    <row r="1559" spans="1:87" x14ac:dyDescent="0.2">
      <c r="A1559" s="449"/>
      <c r="B1559" s="453"/>
      <c r="C1559" s="454"/>
      <c r="D1559" s="454"/>
      <c r="E1559" s="454"/>
      <c r="F1559" s="454"/>
      <c r="G1559" s="454"/>
      <c r="H1559" s="455"/>
      <c r="I1559" s="462"/>
      <c r="J1559" s="457"/>
      <c r="K1559" s="454"/>
      <c r="L1559" s="458"/>
      <c r="M1559" s="454"/>
      <c r="N1559" s="459"/>
      <c r="O1559" s="460"/>
      <c r="P1559" s="461"/>
      <c r="Q1559" s="462"/>
      <c r="R1559" s="462"/>
      <c r="S1559" s="463"/>
      <c r="T1559" s="464"/>
      <c r="U1559" s="465"/>
      <c r="V1559" s="465"/>
      <c r="W1559" s="466"/>
      <c r="X1559" s="467"/>
      <c r="Y1559" s="466"/>
      <c r="Z1559" s="468"/>
      <c r="AA1559" s="466"/>
      <c r="AB1559" s="466"/>
      <c r="AC1559" s="467"/>
      <c r="AD1559" s="466"/>
      <c r="AE1559" s="468"/>
      <c r="AF1559" s="466"/>
      <c r="AG1559" s="466"/>
      <c r="AH1559" s="466"/>
      <c r="AI1559" s="466"/>
      <c r="AJ1559" s="469"/>
      <c r="AK1559" s="470"/>
      <c r="AL1559" s="471"/>
      <c r="AM1559" s="470"/>
      <c r="AN1559" s="470"/>
      <c r="AO1559" s="470"/>
      <c r="AP1559" s="470"/>
      <c r="AQ1559" s="470"/>
      <c r="AR1559" s="472"/>
      <c r="AS1559" s="473"/>
      <c r="AT1559" s="472"/>
      <c r="AU1559" s="472"/>
      <c r="AV1559" s="472"/>
      <c r="AW1559" s="474"/>
      <c r="AX1559" s="475"/>
      <c r="AY1559" s="515"/>
      <c r="AZ1559" s="474"/>
      <c r="BA1559" s="472"/>
      <c r="BB1559" s="472"/>
      <c r="BC1559" s="472"/>
      <c r="BD1559" s="472"/>
      <c r="BE1559" s="472"/>
      <c r="BF1559" s="472"/>
      <c r="BG1559" s="472"/>
      <c r="BH1559" s="472"/>
      <c r="BI1559" s="510"/>
      <c r="BJ1559" s="510"/>
      <c r="BK1559" s="510"/>
      <c r="BL1559" s="510"/>
      <c r="BM1559" s="510"/>
      <c r="BN1559" s="510"/>
      <c r="BO1559" s="510"/>
      <c r="BP1559" s="510"/>
      <c r="BQ1559" s="510"/>
      <c r="BR1559" s="510"/>
      <c r="BS1559" s="510"/>
      <c r="BT1559" s="510"/>
      <c r="BU1559" s="510"/>
      <c r="BV1559" s="510"/>
      <c r="BW1559" s="510"/>
      <c r="BX1559" s="510"/>
      <c r="BY1559" s="1011"/>
      <c r="BZ1559" s="510"/>
      <c r="CA1559" s="1011"/>
      <c r="CB1559" s="510"/>
      <c r="CC1559" s="1011"/>
      <c r="CD1559" s="510"/>
      <c r="CE1559" s="1011"/>
      <c r="CF1559" s="510"/>
      <c r="CG1559" s="1011"/>
      <c r="CH1559" s="510"/>
      <c r="CI1559" s="1011"/>
    </row>
    <row r="1560" spans="1:87" x14ac:dyDescent="0.2">
      <c r="A1560" s="449"/>
      <c r="B1560" s="453"/>
      <c r="C1560" s="454"/>
      <c r="D1560" s="454"/>
      <c r="E1560" s="454"/>
      <c r="F1560" s="454"/>
      <c r="G1560" s="454"/>
      <c r="H1560" s="455"/>
      <c r="I1560" s="456"/>
      <c r="J1560" s="457"/>
      <c r="K1560" s="454"/>
      <c r="L1560" s="458"/>
      <c r="M1560" s="454"/>
      <c r="N1560" s="459"/>
      <c r="O1560" s="460"/>
      <c r="P1560" s="461"/>
      <c r="Q1560" s="462"/>
      <c r="R1560" s="456"/>
      <c r="S1560" s="463"/>
      <c r="T1560" s="464"/>
      <c r="U1560" s="465"/>
      <c r="V1560" s="465"/>
      <c r="W1560" s="466"/>
      <c r="X1560" s="467"/>
      <c r="Y1560" s="466"/>
      <c r="Z1560" s="468"/>
      <c r="AA1560" s="466"/>
      <c r="AB1560" s="466"/>
      <c r="AC1560" s="467"/>
      <c r="AD1560" s="466"/>
      <c r="AE1560" s="468"/>
      <c r="AF1560" s="466"/>
      <c r="AG1560" s="466"/>
      <c r="AH1560" s="466"/>
      <c r="AI1560" s="466"/>
      <c r="AJ1560" s="469"/>
      <c r="AK1560" s="470"/>
      <c r="AL1560" s="471"/>
      <c r="AM1560" s="470"/>
      <c r="AN1560" s="470"/>
      <c r="AO1560" s="470"/>
      <c r="AP1560" s="470"/>
      <c r="AQ1560" s="470"/>
      <c r="AR1560" s="472"/>
      <c r="AS1560" s="473"/>
      <c r="AT1560" s="472"/>
      <c r="AU1560" s="472"/>
      <c r="AV1560" s="472"/>
      <c r="AW1560" s="474"/>
      <c r="AX1560" s="475"/>
      <c r="AY1560" s="515"/>
      <c r="AZ1560" s="474"/>
      <c r="BA1560" s="472"/>
      <c r="BB1560" s="472"/>
      <c r="BC1560" s="472"/>
      <c r="BD1560" s="472"/>
      <c r="BE1560" s="472"/>
      <c r="BF1560" s="509"/>
      <c r="BG1560" s="472"/>
      <c r="BH1560" s="472"/>
      <c r="BI1560" s="510"/>
      <c r="BJ1560" s="510"/>
      <c r="BK1560" s="510"/>
      <c r="BL1560" s="510"/>
      <c r="BM1560" s="510"/>
      <c r="BN1560" s="510"/>
      <c r="BO1560" s="510"/>
      <c r="BP1560" s="510"/>
      <c r="BQ1560" s="510"/>
      <c r="BR1560" s="510"/>
      <c r="BS1560" s="510"/>
      <c r="BT1560" s="510"/>
      <c r="BU1560" s="510"/>
      <c r="BV1560" s="510"/>
      <c r="BW1560" s="510"/>
      <c r="BX1560" s="510"/>
      <c r="BY1560" s="1011"/>
      <c r="BZ1560" s="510"/>
      <c r="CA1560" s="1011"/>
      <c r="CB1560" s="510"/>
      <c r="CC1560" s="1011"/>
      <c r="CD1560" s="510"/>
      <c r="CE1560" s="1011"/>
      <c r="CF1560" s="510"/>
      <c r="CG1560" s="1011"/>
      <c r="CH1560" s="510"/>
      <c r="CI1560" s="1011"/>
    </row>
    <row r="1561" spans="1:87" hidden="1" x14ac:dyDescent="0.2">
      <c r="A1561"/>
    </row>
    <row r="1562" spans="1:87" hidden="1" x14ac:dyDescent="0.2">
      <c r="A1562"/>
    </row>
    <row r="1563" spans="1:87" hidden="1" x14ac:dyDescent="0.2">
      <c r="A1563"/>
    </row>
    <row r="1564" spans="1:87" hidden="1" x14ac:dyDescent="0.2">
      <c r="A1564"/>
    </row>
    <row r="1565" spans="1:87" hidden="1" x14ac:dyDescent="0.2">
      <c r="A1565"/>
    </row>
    <row r="1566" spans="1:87" hidden="1" x14ac:dyDescent="0.2">
      <c r="A1566"/>
    </row>
    <row r="1567" spans="1:87" hidden="1" x14ac:dyDescent="0.2">
      <c r="A1567"/>
    </row>
    <row r="1568" spans="1:87" hidden="1" x14ac:dyDescent="0.2">
      <c r="A1568"/>
    </row>
    <row r="1569" spans="1:1" hidden="1" x14ac:dyDescent="0.2">
      <c r="A1569"/>
    </row>
    <row r="1570" spans="1:1" hidden="1" x14ac:dyDescent="0.2">
      <c r="A1570"/>
    </row>
    <row r="1571" spans="1:1" hidden="1" x14ac:dyDescent="0.2">
      <c r="A1571"/>
    </row>
    <row r="1572" spans="1:1" hidden="1" x14ac:dyDescent="0.2">
      <c r="A1572"/>
    </row>
    <row r="1573" spans="1:1" hidden="1" x14ac:dyDescent="0.2">
      <c r="A1573"/>
    </row>
    <row r="1574" spans="1:1" hidden="1" x14ac:dyDescent="0.2">
      <c r="A1574"/>
    </row>
    <row r="1575" spans="1:1" hidden="1" x14ac:dyDescent="0.2">
      <c r="A1575"/>
    </row>
    <row r="1576" spans="1:1" hidden="1" x14ac:dyDescent="0.2">
      <c r="A1576"/>
    </row>
    <row r="1577" spans="1:1" hidden="1" x14ac:dyDescent="0.2">
      <c r="A1577"/>
    </row>
    <row r="1578" spans="1:1" hidden="1" x14ac:dyDescent="0.2">
      <c r="A1578"/>
    </row>
    <row r="1579" spans="1:1" hidden="1" x14ac:dyDescent="0.2">
      <c r="A1579"/>
    </row>
    <row r="1580" spans="1:1" hidden="1" x14ac:dyDescent="0.2">
      <c r="A1580"/>
    </row>
    <row r="1581" spans="1:1" hidden="1" x14ac:dyDescent="0.2">
      <c r="A1581"/>
    </row>
    <row r="1582" spans="1:1" hidden="1" x14ac:dyDescent="0.2">
      <c r="A1582"/>
    </row>
    <row r="1583" spans="1:1" hidden="1" x14ac:dyDescent="0.2">
      <c r="A1583"/>
    </row>
    <row r="1584" spans="1:1" hidden="1" x14ac:dyDescent="0.2">
      <c r="A1584"/>
    </row>
    <row r="1585" spans="1:1" hidden="1" x14ac:dyDescent="0.2">
      <c r="A1585"/>
    </row>
    <row r="1586" spans="1:1" hidden="1" x14ac:dyDescent="0.2">
      <c r="A1586"/>
    </row>
    <row r="1587" spans="1:1" hidden="1" x14ac:dyDescent="0.2">
      <c r="A1587"/>
    </row>
    <row r="1588" spans="1:1" hidden="1" x14ac:dyDescent="0.2">
      <c r="A1588"/>
    </row>
    <row r="1589" spans="1:1" hidden="1" x14ac:dyDescent="0.2">
      <c r="A1589"/>
    </row>
    <row r="1590" spans="1:1" hidden="1" x14ac:dyDescent="0.2">
      <c r="A1590"/>
    </row>
    <row r="1591" spans="1:1" hidden="1" x14ac:dyDescent="0.2">
      <c r="A1591"/>
    </row>
    <row r="1592" spans="1:1" hidden="1" x14ac:dyDescent="0.2">
      <c r="A1592"/>
    </row>
    <row r="1593" spans="1:1" hidden="1" x14ac:dyDescent="0.2">
      <c r="A1593"/>
    </row>
    <row r="1594" spans="1:1" hidden="1" x14ac:dyDescent="0.2">
      <c r="A1594"/>
    </row>
    <row r="1595" spans="1:1" hidden="1" x14ac:dyDescent="0.2">
      <c r="A1595"/>
    </row>
    <row r="1596" spans="1:1" hidden="1" x14ac:dyDescent="0.2">
      <c r="A1596"/>
    </row>
    <row r="1597" spans="1:1" hidden="1" x14ac:dyDescent="0.2">
      <c r="A1597"/>
    </row>
    <row r="1598" spans="1:1" hidden="1" x14ac:dyDescent="0.2">
      <c r="A1598"/>
    </row>
    <row r="1599" spans="1:1" hidden="1" x14ac:dyDescent="0.2">
      <c r="A1599"/>
    </row>
    <row r="1600" spans="1:1" hidden="1" x14ac:dyDescent="0.2">
      <c r="A1600"/>
    </row>
    <row r="1601" spans="1:1" hidden="1" x14ac:dyDescent="0.2">
      <c r="A1601"/>
    </row>
    <row r="1602" spans="1:1" hidden="1" x14ac:dyDescent="0.2">
      <c r="A1602"/>
    </row>
    <row r="1603" spans="1:1" hidden="1" x14ac:dyDescent="0.2">
      <c r="A1603"/>
    </row>
    <row r="1604" spans="1:1" hidden="1" x14ac:dyDescent="0.2">
      <c r="A1604"/>
    </row>
    <row r="1605" spans="1:1" hidden="1" x14ac:dyDescent="0.2">
      <c r="A1605"/>
    </row>
    <row r="1606" spans="1:1" hidden="1" x14ac:dyDescent="0.2">
      <c r="A1606"/>
    </row>
    <row r="1607" spans="1:1" hidden="1" x14ac:dyDescent="0.2">
      <c r="A1607"/>
    </row>
    <row r="1608" spans="1:1" hidden="1" x14ac:dyDescent="0.2">
      <c r="A1608"/>
    </row>
    <row r="1609" spans="1:1" hidden="1" x14ac:dyDescent="0.2">
      <c r="A1609"/>
    </row>
    <row r="1610" spans="1:1" hidden="1" x14ac:dyDescent="0.2">
      <c r="A1610"/>
    </row>
    <row r="1611" spans="1:1" hidden="1" x14ac:dyDescent="0.2">
      <c r="A1611"/>
    </row>
    <row r="1612" spans="1:1" hidden="1" x14ac:dyDescent="0.2">
      <c r="A1612"/>
    </row>
    <row r="1613" spans="1:1" hidden="1" x14ac:dyDescent="0.2">
      <c r="A1613"/>
    </row>
    <row r="1614" spans="1:1" hidden="1" x14ac:dyDescent="0.2">
      <c r="A1614"/>
    </row>
    <row r="1615" spans="1:1" hidden="1" x14ac:dyDescent="0.2">
      <c r="A1615"/>
    </row>
    <row r="1616" spans="1:1" hidden="1" x14ac:dyDescent="0.2">
      <c r="A1616"/>
    </row>
    <row r="1617" spans="1:1" hidden="1" x14ac:dyDescent="0.2">
      <c r="A1617"/>
    </row>
    <row r="1618" spans="1:1" hidden="1" x14ac:dyDescent="0.2">
      <c r="A1618"/>
    </row>
    <row r="1619" spans="1:1" hidden="1" x14ac:dyDescent="0.2">
      <c r="A1619"/>
    </row>
    <row r="1620" spans="1:1" hidden="1" x14ac:dyDescent="0.2">
      <c r="A1620"/>
    </row>
    <row r="1621" spans="1:1" hidden="1" x14ac:dyDescent="0.2">
      <c r="A1621"/>
    </row>
    <row r="1622" spans="1:1" hidden="1" x14ac:dyDescent="0.2">
      <c r="A1622"/>
    </row>
    <row r="1623" spans="1:1" hidden="1" x14ac:dyDescent="0.2">
      <c r="A1623"/>
    </row>
    <row r="1624" spans="1:1" hidden="1" x14ac:dyDescent="0.2">
      <c r="A1624"/>
    </row>
    <row r="1625" spans="1:1" hidden="1" x14ac:dyDescent="0.2">
      <c r="A1625"/>
    </row>
    <row r="1626" spans="1:1" hidden="1" x14ac:dyDescent="0.2">
      <c r="A1626"/>
    </row>
    <row r="1627" spans="1:1" hidden="1" x14ac:dyDescent="0.2">
      <c r="A1627"/>
    </row>
    <row r="1628" spans="1:1" hidden="1" x14ac:dyDescent="0.2">
      <c r="A1628"/>
    </row>
    <row r="1629" spans="1:1" hidden="1" x14ac:dyDescent="0.2">
      <c r="A1629"/>
    </row>
    <row r="1630" spans="1:1" hidden="1" x14ac:dyDescent="0.2">
      <c r="A1630"/>
    </row>
    <row r="1631" spans="1:1" hidden="1" x14ac:dyDescent="0.2">
      <c r="A1631"/>
    </row>
    <row r="1632" spans="1:1" hidden="1" x14ac:dyDescent="0.2">
      <c r="A1632"/>
    </row>
    <row r="1633" spans="1:1" hidden="1" x14ac:dyDescent="0.2">
      <c r="A1633"/>
    </row>
    <row r="1634" spans="1:1" hidden="1" x14ac:dyDescent="0.2">
      <c r="A1634"/>
    </row>
    <row r="1635" spans="1:1" hidden="1" x14ac:dyDescent="0.2">
      <c r="A1635"/>
    </row>
    <row r="1636" spans="1:1" hidden="1" x14ac:dyDescent="0.2">
      <c r="A1636"/>
    </row>
    <row r="1637" spans="1:1" hidden="1" x14ac:dyDescent="0.2">
      <c r="A1637"/>
    </row>
    <row r="1638" spans="1:1" hidden="1" x14ac:dyDescent="0.2">
      <c r="A1638"/>
    </row>
    <row r="1639" spans="1:1" hidden="1" x14ac:dyDescent="0.2">
      <c r="A1639"/>
    </row>
    <row r="1640" spans="1:1" hidden="1" x14ac:dyDescent="0.2">
      <c r="A1640"/>
    </row>
    <row r="1641" spans="1:1" hidden="1" x14ac:dyDescent="0.2">
      <c r="A1641"/>
    </row>
    <row r="1642" spans="1:1" hidden="1" x14ac:dyDescent="0.2">
      <c r="A1642"/>
    </row>
    <row r="1643" spans="1:1" hidden="1" x14ac:dyDescent="0.2">
      <c r="A1643"/>
    </row>
    <row r="1644" spans="1:1" hidden="1" x14ac:dyDescent="0.2">
      <c r="A1644"/>
    </row>
    <row r="1645" spans="1:1" hidden="1" x14ac:dyDescent="0.2">
      <c r="A1645"/>
    </row>
    <row r="1646" spans="1:1" hidden="1" x14ac:dyDescent="0.2">
      <c r="A1646"/>
    </row>
    <row r="1647" spans="1:1" hidden="1" x14ac:dyDescent="0.2">
      <c r="A1647"/>
    </row>
    <row r="1648" spans="1:1" hidden="1" x14ac:dyDescent="0.2">
      <c r="A1648"/>
    </row>
    <row r="1649" spans="1:1" hidden="1" x14ac:dyDescent="0.2">
      <c r="A1649"/>
    </row>
    <row r="1650" spans="1:1" hidden="1" x14ac:dyDescent="0.2">
      <c r="A1650"/>
    </row>
    <row r="1651" spans="1:1" hidden="1" x14ac:dyDescent="0.2">
      <c r="A1651"/>
    </row>
    <row r="1652" spans="1:1" hidden="1" x14ac:dyDescent="0.2">
      <c r="A1652"/>
    </row>
    <row r="1653" spans="1:1" hidden="1" x14ac:dyDescent="0.2">
      <c r="A1653"/>
    </row>
    <row r="1654" spans="1:1" hidden="1" x14ac:dyDescent="0.2">
      <c r="A1654"/>
    </row>
    <row r="1655" spans="1:1" hidden="1" x14ac:dyDescent="0.2">
      <c r="A1655"/>
    </row>
    <row r="1656" spans="1:1" hidden="1" x14ac:dyDescent="0.2">
      <c r="A1656"/>
    </row>
    <row r="1657" spans="1:1" hidden="1" x14ac:dyDescent="0.2">
      <c r="A1657"/>
    </row>
    <row r="1658" spans="1:1" hidden="1" x14ac:dyDescent="0.2">
      <c r="A1658"/>
    </row>
    <row r="1659" spans="1:1" hidden="1" x14ac:dyDescent="0.2">
      <c r="A1659"/>
    </row>
    <row r="1660" spans="1:1" hidden="1" x14ac:dyDescent="0.2">
      <c r="A1660"/>
    </row>
    <row r="1661" spans="1:1" hidden="1" x14ac:dyDescent="0.2">
      <c r="A1661"/>
    </row>
    <row r="1662" spans="1:1" hidden="1" x14ac:dyDescent="0.2">
      <c r="A1662"/>
    </row>
    <row r="1663" spans="1:1" hidden="1" x14ac:dyDescent="0.2">
      <c r="A1663"/>
    </row>
    <row r="1664" spans="1:1" hidden="1" x14ac:dyDescent="0.2">
      <c r="A1664"/>
    </row>
    <row r="1665" spans="1:1" hidden="1" x14ac:dyDescent="0.2">
      <c r="A1665"/>
    </row>
    <row r="1666" spans="1:1" hidden="1" x14ac:dyDescent="0.2">
      <c r="A1666"/>
    </row>
    <row r="1667" spans="1:1" hidden="1" x14ac:dyDescent="0.2">
      <c r="A1667"/>
    </row>
    <row r="1668" spans="1:1" hidden="1" x14ac:dyDescent="0.2">
      <c r="A1668"/>
    </row>
    <row r="1669" spans="1:1" hidden="1" x14ac:dyDescent="0.2">
      <c r="A1669"/>
    </row>
    <row r="1670" spans="1:1" hidden="1" x14ac:dyDescent="0.2">
      <c r="A1670"/>
    </row>
    <row r="1671" spans="1:1" hidden="1" x14ac:dyDescent="0.2">
      <c r="A1671"/>
    </row>
    <row r="1672" spans="1:1" hidden="1" x14ac:dyDescent="0.2">
      <c r="A1672"/>
    </row>
    <row r="1673" spans="1:1" hidden="1" x14ac:dyDescent="0.2">
      <c r="A1673"/>
    </row>
    <row r="1674" spans="1:1" hidden="1" x14ac:dyDescent="0.2">
      <c r="A1674"/>
    </row>
    <row r="1675" spans="1:1" hidden="1" x14ac:dyDescent="0.2">
      <c r="A1675"/>
    </row>
    <row r="1676" spans="1:1" hidden="1" x14ac:dyDescent="0.2">
      <c r="A1676"/>
    </row>
    <row r="1677" spans="1:1" hidden="1" x14ac:dyDescent="0.2">
      <c r="A1677"/>
    </row>
    <row r="1678" spans="1:1" hidden="1" x14ac:dyDescent="0.2">
      <c r="A1678"/>
    </row>
    <row r="1679" spans="1:1" hidden="1" x14ac:dyDescent="0.2">
      <c r="A1679"/>
    </row>
    <row r="1680" spans="1:1" hidden="1" x14ac:dyDescent="0.2">
      <c r="A1680"/>
    </row>
    <row r="1681" spans="1:1" hidden="1" x14ac:dyDescent="0.2">
      <c r="A1681"/>
    </row>
    <row r="1682" spans="1:1" hidden="1" x14ac:dyDescent="0.2">
      <c r="A1682"/>
    </row>
    <row r="1683" spans="1:1" hidden="1" x14ac:dyDescent="0.2">
      <c r="A1683"/>
    </row>
    <row r="1684" spans="1:1" hidden="1" x14ac:dyDescent="0.2">
      <c r="A1684"/>
    </row>
    <row r="1685" spans="1:1" hidden="1" x14ac:dyDescent="0.2">
      <c r="A1685"/>
    </row>
    <row r="1686" spans="1:1" hidden="1" x14ac:dyDescent="0.2">
      <c r="A1686"/>
    </row>
    <row r="1687" spans="1:1" hidden="1" x14ac:dyDescent="0.2">
      <c r="A1687"/>
    </row>
    <row r="1688" spans="1:1" hidden="1" x14ac:dyDescent="0.2">
      <c r="A1688"/>
    </row>
    <row r="1689" spans="1:1" hidden="1" x14ac:dyDescent="0.2">
      <c r="A1689"/>
    </row>
    <row r="1690" spans="1:1" hidden="1" x14ac:dyDescent="0.2">
      <c r="A1690"/>
    </row>
    <row r="1691" spans="1:1" hidden="1" x14ac:dyDescent="0.2">
      <c r="A1691"/>
    </row>
    <row r="1692" spans="1:1" hidden="1" x14ac:dyDescent="0.2">
      <c r="A1692"/>
    </row>
    <row r="1693" spans="1:1" hidden="1" x14ac:dyDescent="0.2">
      <c r="A1693"/>
    </row>
    <row r="1694" spans="1:1" hidden="1" x14ac:dyDescent="0.2">
      <c r="A1694"/>
    </row>
    <row r="1695" spans="1:1" hidden="1" x14ac:dyDescent="0.2">
      <c r="A1695"/>
    </row>
    <row r="1696" spans="1:1" hidden="1" x14ac:dyDescent="0.2">
      <c r="A1696"/>
    </row>
    <row r="1697" spans="1:1" hidden="1" x14ac:dyDescent="0.2">
      <c r="A1697"/>
    </row>
    <row r="1698" spans="1:1" hidden="1" x14ac:dyDescent="0.2">
      <c r="A1698"/>
    </row>
    <row r="1699" spans="1:1" hidden="1" x14ac:dyDescent="0.2">
      <c r="A1699"/>
    </row>
    <row r="1700" spans="1:1" hidden="1" x14ac:dyDescent="0.2">
      <c r="A1700"/>
    </row>
    <row r="1701" spans="1:1" hidden="1" x14ac:dyDescent="0.2">
      <c r="A1701"/>
    </row>
    <row r="1702" spans="1:1" hidden="1" x14ac:dyDescent="0.2">
      <c r="A1702"/>
    </row>
    <row r="1703" spans="1:1" hidden="1" x14ac:dyDescent="0.2">
      <c r="A1703"/>
    </row>
    <row r="1704" spans="1:1" hidden="1" x14ac:dyDescent="0.2">
      <c r="A1704"/>
    </row>
    <row r="1705" spans="1:1" hidden="1" x14ac:dyDescent="0.2">
      <c r="A1705"/>
    </row>
    <row r="1706" spans="1:1" hidden="1" x14ac:dyDescent="0.2">
      <c r="A1706"/>
    </row>
    <row r="1707" spans="1:1" hidden="1" x14ac:dyDescent="0.2">
      <c r="A1707"/>
    </row>
    <row r="1708" spans="1:1" hidden="1" x14ac:dyDescent="0.2">
      <c r="A1708"/>
    </row>
    <row r="1709" spans="1:1" hidden="1" x14ac:dyDescent="0.2">
      <c r="A1709"/>
    </row>
    <row r="1710" spans="1:1" hidden="1" x14ac:dyDescent="0.2">
      <c r="A1710"/>
    </row>
    <row r="1711" spans="1:1" hidden="1" x14ac:dyDescent="0.2">
      <c r="A1711"/>
    </row>
    <row r="1712" spans="1:1" hidden="1" x14ac:dyDescent="0.2">
      <c r="A1712"/>
    </row>
    <row r="1713" spans="1:1" hidden="1" x14ac:dyDescent="0.2">
      <c r="A1713"/>
    </row>
    <row r="1714" spans="1:1" hidden="1" x14ac:dyDescent="0.2">
      <c r="A1714"/>
    </row>
    <row r="1715" spans="1:1" hidden="1" x14ac:dyDescent="0.2">
      <c r="A1715"/>
    </row>
    <row r="1716" spans="1:1" hidden="1" x14ac:dyDescent="0.2">
      <c r="A1716"/>
    </row>
    <row r="1717" spans="1:1" hidden="1" x14ac:dyDescent="0.2">
      <c r="A1717"/>
    </row>
    <row r="1718" spans="1:1" hidden="1" x14ac:dyDescent="0.2">
      <c r="A1718"/>
    </row>
    <row r="1719" spans="1:1" hidden="1" x14ac:dyDescent="0.2">
      <c r="A1719"/>
    </row>
    <row r="1720" spans="1:1" hidden="1" x14ac:dyDescent="0.2">
      <c r="A1720"/>
    </row>
    <row r="1721" spans="1:1" hidden="1" x14ac:dyDescent="0.2">
      <c r="A1721"/>
    </row>
    <row r="1722" spans="1:1" hidden="1" x14ac:dyDescent="0.2">
      <c r="A1722"/>
    </row>
    <row r="1723" spans="1:1" hidden="1" x14ac:dyDescent="0.2">
      <c r="A1723"/>
    </row>
    <row r="1724" spans="1:1" hidden="1" x14ac:dyDescent="0.2">
      <c r="A1724"/>
    </row>
    <row r="1725" spans="1:1" hidden="1" x14ac:dyDescent="0.2">
      <c r="A1725"/>
    </row>
    <row r="1726" spans="1:1" hidden="1" x14ac:dyDescent="0.2">
      <c r="A1726"/>
    </row>
    <row r="1727" spans="1:1" hidden="1" x14ac:dyDescent="0.2">
      <c r="A1727"/>
    </row>
    <row r="1728" spans="1:1" hidden="1" x14ac:dyDescent="0.2">
      <c r="A1728"/>
    </row>
    <row r="1729" spans="1:1" hidden="1" x14ac:dyDescent="0.2">
      <c r="A1729"/>
    </row>
    <row r="1730" spans="1:1" hidden="1" x14ac:dyDescent="0.2">
      <c r="A1730"/>
    </row>
    <row r="1731" spans="1:1" hidden="1" x14ac:dyDescent="0.2">
      <c r="A1731"/>
    </row>
    <row r="1732" spans="1:1" hidden="1" x14ac:dyDescent="0.2">
      <c r="A1732"/>
    </row>
    <row r="1733" spans="1:1" hidden="1" x14ac:dyDescent="0.2">
      <c r="A1733"/>
    </row>
    <row r="1734" spans="1:1" hidden="1" x14ac:dyDescent="0.2">
      <c r="A1734"/>
    </row>
    <row r="1735" spans="1:1" hidden="1" x14ac:dyDescent="0.2">
      <c r="A1735"/>
    </row>
    <row r="1736" spans="1:1" hidden="1" x14ac:dyDescent="0.2">
      <c r="A1736"/>
    </row>
    <row r="1737" spans="1:1" hidden="1" x14ac:dyDescent="0.2">
      <c r="A1737"/>
    </row>
    <row r="1738" spans="1:1" hidden="1" x14ac:dyDescent="0.2">
      <c r="A1738"/>
    </row>
    <row r="1739" spans="1:1" hidden="1" x14ac:dyDescent="0.2">
      <c r="A1739"/>
    </row>
    <row r="1740" spans="1:1" hidden="1" x14ac:dyDescent="0.2">
      <c r="A1740"/>
    </row>
    <row r="1741" spans="1:1" hidden="1" x14ac:dyDescent="0.2">
      <c r="A1741"/>
    </row>
    <row r="1742" spans="1:1" hidden="1" x14ac:dyDescent="0.2">
      <c r="A1742"/>
    </row>
    <row r="1743" spans="1:1" hidden="1" x14ac:dyDescent="0.2">
      <c r="A1743"/>
    </row>
    <row r="1744" spans="1:1" hidden="1" x14ac:dyDescent="0.2">
      <c r="A1744"/>
    </row>
    <row r="1745" spans="1:1" hidden="1" x14ac:dyDescent="0.2">
      <c r="A1745"/>
    </row>
    <row r="1746" spans="1:1" hidden="1" x14ac:dyDescent="0.2">
      <c r="A1746"/>
    </row>
    <row r="1747" spans="1:1" hidden="1" x14ac:dyDescent="0.2">
      <c r="A1747"/>
    </row>
    <row r="1748" spans="1:1" hidden="1" x14ac:dyDescent="0.2">
      <c r="A1748"/>
    </row>
    <row r="1749" spans="1:1" hidden="1" x14ac:dyDescent="0.2">
      <c r="A1749"/>
    </row>
    <row r="1750" spans="1:1" hidden="1" x14ac:dyDescent="0.2">
      <c r="A1750"/>
    </row>
    <row r="1751" spans="1:1" hidden="1" x14ac:dyDescent="0.2">
      <c r="A1751"/>
    </row>
    <row r="1752" spans="1:1" hidden="1" x14ac:dyDescent="0.2">
      <c r="A1752"/>
    </row>
    <row r="1753" spans="1:1" hidden="1" x14ac:dyDescent="0.2">
      <c r="A1753"/>
    </row>
    <row r="1754" spans="1:1" hidden="1" x14ac:dyDescent="0.2">
      <c r="A1754"/>
    </row>
    <row r="1755" spans="1:1" hidden="1" x14ac:dyDescent="0.2">
      <c r="A1755"/>
    </row>
    <row r="1756" spans="1:1" hidden="1" x14ac:dyDescent="0.2">
      <c r="A1756"/>
    </row>
    <row r="1757" spans="1:1" hidden="1" x14ac:dyDescent="0.2">
      <c r="A1757"/>
    </row>
    <row r="1758" spans="1:1" hidden="1" x14ac:dyDescent="0.2">
      <c r="A1758"/>
    </row>
    <row r="1759" spans="1:1" hidden="1" x14ac:dyDescent="0.2">
      <c r="A1759"/>
    </row>
    <row r="1760" spans="1:1" hidden="1" x14ac:dyDescent="0.2">
      <c r="A1760"/>
    </row>
    <row r="1761" spans="1:1" hidden="1" x14ac:dyDescent="0.2">
      <c r="A1761"/>
    </row>
    <row r="1762" spans="1:1" hidden="1" x14ac:dyDescent="0.2">
      <c r="A1762"/>
    </row>
    <row r="1763" spans="1:1" hidden="1" x14ac:dyDescent="0.2">
      <c r="A1763"/>
    </row>
    <row r="1764" spans="1:1" hidden="1" x14ac:dyDescent="0.2">
      <c r="A1764"/>
    </row>
    <row r="1765" spans="1:1" hidden="1" x14ac:dyDescent="0.2">
      <c r="A1765"/>
    </row>
    <row r="1766" spans="1:1" hidden="1" x14ac:dyDescent="0.2">
      <c r="A1766"/>
    </row>
    <row r="1767" spans="1:1" hidden="1" x14ac:dyDescent="0.2">
      <c r="A1767"/>
    </row>
    <row r="1768" spans="1:1" hidden="1" x14ac:dyDescent="0.2">
      <c r="A1768"/>
    </row>
    <row r="1769" spans="1:1" hidden="1" x14ac:dyDescent="0.2">
      <c r="A1769"/>
    </row>
    <row r="1770" spans="1:1" hidden="1" x14ac:dyDescent="0.2">
      <c r="A1770"/>
    </row>
    <row r="1771" spans="1:1" hidden="1" x14ac:dyDescent="0.2">
      <c r="A1771"/>
    </row>
    <row r="1772" spans="1:1" hidden="1" x14ac:dyDescent="0.2">
      <c r="A1772"/>
    </row>
    <row r="1773" spans="1:1" hidden="1" x14ac:dyDescent="0.2">
      <c r="A1773"/>
    </row>
    <row r="1774" spans="1:1" hidden="1" x14ac:dyDescent="0.2">
      <c r="A1774"/>
    </row>
    <row r="1775" spans="1:1" hidden="1" x14ac:dyDescent="0.2">
      <c r="A1775"/>
    </row>
    <row r="1776" spans="1:1" hidden="1" x14ac:dyDescent="0.2">
      <c r="A1776"/>
    </row>
    <row r="1777" spans="1:1" hidden="1" x14ac:dyDescent="0.2">
      <c r="A1777"/>
    </row>
    <row r="1778" spans="1:1" hidden="1" x14ac:dyDescent="0.2">
      <c r="A1778"/>
    </row>
    <row r="1779" spans="1:1" hidden="1" x14ac:dyDescent="0.2">
      <c r="A1779"/>
    </row>
    <row r="1780" spans="1:1" hidden="1" x14ac:dyDescent="0.2">
      <c r="A1780"/>
    </row>
    <row r="1781" spans="1:1" hidden="1" x14ac:dyDescent="0.2">
      <c r="A1781"/>
    </row>
    <row r="1782" spans="1:1" hidden="1" x14ac:dyDescent="0.2">
      <c r="A1782"/>
    </row>
    <row r="1783" spans="1:1" hidden="1" x14ac:dyDescent="0.2">
      <c r="A1783"/>
    </row>
    <row r="1784" spans="1:1" hidden="1" x14ac:dyDescent="0.2">
      <c r="A1784"/>
    </row>
    <row r="1785" spans="1:1" hidden="1" x14ac:dyDescent="0.2">
      <c r="A1785"/>
    </row>
    <row r="1786" spans="1:1" hidden="1" x14ac:dyDescent="0.2">
      <c r="A1786"/>
    </row>
    <row r="1787" spans="1:1" hidden="1" x14ac:dyDescent="0.2">
      <c r="A1787"/>
    </row>
    <row r="1788" spans="1:1" hidden="1" x14ac:dyDescent="0.2">
      <c r="A1788"/>
    </row>
    <row r="1789" spans="1:1" hidden="1" x14ac:dyDescent="0.2">
      <c r="A1789"/>
    </row>
    <row r="1790" spans="1:1" hidden="1" x14ac:dyDescent="0.2">
      <c r="A1790"/>
    </row>
    <row r="1791" spans="1:1" hidden="1" x14ac:dyDescent="0.2">
      <c r="A1791"/>
    </row>
    <row r="1792" spans="1:1" hidden="1" x14ac:dyDescent="0.2">
      <c r="A1792"/>
    </row>
    <row r="1793" spans="1:1" hidden="1" x14ac:dyDescent="0.2">
      <c r="A1793"/>
    </row>
    <row r="1794" spans="1:1" hidden="1" x14ac:dyDescent="0.2">
      <c r="A1794"/>
    </row>
    <row r="1795" spans="1:1" hidden="1" x14ac:dyDescent="0.2">
      <c r="A1795"/>
    </row>
    <row r="1796" spans="1:1" hidden="1" x14ac:dyDescent="0.2">
      <c r="A1796"/>
    </row>
    <row r="1797" spans="1:1" hidden="1" x14ac:dyDescent="0.2">
      <c r="A1797"/>
    </row>
    <row r="1798" spans="1:1" hidden="1" x14ac:dyDescent="0.2">
      <c r="A1798"/>
    </row>
    <row r="1799" spans="1:1" hidden="1" x14ac:dyDescent="0.2">
      <c r="A1799"/>
    </row>
    <row r="1800" spans="1:1" hidden="1" x14ac:dyDescent="0.2">
      <c r="A1800"/>
    </row>
    <row r="1801" spans="1:1" hidden="1" x14ac:dyDescent="0.2">
      <c r="A1801"/>
    </row>
    <row r="1802" spans="1:1" hidden="1" x14ac:dyDescent="0.2">
      <c r="A1802"/>
    </row>
    <row r="1803" spans="1:1" hidden="1" x14ac:dyDescent="0.2">
      <c r="A1803"/>
    </row>
    <row r="1804" spans="1:1" hidden="1" x14ac:dyDescent="0.2">
      <c r="A1804"/>
    </row>
    <row r="1805" spans="1:1" hidden="1" x14ac:dyDescent="0.2">
      <c r="A1805"/>
    </row>
    <row r="1806" spans="1:1" hidden="1" x14ac:dyDescent="0.2">
      <c r="A1806"/>
    </row>
    <row r="1807" spans="1:1" hidden="1" x14ac:dyDescent="0.2">
      <c r="A1807"/>
    </row>
    <row r="1808" spans="1:1" hidden="1" x14ac:dyDescent="0.2">
      <c r="A1808"/>
    </row>
    <row r="1809" spans="1:1" hidden="1" x14ac:dyDescent="0.2">
      <c r="A1809"/>
    </row>
    <row r="1810" spans="1:1" hidden="1" x14ac:dyDescent="0.2">
      <c r="A1810"/>
    </row>
    <row r="1811" spans="1:1" hidden="1" x14ac:dyDescent="0.2">
      <c r="A1811"/>
    </row>
    <row r="1812" spans="1:1" hidden="1" x14ac:dyDescent="0.2">
      <c r="A1812"/>
    </row>
    <row r="1813" spans="1:1" hidden="1" x14ac:dyDescent="0.2">
      <c r="A1813"/>
    </row>
    <row r="1814" spans="1:1" hidden="1" x14ac:dyDescent="0.2">
      <c r="A1814"/>
    </row>
    <row r="1815" spans="1:1" hidden="1" x14ac:dyDescent="0.2">
      <c r="A1815"/>
    </row>
    <row r="1816" spans="1:1" hidden="1" x14ac:dyDescent="0.2">
      <c r="A1816"/>
    </row>
    <row r="1817" spans="1:1" hidden="1" x14ac:dyDescent="0.2">
      <c r="A1817"/>
    </row>
    <row r="1818" spans="1:1" hidden="1" x14ac:dyDescent="0.2">
      <c r="A1818"/>
    </row>
    <row r="1819" spans="1:1" hidden="1" x14ac:dyDescent="0.2">
      <c r="A1819"/>
    </row>
    <row r="1820" spans="1:1" hidden="1" x14ac:dyDescent="0.2">
      <c r="A1820"/>
    </row>
    <row r="1821" spans="1:1" hidden="1" x14ac:dyDescent="0.2">
      <c r="A1821"/>
    </row>
    <row r="1822" spans="1:1" hidden="1" x14ac:dyDescent="0.2">
      <c r="A1822"/>
    </row>
    <row r="1823" spans="1:1" hidden="1" x14ac:dyDescent="0.2">
      <c r="A1823"/>
    </row>
    <row r="1824" spans="1:1" hidden="1" x14ac:dyDescent="0.2">
      <c r="A1824"/>
    </row>
    <row r="1825" spans="1:1" hidden="1" x14ac:dyDescent="0.2">
      <c r="A1825"/>
    </row>
    <row r="1826" spans="1:1" hidden="1" x14ac:dyDescent="0.2">
      <c r="A1826"/>
    </row>
    <row r="1827" spans="1:1" hidden="1" x14ac:dyDescent="0.2">
      <c r="A1827"/>
    </row>
    <row r="1828" spans="1:1" hidden="1" x14ac:dyDescent="0.2">
      <c r="A1828"/>
    </row>
    <row r="1829" spans="1:1" hidden="1" x14ac:dyDescent="0.2">
      <c r="A1829"/>
    </row>
    <row r="1830" spans="1:1" hidden="1" x14ac:dyDescent="0.2">
      <c r="A1830"/>
    </row>
    <row r="1831" spans="1:1" hidden="1" x14ac:dyDescent="0.2">
      <c r="A1831"/>
    </row>
    <row r="1832" spans="1:1" hidden="1" x14ac:dyDescent="0.2">
      <c r="A1832"/>
    </row>
    <row r="1833" spans="1:1" hidden="1" x14ac:dyDescent="0.2">
      <c r="A1833"/>
    </row>
    <row r="1834" spans="1:1" hidden="1" x14ac:dyDescent="0.2">
      <c r="A1834"/>
    </row>
    <row r="1835" spans="1:1" hidden="1" x14ac:dyDescent="0.2">
      <c r="A1835"/>
    </row>
    <row r="1836" spans="1:1" hidden="1" x14ac:dyDescent="0.2">
      <c r="A1836"/>
    </row>
    <row r="1837" spans="1:1" hidden="1" x14ac:dyDescent="0.2">
      <c r="A1837"/>
    </row>
    <row r="1838" spans="1:1" hidden="1" x14ac:dyDescent="0.2">
      <c r="A1838"/>
    </row>
    <row r="1839" spans="1:1" hidden="1" x14ac:dyDescent="0.2">
      <c r="A1839"/>
    </row>
    <row r="1840" spans="1:1" hidden="1" x14ac:dyDescent="0.2">
      <c r="A1840"/>
    </row>
    <row r="1841" spans="1:1" hidden="1" x14ac:dyDescent="0.2">
      <c r="A1841"/>
    </row>
    <row r="1842" spans="1:1" hidden="1" x14ac:dyDescent="0.2">
      <c r="A1842"/>
    </row>
    <row r="1843" spans="1:1" hidden="1" x14ac:dyDescent="0.2">
      <c r="A1843"/>
    </row>
    <row r="1844" spans="1:1" hidden="1" x14ac:dyDescent="0.2">
      <c r="A1844"/>
    </row>
    <row r="1845" spans="1:1" hidden="1" x14ac:dyDescent="0.2">
      <c r="A1845"/>
    </row>
    <row r="1846" spans="1:1" hidden="1" x14ac:dyDescent="0.2">
      <c r="A1846"/>
    </row>
    <row r="1847" spans="1:1" hidden="1" x14ac:dyDescent="0.2">
      <c r="A1847"/>
    </row>
    <row r="1848" spans="1:1" hidden="1" x14ac:dyDescent="0.2">
      <c r="A1848"/>
    </row>
    <row r="1849" spans="1:1" hidden="1" x14ac:dyDescent="0.2">
      <c r="A1849"/>
    </row>
    <row r="1850" spans="1:1" hidden="1" x14ac:dyDescent="0.2">
      <c r="A1850"/>
    </row>
    <row r="1851" spans="1:1" hidden="1" x14ac:dyDescent="0.2">
      <c r="A1851"/>
    </row>
    <row r="1852" spans="1:1" hidden="1" x14ac:dyDescent="0.2">
      <c r="A1852"/>
    </row>
    <row r="1853" spans="1:1" hidden="1" x14ac:dyDescent="0.2">
      <c r="A1853"/>
    </row>
    <row r="1854" spans="1:1" hidden="1" x14ac:dyDescent="0.2">
      <c r="A1854"/>
    </row>
    <row r="1855" spans="1:1" hidden="1" x14ac:dyDescent="0.2">
      <c r="A1855"/>
    </row>
    <row r="1856" spans="1:1" hidden="1" x14ac:dyDescent="0.2">
      <c r="A1856"/>
    </row>
    <row r="1857" spans="1:1" hidden="1" x14ac:dyDescent="0.2">
      <c r="A1857"/>
    </row>
    <row r="1858" spans="1:1" hidden="1" x14ac:dyDescent="0.2">
      <c r="A1858"/>
    </row>
    <row r="1859" spans="1:1" hidden="1" x14ac:dyDescent="0.2">
      <c r="A1859"/>
    </row>
    <row r="1860" spans="1:1" hidden="1" x14ac:dyDescent="0.2">
      <c r="A1860"/>
    </row>
    <row r="1861" spans="1:1" hidden="1" x14ac:dyDescent="0.2">
      <c r="A1861"/>
    </row>
    <row r="1862" spans="1:1" hidden="1" x14ac:dyDescent="0.2">
      <c r="A1862"/>
    </row>
    <row r="1863" spans="1:1" hidden="1" x14ac:dyDescent="0.2">
      <c r="A1863"/>
    </row>
    <row r="1864" spans="1:1" hidden="1" x14ac:dyDescent="0.2">
      <c r="A1864"/>
    </row>
    <row r="1865" spans="1:1" hidden="1" x14ac:dyDescent="0.2">
      <c r="A1865"/>
    </row>
    <row r="1866" spans="1:1" hidden="1" x14ac:dyDescent="0.2">
      <c r="A1866"/>
    </row>
    <row r="1867" spans="1:1" hidden="1" x14ac:dyDescent="0.2">
      <c r="A1867"/>
    </row>
    <row r="1868" spans="1:1" hidden="1" x14ac:dyDescent="0.2">
      <c r="A1868"/>
    </row>
    <row r="1869" spans="1:1" hidden="1" x14ac:dyDescent="0.2">
      <c r="A1869"/>
    </row>
    <row r="1870" spans="1:1" hidden="1" x14ac:dyDescent="0.2">
      <c r="A1870"/>
    </row>
    <row r="1871" spans="1:1" hidden="1" x14ac:dyDescent="0.2">
      <c r="A1871"/>
    </row>
    <row r="1872" spans="1:1" hidden="1" x14ac:dyDescent="0.2">
      <c r="A1872"/>
    </row>
    <row r="1873" spans="1:1" hidden="1" x14ac:dyDescent="0.2">
      <c r="A1873"/>
    </row>
    <row r="1874" spans="1:1" hidden="1" x14ac:dyDescent="0.2">
      <c r="A1874"/>
    </row>
    <row r="1875" spans="1:1" hidden="1" x14ac:dyDescent="0.2">
      <c r="A1875"/>
    </row>
    <row r="1876" spans="1:1" hidden="1" x14ac:dyDescent="0.2">
      <c r="A1876"/>
    </row>
    <row r="1877" spans="1:1" hidden="1" x14ac:dyDescent="0.2">
      <c r="A1877"/>
    </row>
    <row r="1878" spans="1:1" hidden="1" x14ac:dyDescent="0.2">
      <c r="A1878"/>
    </row>
    <row r="1879" spans="1:1" hidden="1" x14ac:dyDescent="0.2">
      <c r="A1879"/>
    </row>
    <row r="1880" spans="1:1" hidden="1" x14ac:dyDescent="0.2">
      <c r="A1880"/>
    </row>
    <row r="1881" spans="1:1" hidden="1" x14ac:dyDescent="0.2">
      <c r="A1881"/>
    </row>
    <row r="1882" spans="1:1" hidden="1" x14ac:dyDescent="0.2">
      <c r="A1882"/>
    </row>
    <row r="1883" spans="1:1" hidden="1" x14ac:dyDescent="0.2">
      <c r="A1883"/>
    </row>
    <row r="1884" spans="1:1" hidden="1" x14ac:dyDescent="0.2">
      <c r="A1884"/>
    </row>
    <row r="1885" spans="1:1" hidden="1" x14ac:dyDescent="0.2">
      <c r="A1885"/>
    </row>
    <row r="1886" spans="1:1" hidden="1" x14ac:dyDescent="0.2">
      <c r="A1886"/>
    </row>
    <row r="1887" spans="1:1" hidden="1" x14ac:dyDescent="0.2">
      <c r="A1887"/>
    </row>
    <row r="1888" spans="1:1" hidden="1" x14ac:dyDescent="0.2">
      <c r="A1888"/>
    </row>
    <row r="1889" spans="1:1" hidden="1" x14ac:dyDescent="0.2">
      <c r="A1889"/>
    </row>
    <row r="1890" spans="1:1" hidden="1" x14ac:dyDescent="0.2">
      <c r="A1890"/>
    </row>
    <row r="1891" spans="1:1" hidden="1" x14ac:dyDescent="0.2">
      <c r="A1891"/>
    </row>
    <row r="1892" spans="1:1" hidden="1" x14ac:dyDescent="0.2">
      <c r="A1892"/>
    </row>
    <row r="1893" spans="1:1" hidden="1" x14ac:dyDescent="0.2">
      <c r="A1893"/>
    </row>
    <row r="1894" spans="1:1" hidden="1" x14ac:dyDescent="0.2">
      <c r="A1894"/>
    </row>
    <row r="1895" spans="1:1" hidden="1" x14ac:dyDescent="0.2">
      <c r="A1895"/>
    </row>
    <row r="1896" spans="1:1" hidden="1" x14ac:dyDescent="0.2">
      <c r="A1896"/>
    </row>
    <row r="1897" spans="1:1" hidden="1" x14ac:dyDescent="0.2">
      <c r="A1897"/>
    </row>
    <row r="1898" spans="1:1" hidden="1" x14ac:dyDescent="0.2">
      <c r="A1898"/>
    </row>
    <row r="1899" spans="1:1" hidden="1" x14ac:dyDescent="0.2">
      <c r="A1899"/>
    </row>
    <row r="1900" spans="1:1" hidden="1" x14ac:dyDescent="0.2">
      <c r="A1900"/>
    </row>
    <row r="1901" spans="1:1" hidden="1" x14ac:dyDescent="0.2">
      <c r="A1901"/>
    </row>
    <row r="1902" spans="1:1" hidden="1" x14ac:dyDescent="0.2">
      <c r="A1902"/>
    </row>
    <row r="1903" spans="1:1" hidden="1" x14ac:dyDescent="0.2">
      <c r="A1903"/>
    </row>
    <row r="1904" spans="1:1" hidden="1" x14ac:dyDescent="0.2">
      <c r="A1904"/>
    </row>
    <row r="1905" spans="1:1" hidden="1" x14ac:dyDescent="0.2">
      <c r="A1905"/>
    </row>
    <row r="1906" spans="1:1" hidden="1" x14ac:dyDescent="0.2">
      <c r="A1906"/>
    </row>
    <row r="1907" spans="1:1" hidden="1" x14ac:dyDescent="0.2">
      <c r="A1907"/>
    </row>
    <row r="1908" spans="1:1" hidden="1" x14ac:dyDescent="0.2">
      <c r="A1908"/>
    </row>
    <row r="1909" spans="1:1" hidden="1" x14ac:dyDescent="0.2">
      <c r="A1909"/>
    </row>
    <row r="1910" spans="1:1" hidden="1" x14ac:dyDescent="0.2">
      <c r="A1910"/>
    </row>
    <row r="1911" spans="1:1" hidden="1" x14ac:dyDescent="0.2">
      <c r="A1911"/>
    </row>
    <row r="1912" spans="1:1" hidden="1" x14ac:dyDescent="0.2">
      <c r="A1912"/>
    </row>
    <row r="1913" spans="1:1" hidden="1" x14ac:dyDescent="0.2">
      <c r="A1913"/>
    </row>
    <row r="1914" spans="1:1" hidden="1" x14ac:dyDescent="0.2">
      <c r="A1914"/>
    </row>
    <row r="1915" spans="1:1" hidden="1" x14ac:dyDescent="0.2">
      <c r="A1915"/>
    </row>
    <row r="1916" spans="1:1" hidden="1" x14ac:dyDescent="0.2">
      <c r="A1916"/>
    </row>
    <row r="1917" spans="1:1" hidden="1" x14ac:dyDescent="0.2">
      <c r="A1917"/>
    </row>
    <row r="1918" spans="1:1" hidden="1" x14ac:dyDescent="0.2">
      <c r="A1918"/>
    </row>
    <row r="1919" spans="1:1" hidden="1" x14ac:dyDescent="0.2">
      <c r="A1919"/>
    </row>
    <row r="1920" spans="1:1" hidden="1" x14ac:dyDescent="0.2">
      <c r="A1920"/>
    </row>
    <row r="1921" spans="1:1" hidden="1" x14ac:dyDescent="0.2">
      <c r="A1921"/>
    </row>
    <row r="1922" spans="1:1" hidden="1" x14ac:dyDescent="0.2">
      <c r="A1922"/>
    </row>
    <row r="1923" spans="1:1" hidden="1" x14ac:dyDescent="0.2">
      <c r="A1923"/>
    </row>
    <row r="1924" spans="1:1" hidden="1" x14ac:dyDescent="0.2">
      <c r="A1924"/>
    </row>
    <row r="1925" spans="1:1" hidden="1" x14ac:dyDescent="0.2">
      <c r="A1925"/>
    </row>
    <row r="1926" spans="1:1" hidden="1" x14ac:dyDescent="0.2">
      <c r="A1926"/>
    </row>
    <row r="1927" spans="1:1" hidden="1" x14ac:dyDescent="0.2">
      <c r="A1927"/>
    </row>
    <row r="1928" spans="1:1" hidden="1" x14ac:dyDescent="0.2">
      <c r="A1928"/>
    </row>
    <row r="1929" spans="1:1" hidden="1" x14ac:dyDescent="0.2">
      <c r="A1929"/>
    </row>
    <row r="1930" spans="1:1" hidden="1" x14ac:dyDescent="0.2">
      <c r="A1930"/>
    </row>
    <row r="1931" spans="1:1" hidden="1" x14ac:dyDescent="0.2">
      <c r="A1931"/>
    </row>
    <row r="1932" spans="1:1" hidden="1" x14ac:dyDescent="0.2">
      <c r="A1932"/>
    </row>
    <row r="1933" spans="1:1" hidden="1" x14ac:dyDescent="0.2">
      <c r="A1933"/>
    </row>
    <row r="1934" spans="1:1" hidden="1" x14ac:dyDescent="0.2">
      <c r="A1934"/>
    </row>
    <row r="1935" spans="1:1" hidden="1" x14ac:dyDescent="0.2">
      <c r="A1935"/>
    </row>
    <row r="1936" spans="1:1" hidden="1" x14ac:dyDescent="0.2">
      <c r="A1936"/>
    </row>
    <row r="1937" spans="1:1" hidden="1" x14ac:dyDescent="0.2">
      <c r="A1937"/>
    </row>
    <row r="1938" spans="1:1" hidden="1" x14ac:dyDescent="0.2">
      <c r="A1938"/>
    </row>
    <row r="1939" spans="1:1" hidden="1" x14ac:dyDescent="0.2">
      <c r="A1939"/>
    </row>
    <row r="1940" spans="1:1" hidden="1" x14ac:dyDescent="0.2">
      <c r="A1940"/>
    </row>
    <row r="1941" spans="1:1" hidden="1" x14ac:dyDescent="0.2">
      <c r="A1941"/>
    </row>
    <row r="1942" spans="1:1" hidden="1" x14ac:dyDescent="0.2">
      <c r="A1942"/>
    </row>
    <row r="1943" spans="1:1" hidden="1" x14ac:dyDescent="0.2">
      <c r="A1943"/>
    </row>
    <row r="1944" spans="1:1" hidden="1" x14ac:dyDescent="0.2">
      <c r="A1944"/>
    </row>
    <row r="1945" spans="1:1" hidden="1" x14ac:dyDescent="0.2">
      <c r="A1945"/>
    </row>
    <row r="1946" spans="1:1" hidden="1" x14ac:dyDescent="0.2">
      <c r="A1946"/>
    </row>
    <row r="1947" spans="1:1" hidden="1" x14ac:dyDescent="0.2">
      <c r="A1947"/>
    </row>
    <row r="1948" spans="1:1" hidden="1" x14ac:dyDescent="0.2">
      <c r="A1948"/>
    </row>
    <row r="1949" spans="1:1" hidden="1" x14ac:dyDescent="0.2">
      <c r="A1949"/>
    </row>
    <row r="1950" spans="1:1" hidden="1" x14ac:dyDescent="0.2">
      <c r="A1950"/>
    </row>
    <row r="1951" spans="1:1" hidden="1" x14ac:dyDescent="0.2">
      <c r="A1951"/>
    </row>
    <row r="1952" spans="1:1" hidden="1" x14ac:dyDescent="0.2">
      <c r="A1952"/>
    </row>
    <row r="1953" spans="1:1" hidden="1" x14ac:dyDescent="0.2">
      <c r="A1953"/>
    </row>
    <row r="1954" spans="1:1" hidden="1" x14ac:dyDescent="0.2">
      <c r="A1954"/>
    </row>
    <row r="1955" spans="1:1" hidden="1" x14ac:dyDescent="0.2">
      <c r="A1955"/>
    </row>
    <row r="1956" spans="1:1" hidden="1" x14ac:dyDescent="0.2">
      <c r="A1956"/>
    </row>
    <row r="1957" spans="1:1" hidden="1" x14ac:dyDescent="0.2">
      <c r="A1957"/>
    </row>
    <row r="1958" spans="1:1" hidden="1" x14ac:dyDescent="0.2">
      <c r="A1958"/>
    </row>
    <row r="1959" spans="1:1" hidden="1" x14ac:dyDescent="0.2">
      <c r="A1959"/>
    </row>
    <row r="1960" spans="1:1" hidden="1" x14ac:dyDescent="0.2">
      <c r="A1960"/>
    </row>
    <row r="1961" spans="1:1" hidden="1" x14ac:dyDescent="0.2">
      <c r="A1961"/>
    </row>
    <row r="1962" spans="1:1" hidden="1" x14ac:dyDescent="0.2">
      <c r="A1962"/>
    </row>
    <row r="1963" spans="1:1" hidden="1" x14ac:dyDescent="0.2">
      <c r="A1963"/>
    </row>
    <row r="1964" spans="1:1" hidden="1" x14ac:dyDescent="0.2">
      <c r="A1964"/>
    </row>
    <row r="1965" spans="1:1" hidden="1" x14ac:dyDescent="0.2">
      <c r="A1965"/>
    </row>
    <row r="1966" spans="1:1" hidden="1" x14ac:dyDescent="0.2">
      <c r="A1966"/>
    </row>
    <row r="1967" spans="1:1" hidden="1" x14ac:dyDescent="0.2">
      <c r="A1967"/>
    </row>
    <row r="1968" spans="1:1" hidden="1" x14ac:dyDescent="0.2">
      <c r="A1968"/>
    </row>
    <row r="1969" spans="1:1" hidden="1" x14ac:dyDescent="0.2">
      <c r="A1969"/>
    </row>
    <row r="1970" spans="1:1" hidden="1" x14ac:dyDescent="0.2">
      <c r="A1970"/>
    </row>
    <row r="1971" spans="1:1" hidden="1" x14ac:dyDescent="0.2">
      <c r="A1971"/>
    </row>
    <row r="1972" spans="1:1" hidden="1" x14ac:dyDescent="0.2">
      <c r="A1972"/>
    </row>
    <row r="1973" spans="1:1" hidden="1" x14ac:dyDescent="0.2">
      <c r="A1973"/>
    </row>
    <row r="1974" spans="1:1" hidden="1" x14ac:dyDescent="0.2">
      <c r="A1974"/>
    </row>
    <row r="1975" spans="1:1" hidden="1" x14ac:dyDescent="0.2">
      <c r="A1975"/>
    </row>
    <row r="1976" spans="1:1" hidden="1" x14ac:dyDescent="0.2">
      <c r="A1976"/>
    </row>
    <row r="1977" spans="1:1" hidden="1" x14ac:dyDescent="0.2">
      <c r="A1977"/>
    </row>
    <row r="1978" spans="1:1" hidden="1" x14ac:dyDescent="0.2">
      <c r="A1978"/>
    </row>
    <row r="1979" spans="1:1" hidden="1" x14ac:dyDescent="0.2">
      <c r="A1979"/>
    </row>
    <row r="1980" spans="1:1" hidden="1" x14ac:dyDescent="0.2">
      <c r="A1980"/>
    </row>
    <row r="1981" spans="1:1" hidden="1" x14ac:dyDescent="0.2">
      <c r="A1981"/>
    </row>
    <row r="1982" spans="1:1" hidden="1" x14ac:dyDescent="0.2">
      <c r="A1982"/>
    </row>
    <row r="1983" spans="1:1" hidden="1" x14ac:dyDescent="0.2">
      <c r="A1983"/>
    </row>
    <row r="1984" spans="1:1" hidden="1" x14ac:dyDescent="0.2">
      <c r="A1984"/>
    </row>
    <row r="1985" spans="1:1" hidden="1" x14ac:dyDescent="0.2">
      <c r="A1985"/>
    </row>
    <row r="1986" spans="1:1" hidden="1" x14ac:dyDescent="0.2">
      <c r="A1986"/>
    </row>
    <row r="1987" spans="1:1" hidden="1" x14ac:dyDescent="0.2">
      <c r="A1987"/>
    </row>
    <row r="1988" spans="1:1" hidden="1" x14ac:dyDescent="0.2">
      <c r="A1988"/>
    </row>
    <row r="1989" spans="1:1" hidden="1" x14ac:dyDescent="0.2">
      <c r="A1989"/>
    </row>
    <row r="1990" spans="1:1" hidden="1" x14ac:dyDescent="0.2">
      <c r="A1990"/>
    </row>
    <row r="1991" spans="1:1" hidden="1" x14ac:dyDescent="0.2">
      <c r="A1991"/>
    </row>
    <row r="1992" spans="1:1" hidden="1" x14ac:dyDescent="0.2">
      <c r="A1992"/>
    </row>
    <row r="1993" spans="1:1" hidden="1" x14ac:dyDescent="0.2">
      <c r="A1993"/>
    </row>
    <row r="1994" spans="1:1" hidden="1" x14ac:dyDescent="0.2">
      <c r="A1994"/>
    </row>
    <row r="1995" spans="1:1" hidden="1" x14ac:dyDescent="0.2">
      <c r="A1995"/>
    </row>
    <row r="1996" spans="1:1" hidden="1" x14ac:dyDescent="0.2">
      <c r="A1996"/>
    </row>
    <row r="1997" spans="1:1" hidden="1" x14ac:dyDescent="0.2">
      <c r="A1997"/>
    </row>
    <row r="1998" spans="1:1" hidden="1" x14ac:dyDescent="0.2">
      <c r="A1998"/>
    </row>
    <row r="1999" spans="1:1" hidden="1" x14ac:dyDescent="0.2">
      <c r="A1999"/>
    </row>
    <row r="2000" spans="1:1" hidden="1" x14ac:dyDescent="0.2">
      <c r="A2000"/>
    </row>
    <row r="2001" spans="1:1" hidden="1" x14ac:dyDescent="0.2">
      <c r="A2001"/>
    </row>
    <row r="2002" spans="1:1" hidden="1" x14ac:dyDescent="0.2">
      <c r="A2002"/>
    </row>
    <row r="2003" spans="1:1" hidden="1" x14ac:dyDescent="0.2">
      <c r="A2003"/>
    </row>
    <row r="2004" spans="1:1" hidden="1" x14ac:dyDescent="0.2">
      <c r="A2004"/>
    </row>
    <row r="2005" spans="1:1" hidden="1" x14ac:dyDescent="0.2">
      <c r="A2005"/>
    </row>
    <row r="2006" spans="1:1" hidden="1" x14ac:dyDescent="0.2">
      <c r="A2006"/>
    </row>
    <row r="2007" spans="1:1" hidden="1" x14ac:dyDescent="0.2">
      <c r="A2007"/>
    </row>
    <row r="2008" spans="1:1" hidden="1" x14ac:dyDescent="0.2">
      <c r="A2008"/>
    </row>
    <row r="2009" spans="1:1" hidden="1" x14ac:dyDescent="0.2">
      <c r="A2009"/>
    </row>
    <row r="2010" spans="1:1" hidden="1" x14ac:dyDescent="0.2">
      <c r="A2010"/>
    </row>
    <row r="2011" spans="1:1" hidden="1" x14ac:dyDescent="0.2">
      <c r="A2011"/>
    </row>
    <row r="2012" spans="1:1" hidden="1" x14ac:dyDescent="0.2">
      <c r="A2012"/>
    </row>
    <row r="2013" spans="1:1" hidden="1" x14ac:dyDescent="0.2">
      <c r="A2013"/>
    </row>
    <row r="2014" spans="1:1" hidden="1" x14ac:dyDescent="0.2">
      <c r="A2014"/>
    </row>
    <row r="2015" spans="1:1" hidden="1" x14ac:dyDescent="0.2">
      <c r="A2015"/>
    </row>
    <row r="2016" spans="1:1" hidden="1" x14ac:dyDescent="0.2">
      <c r="A2016"/>
    </row>
    <row r="2017" spans="1:1" hidden="1" x14ac:dyDescent="0.2">
      <c r="A2017"/>
    </row>
    <row r="2018" spans="1:1" hidden="1" x14ac:dyDescent="0.2">
      <c r="A2018"/>
    </row>
    <row r="2019" spans="1:1" hidden="1" x14ac:dyDescent="0.2">
      <c r="A2019"/>
    </row>
    <row r="2020" spans="1:1" hidden="1" x14ac:dyDescent="0.2">
      <c r="A2020"/>
    </row>
    <row r="2021" spans="1:1" hidden="1" x14ac:dyDescent="0.2">
      <c r="A2021"/>
    </row>
    <row r="2022" spans="1:1" hidden="1" x14ac:dyDescent="0.2">
      <c r="A2022"/>
    </row>
    <row r="2023" spans="1:1" hidden="1" x14ac:dyDescent="0.2">
      <c r="A2023"/>
    </row>
    <row r="2024" spans="1:1" hidden="1" x14ac:dyDescent="0.2">
      <c r="A2024"/>
    </row>
    <row r="2025" spans="1:1" hidden="1" x14ac:dyDescent="0.2">
      <c r="A2025"/>
    </row>
    <row r="2026" spans="1:1" hidden="1" x14ac:dyDescent="0.2">
      <c r="A2026"/>
    </row>
    <row r="2027" spans="1:1" hidden="1" x14ac:dyDescent="0.2">
      <c r="A2027"/>
    </row>
    <row r="2028" spans="1:1" hidden="1" x14ac:dyDescent="0.2">
      <c r="A2028"/>
    </row>
    <row r="2029" spans="1:1" hidden="1" x14ac:dyDescent="0.2">
      <c r="A2029"/>
    </row>
    <row r="2030" spans="1:1" hidden="1" x14ac:dyDescent="0.2">
      <c r="A2030"/>
    </row>
    <row r="2031" spans="1:1" hidden="1" x14ac:dyDescent="0.2">
      <c r="A2031"/>
    </row>
    <row r="2032" spans="1:1" hidden="1" x14ac:dyDescent="0.2">
      <c r="A2032"/>
    </row>
    <row r="2033" spans="1:1" hidden="1" x14ac:dyDescent="0.2">
      <c r="A2033"/>
    </row>
    <row r="2034" spans="1:1" hidden="1" x14ac:dyDescent="0.2">
      <c r="A2034"/>
    </row>
    <row r="2035" spans="1:1" hidden="1" x14ac:dyDescent="0.2">
      <c r="A2035"/>
    </row>
    <row r="2036" spans="1:1" hidden="1" x14ac:dyDescent="0.2">
      <c r="A2036"/>
    </row>
    <row r="2037" spans="1:1" hidden="1" x14ac:dyDescent="0.2">
      <c r="A2037"/>
    </row>
    <row r="2038" spans="1:1" hidden="1" x14ac:dyDescent="0.2">
      <c r="A2038"/>
    </row>
    <row r="2039" spans="1:1" hidden="1" x14ac:dyDescent="0.2">
      <c r="A2039"/>
    </row>
    <row r="2040" spans="1:1" hidden="1" x14ac:dyDescent="0.2">
      <c r="A2040"/>
    </row>
    <row r="2041" spans="1:1" hidden="1" x14ac:dyDescent="0.2">
      <c r="A2041"/>
    </row>
    <row r="2042" spans="1:1" hidden="1" x14ac:dyDescent="0.2">
      <c r="A2042"/>
    </row>
    <row r="2043" spans="1:1" hidden="1" x14ac:dyDescent="0.2">
      <c r="A2043"/>
    </row>
    <row r="2044" spans="1:1" hidden="1" x14ac:dyDescent="0.2">
      <c r="A2044"/>
    </row>
    <row r="2045" spans="1:1" hidden="1" x14ac:dyDescent="0.2">
      <c r="A2045"/>
    </row>
    <row r="2046" spans="1:1" hidden="1" x14ac:dyDescent="0.2">
      <c r="A2046"/>
    </row>
    <row r="2047" spans="1:1" hidden="1" x14ac:dyDescent="0.2">
      <c r="A2047"/>
    </row>
    <row r="2048" spans="1:1" hidden="1" x14ac:dyDescent="0.2">
      <c r="A2048"/>
    </row>
    <row r="2049" spans="1:1" hidden="1" x14ac:dyDescent="0.2">
      <c r="A2049"/>
    </row>
    <row r="2050" spans="1:1" hidden="1" x14ac:dyDescent="0.2">
      <c r="A2050"/>
    </row>
    <row r="2051" spans="1:1" hidden="1" x14ac:dyDescent="0.2">
      <c r="A2051"/>
    </row>
    <row r="2052" spans="1:1" hidden="1" x14ac:dyDescent="0.2">
      <c r="A2052"/>
    </row>
    <row r="2053" spans="1:1" hidden="1" x14ac:dyDescent="0.2">
      <c r="A2053"/>
    </row>
    <row r="2054" spans="1:1" hidden="1" x14ac:dyDescent="0.2">
      <c r="A2054"/>
    </row>
    <row r="2055" spans="1:1" hidden="1" x14ac:dyDescent="0.2">
      <c r="A2055"/>
    </row>
    <row r="2056" spans="1:1" hidden="1" x14ac:dyDescent="0.2">
      <c r="A2056"/>
    </row>
    <row r="2057" spans="1:1" hidden="1" x14ac:dyDescent="0.2">
      <c r="A2057"/>
    </row>
    <row r="2058" spans="1:1" hidden="1" x14ac:dyDescent="0.2">
      <c r="A2058"/>
    </row>
    <row r="2059" spans="1:1" hidden="1" x14ac:dyDescent="0.2">
      <c r="A2059"/>
    </row>
    <row r="2060" spans="1:1" hidden="1" x14ac:dyDescent="0.2">
      <c r="A2060"/>
    </row>
    <row r="2061" spans="1:1" hidden="1" x14ac:dyDescent="0.2">
      <c r="A2061"/>
    </row>
    <row r="2062" spans="1:1" hidden="1" x14ac:dyDescent="0.2">
      <c r="A2062"/>
    </row>
    <row r="2063" spans="1:1" hidden="1" x14ac:dyDescent="0.2">
      <c r="A2063"/>
    </row>
    <row r="2064" spans="1:1" hidden="1" x14ac:dyDescent="0.2">
      <c r="A2064"/>
    </row>
    <row r="2065" spans="1:1" hidden="1" x14ac:dyDescent="0.2">
      <c r="A2065"/>
    </row>
    <row r="2066" spans="1:1" hidden="1" x14ac:dyDescent="0.2">
      <c r="A2066"/>
    </row>
    <row r="2067" spans="1:1" hidden="1" x14ac:dyDescent="0.2">
      <c r="A2067"/>
    </row>
    <row r="2068" spans="1:1" hidden="1" x14ac:dyDescent="0.2">
      <c r="A2068"/>
    </row>
    <row r="2069" spans="1:1" hidden="1" x14ac:dyDescent="0.2">
      <c r="A2069"/>
    </row>
    <row r="2070" spans="1:1" hidden="1" x14ac:dyDescent="0.2">
      <c r="A2070"/>
    </row>
    <row r="2071" spans="1:1" hidden="1" x14ac:dyDescent="0.2">
      <c r="A2071"/>
    </row>
    <row r="2072" spans="1:1" hidden="1" x14ac:dyDescent="0.2">
      <c r="A2072"/>
    </row>
    <row r="2073" spans="1:1" hidden="1" x14ac:dyDescent="0.2">
      <c r="A2073"/>
    </row>
    <row r="2074" spans="1:1" hidden="1" x14ac:dyDescent="0.2">
      <c r="A2074"/>
    </row>
    <row r="2075" spans="1:1" hidden="1" x14ac:dyDescent="0.2">
      <c r="A2075"/>
    </row>
    <row r="2076" spans="1:1" hidden="1" x14ac:dyDescent="0.2">
      <c r="A2076"/>
    </row>
    <row r="2077" spans="1:1" hidden="1" x14ac:dyDescent="0.2">
      <c r="A2077"/>
    </row>
    <row r="2078" spans="1:1" hidden="1" x14ac:dyDescent="0.2">
      <c r="A2078"/>
    </row>
    <row r="2079" spans="1:1" hidden="1" x14ac:dyDescent="0.2">
      <c r="A2079"/>
    </row>
    <row r="2080" spans="1:1" hidden="1" x14ac:dyDescent="0.2">
      <c r="A2080"/>
    </row>
    <row r="2081" spans="1:1" hidden="1" x14ac:dyDescent="0.2">
      <c r="A2081"/>
    </row>
    <row r="2082" spans="1:1" hidden="1" x14ac:dyDescent="0.2">
      <c r="A2082"/>
    </row>
    <row r="2083" spans="1:1" hidden="1" x14ac:dyDescent="0.2">
      <c r="A2083"/>
    </row>
    <row r="2084" spans="1:1" hidden="1" x14ac:dyDescent="0.2">
      <c r="A2084"/>
    </row>
    <row r="2085" spans="1:1" hidden="1" x14ac:dyDescent="0.2">
      <c r="A2085"/>
    </row>
    <row r="2086" spans="1:1" hidden="1" x14ac:dyDescent="0.2">
      <c r="A2086"/>
    </row>
    <row r="2087" spans="1:1" hidden="1" x14ac:dyDescent="0.2">
      <c r="A2087"/>
    </row>
    <row r="2088" spans="1:1" hidden="1" x14ac:dyDescent="0.2">
      <c r="A2088"/>
    </row>
    <row r="2089" spans="1:1" hidden="1" x14ac:dyDescent="0.2">
      <c r="A2089"/>
    </row>
    <row r="2090" spans="1:1" hidden="1" x14ac:dyDescent="0.2">
      <c r="A2090"/>
    </row>
    <row r="2091" spans="1:1" hidden="1" x14ac:dyDescent="0.2">
      <c r="A2091"/>
    </row>
    <row r="2092" spans="1:1" hidden="1" x14ac:dyDescent="0.2">
      <c r="A2092"/>
    </row>
    <row r="2093" spans="1:1" hidden="1" x14ac:dyDescent="0.2">
      <c r="A2093"/>
    </row>
    <row r="2094" spans="1:1" hidden="1" x14ac:dyDescent="0.2">
      <c r="A2094"/>
    </row>
    <row r="2095" spans="1:1" hidden="1" x14ac:dyDescent="0.2">
      <c r="A2095"/>
    </row>
    <row r="2096" spans="1:1" hidden="1" x14ac:dyDescent="0.2">
      <c r="A2096"/>
    </row>
    <row r="2097" spans="1:1" hidden="1" x14ac:dyDescent="0.2">
      <c r="A2097"/>
    </row>
    <row r="2098" spans="1:1" hidden="1" x14ac:dyDescent="0.2">
      <c r="A2098"/>
    </row>
    <row r="2099" spans="1:1" hidden="1" x14ac:dyDescent="0.2">
      <c r="A2099"/>
    </row>
    <row r="2100" spans="1:1" hidden="1" x14ac:dyDescent="0.2">
      <c r="A2100"/>
    </row>
    <row r="2101" spans="1:1" hidden="1" x14ac:dyDescent="0.2">
      <c r="A2101"/>
    </row>
    <row r="2102" spans="1:1" hidden="1" x14ac:dyDescent="0.2">
      <c r="A2102"/>
    </row>
    <row r="2103" spans="1:1" hidden="1" x14ac:dyDescent="0.2">
      <c r="A2103"/>
    </row>
    <row r="2104" spans="1:1" hidden="1" x14ac:dyDescent="0.2">
      <c r="A2104"/>
    </row>
    <row r="2105" spans="1:1" hidden="1" x14ac:dyDescent="0.2">
      <c r="A2105"/>
    </row>
    <row r="2106" spans="1:1" hidden="1" x14ac:dyDescent="0.2">
      <c r="A2106"/>
    </row>
    <row r="2107" spans="1:1" hidden="1" x14ac:dyDescent="0.2">
      <c r="A2107"/>
    </row>
    <row r="2108" spans="1:1" hidden="1" x14ac:dyDescent="0.2">
      <c r="A2108"/>
    </row>
    <row r="2109" spans="1:1" hidden="1" x14ac:dyDescent="0.2">
      <c r="A2109"/>
    </row>
    <row r="2110" spans="1:1" hidden="1" x14ac:dyDescent="0.2">
      <c r="A2110"/>
    </row>
    <row r="2111" spans="1:1" hidden="1" x14ac:dyDescent="0.2">
      <c r="A2111"/>
    </row>
    <row r="2112" spans="1:1" hidden="1" x14ac:dyDescent="0.2">
      <c r="A2112"/>
    </row>
    <row r="2113" spans="1:1" hidden="1" x14ac:dyDescent="0.2">
      <c r="A2113"/>
    </row>
    <row r="2114" spans="1:1" hidden="1" x14ac:dyDescent="0.2">
      <c r="A2114"/>
    </row>
    <row r="2115" spans="1:1" hidden="1" x14ac:dyDescent="0.2">
      <c r="A2115"/>
    </row>
    <row r="2116" spans="1:1" hidden="1" x14ac:dyDescent="0.2">
      <c r="A2116"/>
    </row>
    <row r="2117" spans="1:1" hidden="1" x14ac:dyDescent="0.2">
      <c r="A2117"/>
    </row>
    <row r="2118" spans="1:1" hidden="1" x14ac:dyDescent="0.2">
      <c r="A2118"/>
    </row>
    <row r="2119" spans="1:1" hidden="1" x14ac:dyDescent="0.2">
      <c r="A2119"/>
    </row>
    <row r="2120" spans="1:1" hidden="1" x14ac:dyDescent="0.2">
      <c r="A2120"/>
    </row>
    <row r="2121" spans="1:1" hidden="1" x14ac:dyDescent="0.2">
      <c r="A2121"/>
    </row>
    <row r="2122" spans="1:1" hidden="1" x14ac:dyDescent="0.2">
      <c r="A2122"/>
    </row>
    <row r="2123" spans="1:1" hidden="1" x14ac:dyDescent="0.2">
      <c r="A2123"/>
    </row>
    <row r="2124" spans="1:1" hidden="1" x14ac:dyDescent="0.2">
      <c r="A2124"/>
    </row>
    <row r="2125" spans="1:1" hidden="1" x14ac:dyDescent="0.2">
      <c r="A2125"/>
    </row>
    <row r="2126" spans="1:1" hidden="1" x14ac:dyDescent="0.2">
      <c r="A2126"/>
    </row>
    <row r="2127" spans="1:1" hidden="1" x14ac:dyDescent="0.2">
      <c r="A2127"/>
    </row>
    <row r="2128" spans="1:1" hidden="1" x14ac:dyDescent="0.2">
      <c r="A2128"/>
    </row>
    <row r="2129" spans="1:1" hidden="1" x14ac:dyDescent="0.2">
      <c r="A2129"/>
    </row>
    <row r="2130" spans="1:1" hidden="1" x14ac:dyDescent="0.2">
      <c r="A2130"/>
    </row>
    <row r="2131" spans="1:1" hidden="1" x14ac:dyDescent="0.2">
      <c r="A2131"/>
    </row>
    <row r="2132" spans="1:1" hidden="1" x14ac:dyDescent="0.2">
      <c r="A2132"/>
    </row>
    <row r="2133" spans="1:1" hidden="1" x14ac:dyDescent="0.2">
      <c r="A2133"/>
    </row>
    <row r="2134" spans="1:1" hidden="1" x14ac:dyDescent="0.2">
      <c r="A2134"/>
    </row>
    <row r="2135" spans="1:1" hidden="1" x14ac:dyDescent="0.2">
      <c r="A2135"/>
    </row>
    <row r="2136" spans="1:1" hidden="1" x14ac:dyDescent="0.2">
      <c r="A2136"/>
    </row>
    <row r="2137" spans="1:1" hidden="1" x14ac:dyDescent="0.2">
      <c r="A2137"/>
    </row>
    <row r="2138" spans="1:1" hidden="1" x14ac:dyDescent="0.2">
      <c r="A2138"/>
    </row>
    <row r="2139" spans="1:1" hidden="1" x14ac:dyDescent="0.2">
      <c r="A2139"/>
    </row>
    <row r="2140" spans="1:1" hidden="1" x14ac:dyDescent="0.2">
      <c r="A2140"/>
    </row>
    <row r="2141" spans="1:1" hidden="1" x14ac:dyDescent="0.2">
      <c r="A2141"/>
    </row>
    <row r="2142" spans="1:1" hidden="1" x14ac:dyDescent="0.2">
      <c r="A2142"/>
    </row>
    <row r="2143" spans="1:1" hidden="1" x14ac:dyDescent="0.2">
      <c r="A2143"/>
    </row>
    <row r="2144" spans="1:1" hidden="1" x14ac:dyDescent="0.2">
      <c r="A2144"/>
    </row>
    <row r="2145" spans="1:1" hidden="1" x14ac:dyDescent="0.2">
      <c r="A2145"/>
    </row>
    <row r="2146" spans="1:1" hidden="1" x14ac:dyDescent="0.2">
      <c r="A2146"/>
    </row>
    <row r="2147" spans="1:1" hidden="1" x14ac:dyDescent="0.2">
      <c r="A2147"/>
    </row>
    <row r="2148" spans="1:1" hidden="1" x14ac:dyDescent="0.2">
      <c r="A2148"/>
    </row>
    <row r="2149" spans="1:1" hidden="1" x14ac:dyDescent="0.2">
      <c r="A2149"/>
    </row>
    <row r="2150" spans="1:1" hidden="1" x14ac:dyDescent="0.2">
      <c r="A2150"/>
    </row>
    <row r="2151" spans="1:1" hidden="1" x14ac:dyDescent="0.2">
      <c r="A2151"/>
    </row>
    <row r="2152" spans="1:1" hidden="1" x14ac:dyDescent="0.2">
      <c r="A2152"/>
    </row>
    <row r="2153" spans="1:1" hidden="1" x14ac:dyDescent="0.2">
      <c r="A2153"/>
    </row>
    <row r="2154" spans="1:1" hidden="1" x14ac:dyDescent="0.2">
      <c r="A2154"/>
    </row>
    <row r="2155" spans="1:1" hidden="1" x14ac:dyDescent="0.2">
      <c r="A2155"/>
    </row>
    <row r="2156" spans="1:1" hidden="1" x14ac:dyDescent="0.2">
      <c r="A2156"/>
    </row>
    <row r="2157" spans="1:1" hidden="1" x14ac:dyDescent="0.2">
      <c r="A2157"/>
    </row>
    <row r="2158" spans="1:1" hidden="1" x14ac:dyDescent="0.2">
      <c r="A2158"/>
    </row>
    <row r="2159" spans="1:1" hidden="1" x14ac:dyDescent="0.2">
      <c r="A2159"/>
    </row>
    <row r="2160" spans="1:1" hidden="1" x14ac:dyDescent="0.2">
      <c r="A2160"/>
    </row>
    <row r="2161" spans="1:1" hidden="1" x14ac:dyDescent="0.2">
      <c r="A2161"/>
    </row>
    <row r="2162" spans="1:1" hidden="1" x14ac:dyDescent="0.2">
      <c r="A2162"/>
    </row>
    <row r="2163" spans="1:1" hidden="1" x14ac:dyDescent="0.2">
      <c r="A2163"/>
    </row>
    <row r="2164" spans="1:1" hidden="1" x14ac:dyDescent="0.2">
      <c r="A2164"/>
    </row>
    <row r="2165" spans="1:1" hidden="1" x14ac:dyDescent="0.2">
      <c r="A2165"/>
    </row>
    <row r="2166" spans="1:1" hidden="1" x14ac:dyDescent="0.2">
      <c r="A2166"/>
    </row>
    <row r="2167" spans="1:1" hidden="1" x14ac:dyDescent="0.2">
      <c r="A2167"/>
    </row>
    <row r="2168" spans="1:1" hidden="1" x14ac:dyDescent="0.2">
      <c r="A2168"/>
    </row>
    <row r="2169" spans="1:1" hidden="1" x14ac:dyDescent="0.2">
      <c r="A2169"/>
    </row>
    <row r="2170" spans="1:1" hidden="1" x14ac:dyDescent="0.2">
      <c r="A2170"/>
    </row>
    <row r="2171" spans="1:1" hidden="1" x14ac:dyDescent="0.2">
      <c r="A2171"/>
    </row>
    <row r="2172" spans="1:1" hidden="1" x14ac:dyDescent="0.2">
      <c r="A2172"/>
    </row>
    <row r="2173" spans="1:1" hidden="1" x14ac:dyDescent="0.2">
      <c r="A2173"/>
    </row>
    <row r="2174" spans="1:1" hidden="1" x14ac:dyDescent="0.2">
      <c r="A2174"/>
    </row>
    <row r="2175" spans="1:1" hidden="1" x14ac:dyDescent="0.2">
      <c r="A2175"/>
    </row>
    <row r="2176" spans="1:1" hidden="1" x14ac:dyDescent="0.2">
      <c r="A2176"/>
    </row>
    <row r="2177" spans="1:1" hidden="1" x14ac:dyDescent="0.2">
      <c r="A2177"/>
    </row>
    <row r="2178" spans="1:1" hidden="1" x14ac:dyDescent="0.2">
      <c r="A2178"/>
    </row>
    <row r="2179" spans="1:1" hidden="1" x14ac:dyDescent="0.2">
      <c r="A2179"/>
    </row>
    <row r="2180" spans="1:1" hidden="1" x14ac:dyDescent="0.2">
      <c r="A2180"/>
    </row>
    <row r="2181" spans="1:1" hidden="1" x14ac:dyDescent="0.2">
      <c r="A2181"/>
    </row>
    <row r="2182" spans="1:1" hidden="1" x14ac:dyDescent="0.2">
      <c r="A2182"/>
    </row>
    <row r="2183" spans="1:1" hidden="1" x14ac:dyDescent="0.2">
      <c r="A2183"/>
    </row>
    <row r="2184" spans="1:1" hidden="1" x14ac:dyDescent="0.2">
      <c r="A2184"/>
    </row>
    <row r="2185" spans="1:1" hidden="1" x14ac:dyDescent="0.2">
      <c r="A2185"/>
    </row>
    <row r="2186" spans="1:1" hidden="1" x14ac:dyDescent="0.2">
      <c r="A2186"/>
    </row>
    <row r="2187" spans="1:1" hidden="1" x14ac:dyDescent="0.2">
      <c r="A2187"/>
    </row>
    <row r="2188" spans="1:1" hidden="1" x14ac:dyDescent="0.2">
      <c r="A2188"/>
    </row>
    <row r="2189" spans="1:1" hidden="1" x14ac:dyDescent="0.2">
      <c r="A2189"/>
    </row>
    <row r="2190" spans="1:1" hidden="1" x14ac:dyDescent="0.2">
      <c r="A2190"/>
    </row>
    <row r="2191" spans="1:1" hidden="1" x14ac:dyDescent="0.2">
      <c r="A2191"/>
    </row>
    <row r="2192" spans="1:1" hidden="1" x14ac:dyDescent="0.2">
      <c r="A2192"/>
    </row>
    <row r="2193" spans="1:1" hidden="1" x14ac:dyDescent="0.2">
      <c r="A2193"/>
    </row>
    <row r="2194" spans="1:1" hidden="1" x14ac:dyDescent="0.2">
      <c r="A2194"/>
    </row>
    <row r="2195" spans="1:1" hidden="1" x14ac:dyDescent="0.2">
      <c r="A2195"/>
    </row>
    <row r="2196" spans="1:1" hidden="1" x14ac:dyDescent="0.2">
      <c r="A2196"/>
    </row>
    <row r="2197" spans="1:1" hidden="1" x14ac:dyDescent="0.2">
      <c r="A2197"/>
    </row>
    <row r="2198" spans="1:1" hidden="1" x14ac:dyDescent="0.2">
      <c r="A2198"/>
    </row>
    <row r="2199" spans="1:1" hidden="1" x14ac:dyDescent="0.2">
      <c r="A2199"/>
    </row>
    <row r="2200" spans="1:1" hidden="1" x14ac:dyDescent="0.2">
      <c r="A2200"/>
    </row>
    <row r="2201" spans="1:1" hidden="1" x14ac:dyDescent="0.2">
      <c r="A2201"/>
    </row>
    <row r="2202" spans="1:1" hidden="1" x14ac:dyDescent="0.2">
      <c r="A2202"/>
    </row>
    <row r="2203" spans="1:1" hidden="1" x14ac:dyDescent="0.2">
      <c r="A2203"/>
    </row>
    <row r="2204" spans="1:1" hidden="1" x14ac:dyDescent="0.2">
      <c r="A2204"/>
    </row>
    <row r="2205" spans="1:1" hidden="1" x14ac:dyDescent="0.2">
      <c r="A2205"/>
    </row>
    <row r="2206" spans="1:1" hidden="1" x14ac:dyDescent="0.2">
      <c r="A2206"/>
    </row>
    <row r="2207" spans="1:1" hidden="1" x14ac:dyDescent="0.2">
      <c r="A2207"/>
    </row>
    <row r="2208" spans="1:1" hidden="1" x14ac:dyDescent="0.2">
      <c r="A2208"/>
    </row>
    <row r="2209" spans="1:1" hidden="1" x14ac:dyDescent="0.2">
      <c r="A2209"/>
    </row>
    <row r="2210" spans="1:1" hidden="1" x14ac:dyDescent="0.2">
      <c r="A2210"/>
    </row>
    <row r="2211" spans="1:1" hidden="1" x14ac:dyDescent="0.2">
      <c r="A2211"/>
    </row>
    <row r="2212" spans="1:1" hidden="1" x14ac:dyDescent="0.2">
      <c r="A2212"/>
    </row>
    <row r="2213" spans="1:1" hidden="1" x14ac:dyDescent="0.2">
      <c r="A2213"/>
    </row>
    <row r="2214" spans="1:1" hidden="1" x14ac:dyDescent="0.2">
      <c r="A2214"/>
    </row>
    <row r="2215" spans="1:1" hidden="1" x14ac:dyDescent="0.2">
      <c r="A2215"/>
    </row>
    <row r="2216" spans="1:1" hidden="1" x14ac:dyDescent="0.2">
      <c r="A2216"/>
    </row>
    <row r="2217" spans="1:1" hidden="1" x14ac:dyDescent="0.2">
      <c r="A2217"/>
    </row>
    <row r="2218" spans="1:1" hidden="1" x14ac:dyDescent="0.2">
      <c r="A2218"/>
    </row>
    <row r="2219" spans="1:1" hidden="1" x14ac:dyDescent="0.2">
      <c r="A2219"/>
    </row>
    <row r="2220" spans="1:1" hidden="1" x14ac:dyDescent="0.2">
      <c r="A2220"/>
    </row>
    <row r="2221" spans="1:1" hidden="1" x14ac:dyDescent="0.2">
      <c r="A2221"/>
    </row>
    <row r="2222" spans="1:1" hidden="1" x14ac:dyDescent="0.2">
      <c r="A2222"/>
    </row>
    <row r="2223" spans="1:1" hidden="1" x14ac:dyDescent="0.2">
      <c r="A2223"/>
    </row>
    <row r="2224" spans="1:1" hidden="1" x14ac:dyDescent="0.2">
      <c r="A2224"/>
    </row>
    <row r="2225" spans="1:1" hidden="1" x14ac:dyDescent="0.2">
      <c r="A2225"/>
    </row>
    <row r="2226" spans="1:1" hidden="1" x14ac:dyDescent="0.2">
      <c r="A2226"/>
    </row>
    <row r="2227" spans="1:1" hidden="1" x14ac:dyDescent="0.2">
      <c r="A2227"/>
    </row>
    <row r="2228" spans="1:1" hidden="1" x14ac:dyDescent="0.2">
      <c r="A2228"/>
    </row>
    <row r="2229" spans="1:1" hidden="1" x14ac:dyDescent="0.2">
      <c r="A2229"/>
    </row>
    <row r="2230" spans="1:1" hidden="1" x14ac:dyDescent="0.2">
      <c r="A2230"/>
    </row>
    <row r="2231" spans="1:1" hidden="1" x14ac:dyDescent="0.2">
      <c r="A2231"/>
    </row>
    <row r="2232" spans="1:1" hidden="1" x14ac:dyDescent="0.2">
      <c r="A2232"/>
    </row>
    <row r="2233" spans="1:1" hidden="1" x14ac:dyDescent="0.2">
      <c r="A2233"/>
    </row>
    <row r="2234" spans="1:1" hidden="1" x14ac:dyDescent="0.2">
      <c r="A2234"/>
    </row>
    <row r="2235" spans="1:1" hidden="1" x14ac:dyDescent="0.2">
      <c r="A2235"/>
    </row>
    <row r="2236" spans="1:1" hidden="1" x14ac:dyDescent="0.2">
      <c r="A2236"/>
    </row>
    <row r="2237" spans="1:1" hidden="1" x14ac:dyDescent="0.2">
      <c r="A2237"/>
    </row>
    <row r="2238" spans="1:1" hidden="1" x14ac:dyDescent="0.2">
      <c r="A2238"/>
    </row>
    <row r="2239" spans="1:1" hidden="1" x14ac:dyDescent="0.2">
      <c r="A2239"/>
    </row>
    <row r="2240" spans="1:1" hidden="1" x14ac:dyDescent="0.2">
      <c r="A2240"/>
    </row>
    <row r="2241" spans="1:1" hidden="1" x14ac:dyDescent="0.2">
      <c r="A2241"/>
    </row>
    <row r="2242" spans="1:1" hidden="1" x14ac:dyDescent="0.2">
      <c r="A2242"/>
    </row>
    <row r="2243" spans="1:1" hidden="1" x14ac:dyDescent="0.2">
      <c r="A2243"/>
    </row>
    <row r="2244" spans="1:1" hidden="1" x14ac:dyDescent="0.2">
      <c r="A2244"/>
    </row>
    <row r="2245" spans="1:1" hidden="1" x14ac:dyDescent="0.2">
      <c r="A2245"/>
    </row>
    <row r="2246" spans="1:1" hidden="1" x14ac:dyDescent="0.2">
      <c r="A2246"/>
    </row>
    <row r="2247" spans="1:1" hidden="1" x14ac:dyDescent="0.2">
      <c r="A2247"/>
    </row>
    <row r="2248" spans="1:1" hidden="1" x14ac:dyDescent="0.2">
      <c r="A2248"/>
    </row>
    <row r="2249" spans="1:1" hidden="1" x14ac:dyDescent="0.2">
      <c r="A2249"/>
    </row>
    <row r="2250" spans="1:1" hidden="1" x14ac:dyDescent="0.2">
      <c r="A2250"/>
    </row>
    <row r="2251" spans="1:1" hidden="1" x14ac:dyDescent="0.2">
      <c r="A2251"/>
    </row>
    <row r="2252" spans="1:1" hidden="1" x14ac:dyDescent="0.2">
      <c r="A2252"/>
    </row>
    <row r="2253" spans="1:1" hidden="1" x14ac:dyDescent="0.2">
      <c r="A2253"/>
    </row>
    <row r="2254" spans="1:1" hidden="1" x14ac:dyDescent="0.2">
      <c r="A2254"/>
    </row>
    <row r="2255" spans="1:1" hidden="1" x14ac:dyDescent="0.2">
      <c r="A2255"/>
    </row>
    <row r="2256" spans="1:1" hidden="1" x14ac:dyDescent="0.2">
      <c r="A2256"/>
    </row>
    <row r="2257" spans="1:1" hidden="1" x14ac:dyDescent="0.2">
      <c r="A2257"/>
    </row>
    <row r="2258" spans="1:1" hidden="1" x14ac:dyDescent="0.2">
      <c r="A2258"/>
    </row>
    <row r="2259" spans="1:1" hidden="1" x14ac:dyDescent="0.2">
      <c r="A2259"/>
    </row>
    <row r="2260" spans="1:1" hidden="1" x14ac:dyDescent="0.2">
      <c r="A2260"/>
    </row>
    <row r="2261" spans="1:1" hidden="1" x14ac:dyDescent="0.2">
      <c r="A2261"/>
    </row>
    <row r="2262" spans="1:1" hidden="1" x14ac:dyDescent="0.2">
      <c r="A2262"/>
    </row>
    <row r="2263" spans="1:1" hidden="1" x14ac:dyDescent="0.2">
      <c r="A2263"/>
    </row>
    <row r="2264" spans="1:1" hidden="1" x14ac:dyDescent="0.2">
      <c r="A2264"/>
    </row>
    <row r="2265" spans="1:1" hidden="1" x14ac:dyDescent="0.2">
      <c r="A2265"/>
    </row>
    <row r="2266" spans="1:1" hidden="1" x14ac:dyDescent="0.2">
      <c r="A2266"/>
    </row>
    <row r="2267" spans="1:1" hidden="1" x14ac:dyDescent="0.2">
      <c r="A2267"/>
    </row>
    <row r="2268" spans="1:1" hidden="1" x14ac:dyDescent="0.2">
      <c r="A2268"/>
    </row>
    <row r="2269" spans="1:1" hidden="1" x14ac:dyDescent="0.2">
      <c r="A2269"/>
    </row>
    <row r="2270" spans="1:1" hidden="1" x14ac:dyDescent="0.2">
      <c r="A2270"/>
    </row>
    <row r="2271" spans="1:1" hidden="1" x14ac:dyDescent="0.2">
      <c r="A2271"/>
    </row>
    <row r="2272" spans="1:1" hidden="1" x14ac:dyDescent="0.2">
      <c r="A2272"/>
    </row>
    <row r="2273" spans="1:1" hidden="1" x14ac:dyDescent="0.2">
      <c r="A2273"/>
    </row>
    <row r="2274" spans="1:1" hidden="1" x14ac:dyDescent="0.2">
      <c r="A2274"/>
    </row>
    <row r="2275" spans="1:1" hidden="1" x14ac:dyDescent="0.2">
      <c r="A2275"/>
    </row>
    <row r="2276" spans="1:1" hidden="1" x14ac:dyDescent="0.2">
      <c r="A2276"/>
    </row>
    <row r="2277" spans="1:1" hidden="1" x14ac:dyDescent="0.2">
      <c r="A2277"/>
    </row>
    <row r="2278" spans="1:1" hidden="1" x14ac:dyDescent="0.2">
      <c r="A2278"/>
    </row>
    <row r="2279" spans="1:1" hidden="1" x14ac:dyDescent="0.2">
      <c r="A2279"/>
    </row>
    <row r="2280" spans="1:1" hidden="1" x14ac:dyDescent="0.2">
      <c r="A2280"/>
    </row>
    <row r="2281" spans="1:1" hidden="1" x14ac:dyDescent="0.2">
      <c r="A2281"/>
    </row>
    <row r="2282" spans="1:1" hidden="1" x14ac:dyDescent="0.2">
      <c r="A2282"/>
    </row>
    <row r="2283" spans="1:1" hidden="1" x14ac:dyDescent="0.2">
      <c r="A2283"/>
    </row>
    <row r="2284" spans="1:1" hidden="1" x14ac:dyDescent="0.2">
      <c r="A2284"/>
    </row>
    <row r="2285" spans="1:1" hidden="1" x14ac:dyDescent="0.2">
      <c r="A2285"/>
    </row>
    <row r="2286" spans="1:1" hidden="1" x14ac:dyDescent="0.2">
      <c r="A2286"/>
    </row>
    <row r="2287" spans="1:1" hidden="1" x14ac:dyDescent="0.2">
      <c r="A2287"/>
    </row>
    <row r="2288" spans="1:1" hidden="1" x14ac:dyDescent="0.2">
      <c r="A2288"/>
    </row>
    <row r="2289" spans="1:1" hidden="1" x14ac:dyDescent="0.2">
      <c r="A2289"/>
    </row>
    <row r="2290" spans="1:1" hidden="1" x14ac:dyDescent="0.2">
      <c r="A2290"/>
    </row>
    <row r="2291" spans="1:1" hidden="1" x14ac:dyDescent="0.2">
      <c r="A2291"/>
    </row>
    <row r="2292" spans="1:1" hidden="1" x14ac:dyDescent="0.2">
      <c r="A2292"/>
    </row>
    <row r="2293" spans="1:1" hidden="1" x14ac:dyDescent="0.2">
      <c r="A2293"/>
    </row>
    <row r="2294" spans="1:1" hidden="1" x14ac:dyDescent="0.2">
      <c r="A2294"/>
    </row>
    <row r="2295" spans="1:1" hidden="1" x14ac:dyDescent="0.2">
      <c r="A2295"/>
    </row>
    <row r="2296" spans="1:1" hidden="1" x14ac:dyDescent="0.2">
      <c r="A2296"/>
    </row>
    <row r="2297" spans="1:1" hidden="1" x14ac:dyDescent="0.2">
      <c r="A2297"/>
    </row>
    <row r="2298" spans="1:1" hidden="1" x14ac:dyDescent="0.2">
      <c r="A2298"/>
    </row>
    <row r="2299" spans="1:1" hidden="1" x14ac:dyDescent="0.2">
      <c r="A2299"/>
    </row>
    <row r="2300" spans="1:1" hidden="1" x14ac:dyDescent="0.2">
      <c r="A2300"/>
    </row>
    <row r="2301" spans="1:1" hidden="1" x14ac:dyDescent="0.2">
      <c r="A2301"/>
    </row>
    <row r="2302" spans="1:1" hidden="1" x14ac:dyDescent="0.2">
      <c r="A2302"/>
    </row>
    <row r="2303" spans="1:1" hidden="1" x14ac:dyDescent="0.2">
      <c r="A2303"/>
    </row>
    <row r="2304" spans="1:1" hidden="1" x14ac:dyDescent="0.2">
      <c r="A2304"/>
    </row>
    <row r="2305" spans="1:1" hidden="1" x14ac:dyDescent="0.2">
      <c r="A2305"/>
    </row>
    <row r="2306" spans="1:1" hidden="1" x14ac:dyDescent="0.2">
      <c r="A2306"/>
    </row>
    <row r="2307" spans="1:1" hidden="1" x14ac:dyDescent="0.2">
      <c r="A2307"/>
    </row>
    <row r="2308" spans="1:1" hidden="1" x14ac:dyDescent="0.2">
      <c r="A2308"/>
    </row>
    <row r="2309" spans="1:1" hidden="1" x14ac:dyDescent="0.2">
      <c r="A2309"/>
    </row>
    <row r="2310" spans="1:1" hidden="1" x14ac:dyDescent="0.2">
      <c r="A2310"/>
    </row>
    <row r="2311" spans="1:1" hidden="1" x14ac:dyDescent="0.2">
      <c r="A2311"/>
    </row>
    <row r="2312" spans="1:1" hidden="1" x14ac:dyDescent="0.2">
      <c r="A2312"/>
    </row>
    <row r="2313" spans="1:1" hidden="1" x14ac:dyDescent="0.2">
      <c r="A2313"/>
    </row>
    <row r="2314" spans="1:1" hidden="1" x14ac:dyDescent="0.2">
      <c r="A2314"/>
    </row>
    <row r="2315" spans="1:1" hidden="1" x14ac:dyDescent="0.2">
      <c r="A2315"/>
    </row>
    <row r="2316" spans="1:1" hidden="1" x14ac:dyDescent="0.2">
      <c r="A2316"/>
    </row>
    <row r="2317" spans="1:1" hidden="1" x14ac:dyDescent="0.2">
      <c r="A2317"/>
    </row>
    <row r="2318" spans="1:1" hidden="1" x14ac:dyDescent="0.2">
      <c r="A2318"/>
    </row>
    <row r="2319" spans="1:1" hidden="1" x14ac:dyDescent="0.2">
      <c r="A2319"/>
    </row>
    <row r="2320" spans="1:1" hidden="1" x14ac:dyDescent="0.2">
      <c r="A2320"/>
    </row>
    <row r="2321" spans="1:1" hidden="1" x14ac:dyDescent="0.2">
      <c r="A2321"/>
    </row>
    <row r="2322" spans="1:1" hidden="1" x14ac:dyDescent="0.2">
      <c r="A2322"/>
    </row>
    <row r="2323" spans="1:1" hidden="1" x14ac:dyDescent="0.2">
      <c r="A2323"/>
    </row>
    <row r="2324" spans="1:1" hidden="1" x14ac:dyDescent="0.2">
      <c r="A2324"/>
    </row>
  </sheetData>
  <sheetProtection password="F261" sheet="1" objects="1" scenarios="1"/>
  <sortState ref="A3:CI1560">
    <sortCondition ref="B3"/>
  </sortState>
  <mergeCells count="11">
    <mergeCell ref="BO1:BP1"/>
    <mergeCell ref="BQ1:BR1"/>
    <mergeCell ref="BS1:BT1"/>
    <mergeCell ref="BU1:BV1"/>
    <mergeCell ref="BF1:BG1"/>
    <mergeCell ref="CH1:CI1"/>
    <mergeCell ref="BX1:BY1"/>
    <mergeCell ref="BZ1:CA1"/>
    <mergeCell ref="CB1:CC1"/>
    <mergeCell ref="CD1:CE1"/>
    <mergeCell ref="CF1:CG1"/>
  </mergeCells>
  <conditionalFormatting sqref="C161:C182">
    <cfRule type="cellIs" dxfId="162" priority="2224" stopIfTrue="1" operator="notEqual">
      <formula>AQ161</formula>
    </cfRule>
  </conditionalFormatting>
  <conditionalFormatting sqref="B161:H182 J161:AR182">
    <cfRule type="cellIs" dxfId="161" priority="2229" stopIfTrue="1" operator="equal">
      <formula>"DRE"</formula>
    </cfRule>
  </conditionalFormatting>
  <conditionalFormatting sqref="C145:C160">
    <cfRule type="cellIs" dxfId="160" priority="2118" stopIfTrue="1" operator="notEqual">
      <formula>AQ145</formula>
    </cfRule>
  </conditionalFormatting>
  <conditionalFormatting sqref="B145:H160 J145:AR160">
    <cfRule type="cellIs" dxfId="159" priority="2119" stopIfTrue="1" operator="equal">
      <formula>"DRE"</formula>
    </cfRule>
  </conditionalFormatting>
  <conditionalFormatting sqref="C183">
    <cfRule type="cellIs" dxfId="158" priority="2021" stopIfTrue="1" operator="notEqual">
      <formula>AQ183</formula>
    </cfRule>
  </conditionalFormatting>
  <conditionalFormatting sqref="B183:H183 J183:AR183">
    <cfRule type="cellIs" dxfId="157" priority="2022" stopIfTrue="1" operator="equal">
      <formula>"DRE"</formula>
    </cfRule>
  </conditionalFormatting>
  <conditionalFormatting sqref="C184">
    <cfRule type="cellIs" dxfId="156" priority="2002" stopIfTrue="1" operator="notEqual">
      <formula>AQ184</formula>
    </cfRule>
  </conditionalFormatting>
  <conditionalFormatting sqref="B184:H184 J184:AR184">
    <cfRule type="cellIs" dxfId="155" priority="2003" stopIfTrue="1" operator="equal">
      <formula>"DRE"</formula>
    </cfRule>
  </conditionalFormatting>
  <conditionalFormatting sqref="C185">
    <cfRule type="cellIs" dxfId="154" priority="1983" stopIfTrue="1" operator="notEqual">
      <formula>AQ185</formula>
    </cfRule>
  </conditionalFormatting>
  <conditionalFormatting sqref="B185:H185 J185:AR185">
    <cfRule type="cellIs" dxfId="153" priority="1984" stopIfTrue="1" operator="equal">
      <formula>"DRE"</formula>
    </cfRule>
  </conditionalFormatting>
  <conditionalFormatting sqref="C186">
    <cfRule type="cellIs" dxfId="152" priority="1964" stopIfTrue="1" operator="notEqual">
      <formula>AQ186</formula>
    </cfRule>
  </conditionalFormatting>
  <conditionalFormatting sqref="B186:H186 J186:AR186">
    <cfRule type="cellIs" dxfId="151" priority="1965" stopIfTrue="1" operator="equal">
      <formula>"DRE"</formula>
    </cfRule>
  </conditionalFormatting>
  <conditionalFormatting sqref="C187">
    <cfRule type="cellIs" dxfId="150" priority="1945" stopIfTrue="1" operator="notEqual">
      <formula>AQ187</formula>
    </cfRule>
  </conditionalFormatting>
  <conditionalFormatting sqref="B187:H187 J187:AR187">
    <cfRule type="cellIs" dxfId="149" priority="1946" stopIfTrue="1" operator="equal">
      <formula>"DRE"</formula>
    </cfRule>
  </conditionalFormatting>
  <conditionalFormatting sqref="C188">
    <cfRule type="cellIs" dxfId="148" priority="1926" stopIfTrue="1" operator="notEqual">
      <formula>AQ188</formula>
    </cfRule>
  </conditionalFormatting>
  <conditionalFormatting sqref="B188:H188 J188:AR188">
    <cfRule type="cellIs" dxfId="147" priority="1927" stopIfTrue="1" operator="equal">
      <formula>"DRE"</formula>
    </cfRule>
  </conditionalFormatting>
  <conditionalFormatting sqref="C189">
    <cfRule type="cellIs" dxfId="146" priority="1907" stopIfTrue="1" operator="notEqual">
      <formula>AQ189</formula>
    </cfRule>
  </conditionalFormatting>
  <conditionalFormatting sqref="B189:H189 J189:AR189">
    <cfRule type="cellIs" dxfId="145" priority="1908" stopIfTrue="1" operator="equal">
      <formula>"DRE"</formula>
    </cfRule>
  </conditionalFormatting>
  <conditionalFormatting sqref="C190">
    <cfRule type="cellIs" dxfId="144" priority="1888" stopIfTrue="1" operator="notEqual">
      <formula>AQ190</formula>
    </cfRule>
  </conditionalFormatting>
  <conditionalFormatting sqref="B190:H190 J190:AR190">
    <cfRule type="cellIs" dxfId="143" priority="1889" stopIfTrue="1" operator="equal">
      <formula>"DRE"</formula>
    </cfRule>
  </conditionalFormatting>
  <conditionalFormatting sqref="C191">
    <cfRule type="cellIs" dxfId="142" priority="1869" stopIfTrue="1" operator="notEqual">
      <formula>AQ191</formula>
    </cfRule>
  </conditionalFormatting>
  <conditionalFormatting sqref="B191:H191 J191:AR191">
    <cfRule type="cellIs" dxfId="141" priority="1870" stopIfTrue="1" operator="equal">
      <formula>"DRE"</formula>
    </cfRule>
  </conditionalFormatting>
  <conditionalFormatting sqref="CJ202:CZ202">
    <cfRule type="cellIs" dxfId="140" priority="1566" stopIfTrue="1" operator="equal">
      <formula>"DRE"</formula>
    </cfRule>
  </conditionalFormatting>
  <conditionalFormatting sqref="C192">
    <cfRule type="cellIs" dxfId="139" priority="1546" stopIfTrue="1" operator="notEqual">
      <formula>AQ192</formula>
    </cfRule>
  </conditionalFormatting>
  <conditionalFormatting sqref="B192:H192 J192:AR192">
    <cfRule type="cellIs" dxfId="138" priority="1547" stopIfTrue="1" operator="equal">
      <formula>"DRE"</formula>
    </cfRule>
  </conditionalFormatting>
  <conditionalFormatting sqref="C193">
    <cfRule type="cellIs" dxfId="137" priority="1527" stopIfTrue="1" operator="notEqual">
      <formula>AQ193</formula>
    </cfRule>
  </conditionalFormatting>
  <conditionalFormatting sqref="B193:H193 J193:AR193">
    <cfRule type="cellIs" dxfId="136" priority="1528" stopIfTrue="1" operator="equal">
      <formula>"DRE"</formula>
    </cfRule>
  </conditionalFormatting>
  <conditionalFormatting sqref="C194">
    <cfRule type="cellIs" dxfId="135" priority="1508" stopIfTrue="1" operator="notEqual">
      <formula>AQ194</formula>
    </cfRule>
  </conditionalFormatting>
  <conditionalFormatting sqref="B194:H194 J194:AR194">
    <cfRule type="cellIs" dxfId="134" priority="1509" stopIfTrue="1" operator="equal">
      <formula>"DRE"</formula>
    </cfRule>
  </conditionalFormatting>
  <conditionalFormatting sqref="C195">
    <cfRule type="cellIs" dxfId="133" priority="1489" stopIfTrue="1" operator="notEqual">
      <formula>AQ195</formula>
    </cfRule>
  </conditionalFormatting>
  <conditionalFormatting sqref="B195:H195 J195:AR195">
    <cfRule type="cellIs" dxfId="132" priority="1490" stopIfTrue="1" operator="equal">
      <formula>"DRE"</formula>
    </cfRule>
  </conditionalFormatting>
  <conditionalFormatting sqref="C196">
    <cfRule type="cellIs" dxfId="131" priority="1470" stopIfTrue="1" operator="notEqual">
      <formula>AQ196</formula>
    </cfRule>
  </conditionalFormatting>
  <conditionalFormatting sqref="B196:H196 J196:AR196">
    <cfRule type="cellIs" dxfId="130" priority="1471" stopIfTrue="1" operator="equal">
      <formula>"DRE"</formula>
    </cfRule>
  </conditionalFormatting>
  <conditionalFormatting sqref="C197">
    <cfRule type="cellIs" dxfId="129" priority="1451" stopIfTrue="1" operator="notEqual">
      <formula>AQ197</formula>
    </cfRule>
  </conditionalFormatting>
  <conditionalFormatting sqref="B197:H197 J197:AR197">
    <cfRule type="cellIs" dxfId="128" priority="1452" stopIfTrue="1" operator="equal">
      <formula>"DRE"</formula>
    </cfRule>
  </conditionalFormatting>
  <conditionalFormatting sqref="C198">
    <cfRule type="cellIs" dxfId="127" priority="1432" stopIfTrue="1" operator="notEqual">
      <formula>AQ198</formula>
    </cfRule>
  </conditionalFormatting>
  <conditionalFormatting sqref="B198:H198 J198:AR198">
    <cfRule type="cellIs" dxfId="126" priority="1433" stopIfTrue="1" operator="equal">
      <formula>"DRE"</formula>
    </cfRule>
  </conditionalFormatting>
  <conditionalFormatting sqref="C199">
    <cfRule type="cellIs" dxfId="125" priority="1413" stopIfTrue="1" operator="notEqual">
      <formula>AQ199</formula>
    </cfRule>
  </conditionalFormatting>
  <conditionalFormatting sqref="B199:H199 J199:AR199">
    <cfRule type="cellIs" dxfId="124" priority="1414" stopIfTrue="1" operator="equal">
      <formula>"DRE"</formula>
    </cfRule>
  </conditionalFormatting>
  <conditionalFormatting sqref="C200">
    <cfRule type="cellIs" dxfId="123" priority="1394" stopIfTrue="1" operator="notEqual">
      <formula>AQ200</formula>
    </cfRule>
  </conditionalFormatting>
  <conditionalFormatting sqref="B200:H200 J200:AR200">
    <cfRule type="cellIs" dxfId="122" priority="1395" stopIfTrue="1" operator="equal">
      <formula>"DRE"</formula>
    </cfRule>
  </conditionalFormatting>
  <conditionalFormatting sqref="C201">
    <cfRule type="cellIs" dxfId="121" priority="1375" stopIfTrue="1" operator="notEqual">
      <formula>AQ201</formula>
    </cfRule>
  </conditionalFormatting>
  <conditionalFormatting sqref="B201:H201 J201:AR201">
    <cfRule type="cellIs" dxfId="120" priority="1376" stopIfTrue="1" operator="equal">
      <formula>"DRE"</formula>
    </cfRule>
  </conditionalFormatting>
  <conditionalFormatting sqref="C202">
    <cfRule type="cellIs" dxfId="119" priority="1356" stopIfTrue="1" operator="notEqual">
      <formula>AQ202</formula>
    </cfRule>
  </conditionalFormatting>
  <conditionalFormatting sqref="B202:H202 J202:AR202">
    <cfRule type="cellIs" dxfId="118" priority="1357" stopIfTrue="1" operator="equal">
      <formula>"DRE"</formula>
    </cfRule>
  </conditionalFormatting>
  <conditionalFormatting sqref="C3:C1556">
    <cfRule type="cellIs" dxfId="117" priority="1337" stopIfTrue="1" operator="notEqual">
      <formula>AQ3</formula>
    </cfRule>
  </conditionalFormatting>
  <conditionalFormatting sqref="A5:A1558 B5:H1556 R20:R1558 A3:H4 P3:P1558 J3:AR1556">
    <cfRule type="cellIs" dxfId="116" priority="1338" stopIfTrue="1" operator="equal">
      <formula>"DRE"</formula>
    </cfRule>
  </conditionalFormatting>
  <conditionalFormatting sqref="C88:C144">
    <cfRule type="cellIs" dxfId="115" priority="1322" stopIfTrue="1" operator="notEqual">
      <formula>AQ88</formula>
    </cfRule>
  </conditionalFormatting>
  <conditionalFormatting sqref="B88:H144 J88:AR144">
    <cfRule type="cellIs" dxfId="114" priority="1323" stopIfTrue="1" operator="equal">
      <formula>"DRE"</formula>
    </cfRule>
  </conditionalFormatting>
  <conditionalFormatting sqref="C1557">
    <cfRule type="cellIs" dxfId="113" priority="35" stopIfTrue="1" operator="notEqual">
      <formula>AQ1557</formula>
    </cfRule>
  </conditionalFormatting>
  <conditionalFormatting sqref="B1557:H1557 J1557:AR1557">
    <cfRule type="cellIs" dxfId="112" priority="36" stopIfTrue="1" operator="equal">
      <formula>"DRE"</formula>
    </cfRule>
  </conditionalFormatting>
  <conditionalFormatting sqref="C1558">
    <cfRule type="cellIs" dxfId="111" priority="33" stopIfTrue="1" operator="notEqual">
      <formula>AQ1558</formula>
    </cfRule>
  </conditionalFormatting>
  <conditionalFormatting sqref="B1558:H1558 J1558:AR1558">
    <cfRule type="cellIs" dxfId="110" priority="34" stopIfTrue="1" operator="equal">
      <formula>"DRE"</formula>
    </cfRule>
  </conditionalFormatting>
  <conditionalFormatting sqref="C1559">
    <cfRule type="cellIs" dxfId="109" priority="31" stopIfTrue="1" operator="notEqual">
      <formula>AQ1559</formula>
    </cfRule>
  </conditionalFormatting>
  <conditionalFormatting sqref="A1559:H1559 J1559:AR1559">
    <cfRule type="cellIs" dxfId="108" priority="32" stopIfTrue="1" operator="equal">
      <formula>"DRE"</formula>
    </cfRule>
  </conditionalFormatting>
  <conditionalFormatting sqref="C1560">
    <cfRule type="cellIs" dxfId="107" priority="29" stopIfTrue="1" operator="notEqual">
      <formula>AQ1560</formula>
    </cfRule>
  </conditionalFormatting>
  <conditionalFormatting sqref="A1560:H1560 J1560:AR1560">
    <cfRule type="cellIs" dxfId="106" priority="30" stopIfTrue="1" operator="equal">
      <formula>"DRE"</formula>
    </cfRule>
  </conditionalFormatting>
  <conditionalFormatting sqref="I161:I182">
    <cfRule type="cellIs" dxfId="105" priority="28" stopIfTrue="1" operator="equal">
      <formula>"DRE"</formula>
    </cfRule>
  </conditionalFormatting>
  <conditionalFormatting sqref="I145:I160">
    <cfRule type="cellIs" dxfId="104" priority="27" stopIfTrue="1" operator="equal">
      <formula>"DRE"</formula>
    </cfRule>
  </conditionalFormatting>
  <conditionalFormatting sqref="I183">
    <cfRule type="cellIs" dxfId="103" priority="26" stopIfTrue="1" operator="equal">
      <formula>"DRE"</formula>
    </cfRule>
  </conditionalFormatting>
  <conditionalFormatting sqref="I184">
    <cfRule type="cellIs" dxfId="102" priority="25" stopIfTrue="1" operator="equal">
      <formula>"DRE"</formula>
    </cfRule>
  </conditionalFormatting>
  <conditionalFormatting sqref="I185">
    <cfRule type="cellIs" dxfId="101" priority="24" stopIfTrue="1" operator="equal">
      <formula>"DRE"</formula>
    </cfRule>
  </conditionalFormatting>
  <conditionalFormatting sqref="I186">
    <cfRule type="cellIs" dxfId="100" priority="23" stopIfTrue="1" operator="equal">
      <formula>"DRE"</formula>
    </cfRule>
  </conditionalFormatting>
  <conditionalFormatting sqref="I187">
    <cfRule type="cellIs" dxfId="99" priority="22" stopIfTrue="1" operator="equal">
      <formula>"DRE"</formula>
    </cfRule>
  </conditionalFormatting>
  <conditionalFormatting sqref="I188">
    <cfRule type="cellIs" dxfId="98" priority="21" stopIfTrue="1" operator="equal">
      <formula>"DRE"</formula>
    </cfRule>
  </conditionalFormatting>
  <conditionalFormatting sqref="I189">
    <cfRule type="cellIs" dxfId="97" priority="20" stopIfTrue="1" operator="equal">
      <formula>"DRE"</formula>
    </cfRule>
  </conditionalFormatting>
  <conditionalFormatting sqref="I190">
    <cfRule type="cellIs" dxfId="96" priority="19" stopIfTrue="1" operator="equal">
      <formula>"DRE"</formula>
    </cfRule>
  </conditionalFormatting>
  <conditionalFormatting sqref="I191">
    <cfRule type="cellIs" dxfId="95" priority="18" stopIfTrue="1" operator="equal">
      <formula>"DRE"</formula>
    </cfRule>
  </conditionalFormatting>
  <conditionalFormatting sqref="I192">
    <cfRule type="cellIs" dxfId="94" priority="17" stopIfTrue="1" operator="equal">
      <formula>"DRE"</formula>
    </cfRule>
  </conditionalFormatting>
  <conditionalFormatting sqref="I193">
    <cfRule type="cellIs" dxfId="93" priority="16" stopIfTrue="1" operator="equal">
      <formula>"DRE"</formula>
    </cfRule>
  </conditionalFormatting>
  <conditionalFormatting sqref="I194">
    <cfRule type="cellIs" dxfId="92" priority="15" stopIfTrue="1" operator="equal">
      <formula>"DRE"</formula>
    </cfRule>
  </conditionalFormatting>
  <conditionalFormatting sqref="I195">
    <cfRule type="cellIs" dxfId="91" priority="14" stopIfTrue="1" operator="equal">
      <formula>"DRE"</formula>
    </cfRule>
  </conditionalFormatting>
  <conditionalFormatting sqref="I196">
    <cfRule type="cellIs" dxfId="90" priority="13" stopIfTrue="1" operator="equal">
      <formula>"DRE"</formula>
    </cfRule>
  </conditionalFormatting>
  <conditionalFormatting sqref="I197">
    <cfRule type="cellIs" dxfId="89" priority="12" stopIfTrue="1" operator="equal">
      <formula>"DRE"</formula>
    </cfRule>
  </conditionalFormatting>
  <conditionalFormatting sqref="I198">
    <cfRule type="cellIs" dxfId="88" priority="11" stopIfTrue="1" operator="equal">
      <formula>"DRE"</formula>
    </cfRule>
  </conditionalFormatting>
  <conditionalFormatting sqref="I199">
    <cfRule type="cellIs" dxfId="87" priority="10" stopIfTrue="1" operator="equal">
      <formula>"DRE"</formula>
    </cfRule>
  </conditionalFormatting>
  <conditionalFormatting sqref="I200">
    <cfRule type="cellIs" dxfId="86" priority="9" stopIfTrue="1" operator="equal">
      <formula>"DRE"</formula>
    </cfRule>
  </conditionalFormatting>
  <conditionalFormatting sqref="I201">
    <cfRule type="cellIs" dxfId="85" priority="8" stopIfTrue="1" operator="equal">
      <formula>"DRE"</formula>
    </cfRule>
  </conditionalFormatting>
  <conditionalFormatting sqref="I202">
    <cfRule type="cellIs" dxfId="84" priority="7" stopIfTrue="1" operator="equal">
      <formula>"DRE"</formula>
    </cfRule>
  </conditionalFormatting>
  <conditionalFormatting sqref="I3:I1558">
    <cfRule type="cellIs" dxfId="83" priority="6" stopIfTrue="1" operator="equal">
      <formula>"DRE"</formula>
    </cfRule>
  </conditionalFormatting>
  <conditionalFormatting sqref="I88:I144">
    <cfRule type="cellIs" dxfId="82" priority="5" stopIfTrue="1" operator="equal">
      <formula>"DRE"</formula>
    </cfRule>
  </conditionalFormatting>
  <conditionalFormatting sqref="I1557">
    <cfRule type="cellIs" dxfId="81" priority="4" stopIfTrue="1" operator="equal">
      <formula>"DRE"</formula>
    </cfRule>
  </conditionalFormatting>
  <conditionalFormatting sqref="I1558">
    <cfRule type="cellIs" dxfId="80" priority="3" stopIfTrue="1" operator="equal">
      <formula>"DRE"</formula>
    </cfRule>
  </conditionalFormatting>
  <conditionalFormatting sqref="I1559">
    <cfRule type="cellIs" dxfId="79" priority="2" stopIfTrue="1" operator="equal">
      <formula>"DRE"</formula>
    </cfRule>
  </conditionalFormatting>
  <conditionalFormatting sqref="I1560">
    <cfRule type="cellIs" dxfId="78" priority="1" stopIfTrue="1" operator="equal">
      <formula>"DRE"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BS282"/>
  <sheetViews>
    <sheetView showGridLines="0" showRowColHeaders="0"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0" defaultRowHeight="12.75" zeroHeight="1" x14ac:dyDescent="0.2"/>
  <cols>
    <col min="1" max="1" width="7" style="548" customWidth="1"/>
    <col min="2" max="2" width="42.42578125" style="548" customWidth="1"/>
    <col min="3" max="3" width="8.140625" style="548" customWidth="1"/>
    <col min="4" max="4" width="21.28515625" style="548" customWidth="1"/>
    <col min="5" max="5" width="10.28515625" style="548" customWidth="1"/>
    <col min="6" max="6" width="22" style="548" bestFit="1" customWidth="1"/>
    <col min="7" max="7" width="38.140625" style="548" customWidth="1"/>
    <col min="8" max="8" width="48.42578125" style="548" hidden="1" customWidth="1"/>
    <col min="9" max="9" width="10.7109375" style="548" hidden="1" customWidth="1"/>
    <col min="10" max="10" width="13" style="548" customWidth="1"/>
    <col min="11" max="11" width="7.7109375" style="548" hidden="1" customWidth="1"/>
    <col min="12" max="12" width="10.7109375" style="548" hidden="1" customWidth="1"/>
    <col min="13" max="13" width="47.85546875" style="548" customWidth="1"/>
    <col min="14" max="14" width="11.28515625" style="548" customWidth="1"/>
    <col min="15" max="15" width="9.140625" style="548" customWidth="1"/>
    <col min="16" max="16" width="10.5703125" style="548" bestFit="1" customWidth="1"/>
    <col min="17" max="17" width="11.7109375" style="548" customWidth="1"/>
    <col min="18" max="18" width="10.5703125" style="548" bestFit="1" customWidth="1"/>
    <col min="19" max="20" width="14.7109375" style="548" customWidth="1"/>
    <col min="21" max="21" width="20.28515625" style="548" hidden="1" customWidth="1"/>
    <col min="22" max="22" width="11.42578125" style="548" customWidth="1"/>
    <col min="23" max="23" width="16.85546875" style="548" hidden="1" customWidth="1"/>
    <col min="24" max="24" width="11.42578125" style="548" hidden="1" customWidth="1"/>
    <col min="25" max="25" width="17.140625" style="548" hidden="1" customWidth="1"/>
    <col min="26" max="26" width="43.140625" style="548" hidden="1" customWidth="1"/>
    <col min="27" max="32" width="11.42578125" style="548" hidden="1" customWidth="1"/>
    <col min="33" max="33" width="9.140625" style="548" customWidth="1"/>
    <col min="34" max="34" width="21.140625" style="548" customWidth="1"/>
    <col min="35" max="35" width="7.28515625" style="548" customWidth="1"/>
    <col min="36" max="36" width="15" style="548" customWidth="1"/>
    <col min="37" max="37" width="30.42578125" style="548" customWidth="1"/>
    <col min="38" max="39" width="17.42578125" style="548" customWidth="1"/>
    <col min="40" max="49" width="7.7109375" style="548" hidden="1" customWidth="1"/>
    <col min="50" max="50" width="15.85546875" style="548" hidden="1" customWidth="1"/>
    <col min="51" max="67" width="5.28515625" style="548" hidden="1" customWidth="1"/>
    <col min="68" max="68" width="13.140625" style="548" hidden="1" customWidth="1"/>
    <col min="69" max="72" width="9.5703125" style="548" hidden="1" customWidth="1"/>
    <col min="73" max="73" width="5.28515625" style="548" hidden="1" customWidth="1"/>
    <col min="74" max="74" width="22.85546875" style="548" hidden="1" customWidth="1"/>
    <col min="75" max="75" width="6.85546875" style="548" hidden="1" customWidth="1"/>
    <col min="76" max="79" width="4.42578125" style="548" hidden="1" customWidth="1"/>
    <col min="80" max="82" width="7.85546875" style="548" hidden="1" customWidth="1"/>
    <col min="83" max="83" width="6.5703125" style="548" hidden="1" customWidth="1"/>
    <col min="84" max="84" width="8.7109375" style="548" hidden="1" customWidth="1"/>
    <col min="85" max="87" width="4.42578125" style="548" hidden="1" customWidth="1"/>
    <col min="88" max="92" width="4.7109375" style="548" hidden="1" customWidth="1"/>
    <col min="93" max="93" width="7.85546875" style="548" hidden="1" customWidth="1"/>
    <col min="94" max="94" width="8.28515625" style="548" hidden="1" customWidth="1"/>
    <col min="95" max="95" width="4.7109375" style="548" hidden="1" customWidth="1"/>
    <col min="96" max="96" width="7.28515625" style="548" hidden="1" customWidth="1"/>
    <col min="97" max="100" width="4.7109375" style="548" hidden="1" customWidth="1"/>
    <col min="101" max="102" width="12.5703125" style="548" hidden="1" customWidth="1"/>
    <col min="103" max="103" width="4.42578125" style="548" hidden="1" customWidth="1"/>
    <col min="104" max="105" width="11.140625" style="548" hidden="1" customWidth="1"/>
    <col min="106" max="106" width="21.140625" style="548" hidden="1" customWidth="1"/>
    <col min="107" max="107" width="4.28515625" style="548" hidden="1" customWidth="1"/>
    <col min="108" max="108" width="5.42578125" style="548" hidden="1" customWidth="1"/>
    <col min="109" max="109" width="4.7109375" style="548" hidden="1" customWidth="1"/>
    <col min="110" max="111" width="4.42578125" style="548" hidden="1" customWidth="1"/>
    <col min="112" max="112" width="7.85546875" style="548" hidden="1" customWidth="1"/>
    <col min="113" max="116" width="4" style="548" hidden="1" customWidth="1"/>
    <col min="117" max="120" width="3.28515625" style="548" hidden="1" customWidth="1"/>
    <col min="121" max="124" width="3.5703125" style="548" hidden="1" customWidth="1"/>
    <col min="125" max="128" width="4.42578125" style="548" hidden="1" customWidth="1"/>
    <col min="129" max="132" width="2.7109375" style="548" hidden="1" customWidth="1"/>
    <col min="133" max="133" width="2.140625" style="548" hidden="1" customWidth="1"/>
    <col min="134" max="155" width="5" style="548" hidden="1" customWidth="1"/>
    <col min="156" max="156" width="4" style="548" hidden="1" customWidth="1"/>
    <col min="157" max="183" width="6.42578125" style="548" hidden="1" customWidth="1"/>
    <col min="184" max="184" width="1.28515625" style="548" hidden="1" customWidth="1"/>
    <col min="185" max="190" width="6.42578125" style="548" hidden="1" customWidth="1"/>
    <col min="191" max="191" width="1.5703125" style="548" hidden="1" customWidth="1"/>
    <col min="192" max="197" width="6.42578125" style="548" hidden="1" customWidth="1"/>
    <col min="198" max="198" width="1.5703125" style="548" hidden="1" customWidth="1"/>
    <col min="199" max="204" width="6.42578125" style="548" hidden="1" customWidth="1"/>
    <col min="205" max="205" width="1.42578125" style="548" hidden="1" customWidth="1"/>
    <col min="206" max="211" width="6.42578125" style="548" hidden="1" customWidth="1"/>
    <col min="212" max="212" width="2.140625" style="548" hidden="1" customWidth="1"/>
    <col min="213" max="213" width="12.140625" style="548" hidden="1" customWidth="1"/>
    <col min="214" max="215" width="12.28515625" style="548" hidden="1" customWidth="1"/>
    <col min="216" max="216" width="9" style="548" hidden="1" customWidth="1"/>
    <col min="217" max="217" width="12.140625" style="548" hidden="1" customWidth="1"/>
    <col min="218" max="218" width="9.140625" style="548" hidden="1" customWidth="1"/>
    <col min="219" max="219" width="12.28515625" style="548" hidden="1" customWidth="1"/>
    <col min="220" max="220" width="8.42578125" style="548" hidden="1" customWidth="1"/>
    <col min="221" max="221" width="12.28515625" style="548" hidden="1" customWidth="1"/>
    <col min="222" max="222" width="11.42578125" style="548" hidden="1" customWidth="1"/>
    <col min="223" max="223" width="12.42578125" style="548" hidden="1" customWidth="1"/>
    <col min="224" max="224" width="9.85546875" style="548" hidden="1" customWidth="1"/>
    <col min="225" max="225" width="12.28515625" style="548" hidden="1" customWidth="1"/>
    <col min="226" max="226" width="17" style="548" hidden="1" customWidth="1"/>
    <col min="227" max="227" width="12.42578125" style="548" hidden="1" customWidth="1"/>
    <col min="228" max="228" width="17.140625" style="548" hidden="1" customWidth="1"/>
    <col min="229" max="229" width="11.85546875" style="548" hidden="1" customWidth="1"/>
    <col min="230" max="230" width="16.28515625" style="548" hidden="1" customWidth="1"/>
    <col min="231" max="231" width="11.85546875" style="548" hidden="1" customWidth="1"/>
    <col min="232" max="232" width="16.42578125" style="548" hidden="1" customWidth="1"/>
    <col min="233" max="233" width="11.85546875" style="548" hidden="1" customWidth="1"/>
    <col min="234" max="234" width="16.28515625" style="548" hidden="1" customWidth="1"/>
    <col min="235" max="235" width="11.85546875" style="548" hidden="1" customWidth="1"/>
    <col min="236" max="236" width="16.42578125" style="548" hidden="1" customWidth="1"/>
    <col min="237" max="237" width="12.140625" style="548" hidden="1" customWidth="1"/>
    <col min="238" max="238" width="16.5703125" style="548" hidden="1" customWidth="1"/>
    <col min="239" max="239" width="12.140625" style="548" hidden="1" customWidth="1"/>
    <col min="240" max="240" width="16.7109375" style="548" hidden="1" customWidth="1"/>
    <col min="241" max="241" width="12.140625" style="548" hidden="1" customWidth="1"/>
    <col min="242" max="242" width="16.5703125" style="548" hidden="1" customWidth="1"/>
    <col min="243" max="243" width="12.140625" style="548" hidden="1" customWidth="1"/>
    <col min="244" max="244" width="16.7109375" style="548" hidden="1" customWidth="1"/>
    <col min="245" max="245" width="10.85546875" style="548" hidden="1" customWidth="1"/>
    <col min="246" max="246" width="15.28515625" style="548" hidden="1" customWidth="1"/>
    <col min="247" max="247" width="10.85546875" style="548" hidden="1" customWidth="1"/>
    <col min="248" max="248" width="15.5703125" style="548" hidden="1" customWidth="1"/>
    <col min="249" max="249" width="10.85546875" style="548" hidden="1" customWidth="1"/>
    <col min="250" max="250" width="15.28515625" style="548" hidden="1" customWidth="1"/>
    <col min="251" max="251" width="10.85546875" style="548" hidden="1" customWidth="1"/>
    <col min="252" max="252" width="6" style="548" hidden="1" customWidth="1"/>
    <col min="253" max="253" width="10.85546875" style="548" hidden="1" customWidth="1"/>
    <col min="254" max="254" width="15.28515625" style="548" hidden="1" customWidth="1"/>
    <col min="255" max="255" width="10.85546875" style="548" hidden="1" customWidth="1"/>
    <col min="256" max="256" width="15.5703125" style="548" hidden="1" customWidth="1"/>
    <col min="257" max="257" width="10.85546875" style="548" hidden="1" customWidth="1"/>
    <col min="258" max="258" width="15.28515625" style="548" hidden="1" customWidth="1"/>
    <col min="259" max="259" width="10.85546875" style="548" hidden="1" customWidth="1"/>
    <col min="260" max="260" width="15.5703125" style="548" hidden="1" customWidth="1"/>
    <col min="261" max="268" width="12.85546875" style="548" hidden="1" customWidth="1"/>
    <col min="269" max="283" width="15.5703125" style="548" hidden="1" customWidth="1"/>
    <col min="284" max="284" width="6" style="548" hidden="1" customWidth="1"/>
    <col min="285" max="287" width="21.140625" style="548" hidden="1" customWidth="1"/>
    <col min="288" max="288" width="10.42578125" style="548" hidden="1" customWidth="1"/>
    <col min="289" max="289" width="11" style="548" hidden="1" customWidth="1"/>
    <col min="290" max="290" width="11.28515625" style="548" hidden="1" customWidth="1"/>
    <col min="291" max="291" width="27.140625" style="548" hidden="1" customWidth="1"/>
    <col min="292" max="292" width="9.140625" style="548" hidden="1" customWidth="1"/>
    <col min="293" max="293" width="34.5703125" style="548" hidden="1" customWidth="1"/>
    <col min="294" max="296" width="9.140625" style="548" hidden="1" customWidth="1"/>
    <col min="297" max="297" width="23.28515625" style="548" hidden="1" customWidth="1"/>
    <col min="298" max="298" width="9.140625" style="548" hidden="1" customWidth="1"/>
    <col min="299" max="299" width="12.85546875" style="548" hidden="1" customWidth="1"/>
    <col min="300" max="313" width="9.140625" style="548" hidden="1" customWidth="1"/>
    <col min="314" max="314" width="2" style="548" hidden="1" customWidth="1"/>
    <col min="315" max="405" width="9.140625" style="548" hidden="1" customWidth="1"/>
    <col min="406" max="406" width="5.140625" style="548" hidden="1" customWidth="1"/>
    <col min="407" max="428" width="1.28515625" style="548" hidden="1" customWidth="1"/>
    <col min="429" max="434" width="1.5703125" style="548" hidden="1" customWidth="1"/>
    <col min="435" max="435" width="5.42578125" style="548" hidden="1" customWidth="1"/>
    <col min="436" max="458" width="9.140625" style="548" hidden="1" customWidth="1"/>
    <col min="459" max="459" width="2.85546875" style="548" customWidth="1"/>
    <col min="460" max="747" width="9.140625" style="548" hidden="1" customWidth="1"/>
    <col min="748" max="16384" width="9.140625" style="548" hidden="1"/>
  </cols>
  <sheetData>
    <row r="1" spans="1:747" customFormat="1" ht="23.25" thickBot="1" x14ac:dyDescent="0.25">
      <c r="A1" s="766">
        <f>Dados!$K$3</f>
        <v>0</v>
      </c>
      <c r="B1" s="500" t="str">
        <f>Dados!$C$128&amp;Dados!$E$128</f>
        <v/>
      </c>
      <c r="C1" s="1012" t="s">
        <v>14896</v>
      </c>
      <c r="D1" s="514"/>
      <c r="E1" s="1932"/>
      <c r="F1" s="1932"/>
      <c r="G1" s="1932"/>
      <c r="H1" s="516"/>
      <c r="I1" s="517"/>
      <c r="J1" s="517"/>
      <c r="K1" s="517"/>
      <c r="L1" s="517"/>
      <c r="M1" s="556" t="str">
        <f>IF(Dados!I98="","","Já incluso Rendimento Bancário &gt;&gt;&gt;")</f>
        <v>Já incluso Rendimento Bancário &gt;&gt;&gt;</v>
      </c>
      <c r="N1" s="1933" t="str">
        <f>IF(P1&gt;0,"Saldo de Custeio",IF(P1&lt;0,"Custeio Terminou",""))</f>
        <v/>
      </c>
      <c r="O1" s="1933"/>
      <c r="P1" s="1914">
        <f>AL163</f>
        <v>0</v>
      </c>
      <c r="Q1" s="1915"/>
      <c r="R1" s="1934" t="str">
        <f>IF(T1&gt;0,"Saldo de Capital",IF(T1&lt;0,"Capital Terminou",""))</f>
        <v/>
      </c>
      <c r="S1" s="1933"/>
      <c r="T1" s="1914">
        <f>AM163</f>
        <v>0</v>
      </c>
      <c r="U1" s="1914"/>
      <c r="V1" s="1915"/>
      <c r="W1" s="557" t="str">
        <f>Dados!$G$9</f>
        <v/>
      </c>
      <c r="X1" s="558">
        <f>IF(Dados!$C$90="",0,Dados!$C$90)</f>
        <v>0</v>
      </c>
      <c r="Y1" s="559">
        <v>-10000</v>
      </c>
      <c r="Z1" s="559">
        <v>100000</v>
      </c>
      <c r="AA1" s="485"/>
      <c r="AB1" s="485"/>
      <c r="AC1" s="485"/>
      <c r="AD1" s="485"/>
      <c r="AE1" s="485"/>
      <c r="AF1" s="485"/>
      <c r="AG1" s="1916" t="s">
        <v>185</v>
      </c>
      <c r="AH1" s="1917"/>
      <c r="AI1" s="1917"/>
      <c r="AJ1" s="1918"/>
      <c r="AK1" s="538" t="s">
        <v>500</v>
      </c>
      <c r="AL1" s="448"/>
      <c r="AM1" s="448"/>
      <c r="AN1" s="485"/>
      <c r="AO1" s="485"/>
      <c r="AP1" s="485"/>
      <c r="AQ1" s="485"/>
      <c r="AR1" s="485"/>
      <c r="AS1" s="485"/>
      <c r="AT1" s="485"/>
      <c r="AU1" s="477"/>
      <c r="AV1" s="477"/>
      <c r="AW1" s="477"/>
      <c r="AX1" s="477"/>
      <c r="AY1" s="477" t="b">
        <f>IF(AND(AX3&gt;121,AX3&lt;=141),7,IF(AND(AX3&gt;141,AX3&lt;=160),8))</f>
        <v>0</v>
      </c>
      <c r="AZ1" s="485"/>
      <c r="BA1" s="485"/>
      <c r="BB1" s="485"/>
      <c r="BC1" s="485"/>
      <c r="BD1" s="478"/>
      <c r="BE1" s="478" t="str">
        <f>BE4&amp;BE5&amp;BE6&amp;BE7&amp;BE8&amp;BE9&amp;BE10&amp;BE11&amp;BE12&amp;BE13&amp;BE14&amp;BE15&amp;BE16&amp;BE17&amp;BE18&amp;BE19&amp;BE20&amp;BE21&amp;BE22&amp;BE23&amp;BE24&amp;BE25&amp;BE26&amp;BE27&amp;BE28&amp;BE29&amp;BE30&amp;BE31&amp;BE32&amp;BE33&amp;BE34&amp;BE35&amp;BE36&amp;BE37&amp;BE38&amp;BE39&amp;BE40&amp;BE41&amp;BE42&amp;BE43&amp;BE44&amp;BE45&amp;BE46&amp;BE47&amp;BE48&amp;BE49&amp;BE50&amp;BE51&amp;BE52&amp;BE53&amp;BE54&amp;BE55&amp;BE56&amp;BE57&amp;BE58&amp;BE59&amp;BE60&amp;BE61&amp;BE62&amp;BE63&amp;BE64&amp;BE65&amp;BE66&amp;BE67&amp;BE68&amp;BE69&amp;BE70&amp;BE71&amp;BE72&amp;BE73&amp;BE74&amp;BE75&amp;BE76&amp;BE77&amp;BE78&amp;BE79&amp;BE80&amp;BE81&amp;BE82&amp;BE83&amp;BE84&amp;BE85&amp;BE86&amp;BE87&amp;BE88&amp;BE89&amp;BE90&amp;BE91&amp;BE92&amp;BE93&amp;BE94&amp;BE95&amp;BE96&amp;BE97&amp;BE98&amp;BE99&amp;BE100&amp;BE101&amp;BE102&amp;BE103&amp;BE104&amp;BE105&amp;BE106&amp;BE107&amp;BE108&amp;BE109&amp;BE110&amp;BE111&amp;BE112&amp;BE113&amp;BE114&amp;BE115&amp;BE116&amp;BE117&amp;BE118&amp;BE119&amp;BE120&amp;BE121&amp;BE122&amp;BE123&amp;BE124&amp;BE125&amp;BE126&amp;BE127&amp;BE128&amp;BE129&amp;BE130&amp;BE131&amp;BE132&amp;BE133&amp;BE134&amp;BE135&amp;BE136&amp;BE137&amp;BE138&amp;BE139&amp;BE140&amp;BE141&amp;BE142&amp;BE143&amp;BE144&amp;BE145&amp;BE146&amp;BE147&amp;BE148&amp;BE149&amp;BE150&amp;BE151&amp;BE152&amp;BE153&amp;BE154&amp;BE155&amp;BE156&amp;BE157&amp;BE158&amp;BE159&amp;BE160&amp;BE161&amp;BE162&amp;BE163</f>
        <v/>
      </c>
      <c r="BF1" s="478" t="s">
        <v>334</v>
      </c>
      <c r="BG1" s="478"/>
      <c r="BH1" s="478"/>
      <c r="BI1" s="478"/>
      <c r="BJ1" s="478"/>
      <c r="BK1" s="478"/>
      <c r="BL1" s="478"/>
      <c r="BM1" s="478"/>
      <c r="BN1" s="478"/>
      <c r="BO1" s="478"/>
      <c r="BP1" s="478"/>
      <c r="BQ1" s="478"/>
      <c r="BR1" s="478"/>
      <c r="BS1" s="478"/>
      <c r="BT1" s="478"/>
      <c r="BU1" s="478"/>
      <c r="BV1" s="478"/>
      <c r="BW1" s="478"/>
      <c r="BX1" s="478"/>
      <c r="BY1" s="478"/>
      <c r="BZ1" s="478"/>
      <c r="CA1" s="478"/>
      <c r="CB1" s="478"/>
      <c r="CC1" s="478"/>
      <c r="CD1" s="478"/>
      <c r="CE1" s="478"/>
      <c r="CF1" s="478"/>
      <c r="CG1" s="478"/>
      <c r="CH1" s="478"/>
      <c r="CI1" s="478"/>
      <c r="CJ1" s="478"/>
      <c r="CK1" s="478"/>
      <c r="CL1" s="478"/>
      <c r="CM1" s="478"/>
      <c r="CN1" s="478"/>
      <c r="CO1" s="478"/>
      <c r="CP1" s="478"/>
      <c r="CQ1" s="478"/>
      <c r="CR1" s="478"/>
      <c r="CS1" s="478"/>
      <c r="CT1" s="478"/>
      <c r="CU1" s="478"/>
      <c r="CV1" s="478"/>
      <c r="CW1" s="478"/>
      <c r="CX1" s="478"/>
      <c r="CY1" s="478"/>
      <c r="CZ1" s="478"/>
      <c r="DA1" s="478"/>
      <c r="DB1" s="478"/>
      <c r="DC1" s="478"/>
      <c r="DD1" s="478"/>
      <c r="DE1" s="1913" t="s">
        <v>738</v>
      </c>
      <c r="DF1" s="1913"/>
      <c r="DG1" s="1913"/>
      <c r="DH1" s="1913"/>
      <c r="DI1" s="1913" t="s">
        <v>739</v>
      </c>
      <c r="DJ1" s="1913"/>
      <c r="DK1" s="1913"/>
      <c r="DL1" s="1913"/>
      <c r="DM1" s="1913" t="s">
        <v>741</v>
      </c>
      <c r="DN1" s="1913"/>
      <c r="DO1" s="1913"/>
      <c r="DP1" s="1913"/>
      <c r="DQ1" s="1913" t="s">
        <v>742</v>
      </c>
      <c r="DR1" s="1913"/>
      <c r="DS1" s="1913"/>
      <c r="DT1" s="1913"/>
      <c r="DU1" s="1913" t="s">
        <v>743</v>
      </c>
      <c r="DV1" s="1913"/>
      <c r="DW1" s="1913"/>
      <c r="DX1" s="1913"/>
      <c r="DY1" s="1913" t="s">
        <v>740</v>
      </c>
      <c r="DZ1" s="1913"/>
      <c r="EA1" s="1913"/>
      <c r="EB1" s="1913"/>
      <c r="EC1" s="1913" t="s">
        <v>12295</v>
      </c>
      <c r="ED1" s="1913"/>
      <c r="EE1" s="1913"/>
      <c r="EF1" s="1913"/>
      <c r="EG1" s="1913" t="s">
        <v>12318</v>
      </c>
      <c r="EH1" s="1913"/>
      <c r="EI1" s="1913"/>
      <c r="EJ1" s="1913"/>
      <c r="EK1" s="1913" t="s">
        <v>12296</v>
      </c>
      <c r="EL1" s="1913"/>
      <c r="EM1" s="1913"/>
      <c r="EN1" s="1913"/>
      <c r="EO1" s="485"/>
      <c r="EP1" s="485"/>
      <c r="EQ1" s="485"/>
      <c r="ER1" s="485"/>
      <c r="ES1" s="485"/>
      <c r="ET1" s="485"/>
      <c r="EU1" s="485"/>
      <c r="EV1" s="485"/>
      <c r="EW1" s="485"/>
      <c r="EX1" s="485"/>
      <c r="EY1" s="485"/>
      <c r="EZ1" s="485"/>
      <c r="FA1" s="485"/>
      <c r="FB1" s="478"/>
      <c r="FC1" s="478" t="str">
        <f>FC4&amp;FC5&amp;FC6&amp;FC7&amp;FC8&amp;FC9&amp;FC10&amp;FC11&amp;FC12&amp;FC13&amp;FC14&amp;FC15&amp;FC16&amp;FC17&amp;FC18&amp;FC19&amp;FC20&amp;FC21&amp;FC22&amp;FC23&amp;FC24&amp;FC25&amp;FC26&amp;FC27&amp;FC28&amp;FC29&amp;FC30&amp;FC31&amp;FC32&amp;FC33&amp;FC34&amp;FC35&amp;FC36&amp;FC37&amp;FC38&amp;FC39&amp;FC40&amp;FC41&amp;FC42&amp;FC43&amp;FC44&amp;FC45&amp;FC46&amp;FC47&amp;FC48&amp;FC49&amp;FC50&amp;FC51&amp;FC52&amp;FC53&amp;FC54&amp;FC55&amp;FC56&amp;FC57&amp;FC58&amp;FC59&amp;FC60&amp;FC61&amp;FC62&amp;FC63&amp;FC64&amp;FC65&amp;FC66&amp;FC67&amp;FC68&amp;FC69&amp;FC70&amp;FC71&amp;FC72&amp;FC73&amp;FC74&amp;FC75&amp;FC76&amp;FC77&amp;FC78&amp;FC79&amp;FC80&amp;FC81&amp;FC82&amp;FC83&amp;FC84&amp;FC85&amp;FC86&amp;FC87&amp;FC88&amp;FC89&amp;FC90&amp;FC91&amp;FC92&amp;FC93&amp;FC94&amp;FC95&amp;FC96&amp;FC97&amp;FC98&amp;FC99&amp;FC100&amp;FC101&amp;FC102&amp;FC103&amp;FC104&amp;FC105&amp;FC106&amp;FC107&amp;FC108&amp;FC109&amp;FC110&amp;FC111&amp;FC112&amp;FC113&amp;FC114&amp;FC115&amp;FC116&amp;FC117&amp;FC118&amp;FC119&amp;FC120&amp;FC121&amp;FC122&amp;FC123&amp;FC124&amp;FC125&amp;FC126&amp;FC127&amp;FC128&amp;FC129&amp;FC130&amp;FC131&amp;FC132&amp;FC133&amp;FC134&amp;FC135&amp;FC136&amp;FC137&amp;FC138&amp;FC139&amp;FC140&amp;FC141&amp;FC142&amp;FC143&amp;FC144&amp;FC145&amp;FC146&amp;FC147&amp;FC148&amp;FC149&amp;FC150&amp;FC151&amp;FC152&amp;FC153&amp;FC154&amp;FC155&amp;FC156&amp;FC157&amp;FC158&amp;FC159&amp;FC160&amp;FC161&amp;FC162&amp;FC163</f>
        <v/>
      </c>
      <c r="FD1" s="478" t="s">
        <v>334</v>
      </c>
      <c r="FE1" s="478"/>
      <c r="FF1" s="478"/>
      <c r="FG1" s="485"/>
      <c r="FH1" s="485"/>
      <c r="FI1" s="478"/>
      <c r="FJ1" s="478" t="str">
        <f>FJ4&amp;FJ5&amp;FJ6&amp;FJ7&amp;FJ8&amp;FJ9&amp;FJ10&amp;FJ11&amp;FJ12&amp;FJ13&amp;FJ14&amp;FJ15&amp;FJ16&amp;FJ17&amp;FJ18&amp;FJ19&amp;FJ20&amp;FJ21&amp;FJ22&amp;FJ23&amp;FJ24&amp;FJ25&amp;FJ26&amp;FJ27&amp;FJ28&amp;FJ29&amp;FJ30&amp;FJ31&amp;FJ32&amp;FJ33&amp;FJ34&amp;FJ35&amp;FJ36&amp;FJ37&amp;FJ38&amp;FJ39&amp;FJ40&amp;FJ41&amp;FJ42&amp;FJ43&amp;FJ44&amp;FJ45&amp;FJ46&amp;FJ47&amp;FJ48&amp;FJ49&amp;FJ50&amp;FJ51&amp;FJ52&amp;FJ53&amp;FJ54&amp;FJ55&amp;FJ56&amp;FJ57&amp;FJ58&amp;FJ59&amp;FJ60&amp;FJ61&amp;FJ62&amp;FJ63&amp;FJ64&amp;FJ65&amp;FJ66&amp;FJ67&amp;FJ68&amp;FJ69&amp;FJ70&amp;FJ71&amp;FJ72&amp;FJ73&amp;FJ74&amp;FJ75&amp;FJ76&amp;FJ77&amp;FJ78&amp;FJ79&amp;FJ80&amp;FJ81&amp;FJ82&amp;FJ83&amp;FJ84&amp;FJ85&amp;FJ86&amp;FJ87&amp;FJ88&amp;FJ89&amp;FJ90&amp;FJ91&amp;FJ92&amp;FJ93&amp;FJ94&amp;FJ95&amp;FJ96&amp;FJ97&amp;FJ98&amp;FJ99&amp;FJ100&amp;FJ101&amp;FJ102&amp;FJ103&amp;FJ104&amp;FJ105&amp;FJ106&amp;FJ107&amp;FJ108&amp;FJ109&amp;FJ110&amp;FJ111&amp;FJ112&amp;FJ113&amp;FJ114&amp;FJ115&amp;FJ116&amp;FJ117&amp;FJ118&amp;FJ119&amp;FJ120&amp;FJ121&amp;FJ122&amp;FJ123&amp;FJ124&amp;FJ125&amp;FJ126&amp;FJ127&amp;FJ128&amp;FJ129&amp;FJ130&amp;FJ131&amp;FJ132&amp;FJ133&amp;FJ134&amp;FJ135&amp;FJ136&amp;FJ137&amp;FJ138&amp;FJ139&amp;FJ140&amp;FJ141&amp;FJ142&amp;FJ143&amp;FJ144&amp;FJ145&amp;FJ146&amp;FJ147&amp;FJ148&amp;FJ149&amp;FJ150&amp;FJ151&amp;FJ152&amp;FJ153&amp;FJ154&amp;FJ155&amp;FJ156&amp;FJ157&amp;FJ158&amp;FJ159&amp;FJ160&amp;FJ161&amp;FJ162&amp;FJ163</f>
        <v/>
      </c>
      <c r="FK1" s="478" t="s">
        <v>334</v>
      </c>
      <c r="FL1" s="478"/>
      <c r="FM1" s="478"/>
      <c r="FN1" s="485"/>
      <c r="FO1" s="485"/>
      <c r="FP1" s="478"/>
      <c r="FQ1" s="478" t="str">
        <f>FQ4&amp;FQ5&amp;FQ6&amp;FQ7&amp;FQ8&amp;FQ9&amp;FQ10&amp;FQ11&amp;FQ12&amp;FQ13&amp;FQ14&amp;FQ15&amp;FQ16&amp;FQ17&amp;FQ18&amp;FQ19&amp;FQ20&amp;FQ21&amp;FQ22&amp;FQ23&amp;FQ24&amp;FQ25&amp;FQ26&amp;FQ27&amp;FQ28&amp;FQ29&amp;FQ30&amp;FQ31&amp;FQ32&amp;FQ33&amp;FQ34&amp;FQ35&amp;FQ36&amp;FQ37&amp;FQ38&amp;FQ39&amp;FQ40&amp;FQ41&amp;FQ42&amp;FQ43&amp;FQ44&amp;FQ45&amp;FQ46&amp;FQ47&amp;FQ48&amp;FQ49&amp;FQ50&amp;FQ51&amp;FQ52&amp;FQ53&amp;FQ54&amp;FQ55&amp;FQ56&amp;FQ57&amp;FQ58&amp;FQ59&amp;FQ60&amp;FQ61&amp;FQ62&amp;FQ63&amp;FQ64&amp;FQ65&amp;FQ66&amp;FQ67&amp;FQ68&amp;FQ69&amp;FQ70&amp;FQ71&amp;FQ72&amp;FQ73&amp;FQ74&amp;FQ75&amp;FQ76&amp;FQ77&amp;FQ78&amp;FQ79&amp;FQ80&amp;FQ81&amp;FQ82&amp;FQ83&amp;FQ84&amp;FQ85&amp;FQ86&amp;FQ87&amp;FQ88&amp;FQ89&amp;FQ90&amp;FQ91&amp;FQ92&amp;FQ93&amp;FQ94&amp;FQ95&amp;FQ96&amp;FQ97&amp;FQ98&amp;FQ99&amp;FQ100&amp;FQ101&amp;FQ102&amp;FQ103&amp;FQ104&amp;FQ105&amp;FQ106&amp;FQ107&amp;FQ108&amp;FQ109&amp;FQ110&amp;FQ111&amp;FQ112&amp;FQ113&amp;FQ114&amp;FQ115&amp;FQ116&amp;FQ117&amp;FQ118&amp;FQ119&amp;FQ120&amp;FQ121&amp;FQ122&amp;FQ123&amp;FQ124&amp;FQ125&amp;FQ126&amp;FQ127&amp;FQ128&amp;FQ129&amp;FQ130&amp;FQ131&amp;FQ132&amp;FQ133&amp;FQ134&amp;FQ135&amp;FQ136&amp;FQ137&amp;FQ138&amp;FQ139&amp;FQ140&amp;FQ141&amp;FQ142&amp;FQ143&amp;FQ144&amp;FQ145&amp;FQ146&amp;FQ147&amp;FQ148&amp;FQ149&amp;FQ150&amp;FQ151&amp;FQ152&amp;FQ153&amp;FQ154&amp;FQ155&amp;FQ156&amp;FQ157&amp;FQ158&amp;FQ159&amp;FQ160&amp;FQ161&amp;FQ162&amp;FQ163</f>
        <v/>
      </c>
      <c r="FR1" s="478" t="s">
        <v>334</v>
      </c>
      <c r="FS1" s="478"/>
      <c r="FT1" s="478"/>
      <c r="FU1" s="485"/>
      <c r="FV1" s="485"/>
      <c r="FW1" s="478"/>
      <c r="FX1" s="478" t="str">
        <f>FX4&amp;FX5&amp;FX6&amp;FX7&amp;FX8&amp;FX9&amp;FX10&amp;FX11&amp;FX12&amp;FX13&amp;FX14&amp;FX15&amp;FX16&amp;FX17&amp;FX18&amp;FX19&amp;FX20&amp;FX21&amp;FX22&amp;FX23&amp;FX24&amp;FX25&amp;FX26&amp;FX27&amp;FX28&amp;FX29&amp;FX30&amp;FX31&amp;FX32&amp;FX33&amp;FX34&amp;FX35&amp;FX36&amp;FX37&amp;FX38&amp;FX39&amp;FX40&amp;FX41&amp;FX42&amp;FX43&amp;FX44&amp;FX45&amp;FX46&amp;FX47&amp;FX48&amp;FX49&amp;FX50&amp;FX51&amp;FX52&amp;FX53&amp;FX54&amp;FX55&amp;FX56&amp;FX57&amp;FX58&amp;FX59&amp;FX60&amp;FX61&amp;FX62&amp;FX63&amp;FX64&amp;FX65&amp;FX66&amp;FX67&amp;FX68&amp;FX69&amp;FX70&amp;FX71&amp;FX72&amp;FX73&amp;FX74&amp;FX75&amp;FX76&amp;FX77&amp;FX78&amp;FX79&amp;FX80&amp;FX81&amp;FX82&amp;FX83&amp;FX84&amp;FX85&amp;FX86&amp;FX87&amp;FX88&amp;FX89&amp;FX90&amp;FX91&amp;FX92&amp;FX93&amp;FX94&amp;FX95&amp;FX96&amp;FX97&amp;FX98&amp;FX99&amp;FX100&amp;FX101&amp;FX102&amp;FX103&amp;FX104&amp;FX105&amp;FX106&amp;FX107&amp;FX108&amp;FX109&amp;FX110&amp;FX111&amp;FX112&amp;FX113&amp;FX114&amp;FX115&amp;FX116&amp;FX117&amp;FX118&amp;FX119&amp;FX120&amp;FX121&amp;FX122&amp;FX123&amp;FX124&amp;FX125&amp;FX126&amp;FX127&amp;FX128&amp;FX129&amp;FX130&amp;FX131&amp;FX132&amp;FX133&amp;FX134&amp;FX135&amp;FX136&amp;FX137&amp;FX138&amp;FX139&amp;FX140&amp;FX141&amp;FX142&amp;FX143&amp;FX144&amp;FX145&amp;FX146&amp;FX147&amp;FX148&amp;FX149&amp;FX150&amp;FX151&amp;FX152&amp;FX153&amp;FX154&amp;FX155&amp;FX156&amp;FX157&amp;FX158&amp;FX159&amp;FX160&amp;FX161&amp;FX162&amp;FX163</f>
        <v/>
      </c>
      <c r="FY1" s="478" t="s">
        <v>334</v>
      </c>
      <c r="FZ1" s="478"/>
      <c r="GA1" s="478"/>
      <c r="GB1" s="485"/>
      <c r="GC1" s="485"/>
      <c r="GD1" s="478"/>
      <c r="GE1" s="478" t="str">
        <f>GE4&amp;GE5&amp;GE6&amp;GE7&amp;GE8&amp;GE9&amp;GE10&amp;GE11&amp;GE12&amp;GE13&amp;GE14&amp;GE15&amp;GE16&amp;GE17&amp;GE18&amp;GE19&amp;GE20&amp;GE21&amp;GE22&amp;GE23&amp;GE24&amp;GE25&amp;GE26&amp;GE27&amp;GE28&amp;GE29&amp;GE30&amp;GE31&amp;GE32&amp;GE33&amp;GE34&amp;GE35&amp;GE36&amp;GE37&amp;GE38&amp;GE39&amp;GE40&amp;GE41&amp;GE42&amp;GE43&amp;GE44&amp;GE45&amp;GE46&amp;GE47&amp;GE48&amp;GE49&amp;GE50&amp;GE51&amp;GE52&amp;GE53&amp;GE54&amp;GE55&amp;GE56&amp;GE57&amp;GE58&amp;GE59&amp;GE60&amp;GE61&amp;GE62&amp;GE63&amp;GE64&amp;GE65&amp;GE66&amp;GE67&amp;GE68&amp;GE69&amp;GE70&amp;GE71&amp;GE72&amp;GE73&amp;GE74&amp;GE75&amp;GE76&amp;GE77&amp;GE78&amp;GE79&amp;GE80&amp;GE81&amp;GE82&amp;GE83&amp;GE84&amp;GE85&amp;GE86&amp;GE87&amp;GE88&amp;GE89&amp;GE90&amp;GE91&amp;GE92&amp;GE93&amp;GE94&amp;GE95&amp;GE96&amp;GE97&amp;GE98&amp;GE99&amp;GE100&amp;GE101&amp;GE102&amp;GE103&amp;GE104&amp;GE105&amp;GE106&amp;GE107&amp;GE108&amp;GE109&amp;GE110&amp;GE111&amp;GE112&amp;GE113&amp;GE114&amp;GE115&amp;GE116&amp;GE117&amp;GE118&amp;GE119&amp;GE120&amp;GE121&amp;GE122&amp;GE123&amp;GE124&amp;GE125&amp;GE126&amp;GE127&amp;GE128&amp;GE129&amp;GE130&amp;GE131&amp;GE132&amp;GE133&amp;GE134&amp;GE135&amp;GE136&amp;GE137&amp;GE138&amp;GE139&amp;GE140&amp;GE141&amp;GE142&amp;GE143&amp;GE144&amp;GE145&amp;GE146&amp;GE147&amp;GE148&amp;GE149&amp;GE150&amp;GE151&amp;GE152&amp;GE153&amp;GE154&amp;GE155&amp;GE156&amp;GE157&amp;GE158&amp;GE159&amp;GE160&amp;GE161&amp;GE162&amp;GE163</f>
        <v/>
      </c>
      <c r="GF1" s="478" t="s">
        <v>334</v>
      </c>
      <c r="GG1" s="478"/>
      <c r="GH1" s="478"/>
      <c r="GI1" s="478"/>
      <c r="GJ1" s="485"/>
      <c r="GK1" s="478"/>
      <c r="GL1" s="478" t="str">
        <f>GL4&amp;GL5&amp;GL6&amp;GL7&amp;GL8&amp;GL9&amp;GL10&amp;GL11&amp;GL12&amp;GL13&amp;GL14&amp;GL15&amp;GL16&amp;GL17&amp;GL18&amp;GL19&amp;GL20&amp;GL21&amp;GL22&amp;GL23&amp;GL24&amp;GL25&amp;GL26&amp;GL27&amp;GL28&amp;GL29&amp;GL30&amp;GL31&amp;GL32&amp;GL33&amp;GL34&amp;GL35&amp;GL36&amp;GL37&amp;GL38&amp;GL39&amp;GL40&amp;GL41&amp;GL42&amp;GL43&amp;GL44&amp;GL45&amp;GL46&amp;GL47&amp;GL48&amp;GL49&amp;GL50&amp;GL51&amp;GL52&amp;GL53&amp;GL54&amp;GL55&amp;GL56&amp;GL57&amp;GL58&amp;GL59&amp;GL60&amp;GL61&amp;GL62&amp;GL63&amp;GL64&amp;GL65&amp;GL66&amp;GL67&amp;GL68&amp;GL69&amp;GL70&amp;GL71&amp;GL72&amp;GL73&amp;GL74&amp;GL75&amp;GL76&amp;GL77&amp;GL78&amp;GL79&amp;GL80&amp;GL81&amp;GL82&amp;GL83&amp;GL84&amp;GL85&amp;GL86&amp;GL87&amp;GL88&amp;GL89&amp;GL90&amp;GL91&amp;GL92&amp;GL93&amp;GL94&amp;GL95&amp;GL96&amp;GL97&amp;GL98&amp;GL99&amp;GL100&amp;GL101&amp;GL102&amp;GL103&amp;GL104&amp;GL105&amp;GL106&amp;GL107&amp;GL108&amp;GL109&amp;GL110&amp;GL111&amp;GL112&amp;GL113&amp;GL114&amp;GL115&amp;GL116&amp;GL117&amp;GL118&amp;GL119&amp;GL120&amp;GL121&amp;GL122&amp;GL123&amp;GL124&amp;GL125&amp;GL126&amp;GL127&amp;GL128&amp;GL129&amp;GL130&amp;GL131&amp;GL132&amp;GL133&amp;GL134&amp;GL135&amp;GL136&amp;GL137&amp;GL138&amp;GL139&amp;GL140&amp;GL141&amp;GL142&amp;GL143&amp;GL144&amp;GL145&amp;GL146&amp;GL147&amp;GL148&amp;GL149&amp;GL150&amp;GL151&amp;GL152&amp;GL153&amp;GL154&amp;GL155&amp;GL156&amp;GL157&amp;GL158&amp;GL159&amp;GL160&amp;GL161&amp;GL162&amp;GL163</f>
        <v/>
      </c>
      <c r="GM1" s="478" t="s">
        <v>334</v>
      </c>
      <c r="GN1" s="478"/>
      <c r="GO1" s="478"/>
      <c r="GP1" s="478"/>
      <c r="GQ1" s="485"/>
      <c r="GR1" s="478"/>
      <c r="GS1" s="478" t="str">
        <f>GS4&amp;GS5&amp;GS6&amp;GS7&amp;GS8&amp;GS9&amp;GS10&amp;GS11&amp;GS12&amp;GS13&amp;GS14&amp;GS15&amp;GS16&amp;GS17&amp;GS18&amp;GS19&amp;GS20&amp;GS21&amp;GS22&amp;GS23&amp;GS24&amp;GS25&amp;GS26&amp;GS27&amp;GS28&amp;GS29&amp;GS30&amp;GS31&amp;GS32&amp;GS33&amp;GS34&amp;GS35&amp;GS36&amp;GS37&amp;GS38&amp;GS39&amp;GS40&amp;GS41&amp;GS42&amp;GS43&amp;GS44&amp;GS45&amp;GS46&amp;GS47&amp;GS48&amp;GS49&amp;GS50&amp;GS51&amp;GS52&amp;GS53&amp;GS54&amp;GS55&amp;GS56&amp;GS57&amp;GS58&amp;GS59&amp;GS60&amp;GS61&amp;GS62&amp;GS63&amp;GS64&amp;GS65&amp;GS66&amp;GS67&amp;GS68&amp;GS69&amp;GS70&amp;GS71&amp;GS72&amp;GS73&amp;GS74&amp;GS75&amp;GS76&amp;GS77&amp;GS78&amp;GS79&amp;GS80&amp;GS81&amp;GS82&amp;GS83&amp;GS84&amp;GS85&amp;GS86&amp;GS87&amp;GS88&amp;GS89&amp;GS90&amp;GS91&amp;GS92&amp;GS93&amp;GS94&amp;GS95&amp;GS96&amp;GS97&amp;GS98&amp;GS99&amp;GS100&amp;GS101&amp;GS102&amp;GS103&amp;GS104&amp;GS105&amp;GS106&amp;GS107&amp;GS108&amp;GS109&amp;GS110&amp;GS111&amp;GS112&amp;GS113&amp;GS114&amp;GS115&amp;GS116&amp;GS117&amp;GS118&amp;GS119&amp;GS120&amp;GS121&amp;GS122&amp;GS123&amp;GS124&amp;GS125&amp;GS126&amp;GS127&amp;GS128&amp;GS129&amp;GS130&amp;GS131&amp;GS132&amp;GS133&amp;GS134&amp;GS135&amp;GS136&amp;GS137&amp;GS138&amp;GS139&amp;GS140&amp;GS141&amp;GS142&amp;GS143&amp;GS144&amp;GS145&amp;GS146&amp;GS147&amp;GS148&amp;GS149&amp;GS150&amp;GS151&amp;GS152&amp;GS153&amp;GS154&amp;GS155&amp;GS156&amp;GS157&amp;GS158&amp;GS159&amp;GS160&amp;GS161&amp;GS162&amp;GS163</f>
        <v/>
      </c>
      <c r="GT1" s="478" t="s">
        <v>334</v>
      </c>
      <c r="GU1" s="478"/>
      <c r="GV1" s="478"/>
      <c r="GW1" s="478"/>
      <c r="GX1" s="485"/>
      <c r="GY1" s="478"/>
      <c r="GZ1" s="478" t="str">
        <f>GZ4&amp;GZ5&amp;GZ6&amp;GZ7&amp;GZ8&amp;GZ9&amp;GZ10&amp;GZ11&amp;GZ12&amp;GZ13&amp;GZ14&amp;GZ15&amp;GZ16&amp;GZ17&amp;GZ18&amp;GZ19&amp;GZ20&amp;GZ21&amp;GZ22&amp;GZ23&amp;GZ24&amp;GZ25&amp;GZ26&amp;GZ27&amp;GZ28&amp;GZ29&amp;GZ30&amp;GZ31&amp;GZ32&amp;GZ33&amp;GZ34&amp;GZ35&amp;GZ36&amp;GZ37&amp;GZ38&amp;GZ39&amp;GZ40&amp;GZ41&amp;GZ42&amp;GZ43&amp;GZ44&amp;GZ45&amp;GZ46&amp;GZ47&amp;GZ48&amp;GZ49&amp;GZ50&amp;GZ51&amp;GZ52&amp;GZ53&amp;GZ54&amp;GZ55&amp;GZ56&amp;GZ57&amp;GZ58&amp;GZ59&amp;GZ60&amp;GZ61&amp;GZ62&amp;GZ63&amp;GZ64&amp;GZ65&amp;GZ66&amp;GZ67&amp;GZ68&amp;GZ69&amp;GZ70&amp;GZ71&amp;GZ72&amp;GZ73&amp;GZ74&amp;GZ75&amp;GZ76&amp;GZ77&amp;GZ78&amp;GZ79&amp;GZ80&amp;GZ81&amp;GZ82&amp;GZ83&amp;GZ84&amp;GZ85&amp;GZ86&amp;GZ87&amp;GZ88&amp;GZ89&amp;GZ90&amp;GZ91&amp;GZ92&amp;GZ93&amp;GZ94&amp;GZ95&amp;GZ96&amp;GZ97&amp;GZ98&amp;GZ99&amp;GZ100&amp;GZ101&amp;GZ102&amp;GZ103&amp;GZ104&amp;GZ105&amp;GZ106&amp;GZ107&amp;GZ108&amp;GZ109&amp;GZ110&amp;GZ111&amp;GZ112&amp;GZ113&amp;GZ114&amp;GZ115&amp;GZ116&amp;GZ117&amp;GZ118&amp;GZ119&amp;GZ120&amp;GZ121&amp;GZ122&amp;GZ123&amp;GZ124&amp;GZ125&amp;GZ126&amp;GZ127&amp;GZ128&amp;GZ129&amp;GZ130&amp;GZ131&amp;GZ132&amp;GZ133&amp;GZ134&amp;GZ135&amp;GZ136&amp;GZ137&amp;GZ138&amp;GZ139&amp;GZ140&amp;GZ141&amp;GZ142&amp;GZ143&amp;GZ144&amp;GZ145&amp;GZ146&amp;GZ147&amp;GZ148&amp;GZ149&amp;GZ150&amp;GZ151&amp;GZ152&amp;GZ153&amp;GZ154&amp;GZ155&amp;GZ156&amp;GZ157&amp;GZ158&amp;GZ159&amp;GZ160&amp;GZ161&amp;GZ162&amp;GZ163</f>
        <v/>
      </c>
      <c r="HA1" s="478" t="s">
        <v>334</v>
      </c>
      <c r="HB1" s="478"/>
      <c r="HC1" s="478"/>
      <c r="HD1" s="478"/>
      <c r="HE1" s="1912" t="s">
        <v>1087</v>
      </c>
      <c r="HF1" s="1912"/>
      <c r="HG1" s="1912"/>
      <c r="HH1" s="1912"/>
      <c r="HI1" s="1912"/>
      <c r="HJ1" s="1912"/>
      <c r="HK1" s="1912"/>
      <c r="HL1" s="1912"/>
      <c r="HM1" s="1912" t="s">
        <v>731</v>
      </c>
      <c r="HN1" s="1912"/>
      <c r="HO1" s="1912"/>
      <c r="HP1" s="1912"/>
      <c r="HQ1" s="1912"/>
      <c r="HR1" s="1912"/>
      <c r="HS1" s="1912"/>
      <c r="HT1" s="1912"/>
      <c r="HU1" s="1912" t="s">
        <v>732</v>
      </c>
      <c r="HV1" s="1912"/>
      <c r="HW1" s="1912"/>
      <c r="HX1" s="1912"/>
      <c r="HY1" s="1912"/>
      <c r="HZ1" s="1912"/>
      <c r="IA1" s="1912"/>
      <c r="IB1" s="1912"/>
      <c r="IC1" s="1912" t="s">
        <v>1100</v>
      </c>
      <c r="ID1" s="1912"/>
      <c r="IE1" s="1912"/>
      <c r="IF1" s="1912"/>
      <c r="IG1" s="1912"/>
      <c r="IH1" s="1912"/>
      <c r="II1" s="1912"/>
      <c r="IJ1" s="1912"/>
      <c r="IK1" s="1912" t="s">
        <v>733</v>
      </c>
      <c r="IL1" s="1912"/>
      <c r="IM1" s="1912"/>
      <c r="IN1" s="1912"/>
      <c r="IO1" s="1912"/>
      <c r="IP1" s="1912"/>
      <c r="IQ1" s="1912"/>
      <c r="IR1" s="1912"/>
      <c r="IS1" s="1912" t="s">
        <v>734</v>
      </c>
      <c r="IT1" s="1912"/>
      <c r="IU1" s="1912"/>
      <c r="IV1" s="1912"/>
      <c r="IW1" s="1912"/>
      <c r="IX1" s="1912"/>
      <c r="IY1" s="1912"/>
      <c r="IZ1" s="1912"/>
      <c r="JA1" s="1912" t="s">
        <v>12273</v>
      </c>
      <c r="JB1" s="1912"/>
      <c r="JC1" s="1912"/>
      <c r="JD1" s="1912"/>
      <c r="JE1" s="1912"/>
      <c r="JF1" s="1912"/>
      <c r="JG1" s="1912"/>
      <c r="JH1" s="1912"/>
      <c r="JI1" s="1912" t="s">
        <v>12316</v>
      </c>
      <c r="JJ1" s="1912"/>
      <c r="JK1" s="1912"/>
      <c r="JL1" s="1912"/>
      <c r="JM1" s="1912"/>
      <c r="JN1" s="1912"/>
      <c r="JO1" s="1912"/>
      <c r="JP1" s="1912"/>
      <c r="JQ1" s="1912" t="s">
        <v>12274</v>
      </c>
      <c r="JR1" s="1912"/>
      <c r="JS1" s="1912"/>
      <c r="JT1" s="1912"/>
      <c r="JU1" s="1912"/>
      <c r="JV1" s="1912"/>
      <c r="JW1" s="1912"/>
      <c r="JX1" s="1912"/>
      <c r="JY1" s="485"/>
      <c r="JZ1" s="485"/>
      <c r="KA1" s="485"/>
      <c r="KB1" s="485"/>
      <c r="KC1" s="485"/>
      <c r="KD1" s="485"/>
      <c r="KE1" s="548"/>
      <c r="KL1" s="478"/>
      <c r="KM1" s="478"/>
      <c r="KN1" s="478"/>
      <c r="KO1" s="478" t="str">
        <f>KQ1&amp;KR1&amp;KS1&amp;KT1&amp;KU1&amp;KV1&amp;KW1&amp;KX1&amp;KY1&amp;KZ1&amp;LA1&amp;LB1&amp;LC1&amp;LD1&amp;LE1&amp;LF1&amp;LG1&amp;LH1&amp;LI1&amp;LJ1&amp;LK1&amp;LL1&amp;LM1&amp;LN1&amp;LO1&amp;LP1&amp;LQ1&amp;LR1&amp;LS1&amp;LT1&amp;LU1&amp;LV1&amp;LW1&amp;LX1&amp;LY1&amp;LZ1&amp;MA1&amp;MB1&amp;MC1&amp;MD1&amp;ME1&amp;MF1&amp;MG1&amp;MH1&amp;MI1&amp;MJ1&amp;MK1&amp;ML1&amp;MM1&amp;MN1&amp;MO1&amp;MP1&amp;MQ1&amp;MR1&amp;MS1&amp;MT1&amp;MU1&amp;MV1&amp;MW1&amp;MX1&amp;MY1&amp;MZ1&amp;NA1&amp;NB1&amp;NC1&amp;ND1&amp;NE1&amp;NF1&amp;NG1&amp;NH1&amp;NI1&amp;NJ1&amp;NK1&amp;NL1&amp;NM1&amp;NN1&amp;NO1&amp;NP1&amp;NQ1&amp;NR1&amp;NS1&amp;NT1&amp;NU1&amp;NV1&amp;NW1&amp;NX1&amp;NY1&amp;NZ1&amp;OA1&amp;OB1&amp;OC1&amp;OD1&amp;OE1&amp;OF1&amp;OG1&amp;OH1&amp;OI1&amp;OJ1&amp;OK1&amp;OL1&amp;OM1&amp;ON1&amp;OO1&amp;OP1&amp;OQ1&amp;OR1&amp;OS1&amp;OT1&amp;OU1&amp;OV1&amp;OW1&amp;OX1&amp;OY1&amp;OZ1&amp;PA1&amp;PB1&amp;PC1&amp;PD1&amp;PE1&amp;PF1&amp;PG1&amp;PH1&amp;PI1&amp;PJ1&amp;PK1&amp;PL1&amp;PM1&amp;PN1&amp;PO1&amp;PP1&amp;PQ1&amp;PR1&amp;PS1&amp;PT1&amp;PU1&amp;PV1&amp;PW1&amp;PX1&amp;PY1&amp;PZ1&amp;QA1&amp;QB1&amp;QC1&amp;QD1&amp;QE1&amp;QF1&amp;QG1&amp;QH1&amp;QI1&amp;QJ1&amp;QK1&amp;QL1&amp;QM1&amp;QN1&amp;QO1&amp;QP1&amp;QQ1&amp;QR1&amp;QS1&amp;QT1</f>
        <v/>
      </c>
      <c r="KP1" t="s">
        <v>181</v>
      </c>
      <c r="KR1" s="478"/>
      <c r="KS1" s="478"/>
      <c r="QQ1" s="587"/>
    </row>
    <row r="2" spans="1:747" customFormat="1" ht="20.25" customHeight="1" x14ac:dyDescent="0.2">
      <c r="A2" s="1943" t="s">
        <v>243</v>
      </c>
      <c r="B2" s="1944" t="s">
        <v>307</v>
      </c>
      <c r="C2" s="1946" t="s">
        <v>603</v>
      </c>
      <c r="D2" s="1948" t="s">
        <v>330</v>
      </c>
      <c r="E2" s="1950" t="s">
        <v>360</v>
      </c>
      <c r="F2" s="1951"/>
      <c r="G2" s="1952"/>
      <c r="H2" s="1088"/>
      <c r="I2" s="1919" t="s">
        <v>1</v>
      </c>
      <c r="J2" s="1935" t="s">
        <v>1157</v>
      </c>
      <c r="K2" s="1919" t="s">
        <v>1</v>
      </c>
      <c r="L2" s="1919" t="s">
        <v>652</v>
      </c>
      <c r="M2" s="1936" t="s">
        <v>370</v>
      </c>
      <c r="N2" s="1938" t="s">
        <v>244</v>
      </c>
      <c r="O2" s="1939"/>
      <c r="P2" s="1940"/>
      <c r="Q2" s="1941" t="s">
        <v>245</v>
      </c>
      <c r="R2" s="1942"/>
      <c r="S2" s="967" t="s">
        <v>334</v>
      </c>
      <c r="T2" s="866" t="s">
        <v>335</v>
      </c>
      <c r="U2" s="513" t="s">
        <v>583</v>
      </c>
      <c r="V2" s="971" t="s">
        <v>210</v>
      </c>
      <c r="W2" s="502" t="str">
        <f>Dados!$I$9</f>
        <v/>
      </c>
      <c r="X2" s="503">
        <f>KB3</f>
        <v>0</v>
      </c>
      <c r="Y2" s="504">
        <v>1</v>
      </c>
      <c r="Z2" s="505"/>
      <c r="AA2" s="1929" t="s">
        <v>51</v>
      </c>
      <c r="AB2" s="1929" t="s">
        <v>341</v>
      </c>
      <c r="AC2" s="1929" t="s">
        <v>281</v>
      </c>
      <c r="AD2" s="506"/>
      <c r="AE2" s="506"/>
      <c r="AF2" s="506"/>
      <c r="AG2" s="1930" t="s">
        <v>607</v>
      </c>
      <c r="AH2" s="1926" t="s">
        <v>361</v>
      </c>
      <c r="AI2" s="1926" t="s">
        <v>362</v>
      </c>
      <c r="AJ2" s="1926" t="s">
        <v>363</v>
      </c>
      <c r="AK2" s="1928" t="s">
        <v>602</v>
      </c>
      <c r="AL2" s="448"/>
      <c r="AM2" s="448"/>
      <c r="AN2" s="435" t="s">
        <v>516</v>
      </c>
      <c r="AO2" s="1921" t="s">
        <v>369</v>
      </c>
      <c r="AP2" s="1922"/>
      <c r="AQ2" s="1922"/>
      <c r="AR2" s="1922"/>
      <c r="AS2" s="1922"/>
      <c r="AT2" s="1922"/>
      <c r="AU2" s="1922"/>
      <c r="AV2" s="1922"/>
      <c r="AW2" s="1923"/>
      <c r="AX2" s="813" t="s">
        <v>212</v>
      </c>
      <c r="AY2" s="812" t="s">
        <v>213</v>
      </c>
      <c r="AZ2" s="397"/>
      <c r="BA2" s="397"/>
      <c r="BB2" s="397"/>
      <c r="BC2" s="397"/>
      <c r="BD2" s="808"/>
      <c r="BE2" s="550" t="str">
        <f>BH4&amp;BH5&amp;BH6&amp;BH7&amp;BH8&amp;BH9&amp;BH10&amp;BH11&amp;BH12&amp;BH13&amp;BH14&amp;BH15&amp;BH16&amp;BH17&amp;BH18&amp;BH19&amp;BH20&amp;BH21&amp;BH22&amp;BH23&amp;BH24&amp;BH25&amp;BH26&amp;BH27&amp;BH28&amp;BH29&amp;BH30&amp;BH31&amp;BH32&amp;BH33&amp;BH34&amp;BH35&amp;BH36&amp;BH37&amp;BH38&amp;BH39&amp;BH40&amp;BH41&amp;BH42&amp;BH43&amp;BH44&amp;BH45&amp;BH46&amp;BH47&amp;BH48&amp;BH49&amp;BH50&amp;BH51&amp;BH52&amp;BH53&amp;BH54&amp;BH55&amp;BH56&amp;BH57&amp;BH58&amp;BH59&amp;BH60&amp;BH61&amp;BH62&amp;BH63&amp;BH64&amp;BH65&amp;BH66&amp;BH67&amp;BH68&amp;BH69&amp;BH70&amp;BH71&amp;BH72&amp;BH73&amp;BH74&amp;BH75&amp;BH76&amp;BH77&amp;BH78&amp;BH79&amp;BH80&amp;BH81&amp;BH82&amp;BH83&amp;BH84&amp;BH85&amp;BH86&amp;BH87&amp;BH88&amp;BH89&amp;BH90&amp;BH91&amp;BH92&amp;BH93&amp;BH94&amp;BH95&amp;BH96&amp;BH97&amp;BH98&amp;BH99&amp;BH100&amp;BH101&amp;BH102&amp;BH103&amp;BH104&amp;BH105&amp;BH106&amp;BH107&amp;BH108&amp;BH109&amp;BH110&amp;BH111&amp;BH112&amp;BH113&amp;BH114&amp;BH115&amp;BH116&amp;BH117&amp;BH118&amp;BH119&amp;BH120&amp;BH121&amp;BH122&amp;BH123&amp;BH124&amp;BH125&amp;BH126&amp;BH127&amp;BH128&amp;BH129&amp;BH130&amp;BH131&amp;BH132&amp;BH133&amp;BH134&amp;BH135&amp;BH136&amp;BH137&amp;BH138&amp;BH139&amp;BH140&amp;BH141&amp;BH142&amp;BH143&amp;BH144&amp;BH145&amp;BH146&amp;BH147&amp;BH148&amp;BH149&amp;BH150&amp;BH151&amp;BH152&amp;BH153&amp;BH154&amp;BH155&amp;BH156&amp;BH157&amp;BH158&amp;BH159&amp;BH160&amp;BH161&amp;BH162&amp;BH163</f>
        <v/>
      </c>
      <c r="BF2" s="550" t="s">
        <v>335</v>
      </c>
      <c r="BG2" s="550"/>
      <c r="BH2" s="550"/>
      <c r="BI2" s="550"/>
      <c r="BJ2" s="550"/>
      <c r="BK2" s="550"/>
      <c r="BL2" s="550"/>
      <c r="BM2" s="550"/>
      <c r="BN2" s="550"/>
      <c r="BO2" s="550"/>
      <c r="BP2" s="550"/>
      <c r="BQ2" s="550"/>
      <c r="BR2" s="550"/>
      <c r="BS2" s="550"/>
      <c r="BT2" s="550"/>
      <c r="BU2" s="550"/>
      <c r="BV2" s="550"/>
      <c r="BW2" s="550"/>
      <c r="BX2" s="550"/>
      <c r="BY2" s="550"/>
      <c r="BZ2" s="550"/>
      <c r="CA2" s="550"/>
      <c r="CB2" s="550"/>
      <c r="CC2" s="550"/>
      <c r="CD2" s="550"/>
      <c r="CE2" s="550"/>
      <c r="CF2" s="550"/>
      <c r="CG2" s="550"/>
      <c r="CH2" s="550"/>
      <c r="CI2" s="550"/>
      <c r="CJ2" s="550"/>
      <c r="CK2" s="550"/>
      <c r="CL2" s="550"/>
      <c r="CM2" s="550"/>
      <c r="CN2" s="550"/>
      <c r="CO2" s="550"/>
      <c r="CP2" s="550"/>
      <c r="CQ2" s="550"/>
      <c r="CR2" s="550"/>
      <c r="CS2" s="550"/>
      <c r="CT2" s="550"/>
      <c r="CU2" s="550"/>
      <c r="CV2" s="550"/>
      <c r="CW2" s="812"/>
      <c r="CX2" s="812"/>
      <c r="CY2" s="550"/>
      <c r="CZ2" s="812"/>
      <c r="DA2" s="812"/>
      <c r="DB2" s="550"/>
      <c r="DC2" s="550"/>
      <c r="DD2" s="550"/>
      <c r="DE2" s="795" t="s">
        <v>187</v>
      </c>
      <c r="DF2" s="795" t="s">
        <v>191</v>
      </c>
      <c r="DG2" s="848" t="s">
        <v>1135</v>
      </c>
      <c r="DH2" s="550"/>
      <c r="DI2" s="795" t="s">
        <v>187</v>
      </c>
      <c r="DJ2" s="795" t="s">
        <v>191</v>
      </c>
      <c r="DK2" s="848" t="s">
        <v>1136</v>
      </c>
      <c r="DL2" s="550"/>
      <c r="DM2" s="795" t="s">
        <v>187</v>
      </c>
      <c r="DN2" s="795" t="s">
        <v>191</v>
      </c>
      <c r="DO2" s="848" t="s">
        <v>1137</v>
      </c>
      <c r="DP2" s="550"/>
      <c r="DQ2" s="795" t="s">
        <v>187</v>
      </c>
      <c r="DR2" s="795" t="s">
        <v>191</v>
      </c>
      <c r="DS2" s="848" t="s">
        <v>1138</v>
      </c>
      <c r="DT2" s="550"/>
      <c r="DU2" s="795" t="s">
        <v>187</v>
      </c>
      <c r="DV2" s="795" t="s">
        <v>191</v>
      </c>
      <c r="DW2" s="848" t="s">
        <v>1139</v>
      </c>
      <c r="DX2" s="550"/>
      <c r="DY2" s="795" t="s">
        <v>187</v>
      </c>
      <c r="DZ2" s="795" t="s">
        <v>191</v>
      </c>
      <c r="EA2" s="848" t="s">
        <v>1140</v>
      </c>
      <c r="EB2" s="550"/>
      <c r="EC2" s="795" t="s">
        <v>187</v>
      </c>
      <c r="ED2" s="795" t="s">
        <v>191</v>
      </c>
      <c r="EE2" s="999" t="s">
        <v>12297</v>
      </c>
      <c r="EF2" s="550"/>
      <c r="EG2" s="795" t="s">
        <v>187</v>
      </c>
      <c r="EH2" s="795" t="s">
        <v>191</v>
      </c>
      <c r="EI2" s="999" t="s">
        <v>12319</v>
      </c>
      <c r="EJ2" s="550"/>
      <c r="EK2" s="795" t="s">
        <v>187</v>
      </c>
      <c r="EL2" s="795" t="s">
        <v>191</v>
      </c>
      <c r="EM2" s="999" t="s">
        <v>12298</v>
      </c>
      <c r="EN2" s="550"/>
      <c r="EO2" s="447"/>
      <c r="EP2" s="447"/>
      <c r="EQ2" s="447"/>
      <c r="ER2" s="447"/>
      <c r="ES2" s="447"/>
      <c r="ET2" s="495"/>
      <c r="EU2" s="495"/>
      <c r="EV2" s="397"/>
      <c r="EW2" s="495"/>
      <c r="EX2" s="495"/>
      <c r="EY2" s="397"/>
      <c r="EZ2" s="495"/>
      <c r="FA2" s="397"/>
      <c r="FB2" s="808"/>
      <c r="FC2" s="550" t="str">
        <f>FF4&amp;FF5&amp;FF6&amp;FF7&amp;FF8&amp;FF9&amp;FF10&amp;FF11&amp;FF12&amp;FF13&amp;FF14&amp;FF15&amp;FF16&amp;FF17&amp;FF18&amp;FF19&amp;FF20&amp;FF21&amp;FF22&amp;FF23&amp;FF24&amp;FF25&amp;FF26&amp;FF27&amp;FF28&amp;FF29&amp;FF30&amp;FF31&amp;FF32&amp;FF33&amp;FF34&amp;FF35&amp;FF36&amp;FF37&amp;FF38&amp;FF39&amp;FF40&amp;FF41&amp;FF42&amp;FF43&amp;FF44&amp;FF45&amp;FF46&amp;FF47&amp;FF48&amp;FF49&amp;FF50&amp;FF51&amp;FF52&amp;FF53&amp;FF54&amp;FF55&amp;FF56&amp;FF57&amp;FF58&amp;FF59&amp;FF60&amp;FF61&amp;FF62&amp;FF63&amp;FF64&amp;FF65&amp;FF66&amp;FF67&amp;FF68&amp;FF69&amp;FF70&amp;FF71&amp;FF72&amp;FF73&amp;FF74&amp;FF75&amp;FF76&amp;FF77&amp;FF78&amp;FF79&amp;FF80&amp;FF81&amp;FF82&amp;FF83&amp;FF84&amp;FF85&amp;FF86&amp;FF87&amp;FF88&amp;FF89&amp;FF90&amp;FF91&amp;FF92&amp;FF93&amp;FF94&amp;FF95&amp;FF96&amp;FF97&amp;FF98&amp;FF99&amp;FF100&amp;FF101&amp;FF102&amp;FF103&amp;FF104&amp;FF105&amp;FF106&amp;FF107&amp;FF108&amp;FF109&amp;FF110&amp;FF111&amp;FF112&amp;FF113&amp;FF114&amp;FF115&amp;FF116&amp;FF117&amp;FF118&amp;FF119&amp;FF120&amp;FF121&amp;FF122&amp;FF123&amp;FF124&amp;FF125&amp;FF126&amp;FF127&amp;FF128&amp;FF129&amp;FF130&amp;FF131&amp;FF132&amp;FF133&amp;FF134&amp;FF135&amp;FF136&amp;FF137&amp;FF138&amp;FF139&amp;FF140&amp;FF141&amp;FF142&amp;FF143&amp;FF144&amp;FF145&amp;FF146&amp;FF147&amp;FF148&amp;FF149&amp;FF150&amp;FF151&amp;FF152&amp;FF153&amp;FF154&amp;FF155&amp;FF156&amp;FF157&amp;FF158&amp;FF159&amp;FF160&amp;FF161&amp;FF162&amp;FF163</f>
        <v/>
      </c>
      <c r="FD2" s="550" t="s">
        <v>335</v>
      </c>
      <c r="FE2" s="550"/>
      <c r="FF2" s="550"/>
      <c r="FG2" s="397"/>
      <c r="FH2" s="397"/>
      <c r="FI2" s="808"/>
      <c r="FJ2" s="550" t="str">
        <f>FM4&amp;FM5&amp;FM6&amp;FM7&amp;FM8&amp;FM9&amp;FM10&amp;FM11&amp;FM12&amp;FM13&amp;FM14&amp;FM15&amp;FM16&amp;FM17&amp;FM18&amp;FM19&amp;FM20&amp;FM21&amp;FM22&amp;FM23&amp;FM24&amp;FM25&amp;FM26&amp;FM27&amp;FM28&amp;FM29&amp;FM30&amp;FM31&amp;FM32&amp;FM33&amp;FM34&amp;FM35&amp;FM36&amp;FM37&amp;FM38&amp;FM39&amp;FM40&amp;FM41&amp;FM42&amp;FM43&amp;FM44&amp;FM45&amp;FM46&amp;FM47&amp;FM48&amp;FM49&amp;FM50&amp;FM51&amp;FM52&amp;FM53&amp;FM54&amp;FM55&amp;FM56&amp;FM57&amp;FM58&amp;FM59&amp;FM60&amp;FM61&amp;FM62&amp;FM63&amp;FM64&amp;FM65&amp;FM66&amp;FM67&amp;FM68&amp;FM69&amp;FM70&amp;FM71&amp;FM72&amp;FM73&amp;FM74&amp;FM75&amp;FM76&amp;FM77&amp;FM78&amp;FM79&amp;FM80&amp;FM81&amp;FM82&amp;FM83&amp;FM84&amp;FM85&amp;FM86&amp;FM87&amp;FM88&amp;FM89&amp;FM90&amp;FM91&amp;FM92&amp;FM93&amp;FM94&amp;FM95&amp;FM96&amp;FM97&amp;FM98&amp;FM99&amp;FM100&amp;FM101&amp;FM102&amp;FM103&amp;FM104&amp;FM105&amp;FM106&amp;FM107&amp;FM108&amp;FM109&amp;FM110&amp;FM111&amp;FM112&amp;FM113&amp;FM114&amp;FM115&amp;FM116&amp;FM117&amp;FM118&amp;FM119&amp;FM120&amp;FM121&amp;FM122&amp;FM123&amp;FM124&amp;FM125&amp;FM126&amp;FM127&amp;FM128&amp;FM129&amp;FM130&amp;FM131&amp;FM132&amp;FM133&amp;FM134&amp;FM135&amp;FM136&amp;FM137&amp;FM138&amp;FM139&amp;FM140&amp;FM141&amp;FM142&amp;FM143&amp;FM144&amp;FM145&amp;FM146&amp;FM147&amp;FM148&amp;FM149&amp;FM150&amp;FM151&amp;FM152&amp;FM153&amp;FM154&amp;FM155&amp;FM156&amp;FM157&amp;FM158&amp;FM159&amp;FM160&amp;FM161&amp;FM162&amp;FM163</f>
        <v/>
      </c>
      <c r="FK2" s="550" t="s">
        <v>335</v>
      </c>
      <c r="FL2" s="550"/>
      <c r="FM2" s="550"/>
      <c r="FN2" s="397"/>
      <c r="FO2" s="397"/>
      <c r="FP2" s="808"/>
      <c r="FQ2" s="550" t="str">
        <f>FT4&amp;FT5&amp;FT6&amp;FT7&amp;FT8&amp;FT9&amp;FT10&amp;FT11&amp;FT12&amp;FT13&amp;FT14&amp;FT15&amp;FT16&amp;FT17&amp;FT18&amp;FT19&amp;FT20&amp;FT21&amp;FT22&amp;FT23&amp;FT24&amp;FT25&amp;FT26&amp;FT27&amp;FT28&amp;FT29&amp;FT30&amp;FT31&amp;FT32&amp;FT33&amp;FT34&amp;FT35&amp;FT36&amp;FT37&amp;FT38&amp;FT39&amp;FT40&amp;FT41&amp;FT42&amp;FT43&amp;FT44&amp;FT45&amp;FT46&amp;FT47&amp;FT48&amp;FT49&amp;FT50&amp;FT51&amp;FT52&amp;FT53&amp;FT54&amp;FT55&amp;FT56&amp;FT57&amp;FT58&amp;FT59&amp;FT60&amp;FT61&amp;FT62&amp;FT63&amp;FT64&amp;FT65&amp;FT66&amp;FT67&amp;FT68&amp;FT69&amp;FT70&amp;FT71&amp;FT72&amp;FT73&amp;FT74&amp;FT75&amp;FT76&amp;FT77&amp;FT78&amp;FT79&amp;FT80&amp;FT81&amp;FT82&amp;FT83&amp;FT84&amp;FT85&amp;FT86&amp;FT87&amp;FT88&amp;FT89&amp;FT90&amp;FT91&amp;FT92&amp;FT93&amp;FT94&amp;FT95&amp;FT96&amp;FT97&amp;FT98&amp;FT99&amp;FT100&amp;FT101&amp;FT102&amp;FT103&amp;FT104&amp;FT105&amp;FT106&amp;FT107&amp;FT108&amp;FT109&amp;FT110&amp;FT111&amp;FT112&amp;FT113&amp;FT114&amp;FT115&amp;FT116&amp;FT117&amp;FT118&amp;FT119&amp;FT120&amp;FT121&amp;FT122&amp;FT123&amp;FT124&amp;FT125&amp;FT126&amp;FT127&amp;FT128&amp;FT129&amp;FT130&amp;FT131&amp;FT132&amp;FT133&amp;FT134&amp;FT135&amp;FT136&amp;FT137&amp;FT138&amp;FT139&amp;FT140&amp;FT141&amp;FT142&amp;FT143&amp;FT144&amp;FT145&amp;FT146&amp;FT147&amp;FT148&amp;FT149&amp;FT150&amp;FT151&amp;FT152&amp;FT153&amp;FT154&amp;FT155&amp;FT156&amp;FT157&amp;FT158&amp;FT159&amp;FT160&amp;FT161&amp;FT162&amp;FT163</f>
        <v/>
      </c>
      <c r="FR2" s="550" t="s">
        <v>335</v>
      </c>
      <c r="FS2" s="550"/>
      <c r="FT2" s="550"/>
      <c r="FU2" s="397"/>
      <c r="FV2" s="397"/>
      <c r="FW2" s="808"/>
      <c r="FX2" s="550" t="str">
        <f>GA4&amp;GA5&amp;GA6&amp;GA7&amp;GA8&amp;GA9&amp;GA10&amp;GA11&amp;GA12&amp;GA13&amp;GA14&amp;GA15&amp;GA16&amp;GA17&amp;GA18&amp;GA19&amp;GA20&amp;GA21&amp;GA22&amp;GA23&amp;GA24&amp;GA25&amp;GA26&amp;GA27&amp;GA28&amp;GA29&amp;GA30&amp;GA31&amp;GA32&amp;GA33&amp;GA34&amp;GA35&amp;GA36&amp;GA37&amp;GA38&amp;GA39&amp;GA40&amp;GA41&amp;GA42&amp;GA43&amp;GA44&amp;GA45&amp;GA46&amp;GA47&amp;GA48&amp;GA49&amp;GA50&amp;GA51&amp;GA52&amp;GA53&amp;GA54&amp;GA55&amp;GA56&amp;GA57&amp;GA58&amp;GA59&amp;GA60&amp;GA61&amp;GA62&amp;GA63&amp;GA64&amp;GA65&amp;GA66&amp;GA67&amp;GA68&amp;GA69&amp;GA70&amp;GA71&amp;GA72&amp;GA73&amp;GA74&amp;GA75&amp;GA76&amp;GA77&amp;GA78&amp;GA79&amp;GA80&amp;GA81&amp;GA82&amp;GA83&amp;GA84&amp;GA85&amp;GA86&amp;GA87&amp;GA88&amp;GA89&amp;GA90&amp;GA91&amp;GA92&amp;GA93&amp;GA94&amp;GA95&amp;GA96&amp;GA97&amp;GA98&amp;GA99&amp;GA100&amp;GA101&amp;GA102&amp;GA103&amp;GA104&amp;GA105&amp;GA106&amp;GA107&amp;GA108&amp;GA109&amp;GA110&amp;GA111&amp;GA112&amp;GA113&amp;GA114&amp;GA115&amp;GA116&amp;GA117&amp;GA118&amp;GA119&amp;GA120&amp;GA121&amp;GA122&amp;GA123&amp;GA124&amp;GA125&amp;GA126&amp;GA127&amp;GA128&amp;GA129&amp;GA130&amp;GA131&amp;GA132&amp;GA133&amp;GA134&amp;GA135&amp;GA136&amp;GA137&amp;GA138&amp;GA139&amp;GA140&amp;GA141&amp;GA142&amp;GA143&amp;GA144&amp;GA145&amp;GA146&amp;GA147&amp;GA148&amp;GA149&amp;GA150&amp;GA151&amp;GA152&amp;GA153&amp;GA154&amp;GA155&amp;GA156&amp;GA157&amp;GA158&amp;GA159&amp;GA160&amp;GA161&amp;GA162&amp;GA163</f>
        <v/>
      </c>
      <c r="FY2" s="550" t="s">
        <v>335</v>
      </c>
      <c r="FZ2" s="550"/>
      <c r="GA2" s="550"/>
      <c r="GB2" s="397"/>
      <c r="GC2" s="397"/>
      <c r="GD2" s="808"/>
      <c r="GE2" s="550" t="str">
        <f>GH4&amp;GH5&amp;GH6&amp;GH7&amp;GH8&amp;GH9&amp;GH10&amp;GH11&amp;GH12&amp;GH13&amp;GH14&amp;GH15&amp;GH16&amp;GH17&amp;GH18&amp;GH19&amp;GH20&amp;GH21&amp;GH22&amp;GH23&amp;GH24&amp;GH25&amp;GH26&amp;GH27&amp;GH28&amp;GH29&amp;GH30&amp;GH31&amp;GH32&amp;GH33&amp;GH34&amp;GH35&amp;GH36&amp;GH37&amp;GH38&amp;GH39&amp;GH40&amp;GH41&amp;GH42&amp;GH43&amp;GH44&amp;GH45&amp;GH46&amp;GH47&amp;GH48&amp;GH49&amp;GH50&amp;GH51&amp;GH52&amp;GH53&amp;GH54&amp;GH55&amp;GH56&amp;GH57&amp;GH58&amp;GH59&amp;GH60&amp;GH61&amp;GH62&amp;GH63&amp;GH64&amp;GH65&amp;GH66&amp;GH67&amp;GH68&amp;GH69&amp;GH70&amp;GH71&amp;GH72&amp;GH73&amp;GH74&amp;GH75&amp;GH76&amp;GH77&amp;GH78&amp;GH79&amp;GH80&amp;GH81&amp;GH82&amp;GH83&amp;GH84&amp;GH85&amp;GH86&amp;GH87&amp;GH88&amp;GH89&amp;GH90&amp;GH91&amp;GH92&amp;GH93&amp;GH94&amp;GH95&amp;GH96&amp;GH97&amp;GH98&amp;GH99&amp;GH100&amp;GH101&amp;GH102&amp;GH103&amp;GH104&amp;GH105&amp;GH106&amp;GH107&amp;GH108&amp;GH109&amp;GH110&amp;GH111&amp;GH112&amp;GH113&amp;GH114&amp;GH115&amp;GH116&amp;GH117&amp;GH118&amp;GH119&amp;GH120&amp;GH121&amp;GH122&amp;GH123&amp;GH124&amp;GH125&amp;GH126&amp;GH127&amp;GH128&amp;GH129&amp;GH130&amp;GH131&amp;GH132&amp;GH133&amp;GH134&amp;GH135&amp;GH136&amp;GH137&amp;GH138&amp;GH139&amp;GH140&amp;GH141&amp;GH142&amp;GH143&amp;GH144&amp;GH145&amp;GH146&amp;GH147&amp;GH148&amp;GH149&amp;GH150&amp;GH151&amp;GH152&amp;GH153&amp;GH154&amp;GH155&amp;GH156&amp;GH157&amp;GH158&amp;GH159&amp;GH160&amp;GH161&amp;GH162&amp;GH163</f>
        <v/>
      </c>
      <c r="GF2" s="550" t="s">
        <v>335</v>
      </c>
      <c r="GG2" s="550"/>
      <c r="GH2" s="550"/>
      <c r="GI2" s="550"/>
      <c r="GJ2" s="397"/>
      <c r="GK2" s="808"/>
      <c r="GL2" s="550" t="str">
        <f>GO4&amp;GO5&amp;GO6&amp;GO7&amp;GO8&amp;GO9&amp;GO10&amp;GO11&amp;GO12&amp;GO13&amp;GO14&amp;GO15&amp;GO16&amp;GO17&amp;GO18&amp;GO19&amp;GO20&amp;GO21&amp;GO22&amp;GO23&amp;GO24&amp;GO25&amp;GO26&amp;GO27&amp;GO28&amp;GO29&amp;GO30&amp;GO31&amp;GO32&amp;GO33&amp;GO34&amp;GO35&amp;GO36&amp;GO37&amp;GO38&amp;GO39&amp;GO40&amp;GO41&amp;GO42&amp;GO43&amp;GO44&amp;GO45&amp;GO46&amp;GO47&amp;GO48&amp;GO49&amp;GO50&amp;GO51&amp;GO52&amp;GO53&amp;GO54&amp;GO55&amp;GO56&amp;GO57&amp;GO58&amp;GO59&amp;GO60&amp;GO61&amp;GO62&amp;GO63&amp;GO64&amp;GO65&amp;GO66&amp;GO67&amp;GO68&amp;GO69&amp;GO70&amp;GO71&amp;GO72&amp;GO73&amp;GO74&amp;GO75&amp;GO76&amp;GO77&amp;GO78&amp;GO79&amp;GO80&amp;GO81&amp;GO82&amp;GO83&amp;GO84&amp;GO85&amp;GO86&amp;GO87&amp;GO88&amp;GO89&amp;GO90&amp;GO91&amp;GO92&amp;GO93&amp;GO94&amp;GO95&amp;GO96&amp;GO97&amp;GO98&amp;GO99&amp;GO100&amp;GO101&amp;GO102&amp;GO103&amp;GO104&amp;GO105&amp;GO106&amp;GO107&amp;GO108&amp;GO109&amp;GO110&amp;GO111&amp;GO112&amp;GO113&amp;GO114&amp;GO115&amp;GO116&amp;GO117&amp;GO118&amp;GO119&amp;GO120&amp;GO121&amp;GO122&amp;GO123&amp;GO124&amp;GO125&amp;GO126&amp;GO127&amp;GO128&amp;GO129&amp;GO130&amp;GO131&amp;GO132&amp;GO133&amp;GO134&amp;GO135&amp;GO136&amp;GO137&amp;GO138&amp;GO139&amp;GO140&amp;GO141&amp;GO142&amp;GO143&amp;GO144&amp;GO145&amp;GO146&amp;GO147&amp;GO148&amp;GO149&amp;GO150&amp;GO151&amp;GO152&amp;GO153&amp;GO154&amp;GO155&amp;GO156&amp;GO157&amp;GO158&amp;GO159&amp;GO160&amp;GO161&amp;GO162&amp;GO163</f>
        <v/>
      </c>
      <c r="GM2" s="550" t="s">
        <v>335</v>
      </c>
      <c r="GN2" s="550"/>
      <c r="GO2" s="550"/>
      <c r="GP2" s="550"/>
      <c r="GQ2" s="397"/>
      <c r="GR2" s="808"/>
      <c r="GS2" s="550" t="str">
        <f>GV4&amp;GV5&amp;GV6&amp;GV7&amp;GV8&amp;GV9&amp;GV10&amp;GV11&amp;GV12&amp;GV13&amp;GV14&amp;GV15&amp;GV16&amp;GV17&amp;GV18&amp;GV19&amp;GV20&amp;GV21&amp;GV22&amp;GV23&amp;GV24&amp;GV25&amp;GV26&amp;GV27&amp;GV28&amp;GV29&amp;GV30&amp;GV31&amp;GV32&amp;GV33&amp;GV34&amp;GV35&amp;GV36&amp;GV37&amp;GV38&amp;GV39&amp;GV40&amp;GV41&amp;GV42&amp;GV43&amp;GV44&amp;GV45&amp;GV46&amp;GV47&amp;GV48&amp;GV49&amp;GV50&amp;GV51&amp;GV52&amp;GV53&amp;GV54&amp;GV55&amp;GV56&amp;GV57&amp;GV58&amp;GV59&amp;GV60&amp;GV61&amp;GV62&amp;GV63&amp;GV64&amp;GV65&amp;GV66&amp;GV67&amp;GV68&amp;GV69&amp;GV70&amp;GV71&amp;GV72&amp;GV73&amp;GV74&amp;GV75&amp;GV76&amp;GV77&amp;GV78&amp;GV79&amp;GV80&amp;GV81&amp;GV82&amp;GV83&amp;GV84&amp;GV85&amp;GV86&amp;GV87&amp;GV88&amp;GV89&amp;GV90&amp;GV91&amp;GV92&amp;GV93&amp;GV94&amp;GV95&amp;GV96&amp;GV97&amp;GV98&amp;GV99&amp;GV100&amp;GV101&amp;GV102&amp;GV103&amp;GV104&amp;GV105&amp;GV106&amp;GV107&amp;GV108&amp;GV109&amp;GV110&amp;GV111&amp;GV112&amp;GV113&amp;GV114&amp;GV115&amp;GV116&amp;GV117&amp;GV118&amp;GV119&amp;GV120&amp;GV121&amp;GV122&amp;GV123&amp;GV124&amp;GV125&amp;GV126&amp;GV127&amp;GV128&amp;GV129&amp;GV130&amp;GV131&amp;GV132&amp;GV133&amp;GV134&amp;GV135&amp;GV136&amp;GV137&amp;GV138&amp;GV139&amp;GV140&amp;GV141&amp;GV142&amp;GV143&amp;GV144&amp;GV145&amp;GV146&amp;GV147&amp;GV148&amp;GV149&amp;GV150&amp;GV151&amp;GV152&amp;GV153&amp;GV154&amp;GV155&amp;GV156&amp;GV157&amp;GV158&amp;GV159&amp;GV160&amp;GV161&amp;GV162&amp;GV163</f>
        <v/>
      </c>
      <c r="GT2" s="550" t="s">
        <v>335</v>
      </c>
      <c r="GU2" s="550"/>
      <c r="GV2" s="550"/>
      <c r="GW2" s="550"/>
      <c r="GX2" s="397"/>
      <c r="GY2" s="808"/>
      <c r="GZ2" s="550" t="str">
        <f>HC4&amp;HC5&amp;HC6&amp;HC7&amp;HC8&amp;HC9&amp;HC10&amp;HC11&amp;HC12&amp;HC13&amp;HC14&amp;HC15&amp;HC16&amp;HC17&amp;HC18&amp;HC19&amp;HC20&amp;HC21&amp;HC22&amp;HC23&amp;HC24&amp;HC25&amp;HC26&amp;HC27&amp;HC28&amp;HC29&amp;HC30&amp;HC31&amp;HC32&amp;HC33&amp;HC34&amp;HC35&amp;HC36&amp;HC37&amp;HC38&amp;HC39&amp;HC40&amp;HC41&amp;HC42&amp;HC43&amp;HC44&amp;HC45&amp;HC46&amp;HC47&amp;HC48&amp;HC49&amp;HC50&amp;HC51&amp;HC52&amp;HC53&amp;HC54&amp;HC55&amp;HC56&amp;HC57&amp;HC58&amp;HC59&amp;HC60&amp;HC61&amp;HC62&amp;HC63&amp;HC64&amp;HC65&amp;HC66&amp;HC67&amp;HC68&amp;HC69&amp;HC70&amp;HC71&amp;HC72&amp;HC73&amp;HC74&amp;HC75&amp;HC76&amp;HC77&amp;HC78&amp;HC79&amp;HC80&amp;HC81&amp;HC82&amp;HC83&amp;HC84&amp;HC85&amp;HC86&amp;HC87&amp;HC88&amp;HC89&amp;HC90&amp;HC91&amp;HC92&amp;HC93&amp;HC94&amp;HC95&amp;HC96&amp;HC97&amp;HC98&amp;HC99&amp;HC100&amp;HC101&amp;HC102&amp;HC103&amp;HC104&amp;HC105&amp;HC106&amp;HC107&amp;HC108&amp;HC109&amp;HC110&amp;HC111&amp;HC112&amp;HC113&amp;HC114&amp;HC115&amp;HC116&amp;HC117&amp;HC118&amp;HC119&amp;HC120&amp;HC121&amp;HC122&amp;HC123&amp;HC124&amp;HC125&amp;HC126&amp;HC127&amp;HC128&amp;HC129&amp;HC130&amp;HC131&amp;HC132&amp;HC133&amp;HC134&amp;HC135&amp;HC136&amp;HC137&amp;HC138&amp;HC139&amp;HC140&amp;HC141&amp;HC142&amp;HC143&amp;HC144&amp;HC145&amp;HC146&amp;HC147&amp;HC148&amp;HC149&amp;HC150&amp;HC151&amp;HC152&amp;HC153&amp;HC154&amp;HC155&amp;HC156&amp;HC157&amp;HC158&amp;HC159&amp;HC160&amp;HC161&amp;HC162&amp;HC163</f>
        <v/>
      </c>
      <c r="HA2" s="550" t="s">
        <v>335</v>
      </c>
      <c r="HB2" s="550"/>
      <c r="HC2" s="550"/>
      <c r="HD2" s="550"/>
      <c r="HE2" s="728" t="e">
        <f>Dados!$F$14+Dados!$I$98</f>
        <v>#VALUE!</v>
      </c>
      <c r="HF2" s="810" t="str">
        <f>$AL$19</f>
        <v/>
      </c>
      <c r="HG2" s="728" t="e">
        <f>Dados!$F$12+Dados!$F$16</f>
        <v>#VALUE!</v>
      </c>
      <c r="HH2" s="447"/>
      <c r="HI2" s="728" t="str">
        <f>Dados!$I$14</f>
        <v/>
      </c>
      <c r="HJ2" s="819" t="str">
        <f>$AM$19</f>
        <v/>
      </c>
      <c r="HK2" s="728" t="str">
        <f>Dados!$I$12</f>
        <v/>
      </c>
      <c r="HL2" s="447"/>
      <c r="HM2" s="728" t="str">
        <f>Dados!$F$20</f>
        <v/>
      </c>
      <c r="HN2" s="819" t="str">
        <f>$AL$35</f>
        <v/>
      </c>
      <c r="HO2" s="728" t="str">
        <f>Dados!$F$18</f>
        <v/>
      </c>
      <c r="HP2" s="447"/>
      <c r="HQ2" s="728" t="str">
        <f>Dados!$I$20</f>
        <v/>
      </c>
      <c r="HR2" s="819" t="str">
        <f>$AM$35</f>
        <v/>
      </c>
      <c r="HS2" s="728" t="str">
        <f>Dados!$I$18</f>
        <v/>
      </c>
      <c r="HT2" s="447"/>
      <c r="HU2" s="728" t="str">
        <f>Dados!$F$26</f>
        <v/>
      </c>
      <c r="HV2" s="819" t="str">
        <f>$AL$51</f>
        <v/>
      </c>
      <c r="HW2" s="728" t="str">
        <f>Dados!$F$24</f>
        <v/>
      </c>
      <c r="HX2" s="447"/>
      <c r="HY2" s="728" t="str">
        <f>Dados!$I$26</f>
        <v/>
      </c>
      <c r="HZ2" s="819" t="str">
        <f>$AM$51</f>
        <v/>
      </c>
      <c r="IA2" s="728" t="str">
        <f>Dados!$I$24</f>
        <v/>
      </c>
      <c r="IB2" s="447"/>
      <c r="IC2" s="728" t="str">
        <f>Dados!$F$32</f>
        <v/>
      </c>
      <c r="ID2" s="819" t="str">
        <f>$AL$67</f>
        <v/>
      </c>
      <c r="IE2" s="728" t="str">
        <f>Dados!$F$30</f>
        <v/>
      </c>
      <c r="IF2" s="447"/>
      <c r="IG2" s="728" t="str">
        <f>Dados!$I$32</f>
        <v/>
      </c>
      <c r="IH2" s="819" t="str">
        <f>$AM$67</f>
        <v/>
      </c>
      <c r="II2" s="728" t="str">
        <f>Dados!$I$30</f>
        <v/>
      </c>
      <c r="IJ2" s="447"/>
      <c r="IK2" s="728" t="str">
        <f>Dados!$F$38</f>
        <v/>
      </c>
      <c r="IL2" s="819" t="str">
        <f>$AL$83</f>
        <v/>
      </c>
      <c r="IM2" s="728" t="str">
        <f>Dados!$F$36</f>
        <v/>
      </c>
      <c r="IN2" s="447"/>
      <c r="IO2" s="728" t="str">
        <f>Dados!$I$38</f>
        <v/>
      </c>
      <c r="IP2" s="819" t="str">
        <f>$AM$83</f>
        <v/>
      </c>
      <c r="IQ2" s="728" t="str">
        <f>Dados!$I$36</f>
        <v/>
      </c>
      <c r="IR2" s="447"/>
      <c r="IS2" s="728" t="str">
        <f>Dados!$F$44</f>
        <v/>
      </c>
      <c r="IT2" s="819" t="str">
        <f>$AL$99</f>
        <v/>
      </c>
      <c r="IU2" s="728" t="str">
        <f>Dados!$F$42</f>
        <v/>
      </c>
      <c r="IV2" s="447"/>
      <c r="IW2" s="728" t="str">
        <f>Dados!$I$44</f>
        <v/>
      </c>
      <c r="IX2" s="819" t="str">
        <f>$AM$99</f>
        <v/>
      </c>
      <c r="IY2" s="728" t="str">
        <f>Dados!$I$42</f>
        <v/>
      </c>
      <c r="IZ2" s="447"/>
      <c r="JA2" s="728" t="str">
        <f>Dados!$F$50</f>
        <v/>
      </c>
      <c r="JB2" s="819" t="str">
        <f>$AL$115</f>
        <v/>
      </c>
      <c r="JC2" s="728" t="str">
        <f>Dados!$F$48</f>
        <v/>
      </c>
      <c r="JD2" s="447"/>
      <c r="JE2" s="728" t="str">
        <f>Dados!$I$50</f>
        <v/>
      </c>
      <c r="JF2" s="819" t="str">
        <f>$AM$115</f>
        <v/>
      </c>
      <c r="JG2" s="728" t="str">
        <f>Dados!$I$48</f>
        <v/>
      </c>
      <c r="JH2" s="447"/>
      <c r="JI2" s="728" t="str">
        <f>Dados!$F$56</f>
        <v/>
      </c>
      <c r="JJ2" s="819" t="str">
        <f>$AL$131</f>
        <v/>
      </c>
      <c r="JK2" s="728" t="str">
        <f>Dados!$F$54</f>
        <v/>
      </c>
      <c r="JL2" s="447"/>
      <c r="JM2" s="728" t="str">
        <f>Dados!$I$56</f>
        <v/>
      </c>
      <c r="JN2" s="819" t="str">
        <f>$AM$131</f>
        <v/>
      </c>
      <c r="JO2" s="728" t="str">
        <f>Dados!$I$54</f>
        <v/>
      </c>
      <c r="JP2" s="447"/>
      <c r="JQ2" s="728" t="str">
        <f>Dados!$F$62</f>
        <v/>
      </c>
      <c r="JR2" s="819" t="str">
        <f>$AL$147</f>
        <v/>
      </c>
      <c r="JS2" s="728" t="str">
        <f>Dados!$F$60</f>
        <v/>
      </c>
      <c r="JT2" s="447"/>
      <c r="JU2" s="728" t="str">
        <f>Dados!$I$62</f>
        <v/>
      </c>
      <c r="JV2" s="819" t="str">
        <f>$AM$147</f>
        <v/>
      </c>
      <c r="JW2" s="728" t="str">
        <f>Dados!$I$60</f>
        <v/>
      </c>
      <c r="JX2" s="447"/>
      <c r="JY2" s="397"/>
      <c r="JZ2" s="397"/>
      <c r="KA2" s="397"/>
      <c r="KB2" s="397"/>
      <c r="KC2" s="397"/>
      <c r="KD2" s="397"/>
      <c r="KE2" s="447"/>
      <c r="KF2" s="447" t="s">
        <v>494</v>
      </c>
      <c r="KG2" s="447" t="s">
        <v>496</v>
      </c>
      <c r="KH2" s="447" t="s">
        <v>495</v>
      </c>
      <c r="KI2" s="447"/>
      <c r="KJ2" s="447"/>
      <c r="KK2" s="447"/>
      <c r="KL2" s="550"/>
      <c r="KM2" s="550"/>
      <c r="KN2" s="550"/>
      <c r="KO2" s="550"/>
      <c r="KP2" s="447"/>
      <c r="KQ2" s="447"/>
      <c r="KR2" s="553"/>
      <c r="KS2" s="550"/>
      <c r="KT2" s="447"/>
      <c r="KU2" s="447"/>
      <c r="KV2" s="447"/>
      <c r="KW2" s="447"/>
      <c r="KX2" s="447"/>
      <c r="KY2" s="447"/>
      <c r="KZ2" s="447"/>
      <c r="LA2" s="447"/>
      <c r="LB2" s="447"/>
      <c r="LC2" s="447"/>
      <c r="LD2" s="447"/>
      <c r="LE2" s="447"/>
      <c r="LF2" s="447"/>
      <c r="LG2" s="447"/>
      <c r="LH2" s="447"/>
      <c r="LI2" s="447"/>
      <c r="LJ2" s="447"/>
      <c r="LK2" s="447"/>
      <c r="LL2" s="447"/>
      <c r="LM2" s="447"/>
      <c r="LN2" s="447"/>
      <c r="LO2" s="447"/>
      <c r="LP2" s="447"/>
      <c r="LQ2" s="447"/>
      <c r="LR2" s="447"/>
      <c r="LS2" s="447"/>
      <c r="LT2" s="447"/>
      <c r="LU2" s="447"/>
      <c r="LV2" s="447"/>
      <c r="LW2" s="447"/>
      <c r="LX2" s="447"/>
      <c r="LY2" s="447"/>
      <c r="LZ2" s="447"/>
      <c r="MA2" s="447"/>
      <c r="MB2" s="447"/>
      <c r="MC2" s="447"/>
      <c r="MD2" s="447"/>
      <c r="ME2" s="447"/>
      <c r="MF2" s="447"/>
      <c r="MG2" s="447"/>
      <c r="MH2" s="447"/>
      <c r="MI2" s="447"/>
      <c r="MJ2" s="447"/>
      <c r="MK2" s="447"/>
      <c r="ML2" s="447"/>
      <c r="MM2" s="447"/>
      <c r="MN2" s="447"/>
      <c r="MO2" s="447"/>
      <c r="MP2" s="447"/>
      <c r="MQ2" s="447"/>
      <c r="MR2" s="447"/>
      <c r="MS2" s="447"/>
      <c r="MT2" s="447"/>
      <c r="MU2" s="447"/>
      <c r="MV2" s="447"/>
      <c r="MW2" s="447"/>
      <c r="MX2" s="447"/>
      <c r="MY2" s="447"/>
      <c r="MZ2" s="447"/>
      <c r="NA2" s="447"/>
      <c r="NB2" s="447"/>
      <c r="NC2" s="447"/>
      <c r="ND2" s="712"/>
      <c r="NE2" s="712"/>
      <c r="NF2" s="712"/>
      <c r="NG2" s="712"/>
      <c r="NH2" s="712"/>
      <c r="NI2" s="712"/>
      <c r="NJ2" s="712"/>
      <c r="NK2" s="712"/>
      <c r="NL2" s="712"/>
      <c r="NM2" s="712"/>
      <c r="NN2" s="712"/>
      <c r="NO2" s="447"/>
      <c r="NP2" s="447"/>
      <c r="NQ2" s="447"/>
      <c r="NR2" s="447"/>
      <c r="NS2" s="447"/>
      <c r="NT2" s="447"/>
      <c r="NU2" s="447"/>
      <c r="NV2" s="447"/>
      <c r="NW2" s="447"/>
      <c r="NX2" s="447"/>
      <c r="NY2" s="447"/>
      <c r="NZ2" s="447"/>
      <c r="OA2" s="447"/>
      <c r="OB2" s="447"/>
      <c r="OC2" s="447"/>
      <c r="OD2" s="447"/>
      <c r="OE2" s="447"/>
      <c r="OF2" s="447"/>
      <c r="OG2" s="447"/>
      <c r="OH2" s="447"/>
      <c r="OI2" s="447"/>
      <c r="OJ2" s="447"/>
      <c r="OK2" s="447"/>
      <c r="OL2" s="447"/>
      <c r="OM2" s="447"/>
      <c r="ON2" s="447"/>
      <c r="OO2" s="447"/>
      <c r="OP2" s="447"/>
      <c r="OQ2" s="447"/>
      <c r="OR2" s="447"/>
      <c r="OS2" s="447"/>
      <c r="OT2" s="447"/>
      <c r="OU2" s="447"/>
      <c r="OV2" s="447"/>
      <c r="OW2" s="447"/>
      <c r="OX2" s="447"/>
      <c r="OY2" s="447"/>
      <c r="OZ2" s="447"/>
      <c r="PA2" s="447"/>
      <c r="PB2" s="447"/>
      <c r="PC2" s="447"/>
      <c r="PD2" s="447"/>
      <c r="PE2" s="447"/>
      <c r="PF2" s="447"/>
      <c r="PG2" s="447"/>
      <c r="PH2" s="447"/>
      <c r="PI2" s="447"/>
      <c r="PJ2" s="447"/>
      <c r="PK2" s="447"/>
      <c r="PL2" s="447"/>
      <c r="PM2" s="447"/>
      <c r="PN2" s="447"/>
      <c r="PO2" s="447"/>
      <c r="PP2" s="447"/>
      <c r="PQ2" s="447"/>
      <c r="PR2" s="447"/>
      <c r="PS2" s="447"/>
      <c r="PT2" s="812"/>
      <c r="PU2" s="812"/>
      <c r="PV2" s="550"/>
      <c r="PW2" s="812"/>
      <c r="PX2" s="812"/>
      <c r="PY2" s="447"/>
      <c r="PZ2" s="812"/>
      <c r="QA2" s="812"/>
      <c r="QB2" s="550"/>
      <c r="QC2" s="812"/>
      <c r="QD2" s="812"/>
      <c r="QE2" s="447"/>
      <c r="QF2" s="812"/>
      <c r="QG2" s="812"/>
      <c r="QH2" s="447"/>
      <c r="QI2" s="812"/>
      <c r="QJ2" s="812"/>
      <c r="QK2" s="447"/>
      <c r="QL2" s="812"/>
      <c r="QM2" s="812"/>
      <c r="QQ2" s="587"/>
      <c r="ABS2" s="447"/>
    </row>
    <row r="3" spans="1:747" customFormat="1" ht="15.75" thickBot="1" x14ac:dyDescent="0.25">
      <c r="A3" s="1936"/>
      <c r="B3" s="1945"/>
      <c r="C3" s="1947"/>
      <c r="D3" s="1949"/>
      <c r="E3" s="1953"/>
      <c r="F3" s="1954"/>
      <c r="G3" s="1955"/>
      <c r="H3" s="1089">
        <f>COUNTA($H$4:$H$163)</f>
        <v>160</v>
      </c>
      <c r="I3" s="1920"/>
      <c r="J3" s="1931"/>
      <c r="K3" s="1920"/>
      <c r="L3" s="1920"/>
      <c r="M3" s="1937"/>
      <c r="N3" s="521" t="s">
        <v>281</v>
      </c>
      <c r="O3" s="655" t="s">
        <v>330</v>
      </c>
      <c r="P3" s="972" t="s">
        <v>282</v>
      </c>
      <c r="Q3" s="1010" t="s">
        <v>507</v>
      </c>
      <c r="R3" s="1061" t="s">
        <v>282</v>
      </c>
      <c r="S3" s="968" t="s">
        <v>113</v>
      </c>
      <c r="T3" s="867" t="s">
        <v>113</v>
      </c>
      <c r="U3" s="1088"/>
      <c r="V3" s="1087" t="s">
        <v>1162</v>
      </c>
      <c r="W3" s="505" t="s">
        <v>38</v>
      </c>
      <c r="X3" s="503">
        <f>X1-X2</f>
        <v>0</v>
      </c>
      <c r="Y3" s="505"/>
      <c r="Z3" s="505"/>
      <c r="AA3" s="1929"/>
      <c r="AB3" s="1929"/>
      <c r="AC3" s="1929"/>
      <c r="AD3" s="506"/>
      <c r="AE3" s="506">
        <v>1</v>
      </c>
      <c r="AF3" s="506"/>
      <c r="AG3" s="1931"/>
      <c r="AH3" s="1927"/>
      <c r="AI3" s="1927"/>
      <c r="AJ3" s="1927"/>
      <c r="AK3" s="1920"/>
      <c r="AL3" s="448"/>
      <c r="AM3" s="448"/>
      <c r="AN3" s="506" t="s">
        <v>514</v>
      </c>
      <c r="AO3" s="801" t="s">
        <v>211</v>
      </c>
      <c r="AP3" s="801" t="s">
        <v>281</v>
      </c>
      <c r="AQ3" s="397" t="s">
        <v>0</v>
      </c>
      <c r="AR3" s="397" t="s">
        <v>203</v>
      </c>
      <c r="AS3" s="397" t="s">
        <v>282</v>
      </c>
      <c r="AT3" s="397" t="s">
        <v>204</v>
      </c>
      <c r="AU3" s="799" t="s">
        <v>205</v>
      </c>
      <c r="AV3" s="814" t="s">
        <v>206</v>
      </c>
      <c r="AW3" s="799" t="s">
        <v>51</v>
      </c>
      <c r="AX3" s="785">
        <f>MAXA(AO4:AO163)</f>
        <v>0</v>
      </c>
      <c r="AY3" s="785">
        <f>IF(AX3&lt;=21,1,IF(AND(AX3&gt;21,AX3&lt;=41),2,IF(AND(AX3&gt;41,AX3&lt;=61),3,IF(AND(AX3&gt;61,AX3&lt;=81),4,IF(AND(AX3&gt;81,AX3&lt;=101),5,IF(AND(AX3&gt;101,AX3&lt;=121),6,$AY$1))))))</f>
        <v>1</v>
      </c>
      <c r="AZ3" s="397"/>
      <c r="BA3" s="495" t="s">
        <v>710</v>
      </c>
      <c r="BB3" s="397"/>
      <c r="BC3" s="495" t="s">
        <v>181</v>
      </c>
      <c r="BD3" s="550" t="s">
        <v>711</v>
      </c>
      <c r="BE3" s="551">
        <f>COUNTA(BE4:BE163)</f>
        <v>0</v>
      </c>
      <c r="BF3" s="808" t="s">
        <v>182</v>
      </c>
      <c r="BG3" s="550" t="s">
        <v>712</v>
      </c>
      <c r="BH3" s="551">
        <f>COUNTA(BH4:BH163)</f>
        <v>0</v>
      </c>
      <c r="BI3" s="550"/>
      <c r="BJ3" s="550"/>
      <c r="BK3" s="550"/>
      <c r="BL3" s="550"/>
      <c r="BM3" s="550"/>
      <c r="BN3" s="550"/>
      <c r="BO3" s="550"/>
      <c r="BP3" s="550"/>
      <c r="BQ3" s="550"/>
      <c r="BR3" s="550"/>
      <c r="BS3" s="550"/>
      <c r="BT3" s="550"/>
      <c r="BU3" s="550"/>
      <c r="BV3" s="550"/>
      <c r="BW3" s="1924" t="s">
        <v>1126</v>
      </c>
      <c r="BX3" s="1925"/>
      <c r="BY3" s="1925"/>
      <c r="BZ3" s="1925"/>
      <c r="CA3" s="1925"/>
      <c r="CB3" s="1925"/>
      <c r="CC3" s="1925"/>
      <c r="CD3" s="1925"/>
      <c r="CE3" s="1925"/>
      <c r="CF3" s="1925"/>
      <c r="CG3" s="1925"/>
      <c r="CH3" s="1925"/>
      <c r="CI3" s="1925"/>
      <c r="CJ3" s="1924" t="s">
        <v>1127</v>
      </c>
      <c r="CK3" s="1925"/>
      <c r="CL3" s="1925"/>
      <c r="CM3" s="1925"/>
      <c r="CN3" s="1925"/>
      <c r="CO3" s="1925"/>
      <c r="CP3" s="1925"/>
      <c r="CQ3" s="1925"/>
      <c r="CR3" s="1925"/>
      <c r="CS3" s="1925"/>
      <c r="CT3" s="1925"/>
      <c r="CU3" s="1925"/>
      <c r="CV3" s="1925"/>
      <c r="CW3" s="785">
        <f>MAXA(CJ4:CJ163)</f>
        <v>0</v>
      </c>
      <c r="CX3" s="785">
        <f>IF(CW3&lt;=15,1,IF(AND(CW3&gt;15,CW3&lt;=29),2,IF(AND(CW3&gt;29,CW3&lt;=43),3,IF(AND(CW3&gt;43,CW3&lt;=57),4,IF(AND(CW3&gt;57,CW3&lt;=71),5,IF(AND(CW3&gt;71,CW3&lt;=85),6,IF(AND(CW3&gt;85,CW3&lt;=99),7,IF(AND(CW3&gt;99,CW3&lt;=113),8,IF(AND(CW3&gt;113,CW3&lt;=127),9,IF(AND(CW3&gt;127,CW3&lt;=141),10,IF(AND(CW3&gt;141,CW3&lt;=155),11,IF(AND(CW3&gt;155,CW3&lt;=169),12,CX1))))))))))))</f>
        <v>1</v>
      </c>
      <c r="CY3" s="550"/>
      <c r="CZ3" s="785">
        <f>MAXA(BW4:BW163)</f>
        <v>0</v>
      </c>
      <c r="DA3" s="785">
        <f>IF(CZ3&lt;=15,1,IF(AND(CZ3&gt;15,CZ3&lt;=29),2,IF(AND(CZ3&gt;29,CZ3&lt;=43),3,IF(AND(CZ3&gt;43,CZ3&lt;=57),4,IF(AND(CZ3&gt;57,CZ3&lt;=71),5,IF(AND(CZ3&gt;71,CZ3&lt;=85),6,IF(AND(CZ3&gt;85,CZ3&lt;=99),7,IF(AND(CZ3&gt;99,CZ3&lt;=113),8,IF(AND(CZ3&gt;113,CZ3&lt;=127),9,IF(AND(CZ3&gt;127,CZ3&lt;=141),10,IF(AND(CZ3&gt;141,CZ3&lt;=155),11,IF(AND(CZ3&gt;155,CZ3&lt;=169),12,DA1))))))))))))</f>
        <v>1</v>
      </c>
      <c r="DB3" s="550"/>
      <c r="DC3" s="550"/>
      <c r="DD3" s="550"/>
      <c r="DE3" s="847">
        <f>COUNTIF(DE4:DE163,"Invasão de Dotação em Custeio")</f>
        <v>0</v>
      </c>
      <c r="DF3" s="847">
        <f>COUNTIF(DF4:DF163,"Invasão de Dotação em Capital")</f>
        <v>0</v>
      </c>
      <c r="DG3" s="550" t="s">
        <v>15069</v>
      </c>
      <c r="DH3" s="550"/>
      <c r="DI3" s="847">
        <f>COUNTIF(DI4:DI163,"Invasão de Dotação em Custeio")</f>
        <v>0</v>
      </c>
      <c r="DJ3" s="847">
        <f>COUNTIF(DJ4:DJ163,"Invasão de Dotação em Capital")</f>
        <v>0</v>
      </c>
      <c r="DK3" s="550" t="s">
        <v>15070</v>
      </c>
      <c r="DL3" s="550"/>
      <c r="DM3" s="847">
        <f>COUNTIF(DM4:DM163,"Invasão de Dotação em Custeio")</f>
        <v>0</v>
      </c>
      <c r="DN3" s="847">
        <f>COUNTIF(DN4:DN163,"Invasão de Dotação em Capital")</f>
        <v>0</v>
      </c>
      <c r="DO3" s="550" t="s">
        <v>15071</v>
      </c>
      <c r="DP3" s="550"/>
      <c r="DQ3" s="847">
        <f>COUNTIF(DQ4:DQ163,"Invasão de Dotação em Custeio")</f>
        <v>0</v>
      </c>
      <c r="DR3" s="847">
        <f>COUNTIF(DR4:DR163,"Invasão de Dotação em Capital")</f>
        <v>0</v>
      </c>
      <c r="DS3" s="550" t="s">
        <v>15072</v>
      </c>
      <c r="DT3" s="550"/>
      <c r="DU3" s="847">
        <f>COUNTIF(DU4:DU163,"Invasão de Dotação em Custeio")</f>
        <v>0</v>
      </c>
      <c r="DV3" s="847">
        <f>COUNTIF(DV4:DV163,"Invasão de Dotação em Capital")</f>
        <v>0</v>
      </c>
      <c r="DW3" s="550" t="s">
        <v>15073</v>
      </c>
      <c r="DX3" s="550"/>
      <c r="DY3" s="847">
        <f>COUNTIF(DY4:DY163,"Invasão de Dotação em Custeio")</f>
        <v>0</v>
      </c>
      <c r="DZ3" s="847">
        <f>COUNTIF(DZ4:DZ163,"Invasão de Dotação em Capital")</f>
        <v>0</v>
      </c>
      <c r="EA3" s="550" t="s">
        <v>15074</v>
      </c>
      <c r="EB3" s="550"/>
      <c r="EC3" s="847">
        <f>COUNTIF(EC4:EC163,"Invasão de Dotação em Custeio")</f>
        <v>0</v>
      </c>
      <c r="ED3" s="847">
        <f>COUNTIF(ED4:ED163,"Invasão de Dotação em Capital")</f>
        <v>0</v>
      </c>
      <c r="EE3" s="808" t="s">
        <v>15075</v>
      </c>
      <c r="EF3" s="550"/>
      <c r="EG3" s="847">
        <f>COUNTIF(EG4:EG163,"Invasão de Dotação em Custeio")</f>
        <v>0</v>
      </c>
      <c r="EH3" s="847">
        <f>COUNTIF(EH4:EH163,"Invasão de Dotação em Capital")</f>
        <v>0</v>
      </c>
      <c r="EI3" s="808" t="s">
        <v>15076</v>
      </c>
      <c r="EJ3" s="550"/>
      <c r="EK3" s="847">
        <f>COUNTIF(EK4:EK163,"Invasão de Dotação em Custeio")</f>
        <v>0</v>
      </c>
      <c r="EL3" s="847">
        <f>COUNTIF(EL4:EL163,"Invasão de Dotação em Capital")</f>
        <v>0</v>
      </c>
      <c r="EM3" s="808" t="s">
        <v>15077</v>
      </c>
      <c r="EN3" s="550"/>
      <c r="EO3" s="447"/>
      <c r="EP3" s="447"/>
      <c r="EQ3" s="447"/>
      <c r="ER3" s="447"/>
      <c r="ES3" s="447"/>
      <c r="ET3" s="397"/>
      <c r="EU3" s="495"/>
      <c r="EV3" s="495"/>
      <c r="EW3" s="397"/>
      <c r="EX3" s="397"/>
      <c r="EY3" s="397"/>
      <c r="EZ3" s="397"/>
      <c r="FA3" s="795" t="s">
        <v>181</v>
      </c>
      <c r="FB3" s="551" t="s">
        <v>714</v>
      </c>
      <c r="FC3" s="551">
        <f>COUNTA(FC4:FC163)</f>
        <v>0</v>
      </c>
      <c r="FD3" s="809" t="s">
        <v>182</v>
      </c>
      <c r="FE3" s="551" t="s">
        <v>721</v>
      </c>
      <c r="FF3" s="551">
        <f>COUNTA(FF4:FF163)</f>
        <v>0</v>
      </c>
      <c r="FG3" s="801"/>
      <c r="FH3" s="795" t="s">
        <v>181</v>
      </c>
      <c r="FI3" s="551" t="s">
        <v>715</v>
      </c>
      <c r="FJ3" s="551">
        <f>COUNTA(FJ4:FJ163)</f>
        <v>0</v>
      </c>
      <c r="FK3" s="809" t="s">
        <v>182</v>
      </c>
      <c r="FL3" s="551" t="s">
        <v>722</v>
      </c>
      <c r="FM3" s="551">
        <f>COUNTA(FM4:FM163)</f>
        <v>0</v>
      </c>
      <c r="FN3" s="397"/>
      <c r="FO3" s="795" t="s">
        <v>181</v>
      </c>
      <c r="FP3" s="551" t="s">
        <v>716</v>
      </c>
      <c r="FQ3" s="551">
        <f>COUNTA(FQ4:FQ163)</f>
        <v>0</v>
      </c>
      <c r="FR3" s="809" t="s">
        <v>182</v>
      </c>
      <c r="FS3" s="551" t="s">
        <v>723</v>
      </c>
      <c r="FT3" s="551">
        <f>COUNTA(FT4:FT163)</f>
        <v>0</v>
      </c>
      <c r="FU3" s="397"/>
      <c r="FV3" s="795" t="s">
        <v>181</v>
      </c>
      <c r="FW3" s="551" t="s">
        <v>717</v>
      </c>
      <c r="FX3" s="551">
        <f>COUNTA(FX4:FX163)</f>
        <v>0</v>
      </c>
      <c r="FY3" s="809" t="s">
        <v>182</v>
      </c>
      <c r="FZ3" s="551" t="s">
        <v>718</v>
      </c>
      <c r="GA3" s="551">
        <f>COUNTA(GA4:GA163)</f>
        <v>0</v>
      </c>
      <c r="GB3" s="397"/>
      <c r="GC3" s="795" t="s">
        <v>181</v>
      </c>
      <c r="GD3" s="551" t="s">
        <v>719</v>
      </c>
      <c r="GE3" s="551">
        <f>COUNTA(GE4:GE163)</f>
        <v>0</v>
      </c>
      <c r="GF3" s="809" t="s">
        <v>182</v>
      </c>
      <c r="GG3" s="551" t="s">
        <v>720</v>
      </c>
      <c r="GH3" s="551">
        <f>COUNTA(GH4:GH163)</f>
        <v>0</v>
      </c>
      <c r="GI3" s="551"/>
      <c r="GJ3" s="795" t="s">
        <v>181</v>
      </c>
      <c r="GK3" s="809" t="s">
        <v>12303</v>
      </c>
      <c r="GL3" s="551">
        <f>COUNTA(GL4:GL163)</f>
        <v>0</v>
      </c>
      <c r="GM3" s="809" t="s">
        <v>182</v>
      </c>
      <c r="GN3" s="809" t="s">
        <v>12304</v>
      </c>
      <c r="GO3" s="551">
        <f>COUNTA(GO4:GO163)</f>
        <v>0</v>
      </c>
      <c r="GP3" s="551"/>
      <c r="GQ3" s="795" t="s">
        <v>181</v>
      </c>
      <c r="GR3" s="809" t="s">
        <v>12305</v>
      </c>
      <c r="GS3" s="551">
        <f>COUNTA(GS4:GS163)</f>
        <v>0</v>
      </c>
      <c r="GT3" s="809" t="s">
        <v>182</v>
      </c>
      <c r="GU3" s="809" t="s">
        <v>12306</v>
      </c>
      <c r="GV3" s="551">
        <f>COUNTA(GV4:GV163)</f>
        <v>0</v>
      </c>
      <c r="GW3" s="551"/>
      <c r="GX3" s="795" t="s">
        <v>181</v>
      </c>
      <c r="GY3" s="809" t="s">
        <v>12307</v>
      </c>
      <c r="GZ3" s="551">
        <f>COUNTA(GZ4:GZ163)</f>
        <v>0</v>
      </c>
      <c r="HA3" s="809" t="s">
        <v>182</v>
      </c>
      <c r="HB3" s="809" t="s">
        <v>12308</v>
      </c>
      <c r="HC3" s="551">
        <f>COUNTA(HC4:HC163)</f>
        <v>0</v>
      </c>
      <c r="HD3" s="551"/>
      <c r="HE3" s="495" t="s">
        <v>1068</v>
      </c>
      <c r="HF3" s="811" t="s">
        <v>1076</v>
      </c>
      <c r="HG3" s="495" t="s">
        <v>1069</v>
      </c>
      <c r="HH3" s="811" t="s">
        <v>1076</v>
      </c>
      <c r="HI3" s="495" t="s">
        <v>1070</v>
      </c>
      <c r="HJ3" s="811" t="s">
        <v>1076</v>
      </c>
      <c r="HK3" s="495" t="s">
        <v>1071</v>
      </c>
      <c r="HL3" s="811" t="s">
        <v>1076</v>
      </c>
      <c r="HM3" s="495" t="s">
        <v>1072</v>
      </c>
      <c r="HN3" s="811" t="s">
        <v>1076</v>
      </c>
      <c r="HO3" s="495" t="s">
        <v>1073</v>
      </c>
      <c r="HP3" s="811" t="s">
        <v>1076</v>
      </c>
      <c r="HQ3" s="495" t="s">
        <v>1074</v>
      </c>
      <c r="HR3" s="811" t="s">
        <v>1076</v>
      </c>
      <c r="HS3" s="495" t="s">
        <v>1075</v>
      </c>
      <c r="HT3" s="811" t="s">
        <v>1076</v>
      </c>
      <c r="HU3" s="495" t="s">
        <v>1092</v>
      </c>
      <c r="HV3" s="811" t="s">
        <v>1076</v>
      </c>
      <c r="HW3" s="495" t="s">
        <v>1093</v>
      </c>
      <c r="HX3" s="811" t="s">
        <v>1076</v>
      </c>
      <c r="HY3" s="495" t="s">
        <v>1094</v>
      </c>
      <c r="HZ3" s="811" t="s">
        <v>1076</v>
      </c>
      <c r="IA3" s="495" t="s">
        <v>1095</v>
      </c>
      <c r="IB3" s="811" t="s">
        <v>1076</v>
      </c>
      <c r="IC3" s="495" t="s">
        <v>1109</v>
      </c>
      <c r="ID3" s="811" t="s">
        <v>1076</v>
      </c>
      <c r="IE3" s="495" t="s">
        <v>1110</v>
      </c>
      <c r="IF3" s="811" t="s">
        <v>1076</v>
      </c>
      <c r="IG3" s="495" t="s">
        <v>1111</v>
      </c>
      <c r="IH3" s="811" t="s">
        <v>1076</v>
      </c>
      <c r="II3" s="495" t="s">
        <v>1112</v>
      </c>
      <c r="IJ3" s="811" t="s">
        <v>1076</v>
      </c>
      <c r="IK3" s="495" t="s">
        <v>1113</v>
      </c>
      <c r="IL3" s="811" t="s">
        <v>1076</v>
      </c>
      <c r="IM3" s="495" t="s">
        <v>1114</v>
      </c>
      <c r="IN3" s="811" t="s">
        <v>1076</v>
      </c>
      <c r="IO3" s="495" t="s">
        <v>1115</v>
      </c>
      <c r="IP3" s="811" t="s">
        <v>1076</v>
      </c>
      <c r="IQ3" s="495" t="s">
        <v>1116</v>
      </c>
      <c r="IR3" s="811" t="s">
        <v>1076</v>
      </c>
      <c r="IS3" s="495" t="s">
        <v>1121</v>
      </c>
      <c r="IT3" s="811" t="s">
        <v>1076</v>
      </c>
      <c r="IU3" s="495" t="s">
        <v>1122</v>
      </c>
      <c r="IV3" s="811" t="s">
        <v>1076</v>
      </c>
      <c r="IW3" s="495" t="s">
        <v>1123</v>
      </c>
      <c r="IX3" s="811" t="s">
        <v>1076</v>
      </c>
      <c r="IY3" s="495" t="s">
        <v>1124</v>
      </c>
      <c r="IZ3" s="811" t="s">
        <v>1076</v>
      </c>
      <c r="JA3" s="495" t="s">
        <v>12275</v>
      </c>
      <c r="JB3" s="811" t="s">
        <v>1076</v>
      </c>
      <c r="JC3" s="495" t="s">
        <v>12276</v>
      </c>
      <c r="JD3" s="811" t="s">
        <v>1076</v>
      </c>
      <c r="JE3" s="495" t="s">
        <v>12277</v>
      </c>
      <c r="JF3" s="811" t="s">
        <v>1076</v>
      </c>
      <c r="JG3" s="495" t="s">
        <v>12278</v>
      </c>
      <c r="JH3" s="811" t="s">
        <v>1076</v>
      </c>
      <c r="JI3" s="495" t="s">
        <v>12320</v>
      </c>
      <c r="JJ3" s="811" t="s">
        <v>1076</v>
      </c>
      <c r="JK3" s="495" t="s">
        <v>12321</v>
      </c>
      <c r="JL3" s="811" t="s">
        <v>1076</v>
      </c>
      <c r="JM3" s="495" t="s">
        <v>12322</v>
      </c>
      <c r="JN3" s="811" t="s">
        <v>1076</v>
      </c>
      <c r="JO3" s="495" t="s">
        <v>12323</v>
      </c>
      <c r="JP3" s="811" t="s">
        <v>1076</v>
      </c>
      <c r="JQ3" s="495" t="s">
        <v>12279</v>
      </c>
      <c r="JR3" s="811" t="s">
        <v>1076</v>
      </c>
      <c r="JS3" s="495" t="s">
        <v>12280</v>
      </c>
      <c r="JT3" s="811" t="s">
        <v>1076</v>
      </c>
      <c r="JU3" s="495" t="s">
        <v>12281</v>
      </c>
      <c r="JV3" s="811" t="s">
        <v>1076</v>
      </c>
      <c r="JW3" s="495" t="s">
        <v>12282</v>
      </c>
      <c r="JX3" s="811" t="s">
        <v>1076</v>
      </c>
      <c r="JY3" s="397"/>
      <c r="JZ3" s="397"/>
      <c r="KA3" s="397"/>
      <c r="KB3" s="397">
        <f>SUM(KB4:KB163)</f>
        <v>0</v>
      </c>
      <c r="KC3" s="397">
        <f>SUM(KC4:KC163)</f>
        <v>0</v>
      </c>
      <c r="KD3" s="397"/>
      <c r="KE3" s="447"/>
      <c r="KF3" s="447" t="s">
        <v>495</v>
      </c>
      <c r="KG3" s="447" t="s">
        <v>497</v>
      </c>
      <c r="KH3" s="447" t="s">
        <v>423</v>
      </c>
      <c r="KI3" s="447"/>
      <c r="KJ3" s="447">
        <v>1</v>
      </c>
      <c r="KK3" s="447"/>
      <c r="KL3" s="447"/>
      <c r="KM3" s="447"/>
      <c r="KN3" s="447"/>
      <c r="KO3" s="551">
        <f>COUNTA(KO4:KO163)</f>
        <v>0</v>
      </c>
      <c r="KP3" s="447"/>
      <c r="KQ3" s="447"/>
      <c r="KR3" s="447"/>
      <c r="KS3" s="447"/>
      <c r="KT3" s="447"/>
      <c r="KU3" s="447"/>
      <c r="KV3" s="447"/>
      <c r="KW3" s="447"/>
      <c r="KX3" s="447"/>
      <c r="KY3" s="447"/>
      <c r="KZ3" s="447"/>
      <c r="LA3" s="447"/>
      <c r="LB3" s="447"/>
      <c r="LC3" s="1924" t="s">
        <v>1128</v>
      </c>
      <c r="LD3" s="1925"/>
      <c r="LE3" s="1925"/>
      <c r="LF3" s="1925"/>
      <c r="LG3" s="1925"/>
      <c r="LH3" s="1925"/>
      <c r="LI3" s="1925"/>
      <c r="LJ3" s="1925"/>
      <c r="LK3" s="1925"/>
      <c r="LL3" s="1925"/>
      <c r="LM3" s="1925"/>
      <c r="LN3" s="1925"/>
      <c r="LO3" s="1925"/>
      <c r="LP3" s="1924" t="s">
        <v>1129</v>
      </c>
      <c r="LQ3" s="1925"/>
      <c r="LR3" s="1925"/>
      <c r="LS3" s="1925"/>
      <c r="LT3" s="1925"/>
      <c r="LU3" s="1925"/>
      <c r="LV3" s="1925"/>
      <c r="LW3" s="1925"/>
      <c r="LX3" s="1925"/>
      <c r="LY3" s="1925"/>
      <c r="LZ3" s="1925"/>
      <c r="MA3" s="1925"/>
      <c r="MB3" s="1925"/>
      <c r="MC3" s="1924" t="s">
        <v>1130</v>
      </c>
      <c r="MD3" s="1925"/>
      <c r="ME3" s="1925"/>
      <c r="MF3" s="1925"/>
      <c r="MG3" s="1925"/>
      <c r="MH3" s="1925"/>
      <c r="MI3" s="1925"/>
      <c r="MJ3" s="1925"/>
      <c r="MK3" s="1925"/>
      <c r="ML3" s="1925"/>
      <c r="MM3" s="1925"/>
      <c r="MN3" s="1925"/>
      <c r="MO3" s="1925"/>
      <c r="MP3" s="1924" t="s">
        <v>1131</v>
      </c>
      <c r="MQ3" s="1925"/>
      <c r="MR3" s="1925"/>
      <c r="MS3" s="1925"/>
      <c r="MT3" s="1925"/>
      <c r="MU3" s="1925"/>
      <c r="MV3" s="1925"/>
      <c r="MW3" s="1925"/>
      <c r="MX3" s="1925"/>
      <c r="MY3" s="1925"/>
      <c r="MZ3" s="1925"/>
      <c r="NA3" s="1925"/>
      <c r="NB3" s="1925"/>
      <c r="NC3" s="1924" t="s">
        <v>12270</v>
      </c>
      <c r="ND3" s="1925"/>
      <c r="NE3" s="1925"/>
      <c r="NF3" s="1925"/>
      <c r="NG3" s="1925"/>
      <c r="NH3" s="1925"/>
      <c r="NI3" s="1925"/>
      <c r="NJ3" s="1925"/>
      <c r="NK3" s="1925"/>
      <c r="NL3" s="1925"/>
      <c r="NM3" s="1925"/>
      <c r="NN3" s="1925"/>
      <c r="NO3" s="1925"/>
      <c r="NP3" s="1924" t="s">
        <v>12271</v>
      </c>
      <c r="NQ3" s="1925"/>
      <c r="NR3" s="1925"/>
      <c r="NS3" s="1925"/>
      <c r="NT3" s="1925"/>
      <c r="NU3" s="1925"/>
      <c r="NV3" s="1925"/>
      <c r="NW3" s="1925"/>
      <c r="NX3" s="1925"/>
      <c r="NY3" s="1925"/>
      <c r="NZ3" s="1925"/>
      <c r="OA3" s="1925"/>
      <c r="OB3" s="1925"/>
      <c r="OC3" s="1924" t="s">
        <v>12272</v>
      </c>
      <c r="OD3" s="1925"/>
      <c r="OE3" s="1925"/>
      <c r="OF3" s="1925"/>
      <c r="OG3" s="1925"/>
      <c r="OH3" s="1925"/>
      <c r="OI3" s="1925"/>
      <c r="OJ3" s="1925"/>
      <c r="OK3" s="1925"/>
      <c r="OL3" s="1925"/>
      <c r="OM3" s="1925"/>
      <c r="ON3" s="1925"/>
      <c r="OO3" s="1925"/>
      <c r="OP3" s="447"/>
      <c r="OQ3" s="447"/>
      <c r="OR3" s="447"/>
      <c r="OS3" s="447"/>
      <c r="OT3" s="447"/>
      <c r="OU3" s="447"/>
      <c r="OV3" s="447"/>
      <c r="OW3" s="447"/>
      <c r="OX3" s="447"/>
      <c r="OY3" s="447"/>
      <c r="OZ3" s="447"/>
      <c r="PA3" s="447"/>
      <c r="PB3" s="447"/>
      <c r="PC3" s="447"/>
      <c r="PD3" s="447"/>
      <c r="PE3" s="447"/>
      <c r="PF3" s="447"/>
      <c r="PG3" s="447"/>
      <c r="PH3" s="447"/>
      <c r="PI3" s="447"/>
      <c r="PJ3" s="447"/>
      <c r="PK3" s="447"/>
      <c r="PL3" s="447"/>
      <c r="PM3" s="447"/>
      <c r="PN3" s="447"/>
      <c r="PO3" s="447"/>
      <c r="PP3" s="447"/>
      <c r="PQ3" s="447"/>
      <c r="PR3" s="447"/>
      <c r="PS3" s="447"/>
      <c r="PT3" s="1003">
        <f>MAXA(LC4:LC163)</f>
        <v>0</v>
      </c>
      <c r="PU3" s="1002">
        <f>IF(PT3&lt;=15,1,IF(AND(PT3&gt;15,PT3&lt;=29),2,IF(AND(PT3&gt;29,PT3&lt;=43),3,IF(AND(PT3&gt;43,PT3&lt;=57),4,IF(AND(PT3&gt;57,PT3&lt;=71),5,IF(AND(PT3&gt;71,PT3&lt;=85),6,IF(AND(PT3&gt;85,PT3&lt;=99),7,IF(AND(PT3&gt;99,PT3&lt;=113),8,IF(AND(PT3&gt;113,PT3&lt;=127),9,IF(AND(PT3&gt;127,PT3&lt;=141),10,IF(AND(PT3&gt;141,PT3&lt;=155),11,IF(AND(PT3&gt;155,PT3&lt;=169),12,NE1))))))))))))</f>
        <v>1</v>
      </c>
      <c r="PV3" s="550"/>
      <c r="PW3" s="785">
        <f>MAXA(LP4:LP163)</f>
        <v>0</v>
      </c>
      <c r="PX3" s="785">
        <f>IF(PW3&lt;=15,1,IF(AND(PW3&gt;15,PW3&lt;=29),2,IF(AND(PW3&gt;29,PW3&lt;=43),3,IF(AND(PW3&gt;43,PW3&lt;=57),4,IF(AND(PW3&gt;57,PW3&lt;=71),5,IF(AND(PW3&gt;71,PW3&lt;=85),6,IF(AND(PW3&gt;85,PW3&lt;=99),7,IF(AND(PW3&gt;99,PW3&lt;=113),8,IF(AND(PW3&gt;113,PW3&lt;=127),9,IF(AND(PW3&gt;127,PW3&lt;=141),10,IF(AND(PW3&gt;141,PW3&lt;=155),11,IF(AND(PW3&gt;155,PW3&lt;=169),12,NH1))))))))))))</f>
        <v>1</v>
      </c>
      <c r="PY3" s="447"/>
      <c r="PZ3" s="824">
        <f>MAXA(MC4:MC163)</f>
        <v>0</v>
      </c>
      <c r="QA3" s="785">
        <f>IF(PZ3&lt;=15,1,IF(AND(PZ3&gt;15,PZ3&lt;=29),2,IF(AND(PZ3&gt;29,PZ3&lt;=43),3,IF(AND(PZ3&gt;43,PZ3&lt;=57),4,IF(AND(PZ3&gt;57,PZ3&lt;=71),5,IF(AND(PZ3&gt;71,PZ3&lt;=85),6,IF(AND(PZ3&gt;85,PZ3&lt;=99),7,IF(AND(PZ3&gt;99,PZ3&lt;=113),8,IF(AND(PZ3&gt;113,PZ3&lt;=127),9,IF(AND(PZ3&gt;127,PZ3&lt;=141),10,IF(AND(PZ3&gt;141,PZ3&lt;=155),11,IF(AND(PZ3&gt;155,PZ3&lt;=169),12,NK1))))))))))))</f>
        <v>1</v>
      </c>
      <c r="QB3" s="550"/>
      <c r="QC3" s="785">
        <f>MAXA(MP4:MP163)</f>
        <v>0</v>
      </c>
      <c r="QD3" s="785">
        <f>IF(QC3&lt;=15,1,IF(AND(QC3&gt;15,QC3&lt;=29),2,IF(AND(QC3&gt;29,QC3&lt;=43),3,IF(AND(QC3&gt;43,QC3&lt;=57),4,IF(AND(QC3&gt;57,QC3&lt;=71),5,IF(AND(QC3&gt;71,QC3&lt;=85),6,IF(AND(QC3&gt;85,QC3&lt;=99),7,IF(AND(QC3&gt;99,QC3&lt;=113),8,IF(AND(QC3&gt;113,QC3&lt;=127),9,IF(AND(QC3&gt;127,QC3&lt;=141),10,IF(AND(QC3&gt;141,QC3&lt;=155),11,IF(AND(QC3&gt;155,QC3&lt;=169),12,NN1))))))))))))</f>
        <v>1</v>
      </c>
      <c r="QE3" s="447"/>
      <c r="QF3" s="785">
        <f>MAXA(NC4:NC163)</f>
        <v>0</v>
      </c>
      <c r="QG3" s="785">
        <f>IF(QF3&lt;=15,1,IF(AND(QF3&gt;15,QF3&lt;=29),2,IF(AND(QF3&gt;29,QF3&lt;=43),3,IF(AND(QF3&gt;43,QF3&lt;=57),4,IF(AND(QF3&gt;57,QF3&lt;=71),5,IF(AND(QF3&gt;71,QF3&lt;=85),6,IF(AND(QF3&gt;85,QF3&lt;=99),7,IF(AND(QF3&gt;99,QF3&lt;=113),8,IF(AND(QF3&gt;113,QF3&lt;=127),9,IF(AND(QF3&gt;127,QF3&lt;=141),10,IF(AND(QF3&gt;141,QF3&lt;=155),11,IF(AND(QF3&gt;155,QF3&lt;=169),12,NQ1))))))))))))</f>
        <v>1</v>
      </c>
      <c r="QH3" s="447"/>
      <c r="QI3" s="785">
        <f>MAXA(NP4:NP163)</f>
        <v>0</v>
      </c>
      <c r="QJ3" s="785">
        <f>IF(QI3&lt;=15,1,IF(AND(QI3&gt;15,QI3&lt;=29),2,IF(AND(QI3&gt;29,QI3&lt;=43),3,IF(AND(QI3&gt;43,QI3&lt;=57),4,IF(AND(QI3&gt;57,QI3&lt;=71),5,IF(AND(QI3&gt;71,QI3&lt;=85),6,IF(AND(QI3&gt;85,QI3&lt;=99),7,IF(AND(QI3&gt;99,QI3&lt;=113),8,IF(AND(QI3&gt;113,QI3&lt;=127),9,IF(AND(QI3&gt;127,QI3&lt;=141),10,IF(AND(QI3&gt;141,QI3&lt;=155),11,IF(AND(QI3&gt;155,QI3&lt;=169),12,NT1))))))))))))</f>
        <v>1</v>
      </c>
      <c r="QK3" s="447"/>
      <c r="QL3" s="785">
        <f>MAXA(OC4:OC163)</f>
        <v>0</v>
      </c>
      <c r="QM3" s="785">
        <f>IF(QL3&lt;=15,1,IF(AND(QL3&gt;15,QL3&lt;=29),2,IF(AND(QL3&gt;29,QL3&lt;=43),3,IF(AND(QL3&gt;43,QL3&lt;=57),4,IF(AND(QL3&gt;57,QL3&lt;=71),5,IF(AND(QL3&gt;71,QL3&lt;=85),6,IF(AND(QL3&gt;85,QL3&lt;=99),7,IF(AND(QL3&gt;99,QL3&lt;=113),8,IF(AND(QL3&gt;113,QL3&lt;=127),9,IF(AND(QL3&gt;127,QL3&lt;=141),10,IF(AND(QL3&gt;141,QL3&lt;=155),11,IF(AND(QL3&gt;155,QL3&lt;=169),12,NW1))))))))))))</f>
        <v>1</v>
      </c>
      <c r="QQ3" s="587"/>
      <c r="ABS3" s="447"/>
    </row>
    <row r="4" spans="1:747" customFormat="1" ht="15" customHeight="1" thickBot="1" x14ac:dyDescent="0.25">
      <c r="A4" s="1066" t="str">
        <f>IF(B4="","",1)</f>
        <v/>
      </c>
      <c r="B4" s="1091"/>
      <c r="C4" s="1067"/>
      <c r="D4" s="1068"/>
      <c r="E4" s="1069" t="str">
        <f t="shared" ref="E4:E35" si="0">IF(G4="","",IF(G4=$G$206,"",IF(OR(G4=$G$202,G4=$G$210,G4=$G$213),$E$201,$E$202)))</f>
        <v/>
      </c>
      <c r="F4" s="1070" t="str">
        <f t="shared" ref="F4:F35" si="1">IF(G4="","",IF(OR(G4=$G$201,G4=$G$202,G4=$G$203,G4=$G$204,G4=$G$206,G4=$G$210,G4=$G$211,G4=$G$212,G4=$G$213),"",IF(OR(G4=$G$205,G4=$G$209,G4=$G$214,G4=$G$216,G4=$G$217),$F$202,IF(OR(G4=$G$207,G4=$G$208,G4=$G$215),$F$201))))</f>
        <v/>
      </c>
      <c r="G4" s="1071"/>
      <c r="H4" s="1072" t="str">
        <f t="shared" ref="H4:H35" si="2">IF(AND(E4="",F4="",G4=""),"",IF(AND(E4="",F4="",G4=$G$226),$M$164,IF(AND(E4&lt;&gt;"",F4="",G4&lt;&gt;""),E4&amp;" - "&amp;G4&amp;" - "&amp;M4,IF(AND(E4&lt;&gt;"",F4&lt;&gt;"",G4=""),E4&amp;" - "&amp;F4&amp;" - "&amp;M4,IF(AND(E4&lt;&gt;"",F4&lt;&gt;"",G4&lt;&gt;""),E4&amp;" - "&amp;F4&amp;" - "&amp;G4&amp;" - "&amp;M4)))))</f>
        <v/>
      </c>
      <c r="I4" s="1066"/>
      <c r="J4" s="1073"/>
      <c r="K4" s="1074"/>
      <c r="L4" s="1073"/>
      <c r="M4" s="1075"/>
      <c r="N4" s="1076"/>
      <c r="O4" s="1077"/>
      <c r="P4" s="1078"/>
      <c r="Q4" s="1079"/>
      <c r="R4" s="1078" t="str">
        <f t="shared" ref="R4:R35" si="3">IF(P4="","",P4)</f>
        <v/>
      </c>
      <c r="S4" s="1080"/>
      <c r="T4" s="1081"/>
      <c r="U4" s="579">
        <f t="shared" ref="U4:U35" si="4">IFERROR(IF(S4+T4=0,0,1),$KG$11)</f>
        <v>0</v>
      </c>
      <c r="V4" s="578"/>
      <c r="W4" s="581" t="str">
        <f t="shared" ref="W4:W35" si="5">IF($S4="","",IF($S4&gt;=0.01,$DC4))</f>
        <v/>
      </c>
      <c r="X4" s="549" t="str">
        <f t="shared" ref="X4:X35" si="6">TRIM(IF(W4="","",H4&amp;" - "&amp;M4))</f>
        <v/>
      </c>
      <c r="Y4" s="581" t="str">
        <f t="shared" ref="Y4:Y35" si="7">IF($T4="","",IF($T4&gt;=0.01,$DD4))</f>
        <v/>
      </c>
      <c r="Z4" s="494" t="str">
        <f t="shared" ref="Z4:Z35" si="8">TRIM(IF(Y4="","",H4&amp;" - "&amp;M4))</f>
        <v/>
      </c>
      <c r="AA4" s="494" t="str">
        <f t="shared" ref="AA4:AA35" si="9">IF(V4=$V$164,T4,"")</f>
        <v/>
      </c>
      <c r="AB4" s="494">
        <f t="shared" ref="AB4:AB35" si="10">IF(AA4=0,S4,S4+T4)</f>
        <v>0</v>
      </c>
      <c r="AC4" s="494" t="str">
        <f t="shared" ref="AC4:AC35" si="11">IF(V4="","",IF(V4=$V$165,"",IF(AND(V4=$V$164,S4&gt;0,T4&gt;0),$U$164,IF(AND(V4=$V$164,S4&gt;0,T4=""),$S$164,IF(AND(V4=$V$164,S4="",T4&gt;0),$T$164)))))</f>
        <v/>
      </c>
      <c r="AD4" s="494"/>
      <c r="AE4" s="549"/>
      <c r="AF4" s="549"/>
      <c r="AG4" s="1082"/>
      <c r="AH4" s="1083"/>
      <c r="AI4" s="1084"/>
      <c r="AJ4" s="1085"/>
      <c r="AK4" s="1086" t="str">
        <f t="shared" ref="AK4:AK35" si="12">IF(AND(KJ4="",KK4=""),"",IF(AND(KJ4=$KJ$3,KK4=$KK$3),$KF$2,IF(AND(KJ4&lt;&gt;$KJ$3,KK4&lt;&gt;$KK$3),KJ4&amp;" - "&amp;KK4,IF(AND(KJ4=$KJ$3,KK4&lt;&gt;$KK$3),KK4,IF(AND(KJ4&lt;&gt;$KJ$3,KK4=$KK$3),KJ4)))))</f>
        <v/>
      </c>
      <c r="AL4" s="1910" t="s">
        <v>726</v>
      </c>
      <c r="AM4" s="1911"/>
      <c r="AN4" s="768">
        <f t="shared" ref="AN4:AN35" si="13">IF(AO4&lt;&gt;"",1,0)</f>
        <v>0</v>
      </c>
      <c r="AO4" s="798" t="str">
        <f>IF(AP4&lt;&gt;"",ROW(AP4)-3,"")</f>
        <v/>
      </c>
      <c r="AP4" s="768" t="str">
        <f t="shared" ref="AP4:AP35" si="14">IF(AQ4="Recibo","R",IF(AQ4="Cupom Fisc.","CF",IF(AQ4="N.F. Serv.","NFS",IF(AQ4="Nota Fiscal","NF",""))))</f>
        <v/>
      </c>
      <c r="AQ4" s="768"/>
      <c r="AR4" s="768"/>
      <c r="AS4" s="803"/>
      <c r="AT4" s="804"/>
      <c r="AU4" s="805"/>
      <c r="AV4" s="806"/>
      <c r="AW4" s="800"/>
      <c r="AX4" s="807">
        <f>SUM($AY$4:AY24)</f>
        <v>0</v>
      </c>
      <c r="AY4" s="806">
        <f t="shared" ref="AY4:AY35" si="15">(AV4*AW4)</f>
        <v>0</v>
      </c>
      <c r="AZ4" s="768"/>
      <c r="BA4" s="485" t="str">
        <f t="shared" ref="BA4:BA35" si="16">TRIM(M4)</f>
        <v/>
      </c>
      <c r="BB4" s="485"/>
      <c r="BC4" s="768"/>
      <c r="BD4" s="768">
        <f t="array" ref="BD4">IF(SUM((BC4=$BC$3:BC3)*1)=0,BC4,0)</f>
        <v>0</v>
      </c>
      <c r="BE4" s="768"/>
      <c r="BF4" s="768"/>
      <c r="BG4" s="768">
        <f t="array" ref="BG4">IF(SUM((BF4=$BF$3:BF3)*1)=0,BF4,0)</f>
        <v>0</v>
      </c>
      <c r="BH4" s="768"/>
      <c r="BI4" s="768"/>
      <c r="BJ4" s="768"/>
      <c r="BK4" s="768"/>
      <c r="BL4" s="768"/>
      <c r="BM4" s="768"/>
      <c r="BN4" s="768"/>
      <c r="BO4" s="768"/>
      <c r="BP4" s="844">
        <f t="shared" ref="BP4:BP35" si="17">IF(S4="",T4,S4)</f>
        <v>0</v>
      </c>
      <c r="BQ4" s="485"/>
      <c r="BR4" s="992"/>
      <c r="BS4" s="485"/>
      <c r="BT4" s="993"/>
      <c r="BU4" s="485"/>
      <c r="BV4" s="485" t="str">
        <f t="shared" ref="BV4:BV35" si="18">TRIM(IF($J4="","",B4))</f>
        <v/>
      </c>
      <c r="BW4" s="485" t="str">
        <f>IF(BX4&lt;&gt;"",$CY4,"")</f>
        <v/>
      </c>
      <c r="BX4" s="435"/>
      <c r="BY4" s="435"/>
      <c r="BZ4" s="435"/>
      <c r="CA4" s="435"/>
      <c r="CB4" s="435"/>
      <c r="CC4" s="435"/>
      <c r="CD4" s="435"/>
      <c r="CE4" s="435"/>
      <c r="CF4" s="435"/>
      <c r="CG4" s="435"/>
      <c r="CH4" s="435"/>
      <c r="CI4" s="435"/>
      <c r="CJ4" s="768" t="str">
        <f>IF(CK4&lt;&gt;"",$CY4,"")</f>
        <v/>
      </c>
      <c r="CK4" s="485"/>
      <c r="CL4" s="768"/>
      <c r="CM4" s="485"/>
      <c r="CN4" s="768"/>
      <c r="CO4" s="768"/>
      <c r="CP4" s="768"/>
      <c r="CQ4" s="768"/>
      <c r="CR4" s="768"/>
      <c r="CS4" s="768"/>
      <c r="CT4" s="768"/>
      <c r="CU4" s="768"/>
      <c r="CV4" s="768"/>
      <c r="CW4" s="825">
        <f>SUM($CS$4:$CS$18)</f>
        <v>0</v>
      </c>
      <c r="CX4" s="825">
        <f>SUM($CT$4:$CT$18)</f>
        <v>0</v>
      </c>
      <c r="CY4" s="768">
        <v>1</v>
      </c>
      <c r="CZ4" s="825">
        <f>SUM($CF$4:$CF$18)</f>
        <v>0</v>
      </c>
      <c r="DA4" s="825">
        <f>SUM($CG$4:$CG$18)</f>
        <v>0</v>
      </c>
      <c r="DB4" s="768"/>
      <c r="DC4" s="768" t="s">
        <v>744</v>
      </c>
      <c r="DD4" s="768" t="s">
        <v>904</v>
      </c>
      <c r="DE4" s="485" t="str">
        <f>IF(AND($E4="Capital",$J4="Básico",$S4&gt;=0.01),$DG$2,"")</f>
        <v/>
      </c>
      <c r="DF4" s="485" t="str">
        <f>IF(AND($E4="Custeio",$J4="Básico",$T4&gt;=0.01),$DG$3,"")</f>
        <v/>
      </c>
      <c r="DG4" s="485" t="str">
        <f>IF(AND($E4="capital",$J4="Básico",$T4="",$S4&gt;0),$S4,IF(AND($E4="capital",$J4="Básico",$T4&gt;=0,$S4&gt;0),$S4,IF(AND($E4="capital",$J4="Básico",$T4&lt;=0,$S4&gt;0),$S4,"")))</f>
        <v/>
      </c>
      <c r="DH4" s="485" t="str">
        <f>IF(AND($E4="custeio",$J4="Básico",$S4="",$T4&gt;0),$T4,IF(AND($E4="custeio",$J4="Básico",$S4&gt;=0,$T4&gt;0),$T4,IF(AND($E4="custeio",$J4="Básico",$S4&lt;=0,$T4&gt;0),$T4,"")))</f>
        <v/>
      </c>
      <c r="DI4" s="485" t="str">
        <f>IF(AND($E4="Capital",$J4="Volta Aulas",$S4&gt;=0.01),$DK$2,"")</f>
        <v/>
      </c>
      <c r="DJ4" s="485" t="str">
        <f>IF(AND($E4="Custeio",$J4="Volta Aulas",$T4&gt;=0.01),$DK$3,"")</f>
        <v/>
      </c>
      <c r="DK4" s="485" t="str">
        <f t="shared" ref="DK4:DK35" si="19">IF(AND($E4="capital",$J4="Volta Aulas",$T4="",$S4&gt;0),$S4,IF(AND($E4="capital",$J4="Volta Aulas",$T4&gt;=0,$S4&gt;0),$S4,IF(AND($E4="capital",$J4="Volta Aulas",$T4&lt;=0,$S4&gt;0),$S4,"")))</f>
        <v/>
      </c>
      <c r="DL4" s="485" t="str">
        <f t="shared" ref="DL4:DL35" si="20">IF(AND($E4="custeio",$J4="Volta Aulas",$S4="",$T4&gt;0),$T4,IF(AND($E4="custeio",$J4="Volta Aulas",$S4&gt;=0,$T4&gt;0),$T4,IF(AND($E4="custeio",$J4="Volta Aulas",$S4&lt;=0,$T4&gt;0),$T4,"")))</f>
        <v/>
      </c>
      <c r="DM4" s="485" t="str">
        <f>IF(AND($E4="Capital",$J4="Futuro",$S4&gt;=0.01),$DO$2,"")</f>
        <v/>
      </c>
      <c r="DN4" s="485" t="str">
        <f>IF(AND($E4="Custeio",$J4="Futuro",$T4&gt;=0.01),$DO$3,"")</f>
        <v/>
      </c>
      <c r="DO4" s="485" t="str">
        <f t="shared" ref="DO4:DO35" si="21">IF(AND($E4="capital",$J4="Futuro",$T4="",$S4&gt;0),$S4,IF(AND($E4="capital",$J4="Futuro",$T4&gt;=0,$S4&gt;0),$S4,IF(AND($E4="capital",$J4="Futuro",$T4&lt;=0,$S4&gt;0),$S4,"")))</f>
        <v/>
      </c>
      <c r="DP4" s="485" t="str">
        <f t="shared" ref="DP4:DP35" si="22">IF(AND($E4="custeio",$J4="Futuro",$S4="",$T4&gt;0),$T4,IF(AND($E4="custeio",$J4="Futuro",$S4&gt;=0,$T4&gt;0),$T4,IF(AND($E4="custeio",$J4="Futuro",$S4&lt;=0,$T4&gt;0),$T4,"")))</f>
        <v/>
      </c>
      <c r="DQ4" s="485" t="str">
        <f>IF(AND($E4="Capital",$J4="Rolê",$S4&gt;=0.01),$DS$2,"")</f>
        <v/>
      </c>
      <c r="DR4" s="485" t="str">
        <f>IF(AND($E4="Custeio",$J4="Rolê",$T4&gt;=0.01),$DS$3,"")</f>
        <v/>
      </c>
      <c r="DS4" s="485" t="str">
        <f t="shared" ref="DS4:DS35" si="23">IF(AND($E4="capital",$J4="Rolê",$T4="",$S4&gt;0),$S4,IF(AND($E4="capital",$J4="Rolê",$T4&gt;=0,$S4&gt;0),$S4,IF(AND($E4="capital",$J4="Rolê",$T4&lt;=0,$S4&gt;0),$S4,"")))</f>
        <v/>
      </c>
      <c r="DT4" s="485" t="str">
        <f t="shared" ref="DT4:DT35" si="24">IF(AND($E4="custeio",$J4="Rolê",$S4="",$T4&gt;0),$T4,IF(AND($E4="custeio",$J4="Rolê",$S4&gt;=0,$T4&gt;0),$T4,IF(AND($E4="custeio",$J4="Rolê",$S4&lt;=0,$T4&gt;0),$T4,"")))</f>
        <v/>
      </c>
      <c r="DU4" s="485" t="str">
        <f>IF(AND($E4="Capital",$J4="Imprensa",$S4&gt;=0.01),$DW$2,"")</f>
        <v/>
      </c>
      <c r="DV4" s="485" t="str">
        <f>IF(AND($E4="Custeio",$J4="Imprensa",$T4&gt;=0.01),$DW$3,"")</f>
        <v/>
      </c>
      <c r="DW4" s="485" t="str">
        <f t="shared" ref="DW4:DW35" si="25">IF(AND($E4="capital",$J4="Imprensa",$T4="",$S4&gt;0),$S4,IF(AND($E4="capital",$J4="Imprensa",$T4&gt;=0,$S4&gt;0),$S4,IF(AND($E4="capital",$J4="Imprensa",$T4&lt;=0,$S4&gt;0),$S4,"")))</f>
        <v/>
      </c>
      <c r="DX4" s="485" t="str">
        <f t="shared" ref="DX4:DX35" si="26">IF(AND($E4="custeio",$J4="Imprensa",$S4="",$T4&gt;0),$T4,IF(AND($E4="custeio",$J4="Imprensa",$S4&gt;=0,$T4&gt;0),$T4,IF(AND($E4="custeio",$J4="Imprensa",$S4&lt;=0,$T4&gt;0),$T4,"")))</f>
        <v/>
      </c>
      <c r="DY4" s="485" t="str">
        <f>IF(AND($E4="Capital",$J4="Grêmio",$S4&gt;=0.01),$EA$2,"")</f>
        <v/>
      </c>
      <c r="DZ4" s="485" t="str">
        <f>IF(AND($E4="Custeio",$J4="Grêmio",$T4&gt;=0.01),$EA$3,"")</f>
        <v/>
      </c>
      <c r="EA4" s="485" t="str">
        <f t="shared" ref="EA4:EA35" si="27">IF(AND($E4="capital",$J4="Grêmio",$T4="",$S4&gt;0),$S4,IF(AND($E4="capital",$J4="Grêmio",$T4&gt;=0,$S4&gt;0),$S4,IF(AND($E4="capital",$J4="Grêmio",$T4&lt;=0,$S4&gt;0),$S4,"")))</f>
        <v/>
      </c>
      <c r="EB4" s="485" t="str">
        <f t="shared" ref="EB4:EB35" si="28">IF(AND($E4="custeio",$J4="Grêmio",$S4="",$T4&gt;0),$T4,IF(AND($E4="custeio",$J4="Grêmio",$S4&gt;=0,$T4&gt;0),$T4,IF(AND($E4="custeio",$J4="Grêmio",$S4&lt;=0,$T4&gt;0),$T4,"")))</f>
        <v/>
      </c>
      <c r="EC4" s="485" t="str">
        <f t="shared" ref="EC4:EC35" si="29">IF(AND($E4="Capital",$J4="Formação",$S4&gt;=0.01),$EA$2,"")</f>
        <v/>
      </c>
      <c r="ED4" s="485" t="str">
        <f t="shared" ref="ED4:ED35" si="30">IF(AND($E4="Custeio",$J4="Formação",$T4&gt;=0.01),$EA$3,"")</f>
        <v/>
      </c>
      <c r="EE4" s="485" t="str">
        <f t="shared" ref="EE4:EE35" si="31">IF(AND($E4="capital",$J4="Formação",$T4="",$S4&gt;0),$S4,IF(AND($E4="capital",$J4="Formação",$T4&gt;=0,$S4&gt;0),$S4,IF(AND($E4="capital",$J4="Formação",$T4&lt;=0,$S4&gt;0),$S4,"")))</f>
        <v/>
      </c>
      <c r="EF4" s="485" t="str">
        <f t="shared" ref="EF4:EF35" si="32">IF(AND($E4="custeio",$J4="Formação",$S4="",$T4&gt;0),$T4,IF(AND($E4="custeio",$J4="Formação",$S4&gt;=0,$T4&gt;0),$T4,IF(AND($E4="custeio",$J4="Formação",$S4&lt;=0,$T4&gt;0),$T4,"")))</f>
        <v/>
      </c>
      <c r="EG4" s="485" t="str">
        <f t="shared" ref="EG4:EG35" si="33">IF(AND($E4="Capital",$J4="Mais Escola",$S4&gt;=0.01),$EA$2,"")</f>
        <v/>
      </c>
      <c r="EH4" s="485" t="str">
        <f t="shared" ref="EH4:EH35" si="34">IF(AND($E4="Custeio",$J4="Mais Escola",$T4&gt;=0.01),$EA$3,"")</f>
        <v/>
      </c>
      <c r="EI4" s="485" t="str">
        <f t="shared" ref="EI4:EI35" si="35">IF(AND($E4="capital",$J4="Mais Escola",$T4="",$S4&gt;0),$S4,IF(AND($E4="capital",$J4="Mais Escola",$T4&gt;=0,$S4&gt;0),$S4,IF(AND($E4="capital",$J4="Mais Escola",$T4&lt;=0,$S4&gt;0),$S4,"")))</f>
        <v/>
      </c>
      <c r="EJ4" s="485" t="str">
        <f t="shared" ref="EJ4:EJ35" si="36">IF(AND($E4="custeio",$J4="Mais Escola",$S4="",$T4&gt;0),$T4,IF(AND($E4="custeio",$J4="Mais Escola",$S4&gt;=0,$T4&gt;0),$T4,IF(AND($E4="custeio",$J4="Mais Escola",$S4&lt;=0,$T4&gt;0),$T4,"")))</f>
        <v/>
      </c>
      <c r="EK4" s="485"/>
      <c r="EL4" s="485"/>
      <c r="EM4" s="485"/>
      <c r="EN4" s="485"/>
      <c r="EO4" s="548"/>
      <c r="EP4" s="548"/>
      <c r="EQ4" s="548"/>
      <c r="ER4" s="548"/>
      <c r="ES4" s="548"/>
      <c r="ET4" s="769"/>
      <c r="EU4" s="768"/>
      <c r="EV4" s="769"/>
      <c r="EW4" s="768"/>
      <c r="EX4" s="768"/>
      <c r="EY4" s="768"/>
      <c r="EZ4" s="768"/>
      <c r="FA4" s="798"/>
      <c r="FB4" s="798">
        <f t="array" ref="FB4">IF(SUM((FA4=$FA$3:FA3)*1)=0,FA4,0)</f>
        <v>0</v>
      </c>
      <c r="FC4" s="798"/>
      <c r="FD4" s="798"/>
      <c r="FE4" s="798">
        <f t="array" ref="FE4">IF(SUM((FD4=$FD$3:FD3)*1)=0,FD4,0)</f>
        <v>0</v>
      </c>
      <c r="FF4" s="798"/>
      <c r="FG4" s="798"/>
      <c r="FH4" s="798"/>
      <c r="FI4" s="798">
        <f t="array" ref="FI4">IF(SUM((FH4=$FH$3:FH3)*1)=0,FH4,0)</f>
        <v>0</v>
      </c>
      <c r="FJ4" s="798"/>
      <c r="FK4" s="798"/>
      <c r="FL4" s="798">
        <f t="array" ref="FL4">IF(SUM((FK4=$FK$3:FK3)*1)=0,FK4,0)</f>
        <v>0</v>
      </c>
      <c r="FM4" s="798"/>
      <c r="FN4" s="798"/>
      <c r="FO4" s="798"/>
      <c r="FP4" s="798">
        <f t="array" ref="FP4">IF(SUM((FO4=$FO$3:FO3)*1)=0,FO4,0)</f>
        <v>0</v>
      </c>
      <c r="FQ4" s="798"/>
      <c r="FR4" s="798"/>
      <c r="FS4" s="798">
        <f t="array" ref="FS4">IF(SUM((FR4=$FR$3:FR3)*1)=0,FR4,0)</f>
        <v>0</v>
      </c>
      <c r="FT4" s="798"/>
      <c r="FU4" s="798"/>
      <c r="FV4" s="798"/>
      <c r="FW4" s="798">
        <f t="array" ref="FW4">IF(SUM((FV4=$FV$3:FV3)*1)=0,FV4,0)</f>
        <v>0</v>
      </c>
      <c r="FX4" s="798"/>
      <c r="FY4" s="798"/>
      <c r="FZ4" s="798">
        <f t="array" ref="FZ4">IF(SUM((FY4=$FY$3:FY3)*1)=0,FY4,0)</f>
        <v>0</v>
      </c>
      <c r="GA4" s="798"/>
      <c r="GB4" s="798"/>
      <c r="GC4" s="798"/>
      <c r="GD4" s="798">
        <f t="array" ref="GD4">IF(SUM((GC4=$GC$3:GC3)*1)=0,GC4,0)</f>
        <v>0</v>
      </c>
      <c r="GE4" s="798"/>
      <c r="GF4" s="798"/>
      <c r="GG4" s="798">
        <f t="array" ref="GG4">IF(SUM((GF4=$GF$3:GF3)*1)=0,GF4,0)</f>
        <v>0</v>
      </c>
      <c r="GH4" s="798"/>
      <c r="GI4" s="798"/>
      <c r="GJ4" s="798"/>
      <c r="GK4" s="798">
        <f t="array" ref="GK4">IF(SUM((GJ4=$GJ$3:GJ3)*1)=0,GJ4,0)</f>
        <v>0</v>
      </c>
      <c r="GL4" s="798"/>
      <c r="GM4" s="798"/>
      <c r="GN4" s="798">
        <f t="array" ref="GN4">IF(SUM((GM4=$GM$3:GM3)*1)=0,GM4,0)</f>
        <v>0</v>
      </c>
      <c r="GO4" s="798"/>
      <c r="GP4" s="798"/>
      <c r="GQ4" s="798"/>
      <c r="GR4" s="798">
        <f t="array" ref="GR4">IF(SUM((GQ4=$GQ$3:GQ3)*1)=0,GQ4,0)</f>
        <v>0</v>
      </c>
      <c r="GS4" s="798"/>
      <c r="GT4" s="798"/>
      <c r="GU4" s="798">
        <f t="array" ref="GU4">IF(SUM((GT4=$GT$3:GT3)*1)=0,GT4,0)</f>
        <v>0</v>
      </c>
      <c r="GV4" s="798"/>
      <c r="GW4" s="798"/>
      <c r="GX4" s="798"/>
      <c r="GY4" s="798">
        <f t="array" ref="GY4">IF(SUM((GX4=$GX$3:GX3)*1)=0,GX4,0)</f>
        <v>0</v>
      </c>
      <c r="GZ4" s="798"/>
      <c r="HA4" s="798"/>
      <c r="HB4" s="798">
        <f t="array" ref="HB4">IF(SUM((HA4=$HA$3:HA3)*1)=0,HA4,0)</f>
        <v>0</v>
      </c>
      <c r="HC4" s="798"/>
      <c r="HD4" s="798"/>
      <c r="HE4" s="769" t="str">
        <f>IFERROR(IF($A4="","",IF(HE$2=0,0,IF(AND($J4="Básico",$P4&lt;&gt;"",$R4&lt;$P$164,$S4&lt;&gt;""),(HE2-$S4),HE2))),"")</f>
        <v/>
      </c>
      <c r="HF4" s="768" t="str">
        <f>IF(HE4&lt;0,"Invadiu REP-BA-C","")</f>
        <v/>
      </c>
      <c r="HG4" s="769" t="str">
        <f>IFERROR(IF($A4="","",IF(HG$2=0,0,IF(AND($J4="Básico",$R4&lt;$P$164),HG2,IF(AND($J4="Básico",$R4&gt;=$P$164,HE4&lt;=0),(HG2-$S4),HG2)))),"")</f>
        <v/>
      </c>
      <c r="HH4" s="768" t="str">
        <f>IF(HG4&lt;0,"Invadiu REC-BA-C","")</f>
        <v/>
      </c>
      <c r="HI4" s="769" t="str">
        <f>IFERROR(IF($A4="","",IF(HI$2=0,0,IF(AND($J4="Básico",$R4&lt;&gt;"",$T4&lt;&gt;""),(HI2-$T4),HI2))),"")</f>
        <v/>
      </c>
      <c r="HJ4" s="768" t="str">
        <f>IF(HI4&lt;0,"Invadiu REP-BA-K","")</f>
        <v/>
      </c>
      <c r="HK4" s="769" t="str">
        <f>IFERROR(IF($A4="","",IF(HK$2=0,0,IF(AND($J4="Básico",$R4&lt;$P$165),HK2,IF(AND($J4="Básico",$R4&gt;=$P$165,HI4&lt;=0),(HK2-$T4),HK2)))),"")</f>
        <v/>
      </c>
      <c r="HL4" s="768" t="str">
        <f>IF(HK4&lt;0,"Invadiu REC-BA-K","")</f>
        <v/>
      </c>
      <c r="HM4" s="769" t="str">
        <f>IFERROR(IF($A4="","",IF(HM$2=0,0,IF(AND($J4="Volta Aulas",$P4&lt;&gt;"",$R4&lt;$P$164,$S4&lt;&gt;""),(HM2-$S4),HM2))),"")</f>
        <v/>
      </c>
      <c r="HN4" s="768" t="str">
        <f>IF(HM4&lt;0,"Invadiu REP-BA-C","")</f>
        <v/>
      </c>
      <c r="HO4" s="769" t="str">
        <f>IFERROR(IF($A4="","",IF(HO$2=0,0,IF(AND($J4="Volta Aulas",$R4&lt;$P$164),HO2,IF(AND($J4="Volta Aulas",$R4&gt;=$P$164,HM4&lt;=0),(HO2-$S4),HO2)))),"")</f>
        <v/>
      </c>
      <c r="HP4" s="768" t="str">
        <f>IF(HO4&lt;0,"Invadiu REC-BA-C","")</f>
        <v/>
      </c>
      <c r="HQ4" s="769" t="str">
        <f>IFERROR(IF($A4="","",IF(HQ$2=0,0,IF(AND($J4="Volta Aulas",$R4&lt;&gt;"",$T4&lt;&gt;""),(HQ2-$T4),HQ2))),"")</f>
        <v/>
      </c>
      <c r="HR4" s="768" t="str">
        <f>IF(HQ4&lt;0,"Invadiu REP-BA-K","")</f>
        <v/>
      </c>
      <c r="HS4" s="769" t="str">
        <f>IFERROR(IF($A4="","",IF(HS$2=0,0,IF(AND($J4="Volta Aulas",$R4&lt;$P$165),HS2,IF(AND($J4="Volta Aulas",$R4&gt;=$P$165,HQ4&lt;=0),(HS2-$T4),HS2)))),"")</f>
        <v/>
      </c>
      <c r="HT4" s="768" t="str">
        <f>IF(HS4&lt;0,"Invadiu REC-BA-K","")</f>
        <v/>
      </c>
      <c r="HU4" s="769" t="str">
        <f>IFERROR(IF($A4="","",IF(HU$2=0,0,IF(AND($J4="Futuro",$P4&lt;&gt;"",$R4&lt;$P$164,$S4&lt;&gt;""),(HU2-$S4),HU2))),"")</f>
        <v/>
      </c>
      <c r="HV4" s="768" t="str">
        <f>IF(HU4&lt;0,"Invadiu REP-BA-C","")</f>
        <v/>
      </c>
      <c r="HW4" s="769" t="str">
        <f>IFERROR(IF($A4="","",IF(HW$2=0,0,IF(AND($J4="Futuro",$R4&lt;$P$164),HW2,IF(AND($J4="Futuro",$R4&gt;=$P$164,HU4&lt;=0),(HW2-$S4),HW2)))),"")</f>
        <v/>
      </c>
      <c r="HX4" s="768" t="str">
        <f>IF(HW4&lt;0,"Invadiu REC-BA-C","")</f>
        <v/>
      </c>
      <c r="HY4" s="769" t="str">
        <f>IFERROR(IF($A4="","",IF(HY$2=0,0,IF(AND($J4="Futuro",$R4&lt;&gt;"",$T4&lt;&gt;""),(HY2-$T4),HY2))),"")</f>
        <v/>
      </c>
      <c r="HZ4" s="768" t="str">
        <f>IF(HY4&lt;0,"Invadiu REP-BA-K","")</f>
        <v/>
      </c>
      <c r="IA4" s="769" t="str">
        <f>IFERROR(IF($A4="","",IF(IA$2=0,0,IF(AND($J4="Futuro",$R4&lt;$P$165),IA2,IF(AND($J4="Futuro",$R4&gt;=$P$165,HY4&lt;=0),(IA2-$T4),IA2)))),"")</f>
        <v/>
      </c>
      <c r="IB4" s="768" t="str">
        <f>IF(IA4&lt;0,"Invadiu REC-BA-K","")</f>
        <v/>
      </c>
      <c r="IC4" s="769" t="str">
        <f>IFERROR(IF($A4="","",IF(IC$2=0,0,IF(AND($J4="Rolê",$P4&lt;&gt;"",$R4&lt;$P$164,$S4&lt;&gt;""),(IC2-$S4),IC2))),"")</f>
        <v/>
      </c>
      <c r="ID4" s="768" t="str">
        <f>IF(IC4&lt;0,"Invadiu REP-BA-C","")</f>
        <v/>
      </c>
      <c r="IE4" s="769" t="str">
        <f>IFERROR(IF($A4="","",IF(IE$2=0,0,IF(AND($J4="Rolê",$R4&lt;$P$164),IE2,IF(AND($J4="Rolê",$R4&gt;=$P$164,IC4&lt;=0),(IE2-$S4),IE2)))),"")</f>
        <v/>
      </c>
      <c r="IF4" s="768" t="str">
        <f>IF(IE4&lt;0,"Invadiu REC-BA-C","")</f>
        <v/>
      </c>
      <c r="IG4" s="769" t="str">
        <f>IFERROR(IF($A4="","",IF(IG$2=0,0,IF(AND($J4="Rolê",$R4&lt;&gt;"",$T4&lt;&gt;""),(IG2-$T4),IG2))),"")</f>
        <v/>
      </c>
      <c r="IH4" s="768" t="str">
        <f>IF(IG4&lt;0,"Invadiu REP-BA-K","")</f>
        <v/>
      </c>
      <c r="II4" s="769" t="str">
        <f>IFERROR(IF($A4="","",IF(II$2=0,0,IF(AND($J4="Rolê",$R4&lt;$P$165),II2,IF(AND($J4="Rolê",$R4&gt;=$P$165,IG4&lt;=0),(II2-$T4),II2)))),"")</f>
        <v/>
      </c>
      <c r="IJ4" s="768" t="str">
        <f>IF(II4&lt;0,"Invadiu REC-BA-K","")</f>
        <v/>
      </c>
      <c r="IK4" s="769" t="str">
        <f>IFERROR(IF($A4="","",IF(IK$2=0,0,IF(AND($J4="Imprensa",$P4&lt;&gt;"",$R4&lt;$P$164,$S4&lt;&gt;""),(IK2-$S4),IK2))),"")</f>
        <v/>
      </c>
      <c r="IL4" s="768" t="str">
        <f>IF(IK4&lt;0,"Invadiu REP-BA-C","")</f>
        <v/>
      </c>
      <c r="IM4" s="769" t="str">
        <f>IFERROR(IF($A4="","",IF(IM$2=0,0,IF(AND($J4="Imprensa",$R4&lt;$P$164),IM2,IF(AND($J4="Imprensa",$R4&gt;=$P$164,IK4&lt;=0),(IM2-$S4),IM2)))),"")</f>
        <v/>
      </c>
      <c r="IN4" s="768" t="str">
        <f>IF(IM4&lt;0,"Invadiu REC-BA-C","")</f>
        <v/>
      </c>
      <c r="IO4" s="769" t="str">
        <f>IFERROR(IF($A4="","",IF(IO$2=0,0,IF(AND($J4="Imprensa",$R4&lt;&gt;"",$T4&lt;&gt;""),(IO2-$T4),IO2))),"")</f>
        <v/>
      </c>
      <c r="IP4" s="768" t="str">
        <f>IF(IO4&lt;0,"Invadiu REP-BA-K","")</f>
        <v/>
      </c>
      <c r="IQ4" s="769" t="str">
        <f>IFERROR(IF($A4="","",IF(IQ$2=0,0,IF(AND($J4="Imprensa",$R4&lt;$P$165),IQ2,IF(AND($J4="Imprensa",$R4&gt;=$P$165,IO4&lt;=0),(IQ2-$T4),IQ2)))),"")</f>
        <v/>
      </c>
      <c r="IR4" s="768" t="str">
        <f>IF(IQ4&lt;0,"Invadiu REC-BA-K","")</f>
        <v/>
      </c>
      <c r="IS4" s="769" t="str">
        <f>IFERROR(IF($A4="","",IF(IS$2=0,0,IF(AND($J4="Grêmio",$P4&lt;&gt;"",$R4&lt;$P$164,$S4&lt;&gt;""),(IS2-$S4),IS2))),"")</f>
        <v/>
      </c>
      <c r="IT4" s="768" t="str">
        <f>IF(IS4&lt;0,"Invadiu REP-BA-C","")</f>
        <v/>
      </c>
      <c r="IU4" s="769" t="str">
        <f>IFERROR(IF($A4="","",IF(IU$2=0,0,IF(AND($J4="Grêmio",$R4&lt;$P$164),IU2,IF(AND($J4="Grêmio",$R4&gt;=$P$164,IS4&lt;=0),(IU2-$S4),IU2)))),"")</f>
        <v/>
      </c>
      <c r="IV4" s="768" t="str">
        <f>IF(IU4&lt;0,"Invadiu REC-BA-C","")</f>
        <v/>
      </c>
      <c r="IW4" s="769" t="str">
        <f>IFERROR(IF($A4="","",IF(IW$2=0,0,IF(AND($J4="Grêmio",$R4&lt;&gt;"",$T4&lt;&gt;""),(IW2-$T4),IW2))),"")</f>
        <v/>
      </c>
      <c r="IX4" s="768" t="str">
        <f>IF(IW4&lt;0,"Invadiu REP-BA-K","")</f>
        <v/>
      </c>
      <c r="IY4" s="769" t="str">
        <f>IFERROR(IF($A4="","",IF(IY$2=0,0,IF(AND($J4="Grêmio",$R4&lt;$P$165),IY2,IF(AND($J4="Grêmio",$R4&gt;=$P$165,IW4&lt;=0),(IY2-$T4),IY2)))),"")</f>
        <v/>
      </c>
      <c r="IZ4" s="768" t="str">
        <f>IF(IY4&lt;0,"Invadiu REC-BA-K","")</f>
        <v/>
      </c>
      <c r="JA4" s="769" t="str">
        <f>IFERROR(IF($A4="","",IF(JA$2=0,0,IF(AND($J4="Formação",$P4&lt;&gt;"",$R4&lt;$P$164,$S4&lt;&gt;""),(JA2-$S4),JA2))),"")</f>
        <v/>
      </c>
      <c r="JB4" s="768" t="str">
        <f>IF(JA4&lt;0,"Invadiu REP-BA-C","")</f>
        <v/>
      </c>
      <c r="JC4" s="769" t="str">
        <f>IFERROR(IF($A4="","",IF(JC$2=0,0,IF(AND($J4="Formação",$R4&lt;$P$164),JC2,IF(AND($J4="Formação",$R4&gt;=$P$164,JA4&lt;=0),(JC2-$S4),JC2)))),"")</f>
        <v/>
      </c>
      <c r="JD4" s="768" t="str">
        <f>IF(JC4&lt;0,"Invadiu REC-BA-C","")</f>
        <v/>
      </c>
      <c r="JE4" s="769" t="str">
        <f>IFERROR(IF($A4="","",IF(JE$2=0,0,IF(AND($J4="Formação",$R4&lt;&gt;"",$T4&lt;&gt;""),(JE2-$T4),JE2))),"")</f>
        <v/>
      </c>
      <c r="JF4" s="768" t="str">
        <f>IF(JE4&lt;0,"Invadiu REP-BA-K","")</f>
        <v/>
      </c>
      <c r="JG4" s="769" t="str">
        <f>IFERROR(IF($A4="","",IF(JG$2=0,0,IF(AND($J4="Formação",$R4&lt;$P$165),JG2,IF(AND($J4="Formação",$R4&gt;=$P$165,JE4&lt;=0),(JG2-$T4),JG2)))),"")</f>
        <v/>
      </c>
      <c r="JH4" s="768" t="str">
        <f>IF(JG4&lt;0,"Invadiu REC-BA-K","")</f>
        <v/>
      </c>
      <c r="JI4" s="769" t="str">
        <f>IFERROR(IF($A4="","",IF(JI$2=0,0,IF(AND($J4="Mais Escola",$P4&lt;&gt;"",$R4&lt;$P$164,$S4&lt;&gt;""),(JI2-$S4),JI2))),"")</f>
        <v/>
      </c>
      <c r="JJ4" s="768" t="str">
        <f>IF(JI4&lt;0,"Invadiu REP-BA-C","")</f>
        <v/>
      </c>
      <c r="JK4" s="769" t="str">
        <f>IFERROR(IF($A4="","",IF(JK$2=0,0,IF(AND($J4="Mais Escola",$R4&lt;$P$164),JK2,IF(AND($J4="Mais Escola",$R4&gt;=$P$164,JI4&lt;=0),(JK2-$S4),JK2)))),"")</f>
        <v/>
      </c>
      <c r="JL4" s="768" t="str">
        <f>IF(JK4&lt;0,"Invadiu REC-BA-C","")</f>
        <v/>
      </c>
      <c r="JM4" s="769" t="str">
        <f>IFERROR(IF($A4="","",IF(JM$2=0,0,IF(AND($J4="Mais Escola",$R4&lt;&gt;"",$T4&lt;&gt;""),(JM2-$T4),JM2))),"")</f>
        <v/>
      </c>
      <c r="JN4" s="768" t="str">
        <f>IF(JM4&lt;0,"Invadiu REP-BA-K","")</f>
        <v/>
      </c>
      <c r="JO4" s="769" t="str">
        <f>IFERROR(IF($A4="","",IF(JO$2=0,0,IF(AND($J4="Mais Escola",$R4&lt;$P$165),JO2,IF(AND($J4="Mais Escola",$R4&gt;=$P$165,JM4&lt;=0),(JO2-$T4),JO2)))),"")</f>
        <v/>
      </c>
      <c r="JP4" s="768" t="str">
        <f>IF(JO4&lt;0,"Invadiu REC-BA-K","")</f>
        <v/>
      </c>
      <c r="JQ4" s="769" t="str">
        <f>IFERROR(IF($A4="","",IF(JQ$2=0,0,IF(AND($J4="Livre Aplic.",$P4&lt;&gt;"",$R4&lt;$P$164,$S4&lt;&gt;""),(JQ2-$S4),JQ2))),"")</f>
        <v/>
      </c>
      <c r="JR4" s="768" t="str">
        <f>IF(JQ4&lt;0,"Invadiu REP-BA-C","")</f>
        <v/>
      </c>
      <c r="JS4" s="769" t="str">
        <f>IFERROR(IF($A4="","",IF(JS$2=0,0,IF(AND($J4="Livre Aplic.",$R4&lt;$P$164),JS2,IF(AND($J4="Livre Aplic.",$R4&gt;=$P$164,JQ4&lt;=0),(JS2-$S4),JS2)))),"")</f>
        <v/>
      </c>
      <c r="JT4" s="768" t="str">
        <f>IF(JS4&lt;0,"Invadiu REC-BA-C","")</f>
        <v/>
      </c>
      <c r="JU4" s="769" t="str">
        <f>IFERROR(IF($A4="","",IF(JU$2=0,0,IF(AND($J4="Livre Aplic.",$R4&lt;&gt;"",$T4&lt;&gt;""),(JU2-$T4),JU2))),"")</f>
        <v/>
      </c>
      <c r="JV4" s="768" t="str">
        <f>IF(JU4&lt;0,"Invadiu REP-BA-K","")</f>
        <v/>
      </c>
      <c r="JW4" s="769" t="str">
        <f>IFERROR(IF($A4="","",IF(JW$2=0,0,IF(AND($J4="Livre Aplic.",$R4&lt;$P$165),JW2,IF(AND($J4="Livre Aplic.",$R4&gt;=$P$165,JU4&lt;=0),(JW2-$T4),JW2)))),"")</f>
        <v/>
      </c>
      <c r="JX4" s="768" t="str">
        <f>IF(JW4&lt;0,"Invadiu REC-BA-K","")</f>
        <v/>
      </c>
      <c r="JY4" s="768" t="str">
        <f>IF(KA4="","",LEN(KA4))</f>
        <v/>
      </c>
      <c r="JZ4" s="485" t="str">
        <f>IF(JY4="","",IF(AND(C4=$C$164,JY4&lt;&gt;""),Verificarcpf(D4),IF(AND(C4=$C$165,JY4&lt;&gt;""),VerificarCNPJ(D4))))</f>
        <v/>
      </c>
      <c r="KA4" s="768" t="str">
        <f>IF(D4="","",TEXT(SUMPRODUCT(MID(0&amp;D4,LARGE(INDEX(ISNUMBER(--MID(D4,ROW($1:$25),1))*ROW($1:$25),0),ROW($1:$25))+1,1)*10^ROW($1:$25)/10),"00000000000"))</f>
        <v/>
      </c>
      <c r="KB4" s="485">
        <f>IF(AND(E4=$KG$12,R4&gt;=$W$1,T4&gt;0),T4,0)</f>
        <v>0</v>
      </c>
      <c r="KC4" s="768">
        <f>KB4</f>
        <v>0</v>
      </c>
      <c r="KD4" s="485">
        <f>IF(KB4=0,0,IF(IJ4&gt;$X$1,KC4-$X$1-KD3,0))</f>
        <v>0</v>
      </c>
      <c r="KE4" s="548"/>
      <c r="KF4" s="548">
        <f>COUNTIF($KK$4:$KK$163,KG4)</f>
        <v>0</v>
      </c>
      <c r="KG4" s="548" t="s">
        <v>582</v>
      </c>
      <c r="KH4" s="548"/>
      <c r="KI4" s="548"/>
      <c r="KJ4" s="548" t="str">
        <f>IF(B4&amp;C4&amp;D4&amp;G4&amp;M4&amp;N4&amp;O4&amp;P4&amp;Q4&amp;R4&amp;S4&amp;T4&amp;V4="","",IF(AND(N4=$N$164,Q4&lt;&gt;""),$KF$2,IF(U4=$KG$11,$KG$11,IF(AND($Q4&lt;&gt;"",$V4=""),$KG$4,IF(B4="",$KG$6,IF(G4="",$KG$7,IF(OR(JZ4=$KG$16,JZ4=$KG$17),JZ4,IF(M4="",$KG$8,IF(N4="",$KG$9,IF(N4=$KG$10,$KJ$3,IF(S4+T4=0,$KG$11,$KJ$3)))))))))))</f>
        <v/>
      </c>
      <c r="KK4" s="548"/>
      <c r="KL4" s="548"/>
      <c r="KM4" s="548">
        <f t="array" ref="KM4">IF(SUM((KL4=$KL$3:KL3)*1)=0,KL4,0)</f>
        <v>0</v>
      </c>
      <c r="KN4" s="548"/>
      <c r="KO4" s="548"/>
      <c r="KP4" s="548"/>
      <c r="KQ4" s="548"/>
      <c r="KR4" s="548" t="str">
        <f>IF(AH4="","",LEN(AH4))</f>
        <v/>
      </c>
      <c r="KS4" s="548"/>
      <c r="KT4" s="548"/>
      <c r="KU4" s="548"/>
      <c r="KV4" s="548"/>
      <c r="KW4" s="548"/>
      <c r="KX4" s="548"/>
      <c r="KY4" s="548"/>
      <c r="KZ4" s="548"/>
      <c r="LA4" s="548"/>
      <c r="LB4" s="548"/>
      <c r="LC4" s="485" t="str">
        <f>IF(LD4&lt;&gt;"",$CY4,"")</f>
        <v/>
      </c>
      <c r="LD4" s="548"/>
      <c r="LE4" s="548"/>
      <c r="LF4" s="548"/>
      <c r="LG4" s="548"/>
      <c r="LH4" s="548"/>
      <c r="LI4" s="548"/>
      <c r="LJ4" s="548"/>
      <c r="LK4" s="548"/>
      <c r="LL4" s="548"/>
      <c r="LM4" s="548"/>
      <c r="LN4" s="548"/>
      <c r="LO4" s="548"/>
      <c r="LP4" s="485" t="str">
        <f>IF(LQ4&lt;&gt;"",$CY4,"")</f>
        <v/>
      </c>
      <c r="LQ4" s="548"/>
      <c r="LR4" s="548"/>
      <c r="LS4" s="548"/>
      <c r="LT4" s="548"/>
      <c r="LU4" s="548"/>
      <c r="LV4" s="548"/>
      <c r="LW4" s="548"/>
      <c r="LX4" s="548"/>
      <c r="LY4" s="548"/>
      <c r="LZ4" s="548"/>
      <c r="MA4" s="548"/>
      <c r="MB4" s="548"/>
      <c r="MC4" s="485" t="str">
        <f>IF(MD4&lt;&gt;"",$CY4,"")</f>
        <v/>
      </c>
      <c r="MD4" s="548"/>
      <c r="ME4" s="548"/>
      <c r="MF4" s="548"/>
      <c r="MG4" s="548"/>
      <c r="MH4" s="548"/>
      <c r="MI4" s="548"/>
      <c r="MJ4" s="548"/>
      <c r="MK4" s="548"/>
      <c r="ML4" s="548"/>
      <c r="MM4" s="548"/>
      <c r="MN4" s="548"/>
      <c r="MO4" s="548"/>
      <c r="MP4" s="485" t="str">
        <f>IF(MQ4&lt;&gt;"",$CY4,"")</f>
        <v/>
      </c>
      <c r="MQ4" s="548"/>
      <c r="MR4" s="548"/>
      <c r="MS4" s="548"/>
      <c r="MT4" s="548"/>
      <c r="MU4" s="548"/>
      <c r="MV4" s="548"/>
      <c r="MW4" s="548"/>
      <c r="MX4" s="548"/>
      <c r="MY4" s="548"/>
      <c r="MZ4" s="548"/>
      <c r="NA4" s="548"/>
      <c r="NB4" s="548"/>
      <c r="NC4" s="485" t="str">
        <f>IF(ND4&lt;&gt;"",$CY4,"")</f>
        <v/>
      </c>
      <c r="ND4" s="548"/>
      <c r="NE4" s="548"/>
      <c r="NF4" s="548"/>
      <c r="NG4" s="548"/>
      <c r="NH4" s="548"/>
      <c r="NI4" s="548"/>
      <c r="NJ4" s="548"/>
      <c r="NK4" s="548"/>
      <c r="NL4" s="548"/>
      <c r="NM4" s="548"/>
      <c r="NN4" s="548"/>
      <c r="NO4" s="548"/>
      <c r="NP4" s="485" t="str">
        <f>IF(NQ4&lt;&gt;"",$CY4,"")</f>
        <v/>
      </c>
      <c r="NQ4" s="548"/>
      <c r="NR4" s="548"/>
      <c r="NS4" s="548"/>
      <c r="NT4" s="548"/>
      <c r="NU4" s="548"/>
      <c r="NV4" s="548"/>
      <c r="NW4" s="548"/>
      <c r="NX4" s="548"/>
      <c r="NY4" s="548"/>
      <c r="NZ4" s="548"/>
      <c r="OA4" s="548"/>
      <c r="OB4" s="548"/>
      <c r="OC4" s="485" t="str">
        <f>IF(OD4&lt;&gt;"",$CY4,"")</f>
        <v/>
      </c>
      <c r="OD4" s="548"/>
      <c r="OE4" s="548"/>
      <c r="OF4" s="548"/>
      <c r="OG4" s="548"/>
      <c r="OH4" s="548"/>
      <c r="OI4" s="548"/>
      <c r="OJ4" s="548"/>
      <c r="OK4" s="548"/>
      <c r="OL4" s="548"/>
      <c r="OM4" s="548"/>
      <c r="ON4" s="548"/>
      <c r="OO4" s="548"/>
      <c r="OP4" s="548"/>
      <c r="OQ4" s="548"/>
      <c r="OR4" s="548"/>
      <c r="OS4" s="548"/>
      <c r="OT4" s="548"/>
      <c r="OU4" s="548"/>
      <c r="OV4" s="548"/>
      <c r="OW4" s="548"/>
      <c r="OX4" s="548"/>
      <c r="OY4" s="548"/>
      <c r="OZ4" s="548"/>
      <c r="PA4" s="548"/>
      <c r="PB4" s="548"/>
      <c r="PC4" s="548"/>
      <c r="PD4" s="548"/>
      <c r="PE4" s="548"/>
      <c r="PF4" s="548"/>
      <c r="PG4" s="548"/>
      <c r="PH4" s="548"/>
      <c r="PI4" s="548"/>
      <c r="PJ4" s="548"/>
      <c r="PK4" s="548"/>
      <c r="PL4" s="548"/>
      <c r="PM4" s="548"/>
      <c r="PN4" s="548"/>
      <c r="PO4" s="548"/>
      <c r="PP4" s="548"/>
      <c r="PQ4" s="548"/>
      <c r="PR4" s="548"/>
      <c r="PS4" s="548"/>
      <c r="PT4" s="1001">
        <f>SUM($LL$4:$LL$18)</f>
        <v>0</v>
      </c>
      <c r="PU4" s="1001">
        <f>SUM($LM$4:$LM$18)</f>
        <v>0</v>
      </c>
      <c r="PV4" s="768"/>
      <c r="PW4" s="1001">
        <f>SUM($LY$4:$LY$18)</f>
        <v>0</v>
      </c>
      <c r="PX4" s="1001">
        <f>SUM($LZ$4:$LZ$18)</f>
        <v>0</v>
      </c>
      <c r="PY4" s="548"/>
      <c r="PZ4" s="1001">
        <f>SUM($ML$4:$ML$18)</f>
        <v>0</v>
      </c>
      <c r="QA4" s="1001">
        <f>SUM($MM$4:$MM$18)</f>
        <v>0</v>
      </c>
      <c r="QB4" s="768"/>
      <c r="QC4" s="1001">
        <f>SUM($MY$4:$MY$18)</f>
        <v>0</v>
      </c>
      <c r="QD4" s="1001">
        <f>SUM($MZ$4:$MZ$18)</f>
        <v>0</v>
      </c>
      <c r="QE4" s="548"/>
      <c r="QF4" s="1001">
        <f>SUM($NL$4:$NL$18)</f>
        <v>0</v>
      </c>
      <c r="QG4" s="1001">
        <f>SUM($NM$4:$NM$18)</f>
        <v>0</v>
      </c>
      <c r="QH4" s="548"/>
      <c r="QI4" s="1001">
        <f>SUM($NY$4:$NY$18)</f>
        <v>0</v>
      </c>
      <c r="QJ4" s="1001">
        <f>SUM($NZ$4:$NZ$18)</f>
        <v>0</v>
      </c>
      <c r="QK4" s="548"/>
      <c r="QL4" s="1001">
        <f>SUM($OL$4:$OL$18)</f>
        <v>0</v>
      </c>
      <c r="QM4" s="1001">
        <f>SUM($OM$4:$OM$18)</f>
        <v>0</v>
      </c>
      <c r="QN4" s="548"/>
      <c r="QO4" s="548"/>
      <c r="QP4" s="548"/>
      <c r="QQ4" s="1009"/>
      <c r="QR4" s="548"/>
      <c r="QS4" s="548"/>
      <c r="QT4" s="548"/>
      <c r="QU4" s="548"/>
      <c r="QV4" s="548"/>
      <c r="QW4" s="548"/>
      <c r="QX4" s="548"/>
      <c r="QY4" s="548"/>
      <c r="QZ4" s="548"/>
      <c r="RA4" s="548"/>
      <c r="RB4" s="548"/>
      <c r="RC4" s="548"/>
      <c r="RD4" s="548"/>
      <c r="RE4" s="548"/>
      <c r="RF4" s="548"/>
      <c r="RG4" s="548"/>
      <c r="RH4" s="548"/>
      <c r="RI4" s="548"/>
      <c r="RJ4" s="548"/>
      <c r="RK4" s="548"/>
      <c r="RL4" s="548"/>
      <c r="RM4" s="548"/>
      <c r="RN4" s="548"/>
      <c r="RO4" s="548"/>
      <c r="RP4" s="548"/>
      <c r="RQ4" s="548"/>
      <c r="RR4" s="548"/>
      <c r="RS4" s="548"/>
      <c r="RT4" s="548"/>
      <c r="RU4" s="548"/>
      <c r="RV4" s="548"/>
      <c r="RW4" s="548"/>
      <c r="RX4" s="548"/>
      <c r="RY4" s="548"/>
      <c r="RZ4" s="548"/>
      <c r="SA4" s="548"/>
      <c r="SB4" s="548"/>
      <c r="SC4" s="548"/>
      <c r="SD4" s="548"/>
      <c r="SE4" s="548"/>
      <c r="SF4" s="548"/>
      <c r="SG4" s="548"/>
      <c r="SH4" s="548"/>
      <c r="SI4" s="548"/>
      <c r="SJ4" s="548"/>
      <c r="SK4" s="548"/>
      <c r="SL4" s="548"/>
      <c r="SM4" s="548"/>
      <c r="SN4" s="548"/>
      <c r="SO4" s="548"/>
      <c r="SP4" s="548"/>
      <c r="SQ4" s="548"/>
      <c r="SR4" s="548"/>
      <c r="SS4" s="548"/>
      <c r="ST4" s="548"/>
      <c r="SU4" s="548"/>
      <c r="SV4" s="548"/>
      <c r="SW4" s="548"/>
      <c r="SX4" s="548"/>
      <c r="SY4" s="548"/>
      <c r="SZ4" s="548"/>
      <c r="TA4" s="548"/>
      <c r="TB4" s="548"/>
      <c r="TC4" s="548"/>
      <c r="TD4" s="548"/>
      <c r="TE4" s="548"/>
      <c r="TF4" s="548"/>
      <c r="TG4" s="548"/>
      <c r="TH4" s="548"/>
      <c r="TI4" s="548"/>
      <c r="TJ4" s="548"/>
      <c r="TK4" s="548"/>
      <c r="TL4" s="548"/>
      <c r="TM4" s="548"/>
      <c r="TN4" s="548"/>
      <c r="TO4" s="548"/>
      <c r="TP4" s="548"/>
      <c r="TQ4" s="548"/>
      <c r="TR4" s="548"/>
      <c r="TS4" s="548"/>
      <c r="TT4" s="548"/>
      <c r="TU4" s="548"/>
      <c r="TV4" s="548"/>
      <c r="TW4" s="548"/>
      <c r="TX4" s="548"/>
      <c r="TY4" s="548"/>
      <c r="TZ4" s="548"/>
      <c r="UA4" s="548"/>
      <c r="UB4" s="548"/>
      <c r="UC4" s="548"/>
      <c r="UD4" s="548"/>
      <c r="UE4" s="548"/>
      <c r="UF4" s="548"/>
      <c r="UG4" s="548"/>
      <c r="UH4" s="548"/>
      <c r="UI4" s="548"/>
      <c r="UJ4" s="548"/>
      <c r="UK4" s="548"/>
      <c r="UL4" s="548"/>
      <c r="UM4" s="548"/>
      <c r="UN4" s="548"/>
      <c r="UO4" s="548"/>
      <c r="UP4" s="548"/>
      <c r="UQ4" s="548"/>
      <c r="UR4" s="548"/>
      <c r="US4" s="548"/>
      <c r="UT4" s="548"/>
      <c r="UU4" s="548"/>
      <c r="UV4" s="548"/>
      <c r="UW4" s="548"/>
      <c r="UX4" s="548"/>
      <c r="UY4" s="548"/>
      <c r="UZ4" s="548"/>
      <c r="VA4" s="548"/>
      <c r="VB4" s="548"/>
      <c r="VC4" s="548"/>
      <c r="VD4" s="548"/>
      <c r="VE4" s="548"/>
      <c r="VF4" s="548"/>
      <c r="VG4" s="548"/>
      <c r="VH4" s="548"/>
      <c r="VI4" s="548"/>
      <c r="VJ4" s="548"/>
      <c r="VK4" s="548"/>
      <c r="VL4" s="548"/>
      <c r="VM4" s="548"/>
      <c r="VN4" s="548"/>
      <c r="VO4" s="548"/>
      <c r="VP4" s="548"/>
      <c r="VQ4" s="548"/>
      <c r="VR4" s="548"/>
      <c r="VS4" s="548"/>
      <c r="VT4" s="548"/>
      <c r="VU4" s="548"/>
      <c r="VV4" s="548"/>
      <c r="VW4" s="548"/>
      <c r="VX4" s="548"/>
      <c r="VY4" s="548"/>
      <c r="VZ4" s="548"/>
      <c r="WA4" s="548"/>
      <c r="WB4" s="548"/>
      <c r="WC4" s="548"/>
      <c r="WD4" s="548"/>
      <c r="WE4" s="548"/>
      <c r="WF4" s="548"/>
      <c r="WG4" s="548"/>
      <c r="WH4" s="548"/>
      <c r="WI4" s="548"/>
      <c r="WJ4" s="548"/>
      <c r="WK4" s="548"/>
      <c r="WL4" s="548"/>
      <c r="WM4" s="548"/>
      <c r="WN4" s="548"/>
      <c r="WO4" s="548"/>
      <c r="WP4" s="548"/>
      <c r="WQ4" s="548"/>
      <c r="WR4" s="548"/>
      <c r="WS4" s="548"/>
      <c r="WT4" s="548"/>
      <c r="WU4" s="548"/>
      <c r="WV4" s="548"/>
      <c r="WW4" s="548"/>
      <c r="WX4" s="548"/>
      <c r="WY4" s="548"/>
      <c r="WZ4" s="548"/>
      <c r="XA4" s="548"/>
      <c r="XB4" s="548"/>
      <c r="XC4" s="548"/>
      <c r="XD4" s="548"/>
      <c r="XE4" s="548"/>
      <c r="XF4" s="548"/>
      <c r="XG4" s="548"/>
      <c r="XH4" s="548"/>
      <c r="XI4" s="548"/>
      <c r="XJ4" s="548"/>
      <c r="XK4" s="548"/>
      <c r="XL4" s="548"/>
      <c r="XM4" s="548"/>
      <c r="XN4" s="548"/>
      <c r="XO4" s="548"/>
      <c r="XP4" s="548"/>
      <c r="XQ4" s="548"/>
      <c r="XR4" s="548"/>
      <c r="XS4" s="548"/>
      <c r="XT4" s="548"/>
      <c r="XU4" s="548"/>
      <c r="XV4" s="548"/>
      <c r="XW4" s="548"/>
      <c r="XX4" s="548"/>
      <c r="XY4" s="548"/>
      <c r="XZ4" s="548"/>
      <c r="YA4" s="548"/>
      <c r="YB4" s="548"/>
      <c r="YC4" s="548"/>
      <c r="YD4" s="548"/>
      <c r="YE4" s="548"/>
      <c r="YF4" s="548"/>
      <c r="YG4" s="548"/>
      <c r="YH4" s="548"/>
      <c r="YI4" s="548"/>
      <c r="YJ4" s="548"/>
      <c r="YK4" s="548"/>
      <c r="YL4" s="548"/>
      <c r="YM4" s="548"/>
      <c r="YN4" s="548"/>
      <c r="YO4" s="548"/>
      <c r="YP4" s="548"/>
      <c r="YQ4" s="548"/>
      <c r="YR4" s="548"/>
      <c r="YS4" s="548"/>
      <c r="YT4" s="548"/>
      <c r="YU4" s="548"/>
      <c r="YV4" s="548"/>
      <c r="YW4" s="548"/>
      <c r="YX4" s="548"/>
      <c r="YY4" s="548"/>
      <c r="YZ4" s="548"/>
      <c r="ZA4" s="548"/>
      <c r="ZB4" s="548"/>
      <c r="ZC4" s="548"/>
      <c r="ZD4" s="548"/>
      <c r="ZE4" s="548"/>
      <c r="ZF4" s="548"/>
      <c r="ZG4" s="548"/>
      <c r="ZH4" s="548"/>
      <c r="ZI4" s="548"/>
      <c r="ZJ4" s="548"/>
      <c r="ZK4" s="548"/>
      <c r="ZL4" s="548"/>
      <c r="ZM4" s="548"/>
      <c r="ZN4" s="548"/>
      <c r="ZO4" s="548"/>
      <c r="ZP4" s="548"/>
      <c r="ZQ4" s="548"/>
      <c r="ZR4" s="548"/>
      <c r="ZS4" s="548"/>
      <c r="ZT4" s="548"/>
      <c r="ZU4" s="548"/>
      <c r="ZV4" s="548"/>
      <c r="ZW4" s="548"/>
      <c r="ZX4" s="548"/>
      <c r="ZY4" s="548"/>
      <c r="ZZ4" s="548"/>
      <c r="AAA4" s="548"/>
      <c r="AAB4" s="548"/>
      <c r="AAC4" s="548"/>
      <c r="AAD4" s="548"/>
      <c r="AAE4" s="548"/>
      <c r="AAF4" s="548"/>
      <c r="AAG4" s="548"/>
      <c r="AAH4" s="548"/>
      <c r="AAI4" s="548"/>
      <c r="AAJ4" s="548"/>
      <c r="AAK4" s="548"/>
      <c r="AAL4" s="548"/>
      <c r="AAM4" s="548"/>
      <c r="AAN4" s="548"/>
      <c r="AAO4" s="548"/>
      <c r="AAP4" s="548"/>
      <c r="AAQ4" s="548"/>
      <c r="AAR4" s="548"/>
      <c r="AAS4" s="548"/>
      <c r="AAT4" s="548"/>
      <c r="AAU4" s="548"/>
      <c r="AAV4" s="548"/>
      <c r="AAW4" s="548"/>
      <c r="AAX4" s="548"/>
      <c r="AAY4" s="548"/>
      <c r="AAZ4" s="548"/>
      <c r="ABA4" s="548"/>
      <c r="ABB4" s="548"/>
      <c r="ABC4" s="548"/>
      <c r="ABD4" s="548"/>
      <c r="ABE4" s="548"/>
      <c r="ABF4" s="548"/>
      <c r="ABG4" s="548"/>
      <c r="ABH4" s="548"/>
      <c r="ABI4" s="548"/>
      <c r="ABJ4" s="548"/>
      <c r="ABK4" s="548"/>
      <c r="ABL4" s="548"/>
      <c r="ABM4" s="548"/>
      <c r="ABN4" s="548"/>
      <c r="ABO4" s="548"/>
      <c r="ABP4" s="548"/>
      <c r="ABQ4" s="548"/>
      <c r="ABR4" s="548"/>
      <c r="ABS4" s="548"/>
    </row>
    <row r="5" spans="1:747" customFormat="1" ht="15" customHeight="1" x14ac:dyDescent="0.2">
      <c r="A5" s="424" t="str">
        <f>IF(B5="","",IF(AND(A4="",B5&lt;&gt;""),1,IF(A4="","",(A4+1))))</f>
        <v/>
      </c>
      <c r="B5" s="415"/>
      <c r="C5" s="525"/>
      <c r="D5" s="750"/>
      <c r="E5" s="416" t="str">
        <f t="shared" si="0"/>
        <v/>
      </c>
      <c r="F5" s="527" t="str">
        <f t="shared" si="1"/>
        <v/>
      </c>
      <c r="G5" s="417"/>
      <c r="H5" s="583" t="str">
        <f t="shared" si="2"/>
        <v/>
      </c>
      <c r="I5" s="424"/>
      <c r="J5" s="419"/>
      <c r="K5" s="418"/>
      <c r="L5" s="419"/>
      <c r="M5" s="415"/>
      <c r="N5" s="420"/>
      <c r="O5" s="653"/>
      <c r="P5" s="561"/>
      <c r="Q5" s="422"/>
      <c r="R5" s="767" t="str">
        <f t="shared" si="3"/>
        <v/>
      </c>
      <c r="S5" s="664"/>
      <c r="T5" s="663"/>
      <c r="U5" s="580">
        <f t="shared" si="4"/>
        <v>0</v>
      </c>
      <c r="V5" s="418"/>
      <c r="W5" s="582" t="str">
        <f t="shared" si="5"/>
        <v/>
      </c>
      <c r="X5" s="479" t="str">
        <f t="shared" si="6"/>
        <v/>
      </c>
      <c r="Y5" s="582" t="str">
        <f t="shared" si="7"/>
        <v/>
      </c>
      <c r="Z5" s="317" t="str">
        <f t="shared" si="8"/>
        <v/>
      </c>
      <c r="AA5" s="317" t="str">
        <f t="shared" si="9"/>
        <v/>
      </c>
      <c r="AB5" s="317">
        <f t="shared" si="10"/>
        <v>0</v>
      </c>
      <c r="AC5" s="317" t="str">
        <f t="shared" si="11"/>
        <v/>
      </c>
      <c r="AD5" s="317"/>
      <c r="AE5" s="479"/>
      <c r="AF5" s="479"/>
      <c r="AG5" s="423"/>
      <c r="AH5" s="820"/>
      <c r="AI5" s="480"/>
      <c r="AJ5" s="660"/>
      <c r="AK5" s="524" t="str">
        <f t="shared" si="12"/>
        <v/>
      </c>
      <c r="AL5" s="719" t="s">
        <v>1064</v>
      </c>
      <c r="AM5" s="719" t="s">
        <v>1065</v>
      </c>
      <c r="AN5" s="768">
        <f t="shared" si="13"/>
        <v>0</v>
      </c>
      <c r="AO5" s="798" t="str">
        <f t="shared" ref="AO5:AO35" si="37">IF(AP5&lt;&gt;"",ROW(AP5)-3,"")</f>
        <v/>
      </c>
      <c r="AP5" s="768" t="str">
        <f t="shared" si="14"/>
        <v/>
      </c>
      <c r="AQ5" s="768"/>
      <c r="AR5" s="768"/>
      <c r="AS5" s="803"/>
      <c r="AT5" s="804"/>
      <c r="AU5" s="805"/>
      <c r="AV5" s="806"/>
      <c r="AW5" s="800"/>
      <c r="AX5" s="986">
        <f>SUM($AY$4:AY44)</f>
        <v>0</v>
      </c>
      <c r="AY5" s="806">
        <f t="shared" si="15"/>
        <v>0</v>
      </c>
      <c r="AZ5" s="768"/>
      <c r="BA5" s="485" t="str">
        <f t="shared" si="16"/>
        <v/>
      </c>
      <c r="BB5" s="485"/>
      <c r="BC5" s="768"/>
      <c r="BD5" s="528">
        <f t="array" ref="BD5">IF(SUM((BC5=$BC$3:BC4)*1)=0,BC5,0)</f>
        <v>0</v>
      </c>
      <c r="BE5" s="528"/>
      <c r="BF5" s="768"/>
      <c r="BG5" s="768">
        <f t="array" ref="BG5">IF(SUM((BF5=$BF$3:BF4)*1)=0,BF5,0)</f>
        <v>0</v>
      </c>
      <c r="BH5" s="528"/>
      <c r="BI5" s="528"/>
      <c r="BJ5" s="528"/>
      <c r="BK5" s="528"/>
      <c r="BL5" s="528"/>
      <c r="BM5" s="528"/>
      <c r="BN5" s="528"/>
      <c r="BO5" s="528"/>
      <c r="BP5" s="678">
        <f t="shared" si="17"/>
        <v>0</v>
      </c>
      <c r="BQ5" s="426"/>
      <c r="BR5" s="434"/>
      <c r="BS5" s="426"/>
      <c r="BT5" s="433"/>
      <c r="BU5" s="435"/>
      <c r="BV5" s="495" t="str">
        <f t="shared" si="18"/>
        <v/>
      </c>
      <c r="BW5" s="495" t="str">
        <f t="shared" ref="BW5:BW68" si="38">IF(BX5&lt;&gt;"",$CY5,"")</f>
        <v/>
      </c>
      <c r="BX5" s="485"/>
      <c r="BY5" s="485"/>
      <c r="BZ5" s="485"/>
      <c r="CA5" s="485"/>
      <c r="CB5" s="485"/>
      <c r="CC5" s="495"/>
      <c r="CD5" s="495"/>
      <c r="CE5" s="495"/>
      <c r="CF5" s="495"/>
      <c r="CG5" s="495"/>
      <c r="CH5" s="495"/>
      <c r="CI5" s="495"/>
      <c r="CJ5" s="528" t="str">
        <f t="shared" ref="CJ5:CJ68" si="39">IF(CK5&lt;&gt;"",$CY5,"")</f>
        <v/>
      </c>
      <c r="CK5" s="485"/>
      <c r="CL5" s="768"/>
      <c r="CM5" s="485"/>
      <c r="CN5" s="768"/>
      <c r="CO5" s="768"/>
      <c r="CP5" s="768"/>
      <c r="CQ5" s="768"/>
      <c r="CR5" s="768"/>
      <c r="CS5" s="768"/>
      <c r="CT5" s="768"/>
      <c r="CU5" s="768"/>
      <c r="CV5" s="768"/>
      <c r="CW5" s="794">
        <f>SUM($CS$4:$CS$32)</f>
        <v>0</v>
      </c>
      <c r="CX5" s="794">
        <f>SUM($CT$4:$CT$32)</f>
        <v>0</v>
      </c>
      <c r="CY5" s="528">
        <v>2</v>
      </c>
      <c r="CZ5" s="794">
        <f>SUM($CF$4:$CF$32)</f>
        <v>0</v>
      </c>
      <c r="DA5" s="794">
        <f>SUM($CG$4:$CG$32)</f>
        <v>0</v>
      </c>
      <c r="DB5" s="528"/>
      <c r="DC5" s="528" t="s">
        <v>745</v>
      </c>
      <c r="DD5" s="528" t="s">
        <v>905</v>
      </c>
      <c r="DE5" s="495" t="str">
        <f t="shared" ref="DE5:DE68" si="40">IF(AND($E5="Capital",$J5="Básico",$S5&gt;=0.01),$DG$2,"")</f>
        <v/>
      </c>
      <c r="DF5" s="495" t="str">
        <f t="shared" ref="DF5:DF68" si="41">IF(AND($E5="Custeio",$J5="Básico",$T5&gt;=0.01),$DG$3,"")</f>
        <v/>
      </c>
      <c r="DG5" s="495" t="str">
        <f t="shared" ref="DG5:DG68" si="42">IF(AND($E5="capital",$J5="Básico",$T5="",$S5&gt;0),$S5,IF(AND($E5="capital",$J5="Básico",$T5&gt;=0,$S5&gt;0),$S5,IF(AND($E5="capital",$J5="Básico",$T5&lt;=0,$S5&gt;0),$S5,"")))</f>
        <v/>
      </c>
      <c r="DH5" s="485" t="str">
        <f t="shared" ref="DH5:DH68" si="43">IF(AND($E5="custeio",$J5="Básico",$S5="",$T5&gt;0),$T5,IF(AND($E5="custeio",$J5="Básico",$S5&gt;=0,$T5&gt;0),$T5,IF(AND($E5="custeio",$J5="Básico",$S5&lt;=0,$T5&gt;0),$T5,"")))</f>
        <v/>
      </c>
      <c r="DI5" s="495" t="str">
        <f t="shared" ref="DI5:DI68" si="44">IF(AND($E5="Capital",$J5="Volta Aulas",$S5&gt;=0.01),$DK$2,"")</f>
        <v/>
      </c>
      <c r="DJ5" s="495" t="str">
        <f t="shared" ref="DJ5:DJ68" si="45">IF(AND($E5="Custeio",$J5="Volta Aulas",$T5&gt;=0.01),$DK$3,"")</f>
        <v/>
      </c>
      <c r="DK5" s="495" t="str">
        <f t="shared" si="19"/>
        <v/>
      </c>
      <c r="DL5" s="495" t="str">
        <f t="shared" si="20"/>
        <v/>
      </c>
      <c r="DM5" s="495" t="str">
        <f t="shared" ref="DM5:DM68" si="46">IF(AND($E5="Capital",$J5="Futuro",$S5&gt;=0.01),$DO$2,"")</f>
        <v/>
      </c>
      <c r="DN5" s="495" t="str">
        <f t="shared" ref="DN5:DN68" si="47">IF(AND($E5="Custeio",$J5="Futuro",$T5&gt;=0.01),$DO$3,"")</f>
        <v/>
      </c>
      <c r="DO5" s="495" t="str">
        <f t="shared" si="21"/>
        <v/>
      </c>
      <c r="DP5" s="495" t="str">
        <f t="shared" si="22"/>
        <v/>
      </c>
      <c r="DQ5" s="495" t="str">
        <f t="shared" ref="DQ5:DQ68" si="48">IF(AND($E5="Capital",$J5="Rolê",$S5&gt;=0.01),$DS$2,"")</f>
        <v/>
      </c>
      <c r="DR5" s="495" t="str">
        <f t="shared" ref="DR5:DR68" si="49">IF(AND($E5="Custeio",$J5="Rolê",$T5&gt;=0.01),$DS$3,"")</f>
        <v/>
      </c>
      <c r="DS5" s="495" t="str">
        <f t="shared" si="23"/>
        <v/>
      </c>
      <c r="DT5" s="495" t="str">
        <f t="shared" si="24"/>
        <v/>
      </c>
      <c r="DU5" s="495" t="str">
        <f t="shared" ref="DU5:DU68" si="50">IF(AND($E5="Capital",$J5="Imprensa",$S5&gt;=0.01),$DW$2,"")</f>
        <v/>
      </c>
      <c r="DV5" s="495" t="str">
        <f t="shared" ref="DV5:DV68" si="51">IF(AND($E5="Custeio",$J5="Imprensa",$T5&gt;=0.01),$DW$3,"")</f>
        <v/>
      </c>
      <c r="DW5" s="495" t="str">
        <f t="shared" si="25"/>
        <v/>
      </c>
      <c r="DX5" s="495" t="str">
        <f t="shared" si="26"/>
        <v/>
      </c>
      <c r="DY5" s="495" t="str">
        <f t="shared" ref="DY5:DY68" si="52">IF(AND($E5="Capital",$J5="Grêmio",$S5&gt;=0.01),$EA$2,"")</f>
        <v/>
      </c>
      <c r="DZ5" s="495" t="str">
        <f t="shared" ref="DZ5:DZ68" si="53">IF(AND($E5="Custeio",$J5="Grêmio",$T5&gt;=0.01),$EA$3,"")</f>
        <v/>
      </c>
      <c r="EA5" s="495" t="str">
        <f t="shared" si="27"/>
        <v/>
      </c>
      <c r="EB5" s="495" t="str">
        <f t="shared" si="28"/>
        <v/>
      </c>
      <c r="EC5" s="495" t="str">
        <f t="shared" si="29"/>
        <v/>
      </c>
      <c r="ED5" s="495" t="str">
        <f t="shared" si="30"/>
        <v/>
      </c>
      <c r="EE5" s="495" t="str">
        <f t="shared" si="31"/>
        <v/>
      </c>
      <c r="EF5" s="495" t="str">
        <f t="shared" si="32"/>
        <v/>
      </c>
      <c r="EG5" s="495" t="str">
        <f t="shared" si="33"/>
        <v/>
      </c>
      <c r="EH5" s="495" t="str">
        <f t="shared" si="34"/>
        <v/>
      </c>
      <c r="EI5" s="495" t="str">
        <f t="shared" si="35"/>
        <v/>
      </c>
      <c r="EJ5" s="495" t="str">
        <f t="shared" si="36"/>
        <v/>
      </c>
      <c r="EK5" s="485"/>
      <c r="EL5" s="485"/>
      <c r="EM5" s="485"/>
      <c r="EN5" s="485"/>
      <c r="EO5" s="447"/>
      <c r="EP5" s="447"/>
      <c r="EQ5" s="447"/>
      <c r="ER5" s="447"/>
      <c r="ES5" s="447"/>
      <c r="ET5" s="728"/>
      <c r="EU5" s="528"/>
      <c r="EV5" s="728"/>
      <c r="EW5" s="528"/>
      <c r="EX5" s="528"/>
      <c r="EY5" s="528"/>
      <c r="EZ5" s="528"/>
      <c r="FA5" s="798"/>
      <c r="FB5" s="783">
        <f t="array" ref="FB5">IF(SUM((FA5=$FA$3:FA4)*1)=0,FA5,0)</f>
        <v>0</v>
      </c>
      <c r="FC5" s="783"/>
      <c r="FD5" s="783"/>
      <c r="FE5" s="783">
        <f t="array" ref="FE5">IF(SUM((FD5=$FD$3:FD4)*1)=0,FD5,0)</f>
        <v>0</v>
      </c>
      <c r="FF5" s="783"/>
      <c r="FG5" s="783"/>
      <c r="FH5" s="783"/>
      <c r="FI5" s="783">
        <f t="array" ref="FI5">IF(SUM((FH5=$FH$3:FH4)*1)=0,FH5,0)</f>
        <v>0</v>
      </c>
      <c r="FJ5" s="783"/>
      <c r="FK5" s="783"/>
      <c r="FL5" s="783">
        <f t="array" ref="FL5">IF(SUM((FK5=$FK$3:FK4)*1)=0,FK5,0)</f>
        <v>0</v>
      </c>
      <c r="FM5" s="783"/>
      <c r="FN5" s="783"/>
      <c r="FO5" s="783"/>
      <c r="FP5" s="783">
        <f t="array" ref="FP5">IF(SUM((FO5=$FO$3:FO4)*1)=0,FO5,0)</f>
        <v>0</v>
      </c>
      <c r="FQ5" s="783"/>
      <c r="FR5" s="783"/>
      <c r="FS5" s="783">
        <f t="array" ref="FS5">IF(SUM((FR5=$FR$3:FR4)*1)=0,FR5,0)</f>
        <v>0</v>
      </c>
      <c r="FT5" s="783"/>
      <c r="FU5" s="783"/>
      <c r="FV5" s="783"/>
      <c r="FW5" s="783">
        <f t="array" ref="FW5">IF(SUM((FV5=$FV$3:FV4)*1)=0,FV5,0)</f>
        <v>0</v>
      </c>
      <c r="FX5" s="783"/>
      <c r="FY5" s="783"/>
      <c r="FZ5" s="783">
        <f t="array" ref="FZ5">IF(SUM((FY5=$FY$3:FY4)*1)=0,FY5,0)</f>
        <v>0</v>
      </c>
      <c r="GA5" s="783"/>
      <c r="GB5" s="783"/>
      <c r="GC5" s="783"/>
      <c r="GD5" s="783">
        <f t="array" ref="GD5">IF(SUM((GC5=$GC$3:GC4)*1)=0,GC5,0)</f>
        <v>0</v>
      </c>
      <c r="GE5" s="798"/>
      <c r="GF5" s="783"/>
      <c r="GG5" s="783">
        <f t="array" ref="GG5">IF(SUM((GF5=$GF$3:GF4)*1)=0,GF5,0)</f>
        <v>0</v>
      </c>
      <c r="GH5" s="783"/>
      <c r="GI5" s="783"/>
      <c r="GJ5" s="783"/>
      <c r="GK5" s="798">
        <f t="array" ref="GK5">IF(SUM((GJ5=$GJ$3:GJ4)*1)=0,GJ5,0)</f>
        <v>0</v>
      </c>
      <c r="GL5" s="783"/>
      <c r="GM5" s="783"/>
      <c r="GN5" s="798">
        <f t="array" ref="GN5">IF(SUM((GM5=$GM$3:GM4)*1)=0,GM5,0)</f>
        <v>0</v>
      </c>
      <c r="GO5" s="783"/>
      <c r="GP5" s="783"/>
      <c r="GQ5" s="783"/>
      <c r="GR5" s="798">
        <f t="array" ref="GR5">IF(SUM((GQ5=$GQ$3:GQ4)*1)=0,GQ5,0)</f>
        <v>0</v>
      </c>
      <c r="GS5" s="783"/>
      <c r="GT5" s="783"/>
      <c r="GU5" s="798">
        <f t="array" ref="GU5">IF(SUM((GT5=$GT$3:GT4)*1)=0,GT5,0)</f>
        <v>0</v>
      </c>
      <c r="GV5" s="783"/>
      <c r="GW5" s="783"/>
      <c r="GX5" s="783"/>
      <c r="GY5" s="798">
        <f t="array" ref="GY5">IF(SUM((GX5=$GX$3:GX4)*1)=0,GX5,0)</f>
        <v>0</v>
      </c>
      <c r="GZ5" s="783"/>
      <c r="HA5" s="783"/>
      <c r="HB5" s="798">
        <f t="array" ref="HB5">IF(SUM((HA5=$HA$3:HA4)*1)=0,HA5,0)</f>
        <v>0</v>
      </c>
      <c r="HC5" s="783"/>
      <c r="HD5" s="783"/>
      <c r="HE5" s="769" t="str">
        <f>IFERROR(IF($A5="","",IF(HE$2=0,0,IF(AND($J5="Básico",$P5&lt;&gt;"",$R5&lt;$P$164,$S5&lt;&gt;""),(HE4-$S5),HE4))),"")</f>
        <v/>
      </c>
      <c r="HF5" s="768" t="str">
        <f t="shared" ref="HF5:HF24" si="54">IF(HE5&lt;0,"Invadiu REP-BA-C","")</f>
        <v/>
      </c>
      <c r="HG5" s="769" t="str">
        <f>IFERROR(IF($A5="","",IF(HG$2=0,0,IF(AND($J5="Básico",$R5&lt;$P$164),HG4,IF(AND($J5="Básico",$R5&gt;=$P$164,HE5&lt;=0),(HG4-$S5),HG4)))),"")</f>
        <v/>
      </c>
      <c r="HH5" s="768" t="str">
        <f t="shared" ref="HH5:HH68" si="55">IF(HG5&lt;0,"Invadiu REC-BA-C","")</f>
        <v/>
      </c>
      <c r="HI5" s="728" t="str">
        <f>IFERROR(IF($A5="","",IF(HI$2=0,0,IF(AND($J5="Básico",$R5&lt;&gt;"",$T5&lt;&gt;""),(HI4-$T5),HI4))),"")</f>
        <v/>
      </c>
      <c r="HJ5" s="768" t="str">
        <f t="shared" ref="HJ5:HJ68" si="56">IF(HI5&lt;0,"Invadiu REP-BA-K","")</f>
        <v/>
      </c>
      <c r="HK5" s="728" t="str">
        <f>IFERROR(IF($A5="","",IF(HK$2=0,0,IF(AND($J5="Básico",$R5&lt;$P$165),HK4,IF(AND($J5="Básico",$R5&gt;=$P$165,HI5&lt;=0),(HK4-$T5),HK4)))),"")</f>
        <v/>
      </c>
      <c r="HL5" s="768" t="str">
        <f t="shared" ref="HL5:HL68" si="57">IF(HK5&lt;0,"Invadiu REC-BA-K","")</f>
        <v/>
      </c>
      <c r="HM5" s="769" t="str">
        <f t="shared" ref="HM5:HM36" si="58">IFERROR(IF($A5="","",IF(HM$2=0,0,IF(AND($J5="Volta Aulas",$P5&lt;&gt;"",$R5&lt;$P$164,$S5&lt;&gt;""),(HM4-$S5),HM4))),"")</f>
        <v/>
      </c>
      <c r="HN5" s="768" t="str">
        <f t="shared" ref="HN5" si="59">IF(HM5&lt;0,"Invadiu REP-BA-C","")</f>
        <v/>
      </c>
      <c r="HO5" s="769" t="str">
        <f t="shared" ref="HO5:HO36" si="60">IFERROR(IF($A5="","",IF(HO$2=0,0,IF(AND($J5="Volta Aulas",$R5&lt;$P$164),HO4,IF(AND($J5="Volta Aulas",$R5&gt;=$P$164,HM5&lt;=0),(HO4-$S5),HO4)))),"")</f>
        <v/>
      </c>
      <c r="HP5" s="768" t="str">
        <f t="shared" ref="HP5:HP68" si="61">IF(HO5&lt;0,"Invadiu REC-BA-C","")</f>
        <v/>
      </c>
      <c r="HQ5" s="728" t="str">
        <f t="shared" ref="HQ5:HQ36" si="62">IFERROR(IF($A5="","",IF(HQ$2=0,0,IF(AND($J5="Volta Aulas",$R5&lt;&gt;"",$T5&lt;&gt;""),(HQ4-$T5),HQ4))),"")</f>
        <v/>
      </c>
      <c r="HR5" s="768" t="str">
        <f t="shared" ref="HR5:HR68" si="63">IF(HQ5&lt;0,"Invadiu REP-BA-K","")</f>
        <v/>
      </c>
      <c r="HS5" s="728" t="str">
        <f t="shared" ref="HS5:HS36" si="64">IFERROR(IF($A5="","",IF(HS$2=0,0,IF(AND($J5="Volta Aulas",$R5&lt;$P$165),HS4,IF(AND($J5="Volta Aulas",$R5&gt;=$P$165,HQ5&lt;=0),(HS4-$T5),HS4)))),"")</f>
        <v/>
      </c>
      <c r="HT5" s="768" t="str">
        <f t="shared" ref="HT5:HT68" si="65">IF(HS5&lt;0,"Invadiu REC-BA-K","")</f>
        <v/>
      </c>
      <c r="HU5" s="769" t="str">
        <f t="shared" ref="HU5:HU36" si="66">IFERROR(IF($A5="","",IF(HU$2=0,0,IF(AND($J5="Futuro",$P5&lt;&gt;"",$R5&lt;$P$164,$S5&lt;&gt;""),(HU4-$S5),HU4))),"")</f>
        <v/>
      </c>
      <c r="HV5" s="768" t="str">
        <f t="shared" ref="HV5" si="67">IF(HU5&lt;0,"Invadiu REP-BA-C","")</f>
        <v/>
      </c>
      <c r="HW5" s="769" t="str">
        <f t="shared" ref="HW5:HW36" si="68">IFERROR(IF($A5="","",IF(HW$2=0,0,IF(AND($J5="Futuro",$R5&lt;$P$164),HW4,IF(AND($J5="Futuro",$R5&gt;=$P$164,HU5&lt;=0),(HW4-$S5),HW4)))),"")</f>
        <v/>
      </c>
      <c r="HX5" s="768" t="str">
        <f t="shared" ref="HX5:HX68" si="69">IF(HW5&lt;0,"Invadiu REC-BA-C","")</f>
        <v/>
      </c>
      <c r="HY5" s="728" t="str">
        <f t="shared" ref="HY5:HY36" si="70">IFERROR(IF($A5="","",IF(HY$2=0,0,IF(AND($J5="Futuro",$R5&lt;&gt;"",$T5&lt;&gt;""),(HY4-$T5),HY4))),"")</f>
        <v/>
      </c>
      <c r="HZ5" s="768" t="str">
        <f t="shared" ref="HZ5:HZ68" si="71">IF(HY5&lt;0,"Invadiu REP-BA-K","")</f>
        <v/>
      </c>
      <c r="IA5" s="728" t="str">
        <f t="shared" ref="IA5:IA36" si="72">IFERROR(IF($A5="","",IF(IA$2=0,0,IF(AND($J5="Futuro",$R5&lt;$P$165),IA4,IF(AND($J5="Futuro",$R5&gt;=$P$165,HY5&lt;=0),(IA4-$T5),IA4)))),"")</f>
        <v/>
      </c>
      <c r="IB5" s="768" t="str">
        <f t="shared" ref="IB5:IB68" si="73">IF(IA5&lt;0,"Invadiu REC-BA-K","")</f>
        <v/>
      </c>
      <c r="IC5" s="769" t="str">
        <f t="shared" ref="IC5:IC36" si="74">IFERROR(IF($A5="","",IF(IC$2=0,0,IF(AND($J5="Rolê",$P5&lt;&gt;"",$R5&lt;$P$164,$S5&lt;&gt;""),(IC4-$S5),IC4))),"")</f>
        <v/>
      </c>
      <c r="ID5" s="768" t="str">
        <f t="shared" ref="ID5" si="75">IF(IC5&lt;0,"Invadiu REP-BA-C","")</f>
        <v/>
      </c>
      <c r="IE5" s="769" t="str">
        <f t="shared" ref="IE5:IE36" si="76">IFERROR(IF($A5="","",IF(IE$2=0,0,IF(AND($J5="Rolê",$R5&lt;$P$164),IE4,IF(AND($J5="Rolê",$R5&gt;=$P$164,IC5&lt;=0),(IE4-$S5),IE4)))),"")</f>
        <v/>
      </c>
      <c r="IF5" s="768" t="str">
        <f t="shared" ref="IF5:IF68" si="77">IF(IE5&lt;0,"Invadiu REC-BA-C","")</f>
        <v/>
      </c>
      <c r="IG5" s="728" t="str">
        <f t="shared" ref="IG5:IG36" si="78">IFERROR(IF($A5="","",IF(IG$2=0,0,IF(AND($J5="Rolê",$R5&lt;&gt;"",$T5&lt;&gt;""),(IG4-$T5),IG4))),"")</f>
        <v/>
      </c>
      <c r="IH5" s="768" t="str">
        <f t="shared" ref="IH5:IH68" si="79">IF(IG5&lt;0,"Invadiu REP-BA-K","")</f>
        <v/>
      </c>
      <c r="II5" s="728" t="str">
        <f t="shared" ref="II5:II36" si="80">IFERROR(IF($A5="","",IF(II$2=0,0,IF(AND($J5="Rolê",$R5&lt;$P$165),II4,IF(AND($J5="Rolê",$R5&gt;=$P$165,IG5&lt;=0),(II4-$T5),II4)))),"")</f>
        <v/>
      </c>
      <c r="IJ5" s="768" t="str">
        <f t="shared" ref="IJ5:IJ68" si="81">IF(II5&lt;0,"Invadiu REC-BA-K","")</f>
        <v/>
      </c>
      <c r="IK5" s="769" t="str">
        <f t="shared" ref="IK5:IK36" si="82">IFERROR(IF($A5="","",IF(IK$2=0,0,IF(AND($J5="Imprensa",$P5&lt;&gt;"",$R5&lt;$P$164,$S5&lt;&gt;""),(IK4-$S5),IK4))),"")</f>
        <v/>
      </c>
      <c r="IL5" s="768" t="str">
        <f t="shared" ref="IL5" si="83">IF(IK5&lt;0,"Invadiu REP-BA-C","")</f>
        <v/>
      </c>
      <c r="IM5" s="769" t="str">
        <f t="shared" ref="IM5:IM36" si="84">IFERROR(IF($A5="","",IF(IM$2=0,0,IF(AND($J5="Imprensa",$R5&lt;$P$164),IM4,IF(AND($J5="Imprensa",$R5&gt;=$P$164,IK5&lt;=0),(IM4-$S5),IM4)))),"")</f>
        <v/>
      </c>
      <c r="IN5" s="768" t="str">
        <f t="shared" ref="IN5:IN68" si="85">IF(IM5&lt;0,"Invadiu REC-BA-C","")</f>
        <v/>
      </c>
      <c r="IO5" s="728" t="str">
        <f t="shared" ref="IO5:IO36" si="86">IFERROR(IF($A5="","",IF(IO$2=0,0,IF(AND($J5="Imprensa",$R5&lt;&gt;"",$T5&lt;&gt;""),(IO4-$T5),IO4))),"")</f>
        <v/>
      </c>
      <c r="IP5" s="768" t="str">
        <f t="shared" ref="IP5:IP68" si="87">IF(IO5&lt;0,"Invadiu REP-BA-K","")</f>
        <v/>
      </c>
      <c r="IQ5" s="728" t="str">
        <f t="shared" ref="IQ5:IQ36" si="88">IFERROR(IF($A5="","",IF(IQ$2=0,0,IF(AND($J5="Imprensa",$R5&lt;$P$165),IQ4,IF(AND($J5="Imprensa",$R5&gt;=$P$165,IO5&lt;=0),(IQ4-$T5),IQ4)))),"")</f>
        <v/>
      </c>
      <c r="IR5" s="768" t="str">
        <f t="shared" ref="IR5:IR68" si="89">IF(IQ5&lt;0,"Invadiu REC-BA-K","")</f>
        <v/>
      </c>
      <c r="IS5" s="769" t="str">
        <f t="shared" ref="IS5:IS36" si="90">IFERROR(IF($A5="","",IF(IS$2=0,0,IF(AND($J5="Grêmio",$P5&lt;&gt;"",$R5&lt;$P$164,$S5&lt;&gt;""),(IS4-$S5),IS4))),"")</f>
        <v/>
      </c>
      <c r="IT5" s="768" t="str">
        <f t="shared" ref="IT5" si="91">IF(IS5&lt;0,"Invadiu REP-BA-C","")</f>
        <v/>
      </c>
      <c r="IU5" s="769" t="str">
        <f t="shared" ref="IU5:IU36" si="92">IFERROR(IF($A5="","",IF(IU$2=0,0,IF(AND($J5="Grêmio",$R5&lt;$P$164),IU4,IF(AND($J5="Grêmio",$R5&gt;=$P$164,IS5&lt;=0),(IU4-$S5),IU4)))),"")</f>
        <v/>
      </c>
      <c r="IV5" s="768" t="str">
        <f t="shared" ref="IV5:IV68" si="93">IF(IU5&lt;0,"Invadiu REC-BA-C","")</f>
        <v/>
      </c>
      <c r="IW5" s="728" t="str">
        <f t="shared" ref="IW5:IW36" si="94">IFERROR(IF($A5="","",IF(IW$2=0,0,IF(AND($J5="Grêmio",$R5&lt;&gt;"",$T5&lt;&gt;""),(IW4-$T5),IW4))),"")</f>
        <v/>
      </c>
      <c r="IX5" s="768" t="str">
        <f t="shared" ref="IX5:IX68" si="95">IF(IW5&lt;0,"Invadiu REP-BA-K","")</f>
        <v/>
      </c>
      <c r="IY5" s="728" t="str">
        <f t="shared" ref="IY5:IY36" si="96">IFERROR(IF($A5="","",IF(IY$2=0,0,IF(AND($J5="Grêmio",$R5&lt;$P$165),IY4,IF(AND($J5="Grêmio",$R5&gt;=$P$165,IW5&lt;=0),(IY4-$T5),IY4)))),"")</f>
        <v/>
      </c>
      <c r="IZ5" s="768" t="str">
        <f t="shared" ref="IZ5:IZ68" si="97">IF(IY5&lt;0,"Invadiu REC-BA-K","")</f>
        <v/>
      </c>
      <c r="JA5" s="769" t="str">
        <f t="shared" ref="JA5:JA36" si="98">IFERROR(IF($A5="","",IF(JA$2=0,0,IF(AND($J5="Formação",$P5&lt;&gt;"",$R5&lt;$P$164,$S5&lt;&gt;""),(JA4-$S5),JA4))),"")</f>
        <v/>
      </c>
      <c r="JB5" s="768" t="str">
        <f t="shared" ref="JB5" si="99">IF(JA5&lt;0,"Invadiu REP-BA-C","")</f>
        <v/>
      </c>
      <c r="JC5" s="769" t="str">
        <f t="shared" ref="JC5:JC36" si="100">IFERROR(IF($A5="","",IF(JC$2=0,0,IF(AND($J5="Formação",$R5&lt;$P$164),JC4,IF(AND($J5="Formação",$R5&gt;=$P$164,JA5&lt;=0),(JC4-$S5),JC4)))),"")</f>
        <v/>
      </c>
      <c r="JD5" s="768" t="str">
        <f t="shared" ref="JD5:JD68" si="101">IF(JC5&lt;0,"Invadiu REC-BA-C","")</f>
        <v/>
      </c>
      <c r="JE5" s="728" t="str">
        <f t="shared" ref="JE5:JE36" si="102">IFERROR(IF($A5="","",IF(JE$2=0,0,IF(AND($J5="Formação",$R5&lt;&gt;"",$T5&lt;&gt;""),(JE4-$T5),JE4))),"")</f>
        <v/>
      </c>
      <c r="JF5" s="768" t="str">
        <f t="shared" ref="JF5:JF68" si="103">IF(JE5&lt;0,"Invadiu REP-BA-K","")</f>
        <v/>
      </c>
      <c r="JG5" s="728" t="str">
        <f t="shared" ref="JG5:JG36" si="104">IFERROR(IF($A5="","",IF(JG$2=0,0,IF(AND($J5="Formação",$R5&lt;$P$165),JG4,IF(AND($J5="Formação",$R5&gt;=$P$165,JE5&lt;=0),(JG4-$T5),JG4)))),"")</f>
        <v/>
      </c>
      <c r="JH5" s="768" t="str">
        <f t="shared" ref="JH5:JH68" si="105">IF(JG5&lt;0,"Invadiu REC-BA-K","")</f>
        <v/>
      </c>
      <c r="JI5" s="769" t="str">
        <f t="shared" ref="JI5:JI36" si="106">IFERROR(IF($A5="","",IF(JI$2=0,0,IF(AND($J5="Mais Escola",$P5&lt;&gt;"",$R5&lt;$P$164,$S5&lt;&gt;""),(JI4-$S5),JI4))),"")</f>
        <v/>
      </c>
      <c r="JJ5" s="768" t="str">
        <f t="shared" ref="JJ5" si="107">IF(JI5&lt;0,"Invadiu REP-BA-C","")</f>
        <v/>
      </c>
      <c r="JK5" s="769" t="str">
        <f t="shared" ref="JK5:JK36" si="108">IFERROR(IF($A5="","",IF(JK$2=0,0,IF(AND($J5="Mais Escola",$R5&lt;$P$164),JK4,IF(AND($J5="Mais Escola",$R5&gt;=$P$164,JI5&lt;=0),(JK4-$S5),JK4)))),"")</f>
        <v/>
      </c>
      <c r="JL5" s="768" t="str">
        <f t="shared" ref="JL5:JL68" si="109">IF(JK5&lt;0,"Invadiu REC-BA-C","")</f>
        <v/>
      </c>
      <c r="JM5" s="728" t="str">
        <f t="shared" ref="JM5:JM36" si="110">IFERROR(IF($A5="","",IF(JM$2=0,0,IF(AND($J5="Mais Escola",$R5&lt;&gt;"",$T5&lt;&gt;""),(JM4-$T5),JM4))),"")</f>
        <v/>
      </c>
      <c r="JN5" s="768" t="str">
        <f t="shared" ref="JN5:JN68" si="111">IF(JM5&lt;0,"Invadiu REP-BA-K","")</f>
        <v/>
      </c>
      <c r="JO5" s="728" t="str">
        <f t="shared" ref="JO5:JO36" si="112">IFERROR(IF($A5="","",IF(JO$2=0,0,IF(AND($J5="Mais Escola",$R5&lt;$P$165),JO4,IF(AND($J5="Mais Escola",$R5&gt;=$P$165,JM5&lt;=0),(JO4-$T5),JO4)))),"")</f>
        <v/>
      </c>
      <c r="JP5" s="768" t="str">
        <f t="shared" ref="JP5:JP68" si="113">IF(JO5&lt;0,"Invadiu REC-BA-K","")</f>
        <v/>
      </c>
      <c r="JQ5" s="769" t="str">
        <f t="shared" ref="JQ5:JQ36" si="114">IFERROR(IF($A5="","",IF(JQ$2=0,0,IF(AND($J5="Livre Aplic.",$P5&lt;&gt;"",$R5&lt;$P$164,$S5&lt;&gt;""),(JQ4-$S5),JQ4))),"")</f>
        <v/>
      </c>
      <c r="JR5" s="768" t="str">
        <f t="shared" ref="JR5" si="115">IF(JQ5&lt;0,"Invadiu REP-BA-C","")</f>
        <v/>
      </c>
      <c r="JS5" s="769" t="str">
        <f t="shared" ref="JS5:JS36" si="116">IFERROR(IF($A5="","",IF(JS$2=0,0,IF(AND($J5="Livre Aplic.",$R5&lt;$P$164),JS4,IF(AND($J5="Livre Aplic.",$R5&gt;=$P$164,JQ5&lt;=0),(JS4-$S5),JS4)))),"")</f>
        <v/>
      </c>
      <c r="JT5" s="768" t="str">
        <f t="shared" ref="JT5:JT68" si="117">IF(JS5&lt;0,"Invadiu REC-BA-C","")</f>
        <v/>
      </c>
      <c r="JU5" s="728" t="str">
        <f t="shared" ref="JU5:JU36" si="118">IFERROR(IF($A5="","",IF(JU$2=0,0,IF(AND($J5="Livre Aplic.",$R5&lt;&gt;"",$T5&lt;&gt;""),(JU4-$T5),JU4))),"")</f>
        <v/>
      </c>
      <c r="JV5" s="768" t="str">
        <f t="shared" ref="JV5:JV68" si="119">IF(JU5&lt;0,"Invadiu REP-BA-K","")</f>
        <v/>
      </c>
      <c r="JW5" s="728" t="str">
        <f t="shared" ref="JW5:JW36" si="120">IFERROR(IF($A5="","",IF(JW$2=0,0,IF(AND($J5="Livre Aplic.",$R5&lt;$P$165),JW4,IF(AND($J5="Livre Aplic.",$R5&gt;=$P$165,JU5&lt;=0),(JW4-$T5),JW4)))),"")</f>
        <v/>
      </c>
      <c r="JX5" s="768" t="str">
        <f t="shared" ref="JX5:JX68" si="121">IF(JW5&lt;0,"Invadiu REC-BA-K","")</f>
        <v/>
      </c>
      <c r="JY5" s="768" t="str">
        <f t="shared" ref="JY5:JY68" si="122">IF(KA5="","",LEN(KA5))</f>
        <v/>
      </c>
      <c r="JZ5" s="485" t="str">
        <f>IF(JY5="","",IF(AND(C5=$C$164,JY5&lt;&gt;""),Verificarcpf(D5),IF(AND(C5=$C$165,JY5&lt;&gt;""),VerificarCNPJ(D5))))</f>
        <v/>
      </c>
      <c r="KA5" s="768" t="str">
        <f t="shared" ref="KA5:KA68" si="123">IF(D5="","",TEXT(SUMPRODUCT(MID(0&amp;D5,LARGE(INDEX(ISNUMBER(--MID(D5,ROW($1:$25),1))*ROW($1:$25),0),ROW($1:$25))+1,1)*10^ROW($1:$25)/10),"00000000000"))</f>
        <v/>
      </c>
      <c r="KB5" s="485">
        <f t="shared" ref="KB5:KB68" si="124">IF(AND(E5=$KG$12,R5&gt;=$W$1,T5&gt;0),T5,0)</f>
        <v>0</v>
      </c>
      <c r="KC5" s="768">
        <f t="shared" ref="KC5:KC68" si="125">KB5</f>
        <v>0</v>
      </c>
      <c r="KD5" s="485">
        <f t="shared" ref="KD5:KD68" si="126">IF(KB5=0,0,IF(IJ5&gt;$X$1,KC5-$X$1-KD4,0))</f>
        <v>0</v>
      </c>
      <c r="KE5" s="447"/>
      <c r="KF5" s="548">
        <f t="shared" ref="KF5:KF34" si="127">COUNTIF($KK$4:$KK$163,KG5)</f>
        <v>0</v>
      </c>
      <c r="KG5" s="548" t="s">
        <v>581</v>
      </c>
      <c r="KH5" s="548"/>
      <c r="KI5" s="548"/>
      <c r="KJ5" s="548" t="str">
        <f t="shared" ref="KJ5:KJ68" si="128">IF(B5&amp;C5&amp;D5&amp;G5&amp;M5&amp;N5&amp;O5&amp;P5&amp;Q5&amp;R5&amp;S5&amp;T5&amp;V5="","",IF(AND(N5=$N$164,Q5&lt;&gt;""),$KF$2,IF(U5=$KG$11,$KG$11,IF(AND($Q5&lt;&gt;"",$V5=""),$KG$4,IF(B5="",$KG$6,IF(G5="",$KG$7,IF(OR(JZ5=$KG$16,JZ5=$KG$17),JZ5,IF(M5="",$KG$8,IF(N5="",$KG$9,IF(N5=$KG$10,$KJ$3,IF(S5+T5=0,$KG$11,$KJ$3)))))))))))</f>
        <v/>
      </c>
      <c r="KK5" s="548"/>
      <c r="KL5" s="548"/>
      <c r="KM5" s="548">
        <f t="array" ref="KM5">IF(SUM((KL5=$KL$3:KL4)*1)=0,KL5,0)</f>
        <v>0</v>
      </c>
      <c r="KN5" s="548"/>
      <c r="KO5" s="548"/>
      <c r="KP5" s="548"/>
      <c r="KQ5" s="548"/>
      <c r="KR5" s="548" t="str">
        <f t="shared" ref="KR5:KR68" si="129">IF(AH5="","",LEN(AH5))</f>
        <v/>
      </c>
      <c r="KS5" s="548"/>
      <c r="KT5" s="548"/>
      <c r="KU5" s="548"/>
      <c r="KV5" s="548"/>
      <c r="KW5" s="548"/>
      <c r="KX5" s="548"/>
      <c r="KY5" s="548"/>
      <c r="KZ5" s="548"/>
      <c r="LA5" s="548"/>
      <c r="LB5" s="548"/>
      <c r="LC5" s="485" t="str">
        <f>IF(LD5&lt;&gt;"",$CY5,"")</f>
        <v/>
      </c>
      <c r="LD5" s="548"/>
      <c r="LE5" s="548"/>
      <c r="LF5" s="548"/>
      <c r="LG5" s="548"/>
      <c r="LH5" s="548"/>
      <c r="LI5" s="548"/>
      <c r="LJ5" s="548"/>
      <c r="LK5" s="548"/>
      <c r="LL5" s="548"/>
      <c r="LM5" s="548"/>
      <c r="LN5" s="548"/>
      <c r="LO5" s="548"/>
      <c r="LP5" s="485" t="str">
        <f>IF(LQ5&lt;&gt;"",$CY5,"")</f>
        <v/>
      </c>
      <c r="LQ5" s="548"/>
      <c r="LR5" s="548"/>
      <c r="LS5" s="548"/>
      <c r="LT5" s="548"/>
      <c r="LU5" s="548"/>
      <c r="LV5" s="548"/>
      <c r="LW5" s="548"/>
      <c r="LX5" s="548"/>
      <c r="LY5" s="548"/>
      <c r="LZ5" s="548"/>
      <c r="MA5" s="548"/>
      <c r="MB5" s="548"/>
      <c r="MC5" s="485" t="str">
        <f>IF(MD5&lt;&gt;"",$CY5,"")</f>
        <v/>
      </c>
      <c r="MD5" s="548"/>
      <c r="ME5" s="548"/>
      <c r="MF5" s="548"/>
      <c r="MG5" s="548"/>
      <c r="MH5" s="548"/>
      <c r="MI5" s="548"/>
      <c r="MJ5" s="548"/>
      <c r="MK5" s="548"/>
      <c r="ML5" s="548"/>
      <c r="MM5" s="548"/>
      <c r="MN5" s="548"/>
      <c r="MO5" s="548"/>
      <c r="MP5" s="485" t="str">
        <f>IF(MQ5&lt;&gt;"",$CY5,"")</f>
        <v/>
      </c>
      <c r="MQ5" s="548"/>
      <c r="MR5" s="548"/>
      <c r="MS5" s="548"/>
      <c r="MT5" s="548"/>
      <c r="MU5" s="548"/>
      <c r="MV5" s="548"/>
      <c r="MW5" s="548"/>
      <c r="MX5" s="548"/>
      <c r="MY5" s="548"/>
      <c r="MZ5" s="548"/>
      <c r="NA5" s="548"/>
      <c r="NB5" s="548"/>
      <c r="NC5" s="485" t="str">
        <f>IF(ND5&lt;&gt;"",$CY5,"")</f>
        <v/>
      </c>
      <c r="ND5" s="548"/>
      <c r="NE5" s="548"/>
      <c r="NF5" s="548"/>
      <c r="NG5" s="548"/>
      <c r="NH5" s="548"/>
      <c r="NI5" s="548"/>
      <c r="NJ5" s="548"/>
      <c r="NK5" s="548"/>
      <c r="NL5" s="548"/>
      <c r="NM5" s="548"/>
      <c r="NN5" s="548"/>
      <c r="NO5" s="548"/>
      <c r="NP5" s="485" t="str">
        <f>IF(NQ5&lt;&gt;"",$CY5,"")</f>
        <v/>
      </c>
      <c r="NQ5" s="548"/>
      <c r="NR5" s="548"/>
      <c r="NS5" s="548"/>
      <c r="NT5" s="548"/>
      <c r="NU5" s="548"/>
      <c r="NV5" s="548"/>
      <c r="NW5" s="548"/>
      <c r="NX5" s="548"/>
      <c r="NY5" s="548"/>
      <c r="NZ5" s="548"/>
      <c r="OA5" s="548"/>
      <c r="OB5" s="548"/>
      <c r="OC5" s="485" t="str">
        <f>IF(OD5&lt;&gt;"",$CY5,"")</f>
        <v/>
      </c>
      <c r="OD5" s="548"/>
      <c r="OE5" s="548"/>
      <c r="OF5" s="548"/>
      <c r="OG5" s="548"/>
      <c r="OH5" s="548"/>
      <c r="OI5" s="548"/>
      <c r="OJ5" s="548"/>
      <c r="OK5" s="548"/>
      <c r="OL5" s="548"/>
      <c r="OM5" s="548"/>
      <c r="ON5" s="548"/>
      <c r="OO5" s="548"/>
      <c r="OP5" s="548"/>
      <c r="OQ5" s="548"/>
      <c r="OR5" s="548"/>
      <c r="OS5" s="548"/>
      <c r="OT5" s="548"/>
      <c r="OU5" s="548"/>
      <c r="OV5" s="548"/>
      <c r="OW5" s="548"/>
      <c r="OX5" s="548"/>
      <c r="OY5" s="548"/>
      <c r="OZ5" s="548"/>
      <c r="PA5" s="548"/>
      <c r="PB5" s="548"/>
      <c r="PC5" s="548"/>
      <c r="PD5" s="548"/>
      <c r="PE5" s="548"/>
      <c r="PF5" s="548"/>
      <c r="PG5" s="548"/>
      <c r="PH5" s="548"/>
      <c r="PI5" s="548"/>
      <c r="PJ5" s="548"/>
      <c r="PK5" s="548"/>
      <c r="PL5" s="548"/>
      <c r="PM5" s="548"/>
      <c r="PN5" s="548"/>
      <c r="PO5" s="548"/>
      <c r="PP5" s="548"/>
      <c r="PQ5" s="548"/>
      <c r="PR5" s="548"/>
      <c r="PS5" s="548"/>
      <c r="PT5" s="1001">
        <f>SUM($LL$4:$LL$32)</f>
        <v>0</v>
      </c>
      <c r="PU5" s="1001">
        <f>SUM($LM$4:$LM$32)</f>
        <v>0</v>
      </c>
      <c r="PV5" s="528"/>
      <c r="PW5" s="1001">
        <f>SUM($LY$4:$LY$32)</f>
        <v>0</v>
      </c>
      <c r="PX5" s="1001">
        <f>SUM($LZ$4:$LZ$32)</f>
        <v>0</v>
      </c>
      <c r="PY5" s="548"/>
      <c r="PZ5" s="1001">
        <f>SUM($ML$4:$ML$32)</f>
        <v>0</v>
      </c>
      <c r="QA5" s="1001">
        <f>SUM($MM$4:$MM$32)</f>
        <v>0</v>
      </c>
      <c r="QB5" s="528"/>
      <c r="QC5" s="1001">
        <f>SUM($MY$4:$MY$32)</f>
        <v>0</v>
      </c>
      <c r="QD5" s="1001">
        <f>SUM($MZ$4:$MZ$32)</f>
        <v>0</v>
      </c>
      <c r="QE5" s="548"/>
      <c r="QF5" s="1001">
        <f>SUM($NL$4:$NL$32)</f>
        <v>0</v>
      </c>
      <c r="QG5" s="1001">
        <f>SUM($NM$4:$NM$32)</f>
        <v>0</v>
      </c>
      <c r="QH5" s="548"/>
      <c r="QI5" s="1001">
        <f>SUM($NY$4:$NY$32)</f>
        <v>0</v>
      </c>
      <c r="QJ5" s="1001">
        <f>SUM($NZ$4:$NZ$32)</f>
        <v>0</v>
      </c>
      <c r="QK5" s="548"/>
      <c r="QL5" s="1001">
        <f>SUM($OL$4:$OL$32)</f>
        <v>0</v>
      </c>
      <c r="QM5" s="1001">
        <f>SUM($OM$4:$OM$32)</f>
        <v>0</v>
      </c>
      <c r="QN5" s="548"/>
      <c r="QO5" s="548"/>
      <c r="QP5" s="548"/>
      <c r="QQ5" s="1009"/>
      <c r="QR5" s="548"/>
      <c r="QS5" s="548"/>
      <c r="QT5" s="548"/>
      <c r="QU5" s="548"/>
      <c r="QV5" s="548"/>
      <c r="QW5" s="548"/>
      <c r="QX5" s="548"/>
      <c r="QY5" s="548"/>
      <c r="QZ5" s="548"/>
      <c r="RA5" s="548"/>
      <c r="RB5" s="548"/>
      <c r="RC5" s="548"/>
      <c r="RD5" s="548"/>
      <c r="RE5" s="548"/>
      <c r="RF5" s="548"/>
      <c r="RG5" s="548"/>
      <c r="RH5" s="548"/>
      <c r="RI5" s="548"/>
      <c r="RJ5" s="548"/>
      <c r="RK5" s="548"/>
      <c r="RL5" s="548"/>
      <c r="RM5" s="548"/>
      <c r="RN5" s="548"/>
      <c r="RO5" s="548"/>
      <c r="RP5" s="548"/>
      <c r="RQ5" s="548"/>
      <c r="RR5" s="548"/>
      <c r="RS5" s="548"/>
      <c r="RT5" s="548"/>
      <c r="RU5" s="548"/>
      <c r="RV5" s="548"/>
      <c r="RW5" s="548"/>
      <c r="RX5" s="548"/>
      <c r="RY5" s="548"/>
      <c r="RZ5" s="548"/>
      <c r="SA5" s="548"/>
      <c r="SB5" s="548"/>
      <c r="SC5" s="548"/>
      <c r="SD5" s="548"/>
      <c r="SE5" s="548"/>
      <c r="SF5" s="548"/>
      <c r="SG5" s="548"/>
      <c r="SH5" s="548"/>
      <c r="SI5" s="548"/>
      <c r="SJ5" s="548"/>
      <c r="SK5" s="548"/>
      <c r="SL5" s="548"/>
      <c r="SM5" s="548"/>
      <c r="SN5" s="548"/>
      <c r="SO5" s="548"/>
      <c r="SP5" s="548"/>
      <c r="SQ5" s="548"/>
      <c r="SR5" s="548"/>
      <c r="SS5" s="548"/>
      <c r="ST5" s="548"/>
      <c r="SU5" s="548"/>
      <c r="SV5" s="548"/>
      <c r="SW5" s="548"/>
      <c r="SX5" s="548"/>
      <c r="SY5" s="548"/>
      <c r="SZ5" s="548"/>
      <c r="TA5" s="548"/>
      <c r="TB5" s="548"/>
      <c r="TC5" s="548"/>
      <c r="TD5" s="548"/>
      <c r="TE5" s="548"/>
      <c r="TF5" s="548"/>
      <c r="TG5" s="548"/>
      <c r="TH5" s="548"/>
      <c r="TI5" s="548"/>
      <c r="TJ5" s="548"/>
      <c r="TK5" s="548"/>
      <c r="TL5" s="548"/>
      <c r="TM5" s="548"/>
      <c r="TN5" s="548"/>
      <c r="TO5" s="548"/>
      <c r="TP5" s="548"/>
      <c r="TQ5" s="548"/>
      <c r="TR5" s="548"/>
      <c r="TS5" s="548"/>
      <c r="TT5" s="548"/>
      <c r="TU5" s="548"/>
      <c r="TV5" s="548"/>
      <c r="TW5" s="548"/>
      <c r="TX5" s="548"/>
      <c r="TY5" s="548"/>
      <c r="TZ5" s="548"/>
      <c r="UA5" s="548"/>
      <c r="UB5" s="548"/>
      <c r="UC5" s="548"/>
      <c r="UD5" s="548"/>
      <c r="UE5" s="548"/>
      <c r="UF5" s="548"/>
      <c r="UG5" s="548"/>
      <c r="UH5" s="548"/>
      <c r="UI5" s="548"/>
      <c r="UJ5" s="548"/>
      <c r="UK5" s="548"/>
      <c r="UL5" s="548"/>
      <c r="UM5" s="548"/>
      <c r="UN5" s="548"/>
      <c r="UO5" s="548"/>
      <c r="UP5" s="548"/>
      <c r="UQ5" s="548"/>
      <c r="UR5" s="548"/>
      <c r="US5" s="548"/>
      <c r="UT5" s="548"/>
      <c r="UU5" s="548"/>
      <c r="UV5" s="548"/>
      <c r="UW5" s="548"/>
      <c r="UX5" s="548"/>
      <c r="UY5" s="548"/>
      <c r="UZ5" s="548"/>
      <c r="VA5" s="548"/>
      <c r="VB5" s="548"/>
      <c r="VC5" s="548"/>
      <c r="VD5" s="548"/>
      <c r="VE5" s="548"/>
      <c r="VF5" s="548"/>
      <c r="VG5" s="548"/>
      <c r="VH5" s="548"/>
      <c r="VI5" s="548"/>
      <c r="VJ5" s="548"/>
      <c r="VK5" s="548"/>
      <c r="VL5" s="548"/>
      <c r="VM5" s="548"/>
      <c r="VN5" s="548"/>
      <c r="VO5" s="548"/>
      <c r="VP5" s="548"/>
      <c r="VQ5" s="548"/>
      <c r="VR5" s="548"/>
      <c r="VS5" s="548"/>
      <c r="VT5" s="548"/>
      <c r="VU5" s="548"/>
      <c r="VV5" s="548"/>
      <c r="VW5" s="548"/>
      <c r="VX5" s="548"/>
      <c r="VY5" s="548"/>
      <c r="VZ5" s="548"/>
      <c r="WA5" s="548"/>
      <c r="WB5" s="548"/>
      <c r="WC5" s="548"/>
      <c r="WD5" s="548"/>
      <c r="WE5" s="548"/>
      <c r="WF5" s="548"/>
      <c r="WG5" s="548"/>
      <c r="WH5" s="548"/>
      <c r="WI5" s="548"/>
      <c r="WJ5" s="548"/>
      <c r="WK5" s="548"/>
      <c r="WL5" s="548"/>
      <c r="WM5" s="548"/>
      <c r="WN5" s="548"/>
      <c r="WO5" s="548"/>
      <c r="WP5" s="548"/>
      <c r="WQ5" s="548"/>
      <c r="WR5" s="548"/>
      <c r="WS5" s="548"/>
      <c r="WT5" s="548"/>
      <c r="WU5" s="548"/>
      <c r="WV5" s="548"/>
      <c r="WW5" s="548"/>
      <c r="WX5" s="548"/>
      <c r="WY5" s="548"/>
      <c r="WZ5" s="548"/>
      <c r="XA5" s="548"/>
      <c r="XB5" s="548"/>
      <c r="XC5" s="548"/>
      <c r="XD5" s="548"/>
      <c r="XE5" s="548"/>
      <c r="XF5" s="548"/>
      <c r="XG5" s="548"/>
      <c r="XH5" s="548"/>
      <c r="XI5" s="548"/>
      <c r="XJ5" s="548"/>
      <c r="XK5" s="548"/>
      <c r="XL5" s="548"/>
      <c r="XM5" s="548"/>
      <c r="XN5" s="548"/>
      <c r="XO5" s="548"/>
      <c r="XP5" s="548"/>
      <c r="XQ5" s="548"/>
      <c r="XR5" s="548"/>
      <c r="XS5" s="548"/>
      <c r="XT5" s="548"/>
      <c r="XU5" s="548"/>
      <c r="XV5" s="548"/>
      <c r="XW5" s="548"/>
      <c r="XX5" s="548"/>
      <c r="XY5" s="548"/>
      <c r="XZ5" s="548"/>
      <c r="YA5" s="548"/>
      <c r="YB5" s="548"/>
      <c r="YC5" s="548"/>
      <c r="YD5" s="548"/>
      <c r="YE5" s="548"/>
      <c r="YF5" s="548"/>
      <c r="YG5" s="548"/>
      <c r="YH5" s="548"/>
      <c r="YI5" s="548"/>
      <c r="YJ5" s="548"/>
      <c r="YK5" s="548"/>
      <c r="YL5" s="548"/>
      <c r="YM5" s="548"/>
      <c r="YN5" s="548"/>
      <c r="YO5" s="548"/>
      <c r="YP5" s="548"/>
      <c r="YQ5" s="548"/>
      <c r="YR5" s="548"/>
      <c r="YS5" s="548"/>
      <c r="YT5" s="548"/>
      <c r="YU5" s="548"/>
      <c r="YV5" s="548"/>
      <c r="YW5" s="548"/>
      <c r="YX5" s="548"/>
      <c r="YY5" s="548"/>
      <c r="YZ5" s="548"/>
      <c r="ZA5" s="548"/>
      <c r="ZB5" s="548"/>
      <c r="ZC5" s="548"/>
      <c r="ZD5" s="548"/>
      <c r="ZE5" s="548"/>
      <c r="ZF5" s="548"/>
      <c r="ZG5" s="548"/>
      <c r="ZH5" s="548"/>
      <c r="ZI5" s="548"/>
      <c r="ZJ5" s="548"/>
      <c r="ZK5" s="548"/>
      <c r="ZL5" s="548"/>
      <c r="ZM5" s="548"/>
      <c r="ZN5" s="548"/>
      <c r="ZO5" s="548"/>
      <c r="ZP5" s="548"/>
      <c r="ZQ5" s="548"/>
      <c r="ZR5" s="548"/>
      <c r="ZS5" s="548"/>
      <c r="ZT5" s="548"/>
      <c r="ZU5" s="548"/>
      <c r="ZV5" s="548"/>
      <c r="ZW5" s="548"/>
      <c r="ZX5" s="548"/>
      <c r="ZY5" s="548"/>
      <c r="ZZ5" s="548"/>
      <c r="AAA5" s="548"/>
      <c r="AAB5" s="548"/>
      <c r="AAC5" s="548"/>
      <c r="AAD5" s="548"/>
      <c r="AAE5" s="548"/>
      <c r="AAF5" s="548"/>
      <c r="AAG5" s="548"/>
      <c r="AAH5" s="548"/>
      <c r="AAI5" s="548"/>
      <c r="AAJ5" s="548"/>
      <c r="AAK5" s="548"/>
      <c r="AAL5" s="548"/>
      <c r="AAM5" s="548"/>
      <c r="AAN5" s="548"/>
      <c r="AAO5" s="548"/>
      <c r="AAP5" s="548"/>
      <c r="AAQ5" s="548"/>
      <c r="AAR5" s="548"/>
      <c r="AAS5" s="548"/>
      <c r="AAT5" s="548"/>
      <c r="AAU5" s="548"/>
      <c r="AAV5" s="548"/>
      <c r="AAW5" s="548"/>
      <c r="AAX5" s="548"/>
      <c r="AAY5" s="548"/>
      <c r="AAZ5" s="548"/>
      <c r="ABA5" s="548"/>
      <c r="ABB5" s="548"/>
      <c r="ABC5" s="548"/>
      <c r="ABD5" s="548"/>
      <c r="ABE5" s="548"/>
      <c r="ABF5" s="548"/>
      <c r="ABG5" s="548"/>
      <c r="ABH5" s="548"/>
      <c r="ABI5" s="548"/>
      <c r="ABJ5" s="548"/>
      <c r="ABK5" s="548"/>
      <c r="ABL5" s="548"/>
      <c r="ABM5" s="548"/>
      <c r="ABN5" s="548"/>
      <c r="ABO5" s="548"/>
      <c r="ABP5" s="548"/>
      <c r="ABQ5" s="548"/>
      <c r="ABR5" s="548"/>
      <c r="ABS5" s="548"/>
    </row>
    <row r="6" spans="1:747" customFormat="1" ht="15" customHeight="1" thickBot="1" x14ac:dyDescent="0.25">
      <c r="A6" s="424" t="str">
        <f>IF(B6="","",IF(AND(A5="",B6&lt;&gt;""),1,IF(A5="","",(A5+1))))</f>
        <v/>
      </c>
      <c r="B6" s="415"/>
      <c r="C6" s="525"/>
      <c r="D6" s="750"/>
      <c r="E6" s="416" t="str">
        <f t="shared" si="0"/>
        <v/>
      </c>
      <c r="F6" s="527" t="str">
        <f t="shared" si="1"/>
        <v/>
      </c>
      <c r="G6" s="417"/>
      <c r="H6" s="583" t="str">
        <f t="shared" si="2"/>
        <v/>
      </c>
      <c r="I6" s="424"/>
      <c r="J6" s="419"/>
      <c r="K6" s="418"/>
      <c r="L6" s="419"/>
      <c r="M6" s="415"/>
      <c r="N6" s="420"/>
      <c r="O6" s="421"/>
      <c r="P6" s="561"/>
      <c r="Q6" s="747"/>
      <c r="R6" s="767" t="str">
        <f t="shared" si="3"/>
        <v/>
      </c>
      <c r="S6" s="664"/>
      <c r="T6" s="663"/>
      <c r="U6" s="580">
        <f t="shared" si="4"/>
        <v>0</v>
      </c>
      <c r="V6" s="418"/>
      <c r="W6" s="582" t="str">
        <f t="shared" si="5"/>
        <v/>
      </c>
      <c r="X6" s="479" t="str">
        <f t="shared" si="6"/>
        <v/>
      </c>
      <c r="Y6" s="582" t="str">
        <f t="shared" si="7"/>
        <v/>
      </c>
      <c r="Z6" s="317" t="str">
        <f t="shared" si="8"/>
        <v/>
      </c>
      <c r="AA6" s="317" t="str">
        <f t="shared" si="9"/>
        <v/>
      </c>
      <c r="AB6" s="317">
        <f t="shared" si="10"/>
        <v>0</v>
      </c>
      <c r="AC6" s="317" t="str">
        <f t="shared" si="11"/>
        <v/>
      </c>
      <c r="AD6" s="317"/>
      <c r="AE6" s="479"/>
      <c r="AF6" s="479"/>
      <c r="AG6" s="423"/>
      <c r="AH6" s="820"/>
      <c r="AI6" s="480"/>
      <c r="AJ6" s="660"/>
      <c r="AK6" s="524" t="str">
        <f t="shared" si="12"/>
        <v/>
      </c>
      <c r="AL6" s="507">
        <f>COUNTIF($J$4:$J$163,"Básico")</f>
        <v>0</v>
      </c>
      <c r="AM6" s="507">
        <f>IF(AL6&lt;=15,1,IF(AND(AL6&gt;15,AL6&lt;=29),2,IF(AND(AL6&gt;29,AL6&lt;=43),3,IF(AND(AL6&gt;43,AL6&lt;=57),4,IF(AND(AL6&gt;57,AL6&lt;=71),5,IF(AND(AL6&gt;71,AL6&lt;=85),6,IF(AND(AL6&gt;85,AL6&lt;=99),7,IF(AND(AL6&gt;99,AL6&lt;=113),8,IF(AND(AL6&gt;113,AL6&lt;=127),9,IF(AND(AL6&gt;127,AL6&lt;=141),10,IF(AND(AL6&gt;141,AL6&lt;=155),11,IF(AND(AL6&gt;155,AL6&lt;=160),12,$AN$1))))))))))))</f>
        <v>1</v>
      </c>
      <c r="AN6" s="528">
        <f t="shared" si="13"/>
        <v>0</v>
      </c>
      <c r="AO6" s="783" t="str">
        <f t="shared" si="37"/>
        <v/>
      </c>
      <c r="AP6" s="528" t="str">
        <f t="shared" si="14"/>
        <v/>
      </c>
      <c r="AQ6" s="528"/>
      <c r="AR6" s="528"/>
      <c r="AS6" s="759"/>
      <c r="AT6" s="760"/>
      <c r="AU6" s="761"/>
      <c r="AV6" s="539"/>
      <c r="AW6" s="540"/>
      <c r="AX6" s="986">
        <f>SUM($AY$4:AY64)</f>
        <v>0</v>
      </c>
      <c r="AY6" s="539">
        <f t="shared" si="15"/>
        <v>0</v>
      </c>
      <c r="AZ6" s="528"/>
      <c r="BA6" s="495" t="str">
        <f t="shared" si="16"/>
        <v/>
      </c>
      <c r="BB6" s="485"/>
      <c r="BC6" s="768"/>
      <c r="BD6" s="768">
        <f t="array" ref="BD6">IF(SUM((BC6=$BC$3:BC5)*1)=0,BC6,0)</f>
        <v>0</v>
      </c>
      <c r="BE6" s="768"/>
      <c r="BF6" s="768"/>
      <c r="BG6" s="768">
        <f t="array" ref="BG6">IF(SUM((BF6=$BF$3:BF5)*1)=0,BF6,0)</f>
        <v>0</v>
      </c>
      <c r="BH6" s="768"/>
      <c r="BI6" s="768"/>
      <c r="BJ6" s="768"/>
      <c r="BK6" s="528"/>
      <c r="BL6" s="528"/>
      <c r="BM6" s="528"/>
      <c r="BN6" s="528"/>
      <c r="BO6" s="528"/>
      <c r="BP6" s="678">
        <f t="shared" si="17"/>
        <v>0</v>
      </c>
      <c r="BQ6" s="528"/>
      <c r="BR6" s="791"/>
      <c r="BS6" s="528"/>
      <c r="BT6" s="678"/>
      <c r="BU6" s="495"/>
      <c r="BV6" s="495" t="str">
        <f t="shared" si="18"/>
        <v/>
      </c>
      <c r="BW6" s="495" t="str">
        <f t="shared" si="38"/>
        <v/>
      </c>
      <c r="BX6" s="485"/>
      <c r="BY6" s="485"/>
      <c r="BZ6" s="485"/>
      <c r="CA6" s="485"/>
      <c r="CB6" s="485"/>
      <c r="CC6" s="485"/>
      <c r="CD6" s="485"/>
      <c r="CE6" s="485"/>
      <c r="CF6" s="485"/>
      <c r="CG6" s="485"/>
      <c r="CH6" s="485"/>
      <c r="CI6" s="485"/>
      <c r="CJ6" s="528" t="str">
        <f t="shared" si="39"/>
        <v/>
      </c>
      <c r="CK6" s="495"/>
      <c r="CL6" s="528"/>
      <c r="CM6" s="495"/>
      <c r="CN6" s="528"/>
      <c r="CO6" s="528"/>
      <c r="CP6" s="528"/>
      <c r="CQ6" s="528"/>
      <c r="CR6" s="528"/>
      <c r="CS6" s="528"/>
      <c r="CT6" s="528"/>
      <c r="CU6" s="528"/>
      <c r="CV6" s="528"/>
      <c r="CW6" s="794">
        <f>SUM($CS$4:$CS$46)</f>
        <v>0</v>
      </c>
      <c r="CX6" s="794">
        <f>SUM($CT$4:$CT$46)</f>
        <v>0</v>
      </c>
      <c r="CY6" s="528">
        <v>3</v>
      </c>
      <c r="CZ6" s="794">
        <f>SUM($CF$4:$CF$46)</f>
        <v>0</v>
      </c>
      <c r="DA6" s="794">
        <f>SUM($CG$4:$CG$46)</f>
        <v>0</v>
      </c>
      <c r="DB6" s="528"/>
      <c r="DC6" s="528" t="s">
        <v>746</v>
      </c>
      <c r="DD6" s="528" t="s">
        <v>906</v>
      </c>
      <c r="DE6" s="495" t="str">
        <f t="shared" si="40"/>
        <v/>
      </c>
      <c r="DF6" s="495" t="str">
        <f t="shared" si="41"/>
        <v/>
      </c>
      <c r="DG6" s="495" t="str">
        <f t="shared" si="42"/>
        <v/>
      </c>
      <c r="DH6" s="495" t="str">
        <f t="shared" si="43"/>
        <v/>
      </c>
      <c r="DI6" s="495" t="str">
        <f t="shared" si="44"/>
        <v/>
      </c>
      <c r="DJ6" s="495" t="str">
        <f t="shared" si="45"/>
        <v/>
      </c>
      <c r="DK6" s="495" t="str">
        <f t="shared" si="19"/>
        <v/>
      </c>
      <c r="DL6" s="495" t="str">
        <f t="shared" si="20"/>
        <v/>
      </c>
      <c r="DM6" s="495" t="str">
        <f t="shared" si="46"/>
        <v/>
      </c>
      <c r="DN6" s="495" t="str">
        <f t="shared" si="47"/>
        <v/>
      </c>
      <c r="DO6" s="495" t="str">
        <f t="shared" si="21"/>
        <v/>
      </c>
      <c r="DP6" s="495" t="str">
        <f t="shared" si="22"/>
        <v/>
      </c>
      <c r="DQ6" s="495" t="str">
        <f t="shared" si="48"/>
        <v/>
      </c>
      <c r="DR6" s="495" t="str">
        <f t="shared" si="49"/>
        <v/>
      </c>
      <c r="DS6" s="495" t="str">
        <f t="shared" si="23"/>
        <v/>
      </c>
      <c r="DT6" s="495" t="str">
        <f t="shared" si="24"/>
        <v/>
      </c>
      <c r="DU6" s="495" t="str">
        <f t="shared" si="50"/>
        <v/>
      </c>
      <c r="DV6" s="495" t="str">
        <f t="shared" si="51"/>
        <v/>
      </c>
      <c r="DW6" s="495" t="str">
        <f t="shared" si="25"/>
        <v/>
      </c>
      <c r="DX6" s="495" t="str">
        <f t="shared" si="26"/>
        <v/>
      </c>
      <c r="DY6" s="495" t="str">
        <f t="shared" si="52"/>
        <v/>
      </c>
      <c r="DZ6" s="495" t="str">
        <f t="shared" si="53"/>
        <v/>
      </c>
      <c r="EA6" s="495" t="str">
        <f t="shared" si="27"/>
        <v/>
      </c>
      <c r="EB6" s="495" t="str">
        <f t="shared" si="28"/>
        <v/>
      </c>
      <c r="EC6" s="495" t="str">
        <f t="shared" si="29"/>
        <v/>
      </c>
      <c r="ED6" s="495" t="str">
        <f t="shared" si="30"/>
        <v/>
      </c>
      <c r="EE6" s="495" t="str">
        <f t="shared" si="31"/>
        <v/>
      </c>
      <c r="EF6" s="495" t="str">
        <f t="shared" si="32"/>
        <v/>
      </c>
      <c r="EG6" s="495" t="str">
        <f t="shared" si="33"/>
        <v/>
      </c>
      <c r="EH6" s="495" t="str">
        <f t="shared" si="34"/>
        <v/>
      </c>
      <c r="EI6" s="495" t="str">
        <f t="shared" si="35"/>
        <v/>
      </c>
      <c r="EJ6" s="495" t="str">
        <f t="shared" si="36"/>
        <v/>
      </c>
      <c r="EK6" s="485"/>
      <c r="EL6" s="485"/>
      <c r="EM6" s="485"/>
      <c r="EN6" s="485"/>
      <c r="EO6" s="447"/>
      <c r="EP6" s="447"/>
      <c r="EQ6" s="447"/>
      <c r="ER6" s="447"/>
      <c r="ES6" s="447"/>
      <c r="ET6" s="495"/>
      <c r="EU6" s="495"/>
      <c r="EV6" s="495"/>
      <c r="EW6" s="495"/>
      <c r="EX6" s="528"/>
      <c r="EY6" s="528"/>
      <c r="EZ6" s="528"/>
      <c r="FA6" s="798"/>
      <c r="FB6" s="798">
        <f t="array" ref="FB6">IF(SUM((FA6=$FA$3:FA5)*1)=0,FA6,0)</f>
        <v>0</v>
      </c>
      <c r="FC6" s="798"/>
      <c r="FD6" s="798"/>
      <c r="FE6" s="798">
        <f t="array" ref="FE6">IF(SUM((FD6=$FD$3:FD5)*1)=0,FD6,0)</f>
        <v>0</v>
      </c>
      <c r="FF6" s="798"/>
      <c r="FG6" s="798"/>
      <c r="FH6" s="798"/>
      <c r="FI6" s="798">
        <f t="array" ref="FI6">IF(SUM((FH6=$FH$3:FH5)*1)=0,FH6,0)</f>
        <v>0</v>
      </c>
      <c r="FJ6" s="798"/>
      <c r="FK6" s="798"/>
      <c r="FL6" s="798">
        <f t="array" ref="FL6">IF(SUM((FK6=$FK$3:FK5)*1)=0,FK6,0)</f>
        <v>0</v>
      </c>
      <c r="FM6" s="798"/>
      <c r="FN6" s="798"/>
      <c r="FO6" s="798"/>
      <c r="FP6" s="798">
        <f t="array" ref="FP6">IF(SUM((FO6=$FO$3:FO5)*1)=0,FO6,0)</f>
        <v>0</v>
      </c>
      <c r="FQ6" s="798"/>
      <c r="FR6" s="798"/>
      <c r="FS6" s="798">
        <f t="array" ref="FS6">IF(SUM((FR6=$FR$3:FR5)*1)=0,FR6,0)</f>
        <v>0</v>
      </c>
      <c r="FT6" s="798"/>
      <c r="FU6" s="798"/>
      <c r="FV6" s="798"/>
      <c r="FW6" s="798">
        <f t="array" ref="FW6">IF(SUM((FV6=$FV$3:FV5)*1)=0,FV6,0)</f>
        <v>0</v>
      </c>
      <c r="FX6" s="798"/>
      <c r="FY6" s="798"/>
      <c r="FZ6" s="798">
        <f t="array" ref="FZ6">IF(SUM((FY6=$FY$3:FY5)*1)=0,FY6,0)</f>
        <v>0</v>
      </c>
      <c r="GA6" s="798"/>
      <c r="GB6" s="798"/>
      <c r="GC6" s="798"/>
      <c r="GD6" s="798">
        <f t="array" ref="GD6">IF(SUM((GC6=$GC$3:GC5)*1)=0,GC6,0)</f>
        <v>0</v>
      </c>
      <c r="GE6" s="798"/>
      <c r="GF6" s="798"/>
      <c r="GG6" s="798">
        <f t="array" ref="GG6">IF(SUM((GF6=$GF$3:GF5)*1)=0,GF6,0)</f>
        <v>0</v>
      </c>
      <c r="GH6" s="798"/>
      <c r="GI6" s="798"/>
      <c r="GJ6" s="798"/>
      <c r="GK6" s="798">
        <f t="array" ref="GK6">IF(SUM((GJ6=$GJ$3:GJ5)*1)=0,GJ6,0)</f>
        <v>0</v>
      </c>
      <c r="GL6" s="798"/>
      <c r="GM6" s="798"/>
      <c r="GN6" s="798">
        <f t="array" ref="GN6">IF(SUM((GM6=$GM$3:GM5)*1)=0,GM6,0)</f>
        <v>0</v>
      </c>
      <c r="GO6" s="798"/>
      <c r="GP6" s="798"/>
      <c r="GQ6" s="798"/>
      <c r="GR6" s="798">
        <f t="array" ref="GR6">IF(SUM((GQ6=$GQ$3:GQ5)*1)=0,GQ6,0)</f>
        <v>0</v>
      </c>
      <c r="GS6" s="798"/>
      <c r="GT6" s="798"/>
      <c r="GU6" s="798">
        <f t="array" ref="GU6">IF(SUM((GT6=$GT$3:GT5)*1)=0,GT6,0)</f>
        <v>0</v>
      </c>
      <c r="GV6" s="798"/>
      <c r="GW6" s="798"/>
      <c r="GX6" s="798"/>
      <c r="GY6" s="798">
        <f t="array" ref="GY6">IF(SUM((GX6=$GX$3:GX5)*1)=0,GX6,0)</f>
        <v>0</v>
      </c>
      <c r="GZ6" s="798"/>
      <c r="HA6" s="798"/>
      <c r="HB6" s="798">
        <f t="array" ref="HB6">IF(SUM((HA6=$HA$3:HA5)*1)=0,HA6,0)</f>
        <v>0</v>
      </c>
      <c r="HC6" s="798"/>
      <c r="HD6" s="798"/>
      <c r="HE6" s="769" t="str">
        <f t="shared" ref="HE6:HE69" si="130">IFERROR(IF($A6="","",IF(HE$2=0,0,IF(AND($J6="Básico",$P6&lt;&gt;"",$R6&lt;$P$164,$S6&lt;&gt;""),(HE5-$S6),HE5))),"")</f>
        <v/>
      </c>
      <c r="HF6" s="768" t="str">
        <f t="shared" si="54"/>
        <v/>
      </c>
      <c r="HG6" s="769" t="str">
        <f t="shared" ref="HG6:HG69" si="131">IFERROR(IF($A6="","",IF(HG$2=0,0,IF(AND($J6="Básico",$R6&lt;$P$164),HG5,IF(AND($J6="Básico",$R6&gt;=$P$164,HE6&lt;=0),(HG5-$S6),HG5)))),"")</f>
        <v/>
      </c>
      <c r="HH6" s="768" t="str">
        <f t="shared" si="55"/>
        <v/>
      </c>
      <c r="HI6" s="728" t="str">
        <f t="shared" ref="HI6:HI69" si="132">IFERROR(IF($A6="","",IF(HI$2=0,0,IF(AND($J6="Básico",$R6&lt;&gt;"",$T6&lt;&gt;""),(HI5-$T6),HI5))),"")</f>
        <v/>
      </c>
      <c r="HJ6" s="768" t="str">
        <f t="shared" si="56"/>
        <v/>
      </c>
      <c r="HK6" s="728" t="str">
        <f t="shared" ref="HK6:HK69" si="133">IFERROR(IF($A6="","",IF(HK$2=0,0,IF(AND($J6="Básico",$R6&lt;$P$165),HK5,IF(AND($J6="Básico",$R6&gt;=$P$165,HI6&lt;=0),(HK5-$T6),HK5)))),"")</f>
        <v/>
      </c>
      <c r="HL6" s="768" t="str">
        <f t="shared" si="57"/>
        <v/>
      </c>
      <c r="HM6" s="769" t="str">
        <f t="shared" si="58"/>
        <v/>
      </c>
      <c r="HN6" s="768" t="str">
        <f t="shared" ref="HN6" si="134">IF(HM6&lt;0,"Invadiu REP-BA-C","")</f>
        <v/>
      </c>
      <c r="HO6" s="769" t="str">
        <f t="shared" si="60"/>
        <v/>
      </c>
      <c r="HP6" s="768" t="str">
        <f t="shared" si="61"/>
        <v/>
      </c>
      <c r="HQ6" s="728" t="str">
        <f t="shared" si="62"/>
        <v/>
      </c>
      <c r="HR6" s="768" t="str">
        <f t="shared" si="63"/>
        <v/>
      </c>
      <c r="HS6" s="728" t="str">
        <f t="shared" si="64"/>
        <v/>
      </c>
      <c r="HT6" s="768" t="str">
        <f t="shared" si="65"/>
        <v/>
      </c>
      <c r="HU6" s="769" t="str">
        <f t="shared" si="66"/>
        <v/>
      </c>
      <c r="HV6" s="768" t="str">
        <f t="shared" ref="HV6" si="135">IF(HU6&lt;0,"Invadiu REP-BA-C","")</f>
        <v/>
      </c>
      <c r="HW6" s="769" t="str">
        <f t="shared" si="68"/>
        <v/>
      </c>
      <c r="HX6" s="768" t="str">
        <f t="shared" si="69"/>
        <v/>
      </c>
      <c r="HY6" s="728" t="str">
        <f t="shared" si="70"/>
        <v/>
      </c>
      <c r="HZ6" s="768" t="str">
        <f t="shared" si="71"/>
        <v/>
      </c>
      <c r="IA6" s="728" t="str">
        <f t="shared" si="72"/>
        <v/>
      </c>
      <c r="IB6" s="768" t="str">
        <f t="shared" si="73"/>
        <v/>
      </c>
      <c r="IC6" s="769" t="str">
        <f t="shared" si="74"/>
        <v/>
      </c>
      <c r="ID6" s="768" t="str">
        <f t="shared" ref="ID6" si="136">IF(IC6&lt;0,"Invadiu REP-BA-C","")</f>
        <v/>
      </c>
      <c r="IE6" s="769" t="str">
        <f t="shared" si="76"/>
        <v/>
      </c>
      <c r="IF6" s="768" t="str">
        <f t="shared" si="77"/>
        <v/>
      </c>
      <c r="IG6" s="728" t="str">
        <f t="shared" si="78"/>
        <v/>
      </c>
      <c r="IH6" s="768" t="str">
        <f t="shared" si="79"/>
        <v/>
      </c>
      <c r="II6" s="728" t="str">
        <f t="shared" si="80"/>
        <v/>
      </c>
      <c r="IJ6" s="768" t="str">
        <f t="shared" si="81"/>
        <v/>
      </c>
      <c r="IK6" s="769" t="str">
        <f t="shared" si="82"/>
        <v/>
      </c>
      <c r="IL6" s="768" t="str">
        <f t="shared" ref="IL6" si="137">IF(IK6&lt;0,"Invadiu REP-BA-C","")</f>
        <v/>
      </c>
      <c r="IM6" s="769" t="str">
        <f t="shared" si="84"/>
        <v/>
      </c>
      <c r="IN6" s="768" t="str">
        <f t="shared" si="85"/>
        <v/>
      </c>
      <c r="IO6" s="728" t="str">
        <f t="shared" si="86"/>
        <v/>
      </c>
      <c r="IP6" s="768" t="str">
        <f t="shared" si="87"/>
        <v/>
      </c>
      <c r="IQ6" s="728" t="str">
        <f t="shared" si="88"/>
        <v/>
      </c>
      <c r="IR6" s="768" t="str">
        <f t="shared" si="89"/>
        <v/>
      </c>
      <c r="IS6" s="769" t="str">
        <f t="shared" si="90"/>
        <v/>
      </c>
      <c r="IT6" s="768" t="str">
        <f t="shared" ref="IT6" si="138">IF(IS6&lt;0,"Invadiu REP-BA-C","")</f>
        <v/>
      </c>
      <c r="IU6" s="769" t="str">
        <f t="shared" si="92"/>
        <v/>
      </c>
      <c r="IV6" s="768" t="str">
        <f t="shared" si="93"/>
        <v/>
      </c>
      <c r="IW6" s="728" t="str">
        <f t="shared" si="94"/>
        <v/>
      </c>
      <c r="IX6" s="768" t="str">
        <f t="shared" si="95"/>
        <v/>
      </c>
      <c r="IY6" s="728" t="str">
        <f t="shared" si="96"/>
        <v/>
      </c>
      <c r="IZ6" s="768" t="str">
        <f t="shared" si="97"/>
        <v/>
      </c>
      <c r="JA6" s="769" t="str">
        <f t="shared" si="98"/>
        <v/>
      </c>
      <c r="JB6" s="768" t="str">
        <f t="shared" ref="JB6" si="139">IF(JA6&lt;0,"Invadiu REP-BA-C","")</f>
        <v/>
      </c>
      <c r="JC6" s="769" t="str">
        <f t="shared" si="100"/>
        <v/>
      </c>
      <c r="JD6" s="768" t="str">
        <f t="shared" si="101"/>
        <v/>
      </c>
      <c r="JE6" s="728" t="str">
        <f t="shared" si="102"/>
        <v/>
      </c>
      <c r="JF6" s="768" t="str">
        <f t="shared" si="103"/>
        <v/>
      </c>
      <c r="JG6" s="728" t="str">
        <f t="shared" si="104"/>
        <v/>
      </c>
      <c r="JH6" s="768" t="str">
        <f t="shared" si="105"/>
        <v/>
      </c>
      <c r="JI6" s="769" t="str">
        <f t="shared" si="106"/>
        <v/>
      </c>
      <c r="JJ6" s="768" t="str">
        <f t="shared" ref="JJ6" si="140">IF(JI6&lt;0,"Invadiu REP-BA-C","")</f>
        <v/>
      </c>
      <c r="JK6" s="769" t="str">
        <f t="shared" si="108"/>
        <v/>
      </c>
      <c r="JL6" s="768" t="str">
        <f t="shared" si="109"/>
        <v/>
      </c>
      <c r="JM6" s="728" t="str">
        <f t="shared" si="110"/>
        <v/>
      </c>
      <c r="JN6" s="768" t="str">
        <f t="shared" si="111"/>
        <v/>
      </c>
      <c r="JO6" s="728" t="str">
        <f t="shared" si="112"/>
        <v/>
      </c>
      <c r="JP6" s="768" t="str">
        <f t="shared" si="113"/>
        <v/>
      </c>
      <c r="JQ6" s="769" t="str">
        <f t="shared" si="114"/>
        <v/>
      </c>
      <c r="JR6" s="768" t="str">
        <f t="shared" ref="JR6" si="141">IF(JQ6&lt;0,"Invadiu REP-BA-C","")</f>
        <v/>
      </c>
      <c r="JS6" s="769" t="str">
        <f t="shared" si="116"/>
        <v/>
      </c>
      <c r="JT6" s="768" t="str">
        <f t="shared" si="117"/>
        <v/>
      </c>
      <c r="JU6" s="728" t="str">
        <f t="shared" si="118"/>
        <v/>
      </c>
      <c r="JV6" s="768" t="str">
        <f t="shared" si="119"/>
        <v/>
      </c>
      <c r="JW6" s="728" t="str">
        <f t="shared" si="120"/>
        <v/>
      </c>
      <c r="JX6" s="768" t="str">
        <f t="shared" si="121"/>
        <v/>
      </c>
      <c r="JY6" s="768" t="str">
        <f t="shared" si="122"/>
        <v/>
      </c>
      <c r="JZ6" s="485" t="str">
        <f>IF(JY6="","",IF(AND(C6=$C$164,JY6&lt;&gt;""),Verificarcpf(D6),IF(AND(C6=$C$165,JY6&lt;&gt;""),VerificarCNPJ(D6))))</f>
        <v/>
      </c>
      <c r="KA6" s="768" t="str">
        <f t="shared" si="123"/>
        <v/>
      </c>
      <c r="KB6" s="485">
        <f t="shared" si="124"/>
        <v>0</v>
      </c>
      <c r="KC6" s="768">
        <f t="shared" si="125"/>
        <v>0</v>
      </c>
      <c r="KD6" s="485">
        <f t="shared" si="126"/>
        <v>0</v>
      </c>
      <c r="KE6" s="447"/>
      <c r="KF6" s="548">
        <f t="shared" si="127"/>
        <v>0</v>
      </c>
      <c r="KG6" s="548" t="s">
        <v>579</v>
      </c>
      <c r="KH6" s="548"/>
      <c r="KI6" s="548"/>
      <c r="KJ6" s="548" t="str">
        <f t="shared" si="128"/>
        <v/>
      </c>
      <c r="KK6" s="548"/>
      <c r="KL6" s="548"/>
      <c r="KM6" s="548">
        <f t="array" ref="KM6">IF(SUM((KL6=$KL$3:KL5)*1)=0,KL6,0)</f>
        <v>0</v>
      </c>
      <c r="KN6" s="548"/>
      <c r="KO6" s="548"/>
      <c r="KP6" s="548"/>
      <c r="KQ6" s="548"/>
      <c r="KR6" s="548" t="str">
        <f t="shared" si="129"/>
        <v/>
      </c>
      <c r="KS6" s="548"/>
      <c r="KT6" s="548"/>
      <c r="KU6" s="548"/>
      <c r="KV6" s="548"/>
      <c r="KW6" s="548"/>
      <c r="KX6" s="548"/>
      <c r="KY6" s="548"/>
      <c r="KZ6" s="548"/>
      <c r="LA6" s="548"/>
      <c r="LB6" s="548"/>
      <c r="LC6" s="485" t="str">
        <f t="shared" ref="LC6:LC69" si="142">IF(LD6&lt;&gt;"",$CY6,"")</f>
        <v/>
      </c>
      <c r="LD6" s="548"/>
      <c r="LE6" s="548"/>
      <c r="LF6" s="548"/>
      <c r="LG6" s="548"/>
      <c r="LH6" s="548"/>
      <c r="LI6" s="548"/>
      <c r="LJ6" s="548"/>
      <c r="LK6" s="548"/>
      <c r="LL6" s="548"/>
      <c r="LM6" s="548"/>
      <c r="LN6" s="548"/>
      <c r="LO6" s="548"/>
      <c r="LP6" s="485" t="str">
        <f t="shared" ref="LP6:LP69" si="143">IF(LQ6&lt;&gt;"",$CY6,"")</f>
        <v/>
      </c>
      <c r="LQ6" s="548"/>
      <c r="LR6" s="548"/>
      <c r="LS6" s="548"/>
      <c r="LT6" s="548"/>
      <c r="LU6" s="548"/>
      <c r="LV6" s="548"/>
      <c r="LW6" s="548"/>
      <c r="LX6" s="548"/>
      <c r="LY6" s="548"/>
      <c r="LZ6" s="548"/>
      <c r="MA6" s="548"/>
      <c r="MB6" s="548"/>
      <c r="MC6" s="485" t="str">
        <f t="shared" ref="MC6:MC69" si="144">IF(MD6&lt;&gt;"",$CY6,"")</f>
        <v/>
      </c>
      <c r="MD6" s="548"/>
      <c r="ME6" s="548"/>
      <c r="MF6" s="548"/>
      <c r="MG6" s="548"/>
      <c r="MH6" s="548"/>
      <c r="MI6" s="548"/>
      <c r="MJ6" s="548"/>
      <c r="MK6" s="548"/>
      <c r="ML6" s="548"/>
      <c r="MM6" s="548"/>
      <c r="MN6" s="548"/>
      <c r="MO6" s="548"/>
      <c r="MP6" s="485" t="str">
        <f t="shared" ref="MP6:MP69" si="145">IF(MQ6&lt;&gt;"",$CY6,"")</f>
        <v/>
      </c>
      <c r="MQ6" s="548"/>
      <c r="MR6" s="548"/>
      <c r="MS6" s="548"/>
      <c r="MT6" s="548"/>
      <c r="MU6" s="548"/>
      <c r="MV6" s="548"/>
      <c r="MW6" s="548"/>
      <c r="MX6" s="548"/>
      <c r="MY6" s="548"/>
      <c r="MZ6" s="548"/>
      <c r="NA6" s="548"/>
      <c r="NB6" s="548"/>
      <c r="NC6" s="485" t="str">
        <f t="shared" ref="NC6:NC69" si="146">IF(ND6&lt;&gt;"",$CY6,"")</f>
        <v/>
      </c>
      <c r="ND6" s="548"/>
      <c r="NE6" s="548"/>
      <c r="NF6" s="548"/>
      <c r="NG6" s="548"/>
      <c r="NH6" s="548"/>
      <c r="NI6" s="548"/>
      <c r="NJ6" s="548"/>
      <c r="NK6" s="548"/>
      <c r="NL6" s="548"/>
      <c r="NM6" s="548"/>
      <c r="NN6" s="548"/>
      <c r="NO6" s="548"/>
      <c r="NP6" s="485" t="str">
        <f t="shared" ref="NP6:NP69" si="147">IF(NQ6&lt;&gt;"",$CY6,"")</f>
        <v/>
      </c>
      <c r="NQ6" s="548"/>
      <c r="NR6" s="548"/>
      <c r="NS6" s="548"/>
      <c r="NT6" s="548"/>
      <c r="NU6" s="548"/>
      <c r="NV6" s="548"/>
      <c r="NW6" s="548"/>
      <c r="NX6" s="548"/>
      <c r="NY6" s="548"/>
      <c r="NZ6" s="548"/>
      <c r="OA6" s="548"/>
      <c r="OB6" s="548"/>
      <c r="OC6" s="485" t="str">
        <f t="shared" ref="OC6:OC69" si="148">IF(OD6&lt;&gt;"",$CY6,"")</f>
        <v/>
      </c>
      <c r="OD6" s="548"/>
      <c r="OE6" s="548"/>
      <c r="OF6" s="548"/>
      <c r="OG6" s="548"/>
      <c r="OH6" s="548"/>
      <c r="OI6" s="548"/>
      <c r="OJ6" s="548"/>
      <c r="OK6" s="548"/>
      <c r="OL6" s="548"/>
      <c r="OM6" s="548"/>
      <c r="ON6" s="548"/>
      <c r="OO6" s="548"/>
      <c r="OP6" s="548"/>
      <c r="OQ6" s="548"/>
      <c r="OR6" s="548"/>
      <c r="OS6" s="548"/>
      <c r="OT6" s="548"/>
      <c r="OU6" s="548"/>
      <c r="OV6" s="548"/>
      <c r="OW6" s="548"/>
      <c r="OX6" s="548"/>
      <c r="OY6" s="548"/>
      <c r="OZ6" s="548"/>
      <c r="PA6" s="548"/>
      <c r="PB6" s="548"/>
      <c r="PC6" s="548"/>
      <c r="PD6" s="548"/>
      <c r="PE6" s="548"/>
      <c r="PF6" s="548"/>
      <c r="PG6" s="548"/>
      <c r="PH6" s="548"/>
      <c r="PI6" s="548"/>
      <c r="PJ6" s="548"/>
      <c r="PK6" s="548"/>
      <c r="PL6" s="548"/>
      <c r="PM6" s="548"/>
      <c r="PN6" s="548"/>
      <c r="PO6" s="548"/>
      <c r="PP6" s="548"/>
      <c r="PQ6" s="548"/>
      <c r="PR6" s="548"/>
      <c r="PS6" s="548"/>
      <c r="PT6" s="1001">
        <f>SUM($LL$4:$LL$46)</f>
        <v>0</v>
      </c>
      <c r="PU6" s="1001">
        <f>SUM($LM$4:$LM$46)</f>
        <v>0</v>
      </c>
      <c r="PV6" s="528"/>
      <c r="PW6" s="1001">
        <f>SUM($LY$4:$LY$46)</f>
        <v>0</v>
      </c>
      <c r="PX6" s="1001">
        <f>SUM($LZ$4:$LZ$46)</f>
        <v>0</v>
      </c>
      <c r="PY6" s="548"/>
      <c r="PZ6" s="1001">
        <f>SUM($ML$4:$ML$46)</f>
        <v>0</v>
      </c>
      <c r="QA6" s="1001">
        <f>SUM($MM$4:$MM$46)</f>
        <v>0</v>
      </c>
      <c r="QB6" s="528"/>
      <c r="QC6" s="1001">
        <f>SUM($MY$4:$MY$46)</f>
        <v>0</v>
      </c>
      <c r="QD6" s="1001">
        <f>SUM($MZ$4:$MZ$46)</f>
        <v>0</v>
      </c>
      <c r="QE6" s="548"/>
      <c r="QF6" s="1001">
        <f>SUM($NL$4:$NL$46)</f>
        <v>0</v>
      </c>
      <c r="QG6" s="1001">
        <f>SUM($NM$4:$NM$46)</f>
        <v>0</v>
      </c>
      <c r="QH6" s="548"/>
      <c r="QI6" s="1001">
        <f>SUM($NY$4:$NY$46)</f>
        <v>0</v>
      </c>
      <c r="QJ6" s="1001">
        <f>SUM($NZ$4:$NZ$46)</f>
        <v>0</v>
      </c>
      <c r="QK6" s="548"/>
      <c r="QL6" s="1001">
        <f>SUM($OL$4:$OL$46)</f>
        <v>0</v>
      </c>
      <c r="QM6" s="1001">
        <f>SUM($OM$4:$OM$46)</f>
        <v>0</v>
      </c>
      <c r="QN6" s="548"/>
      <c r="QO6" s="548"/>
      <c r="QP6" s="548"/>
      <c r="QQ6" s="1009"/>
      <c r="QR6" s="548"/>
      <c r="QS6" s="548"/>
      <c r="QT6" s="548"/>
      <c r="QU6" s="548"/>
      <c r="QV6" s="548"/>
      <c r="QW6" s="548"/>
      <c r="QX6" s="548"/>
      <c r="QY6" s="548"/>
      <c r="QZ6" s="548"/>
      <c r="RA6" s="548"/>
      <c r="RB6" s="548"/>
      <c r="RC6" s="548"/>
      <c r="RD6" s="548"/>
      <c r="RE6" s="548"/>
      <c r="RF6" s="548"/>
      <c r="RG6" s="548"/>
      <c r="RH6" s="548"/>
      <c r="RI6" s="548"/>
      <c r="RJ6" s="548"/>
      <c r="RK6" s="548"/>
      <c r="RL6" s="548"/>
      <c r="RM6" s="548"/>
      <c r="RN6" s="548"/>
      <c r="RO6" s="548"/>
      <c r="RP6" s="548"/>
      <c r="RQ6" s="548"/>
      <c r="RR6" s="548"/>
      <c r="RS6" s="548"/>
      <c r="RT6" s="548"/>
      <c r="RU6" s="548"/>
      <c r="RV6" s="548"/>
      <c r="RW6" s="548"/>
      <c r="RX6" s="548"/>
      <c r="RY6" s="548"/>
      <c r="RZ6" s="548"/>
      <c r="SA6" s="548"/>
      <c r="SB6" s="548"/>
      <c r="SC6" s="548"/>
      <c r="SD6" s="548"/>
      <c r="SE6" s="548"/>
      <c r="SF6" s="548"/>
      <c r="SG6" s="548"/>
      <c r="SH6" s="548"/>
      <c r="SI6" s="548"/>
      <c r="SJ6" s="548"/>
      <c r="SK6" s="548"/>
      <c r="SL6" s="548"/>
      <c r="SM6" s="548"/>
      <c r="SN6" s="548"/>
      <c r="SO6" s="548"/>
      <c r="SP6" s="548"/>
      <c r="SQ6" s="548"/>
      <c r="SR6" s="548"/>
      <c r="SS6" s="548"/>
      <c r="ST6" s="548"/>
      <c r="SU6" s="548"/>
      <c r="SV6" s="548"/>
      <c r="SW6" s="548"/>
      <c r="SX6" s="548"/>
      <c r="SY6" s="548"/>
      <c r="SZ6" s="548"/>
      <c r="TA6" s="548"/>
      <c r="TB6" s="548"/>
      <c r="TC6" s="548"/>
      <c r="TD6" s="548"/>
      <c r="TE6" s="548"/>
      <c r="TF6" s="548"/>
      <c r="TG6" s="548"/>
      <c r="TH6" s="548"/>
      <c r="TI6" s="548"/>
      <c r="TJ6" s="548"/>
      <c r="TK6" s="548"/>
      <c r="TL6" s="548"/>
      <c r="TM6" s="548"/>
      <c r="TN6" s="548"/>
      <c r="TO6" s="548"/>
      <c r="TP6" s="548"/>
      <c r="TQ6" s="548"/>
      <c r="TR6" s="548"/>
      <c r="TS6" s="548"/>
      <c r="TT6" s="548"/>
      <c r="TU6" s="548"/>
      <c r="TV6" s="548"/>
      <c r="TW6" s="548"/>
      <c r="TX6" s="548"/>
      <c r="TY6" s="548"/>
      <c r="TZ6" s="548"/>
      <c r="UA6" s="548"/>
      <c r="UB6" s="548"/>
      <c r="UC6" s="548"/>
      <c r="UD6" s="548"/>
      <c r="UE6" s="548"/>
      <c r="UF6" s="548"/>
      <c r="UG6" s="548"/>
      <c r="UH6" s="548"/>
      <c r="UI6" s="548"/>
      <c r="UJ6" s="548"/>
      <c r="UK6" s="548"/>
      <c r="UL6" s="548"/>
      <c r="UM6" s="548"/>
      <c r="UN6" s="548"/>
      <c r="UO6" s="548"/>
      <c r="UP6" s="548"/>
      <c r="UQ6" s="548"/>
      <c r="UR6" s="548"/>
      <c r="US6" s="548"/>
      <c r="UT6" s="548"/>
      <c r="UU6" s="548"/>
      <c r="UV6" s="548"/>
      <c r="UW6" s="548"/>
      <c r="UX6" s="548"/>
      <c r="UY6" s="548"/>
      <c r="UZ6" s="548"/>
      <c r="VA6" s="548"/>
      <c r="VB6" s="548"/>
      <c r="VC6" s="548"/>
      <c r="VD6" s="548"/>
      <c r="VE6" s="548"/>
      <c r="VF6" s="548"/>
      <c r="VG6" s="548"/>
      <c r="VH6" s="548"/>
      <c r="VI6" s="548"/>
      <c r="VJ6" s="548"/>
      <c r="VK6" s="548"/>
      <c r="VL6" s="548"/>
      <c r="VM6" s="548"/>
      <c r="VN6" s="548"/>
      <c r="VO6" s="548"/>
      <c r="VP6" s="548"/>
      <c r="VQ6" s="548"/>
      <c r="VR6" s="548"/>
      <c r="VS6" s="548"/>
      <c r="VT6" s="548"/>
      <c r="VU6" s="548"/>
      <c r="VV6" s="548"/>
      <c r="VW6" s="548"/>
      <c r="VX6" s="548"/>
      <c r="VY6" s="548"/>
      <c r="VZ6" s="548"/>
      <c r="WA6" s="548"/>
      <c r="WB6" s="548"/>
      <c r="WC6" s="548"/>
      <c r="WD6" s="548"/>
      <c r="WE6" s="548"/>
      <c r="WF6" s="548"/>
      <c r="WG6" s="548"/>
      <c r="WH6" s="548"/>
      <c r="WI6" s="548"/>
      <c r="WJ6" s="548"/>
      <c r="WK6" s="548"/>
      <c r="WL6" s="548"/>
      <c r="WM6" s="548"/>
      <c r="WN6" s="548"/>
      <c r="WO6" s="548"/>
      <c r="WP6" s="548"/>
      <c r="WQ6" s="548"/>
      <c r="WR6" s="548"/>
      <c r="WS6" s="548"/>
      <c r="WT6" s="548"/>
      <c r="WU6" s="548"/>
      <c r="WV6" s="548"/>
      <c r="WW6" s="548"/>
      <c r="WX6" s="548"/>
      <c r="WY6" s="548"/>
      <c r="WZ6" s="548"/>
      <c r="XA6" s="548"/>
      <c r="XB6" s="548"/>
      <c r="XC6" s="548"/>
      <c r="XD6" s="548"/>
      <c r="XE6" s="548"/>
      <c r="XF6" s="548"/>
      <c r="XG6" s="548"/>
      <c r="XH6" s="548"/>
      <c r="XI6" s="548"/>
      <c r="XJ6" s="548"/>
      <c r="XK6" s="548"/>
      <c r="XL6" s="548"/>
      <c r="XM6" s="548"/>
      <c r="XN6" s="548"/>
      <c r="XO6" s="548"/>
      <c r="XP6" s="548"/>
      <c r="XQ6" s="548"/>
      <c r="XR6" s="548"/>
      <c r="XS6" s="548"/>
      <c r="XT6" s="548"/>
      <c r="XU6" s="548"/>
      <c r="XV6" s="548"/>
      <c r="XW6" s="548"/>
      <c r="XX6" s="548"/>
      <c r="XY6" s="548"/>
      <c r="XZ6" s="548"/>
      <c r="YA6" s="548"/>
      <c r="YB6" s="548"/>
      <c r="YC6" s="548"/>
      <c r="YD6" s="548"/>
      <c r="YE6" s="548"/>
      <c r="YF6" s="548"/>
      <c r="YG6" s="548"/>
      <c r="YH6" s="548"/>
      <c r="YI6" s="548"/>
      <c r="YJ6" s="548"/>
      <c r="YK6" s="548"/>
      <c r="YL6" s="548"/>
      <c r="YM6" s="548"/>
      <c r="YN6" s="548"/>
      <c r="YO6" s="548"/>
      <c r="YP6" s="548"/>
      <c r="YQ6" s="548"/>
      <c r="YR6" s="548"/>
      <c r="YS6" s="548"/>
      <c r="YT6" s="548"/>
      <c r="YU6" s="548"/>
      <c r="YV6" s="548"/>
      <c r="YW6" s="548"/>
      <c r="YX6" s="548"/>
      <c r="YY6" s="548"/>
      <c r="YZ6" s="548"/>
      <c r="ZA6" s="548"/>
      <c r="ZB6" s="548"/>
      <c r="ZC6" s="548"/>
      <c r="ZD6" s="548"/>
      <c r="ZE6" s="548"/>
      <c r="ZF6" s="548"/>
      <c r="ZG6" s="548"/>
      <c r="ZH6" s="548"/>
      <c r="ZI6" s="548"/>
      <c r="ZJ6" s="548"/>
      <c r="ZK6" s="548"/>
      <c r="ZL6" s="548"/>
      <c r="ZM6" s="548"/>
      <c r="ZN6" s="548"/>
      <c r="ZO6" s="548"/>
      <c r="ZP6" s="548"/>
      <c r="ZQ6" s="548"/>
      <c r="ZR6" s="548"/>
      <c r="ZS6" s="548"/>
      <c r="ZT6" s="548"/>
      <c r="ZU6" s="548"/>
      <c r="ZV6" s="548"/>
      <c r="ZW6" s="548"/>
      <c r="ZX6" s="548"/>
      <c r="ZY6" s="548"/>
      <c r="ZZ6" s="548"/>
      <c r="AAA6" s="548"/>
      <c r="AAB6" s="548"/>
      <c r="AAC6" s="548"/>
      <c r="AAD6" s="548"/>
      <c r="AAE6" s="548"/>
      <c r="AAF6" s="548"/>
      <c r="AAG6" s="548"/>
      <c r="AAH6" s="548"/>
      <c r="AAI6" s="548"/>
      <c r="AAJ6" s="548"/>
      <c r="AAK6" s="548"/>
      <c r="AAL6" s="548"/>
      <c r="AAM6" s="548"/>
      <c r="AAN6" s="548"/>
      <c r="AAO6" s="548"/>
      <c r="AAP6" s="548"/>
      <c r="AAQ6" s="548"/>
      <c r="AAR6" s="548"/>
      <c r="AAS6" s="548"/>
      <c r="AAT6" s="548"/>
      <c r="AAU6" s="548"/>
      <c r="AAV6" s="548"/>
      <c r="AAW6" s="548"/>
      <c r="AAX6" s="548"/>
      <c r="AAY6" s="548"/>
      <c r="AAZ6" s="548"/>
      <c r="ABA6" s="548"/>
      <c r="ABB6" s="548"/>
      <c r="ABC6" s="548"/>
      <c r="ABD6" s="548"/>
      <c r="ABE6" s="548"/>
      <c r="ABF6" s="548"/>
      <c r="ABG6" s="548"/>
      <c r="ABH6" s="548"/>
      <c r="ABI6" s="548"/>
      <c r="ABJ6" s="548"/>
      <c r="ABK6" s="548"/>
      <c r="ABL6" s="548"/>
      <c r="ABM6" s="548"/>
      <c r="ABN6" s="548"/>
      <c r="ABO6" s="548"/>
      <c r="ABP6" s="548"/>
      <c r="ABQ6" s="548"/>
      <c r="ABR6" s="548"/>
      <c r="ABS6" s="548"/>
    </row>
    <row r="7" spans="1:747" customFormat="1" ht="15" customHeight="1" x14ac:dyDescent="0.2">
      <c r="A7" s="424" t="str">
        <f t="shared" ref="A7:A70" si="149">IF(B7="","",IF(AND(A6="",B7&lt;&gt;""),1,IF(A6="","",(A6+1))))</f>
        <v/>
      </c>
      <c r="B7" s="415"/>
      <c r="C7" s="525"/>
      <c r="D7" s="750"/>
      <c r="E7" s="416" t="str">
        <f t="shared" si="0"/>
        <v/>
      </c>
      <c r="F7" s="527" t="str">
        <f t="shared" si="1"/>
        <v/>
      </c>
      <c r="G7" s="417"/>
      <c r="H7" s="583" t="str">
        <f t="shared" si="2"/>
        <v/>
      </c>
      <c r="I7" s="424"/>
      <c r="J7" s="749"/>
      <c r="K7" s="418"/>
      <c r="L7" s="419"/>
      <c r="M7" s="415"/>
      <c r="N7" s="420"/>
      <c r="O7" s="653"/>
      <c r="P7" s="561"/>
      <c r="Q7" s="422"/>
      <c r="R7" s="767" t="str">
        <f t="shared" si="3"/>
        <v/>
      </c>
      <c r="S7" s="664"/>
      <c r="T7" s="663"/>
      <c r="U7" s="580">
        <f t="shared" si="4"/>
        <v>0</v>
      </c>
      <c r="V7" s="418"/>
      <c r="W7" s="582" t="str">
        <f t="shared" si="5"/>
        <v/>
      </c>
      <c r="X7" s="479" t="str">
        <f t="shared" si="6"/>
        <v/>
      </c>
      <c r="Y7" s="582" t="str">
        <f t="shared" si="7"/>
        <v/>
      </c>
      <c r="Z7" s="317" t="str">
        <f t="shared" si="8"/>
        <v/>
      </c>
      <c r="AA7" s="317" t="str">
        <f t="shared" si="9"/>
        <v/>
      </c>
      <c r="AB7" s="317">
        <f t="shared" si="10"/>
        <v>0</v>
      </c>
      <c r="AC7" s="317" t="str">
        <f t="shared" si="11"/>
        <v/>
      </c>
      <c r="AD7" s="317"/>
      <c r="AE7" s="479"/>
      <c r="AF7" s="479"/>
      <c r="AG7" s="423"/>
      <c r="AH7" s="820"/>
      <c r="AI7" s="480"/>
      <c r="AJ7" s="660"/>
      <c r="AK7" s="524" t="str">
        <f t="shared" si="12"/>
        <v/>
      </c>
      <c r="AL7" s="729">
        <f>SUMIF($J$4:$J$18,"Básico",$S$4:$S$18)</f>
        <v>0</v>
      </c>
      <c r="AM7" s="730">
        <f>SUMIF($J$4:$J$18,"Básico",$T$4:$T$18)</f>
        <v>0</v>
      </c>
      <c r="AN7" s="495">
        <f t="shared" si="13"/>
        <v>0</v>
      </c>
      <c r="AO7" s="795" t="str">
        <f t="shared" si="37"/>
        <v/>
      </c>
      <c r="AP7" s="495" t="str">
        <f t="shared" si="14"/>
        <v/>
      </c>
      <c r="AQ7" s="768"/>
      <c r="AR7" s="768"/>
      <c r="AS7" s="803"/>
      <c r="AT7" s="804"/>
      <c r="AU7" s="805"/>
      <c r="AV7" s="806"/>
      <c r="AW7" s="800"/>
      <c r="AX7" s="796">
        <f>SUM($AY$4:AY84)</f>
        <v>0</v>
      </c>
      <c r="AY7" s="789">
        <f t="shared" si="15"/>
        <v>0</v>
      </c>
      <c r="AZ7" s="495"/>
      <c r="BA7" s="495" t="str">
        <f t="shared" si="16"/>
        <v/>
      </c>
      <c r="BB7" s="495"/>
      <c r="BC7" s="495"/>
      <c r="BD7" s="495">
        <f t="array" ref="BD7">IF(SUM((BC7=$BC$3:BC6)*1)=0,BC7,0)</f>
        <v>0</v>
      </c>
      <c r="BE7" s="495"/>
      <c r="BF7" s="495"/>
      <c r="BG7" s="495">
        <f t="array" ref="BG7">IF(SUM((BF7=$BF$3:BF6)*1)=0,BF7,0)</f>
        <v>0</v>
      </c>
      <c r="BH7" s="495"/>
      <c r="BI7" s="495"/>
      <c r="BJ7" s="495"/>
      <c r="BK7" s="495"/>
      <c r="BL7" s="495"/>
      <c r="BM7" s="495"/>
      <c r="BN7" s="495"/>
      <c r="BO7" s="528"/>
      <c r="BP7" s="782">
        <f t="shared" si="17"/>
        <v>0</v>
      </c>
      <c r="BQ7" s="768"/>
      <c r="BR7" s="845"/>
      <c r="BS7" s="768"/>
      <c r="BT7" s="844"/>
      <c r="BU7" s="485"/>
      <c r="BV7" s="495" t="str">
        <f t="shared" si="18"/>
        <v/>
      </c>
      <c r="BW7" s="495" t="str">
        <f t="shared" si="38"/>
        <v/>
      </c>
      <c r="BX7" s="495"/>
      <c r="BY7" s="495"/>
      <c r="BZ7" s="495"/>
      <c r="CA7" s="495"/>
      <c r="CB7" s="495"/>
      <c r="CC7" s="495"/>
      <c r="CD7" s="495"/>
      <c r="CE7" s="495"/>
      <c r="CF7" s="495"/>
      <c r="CG7" s="495"/>
      <c r="CH7" s="495"/>
      <c r="CI7" s="495"/>
      <c r="CJ7" s="528" t="str">
        <f t="shared" si="39"/>
        <v/>
      </c>
      <c r="CK7" s="435"/>
      <c r="CL7" s="426"/>
      <c r="CM7" s="435"/>
      <c r="CN7" s="426"/>
      <c r="CO7" s="426"/>
      <c r="CP7" s="426"/>
      <c r="CQ7" s="426"/>
      <c r="CR7" s="426"/>
      <c r="CS7" s="426"/>
      <c r="CT7" s="426"/>
      <c r="CU7" s="426"/>
      <c r="CV7" s="426"/>
      <c r="CW7" s="797">
        <f>SUM($CS$4:$CS$60)</f>
        <v>0</v>
      </c>
      <c r="CX7" s="797">
        <f>SUM($CT$4:$CT$60)</f>
        <v>0</v>
      </c>
      <c r="CY7" s="528">
        <v>4</v>
      </c>
      <c r="CZ7" s="797">
        <f>SUM($CF$4:$CF$60)</f>
        <v>0</v>
      </c>
      <c r="DA7" s="797">
        <f>SUM($CG$4:$CG$60)</f>
        <v>0</v>
      </c>
      <c r="DB7" s="495"/>
      <c r="DC7" s="528" t="s">
        <v>747</v>
      </c>
      <c r="DD7" s="528" t="s">
        <v>907</v>
      </c>
      <c r="DE7" s="485" t="str">
        <f t="shared" si="40"/>
        <v/>
      </c>
      <c r="DF7" s="495" t="str">
        <f t="shared" si="41"/>
        <v/>
      </c>
      <c r="DG7" s="495" t="str">
        <f t="shared" si="42"/>
        <v/>
      </c>
      <c r="DH7" s="495" t="str">
        <f t="shared" si="43"/>
        <v/>
      </c>
      <c r="DI7" s="495" t="str">
        <f t="shared" si="44"/>
        <v/>
      </c>
      <c r="DJ7" s="495" t="str">
        <f t="shared" si="45"/>
        <v/>
      </c>
      <c r="DK7" s="495" t="str">
        <f t="shared" si="19"/>
        <v/>
      </c>
      <c r="DL7" s="495" t="str">
        <f t="shared" si="20"/>
        <v/>
      </c>
      <c r="DM7" s="495" t="str">
        <f t="shared" si="46"/>
        <v/>
      </c>
      <c r="DN7" s="495" t="str">
        <f t="shared" si="47"/>
        <v/>
      </c>
      <c r="DO7" s="495" t="str">
        <f t="shared" si="21"/>
        <v/>
      </c>
      <c r="DP7" s="495" t="str">
        <f t="shared" si="22"/>
        <v/>
      </c>
      <c r="DQ7" s="495" t="str">
        <f t="shared" si="48"/>
        <v/>
      </c>
      <c r="DR7" s="495" t="str">
        <f t="shared" si="49"/>
        <v/>
      </c>
      <c r="DS7" s="495" t="str">
        <f t="shared" si="23"/>
        <v/>
      </c>
      <c r="DT7" s="495" t="str">
        <f t="shared" si="24"/>
        <v/>
      </c>
      <c r="DU7" s="495" t="str">
        <f t="shared" si="50"/>
        <v/>
      </c>
      <c r="DV7" s="495" t="str">
        <f t="shared" si="51"/>
        <v/>
      </c>
      <c r="DW7" s="495" t="str">
        <f t="shared" si="25"/>
        <v/>
      </c>
      <c r="DX7" s="495" t="str">
        <f t="shared" si="26"/>
        <v/>
      </c>
      <c r="DY7" s="495" t="str">
        <f t="shared" si="52"/>
        <v/>
      </c>
      <c r="DZ7" s="495" t="str">
        <f t="shared" si="53"/>
        <v/>
      </c>
      <c r="EA7" s="495" t="str">
        <f t="shared" si="27"/>
        <v/>
      </c>
      <c r="EB7" s="495" t="str">
        <f t="shared" si="28"/>
        <v/>
      </c>
      <c r="EC7" s="495" t="str">
        <f t="shared" si="29"/>
        <v/>
      </c>
      <c r="ED7" s="495" t="str">
        <f t="shared" si="30"/>
        <v/>
      </c>
      <c r="EE7" s="495" t="str">
        <f t="shared" si="31"/>
        <v/>
      </c>
      <c r="EF7" s="495" t="str">
        <f t="shared" si="32"/>
        <v/>
      </c>
      <c r="EG7" s="495" t="str">
        <f t="shared" si="33"/>
        <v/>
      </c>
      <c r="EH7" s="495" t="str">
        <f t="shared" si="34"/>
        <v/>
      </c>
      <c r="EI7" s="495" t="str">
        <f t="shared" si="35"/>
        <v/>
      </c>
      <c r="EJ7" s="495" t="str">
        <f t="shared" si="36"/>
        <v/>
      </c>
      <c r="EK7" s="485"/>
      <c r="EL7" s="485"/>
      <c r="EM7" s="485"/>
      <c r="EN7" s="485"/>
      <c r="EO7" s="447"/>
      <c r="EP7" s="447"/>
      <c r="EQ7" s="447"/>
      <c r="ER7" s="447"/>
      <c r="ES7" s="447"/>
      <c r="ET7" s="495"/>
      <c r="EU7" s="495"/>
      <c r="EV7" s="495"/>
      <c r="EW7" s="495"/>
      <c r="EX7" s="528"/>
      <c r="EY7" s="528"/>
      <c r="EZ7" s="528"/>
      <c r="FA7" s="795"/>
      <c r="FB7" s="783">
        <f t="array" ref="FB7">IF(SUM((FA7=$FA$3:FA6)*1)=0,FA7,0)</f>
        <v>0</v>
      </c>
      <c r="FC7" s="795"/>
      <c r="FD7" s="795"/>
      <c r="FE7" s="795">
        <f t="array" ref="FE7">IF(SUM((FD7=$FD$3:FD6)*1)=0,FD7,0)</f>
        <v>0</v>
      </c>
      <c r="FF7" s="795"/>
      <c r="FG7" s="795"/>
      <c r="FH7" s="795"/>
      <c r="FI7" s="783">
        <f t="array" ref="FI7">IF(SUM((FH7=$FH$3:FH6)*1)=0,FH7,0)</f>
        <v>0</v>
      </c>
      <c r="FJ7" s="795"/>
      <c r="FK7" s="795"/>
      <c r="FL7" s="795">
        <f t="array" ref="FL7">IF(SUM((FK7=$FK$3:FK6)*1)=0,FK7,0)</f>
        <v>0</v>
      </c>
      <c r="FM7" s="795"/>
      <c r="FN7" s="795"/>
      <c r="FO7" s="795"/>
      <c r="FP7" s="783">
        <f t="array" ref="FP7">IF(SUM((FO7=$FO$3:FO6)*1)=0,FO7,0)</f>
        <v>0</v>
      </c>
      <c r="FQ7" s="795"/>
      <c r="FR7" s="795"/>
      <c r="FS7" s="795">
        <f t="array" ref="FS7">IF(SUM((FR7=$FR$3:FR6)*1)=0,FR7,0)</f>
        <v>0</v>
      </c>
      <c r="FT7" s="795"/>
      <c r="FU7" s="795"/>
      <c r="FV7" s="795"/>
      <c r="FW7" s="783">
        <f t="array" ref="FW7">IF(SUM((FV7=$FV$3:FV6)*1)=0,FV7,0)</f>
        <v>0</v>
      </c>
      <c r="FX7" s="795"/>
      <c r="FY7" s="795"/>
      <c r="FZ7" s="795">
        <f t="array" ref="FZ7">IF(SUM((FY7=$FY$3:FY6)*1)=0,FY7,0)</f>
        <v>0</v>
      </c>
      <c r="GA7" s="795"/>
      <c r="GB7" s="795"/>
      <c r="GC7" s="795"/>
      <c r="GD7" s="783">
        <f t="array" ref="GD7">IF(SUM((GC7=$GC$3:GC6)*1)=0,GC7,0)</f>
        <v>0</v>
      </c>
      <c r="GE7" s="795"/>
      <c r="GF7" s="795"/>
      <c r="GG7" s="795">
        <f t="array" ref="GG7">IF(SUM((GF7=$GF$3:GF6)*1)=0,GF7,0)</f>
        <v>0</v>
      </c>
      <c r="GH7" s="795"/>
      <c r="GI7" s="795"/>
      <c r="GJ7" s="795"/>
      <c r="GK7" s="798">
        <f t="array" ref="GK7">IF(SUM((GJ7=$GJ$3:GJ6)*1)=0,GJ7,0)</f>
        <v>0</v>
      </c>
      <c r="GL7" s="795"/>
      <c r="GM7" s="795"/>
      <c r="GN7" s="798">
        <f t="array" ref="GN7">IF(SUM((GM7=$GM$3:GM6)*1)=0,GM7,0)</f>
        <v>0</v>
      </c>
      <c r="GO7" s="795"/>
      <c r="GP7" s="795"/>
      <c r="GQ7" s="795"/>
      <c r="GR7" s="798">
        <f t="array" ref="GR7">IF(SUM((GQ7=$GQ$3:GQ6)*1)=0,GQ7,0)</f>
        <v>0</v>
      </c>
      <c r="GS7" s="795"/>
      <c r="GT7" s="795"/>
      <c r="GU7" s="798">
        <f t="array" ref="GU7">IF(SUM((GT7=$GT$3:GT6)*1)=0,GT7,0)</f>
        <v>0</v>
      </c>
      <c r="GV7" s="795"/>
      <c r="GW7" s="795"/>
      <c r="GX7" s="795"/>
      <c r="GY7" s="798">
        <f t="array" ref="GY7">IF(SUM((GX7=$GX$3:GX6)*1)=0,GX7,0)</f>
        <v>0</v>
      </c>
      <c r="GZ7" s="795"/>
      <c r="HA7" s="795"/>
      <c r="HB7" s="798">
        <f t="array" ref="HB7">IF(SUM((HA7=$HA$3:HA6)*1)=0,HA7,0)</f>
        <v>0</v>
      </c>
      <c r="HC7" s="795"/>
      <c r="HD7" s="795"/>
      <c r="HE7" s="769" t="str">
        <f t="shared" si="130"/>
        <v/>
      </c>
      <c r="HF7" s="768" t="str">
        <f t="shared" si="54"/>
        <v/>
      </c>
      <c r="HG7" s="769" t="str">
        <f t="shared" si="131"/>
        <v/>
      </c>
      <c r="HH7" s="768" t="str">
        <f t="shared" si="55"/>
        <v/>
      </c>
      <c r="HI7" s="728" t="str">
        <f t="shared" si="132"/>
        <v/>
      </c>
      <c r="HJ7" s="768" t="str">
        <f t="shared" si="56"/>
        <v/>
      </c>
      <c r="HK7" s="728" t="str">
        <f t="shared" si="133"/>
        <v/>
      </c>
      <c r="HL7" s="768" t="str">
        <f t="shared" si="57"/>
        <v/>
      </c>
      <c r="HM7" s="769" t="str">
        <f t="shared" si="58"/>
        <v/>
      </c>
      <c r="HN7" s="768" t="str">
        <f t="shared" ref="HN7" si="150">IF(HM7&lt;0,"Invadiu REP-BA-C","")</f>
        <v/>
      </c>
      <c r="HO7" s="769" t="str">
        <f t="shared" si="60"/>
        <v/>
      </c>
      <c r="HP7" s="768" t="str">
        <f t="shared" si="61"/>
        <v/>
      </c>
      <c r="HQ7" s="728" t="str">
        <f t="shared" si="62"/>
        <v/>
      </c>
      <c r="HR7" s="768" t="str">
        <f t="shared" si="63"/>
        <v/>
      </c>
      <c r="HS7" s="728" t="str">
        <f t="shared" si="64"/>
        <v/>
      </c>
      <c r="HT7" s="768" t="str">
        <f t="shared" si="65"/>
        <v/>
      </c>
      <c r="HU7" s="769" t="str">
        <f t="shared" si="66"/>
        <v/>
      </c>
      <c r="HV7" s="768" t="str">
        <f t="shared" ref="HV7" si="151">IF(HU7&lt;0,"Invadiu REP-BA-C","")</f>
        <v/>
      </c>
      <c r="HW7" s="769" t="str">
        <f t="shared" si="68"/>
        <v/>
      </c>
      <c r="HX7" s="768" t="str">
        <f t="shared" si="69"/>
        <v/>
      </c>
      <c r="HY7" s="728" t="str">
        <f t="shared" si="70"/>
        <v/>
      </c>
      <c r="HZ7" s="768" t="str">
        <f t="shared" si="71"/>
        <v/>
      </c>
      <c r="IA7" s="728" t="str">
        <f t="shared" si="72"/>
        <v/>
      </c>
      <c r="IB7" s="768" t="str">
        <f t="shared" si="73"/>
        <v/>
      </c>
      <c r="IC7" s="769" t="str">
        <f t="shared" si="74"/>
        <v/>
      </c>
      <c r="ID7" s="768" t="str">
        <f t="shared" ref="ID7" si="152">IF(IC7&lt;0,"Invadiu REP-BA-C","")</f>
        <v/>
      </c>
      <c r="IE7" s="769" t="str">
        <f t="shared" si="76"/>
        <v/>
      </c>
      <c r="IF7" s="768" t="str">
        <f t="shared" si="77"/>
        <v/>
      </c>
      <c r="IG7" s="728" t="str">
        <f t="shared" si="78"/>
        <v/>
      </c>
      <c r="IH7" s="768" t="str">
        <f t="shared" si="79"/>
        <v/>
      </c>
      <c r="II7" s="728" t="str">
        <f t="shared" si="80"/>
        <v/>
      </c>
      <c r="IJ7" s="768" t="str">
        <f t="shared" si="81"/>
        <v/>
      </c>
      <c r="IK7" s="769" t="str">
        <f t="shared" si="82"/>
        <v/>
      </c>
      <c r="IL7" s="768" t="str">
        <f t="shared" ref="IL7" si="153">IF(IK7&lt;0,"Invadiu REP-BA-C","")</f>
        <v/>
      </c>
      <c r="IM7" s="769" t="str">
        <f t="shared" si="84"/>
        <v/>
      </c>
      <c r="IN7" s="768" t="str">
        <f t="shared" si="85"/>
        <v/>
      </c>
      <c r="IO7" s="728" t="str">
        <f t="shared" si="86"/>
        <v/>
      </c>
      <c r="IP7" s="768" t="str">
        <f t="shared" si="87"/>
        <v/>
      </c>
      <c r="IQ7" s="728" t="str">
        <f t="shared" si="88"/>
        <v/>
      </c>
      <c r="IR7" s="768" t="str">
        <f t="shared" si="89"/>
        <v/>
      </c>
      <c r="IS7" s="769" t="str">
        <f t="shared" si="90"/>
        <v/>
      </c>
      <c r="IT7" s="768" t="str">
        <f t="shared" ref="IT7" si="154">IF(IS7&lt;0,"Invadiu REP-BA-C","")</f>
        <v/>
      </c>
      <c r="IU7" s="769" t="str">
        <f t="shared" si="92"/>
        <v/>
      </c>
      <c r="IV7" s="768" t="str">
        <f t="shared" si="93"/>
        <v/>
      </c>
      <c r="IW7" s="728" t="str">
        <f t="shared" si="94"/>
        <v/>
      </c>
      <c r="IX7" s="768" t="str">
        <f t="shared" si="95"/>
        <v/>
      </c>
      <c r="IY7" s="728" t="str">
        <f t="shared" si="96"/>
        <v/>
      </c>
      <c r="IZ7" s="768" t="str">
        <f t="shared" si="97"/>
        <v/>
      </c>
      <c r="JA7" s="769" t="str">
        <f t="shared" si="98"/>
        <v/>
      </c>
      <c r="JB7" s="768" t="str">
        <f t="shared" ref="JB7" si="155">IF(JA7&lt;0,"Invadiu REP-BA-C","")</f>
        <v/>
      </c>
      <c r="JC7" s="769" t="str">
        <f t="shared" si="100"/>
        <v/>
      </c>
      <c r="JD7" s="768" t="str">
        <f t="shared" si="101"/>
        <v/>
      </c>
      <c r="JE7" s="728" t="str">
        <f t="shared" si="102"/>
        <v/>
      </c>
      <c r="JF7" s="768" t="str">
        <f t="shared" si="103"/>
        <v/>
      </c>
      <c r="JG7" s="728" t="str">
        <f t="shared" si="104"/>
        <v/>
      </c>
      <c r="JH7" s="768" t="str">
        <f t="shared" si="105"/>
        <v/>
      </c>
      <c r="JI7" s="769" t="str">
        <f t="shared" si="106"/>
        <v/>
      </c>
      <c r="JJ7" s="768" t="str">
        <f t="shared" ref="JJ7" si="156">IF(JI7&lt;0,"Invadiu REP-BA-C","")</f>
        <v/>
      </c>
      <c r="JK7" s="769" t="str">
        <f t="shared" si="108"/>
        <v/>
      </c>
      <c r="JL7" s="768" t="str">
        <f t="shared" si="109"/>
        <v/>
      </c>
      <c r="JM7" s="728" t="str">
        <f t="shared" si="110"/>
        <v/>
      </c>
      <c r="JN7" s="768" t="str">
        <f t="shared" si="111"/>
        <v/>
      </c>
      <c r="JO7" s="728" t="str">
        <f t="shared" si="112"/>
        <v/>
      </c>
      <c r="JP7" s="768" t="str">
        <f t="shared" si="113"/>
        <v/>
      </c>
      <c r="JQ7" s="769" t="str">
        <f t="shared" si="114"/>
        <v/>
      </c>
      <c r="JR7" s="768" t="str">
        <f t="shared" ref="JR7" si="157">IF(JQ7&lt;0,"Invadiu REP-BA-C","")</f>
        <v/>
      </c>
      <c r="JS7" s="769" t="str">
        <f t="shared" si="116"/>
        <v/>
      </c>
      <c r="JT7" s="768" t="str">
        <f t="shared" si="117"/>
        <v/>
      </c>
      <c r="JU7" s="728" t="str">
        <f t="shared" si="118"/>
        <v/>
      </c>
      <c r="JV7" s="768" t="str">
        <f t="shared" si="119"/>
        <v/>
      </c>
      <c r="JW7" s="728" t="str">
        <f t="shared" si="120"/>
        <v/>
      </c>
      <c r="JX7" s="768" t="str">
        <f t="shared" si="121"/>
        <v/>
      </c>
      <c r="JY7" s="768" t="str">
        <f t="shared" si="122"/>
        <v/>
      </c>
      <c r="JZ7" s="485" t="str">
        <f>IF(JY7="","",IF(AND(C7=$C$164,JY7&lt;&gt;""),Verificarcpf(D7),IF(AND(C7=$C$165,JY7&lt;&gt;""),VerificarCNPJ(D7))))</f>
        <v/>
      </c>
      <c r="KA7" s="768" t="str">
        <f t="shared" si="123"/>
        <v/>
      </c>
      <c r="KB7" s="485">
        <f t="shared" si="124"/>
        <v>0</v>
      </c>
      <c r="KC7" s="768">
        <f t="shared" si="125"/>
        <v>0</v>
      </c>
      <c r="KD7" s="485">
        <f t="shared" si="126"/>
        <v>0</v>
      </c>
      <c r="KE7" s="447"/>
      <c r="KF7" s="548">
        <f t="shared" si="127"/>
        <v>0</v>
      </c>
      <c r="KG7" s="548" t="s">
        <v>430</v>
      </c>
      <c r="KH7" s="548"/>
      <c r="KI7" s="548"/>
      <c r="KJ7" s="548" t="str">
        <f t="shared" si="128"/>
        <v/>
      </c>
      <c r="KK7" s="548"/>
      <c r="KL7" s="548"/>
      <c r="KM7" s="548">
        <f t="array" ref="KM7">IF(SUM((KL7=$KL$3:KL6)*1)=0,KL7,0)</f>
        <v>0</v>
      </c>
      <c r="KN7" s="548"/>
      <c r="KO7" s="548"/>
      <c r="KP7" s="548"/>
      <c r="KQ7" s="548"/>
      <c r="KR7" s="548" t="str">
        <f t="shared" si="129"/>
        <v/>
      </c>
      <c r="KS7" s="548"/>
      <c r="KT7" s="548"/>
      <c r="KU7" s="548"/>
      <c r="KV7" s="548"/>
      <c r="KW7" s="548"/>
      <c r="KX7" s="548"/>
      <c r="KY7" s="548"/>
      <c r="KZ7" s="548"/>
      <c r="LA7" s="548"/>
      <c r="LB7" s="548"/>
      <c r="LC7" s="485" t="str">
        <f t="shared" si="142"/>
        <v/>
      </c>
      <c r="LD7" s="548"/>
      <c r="LE7" s="548"/>
      <c r="LF7" s="548"/>
      <c r="LG7" s="548"/>
      <c r="LH7" s="548"/>
      <c r="LI7" s="548"/>
      <c r="LJ7" s="548"/>
      <c r="LK7" s="548"/>
      <c r="LL7" s="548"/>
      <c r="LM7" s="548"/>
      <c r="LN7" s="548"/>
      <c r="LO7" s="548"/>
      <c r="LP7" s="485" t="str">
        <f t="shared" si="143"/>
        <v/>
      </c>
      <c r="LQ7" s="548"/>
      <c r="LR7" s="548"/>
      <c r="LS7" s="548"/>
      <c r="LT7" s="548"/>
      <c r="LU7" s="548"/>
      <c r="LV7" s="548"/>
      <c r="LW7" s="548"/>
      <c r="LX7" s="548"/>
      <c r="LY7" s="548"/>
      <c r="LZ7" s="548"/>
      <c r="MA7" s="548"/>
      <c r="MB7" s="548"/>
      <c r="MC7" s="485" t="str">
        <f t="shared" si="144"/>
        <v/>
      </c>
      <c r="MD7" s="548"/>
      <c r="ME7" s="548"/>
      <c r="MF7" s="548"/>
      <c r="MG7" s="548"/>
      <c r="MH7" s="548"/>
      <c r="MI7" s="548"/>
      <c r="MJ7" s="548"/>
      <c r="MK7" s="548"/>
      <c r="ML7" s="548"/>
      <c r="MM7" s="548"/>
      <c r="MN7" s="548"/>
      <c r="MO7" s="548"/>
      <c r="MP7" s="485" t="str">
        <f t="shared" si="145"/>
        <v/>
      </c>
      <c r="MQ7" s="548"/>
      <c r="MR7" s="548"/>
      <c r="MS7" s="548"/>
      <c r="MT7" s="548"/>
      <c r="MU7" s="548"/>
      <c r="MV7" s="548"/>
      <c r="MW7" s="548"/>
      <c r="MX7" s="548"/>
      <c r="MY7" s="548"/>
      <c r="MZ7" s="548"/>
      <c r="NA7" s="548"/>
      <c r="NB7" s="548"/>
      <c r="NC7" s="485" t="str">
        <f t="shared" si="146"/>
        <v/>
      </c>
      <c r="ND7" s="548"/>
      <c r="NE7" s="548"/>
      <c r="NF7" s="548"/>
      <c r="NG7" s="548"/>
      <c r="NH7" s="548"/>
      <c r="NI7" s="548"/>
      <c r="NJ7" s="548"/>
      <c r="NK7" s="548"/>
      <c r="NL7" s="548"/>
      <c r="NM7" s="548"/>
      <c r="NN7" s="548"/>
      <c r="NO7" s="548"/>
      <c r="NP7" s="485" t="str">
        <f t="shared" si="147"/>
        <v/>
      </c>
      <c r="NQ7" s="548"/>
      <c r="NR7" s="548"/>
      <c r="NS7" s="548"/>
      <c r="NT7" s="548"/>
      <c r="NU7" s="548"/>
      <c r="NV7" s="548"/>
      <c r="NW7" s="548"/>
      <c r="NX7" s="548"/>
      <c r="NY7" s="548"/>
      <c r="NZ7" s="548"/>
      <c r="OA7" s="548"/>
      <c r="OB7" s="548"/>
      <c r="OC7" s="485" t="str">
        <f t="shared" si="148"/>
        <v/>
      </c>
      <c r="OD7" s="548"/>
      <c r="OE7" s="548"/>
      <c r="OF7" s="548"/>
      <c r="OG7" s="548"/>
      <c r="OH7" s="548"/>
      <c r="OI7" s="548"/>
      <c r="OJ7" s="548"/>
      <c r="OK7" s="548"/>
      <c r="OL7" s="548"/>
      <c r="OM7" s="548"/>
      <c r="ON7" s="548"/>
      <c r="OO7" s="548"/>
      <c r="OP7" s="548"/>
      <c r="OQ7" s="548"/>
      <c r="OR7" s="548"/>
      <c r="OS7" s="548"/>
      <c r="OT7" s="548"/>
      <c r="OU7" s="548"/>
      <c r="OV7" s="548"/>
      <c r="OW7" s="548"/>
      <c r="OX7" s="548"/>
      <c r="OY7" s="548"/>
      <c r="OZ7" s="548"/>
      <c r="PA7" s="548"/>
      <c r="PB7" s="548"/>
      <c r="PC7" s="548"/>
      <c r="PD7" s="548"/>
      <c r="PE7" s="548"/>
      <c r="PF7" s="548"/>
      <c r="PG7" s="548"/>
      <c r="PH7" s="548"/>
      <c r="PI7" s="548"/>
      <c r="PJ7" s="548"/>
      <c r="PK7" s="548"/>
      <c r="PL7" s="548"/>
      <c r="PM7" s="548"/>
      <c r="PN7" s="548"/>
      <c r="PO7" s="548"/>
      <c r="PP7" s="548"/>
      <c r="PQ7" s="548"/>
      <c r="PR7" s="548"/>
      <c r="PS7" s="548"/>
      <c r="PT7" s="1001">
        <f>SUM($LL$4:$LL$60)</f>
        <v>0</v>
      </c>
      <c r="PU7" s="1001">
        <f>SUM($LM$4:$LM$60)</f>
        <v>0</v>
      </c>
      <c r="PV7" s="528"/>
      <c r="PW7" s="1001">
        <f>SUM($LY$4:$LY$60)</f>
        <v>0</v>
      </c>
      <c r="PX7" s="1001">
        <f>SUM($LZ$4:$LZ$60)</f>
        <v>0</v>
      </c>
      <c r="PY7" s="548"/>
      <c r="PZ7" s="1001">
        <f>SUM($ML$4:$ML$60)</f>
        <v>0</v>
      </c>
      <c r="QA7" s="1001">
        <f>SUM($MM$4:$MM$60)</f>
        <v>0</v>
      </c>
      <c r="QB7" s="528"/>
      <c r="QC7" s="1001">
        <f>SUM($MY$4:$MY$60)</f>
        <v>0</v>
      </c>
      <c r="QD7" s="1001">
        <f>SUM($MZ$4:$MZ$60)</f>
        <v>0</v>
      </c>
      <c r="QE7" s="548"/>
      <c r="QF7" s="1001">
        <f>SUM($NL$4:$NL$60)</f>
        <v>0</v>
      </c>
      <c r="QG7" s="1001">
        <f>SUM($NM$4:$NM$60)</f>
        <v>0</v>
      </c>
      <c r="QH7" s="548"/>
      <c r="QI7" s="1001">
        <f>SUM($NY$4:$NY$60)</f>
        <v>0</v>
      </c>
      <c r="QJ7" s="1001">
        <f>SUM($NZ$4:$NZ$60)</f>
        <v>0</v>
      </c>
      <c r="QK7" s="548"/>
      <c r="QL7" s="1001">
        <f>SUM($OL$4:$OL$60)</f>
        <v>0</v>
      </c>
      <c r="QM7" s="1001">
        <f>SUM($OM$4:$OM$60)</f>
        <v>0</v>
      </c>
      <c r="QN7" s="548"/>
      <c r="QO7" s="548"/>
      <c r="QP7" s="548"/>
      <c r="QQ7" s="1009"/>
      <c r="QR7" s="548"/>
      <c r="QS7" s="548"/>
      <c r="QT7" s="548"/>
      <c r="QU7" s="548"/>
      <c r="QV7" s="548"/>
      <c r="QW7" s="548"/>
      <c r="QX7" s="548"/>
      <c r="QY7" s="548"/>
      <c r="QZ7" s="548"/>
      <c r="RA7" s="548"/>
      <c r="RB7" s="548"/>
      <c r="RC7" s="548"/>
      <c r="RD7" s="548"/>
      <c r="RE7" s="548"/>
      <c r="RF7" s="548"/>
      <c r="RG7" s="548"/>
      <c r="RH7" s="548"/>
      <c r="RI7" s="548"/>
      <c r="RJ7" s="548"/>
      <c r="RK7" s="548"/>
      <c r="RL7" s="548"/>
      <c r="RM7" s="548"/>
      <c r="RN7" s="548"/>
      <c r="RO7" s="548"/>
      <c r="RP7" s="548"/>
      <c r="RQ7" s="548"/>
      <c r="RR7" s="548"/>
      <c r="RS7" s="548"/>
      <c r="RT7" s="548"/>
      <c r="RU7" s="548"/>
      <c r="RV7" s="548"/>
      <c r="RW7" s="548"/>
      <c r="RX7" s="548"/>
      <c r="RY7" s="548"/>
      <c r="RZ7" s="548"/>
      <c r="SA7" s="548"/>
      <c r="SB7" s="548"/>
      <c r="SC7" s="548"/>
      <c r="SD7" s="548"/>
      <c r="SE7" s="548"/>
      <c r="SF7" s="548"/>
      <c r="SG7" s="548"/>
      <c r="SH7" s="548"/>
      <c r="SI7" s="548"/>
      <c r="SJ7" s="548"/>
      <c r="SK7" s="548"/>
      <c r="SL7" s="548"/>
      <c r="SM7" s="548"/>
      <c r="SN7" s="548"/>
      <c r="SO7" s="548"/>
      <c r="SP7" s="548"/>
      <c r="SQ7" s="548"/>
      <c r="SR7" s="548"/>
      <c r="SS7" s="548"/>
      <c r="ST7" s="548"/>
      <c r="SU7" s="548"/>
      <c r="SV7" s="548"/>
      <c r="SW7" s="548"/>
      <c r="SX7" s="548"/>
      <c r="SY7" s="548"/>
      <c r="SZ7" s="548"/>
      <c r="TA7" s="548"/>
      <c r="TB7" s="548"/>
      <c r="TC7" s="548"/>
      <c r="TD7" s="548"/>
      <c r="TE7" s="548"/>
      <c r="TF7" s="548"/>
      <c r="TG7" s="548"/>
      <c r="TH7" s="548"/>
      <c r="TI7" s="548"/>
      <c r="TJ7" s="548"/>
      <c r="TK7" s="548"/>
      <c r="TL7" s="548"/>
      <c r="TM7" s="548"/>
      <c r="TN7" s="548"/>
      <c r="TO7" s="548"/>
      <c r="TP7" s="548"/>
      <c r="TQ7" s="548"/>
      <c r="TR7" s="548"/>
      <c r="TS7" s="548"/>
      <c r="TT7" s="548"/>
      <c r="TU7" s="548"/>
      <c r="TV7" s="548"/>
      <c r="TW7" s="548"/>
      <c r="TX7" s="548"/>
      <c r="TY7" s="548"/>
      <c r="TZ7" s="548"/>
      <c r="UA7" s="548"/>
      <c r="UB7" s="548"/>
      <c r="UC7" s="548"/>
      <c r="UD7" s="548"/>
      <c r="UE7" s="548"/>
      <c r="UF7" s="548"/>
      <c r="UG7" s="548"/>
      <c r="UH7" s="548"/>
      <c r="UI7" s="548"/>
      <c r="UJ7" s="548"/>
      <c r="UK7" s="548"/>
      <c r="UL7" s="548"/>
      <c r="UM7" s="548"/>
      <c r="UN7" s="548"/>
      <c r="UO7" s="548"/>
      <c r="UP7" s="548"/>
      <c r="UQ7" s="548"/>
      <c r="UR7" s="548"/>
      <c r="US7" s="548"/>
      <c r="UT7" s="548"/>
      <c r="UU7" s="548"/>
      <c r="UV7" s="548"/>
      <c r="UW7" s="548"/>
      <c r="UX7" s="548"/>
      <c r="UY7" s="548"/>
      <c r="UZ7" s="548"/>
      <c r="VA7" s="548"/>
      <c r="VB7" s="548"/>
      <c r="VC7" s="548"/>
      <c r="VD7" s="548"/>
      <c r="VE7" s="548"/>
      <c r="VF7" s="548"/>
      <c r="VG7" s="548"/>
      <c r="VH7" s="548"/>
      <c r="VI7" s="548"/>
      <c r="VJ7" s="548"/>
      <c r="VK7" s="548"/>
      <c r="VL7" s="548"/>
      <c r="VM7" s="548"/>
      <c r="VN7" s="548"/>
      <c r="VO7" s="548"/>
      <c r="VP7" s="548"/>
      <c r="VQ7" s="548"/>
      <c r="VR7" s="548"/>
      <c r="VS7" s="548"/>
      <c r="VT7" s="548"/>
      <c r="VU7" s="548"/>
      <c r="VV7" s="548"/>
      <c r="VW7" s="548"/>
      <c r="VX7" s="548"/>
      <c r="VY7" s="548"/>
      <c r="VZ7" s="548"/>
      <c r="WA7" s="548"/>
      <c r="WB7" s="548"/>
      <c r="WC7" s="548"/>
      <c r="WD7" s="548"/>
      <c r="WE7" s="548"/>
      <c r="WF7" s="548"/>
      <c r="WG7" s="548"/>
      <c r="WH7" s="548"/>
      <c r="WI7" s="548"/>
      <c r="WJ7" s="548"/>
      <c r="WK7" s="548"/>
      <c r="WL7" s="548"/>
      <c r="WM7" s="548"/>
      <c r="WN7" s="548"/>
      <c r="WO7" s="548"/>
      <c r="WP7" s="548"/>
      <c r="WQ7" s="548"/>
      <c r="WR7" s="548"/>
      <c r="WS7" s="548"/>
      <c r="WT7" s="548"/>
      <c r="WU7" s="548"/>
      <c r="WV7" s="548"/>
      <c r="WW7" s="548"/>
      <c r="WX7" s="548"/>
      <c r="WY7" s="548"/>
      <c r="WZ7" s="548"/>
      <c r="XA7" s="548"/>
      <c r="XB7" s="548"/>
      <c r="XC7" s="548"/>
      <c r="XD7" s="548"/>
      <c r="XE7" s="548"/>
      <c r="XF7" s="548"/>
      <c r="XG7" s="548"/>
      <c r="XH7" s="548"/>
      <c r="XI7" s="548"/>
      <c r="XJ7" s="548"/>
      <c r="XK7" s="548"/>
      <c r="XL7" s="548"/>
      <c r="XM7" s="548"/>
      <c r="XN7" s="548"/>
      <c r="XO7" s="548"/>
      <c r="XP7" s="548"/>
      <c r="XQ7" s="548"/>
      <c r="XR7" s="548"/>
      <c r="XS7" s="548"/>
      <c r="XT7" s="548"/>
      <c r="XU7" s="548"/>
      <c r="XV7" s="548"/>
      <c r="XW7" s="548"/>
      <c r="XX7" s="548"/>
      <c r="XY7" s="548"/>
      <c r="XZ7" s="548"/>
      <c r="YA7" s="548"/>
      <c r="YB7" s="548"/>
      <c r="YC7" s="548"/>
      <c r="YD7" s="548"/>
      <c r="YE7" s="548"/>
      <c r="YF7" s="548"/>
      <c r="YG7" s="548"/>
      <c r="YH7" s="548"/>
      <c r="YI7" s="548"/>
      <c r="YJ7" s="548"/>
      <c r="YK7" s="548"/>
      <c r="YL7" s="548"/>
      <c r="YM7" s="548"/>
      <c r="YN7" s="548"/>
      <c r="YO7" s="548"/>
      <c r="YP7" s="548"/>
      <c r="YQ7" s="548"/>
      <c r="YR7" s="548"/>
      <c r="YS7" s="548"/>
      <c r="YT7" s="548"/>
      <c r="YU7" s="548"/>
      <c r="YV7" s="548"/>
      <c r="YW7" s="548"/>
      <c r="YX7" s="548"/>
      <c r="YY7" s="548"/>
      <c r="YZ7" s="548"/>
      <c r="ZA7" s="548"/>
      <c r="ZB7" s="548"/>
      <c r="ZC7" s="548"/>
      <c r="ZD7" s="548"/>
      <c r="ZE7" s="548"/>
      <c r="ZF7" s="548"/>
      <c r="ZG7" s="548"/>
      <c r="ZH7" s="548"/>
      <c r="ZI7" s="548"/>
      <c r="ZJ7" s="548"/>
      <c r="ZK7" s="548"/>
      <c r="ZL7" s="548"/>
      <c r="ZM7" s="548"/>
      <c r="ZN7" s="548"/>
      <c r="ZO7" s="548"/>
      <c r="ZP7" s="548"/>
      <c r="ZQ7" s="548"/>
      <c r="ZR7" s="548"/>
      <c r="ZS7" s="548"/>
      <c r="ZT7" s="548"/>
      <c r="ZU7" s="548"/>
      <c r="ZV7" s="548"/>
      <c r="ZW7" s="548"/>
      <c r="ZX7" s="548"/>
      <c r="ZY7" s="548"/>
      <c r="ZZ7" s="548"/>
      <c r="AAA7" s="548"/>
      <c r="AAB7" s="548"/>
      <c r="AAC7" s="548"/>
      <c r="AAD7" s="548"/>
      <c r="AAE7" s="548"/>
      <c r="AAF7" s="548"/>
      <c r="AAG7" s="548"/>
      <c r="AAH7" s="548"/>
      <c r="AAI7" s="548"/>
      <c r="AAJ7" s="548"/>
      <c r="AAK7" s="548"/>
      <c r="AAL7" s="548"/>
      <c r="AAM7" s="548"/>
      <c r="AAN7" s="548"/>
      <c r="AAO7" s="548"/>
      <c r="AAP7" s="548"/>
      <c r="AAQ7" s="548"/>
      <c r="AAR7" s="548"/>
      <c r="AAS7" s="548"/>
      <c r="AAT7" s="548"/>
      <c r="AAU7" s="548"/>
      <c r="AAV7" s="548"/>
      <c r="AAW7" s="548"/>
      <c r="AAX7" s="548"/>
      <c r="AAY7" s="548"/>
      <c r="AAZ7" s="548"/>
      <c r="ABA7" s="548"/>
      <c r="ABB7" s="548"/>
      <c r="ABC7" s="548"/>
      <c r="ABD7" s="548"/>
      <c r="ABE7" s="548"/>
      <c r="ABF7" s="548"/>
      <c r="ABG7" s="548"/>
      <c r="ABH7" s="548"/>
      <c r="ABI7" s="548"/>
      <c r="ABJ7" s="548"/>
      <c r="ABK7" s="548"/>
      <c r="ABL7" s="548"/>
      <c r="ABM7" s="548"/>
      <c r="ABN7" s="548"/>
      <c r="ABO7" s="548"/>
      <c r="ABP7" s="548"/>
      <c r="ABQ7" s="548"/>
      <c r="ABR7" s="548"/>
      <c r="ABS7" s="548"/>
    </row>
    <row r="8" spans="1:747" customFormat="1" ht="15" customHeight="1" x14ac:dyDescent="0.2">
      <c r="A8" s="424" t="str">
        <f t="shared" si="149"/>
        <v/>
      </c>
      <c r="B8" s="415"/>
      <c r="C8" s="525"/>
      <c r="D8" s="750"/>
      <c r="E8" s="416" t="str">
        <f t="shared" si="0"/>
        <v/>
      </c>
      <c r="F8" s="527" t="str">
        <f t="shared" si="1"/>
        <v/>
      </c>
      <c r="G8" s="417"/>
      <c r="H8" s="583" t="str">
        <f t="shared" si="2"/>
        <v/>
      </c>
      <c r="I8" s="424"/>
      <c r="J8" s="749"/>
      <c r="K8" s="418"/>
      <c r="L8" s="419"/>
      <c r="M8" s="415"/>
      <c r="N8" s="420"/>
      <c r="O8" s="421"/>
      <c r="P8" s="561"/>
      <c r="Q8" s="747"/>
      <c r="R8" s="767" t="str">
        <f t="shared" si="3"/>
        <v/>
      </c>
      <c r="S8" s="664"/>
      <c r="T8" s="663"/>
      <c r="U8" s="580">
        <f t="shared" si="4"/>
        <v>0</v>
      </c>
      <c r="V8" s="418"/>
      <c r="W8" s="582" t="str">
        <f t="shared" si="5"/>
        <v/>
      </c>
      <c r="X8" s="479" t="str">
        <f t="shared" si="6"/>
        <v/>
      </c>
      <c r="Y8" s="582" t="str">
        <f t="shared" si="7"/>
        <v/>
      </c>
      <c r="Z8" s="317" t="str">
        <f t="shared" si="8"/>
        <v/>
      </c>
      <c r="AA8" s="317" t="str">
        <f t="shared" si="9"/>
        <v/>
      </c>
      <c r="AB8" s="317">
        <f t="shared" si="10"/>
        <v>0</v>
      </c>
      <c r="AC8" s="317" t="str">
        <f t="shared" si="11"/>
        <v/>
      </c>
      <c r="AD8" s="317"/>
      <c r="AE8" s="479"/>
      <c r="AF8" s="479"/>
      <c r="AG8" s="423"/>
      <c r="AH8" s="820"/>
      <c r="AI8" s="480"/>
      <c r="AJ8" s="660"/>
      <c r="AK8" s="524" t="str">
        <f t="shared" si="12"/>
        <v/>
      </c>
      <c r="AL8" s="731">
        <f>SUMIF($J$4:$J$32,"Básico",$S$4:$S$32)</f>
        <v>0</v>
      </c>
      <c r="AM8" s="732">
        <f>SUMIF($J$4:$J$32,"Básico",$T$4:$T$32)</f>
        <v>0</v>
      </c>
      <c r="AN8" s="528">
        <f t="shared" si="13"/>
        <v>0</v>
      </c>
      <c r="AO8" s="798" t="str">
        <f t="shared" si="37"/>
        <v/>
      </c>
      <c r="AP8" s="768" t="str">
        <f t="shared" si="14"/>
        <v/>
      </c>
      <c r="AQ8" s="485"/>
      <c r="AR8" s="485"/>
      <c r="AS8" s="991"/>
      <c r="AT8" s="990"/>
      <c r="AU8" s="989"/>
      <c r="AV8" s="988"/>
      <c r="AW8" s="987"/>
      <c r="AX8" s="986">
        <f>SUM($AY$4:AY104)</f>
        <v>0</v>
      </c>
      <c r="AY8" s="806">
        <f t="shared" si="15"/>
        <v>0</v>
      </c>
      <c r="AZ8" s="768"/>
      <c r="BA8" s="485" t="str">
        <f t="shared" si="16"/>
        <v/>
      </c>
      <c r="BB8" s="485"/>
      <c r="BC8" s="768"/>
      <c r="BD8" s="768">
        <f t="array" ref="BD8">IF(SUM((BC8=$BC$3:BC7)*1)=0,BC8,0)</f>
        <v>0</v>
      </c>
      <c r="BE8" s="768"/>
      <c r="BF8" s="768"/>
      <c r="BG8" s="768">
        <f t="array" ref="BG8">IF(SUM((BF8=$BF$3:BF7)*1)=0,BF8,0)</f>
        <v>0</v>
      </c>
      <c r="BH8" s="768"/>
      <c r="BI8" s="768"/>
      <c r="BJ8" s="768"/>
      <c r="BK8" s="768"/>
      <c r="BL8" s="768"/>
      <c r="BM8" s="768"/>
      <c r="BN8" s="768"/>
      <c r="BO8" s="768"/>
      <c r="BP8" s="844">
        <f t="shared" si="17"/>
        <v>0</v>
      </c>
      <c r="BQ8" s="495"/>
      <c r="BR8" s="784"/>
      <c r="BS8" s="495"/>
      <c r="BT8" s="782"/>
      <c r="BU8" s="495"/>
      <c r="BV8" s="495" t="str">
        <f t="shared" si="18"/>
        <v/>
      </c>
      <c r="BW8" s="495" t="str">
        <f t="shared" si="38"/>
        <v/>
      </c>
      <c r="BX8" s="435"/>
      <c r="BY8" s="435"/>
      <c r="BZ8" s="435"/>
      <c r="CA8" s="435"/>
      <c r="CB8" s="435"/>
      <c r="CC8" s="435"/>
      <c r="CD8" s="435"/>
      <c r="CE8" s="435"/>
      <c r="CF8" s="435"/>
      <c r="CG8" s="435"/>
      <c r="CH8" s="435"/>
      <c r="CI8" s="435"/>
      <c r="CJ8" s="528" t="str">
        <f t="shared" si="39"/>
        <v/>
      </c>
      <c r="CK8" s="435"/>
      <c r="CL8" s="426"/>
      <c r="CM8" s="435"/>
      <c r="CN8" s="426"/>
      <c r="CO8" s="426"/>
      <c r="CP8" s="426"/>
      <c r="CQ8" s="426"/>
      <c r="CR8" s="426"/>
      <c r="CS8" s="426"/>
      <c r="CT8" s="426"/>
      <c r="CU8" s="426"/>
      <c r="CV8" s="426"/>
      <c r="CW8" s="794">
        <f>SUM($CS$4:$CS$74)</f>
        <v>0</v>
      </c>
      <c r="CX8" s="794">
        <f>SUM($CT$4:$CT$74)</f>
        <v>0</v>
      </c>
      <c r="CY8" s="528">
        <v>5</v>
      </c>
      <c r="CZ8" s="794">
        <f>SUM($CF$4:$CF$74)</f>
        <v>0</v>
      </c>
      <c r="DA8" s="794">
        <f>SUM($CG$4:$CG$74)</f>
        <v>0</v>
      </c>
      <c r="DB8" s="528"/>
      <c r="DC8" s="528" t="s">
        <v>748</v>
      </c>
      <c r="DD8" s="528" t="s">
        <v>908</v>
      </c>
      <c r="DE8" s="495" t="str">
        <f t="shared" si="40"/>
        <v/>
      </c>
      <c r="DF8" s="495" t="str">
        <f t="shared" si="41"/>
        <v/>
      </c>
      <c r="DG8" s="495" t="str">
        <f t="shared" si="42"/>
        <v/>
      </c>
      <c r="DH8" s="495" t="str">
        <f t="shared" si="43"/>
        <v/>
      </c>
      <c r="DI8" s="495" t="str">
        <f t="shared" si="44"/>
        <v/>
      </c>
      <c r="DJ8" s="495" t="str">
        <f t="shared" si="45"/>
        <v/>
      </c>
      <c r="DK8" s="495" t="str">
        <f t="shared" si="19"/>
        <v/>
      </c>
      <c r="DL8" s="495" t="str">
        <f t="shared" si="20"/>
        <v/>
      </c>
      <c r="DM8" s="495" t="str">
        <f t="shared" si="46"/>
        <v/>
      </c>
      <c r="DN8" s="495" t="str">
        <f t="shared" si="47"/>
        <v/>
      </c>
      <c r="DO8" s="495" t="str">
        <f t="shared" si="21"/>
        <v/>
      </c>
      <c r="DP8" s="495" t="str">
        <f t="shared" si="22"/>
        <v/>
      </c>
      <c r="DQ8" s="495" t="str">
        <f t="shared" si="48"/>
        <v/>
      </c>
      <c r="DR8" s="495" t="str">
        <f t="shared" si="49"/>
        <v/>
      </c>
      <c r="DS8" s="495" t="str">
        <f t="shared" si="23"/>
        <v/>
      </c>
      <c r="DT8" s="495" t="str">
        <f t="shared" si="24"/>
        <v/>
      </c>
      <c r="DU8" s="495" t="str">
        <f t="shared" si="50"/>
        <v/>
      </c>
      <c r="DV8" s="495" t="str">
        <f t="shared" si="51"/>
        <v/>
      </c>
      <c r="DW8" s="495" t="str">
        <f t="shared" si="25"/>
        <v/>
      </c>
      <c r="DX8" s="495" t="str">
        <f t="shared" si="26"/>
        <v/>
      </c>
      <c r="DY8" s="495" t="str">
        <f t="shared" si="52"/>
        <v/>
      </c>
      <c r="DZ8" s="495" t="str">
        <f t="shared" si="53"/>
        <v/>
      </c>
      <c r="EA8" s="495" t="str">
        <f t="shared" si="27"/>
        <v/>
      </c>
      <c r="EB8" s="495" t="str">
        <f t="shared" si="28"/>
        <v/>
      </c>
      <c r="EC8" s="495" t="str">
        <f t="shared" si="29"/>
        <v/>
      </c>
      <c r="ED8" s="495" t="str">
        <f t="shared" si="30"/>
        <v/>
      </c>
      <c r="EE8" s="495" t="str">
        <f t="shared" si="31"/>
        <v/>
      </c>
      <c r="EF8" s="495" t="str">
        <f t="shared" si="32"/>
        <v/>
      </c>
      <c r="EG8" s="495" t="str">
        <f t="shared" si="33"/>
        <v/>
      </c>
      <c r="EH8" s="495" t="str">
        <f t="shared" si="34"/>
        <v/>
      </c>
      <c r="EI8" s="495" t="str">
        <f t="shared" si="35"/>
        <v/>
      </c>
      <c r="EJ8" s="495" t="str">
        <f t="shared" si="36"/>
        <v/>
      </c>
      <c r="EK8" s="485"/>
      <c r="EL8" s="485"/>
      <c r="EM8" s="485"/>
      <c r="EN8" s="485"/>
      <c r="EO8" s="447"/>
      <c r="EP8" s="447"/>
      <c r="EQ8" s="447"/>
      <c r="ER8" s="447"/>
      <c r="ES8" s="447"/>
      <c r="ET8" s="495"/>
      <c r="EU8" s="495"/>
      <c r="EV8" s="495"/>
      <c r="EW8" s="495"/>
      <c r="EX8" s="528"/>
      <c r="EY8" s="528"/>
      <c r="EZ8" s="528"/>
      <c r="FA8" s="783"/>
      <c r="FB8" s="783">
        <f t="array" ref="FB8">IF(SUM((FA8=$FA$3:FA7)*1)=0,FA8,0)</f>
        <v>0</v>
      </c>
      <c r="FC8" s="783"/>
      <c r="FD8" s="783"/>
      <c r="FE8" s="783">
        <f t="array" ref="FE8">IF(SUM((FD8=$FD$3:FD7)*1)=0,FD8,0)</f>
        <v>0</v>
      </c>
      <c r="FF8" s="783"/>
      <c r="FG8" s="783"/>
      <c r="FH8" s="783"/>
      <c r="FI8" s="783">
        <f t="array" ref="FI8">IF(SUM((FH8=$FH$3:FH7)*1)=0,FH8,0)</f>
        <v>0</v>
      </c>
      <c r="FJ8" s="783"/>
      <c r="FK8" s="783"/>
      <c r="FL8" s="783">
        <f t="array" ref="FL8">IF(SUM((FK8=$FK$3:FK7)*1)=0,FK8,0)</f>
        <v>0</v>
      </c>
      <c r="FM8" s="783"/>
      <c r="FN8" s="783"/>
      <c r="FO8" s="783"/>
      <c r="FP8" s="783">
        <f t="array" ref="FP8">IF(SUM((FO8=$FO$3:FO7)*1)=0,FO8,0)</f>
        <v>0</v>
      </c>
      <c r="FQ8" s="783"/>
      <c r="FR8" s="783"/>
      <c r="FS8" s="783">
        <f t="array" ref="FS8">IF(SUM((FR8=$FR$3:FR7)*1)=0,FR8,0)</f>
        <v>0</v>
      </c>
      <c r="FT8" s="783"/>
      <c r="FU8" s="783"/>
      <c r="FV8" s="783"/>
      <c r="FW8" s="783">
        <f t="array" ref="FW8">IF(SUM((FV8=$FV$3:FV7)*1)=0,FV8,0)</f>
        <v>0</v>
      </c>
      <c r="FX8" s="783"/>
      <c r="FY8" s="783"/>
      <c r="FZ8" s="783">
        <f t="array" ref="FZ8">IF(SUM((FY8=$FY$3:FY7)*1)=0,FY8,0)</f>
        <v>0</v>
      </c>
      <c r="GA8" s="783"/>
      <c r="GB8" s="783"/>
      <c r="GC8" s="783"/>
      <c r="GD8" s="783">
        <f t="array" ref="GD8">IF(SUM((GC8=$GC$3:GC7)*1)=0,GC8,0)</f>
        <v>0</v>
      </c>
      <c r="GE8" s="783"/>
      <c r="GF8" s="783"/>
      <c r="GG8" s="783">
        <f t="array" ref="GG8">IF(SUM((GF8=$GF$3:GF7)*1)=0,GF8,0)</f>
        <v>0</v>
      </c>
      <c r="GH8" s="783"/>
      <c r="GI8" s="783"/>
      <c r="GJ8" s="783"/>
      <c r="GK8" s="798">
        <f t="array" ref="GK8">IF(SUM((GJ8=$GJ$3:GJ7)*1)=0,GJ8,0)</f>
        <v>0</v>
      </c>
      <c r="GL8" s="783"/>
      <c r="GM8" s="783"/>
      <c r="GN8" s="798">
        <f t="array" ref="GN8">IF(SUM((GM8=$GM$3:GM7)*1)=0,GM8,0)</f>
        <v>0</v>
      </c>
      <c r="GO8" s="783"/>
      <c r="GP8" s="783"/>
      <c r="GQ8" s="783"/>
      <c r="GR8" s="798">
        <f t="array" ref="GR8">IF(SUM((GQ8=$GQ$3:GQ7)*1)=0,GQ8,0)</f>
        <v>0</v>
      </c>
      <c r="GS8" s="783"/>
      <c r="GT8" s="783"/>
      <c r="GU8" s="798">
        <f t="array" ref="GU8">IF(SUM((GT8=$GT$3:GT7)*1)=0,GT8,0)</f>
        <v>0</v>
      </c>
      <c r="GV8" s="783"/>
      <c r="GW8" s="783"/>
      <c r="GX8" s="783"/>
      <c r="GY8" s="798">
        <f t="array" ref="GY8">IF(SUM((GX8=$GX$3:GX7)*1)=0,GX8,0)</f>
        <v>0</v>
      </c>
      <c r="GZ8" s="783"/>
      <c r="HA8" s="783"/>
      <c r="HB8" s="798">
        <f t="array" ref="HB8">IF(SUM((HA8=$HA$3:HA7)*1)=0,HA8,0)</f>
        <v>0</v>
      </c>
      <c r="HC8" s="783"/>
      <c r="HD8" s="783"/>
      <c r="HE8" s="769" t="str">
        <f t="shared" si="130"/>
        <v/>
      </c>
      <c r="HF8" s="768" t="str">
        <f t="shared" si="54"/>
        <v/>
      </c>
      <c r="HG8" s="769" t="str">
        <f t="shared" si="131"/>
        <v/>
      </c>
      <c r="HH8" s="768" t="str">
        <f t="shared" si="55"/>
        <v/>
      </c>
      <c r="HI8" s="728" t="str">
        <f t="shared" si="132"/>
        <v/>
      </c>
      <c r="HJ8" s="768" t="str">
        <f t="shared" si="56"/>
        <v/>
      </c>
      <c r="HK8" s="728" t="str">
        <f t="shared" si="133"/>
        <v/>
      </c>
      <c r="HL8" s="768" t="str">
        <f t="shared" si="57"/>
        <v/>
      </c>
      <c r="HM8" s="769" t="str">
        <f t="shared" si="58"/>
        <v/>
      </c>
      <c r="HN8" s="768" t="str">
        <f t="shared" ref="HN8" si="158">IF(HM8&lt;0,"Invadiu REP-BA-C","")</f>
        <v/>
      </c>
      <c r="HO8" s="769" t="str">
        <f t="shared" si="60"/>
        <v/>
      </c>
      <c r="HP8" s="768" t="str">
        <f t="shared" si="61"/>
        <v/>
      </c>
      <c r="HQ8" s="728" t="str">
        <f t="shared" si="62"/>
        <v/>
      </c>
      <c r="HR8" s="768" t="str">
        <f t="shared" si="63"/>
        <v/>
      </c>
      <c r="HS8" s="728" t="str">
        <f t="shared" si="64"/>
        <v/>
      </c>
      <c r="HT8" s="768" t="str">
        <f t="shared" si="65"/>
        <v/>
      </c>
      <c r="HU8" s="769" t="str">
        <f t="shared" si="66"/>
        <v/>
      </c>
      <c r="HV8" s="768" t="str">
        <f t="shared" ref="HV8" si="159">IF(HU8&lt;0,"Invadiu REP-BA-C","")</f>
        <v/>
      </c>
      <c r="HW8" s="769" t="str">
        <f t="shared" si="68"/>
        <v/>
      </c>
      <c r="HX8" s="768" t="str">
        <f t="shared" si="69"/>
        <v/>
      </c>
      <c r="HY8" s="728" t="str">
        <f t="shared" si="70"/>
        <v/>
      </c>
      <c r="HZ8" s="768" t="str">
        <f t="shared" si="71"/>
        <v/>
      </c>
      <c r="IA8" s="728" t="str">
        <f t="shared" si="72"/>
        <v/>
      </c>
      <c r="IB8" s="768" t="str">
        <f t="shared" si="73"/>
        <v/>
      </c>
      <c r="IC8" s="769" t="str">
        <f t="shared" si="74"/>
        <v/>
      </c>
      <c r="ID8" s="768" t="str">
        <f t="shared" ref="ID8" si="160">IF(IC8&lt;0,"Invadiu REP-BA-C","")</f>
        <v/>
      </c>
      <c r="IE8" s="769" t="str">
        <f t="shared" si="76"/>
        <v/>
      </c>
      <c r="IF8" s="768" t="str">
        <f t="shared" si="77"/>
        <v/>
      </c>
      <c r="IG8" s="728" t="str">
        <f t="shared" si="78"/>
        <v/>
      </c>
      <c r="IH8" s="768" t="str">
        <f t="shared" si="79"/>
        <v/>
      </c>
      <c r="II8" s="728" t="str">
        <f t="shared" si="80"/>
        <v/>
      </c>
      <c r="IJ8" s="768" t="str">
        <f t="shared" si="81"/>
        <v/>
      </c>
      <c r="IK8" s="769" t="str">
        <f t="shared" si="82"/>
        <v/>
      </c>
      <c r="IL8" s="768" t="str">
        <f t="shared" ref="IL8" si="161">IF(IK8&lt;0,"Invadiu REP-BA-C","")</f>
        <v/>
      </c>
      <c r="IM8" s="769" t="str">
        <f t="shared" si="84"/>
        <v/>
      </c>
      <c r="IN8" s="768" t="str">
        <f t="shared" si="85"/>
        <v/>
      </c>
      <c r="IO8" s="728" t="str">
        <f t="shared" si="86"/>
        <v/>
      </c>
      <c r="IP8" s="768" t="str">
        <f t="shared" si="87"/>
        <v/>
      </c>
      <c r="IQ8" s="728" t="str">
        <f t="shared" si="88"/>
        <v/>
      </c>
      <c r="IR8" s="768" t="str">
        <f t="shared" si="89"/>
        <v/>
      </c>
      <c r="IS8" s="769" t="str">
        <f t="shared" si="90"/>
        <v/>
      </c>
      <c r="IT8" s="768" t="str">
        <f t="shared" ref="IT8" si="162">IF(IS8&lt;0,"Invadiu REP-BA-C","")</f>
        <v/>
      </c>
      <c r="IU8" s="769" t="str">
        <f t="shared" si="92"/>
        <v/>
      </c>
      <c r="IV8" s="768" t="str">
        <f t="shared" si="93"/>
        <v/>
      </c>
      <c r="IW8" s="728" t="str">
        <f t="shared" si="94"/>
        <v/>
      </c>
      <c r="IX8" s="768" t="str">
        <f t="shared" si="95"/>
        <v/>
      </c>
      <c r="IY8" s="728" t="str">
        <f t="shared" si="96"/>
        <v/>
      </c>
      <c r="IZ8" s="768" t="str">
        <f t="shared" si="97"/>
        <v/>
      </c>
      <c r="JA8" s="769" t="str">
        <f t="shared" si="98"/>
        <v/>
      </c>
      <c r="JB8" s="768" t="str">
        <f t="shared" ref="JB8" si="163">IF(JA8&lt;0,"Invadiu REP-BA-C","")</f>
        <v/>
      </c>
      <c r="JC8" s="769" t="str">
        <f t="shared" si="100"/>
        <v/>
      </c>
      <c r="JD8" s="768" t="str">
        <f t="shared" si="101"/>
        <v/>
      </c>
      <c r="JE8" s="728" t="str">
        <f t="shared" si="102"/>
        <v/>
      </c>
      <c r="JF8" s="768" t="str">
        <f t="shared" si="103"/>
        <v/>
      </c>
      <c r="JG8" s="728" t="str">
        <f t="shared" si="104"/>
        <v/>
      </c>
      <c r="JH8" s="768" t="str">
        <f t="shared" si="105"/>
        <v/>
      </c>
      <c r="JI8" s="769" t="str">
        <f t="shared" si="106"/>
        <v/>
      </c>
      <c r="JJ8" s="768" t="str">
        <f t="shared" ref="JJ8" si="164">IF(JI8&lt;0,"Invadiu REP-BA-C","")</f>
        <v/>
      </c>
      <c r="JK8" s="769" t="str">
        <f t="shared" si="108"/>
        <v/>
      </c>
      <c r="JL8" s="768" t="str">
        <f t="shared" si="109"/>
        <v/>
      </c>
      <c r="JM8" s="728" t="str">
        <f t="shared" si="110"/>
        <v/>
      </c>
      <c r="JN8" s="768" t="str">
        <f t="shared" si="111"/>
        <v/>
      </c>
      <c r="JO8" s="728" t="str">
        <f t="shared" si="112"/>
        <v/>
      </c>
      <c r="JP8" s="768" t="str">
        <f t="shared" si="113"/>
        <v/>
      </c>
      <c r="JQ8" s="769" t="str">
        <f t="shared" si="114"/>
        <v/>
      </c>
      <c r="JR8" s="768" t="str">
        <f t="shared" ref="JR8" si="165">IF(JQ8&lt;0,"Invadiu REP-BA-C","")</f>
        <v/>
      </c>
      <c r="JS8" s="769" t="str">
        <f t="shared" si="116"/>
        <v/>
      </c>
      <c r="JT8" s="768" t="str">
        <f t="shared" si="117"/>
        <v/>
      </c>
      <c r="JU8" s="728" t="str">
        <f t="shared" si="118"/>
        <v/>
      </c>
      <c r="JV8" s="768" t="str">
        <f t="shared" si="119"/>
        <v/>
      </c>
      <c r="JW8" s="728" t="str">
        <f t="shared" si="120"/>
        <v/>
      </c>
      <c r="JX8" s="768" t="str">
        <f t="shared" si="121"/>
        <v/>
      </c>
      <c r="JY8" s="768" t="str">
        <f t="shared" si="122"/>
        <v/>
      </c>
      <c r="JZ8" s="485" t="str">
        <f>IF(JY8="","",IF(AND(C8=$C$164,JY8&lt;&gt;""),Verificarcpf(D8),IF(AND(C8=$C$165,JY8&lt;&gt;""),VerificarCNPJ(D8))))</f>
        <v/>
      </c>
      <c r="KA8" s="768" t="str">
        <f t="shared" si="123"/>
        <v/>
      </c>
      <c r="KB8" s="485">
        <f t="shared" si="124"/>
        <v>0</v>
      </c>
      <c r="KC8" s="768">
        <f t="shared" si="125"/>
        <v>0</v>
      </c>
      <c r="KD8" s="485">
        <f t="shared" si="126"/>
        <v>0</v>
      </c>
      <c r="KE8" s="447"/>
      <c r="KF8" s="548">
        <f t="shared" si="127"/>
        <v>0</v>
      </c>
      <c r="KG8" s="548" t="s">
        <v>173</v>
      </c>
      <c r="KH8" s="548"/>
      <c r="KI8" s="548"/>
      <c r="KJ8" s="548" t="str">
        <f t="shared" si="128"/>
        <v/>
      </c>
      <c r="KK8" s="548"/>
      <c r="KL8" s="548"/>
      <c r="KM8" s="548">
        <f t="array" ref="KM8">IF(SUM((KL8=$KL$3:KL7)*1)=0,KL8,0)</f>
        <v>0</v>
      </c>
      <c r="KN8" s="548"/>
      <c r="KO8" s="548"/>
      <c r="KP8" s="548"/>
      <c r="KQ8" s="548"/>
      <c r="KR8" s="548" t="str">
        <f t="shared" si="129"/>
        <v/>
      </c>
      <c r="KS8" s="548"/>
      <c r="KT8" s="548"/>
      <c r="KU8" s="548"/>
      <c r="KV8" s="548"/>
      <c r="KW8" s="548"/>
      <c r="KX8" s="548"/>
      <c r="KY8" s="548"/>
      <c r="KZ8" s="548"/>
      <c r="LA8" s="548"/>
      <c r="LB8" s="548"/>
      <c r="LC8" s="485" t="str">
        <f t="shared" si="142"/>
        <v/>
      </c>
      <c r="LD8" s="548"/>
      <c r="LE8" s="548"/>
      <c r="LF8" s="548"/>
      <c r="LG8" s="548"/>
      <c r="LH8" s="548"/>
      <c r="LI8" s="548"/>
      <c r="LJ8" s="548"/>
      <c r="LK8" s="548"/>
      <c r="LL8" s="548"/>
      <c r="LM8" s="548"/>
      <c r="LN8" s="548"/>
      <c r="LO8" s="548"/>
      <c r="LP8" s="485" t="str">
        <f t="shared" si="143"/>
        <v/>
      </c>
      <c r="LQ8" s="548"/>
      <c r="LR8" s="548"/>
      <c r="LS8" s="548"/>
      <c r="LT8" s="548"/>
      <c r="LU8" s="548"/>
      <c r="LV8" s="548"/>
      <c r="LW8" s="548"/>
      <c r="LX8" s="548"/>
      <c r="LY8" s="548"/>
      <c r="LZ8" s="548"/>
      <c r="MA8" s="548"/>
      <c r="MB8" s="548"/>
      <c r="MC8" s="485" t="str">
        <f t="shared" si="144"/>
        <v/>
      </c>
      <c r="MD8" s="548"/>
      <c r="ME8" s="548"/>
      <c r="MF8" s="548"/>
      <c r="MG8" s="548"/>
      <c r="MH8" s="548"/>
      <c r="MI8" s="548"/>
      <c r="MJ8" s="548"/>
      <c r="MK8" s="548"/>
      <c r="ML8" s="548"/>
      <c r="MM8" s="548"/>
      <c r="MN8" s="548"/>
      <c r="MO8" s="548"/>
      <c r="MP8" s="485" t="str">
        <f t="shared" si="145"/>
        <v/>
      </c>
      <c r="MQ8" s="548"/>
      <c r="MR8" s="548"/>
      <c r="MS8" s="548"/>
      <c r="MT8" s="548"/>
      <c r="MU8" s="548"/>
      <c r="MV8" s="548"/>
      <c r="MW8" s="548"/>
      <c r="MX8" s="548"/>
      <c r="MY8" s="548"/>
      <c r="MZ8" s="548"/>
      <c r="NA8" s="548"/>
      <c r="NB8" s="548"/>
      <c r="NC8" s="485" t="str">
        <f t="shared" si="146"/>
        <v/>
      </c>
      <c r="ND8" s="548"/>
      <c r="NE8" s="548"/>
      <c r="NF8" s="548"/>
      <c r="NG8" s="548"/>
      <c r="NH8" s="548"/>
      <c r="NI8" s="548"/>
      <c r="NJ8" s="548"/>
      <c r="NK8" s="548"/>
      <c r="NL8" s="548"/>
      <c r="NM8" s="548"/>
      <c r="NN8" s="548"/>
      <c r="NO8" s="548"/>
      <c r="NP8" s="485" t="str">
        <f t="shared" si="147"/>
        <v/>
      </c>
      <c r="NQ8" s="548"/>
      <c r="NR8" s="548"/>
      <c r="NS8" s="548"/>
      <c r="NT8" s="548"/>
      <c r="NU8" s="548"/>
      <c r="NV8" s="548"/>
      <c r="NW8" s="548"/>
      <c r="NX8" s="548"/>
      <c r="NY8" s="548"/>
      <c r="NZ8" s="548"/>
      <c r="OA8" s="548"/>
      <c r="OB8" s="548"/>
      <c r="OC8" s="485" t="str">
        <f t="shared" si="148"/>
        <v/>
      </c>
      <c r="OD8" s="548"/>
      <c r="OE8" s="548"/>
      <c r="OF8" s="548"/>
      <c r="OG8" s="548"/>
      <c r="OH8" s="548"/>
      <c r="OI8" s="548"/>
      <c r="OJ8" s="548"/>
      <c r="OK8" s="548"/>
      <c r="OL8" s="548"/>
      <c r="OM8" s="548"/>
      <c r="ON8" s="548"/>
      <c r="OO8" s="548"/>
      <c r="OP8" s="548"/>
      <c r="OQ8" s="548"/>
      <c r="OR8" s="548"/>
      <c r="OS8" s="548"/>
      <c r="OT8" s="548"/>
      <c r="OU8" s="548"/>
      <c r="OV8" s="548"/>
      <c r="OW8" s="548"/>
      <c r="OX8" s="548"/>
      <c r="OY8" s="548"/>
      <c r="OZ8" s="548"/>
      <c r="PA8" s="548"/>
      <c r="PB8" s="548"/>
      <c r="PC8" s="548"/>
      <c r="PD8" s="548"/>
      <c r="PE8" s="548"/>
      <c r="PF8" s="548"/>
      <c r="PG8" s="548"/>
      <c r="PH8" s="548"/>
      <c r="PI8" s="548"/>
      <c r="PJ8" s="548"/>
      <c r="PK8" s="548"/>
      <c r="PL8" s="548"/>
      <c r="PM8" s="548"/>
      <c r="PN8" s="548"/>
      <c r="PO8" s="548"/>
      <c r="PP8" s="548"/>
      <c r="PQ8" s="548"/>
      <c r="PR8" s="548"/>
      <c r="PS8" s="548"/>
      <c r="PT8" s="1001">
        <f>SUM($LL$4:$LL$74)</f>
        <v>0</v>
      </c>
      <c r="PU8" s="1001">
        <f>SUM($LM$4:$LM$74)</f>
        <v>0</v>
      </c>
      <c r="PV8" s="528"/>
      <c r="PW8" s="1001">
        <f>SUM($LY$4:$LY$74)</f>
        <v>0</v>
      </c>
      <c r="PX8" s="1001">
        <f>SUM($LZ$4:$LZ$74)</f>
        <v>0</v>
      </c>
      <c r="PY8" s="548"/>
      <c r="PZ8" s="1001">
        <f>SUM($ML$4:$ML$74)</f>
        <v>0</v>
      </c>
      <c r="QA8" s="1001">
        <f>SUM($MM$4:$MM$74)</f>
        <v>0</v>
      </c>
      <c r="QB8" s="528"/>
      <c r="QC8" s="1001">
        <f>SUM($MY$4:$MY$74)</f>
        <v>0</v>
      </c>
      <c r="QD8" s="1001">
        <f>SUM($MZ$4:$MZ$74)</f>
        <v>0</v>
      </c>
      <c r="QE8" s="548"/>
      <c r="QF8" s="1001">
        <f>SUM($NL$4:$NL$74)</f>
        <v>0</v>
      </c>
      <c r="QG8" s="1001">
        <f>SUM($NM$4:$NM$74)</f>
        <v>0</v>
      </c>
      <c r="QH8" s="548"/>
      <c r="QI8" s="1001">
        <f>SUM($NY$4:$NY$74)</f>
        <v>0</v>
      </c>
      <c r="QJ8" s="1001">
        <f>SUM($NZ$4:$NZ$74)</f>
        <v>0</v>
      </c>
      <c r="QK8" s="548"/>
      <c r="QL8" s="1001">
        <f>SUM($OL$4:$OL$74)</f>
        <v>0</v>
      </c>
      <c r="QM8" s="1001">
        <f>SUM($OM$4:$OM$74)</f>
        <v>0</v>
      </c>
      <c r="QN8" s="548"/>
      <c r="QO8" s="548"/>
      <c r="QP8" s="548"/>
      <c r="QQ8" s="1009"/>
      <c r="QR8" s="548"/>
      <c r="QS8" s="548"/>
      <c r="QT8" s="548"/>
      <c r="QU8" s="548"/>
      <c r="QV8" s="548"/>
      <c r="QW8" s="548"/>
      <c r="QX8" s="548"/>
      <c r="QY8" s="548"/>
      <c r="QZ8" s="548"/>
      <c r="RA8" s="548"/>
      <c r="RB8" s="548"/>
      <c r="RC8" s="548"/>
      <c r="RD8" s="548"/>
      <c r="RE8" s="548"/>
      <c r="RF8" s="548"/>
      <c r="RG8" s="548"/>
      <c r="RH8" s="548"/>
      <c r="RI8" s="548"/>
      <c r="RJ8" s="548"/>
      <c r="RK8" s="548"/>
      <c r="RL8" s="548"/>
      <c r="RM8" s="548"/>
      <c r="RN8" s="548"/>
      <c r="RO8" s="548"/>
      <c r="RP8" s="548"/>
      <c r="RQ8" s="548"/>
      <c r="RR8" s="548"/>
      <c r="RS8" s="548"/>
      <c r="RT8" s="548"/>
      <c r="RU8" s="548"/>
      <c r="RV8" s="548"/>
      <c r="RW8" s="548"/>
      <c r="RX8" s="548"/>
      <c r="RY8" s="548"/>
      <c r="RZ8" s="548"/>
      <c r="SA8" s="548"/>
      <c r="SB8" s="548"/>
      <c r="SC8" s="548"/>
      <c r="SD8" s="548"/>
      <c r="SE8" s="548"/>
      <c r="SF8" s="548"/>
      <c r="SG8" s="548"/>
      <c r="SH8" s="548"/>
      <c r="SI8" s="548"/>
      <c r="SJ8" s="548"/>
      <c r="SK8" s="548"/>
      <c r="SL8" s="548"/>
      <c r="SM8" s="548"/>
      <c r="SN8" s="548"/>
      <c r="SO8" s="548"/>
      <c r="SP8" s="548"/>
      <c r="SQ8" s="548"/>
      <c r="SR8" s="548"/>
      <c r="SS8" s="548"/>
      <c r="ST8" s="548"/>
      <c r="SU8" s="548"/>
      <c r="SV8" s="548"/>
      <c r="SW8" s="548"/>
      <c r="SX8" s="548"/>
      <c r="SY8" s="548"/>
      <c r="SZ8" s="548"/>
      <c r="TA8" s="548"/>
      <c r="TB8" s="548"/>
      <c r="TC8" s="548"/>
      <c r="TD8" s="548"/>
      <c r="TE8" s="548"/>
      <c r="TF8" s="548"/>
      <c r="TG8" s="548"/>
      <c r="TH8" s="548"/>
      <c r="TI8" s="548"/>
      <c r="TJ8" s="548"/>
      <c r="TK8" s="548"/>
      <c r="TL8" s="548"/>
      <c r="TM8" s="548"/>
      <c r="TN8" s="548"/>
      <c r="TO8" s="548"/>
      <c r="TP8" s="548"/>
      <c r="TQ8" s="548"/>
      <c r="TR8" s="548"/>
      <c r="TS8" s="548"/>
      <c r="TT8" s="548"/>
      <c r="TU8" s="548"/>
      <c r="TV8" s="548"/>
      <c r="TW8" s="548"/>
      <c r="TX8" s="548"/>
      <c r="TY8" s="548"/>
      <c r="TZ8" s="548"/>
      <c r="UA8" s="548"/>
      <c r="UB8" s="548"/>
      <c r="UC8" s="548"/>
      <c r="UD8" s="548"/>
      <c r="UE8" s="548"/>
      <c r="UF8" s="548"/>
      <c r="UG8" s="548"/>
      <c r="UH8" s="548"/>
      <c r="UI8" s="548"/>
      <c r="UJ8" s="548"/>
      <c r="UK8" s="548"/>
      <c r="UL8" s="548"/>
      <c r="UM8" s="548"/>
      <c r="UN8" s="548"/>
      <c r="UO8" s="548"/>
      <c r="UP8" s="548"/>
      <c r="UQ8" s="548"/>
      <c r="UR8" s="548"/>
      <c r="US8" s="548"/>
      <c r="UT8" s="548"/>
      <c r="UU8" s="548"/>
      <c r="UV8" s="548"/>
      <c r="UW8" s="548"/>
      <c r="UX8" s="548"/>
      <c r="UY8" s="548"/>
      <c r="UZ8" s="548"/>
      <c r="VA8" s="548"/>
      <c r="VB8" s="548"/>
      <c r="VC8" s="548"/>
      <c r="VD8" s="548"/>
      <c r="VE8" s="548"/>
      <c r="VF8" s="548"/>
      <c r="VG8" s="548"/>
      <c r="VH8" s="548"/>
      <c r="VI8" s="548"/>
      <c r="VJ8" s="548"/>
      <c r="VK8" s="548"/>
      <c r="VL8" s="548"/>
      <c r="VM8" s="548"/>
      <c r="VN8" s="548"/>
      <c r="VO8" s="548"/>
      <c r="VP8" s="548"/>
      <c r="VQ8" s="548"/>
      <c r="VR8" s="548"/>
      <c r="VS8" s="548"/>
      <c r="VT8" s="548"/>
      <c r="VU8" s="548"/>
      <c r="VV8" s="548"/>
      <c r="VW8" s="548"/>
      <c r="VX8" s="548"/>
      <c r="VY8" s="548"/>
      <c r="VZ8" s="548"/>
      <c r="WA8" s="548"/>
      <c r="WB8" s="548"/>
      <c r="WC8" s="548"/>
      <c r="WD8" s="548"/>
      <c r="WE8" s="548"/>
      <c r="WF8" s="548"/>
      <c r="WG8" s="548"/>
      <c r="WH8" s="548"/>
      <c r="WI8" s="548"/>
      <c r="WJ8" s="548"/>
      <c r="WK8" s="548"/>
      <c r="WL8" s="548"/>
      <c r="WM8" s="548"/>
      <c r="WN8" s="548"/>
      <c r="WO8" s="548"/>
      <c r="WP8" s="548"/>
      <c r="WQ8" s="548"/>
      <c r="WR8" s="548"/>
      <c r="WS8" s="548"/>
      <c r="WT8" s="548"/>
      <c r="WU8" s="548"/>
      <c r="WV8" s="548"/>
      <c r="WW8" s="548"/>
      <c r="WX8" s="548"/>
      <c r="WY8" s="548"/>
      <c r="WZ8" s="548"/>
      <c r="XA8" s="548"/>
      <c r="XB8" s="548"/>
      <c r="XC8" s="548"/>
      <c r="XD8" s="548"/>
      <c r="XE8" s="548"/>
      <c r="XF8" s="548"/>
      <c r="XG8" s="548"/>
      <c r="XH8" s="548"/>
      <c r="XI8" s="548"/>
      <c r="XJ8" s="548"/>
      <c r="XK8" s="548"/>
      <c r="XL8" s="548"/>
      <c r="XM8" s="548"/>
      <c r="XN8" s="548"/>
      <c r="XO8" s="548"/>
      <c r="XP8" s="548"/>
      <c r="XQ8" s="548"/>
      <c r="XR8" s="548"/>
      <c r="XS8" s="548"/>
      <c r="XT8" s="548"/>
      <c r="XU8" s="548"/>
      <c r="XV8" s="548"/>
      <c r="XW8" s="548"/>
      <c r="XX8" s="548"/>
      <c r="XY8" s="548"/>
      <c r="XZ8" s="548"/>
      <c r="YA8" s="548"/>
      <c r="YB8" s="548"/>
      <c r="YC8" s="548"/>
      <c r="YD8" s="548"/>
      <c r="YE8" s="548"/>
      <c r="YF8" s="548"/>
      <c r="YG8" s="548"/>
      <c r="YH8" s="548"/>
      <c r="YI8" s="548"/>
      <c r="YJ8" s="548"/>
      <c r="YK8" s="548"/>
      <c r="YL8" s="548"/>
      <c r="YM8" s="548"/>
      <c r="YN8" s="548"/>
      <c r="YO8" s="548"/>
      <c r="YP8" s="548"/>
      <c r="YQ8" s="548"/>
      <c r="YR8" s="548"/>
      <c r="YS8" s="548"/>
      <c r="YT8" s="548"/>
      <c r="YU8" s="548"/>
      <c r="YV8" s="548"/>
      <c r="YW8" s="548"/>
      <c r="YX8" s="548"/>
      <c r="YY8" s="548"/>
      <c r="YZ8" s="548"/>
      <c r="ZA8" s="548"/>
      <c r="ZB8" s="548"/>
      <c r="ZC8" s="548"/>
      <c r="ZD8" s="548"/>
      <c r="ZE8" s="548"/>
      <c r="ZF8" s="548"/>
      <c r="ZG8" s="548"/>
      <c r="ZH8" s="548"/>
      <c r="ZI8" s="548"/>
      <c r="ZJ8" s="548"/>
      <c r="ZK8" s="548"/>
      <c r="ZL8" s="548"/>
      <c r="ZM8" s="548"/>
      <c r="ZN8" s="548"/>
      <c r="ZO8" s="548"/>
      <c r="ZP8" s="548"/>
      <c r="ZQ8" s="548"/>
      <c r="ZR8" s="548"/>
      <c r="ZS8" s="548"/>
      <c r="ZT8" s="548"/>
      <c r="ZU8" s="548"/>
      <c r="ZV8" s="548"/>
      <c r="ZW8" s="548"/>
      <c r="ZX8" s="548"/>
      <c r="ZY8" s="548"/>
      <c r="ZZ8" s="548"/>
      <c r="AAA8" s="548"/>
      <c r="AAB8" s="548"/>
      <c r="AAC8" s="548"/>
      <c r="AAD8" s="548"/>
      <c r="AAE8" s="548"/>
      <c r="AAF8" s="548"/>
      <c r="AAG8" s="548"/>
      <c r="AAH8" s="548"/>
      <c r="AAI8" s="548"/>
      <c r="AAJ8" s="548"/>
      <c r="AAK8" s="548"/>
      <c r="AAL8" s="548"/>
      <c r="AAM8" s="548"/>
      <c r="AAN8" s="548"/>
      <c r="AAO8" s="548"/>
      <c r="AAP8" s="548"/>
      <c r="AAQ8" s="548"/>
      <c r="AAR8" s="548"/>
      <c r="AAS8" s="548"/>
      <c r="AAT8" s="548"/>
      <c r="AAU8" s="548"/>
      <c r="AAV8" s="548"/>
      <c r="AAW8" s="548"/>
      <c r="AAX8" s="548"/>
      <c r="AAY8" s="548"/>
      <c r="AAZ8" s="548"/>
      <c r="ABA8" s="548"/>
      <c r="ABB8" s="548"/>
      <c r="ABC8" s="548"/>
      <c r="ABD8" s="548"/>
      <c r="ABE8" s="548"/>
      <c r="ABF8" s="548"/>
      <c r="ABG8" s="548"/>
      <c r="ABH8" s="548"/>
      <c r="ABI8" s="548"/>
      <c r="ABJ8" s="548"/>
      <c r="ABK8" s="548"/>
      <c r="ABL8" s="548"/>
      <c r="ABM8" s="548"/>
      <c r="ABN8" s="548"/>
      <c r="ABO8" s="548"/>
      <c r="ABP8" s="548"/>
      <c r="ABQ8" s="548"/>
      <c r="ABR8" s="548"/>
      <c r="ABS8" s="548"/>
    </row>
    <row r="9" spans="1:747" customFormat="1" ht="15" customHeight="1" x14ac:dyDescent="0.2">
      <c r="A9" s="424" t="str">
        <f t="shared" si="149"/>
        <v/>
      </c>
      <c r="B9" s="436"/>
      <c r="C9" s="525"/>
      <c r="D9" s="750"/>
      <c r="E9" s="416" t="str">
        <f t="shared" si="0"/>
        <v/>
      </c>
      <c r="F9" s="527" t="str">
        <f t="shared" si="1"/>
        <v/>
      </c>
      <c r="G9" s="417"/>
      <c r="H9" s="583" t="str">
        <f t="shared" si="2"/>
        <v/>
      </c>
      <c r="I9" s="424"/>
      <c r="J9" s="419"/>
      <c r="K9" s="418"/>
      <c r="L9" s="419"/>
      <c r="M9" s="436"/>
      <c r="N9" s="420"/>
      <c r="O9" s="421"/>
      <c r="P9" s="561"/>
      <c r="Q9" s="422"/>
      <c r="R9" s="767" t="str">
        <f t="shared" si="3"/>
        <v/>
      </c>
      <c r="S9" s="664"/>
      <c r="T9" s="663"/>
      <c r="U9" s="580">
        <f t="shared" si="4"/>
        <v>0</v>
      </c>
      <c r="V9" s="418"/>
      <c r="W9" s="582" t="str">
        <f t="shared" si="5"/>
        <v/>
      </c>
      <c r="X9" s="479" t="str">
        <f t="shared" si="6"/>
        <v/>
      </c>
      <c r="Y9" s="582" t="str">
        <f t="shared" si="7"/>
        <v/>
      </c>
      <c r="Z9" s="317" t="str">
        <f t="shared" si="8"/>
        <v/>
      </c>
      <c r="AA9" s="317" t="str">
        <f t="shared" si="9"/>
        <v/>
      </c>
      <c r="AB9" s="317">
        <f t="shared" si="10"/>
        <v>0</v>
      </c>
      <c r="AC9" s="317" t="str">
        <f t="shared" si="11"/>
        <v/>
      </c>
      <c r="AD9" s="317"/>
      <c r="AE9" s="479"/>
      <c r="AF9" s="479"/>
      <c r="AG9" s="423"/>
      <c r="AH9" s="820"/>
      <c r="AI9" s="480"/>
      <c r="AJ9" s="660"/>
      <c r="AK9" s="524" t="str">
        <f t="shared" si="12"/>
        <v/>
      </c>
      <c r="AL9" s="731">
        <f>SUMIF($J$4:$J$46,"Básico",$S$4:$S$46)</f>
        <v>0</v>
      </c>
      <c r="AM9" s="732">
        <f>SUMIF($J$4:$J$46,"Básico",$T$4:$T$46)</f>
        <v>0</v>
      </c>
      <c r="AN9" s="495">
        <f t="shared" si="13"/>
        <v>0</v>
      </c>
      <c r="AO9" s="795" t="str">
        <f t="shared" si="37"/>
        <v/>
      </c>
      <c r="AP9" s="495" t="str">
        <f t="shared" si="14"/>
        <v/>
      </c>
      <c r="AQ9" s="528"/>
      <c r="AR9" s="528"/>
      <c r="AS9" s="759"/>
      <c r="AT9" s="760"/>
      <c r="AU9" s="761"/>
      <c r="AV9" s="539"/>
      <c r="AW9" s="540"/>
      <c r="AX9" s="796">
        <f>SUM($AY$4:AY124)</f>
        <v>0</v>
      </c>
      <c r="AY9" s="789">
        <f t="shared" si="15"/>
        <v>0</v>
      </c>
      <c r="AZ9" s="495"/>
      <c r="BA9" s="495" t="str">
        <f t="shared" si="16"/>
        <v/>
      </c>
      <c r="BB9" s="495"/>
      <c r="BC9" s="495"/>
      <c r="BD9" s="495">
        <f t="array" ref="BD9">IF(SUM((BC9=$BC$3:BC8)*1)=0,BC9,0)</f>
        <v>0</v>
      </c>
      <c r="BE9" s="495"/>
      <c r="BF9" s="495"/>
      <c r="BG9" s="495">
        <f t="array" ref="BG9">IF(SUM((BF9=$BF$3:BF8)*1)=0,BF9,0)</f>
        <v>0</v>
      </c>
      <c r="BH9" s="495"/>
      <c r="BI9" s="495"/>
      <c r="BJ9" s="495"/>
      <c r="BK9" s="495"/>
      <c r="BL9" s="495"/>
      <c r="BM9" s="495"/>
      <c r="BN9" s="495"/>
      <c r="BO9" s="528"/>
      <c r="BP9" s="782">
        <f t="shared" si="17"/>
        <v>0</v>
      </c>
      <c r="BQ9" s="495"/>
      <c r="BR9" s="784"/>
      <c r="BS9" s="495"/>
      <c r="BT9" s="782"/>
      <c r="BU9" s="495"/>
      <c r="BV9" s="495" t="str">
        <f t="shared" si="18"/>
        <v/>
      </c>
      <c r="BW9" s="495" t="str">
        <f t="shared" si="38"/>
        <v/>
      </c>
      <c r="BX9" s="495"/>
      <c r="BY9" s="495"/>
      <c r="BZ9" s="495"/>
      <c r="CA9" s="495"/>
      <c r="CB9" s="495"/>
      <c r="CC9" s="495"/>
      <c r="CD9" s="495"/>
      <c r="CE9" s="495"/>
      <c r="CF9" s="495"/>
      <c r="CG9" s="495"/>
      <c r="CH9" s="495"/>
      <c r="CI9" s="495"/>
      <c r="CJ9" s="528" t="str">
        <f t="shared" si="39"/>
        <v/>
      </c>
      <c r="CK9" s="485"/>
      <c r="CL9" s="426"/>
      <c r="CM9" s="435"/>
      <c r="CN9" s="426"/>
      <c r="CO9" s="426"/>
      <c r="CP9" s="426"/>
      <c r="CQ9" s="426"/>
      <c r="CR9" s="426"/>
      <c r="CS9" s="426"/>
      <c r="CT9" s="426"/>
      <c r="CU9" s="426"/>
      <c r="CV9" s="426"/>
      <c r="CW9" s="794">
        <f>SUM($CS$4:$CS$88)</f>
        <v>0</v>
      </c>
      <c r="CX9" s="794">
        <f>SUM($CT$4:$CT$88)</f>
        <v>0</v>
      </c>
      <c r="CY9" s="528">
        <v>6</v>
      </c>
      <c r="CZ9" s="794">
        <f>SUM($CF$4:$CF$88)</f>
        <v>0</v>
      </c>
      <c r="DA9" s="794">
        <f>SUM($CG$4:$CG$88)</f>
        <v>0</v>
      </c>
      <c r="DB9" s="495"/>
      <c r="DC9" s="528" t="s">
        <v>749</v>
      </c>
      <c r="DD9" s="528" t="s">
        <v>909</v>
      </c>
      <c r="DE9" s="495" t="str">
        <f t="shared" si="40"/>
        <v/>
      </c>
      <c r="DF9" s="495" t="str">
        <f t="shared" si="41"/>
        <v/>
      </c>
      <c r="DG9" s="495" t="str">
        <f t="shared" si="42"/>
        <v/>
      </c>
      <c r="DH9" s="495" t="str">
        <f t="shared" si="43"/>
        <v/>
      </c>
      <c r="DI9" s="495" t="str">
        <f t="shared" si="44"/>
        <v/>
      </c>
      <c r="DJ9" s="495" t="str">
        <f t="shared" si="45"/>
        <v/>
      </c>
      <c r="DK9" s="495" t="str">
        <f t="shared" si="19"/>
        <v/>
      </c>
      <c r="DL9" s="495" t="str">
        <f t="shared" si="20"/>
        <v/>
      </c>
      <c r="DM9" s="495" t="str">
        <f t="shared" si="46"/>
        <v/>
      </c>
      <c r="DN9" s="495" t="str">
        <f t="shared" si="47"/>
        <v/>
      </c>
      <c r="DO9" s="495" t="str">
        <f t="shared" si="21"/>
        <v/>
      </c>
      <c r="DP9" s="495" t="str">
        <f t="shared" si="22"/>
        <v/>
      </c>
      <c r="DQ9" s="495" t="str">
        <f t="shared" si="48"/>
        <v/>
      </c>
      <c r="DR9" s="495" t="str">
        <f t="shared" si="49"/>
        <v/>
      </c>
      <c r="DS9" s="495" t="str">
        <f t="shared" si="23"/>
        <v/>
      </c>
      <c r="DT9" s="495" t="str">
        <f t="shared" si="24"/>
        <v/>
      </c>
      <c r="DU9" s="495" t="str">
        <f t="shared" si="50"/>
        <v/>
      </c>
      <c r="DV9" s="495" t="str">
        <f t="shared" si="51"/>
        <v/>
      </c>
      <c r="DW9" s="495" t="str">
        <f t="shared" si="25"/>
        <v/>
      </c>
      <c r="DX9" s="495" t="str">
        <f t="shared" si="26"/>
        <v/>
      </c>
      <c r="DY9" s="495" t="str">
        <f t="shared" si="52"/>
        <v/>
      </c>
      <c r="DZ9" s="495" t="str">
        <f t="shared" si="53"/>
        <v/>
      </c>
      <c r="EA9" s="495" t="str">
        <f t="shared" si="27"/>
        <v/>
      </c>
      <c r="EB9" s="495" t="str">
        <f t="shared" si="28"/>
        <v/>
      </c>
      <c r="EC9" s="495" t="str">
        <f t="shared" si="29"/>
        <v/>
      </c>
      <c r="ED9" s="495" t="str">
        <f t="shared" si="30"/>
        <v/>
      </c>
      <c r="EE9" s="495" t="str">
        <f t="shared" si="31"/>
        <v/>
      </c>
      <c r="EF9" s="495" t="str">
        <f t="shared" si="32"/>
        <v/>
      </c>
      <c r="EG9" s="495" t="str">
        <f t="shared" si="33"/>
        <v/>
      </c>
      <c r="EH9" s="495" t="str">
        <f t="shared" si="34"/>
        <v/>
      </c>
      <c r="EI9" s="495" t="str">
        <f t="shared" si="35"/>
        <v/>
      </c>
      <c r="EJ9" s="495" t="str">
        <f t="shared" si="36"/>
        <v/>
      </c>
      <c r="EK9" s="485"/>
      <c r="EL9" s="485"/>
      <c r="EM9" s="485"/>
      <c r="EN9" s="485"/>
      <c r="EO9" s="447"/>
      <c r="EP9" s="447"/>
      <c r="EQ9" s="447"/>
      <c r="ER9" s="447"/>
      <c r="ES9" s="447"/>
      <c r="ET9" s="495"/>
      <c r="EU9" s="495"/>
      <c r="EV9" s="495"/>
      <c r="EW9" s="495"/>
      <c r="EX9" s="528"/>
      <c r="EY9" s="528"/>
      <c r="EZ9" s="528"/>
      <c r="FA9" s="795"/>
      <c r="FB9" s="783">
        <f t="array" ref="FB9">IF(SUM((FA9=$FA$3:FA8)*1)=0,FA9,0)</f>
        <v>0</v>
      </c>
      <c r="FC9" s="795"/>
      <c r="FD9" s="795"/>
      <c r="FE9" s="795">
        <f t="array" ref="FE9">IF(SUM((FD9=$FD$3:FD8)*1)=0,FD9,0)</f>
        <v>0</v>
      </c>
      <c r="FF9" s="795"/>
      <c r="FG9" s="795"/>
      <c r="FH9" s="795"/>
      <c r="FI9" s="783">
        <f t="array" ref="FI9">IF(SUM((FH9=$FH$3:FH8)*1)=0,FH9,0)</f>
        <v>0</v>
      </c>
      <c r="FJ9" s="795"/>
      <c r="FK9" s="795"/>
      <c r="FL9" s="795">
        <f t="array" ref="FL9">IF(SUM((FK9=$FK$3:FK8)*1)=0,FK9,0)</f>
        <v>0</v>
      </c>
      <c r="FM9" s="795"/>
      <c r="FN9" s="795"/>
      <c r="FO9" s="795"/>
      <c r="FP9" s="783">
        <f t="array" ref="FP9">IF(SUM((FO9=$FO$3:FO8)*1)=0,FO9,0)</f>
        <v>0</v>
      </c>
      <c r="FQ9" s="795"/>
      <c r="FR9" s="795"/>
      <c r="FS9" s="795">
        <f t="array" ref="FS9">IF(SUM((FR9=$FR$3:FR8)*1)=0,FR9,0)</f>
        <v>0</v>
      </c>
      <c r="FT9" s="795"/>
      <c r="FU9" s="795"/>
      <c r="FV9" s="795"/>
      <c r="FW9" s="783">
        <f t="array" ref="FW9">IF(SUM((FV9=$FV$3:FV8)*1)=0,FV9,0)</f>
        <v>0</v>
      </c>
      <c r="FX9" s="795"/>
      <c r="FY9" s="795"/>
      <c r="FZ9" s="795">
        <f t="array" ref="FZ9">IF(SUM((FY9=$FY$3:FY8)*1)=0,FY9,0)</f>
        <v>0</v>
      </c>
      <c r="GA9" s="795"/>
      <c r="GB9" s="795"/>
      <c r="GC9" s="795"/>
      <c r="GD9" s="783">
        <f t="array" ref="GD9">IF(SUM((GC9=$GC$3:GC8)*1)=0,GC9,0)</f>
        <v>0</v>
      </c>
      <c r="GE9" s="795"/>
      <c r="GF9" s="795"/>
      <c r="GG9" s="795">
        <f t="array" ref="GG9">IF(SUM((GF9=$GF$3:GF8)*1)=0,GF9,0)</f>
        <v>0</v>
      </c>
      <c r="GH9" s="795"/>
      <c r="GI9" s="795"/>
      <c r="GJ9" s="795"/>
      <c r="GK9" s="798">
        <f t="array" ref="GK9">IF(SUM((GJ9=$GJ$3:GJ8)*1)=0,GJ9,0)</f>
        <v>0</v>
      </c>
      <c r="GL9" s="795"/>
      <c r="GM9" s="795"/>
      <c r="GN9" s="798">
        <f t="array" ref="GN9">IF(SUM((GM9=$GM$3:GM8)*1)=0,GM9,0)</f>
        <v>0</v>
      </c>
      <c r="GO9" s="795"/>
      <c r="GP9" s="795"/>
      <c r="GQ9" s="795"/>
      <c r="GR9" s="798">
        <f t="array" ref="GR9">IF(SUM((GQ9=$GQ$3:GQ8)*1)=0,GQ9,0)</f>
        <v>0</v>
      </c>
      <c r="GS9" s="795"/>
      <c r="GT9" s="795"/>
      <c r="GU9" s="798">
        <f t="array" ref="GU9">IF(SUM((GT9=$GT$3:GT8)*1)=0,GT9,0)</f>
        <v>0</v>
      </c>
      <c r="GV9" s="795"/>
      <c r="GW9" s="795"/>
      <c r="GX9" s="795"/>
      <c r="GY9" s="798">
        <f t="array" ref="GY9">IF(SUM((GX9=$GX$3:GX8)*1)=0,GX9,0)</f>
        <v>0</v>
      </c>
      <c r="GZ9" s="795"/>
      <c r="HA9" s="795"/>
      <c r="HB9" s="798">
        <f t="array" ref="HB9">IF(SUM((HA9=$HA$3:HA8)*1)=0,HA9,0)</f>
        <v>0</v>
      </c>
      <c r="HC9" s="795"/>
      <c r="HD9" s="795"/>
      <c r="HE9" s="769" t="str">
        <f t="shared" si="130"/>
        <v/>
      </c>
      <c r="HF9" s="768" t="str">
        <f t="shared" si="54"/>
        <v/>
      </c>
      <c r="HG9" s="769" t="str">
        <f t="shared" si="131"/>
        <v/>
      </c>
      <c r="HH9" s="768" t="str">
        <f t="shared" si="55"/>
        <v/>
      </c>
      <c r="HI9" s="728" t="str">
        <f t="shared" si="132"/>
        <v/>
      </c>
      <c r="HJ9" s="768" t="str">
        <f t="shared" si="56"/>
        <v/>
      </c>
      <c r="HK9" s="728" t="str">
        <f t="shared" si="133"/>
        <v/>
      </c>
      <c r="HL9" s="768" t="str">
        <f t="shared" si="57"/>
        <v/>
      </c>
      <c r="HM9" s="769" t="str">
        <f t="shared" si="58"/>
        <v/>
      </c>
      <c r="HN9" s="768" t="str">
        <f t="shared" ref="HN9" si="166">IF(HM9&lt;0,"Invadiu REP-BA-C","")</f>
        <v/>
      </c>
      <c r="HO9" s="769" t="str">
        <f t="shared" si="60"/>
        <v/>
      </c>
      <c r="HP9" s="768" t="str">
        <f t="shared" si="61"/>
        <v/>
      </c>
      <c r="HQ9" s="728" t="str">
        <f t="shared" si="62"/>
        <v/>
      </c>
      <c r="HR9" s="768" t="str">
        <f t="shared" si="63"/>
        <v/>
      </c>
      <c r="HS9" s="728" t="str">
        <f t="shared" si="64"/>
        <v/>
      </c>
      <c r="HT9" s="768" t="str">
        <f t="shared" si="65"/>
        <v/>
      </c>
      <c r="HU9" s="769" t="str">
        <f t="shared" si="66"/>
        <v/>
      </c>
      <c r="HV9" s="768" t="str">
        <f t="shared" ref="HV9" si="167">IF(HU9&lt;0,"Invadiu REP-BA-C","")</f>
        <v/>
      </c>
      <c r="HW9" s="769" t="str">
        <f t="shared" si="68"/>
        <v/>
      </c>
      <c r="HX9" s="768" t="str">
        <f t="shared" si="69"/>
        <v/>
      </c>
      <c r="HY9" s="728" t="str">
        <f t="shared" si="70"/>
        <v/>
      </c>
      <c r="HZ9" s="768" t="str">
        <f t="shared" si="71"/>
        <v/>
      </c>
      <c r="IA9" s="728" t="str">
        <f t="shared" si="72"/>
        <v/>
      </c>
      <c r="IB9" s="768" t="str">
        <f t="shared" si="73"/>
        <v/>
      </c>
      <c r="IC9" s="769" t="str">
        <f t="shared" si="74"/>
        <v/>
      </c>
      <c r="ID9" s="768" t="str">
        <f t="shared" ref="ID9" si="168">IF(IC9&lt;0,"Invadiu REP-BA-C","")</f>
        <v/>
      </c>
      <c r="IE9" s="769" t="str">
        <f t="shared" si="76"/>
        <v/>
      </c>
      <c r="IF9" s="768" t="str">
        <f t="shared" si="77"/>
        <v/>
      </c>
      <c r="IG9" s="728" t="str">
        <f t="shared" si="78"/>
        <v/>
      </c>
      <c r="IH9" s="768" t="str">
        <f t="shared" si="79"/>
        <v/>
      </c>
      <c r="II9" s="728" t="str">
        <f t="shared" si="80"/>
        <v/>
      </c>
      <c r="IJ9" s="768" t="str">
        <f t="shared" si="81"/>
        <v/>
      </c>
      <c r="IK9" s="769" t="str">
        <f t="shared" si="82"/>
        <v/>
      </c>
      <c r="IL9" s="768" t="str">
        <f t="shared" ref="IL9" si="169">IF(IK9&lt;0,"Invadiu REP-BA-C","")</f>
        <v/>
      </c>
      <c r="IM9" s="769" t="str">
        <f t="shared" si="84"/>
        <v/>
      </c>
      <c r="IN9" s="768" t="str">
        <f t="shared" si="85"/>
        <v/>
      </c>
      <c r="IO9" s="728" t="str">
        <f t="shared" si="86"/>
        <v/>
      </c>
      <c r="IP9" s="768" t="str">
        <f t="shared" si="87"/>
        <v/>
      </c>
      <c r="IQ9" s="728" t="str">
        <f t="shared" si="88"/>
        <v/>
      </c>
      <c r="IR9" s="768" t="str">
        <f t="shared" si="89"/>
        <v/>
      </c>
      <c r="IS9" s="769" t="str">
        <f t="shared" si="90"/>
        <v/>
      </c>
      <c r="IT9" s="768" t="str">
        <f t="shared" ref="IT9" si="170">IF(IS9&lt;0,"Invadiu REP-BA-C","")</f>
        <v/>
      </c>
      <c r="IU9" s="769" t="str">
        <f t="shared" si="92"/>
        <v/>
      </c>
      <c r="IV9" s="768" t="str">
        <f t="shared" si="93"/>
        <v/>
      </c>
      <c r="IW9" s="728" t="str">
        <f t="shared" si="94"/>
        <v/>
      </c>
      <c r="IX9" s="768" t="str">
        <f t="shared" si="95"/>
        <v/>
      </c>
      <c r="IY9" s="728" t="str">
        <f t="shared" si="96"/>
        <v/>
      </c>
      <c r="IZ9" s="768" t="str">
        <f t="shared" si="97"/>
        <v/>
      </c>
      <c r="JA9" s="769" t="str">
        <f t="shared" si="98"/>
        <v/>
      </c>
      <c r="JB9" s="768" t="str">
        <f t="shared" ref="JB9" si="171">IF(JA9&lt;0,"Invadiu REP-BA-C","")</f>
        <v/>
      </c>
      <c r="JC9" s="769" t="str">
        <f t="shared" si="100"/>
        <v/>
      </c>
      <c r="JD9" s="768" t="str">
        <f t="shared" si="101"/>
        <v/>
      </c>
      <c r="JE9" s="728" t="str">
        <f t="shared" si="102"/>
        <v/>
      </c>
      <c r="JF9" s="768" t="str">
        <f t="shared" si="103"/>
        <v/>
      </c>
      <c r="JG9" s="728" t="str">
        <f t="shared" si="104"/>
        <v/>
      </c>
      <c r="JH9" s="768" t="str">
        <f t="shared" si="105"/>
        <v/>
      </c>
      <c r="JI9" s="769" t="str">
        <f t="shared" si="106"/>
        <v/>
      </c>
      <c r="JJ9" s="768" t="str">
        <f t="shared" ref="JJ9" si="172">IF(JI9&lt;0,"Invadiu REP-BA-C","")</f>
        <v/>
      </c>
      <c r="JK9" s="769" t="str">
        <f t="shared" si="108"/>
        <v/>
      </c>
      <c r="JL9" s="768" t="str">
        <f t="shared" si="109"/>
        <v/>
      </c>
      <c r="JM9" s="728" t="str">
        <f t="shared" si="110"/>
        <v/>
      </c>
      <c r="JN9" s="768" t="str">
        <f t="shared" si="111"/>
        <v/>
      </c>
      <c r="JO9" s="728" t="str">
        <f t="shared" si="112"/>
        <v/>
      </c>
      <c r="JP9" s="768" t="str">
        <f t="shared" si="113"/>
        <v/>
      </c>
      <c r="JQ9" s="769" t="str">
        <f t="shared" si="114"/>
        <v/>
      </c>
      <c r="JR9" s="768" t="str">
        <f t="shared" ref="JR9" si="173">IF(JQ9&lt;0,"Invadiu REP-BA-C","")</f>
        <v/>
      </c>
      <c r="JS9" s="769" t="str">
        <f t="shared" si="116"/>
        <v/>
      </c>
      <c r="JT9" s="768" t="str">
        <f t="shared" si="117"/>
        <v/>
      </c>
      <c r="JU9" s="728" t="str">
        <f t="shared" si="118"/>
        <v/>
      </c>
      <c r="JV9" s="768" t="str">
        <f t="shared" si="119"/>
        <v/>
      </c>
      <c r="JW9" s="728" t="str">
        <f t="shared" si="120"/>
        <v/>
      </c>
      <c r="JX9" s="768" t="str">
        <f t="shared" si="121"/>
        <v/>
      </c>
      <c r="JY9" s="768" t="str">
        <f t="shared" si="122"/>
        <v/>
      </c>
      <c r="JZ9" s="485" t="str">
        <f>IF(JY9="","",IF(AND(C9=$C$164,JY9&lt;&gt;""),Verificarcpf(D9),IF(AND(C9=$C$165,JY9&lt;&gt;""),VerificarCNPJ(D9))))</f>
        <v/>
      </c>
      <c r="KA9" s="768" t="str">
        <f t="shared" si="123"/>
        <v/>
      </c>
      <c r="KB9" s="485">
        <f t="shared" si="124"/>
        <v>0</v>
      </c>
      <c r="KC9" s="768">
        <f t="shared" si="125"/>
        <v>0</v>
      </c>
      <c r="KD9" s="485">
        <f t="shared" si="126"/>
        <v>0</v>
      </c>
      <c r="KE9" s="447"/>
      <c r="KF9" s="548">
        <f t="shared" si="127"/>
        <v>0</v>
      </c>
      <c r="KG9" s="548" t="s">
        <v>580</v>
      </c>
      <c r="KH9" s="548"/>
      <c r="KI9" s="548"/>
      <c r="KJ9" s="548" t="str">
        <f t="shared" si="128"/>
        <v/>
      </c>
      <c r="KK9" s="548"/>
      <c r="KL9" s="548"/>
      <c r="KM9" s="548">
        <f t="array" ref="KM9">IF(SUM((KL9=$KL$3:KL8)*1)=0,KL9,0)</f>
        <v>0</v>
      </c>
      <c r="KN9" s="548"/>
      <c r="KO9" s="548"/>
      <c r="KP9" s="548"/>
      <c r="KQ9" s="548"/>
      <c r="KR9" s="548" t="str">
        <f t="shared" si="129"/>
        <v/>
      </c>
      <c r="KS9" s="548"/>
      <c r="KT9" s="548"/>
      <c r="KU9" s="548"/>
      <c r="KV9" s="548"/>
      <c r="KW9" s="548"/>
      <c r="KX9" s="548"/>
      <c r="KY9" s="548"/>
      <c r="KZ9" s="548"/>
      <c r="LA9" s="548"/>
      <c r="LB9" s="548"/>
      <c r="LC9" s="485" t="str">
        <f t="shared" si="142"/>
        <v/>
      </c>
      <c r="LD9" s="548"/>
      <c r="LE9" s="548"/>
      <c r="LF9" s="548"/>
      <c r="LG9" s="548"/>
      <c r="LH9" s="548"/>
      <c r="LI9" s="548"/>
      <c r="LJ9" s="548"/>
      <c r="LK9" s="548"/>
      <c r="LL9" s="548"/>
      <c r="LM9" s="548"/>
      <c r="LN9" s="548"/>
      <c r="LO9" s="548"/>
      <c r="LP9" s="485" t="str">
        <f t="shared" si="143"/>
        <v/>
      </c>
      <c r="LQ9" s="548"/>
      <c r="LR9" s="548"/>
      <c r="LS9" s="548"/>
      <c r="LT9" s="548"/>
      <c r="LU9" s="548"/>
      <c r="LV9" s="548"/>
      <c r="LW9" s="548"/>
      <c r="LX9" s="548"/>
      <c r="LY9" s="548"/>
      <c r="LZ9" s="548"/>
      <c r="MA9" s="548"/>
      <c r="MB9" s="548"/>
      <c r="MC9" s="485" t="str">
        <f t="shared" si="144"/>
        <v/>
      </c>
      <c r="MD9" s="548"/>
      <c r="ME9" s="548"/>
      <c r="MF9" s="548"/>
      <c r="MG9" s="548"/>
      <c r="MH9" s="548"/>
      <c r="MI9" s="548"/>
      <c r="MJ9" s="548"/>
      <c r="MK9" s="548"/>
      <c r="ML9" s="548"/>
      <c r="MM9" s="548"/>
      <c r="MN9" s="548"/>
      <c r="MO9" s="548"/>
      <c r="MP9" s="485" t="str">
        <f t="shared" si="145"/>
        <v/>
      </c>
      <c r="MQ9" s="548"/>
      <c r="MR9" s="548"/>
      <c r="MS9" s="548"/>
      <c r="MT9" s="548"/>
      <c r="MU9" s="548"/>
      <c r="MV9" s="548"/>
      <c r="MW9" s="548"/>
      <c r="MX9" s="548"/>
      <c r="MY9" s="548"/>
      <c r="MZ9" s="548"/>
      <c r="NA9" s="548"/>
      <c r="NB9" s="548"/>
      <c r="NC9" s="485" t="str">
        <f t="shared" si="146"/>
        <v/>
      </c>
      <c r="ND9" s="548"/>
      <c r="NE9" s="548"/>
      <c r="NF9" s="548"/>
      <c r="NG9" s="548"/>
      <c r="NH9" s="548"/>
      <c r="NI9" s="548"/>
      <c r="NJ9" s="548"/>
      <c r="NK9" s="548"/>
      <c r="NL9" s="548"/>
      <c r="NM9" s="548"/>
      <c r="NN9" s="548"/>
      <c r="NO9" s="548"/>
      <c r="NP9" s="485" t="str">
        <f t="shared" si="147"/>
        <v/>
      </c>
      <c r="NQ9" s="548"/>
      <c r="NR9" s="548"/>
      <c r="NS9" s="548"/>
      <c r="NT9" s="548"/>
      <c r="NU9" s="548"/>
      <c r="NV9" s="548"/>
      <c r="NW9" s="548"/>
      <c r="NX9" s="548"/>
      <c r="NY9" s="548"/>
      <c r="NZ9" s="548"/>
      <c r="OA9" s="548"/>
      <c r="OB9" s="548"/>
      <c r="OC9" s="485" t="str">
        <f t="shared" si="148"/>
        <v/>
      </c>
      <c r="OD9" s="548"/>
      <c r="OE9" s="548"/>
      <c r="OF9" s="548"/>
      <c r="OG9" s="548"/>
      <c r="OH9" s="548"/>
      <c r="OI9" s="548"/>
      <c r="OJ9" s="548"/>
      <c r="OK9" s="548"/>
      <c r="OL9" s="548"/>
      <c r="OM9" s="548"/>
      <c r="ON9" s="548"/>
      <c r="OO9" s="548"/>
      <c r="OP9" s="548"/>
      <c r="OQ9" s="548"/>
      <c r="OR9" s="548"/>
      <c r="OS9" s="548"/>
      <c r="OT9" s="548"/>
      <c r="OU9" s="548"/>
      <c r="OV9" s="548"/>
      <c r="OW9" s="548"/>
      <c r="OX9" s="548"/>
      <c r="OY9" s="548"/>
      <c r="OZ9" s="548"/>
      <c r="PA9" s="548"/>
      <c r="PB9" s="548"/>
      <c r="PC9" s="548"/>
      <c r="PD9" s="548"/>
      <c r="PE9" s="548"/>
      <c r="PF9" s="548"/>
      <c r="PG9" s="548"/>
      <c r="PH9" s="548"/>
      <c r="PI9" s="548"/>
      <c r="PJ9" s="548"/>
      <c r="PK9" s="548"/>
      <c r="PL9" s="548"/>
      <c r="PM9" s="548"/>
      <c r="PN9" s="548"/>
      <c r="PO9" s="548"/>
      <c r="PP9" s="548"/>
      <c r="PQ9" s="548"/>
      <c r="PR9" s="548"/>
      <c r="PS9" s="548"/>
      <c r="PT9" s="1001">
        <f>SUM($LL$4:$LL$88)</f>
        <v>0</v>
      </c>
      <c r="PU9" s="1001">
        <f>SUM($LM$4:$LM$88)</f>
        <v>0</v>
      </c>
      <c r="PV9" s="528"/>
      <c r="PW9" s="1001">
        <f>SUM($LY$4:$LY$88)</f>
        <v>0</v>
      </c>
      <c r="PX9" s="1001">
        <f>SUM($LZ$4:$LZ$88)</f>
        <v>0</v>
      </c>
      <c r="PY9" s="548"/>
      <c r="PZ9" s="1001">
        <f>SUM($ML$4:$ML$88)</f>
        <v>0</v>
      </c>
      <c r="QA9" s="1001">
        <f>SUM($MM$4:$MM$88)</f>
        <v>0</v>
      </c>
      <c r="QB9" s="528"/>
      <c r="QC9" s="1001">
        <f>SUM($MY$4:$MY$88)</f>
        <v>0</v>
      </c>
      <c r="QD9" s="1001">
        <f>SUM($MZ$4:$MZ$88)</f>
        <v>0</v>
      </c>
      <c r="QE9" s="548"/>
      <c r="QF9" s="1001">
        <f>SUM($NL$4:$NL$88)</f>
        <v>0</v>
      </c>
      <c r="QG9" s="1001">
        <f>SUM($NM$4:$NM$88)</f>
        <v>0</v>
      </c>
      <c r="QH9" s="548"/>
      <c r="QI9" s="1001">
        <f>SUM($NY$4:$NY$88)</f>
        <v>0</v>
      </c>
      <c r="QJ9" s="1001">
        <f>SUM($NZ$4:$NZ$88)</f>
        <v>0</v>
      </c>
      <c r="QK9" s="548"/>
      <c r="QL9" s="1001">
        <f>SUM($OL$4:$OL$88)</f>
        <v>0</v>
      </c>
      <c r="QM9" s="1001">
        <f>SUM($OM$4:$OM$88)</f>
        <v>0</v>
      </c>
      <c r="QN9" s="548"/>
      <c r="QO9" s="548"/>
      <c r="QP9" s="548"/>
      <c r="QQ9" s="1009"/>
      <c r="QR9" s="548"/>
      <c r="QS9" s="548"/>
      <c r="QT9" s="548"/>
      <c r="QU9" s="548"/>
      <c r="QV9" s="548"/>
      <c r="QW9" s="548"/>
      <c r="QX9" s="548"/>
      <c r="QY9" s="548"/>
      <c r="QZ9" s="548"/>
      <c r="RA9" s="548"/>
      <c r="RB9" s="548"/>
      <c r="RC9" s="548"/>
      <c r="RD9" s="548"/>
      <c r="RE9" s="548"/>
      <c r="RF9" s="548"/>
      <c r="RG9" s="548"/>
      <c r="RH9" s="548"/>
      <c r="RI9" s="548"/>
      <c r="RJ9" s="548"/>
      <c r="RK9" s="548"/>
      <c r="RL9" s="548"/>
      <c r="RM9" s="548"/>
      <c r="RN9" s="548"/>
      <c r="RO9" s="548"/>
      <c r="RP9" s="548"/>
      <c r="RQ9" s="548"/>
      <c r="RR9" s="548"/>
      <c r="RS9" s="548"/>
      <c r="RT9" s="548"/>
      <c r="RU9" s="548"/>
      <c r="RV9" s="548"/>
      <c r="RW9" s="548"/>
      <c r="RX9" s="548"/>
      <c r="RY9" s="548"/>
      <c r="RZ9" s="548"/>
      <c r="SA9" s="548"/>
      <c r="SB9" s="548"/>
      <c r="SC9" s="548"/>
      <c r="SD9" s="548"/>
      <c r="SE9" s="548"/>
      <c r="SF9" s="548"/>
      <c r="SG9" s="548"/>
      <c r="SH9" s="548"/>
      <c r="SI9" s="548"/>
      <c r="SJ9" s="548"/>
      <c r="SK9" s="548"/>
      <c r="SL9" s="548"/>
      <c r="SM9" s="548"/>
      <c r="SN9" s="548"/>
      <c r="SO9" s="548"/>
      <c r="SP9" s="548"/>
      <c r="SQ9" s="548"/>
      <c r="SR9" s="548"/>
      <c r="SS9" s="548"/>
      <c r="ST9" s="548"/>
      <c r="SU9" s="548"/>
      <c r="SV9" s="548"/>
      <c r="SW9" s="548"/>
      <c r="SX9" s="548"/>
      <c r="SY9" s="548"/>
      <c r="SZ9" s="548"/>
      <c r="TA9" s="548"/>
      <c r="TB9" s="548"/>
      <c r="TC9" s="548"/>
      <c r="TD9" s="548"/>
      <c r="TE9" s="548"/>
      <c r="TF9" s="548"/>
      <c r="TG9" s="548"/>
      <c r="TH9" s="548"/>
      <c r="TI9" s="548"/>
      <c r="TJ9" s="548"/>
      <c r="TK9" s="548"/>
      <c r="TL9" s="548"/>
      <c r="TM9" s="548"/>
      <c r="TN9" s="548"/>
      <c r="TO9" s="548"/>
      <c r="TP9" s="548"/>
      <c r="TQ9" s="548"/>
      <c r="TR9" s="548"/>
      <c r="TS9" s="548"/>
      <c r="TT9" s="548"/>
      <c r="TU9" s="548"/>
      <c r="TV9" s="548"/>
      <c r="TW9" s="548"/>
      <c r="TX9" s="548"/>
      <c r="TY9" s="548"/>
      <c r="TZ9" s="548"/>
      <c r="UA9" s="548"/>
      <c r="UB9" s="548"/>
      <c r="UC9" s="548"/>
      <c r="UD9" s="548"/>
      <c r="UE9" s="548"/>
      <c r="UF9" s="548"/>
      <c r="UG9" s="548"/>
      <c r="UH9" s="548"/>
      <c r="UI9" s="548"/>
      <c r="UJ9" s="548"/>
      <c r="UK9" s="548"/>
      <c r="UL9" s="548"/>
      <c r="UM9" s="548"/>
      <c r="UN9" s="548"/>
      <c r="UO9" s="548"/>
      <c r="UP9" s="548"/>
      <c r="UQ9" s="548"/>
      <c r="UR9" s="548"/>
      <c r="US9" s="548"/>
      <c r="UT9" s="548"/>
      <c r="UU9" s="548"/>
      <c r="UV9" s="548"/>
      <c r="UW9" s="548"/>
      <c r="UX9" s="548"/>
      <c r="UY9" s="548"/>
      <c r="UZ9" s="548"/>
      <c r="VA9" s="548"/>
      <c r="VB9" s="548"/>
      <c r="VC9" s="548"/>
      <c r="VD9" s="548"/>
      <c r="VE9" s="548"/>
      <c r="VF9" s="548"/>
      <c r="VG9" s="548"/>
      <c r="VH9" s="548"/>
      <c r="VI9" s="548"/>
      <c r="VJ9" s="548"/>
      <c r="VK9" s="548"/>
      <c r="VL9" s="548"/>
      <c r="VM9" s="548"/>
      <c r="VN9" s="548"/>
      <c r="VO9" s="548"/>
      <c r="VP9" s="548"/>
      <c r="VQ9" s="548"/>
      <c r="VR9" s="548"/>
      <c r="VS9" s="548"/>
      <c r="VT9" s="548"/>
      <c r="VU9" s="548"/>
      <c r="VV9" s="548"/>
      <c r="VW9" s="548"/>
      <c r="VX9" s="548"/>
      <c r="VY9" s="548"/>
      <c r="VZ9" s="548"/>
      <c r="WA9" s="548"/>
      <c r="WB9" s="548"/>
      <c r="WC9" s="548"/>
      <c r="WD9" s="548"/>
      <c r="WE9" s="548"/>
      <c r="WF9" s="548"/>
      <c r="WG9" s="548"/>
      <c r="WH9" s="548"/>
      <c r="WI9" s="548"/>
      <c r="WJ9" s="548"/>
      <c r="WK9" s="548"/>
      <c r="WL9" s="548"/>
      <c r="WM9" s="548"/>
      <c r="WN9" s="548"/>
      <c r="WO9" s="548"/>
      <c r="WP9" s="548"/>
      <c r="WQ9" s="548"/>
      <c r="WR9" s="548"/>
      <c r="WS9" s="548"/>
      <c r="WT9" s="548"/>
      <c r="WU9" s="548"/>
      <c r="WV9" s="548"/>
      <c r="WW9" s="548"/>
      <c r="WX9" s="548"/>
      <c r="WY9" s="548"/>
      <c r="WZ9" s="548"/>
      <c r="XA9" s="548"/>
      <c r="XB9" s="548"/>
      <c r="XC9" s="548"/>
      <c r="XD9" s="548"/>
      <c r="XE9" s="548"/>
      <c r="XF9" s="548"/>
      <c r="XG9" s="548"/>
      <c r="XH9" s="548"/>
      <c r="XI9" s="548"/>
      <c r="XJ9" s="548"/>
      <c r="XK9" s="548"/>
      <c r="XL9" s="548"/>
      <c r="XM9" s="548"/>
      <c r="XN9" s="548"/>
      <c r="XO9" s="548"/>
      <c r="XP9" s="548"/>
      <c r="XQ9" s="548"/>
      <c r="XR9" s="548"/>
      <c r="XS9" s="548"/>
      <c r="XT9" s="548"/>
      <c r="XU9" s="548"/>
      <c r="XV9" s="548"/>
      <c r="XW9" s="548"/>
      <c r="XX9" s="548"/>
      <c r="XY9" s="548"/>
      <c r="XZ9" s="548"/>
      <c r="YA9" s="548"/>
      <c r="YB9" s="548"/>
      <c r="YC9" s="548"/>
      <c r="YD9" s="548"/>
      <c r="YE9" s="548"/>
      <c r="YF9" s="548"/>
      <c r="YG9" s="548"/>
      <c r="YH9" s="548"/>
      <c r="YI9" s="548"/>
      <c r="YJ9" s="548"/>
      <c r="YK9" s="548"/>
      <c r="YL9" s="548"/>
      <c r="YM9" s="548"/>
      <c r="YN9" s="548"/>
      <c r="YO9" s="548"/>
      <c r="YP9" s="548"/>
      <c r="YQ9" s="548"/>
      <c r="YR9" s="548"/>
      <c r="YS9" s="548"/>
      <c r="YT9" s="548"/>
      <c r="YU9" s="548"/>
      <c r="YV9" s="548"/>
      <c r="YW9" s="548"/>
      <c r="YX9" s="548"/>
      <c r="YY9" s="548"/>
      <c r="YZ9" s="548"/>
      <c r="ZA9" s="548"/>
      <c r="ZB9" s="548"/>
      <c r="ZC9" s="548"/>
      <c r="ZD9" s="548"/>
      <c r="ZE9" s="548"/>
      <c r="ZF9" s="548"/>
      <c r="ZG9" s="548"/>
      <c r="ZH9" s="548"/>
      <c r="ZI9" s="548"/>
      <c r="ZJ9" s="548"/>
      <c r="ZK9" s="548"/>
      <c r="ZL9" s="548"/>
      <c r="ZM9" s="548"/>
      <c r="ZN9" s="548"/>
      <c r="ZO9" s="548"/>
      <c r="ZP9" s="548"/>
      <c r="ZQ9" s="548"/>
      <c r="ZR9" s="548"/>
      <c r="ZS9" s="548"/>
      <c r="ZT9" s="548"/>
      <c r="ZU9" s="548"/>
      <c r="ZV9" s="548"/>
      <c r="ZW9" s="548"/>
      <c r="ZX9" s="548"/>
      <c r="ZY9" s="548"/>
      <c r="ZZ9" s="548"/>
      <c r="AAA9" s="548"/>
      <c r="AAB9" s="548"/>
      <c r="AAC9" s="548"/>
      <c r="AAD9" s="548"/>
      <c r="AAE9" s="548"/>
      <c r="AAF9" s="548"/>
      <c r="AAG9" s="548"/>
      <c r="AAH9" s="548"/>
      <c r="AAI9" s="548"/>
      <c r="AAJ9" s="548"/>
      <c r="AAK9" s="548"/>
      <c r="AAL9" s="548"/>
      <c r="AAM9" s="548"/>
      <c r="AAN9" s="548"/>
      <c r="AAO9" s="548"/>
      <c r="AAP9" s="548"/>
      <c r="AAQ9" s="548"/>
      <c r="AAR9" s="548"/>
      <c r="AAS9" s="548"/>
      <c r="AAT9" s="548"/>
      <c r="AAU9" s="548"/>
      <c r="AAV9" s="548"/>
      <c r="AAW9" s="548"/>
      <c r="AAX9" s="548"/>
      <c r="AAY9" s="548"/>
      <c r="AAZ9" s="548"/>
      <c r="ABA9" s="548"/>
      <c r="ABB9" s="548"/>
      <c r="ABC9" s="548"/>
      <c r="ABD9" s="548"/>
      <c r="ABE9" s="548"/>
      <c r="ABF9" s="548"/>
      <c r="ABG9" s="548"/>
      <c r="ABH9" s="548"/>
      <c r="ABI9" s="548"/>
      <c r="ABJ9" s="548"/>
      <c r="ABK9" s="548"/>
      <c r="ABL9" s="548"/>
      <c r="ABM9" s="548"/>
      <c r="ABN9" s="548"/>
      <c r="ABO9" s="548"/>
      <c r="ABP9" s="548"/>
      <c r="ABQ9" s="548"/>
      <c r="ABR9" s="548"/>
      <c r="ABS9" s="548"/>
    </row>
    <row r="10" spans="1:747" customFormat="1" ht="15" customHeight="1" x14ac:dyDescent="0.2">
      <c r="A10" s="424" t="str">
        <f t="shared" si="149"/>
        <v/>
      </c>
      <c r="B10" s="415"/>
      <c r="C10" s="525"/>
      <c r="D10" s="750"/>
      <c r="E10" s="416" t="str">
        <f t="shared" si="0"/>
        <v/>
      </c>
      <c r="F10" s="527" t="str">
        <f t="shared" si="1"/>
        <v/>
      </c>
      <c r="G10" s="417"/>
      <c r="H10" s="583" t="str">
        <f t="shared" si="2"/>
        <v/>
      </c>
      <c r="I10" s="424"/>
      <c r="J10" s="749"/>
      <c r="K10" s="418"/>
      <c r="L10" s="419"/>
      <c r="M10" s="415"/>
      <c r="N10" s="420"/>
      <c r="O10" s="653"/>
      <c r="P10" s="561"/>
      <c r="Q10" s="747"/>
      <c r="R10" s="767" t="str">
        <f t="shared" si="3"/>
        <v/>
      </c>
      <c r="S10" s="664"/>
      <c r="T10" s="663"/>
      <c r="U10" s="580">
        <f t="shared" si="4"/>
        <v>0</v>
      </c>
      <c r="V10" s="418"/>
      <c r="W10" s="582" t="str">
        <f t="shared" si="5"/>
        <v/>
      </c>
      <c r="X10" s="479" t="str">
        <f t="shared" si="6"/>
        <v/>
      </c>
      <c r="Y10" s="582" t="str">
        <f t="shared" si="7"/>
        <v/>
      </c>
      <c r="Z10" s="317" t="str">
        <f t="shared" si="8"/>
        <v/>
      </c>
      <c r="AA10" s="317" t="str">
        <f t="shared" si="9"/>
        <v/>
      </c>
      <c r="AB10" s="317">
        <f t="shared" si="10"/>
        <v>0</v>
      </c>
      <c r="AC10" s="317" t="str">
        <f t="shared" si="11"/>
        <v/>
      </c>
      <c r="AD10" s="317"/>
      <c r="AE10" s="479"/>
      <c r="AF10" s="479"/>
      <c r="AG10" s="423"/>
      <c r="AH10" s="820"/>
      <c r="AI10" s="480"/>
      <c r="AJ10" s="660"/>
      <c r="AK10" s="524" t="str">
        <f t="shared" si="12"/>
        <v/>
      </c>
      <c r="AL10" s="731">
        <f>SUMIF($J$4:$J$60,"Básico",$S$4:$S$60)</f>
        <v>0</v>
      </c>
      <c r="AM10" s="732">
        <f>SUMIF($J$4:$J$60,"Básico",$T$4:$T$60)</f>
        <v>0</v>
      </c>
      <c r="AN10" s="495">
        <f t="shared" si="13"/>
        <v>0</v>
      </c>
      <c r="AO10" s="795" t="str">
        <f t="shared" si="37"/>
        <v/>
      </c>
      <c r="AP10" s="495" t="str">
        <f t="shared" si="14"/>
        <v/>
      </c>
      <c r="AQ10" s="528"/>
      <c r="AR10" s="528"/>
      <c r="AS10" s="759"/>
      <c r="AT10" s="760"/>
      <c r="AU10" s="792"/>
      <c r="AV10" s="539"/>
      <c r="AW10" s="540"/>
      <c r="AX10" s="796">
        <f>SUM($AY$4:AY144)</f>
        <v>0</v>
      </c>
      <c r="AY10" s="789">
        <f t="shared" si="15"/>
        <v>0</v>
      </c>
      <c r="AZ10" s="495"/>
      <c r="BA10" s="495" t="str">
        <f t="shared" si="16"/>
        <v/>
      </c>
      <c r="BB10" s="495"/>
      <c r="BC10" s="495"/>
      <c r="BD10" s="495">
        <f t="array" ref="BD10">IF(SUM((BC10=$BC$3:BC9)*1)=0,BC10,0)</f>
        <v>0</v>
      </c>
      <c r="BE10" s="495"/>
      <c r="BF10" s="495"/>
      <c r="BG10" s="495">
        <f t="array" ref="BG10">IF(SUM((BF10=$BF$3:BF9)*1)=0,BF10,0)</f>
        <v>0</v>
      </c>
      <c r="BH10" s="495"/>
      <c r="BI10" s="495"/>
      <c r="BJ10" s="495"/>
      <c r="BK10" s="495"/>
      <c r="BL10" s="495"/>
      <c r="BM10" s="495"/>
      <c r="BN10" s="495"/>
      <c r="BO10" s="528"/>
      <c r="BP10" s="782">
        <f t="shared" si="17"/>
        <v>0</v>
      </c>
      <c r="BQ10" s="528"/>
      <c r="BR10" s="791"/>
      <c r="BS10" s="528"/>
      <c r="BT10" s="678"/>
      <c r="BU10" s="495"/>
      <c r="BV10" s="495" t="str">
        <f t="shared" si="18"/>
        <v/>
      </c>
      <c r="BW10" s="495" t="str">
        <f t="shared" si="38"/>
        <v/>
      </c>
      <c r="BX10" s="495"/>
      <c r="BY10" s="495"/>
      <c r="BZ10" s="495"/>
      <c r="CA10" s="495"/>
      <c r="CB10" s="495"/>
      <c r="CC10" s="495"/>
      <c r="CD10" s="495"/>
      <c r="CE10" s="495"/>
      <c r="CF10" s="495"/>
      <c r="CG10" s="495"/>
      <c r="CH10" s="495"/>
      <c r="CI10" s="495"/>
      <c r="CJ10" s="528" t="str">
        <f t="shared" si="39"/>
        <v/>
      </c>
      <c r="CK10" s="495"/>
      <c r="CL10" s="528"/>
      <c r="CM10" s="495"/>
      <c r="CN10" s="528"/>
      <c r="CO10" s="528"/>
      <c r="CP10" s="528"/>
      <c r="CQ10" s="528"/>
      <c r="CR10" s="528"/>
      <c r="CS10" s="528"/>
      <c r="CT10" s="528"/>
      <c r="CU10" s="528"/>
      <c r="CV10" s="528"/>
      <c r="CW10" s="797">
        <f>SUM($CS$4:$CS$102)</f>
        <v>0</v>
      </c>
      <c r="CX10" s="797">
        <f>SUM($CT$4:$CT$102)</f>
        <v>0</v>
      </c>
      <c r="CY10" s="528">
        <v>7</v>
      </c>
      <c r="CZ10" s="797">
        <f>SUM($CF$4:$CF$102)</f>
        <v>0</v>
      </c>
      <c r="DA10" s="797">
        <f>SUM($CG$4:$CG$102)</f>
        <v>0</v>
      </c>
      <c r="DB10" s="495"/>
      <c r="DC10" s="528" t="s">
        <v>750</v>
      </c>
      <c r="DD10" s="528" t="s">
        <v>910</v>
      </c>
      <c r="DE10" s="495" t="str">
        <f t="shared" si="40"/>
        <v/>
      </c>
      <c r="DF10" s="495" t="str">
        <f t="shared" si="41"/>
        <v/>
      </c>
      <c r="DG10" s="495" t="str">
        <f t="shared" si="42"/>
        <v/>
      </c>
      <c r="DH10" s="495" t="str">
        <f t="shared" si="43"/>
        <v/>
      </c>
      <c r="DI10" s="495" t="str">
        <f t="shared" si="44"/>
        <v/>
      </c>
      <c r="DJ10" s="495" t="str">
        <f t="shared" si="45"/>
        <v/>
      </c>
      <c r="DK10" s="495" t="str">
        <f t="shared" si="19"/>
        <v/>
      </c>
      <c r="DL10" s="495" t="str">
        <f t="shared" si="20"/>
        <v/>
      </c>
      <c r="DM10" s="495" t="str">
        <f t="shared" si="46"/>
        <v/>
      </c>
      <c r="DN10" s="495" t="str">
        <f t="shared" si="47"/>
        <v/>
      </c>
      <c r="DO10" s="495" t="str">
        <f t="shared" si="21"/>
        <v/>
      </c>
      <c r="DP10" s="495" t="str">
        <f t="shared" si="22"/>
        <v/>
      </c>
      <c r="DQ10" s="495" t="str">
        <f t="shared" si="48"/>
        <v/>
      </c>
      <c r="DR10" s="495" t="str">
        <f t="shared" si="49"/>
        <v/>
      </c>
      <c r="DS10" s="495" t="str">
        <f t="shared" si="23"/>
        <v/>
      </c>
      <c r="DT10" s="495" t="str">
        <f t="shared" si="24"/>
        <v/>
      </c>
      <c r="DU10" s="495" t="str">
        <f t="shared" si="50"/>
        <v/>
      </c>
      <c r="DV10" s="495" t="str">
        <f t="shared" si="51"/>
        <v/>
      </c>
      <c r="DW10" s="495" t="str">
        <f t="shared" si="25"/>
        <v/>
      </c>
      <c r="DX10" s="495" t="str">
        <f t="shared" si="26"/>
        <v/>
      </c>
      <c r="DY10" s="495" t="str">
        <f t="shared" si="52"/>
        <v/>
      </c>
      <c r="DZ10" s="495" t="str">
        <f t="shared" si="53"/>
        <v/>
      </c>
      <c r="EA10" s="495" t="str">
        <f t="shared" si="27"/>
        <v/>
      </c>
      <c r="EB10" s="495" t="str">
        <f t="shared" si="28"/>
        <v/>
      </c>
      <c r="EC10" s="495" t="str">
        <f t="shared" si="29"/>
        <v/>
      </c>
      <c r="ED10" s="495" t="str">
        <f t="shared" si="30"/>
        <v/>
      </c>
      <c r="EE10" s="495" t="str">
        <f t="shared" si="31"/>
        <v/>
      </c>
      <c r="EF10" s="495" t="str">
        <f t="shared" si="32"/>
        <v/>
      </c>
      <c r="EG10" s="495" t="str">
        <f t="shared" si="33"/>
        <v/>
      </c>
      <c r="EH10" s="495" t="str">
        <f t="shared" si="34"/>
        <v/>
      </c>
      <c r="EI10" s="495" t="str">
        <f t="shared" si="35"/>
        <v/>
      </c>
      <c r="EJ10" s="495" t="str">
        <f t="shared" si="36"/>
        <v/>
      </c>
      <c r="EK10" s="485"/>
      <c r="EL10" s="485"/>
      <c r="EM10" s="485"/>
      <c r="EN10" s="485"/>
      <c r="EO10" s="447"/>
      <c r="EP10" s="447"/>
      <c r="EQ10" s="447"/>
      <c r="ER10" s="447"/>
      <c r="ES10" s="447"/>
      <c r="ET10" s="495"/>
      <c r="EU10" s="495"/>
      <c r="EV10" s="495"/>
      <c r="EW10" s="495"/>
      <c r="EX10" s="528"/>
      <c r="EY10" s="528"/>
      <c r="EZ10" s="528"/>
      <c r="FA10" s="795"/>
      <c r="FB10" s="783">
        <f t="array" ref="FB10">IF(SUM((FA10=$FA$3:FA9)*1)=0,FA10,0)</f>
        <v>0</v>
      </c>
      <c r="FC10" s="795"/>
      <c r="FD10" s="795"/>
      <c r="FE10" s="795">
        <f t="array" ref="FE10">IF(SUM((FD10=$FD$3:FD9)*1)=0,FD10,0)</f>
        <v>0</v>
      </c>
      <c r="FF10" s="795"/>
      <c r="FG10" s="795"/>
      <c r="FH10" s="795"/>
      <c r="FI10" s="783">
        <f t="array" ref="FI10">IF(SUM((FH10=$FH$3:FH9)*1)=0,FH10,0)</f>
        <v>0</v>
      </c>
      <c r="FJ10" s="795"/>
      <c r="FK10" s="795"/>
      <c r="FL10" s="795">
        <f t="array" ref="FL10">IF(SUM((FK10=$FK$3:FK9)*1)=0,FK10,0)</f>
        <v>0</v>
      </c>
      <c r="FM10" s="795"/>
      <c r="FN10" s="795"/>
      <c r="FO10" s="795"/>
      <c r="FP10" s="783">
        <f t="array" ref="FP10">IF(SUM((FO10=$FO$3:FO9)*1)=0,FO10,0)</f>
        <v>0</v>
      </c>
      <c r="FQ10" s="795"/>
      <c r="FR10" s="795"/>
      <c r="FS10" s="795">
        <f t="array" ref="FS10">IF(SUM((FR10=$FR$3:FR9)*1)=0,FR10,0)</f>
        <v>0</v>
      </c>
      <c r="FT10" s="795"/>
      <c r="FU10" s="795"/>
      <c r="FV10" s="795"/>
      <c r="FW10" s="783">
        <f t="array" ref="FW10">IF(SUM((FV10=$FV$3:FV9)*1)=0,FV10,0)</f>
        <v>0</v>
      </c>
      <c r="FX10" s="795"/>
      <c r="FY10" s="795"/>
      <c r="FZ10" s="795">
        <f t="array" ref="FZ10">IF(SUM((FY10=$FY$3:FY9)*1)=0,FY10,0)</f>
        <v>0</v>
      </c>
      <c r="GA10" s="795"/>
      <c r="GB10" s="795"/>
      <c r="GC10" s="795"/>
      <c r="GD10" s="783">
        <f t="array" ref="GD10">IF(SUM((GC10=$GC$3:GC9)*1)=0,GC10,0)</f>
        <v>0</v>
      </c>
      <c r="GE10" s="795"/>
      <c r="GF10" s="795"/>
      <c r="GG10" s="795">
        <f t="array" ref="GG10">IF(SUM((GF10=$GF$3:GF9)*1)=0,GF10,0)</f>
        <v>0</v>
      </c>
      <c r="GH10" s="795"/>
      <c r="GI10" s="795"/>
      <c r="GJ10" s="795"/>
      <c r="GK10" s="798">
        <f t="array" ref="GK10">IF(SUM((GJ10=$GJ$3:GJ9)*1)=0,GJ10,0)</f>
        <v>0</v>
      </c>
      <c r="GL10" s="795"/>
      <c r="GM10" s="795"/>
      <c r="GN10" s="798">
        <f t="array" ref="GN10">IF(SUM((GM10=$GM$3:GM9)*1)=0,GM10,0)</f>
        <v>0</v>
      </c>
      <c r="GO10" s="795"/>
      <c r="GP10" s="795"/>
      <c r="GQ10" s="795"/>
      <c r="GR10" s="798">
        <f t="array" ref="GR10">IF(SUM((GQ10=$GQ$3:GQ9)*1)=0,GQ10,0)</f>
        <v>0</v>
      </c>
      <c r="GS10" s="795"/>
      <c r="GT10" s="795"/>
      <c r="GU10" s="798">
        <f t="array" ref="GU10">IF(SUM((GT10=$GT$3:GT9)*1)=0,GT10,0)</f>
        <v>0</v>
      </c>
      <c r="GV10" s="795"/>
      <c r="GW10" s="795"/>
      <c r="GX10" s="795"/>
      <c r="GY10" s="798">
        <f t="array" ref="GY10">IF(SUM((GX10=$GX$3:GX9)*1)=0,GX10,0)</f>
        <v>0</v>
      </c>
      <c r="GZ10" s="795"/>
      <c r="HA10" s="795"/>
      <c r="HB10" s="798">
        <f t="array" ref="HB10">IF(SUM((HA10=$HA$3:HA9)*1)=0,HA10,0)</f>
        <v>0</v>
      </c>
      <c r="HC10" s="795"/>
      <c r="HD10" s="795"/>
      <c r="HE10" s="769" t="str">
        <f t="shared" si="130"/>
        <v/>
      </c>
      <c r="HF10" s="768" t="str">
        <f t="shared" si="54"/>
        <v/>
      </c>
      <c r="HG10" s="769" t="str">
        <f t="shared" si="131"/>
        <v/>
      </c>
      <c r="HH10" s="768" t="str">
        <f t="shared" si="55"/>
        <v/>
      </c>
      <c r="HI10" s="728" t="str">
        <f t="shared" si="132"/>
        <v/>
      </c>
      <c r="HJ10" s="768" t="str">
        <f t="shared" si="56"/>
        <v/>
      </c>
      <c r="HK10" s="728" t="str">
        <f t="shared" si="133"/>
        <v/>
      </c>
      <c r="HL10" s="768" t="str">
        <f t="shared" si="57"/>
        <v/>
      </c>
      <c r="HM10" s="769" t="str">
        <f t="shared" si="58"/>
        <v/>
      </c>
      <c r="HN10" s="768" t="str">
        <f t="shared" ref="HN10" si="174">IF(HM10&lt;0,"Invadiu REP-BA-C","")</f>
        <v/>
      </c>
      <c r="HO10" s="769" t="str">
        <f t="shared" si="60"/>
        <v/>
      </c>
      <c r="HP10" s="768" t="str">
        <f t="shared" si="61"/>
        <v/>
      </c>
      <c r="HQ10" s="728" t="str">
        <f t="shared" si="62"/>
        <v/>
      </c>
      <c r="HR10" s="768" t="str">
        <f t="shared" si="63"/>
        <v/>
      </c>
      <c r="HS10" s="728" t="str">
        <f t="shared" si="64"/>
        <v/>
      </c>
      <c r="HT10" s="768" t="str">
        <f t="shared" si="65"/>
        <v/>
      </c>
      <c r="HU10" s="769" t="str">
        <f t="shared" si="66"/>
        <v/>
      </c>
      <c r="HV10" s="768" t="str">
        <f t="shared" ref="HV10" si="175">IF(HU10&lt;0,"Invadiu REP-BA-C","")</f>
        <v/>
      </c>
      <c r="HW10" s="769" t="str">
        <f t="shared" si="68"/>
        <v/>
      </c>
      <c r="HX10" s="768" t="str">
        <f t="shared" si="69"/>
        <v/>
      </c>
      <c r="HY10" s="728" t="str">
        <f t="shared" si="70"/>
        <v/>
      </c>
      <c r="HZ10" s="768" t="str">
        <f t="shared" si="71"/>
        <v/>
      </c>
      <c r="IA10" s="728" t="str">
        <f t="shared" si="72"/>
        <v/>
      </c>
      <c r="IB10" s="768" t="str">
        <f t="shared" si="73"/>
        <v/>
      </c>
      <c r="IC10" s="769" t="str">
        <f t="shared" si="74"/>
        <v/>
      </c>
      <c r="ID10" s="768" t="str">
        <f t="shared" ref="ID10" si="176">IF(IC10&lt;0,"Invadiu REP-BA-C","")</f>
        <v/>
      </c>
      <c r="IE10" s="769" t="str">
        <f t="shared" si="76"/>
        <v/>
      </c>
      <c r="IF10" s="768" t="str">
        <f t="shared" si="77"/>
        <v/>
      </c>
      <c r="IG10" s="728" t="str">
        <f t="shared" si="78"/>
        <v/>
      </c>
      <c r="IH10" s="768" t="str">
        <f t="shared" si="79"/>
        <v/>
      </c>
      <c r="II10" s="728" t="str">
        <f t="shared" si="80"/>
        <v/>
      </c>
      <c r="IJ10" s="768" t="str">
        <f t="shared" si="81"/>
        <v/>
      </c>
      <c r="IK10" s="769" t="str">
        <f t="shared" si="82"/>
        <v/>
      </c>
      <c r="IL10" s="768" t="str">
        <f t="shared" ref="IL10" si="177">IF(IK10&lt;0,"Invadiu REP-BA-C","")</f>
        <v/>
      </c>
      <c r="IM10" s="769" t="str">
        <f t="shared" si="84"/>
        <v/>
      </c>
      <c r="IN10" s="768" t="str">
        <f t="shared" si="85"/>
        <v/>
      </c>
      <c r="IO10" s="728" t="str">
        <f t="shared" si="86"/>
        <v/>
      </c>
      <c r="IP10" s="768" t="str">
        <f t="shared" si="87"/>
        <v/>
      </c>
      <c r="IQ10" s="728" t="str">
        <f t="shared" si="88"/>
        <v/>
      </c>
      <c r="IR10" s="768" t="str">
        <f t="shared" si="89"/>
        <v/>
      </c>
      <c r="IS10" s="769" t="str">
        <f t="shared" si="90"/>
        <v/>
      </c>
      <c r="IT10" s="768" t="str">
        <f t="shared" ref="IT10" si="178">IF(IS10&lt;0,"Invadiu REP-BA-C","")</f>
        <v/>
      </c>
      <c r="IU10" s="769" t="str">
        <f t="shared" si="92"/>
        <v/>
      </c>
      <c r="IV10" s="768" t="str">
        <f t="shared" si="93"/>
        <v/>
      </c>
      <c r="IW10" s="728" t="str">
        <f t="shared" si="94"/>
        <v/>
      </c>
      <c r="IX10" s="768" t="str">
        <f t="shared" si="95"/>
        <v/>
      </c>
      <c r="IY10" s="728" t="str">
        <f t="shared" si="96"/>
        <v/>
      </c>
      <c r="IZ10" s="768" t="str">
        <f t="shared" si="97"/>
        <v/>
      </c>
      <c r="JA10" s="769" t="str">
        <f t="shared" si="98"/>
        <v/>
      </c>
      <c r="JB10" s="768" t="str">
        <f t="shared" ref="JB10" si="179">IF(JA10&lt;0,"Invadiu REP-BA-C","")</f>
        <v/>
      </c>
      <c r="JC10" s="769" t="str">
        <f t="shared" si="100"/>
        <v/>
      </c>
      <c r="JD10" s="768" t="str">
        <f t="shared" si="101"/>
        <v/>
      </c>
      <c r="JE10" s="728" t="str">
        <f t="shared" si="102"/>
        <v/>
      </c>
      <c r="JF10" s="768" t="str">
        <f t="shared" si="103"/>
        <v/>
      </c>
      <c r="JG10" s="728" t="str">
        <f t="shared" si="104"/>
        <v/>
      </c>
      <c r="JH10" s="768" t="str">
        <f t="shared" si="105"/>
        <v/>
      </c>
      <c r="JI10" s="769" t="str">
        <f t="shared" si="106"/>
        <v/>
      </c>
      <c r="JJ10" s="768" t="str">
        <f t="shared" ref="JJ10" si="180">IF(JI10&lt;0,"Invadiu REP-BA-C","")</f>
        <v/>
      </c>
      <c r="JK10" s="769" t="str">
        <f t="shared" si="108"/>
        <v/>
      </c>
      <c r="JL10" s="768" t="str">
        <f t="shared" si="109"/>
        <v/>
      </c>
      <c r="JM10" s="728" t="str">
        <f t="shared" si="110"/>
        <v/>
      </c>
      <c r="JN10" s="768" t="str">
        <f t="shared" si="111"/>
        <v/>
      </c>
      <c r="JO10" s="728" t="str">
        <f t="shared" si="112"/>
        <v/>
      </c>
      <c r="JP10" s="768" t="str">
        <f t="shared" si="113"/>
        <v/>
      </c>
      <c r="JQ10" s="769" t="str">
        <f t="shared" si="114"/>
        <v/>
      </c>
      <c r="JR10" s="768" t="str">
        <f t="shared" ref="JR10" si="181">IF(JQ10&lt;0,"Invadiu REP-BA-C","")</f>
        <v/>
      </c>
      <c r="JS10" s="769" t="str">
        <f t="shared" si="116"/>
        <v/>
      </c>
      <c r="JT10" s="768" t="str">
        <f t="shared" si="117"/>
        <v/>
      </c>
      <c r="JU10" s="728" t="str">
        <f t="shared" si="118"/>
        <v/>
      </c>
      <c r="JV10" s="768" t="str">
        <f t="shared" si="119"/>
        <v/>
      </c>
      <c r="JW10" s="728" t="str">
        <f t="shared" si="120"/>
        <v/>
      </c>
      <c r="JX10" s="768" t="str">
        <f t="shared" si="121"/>
        <v/>
      </c>
      <c r="JY10" s="768" t="str">
        <f t="shared" si="122"/>
        <v/>
      </c>
      <c r="JZ10" s="485" t="str">
        <f>IF(JY10="","",IF(AND(C10=$C$164,JY10&lt;&gt;""),Verificarcpf(D10),IF(AND(C10=$C$165,JY10&lt;&gt;""),VerificarCNPJ(D10))))</f>
        <v/>
      </c>
      <c r="KA10" s="768" t="str">
        <f t="shared" si="123"/>
        <v/>
      </c>
      <c r="KB10" s="485">
        <f t="shared" si="124"/>
        <v>0</v>
      </c>
      <c r="KC10" s="768">
        <f t="shared" si="125"/>
        <v>0</v>
      </c>
      <c r="KD10" s="485">
        <f t="shared" si="126"/>
        <v>0</v>
      </c>
      <c r="KE10" s="447"/>
      <c r="KF10" s="548">
        <f t="shared" si="127"/>
        <v>0</v>
      </c>
      <c r="KG10" s="548" t="s">
        <v>176</v>
      </c>
      <c r="KH10" s="548"/>
      <c r="KI10" s="548"/>
      <c r="KJ10" s="548" t="str">
        <f t="shared" si="128"/>
        <v/>
      </c>
      <c r="KK10" s="548"/>
      <c r="KL10" s="548"/>
      <c r="KM10" s="548">
        <f t="array" ref="KM10">IF(SUM((KL10=$KL$3:KL9)*1)=0,KL10,0)</f>
        <v>0</v>
      </c>
      <c r="KN10" s="548"/>
      <c r="KO10" s="548"/>
      <c r="KP10" s="548"/>
      <c r="KQ10" s="548"/>
      <c r="KR10" s="548" t="str">
        <f t="shared" si="129"/>
        <v/>
      </c>
      <c r="KS10" s="548"/>
      <c r="KT10" s="548"/>
      <c r="KU10" s="548"/>
      <c r="KV10" s="548"/>
      <c r="KW10" s="548"/>
      <c r="KX10" s="548"/>
      <c r="KY10" s="548"/>
      <c r="KZ10" s="548"/>
      <c r="LA10" s="548"/>
      <c r="LB10" s="548"/>
      <c r="LC10" s="485" t="str">
        <f t="shared" si="142"/>
        <v/>
      </c>
      <c r="LD10" s="548"/>
      <c r="LE10" s="548"/>
      <c r="LF10" s="548"/>
      <c r="LG10" s="548"/>
      <c r="LH10" s="548"/>
      <c r="LI10" s="548"/>
      <c r="LJ10" s="548"/>
      <c r="LK10" s="548"/>
      <c r="LL10" s="548"/>
      <c r="LM10" s="548"/>
      <c r="LN10" s="548"/>
      <c r="LO10" s="548"/>
      <c r="LP10" s="485" t="str">
        <f t="shared" si="143"/>
        <v/>
      </c>
      <c r="LQ10" s="548"/>
      <c r="LR10" s="548"/>
      <c r="LS10" s="548"/>
      <c r="LT10" s="548"/>
      <c r="LU10" s="548"/>
      <c r="LV10" s="548"/>
      <c r="LW10" s="548"/>
      <c r="LX10" s="548"/>
      <c r="LY10" s="548"/>
      <c r="LZ10" s="548"/>
      <c r="MA10" s="548"/>
      <c r="MB10" s="548"/>
      <c r="MC10" s="485" t="str">
        <f t="shared" si="144"/>
        <v/>
      </c>
      <c r="MD10" s="548"/>
      <c r="ME10" s="548"/>
      <c r="MF10" s="548"/>
      <c r="MG10" s="548"/>
      <c r="MH10" s="548"/>
      <c r="MI10" s="548"/>
      <c r="MJ10" s="548"/>
      <c r="MK10" s="548"/>
      <c r="ML10" s="548"/>
      <c r="MM10" s="548"/>
      <c r="MN10" s="548"/>
      <c r="MO10" s="548"/>
      <c r="MP10" s="485" t="str">
        <f t="shared" si="145"/>
        <v/>
      </c>
      <c r="MQ10" s="548"/>
      <c r="MR10" s="548"/>
      <c r="MS10" s="548"/>
      <c r="MT10" s="548"/>
      <c r="MU10" s="548"/>
      <c r="MV10" s="548"/>
      <c r="MW10" s="548"/>
      <c r="MX10" s="548"/>
      <c r="MY10" s="548"/>
      <c r="MZ10" s="548"/>
      <c r="NA10" s="548"/>
      <c r="NB10" s="548"/>
      <c r="NC10" s="485" t="str">
        <f t="shared" si="146"/>
        <v/>
      </c>
      <c r="ND10" s="548"/>
      <c r="NE10" s="548"/>
      <c r="NF10" s="548"/>
      <c r="NG10" s="548"/>
      <c r="NH10" s="548"/>
      <c r="NI10" s="548"/>
      <c r="NJ10" s="548"/>
      <c r="NK10" s="548"/>
      <c r="NL10" s="548"/>
      <c r="NM10" s="548"/>
      <c r="NN10" s="548"/>
      <c r="NO10" s="548"/>
      <c r="NP10" s="485" t="str">
        <f t="shared" si="147"/>
        <v/>
      </c>
      <c r="NQ10" s="548"/>
      <c r="NR10" s="548"/>
      <c r="NS10" s="548"/>
      <c r="NT10" s="548"/>
      <c r="NU10" s="548"/>
      <c r="NV10" s="548"/>
      <c r="NW10" s="548"/>
      <c r="NX10" s="548"/>
      <c r="NY10" s="548"/>
      <c r="NZ10" s="548"/>
      <c r="OA10" s="548"/>
      <c r="OB10" s="548"/>
      <c r="OC10" s="485" t="str">
        <f t="shared" si="148"/>
        <v/>
      </c>
      <c r="OD10" s="548"/>
      <c r="OE10" s="548"/>
      <c r="OF10" s="548"/>
      <c r="OG10" s="548"/>
      <c r="OH10" s="548"/>
      <c r="OI10" s="548"/>
      <c r="OJ10" s="548"/>
      <c r="OK10" s="548"/>
      <c r="OL10" s="548"/>
      <c r="OM10" s="548"/>
      <c r="ON10" s="548"/>
      <c r="OO10" s="548"/>
      <c r="OP10" s="548"/>
      <c r="OQ10" s="548"/>
      <c r="OR10" s="548"/>
      <c r="OS10" s="548"/>
      <c r="OT10" s="548"/>
      <c r="OU10" s="548"/>
      <c r="OV10" s="548"/>
      <c r="OW10" s="548"/>
      <c r="OX10" s="548"/>
      <c r="OY10" s="548"/>
      <c r="OZ10" s="548"/>
      <c r="PA10" s="548"/>
      <c r="PB10" s="548"/>
      <c r="PC10" s="548"/>
      <c r="PD10" s="548"/>
      <c r="PE10" s="548"/>
      <c r="PF10" s="548"/>
      <c r="PG10" s="548"/>
      <c r="PH10" s="548"/>
      <c r="PI10" s="548"/>
      <c r="PJ10" s="548"/>
      <c r="PK10" s="548"/>
      <c r="PL10" s="548"/>
      <c r="PM10" s="548"/>
      <c r="PN10" s="548"/>
      <c r="PO10" s="548"/>
      <c r="PP10" s="548"/>
      <c r="PQ10" s="548"/>
      <c r="PR10" s="548"/>
      <c r="PS10" s="548"/>
      <c r="PT10" s="1001">
        <f>SUM($LL$4:$LL$102)</f>
        <v>0</v>
      </c>
      <c r="PU10" s="1001">
        <f>SUM($LM$4:$LM$102)</f>
        <v>0</v>
      </c>
      <c r="PV10" s="528"/>
      <c r="PW10" s="1001">
        <f>SUM($LY$4:$LY$102)</f>
        <v>0</v>
      </c>
      <c r="PX10" s="1001">
        <f>SUM($LZ$4:$LZ$102)</f>
        <v>0</v>
      </c>
      <c r="PY10" s="548"/>
      <c r="PZ10" s="1001">
        <f>SUM($ML$4:$ML$102)</f>
        <v>0</v>
      </c>
      <c r="QA10" s="1001">
        <f>SUM($MM$4:$MM$102)</f>
        <v>0</v>
      </c>
      <c r="QB10" s="528"/>
      <c r="QC10" s="1001">
        <f>SUM($MY$4:$MY$102)</f>
        <v>0</v>
      </c>
      <c r="QD10" s="1001">
        <f>SUM($MZ$4:$MZ$102)</f>
        <v>0</v>
      </c>
      <c r="QE10" s="548"/>
      <c r="QF10" s="1001">
        <f>SUM($NL$4:$NL$102)</f>
        <v>0</v>
      </c>
      <c r="QG10" s="1001">
        <f>SUM($NM$4:$NM$102)</f>
        <v>0</v>
      </c>
      <c r="QH10" s="548"/>
      <c r="QI10" s="1001">
        <f>SUM($NY$4:$NY$102)</f>
        <v>0</v>
      </c>
      <c r="QJ10" s="1001">
        <f>SUM($NZ$4:$NZ$102)</f>
        <v>0</v>
      </c>
      <c r="QK10" s="548"/>
      <c r="QL10" s="1001">
        <f>SUM($OL$4:$OL$102)</f>
        <v>0</v>
      </c>
      <c r="QM10" s="1001">
        <f>SUM($OM$4:$OM$102)</f>
        <v>0</v>
      </c>
      <c r="QN10" s="548"/>
      <c r="QO10" s="548"/>
      <c r="QP10" s="548"/>
      <c r="QQ10" s="1009"/>
      <c r="QR10" s="548"/>
      <c r="QS10" s="548"/>
      <c r="QT10" s="548"/>
      <c r="QU10" s="548"/>
      <c r="QV10" s="548"/>
      <c r="QW10" s="548"/>
      <c r="QX10" s="548"/>
      <c r="QY10" s="548"/>
      <c r="QZ10" s="548"/>
      <c r="RA10" s="548"/>
      <c r="RB10" s="548"/>
      <c r="RC10" s="548"/>
      <c r="RD10" s="548"/>
      <c r="RE10" s="548"/>
      <c r="RF10" s="548"/>
      <c r="RG10" s="548"/>
      <c r="RH10" s="548"/>
      <c r="RI10" s="548"/>
      <c r="RJ10" s="548"/>
      <c r="RK10" s="548"/>
      <c r="RL10" s="548"/>
      <c r="RM10" s="548"/>
      <c r="RN10" s="548"/>
      <c r="RO10" s="548"/>
      <c r="RP10" s="548"/>
      <c r="RQ10" s="548"/>
      <c r="RR10" s="548"/>
      <c r="RS10" s="548"/>
      <c r="RT10" s="548"/>
      <c r="RU10" s="548"/>
      <c r="RV10" s="548"/>
      <c r="RW10" s="548"/>
      <c r="RX10" s="548"/>
      <c r="RY10" s="548"/>
      <c r="RZ10" s="548"/>
      <c r="SA10" s="548"/>
      <c r="SB10" s="548"/>
      <c r="SC10" s="548"/>
      <c r="SD10" s="548"/>
      <c r="SE10" s="548"/>
      <c r="SF10" s="548"/>
      <c r="SG10" s="548"/>
      <c r="SH10" s="548"/>
      <c r="SI10" s="548"/>
      <c r="SJ10" s="548"/>
      <c r="SK10" s="548"/>
      <c r="SL10" s="548"/>
      <c r="SM10" s="548"/>
      <c r="SN10" s="548"/>
      <c r="SO10" s="548"/>
      <c r="SP10" s="548"/>
      <c r="SQ10" s="548"/>
      <c r="SR10" s="548"/>
      <c r="SS10" s="548"/>
      <c r="ST10" s="548"/>
      <c r="SU10" s="548"/>
      <c r="SV10" s="548"/>
      <c r="SW10" s="548"/>
      <c r="SX10" s="548"/>
      <c r="SY10" s="548"/>
      <c r="SZ10" s="548"/>
      <c r="TA10" s="548"/>
      <c r="TB10" s="548"/>
      <c r="TC10" s="548"/>
      <c r="TD10" s="548"/>
      <c r="TE10" s="548"/>
      <c r="TF10" s="548"/>
      <c r="TG10" s="548"/>
      <c r="TH10" s="548"/>
      <c r="TI10" s="548"/>
      <c r="TJ10" s="548"/>
      <c r="TK10" s="548"/>
      <c r="TL10" s="548"/>
      <c r="TM10" s="548"/>
      <c r="TN10" s="548"/>
      <c r="TO10" s="548"/>
      <c r="TP10" s="548"/>
      <c r="TQ10" s="548"/>
      <c r="TR10" s="548"/>
      <c r="TS10" s="548"/>
      <c r="TT10" s="548"/>
      <c r="TU10" s="548"/>
      <c r="TV10" s="548"/>
      <c r="TW10" s="548"/>
      <c r="TX10" s="548"/>
      <c r="TY10" s="548"/>
      <c r="TZ10" s="548"/>
      <c r="UA10" s="548"/>
      <c r="UB10" s="548"/>
      <c r="UC10" s="548"/>
      <c r="UD10" s="548"/>
      <c r="UE10" s="548"/>
      <c r="UF10" s="548"/>
      <c r="UG10" s="548"/>
      <c r="UH10" s="548"/>
      <c r="UI10" s="548"/>
      <c r="UJ10" s="548"/>
      <c r="UK10" s="548"/>
      <c r="UL10" s="548"/>
      <c r="UM10" s="548"/>
      <c r="UN10" s="548"/>
      <c r="UO10" s="548"/>
      <c r="UP10" s="548"/>
      <c r="UQ10" s="548"/>
      <c r="UR10" s="548"/>
      <c r="US10" s="548"/>
      <c r="UT10" s="548"/>
      <c r="UU10" s="548"/>
      <c r="UV10" s="548"/>
      <c r="UW10" s="548"/>
      <c r="UX10" s="548"/>
      <c r="UY10" s="548"/>
      <c r="UZ10" s="548"/>
      <c r="VA10" s="548"/>
      <c r="VB10" s="548"/>
      <c r="VC10" s="548"/>
      <c r="VD10" s="548"/>
      <c r="VE10" s="548"/>
      <c r="VF10" s="548"/>
      <c r="VG10" s="548"/>
      <c r="VH10" s="548"/>
      <c r="VI10" s="548"/>
      <c r="VJ10" s="548"/>
      <c r="VK10" s="548"/>
      <c r="VL10" s="548"/>
      <c r="VM10" s="548"/>
      <c r="VN10" s="548"/>
      <c r="VO10" s="548"/>
      <c r="VP10" s="548"/>
      <c r="VQ10" s="548"/>
      <c r="VR10" s="548"/>
      <c r="VS10" s="548"/>
      <c r="VT10" s="548"/>
      <c r="VU10" s="548"/>
      <c r="VV10" s="548"/>
      <c r="VW10" s="548"/>
      <c r="VX10" s="548"/>
      <c r="VY10" s="548"/>
      <c r="VZ10" s="548"/>
      <c r="WA10" s="548"/>
      <c r="WB10" s="548"/>
      <c r="WC10" s="548"/>
      <c r="WD10" s="548"/>
      <c r="WE10" s="548"/>
      <c r="WF10" s="548"/>
      <c r="WG10" s="548"/>
      <c r="WH10" s="548"/>
      <c r="WI10" s="548"/>
      <c r="WJ10" s="548"/>
      <c r="WK10" s="548"/>
      <c r="WL10" s="548"/>
      <c r="WM10" s="548"/>
      <c r="WN10" s="548"/>
      <c r="WO10" s="548"/>
      <c r="WP10" s="548"/>
      <c r="WQ10" s="548"/>
      <c r="WR10" s="548"/>
      <c r="WS10" s="548"/>
      <c r="WT10" s="548"/>
      <c r="WU10" s="548"/>
      <c r="WV10" s="548"/>
      <c r="WW10" s="548"/>
      <c r="WX10" s="548"/>
      <c r="WY10" s="548"/>
      <c r="WZ10" s="548"/>
      <c r="XA10" s="548"/>
      <c r="XB10" s="548"/>
      <c r="XC10" s="548"/>
      <c r="XD10" s="548"/>
      <c r="XE10" s="548"/>
      <c r="XF10" s="548"/>
      <c r="XG10" s="548"/>
      <c r="XH10" s="548"/>
      <c r="XI10" s="548"/>
      <c r="XJ10" s="548"/>
      <c r="XK10" s="548"/>
      <c r="XL10" s="548"/>
      <c r="XM10" s="548"/>
      <c r="XN10" s="548"/>
      <c r="XO10" s="548"/>
      <c r="XP10" s="548"/>
      <c r="XQ10" s="548"/>
      <c r="XR10" s="548"/>
      <c r="XS10" s="548"/>
      <c r="XT10" s="548"/>
      <c r="XU10" s="548"/>
      <c r="XV10" s="548"/>
      <c r="XW10" s="548"/>
      <c r="XX10" s="548"/>
      <c r="XY10" s="548"/>
      <c r="XZ10" s="548"/>
      <c r="YA10" s="548"/>
      <c r="YB10" s="548"/>
      <c r="YC10" s="548"/>
      <c r="YD10" s="548"/>
      <c r="YE10" s="548"/>
      <c r="YF10" s="548"/>
      <c r="YG10" s="548"/>
      <c r="YH10" s="548"/>
      <c r="YI10" s="548"/>
      <c r="YJ10" s="548"/>
      <c r="YK10" s="548"/>
      <c r="YL10" s="548"/>
      <c r="YM10" s="548"/>
      <c r="YN10" s="548"/>
      <c r="YO10" s="548"/>
      <c r="YP10" s="548"/>
      <c r="YQ10" s="548"/>
      <c r="YR10" s="548"/>
      <c r="YS10" s="548"/>
      <c r="YT10" s="548"/>
      <c r="YU10" s="548"/>
      <c r="YV10" s="548"/>
      <c r="YW10" s="548"/>
      <c r="YX10" s="548"/>
      <c r="YY10" s="548"/>
      <c r="YZ10" s="548"/>
      <c r="ZA10" s="548"/>
      <c r="ZB10" s="548"/>
      <c r="ZC10" s="548"/>
      <c r="ZD10" s="548"/>
      <c r="ZE10" s="548"/>
      <c r="ZF10" s="548"/>
      <c r="ZG10" s="548"/>
      <c r="ZH10" s="548"/>
      <c r="ZI10" s="548"/>
      <c r="ZJ10" s="548"/>
      <c r="ZK10" s="548"/>
      <c r="ZL10" s="548"/>
      <c r="ZM10" s="548"/>
      <c r="ZN10" s="548"/>
      <c r="ZO10" s="548"/>
      <c r="ZP10" s="548"/>
      <c r="ZQ10" s="548"/>
      <c r="ZR10" s="548"/>
      <c r="ZS10" s="548"/>
      <c r="ZT10" s="548"/>
      <c r="ZU10" s="548"/>
      <c r="ZV10" s="548"/>
      <c r="ZW10" s="548"/>
      <c r="ZX10" s="548"/>
      <c r="ZY10" s="548"/>
      <c r="ZZ10" s="548"/>
      <c r="AAA10" s="548"/>
      <c r="AAB10" s="548"/>
      <c r="AAC10" s="548"/>
      <c r="AAD10" s="548"/>
      <c r="AAE10" s="548"/>
      <c r="AAF10" s="548"/>
      <c r="AAG10" s="548"/>
      <c r="AAH10" s="548"/>
      <c r="AAI10" s="548"/>
      <c r="AAJ10" s="548"/>
      <c r="AAK10" s="548"/>
      <c r="AAL10" s="548"/>
      <c r="AAM10" s="548"/>
      <c r="AAN10" s="548"/>
      <c r="AAO10" s="548"/>
      <c r="AAP10" s="548"/>
      <c r="AAQ10" s="548"/>
      <c r="AAR10" s="548"/>
      <c r="AAS10" s="548"/>
      <c r="AAT10" s="548"/>
      <c r="AAU10" s="548"/>
      <c r="AAV10" s="548"/>
      <c r="AAW10" s="548"/>
      <c r="AAX10" s="548"/>
      <c r="AAY10" s="548"/>
      <c r="AAZ10" s="548"/>
      <c r="ABA10" s="548"/>
      <c r="ABB10" s="548"/>
      <c r="ABC10" s="548"/>
      <c r="ABD10" s="548"/>
      <c r="ABE10" s="548"/>
      <c r="ABF10" s="548"/>
      <c r="ABG10" s="548"/>
      <c r="ABH10" s="548"/>
      <c r="ABI10" s="548"/>
      <c r="ABJ10" s="548"/>
      <c r="ABK10" s="548"/>
      <c r="ABL10" s="548"/>
      <c r="ABM10" s="548"/>
      <c r="ABN10" s="548"/>
      <c r="ABO10" s="548"/>
      <c r="ABP10" s="548"/>
      <c r="ABQ10" s="548"/>
      <c r="ABR10" s="548"/>
      <c r="ABS10" s="548"/>
    </row>
    <row r="11" spans="1:747" customFormat="1" ht="15" customHeight="1" x14ac:dyDescent="0.2">
      <c r="A11" s="424" t="str">
        <f t="shared" si="149"/>
        <v/>
      </c>
      <c r="B11" s="415"/>
      <c r="C11" s="525"/>
      <c r="D11" s="750"/>
      <c r="E11" s="416" t="str">
        <f t="shared" si="0"/>
        <v/>
      </c>
      <c r="F11" s="527" t="str">
        <f t="shared" si="1"/>
        <v/>
      </c>
      <c r="G11" s="417"/>
      <c r="H11" s="583" t="str">
        <f t="shared" si="2"/>
        <v/>
      </c>
      <c r="I11" s="424"/>
      <c r="J11" s="749"/>
      <c r="K11" s="418"/>
      <c r="L11" s="419"/>
      <c r="M11" s="415"/>
      <c r="N11" s="420"/>
      <c r="O11" s="653"/>
      <c r="P11" s="561"/>
      <c r="Q11" s="422"/>
      <c r="R11" s="767" t="str">
        <f t="shared" si="3"/>
        <v/>
      </c>
      <c r="S11" s="664"/>
      <c r="T11" s="663"/>
      <c r="U11" s="580">
        <f t="shared" si="4"/>
        <v>0</v>
      </c>
      <c r="V11" s="418"/>
      <c r="W11" s="582" t="str">
        <f t="shared" si="5"/>
        <v/>
      </c>
      <c r="X11" s="479" t="str">
        <f t="shared" si="6"/>
        <v/>
      </c>
      <c r="Y11" s="582" t="str">
        <f t="shared" si="7"/>
        <v/>
      </c>
      <c r="Z11" s="317" t="str">
        <f t="shared" si="8"/>
        <v/>
      </c>
      <c r="AA11" s="317" t="str">
        <f t="shared" si="9"/>
        <v/>
      </c>
      <c r="AB11" s="317">
        <f t="shared" si="10"/>
        <v>0</v>
      </c>
      <c r="AC11" s="317" t="str">
        <f t="shared" si="11"/>
        <v/>
      </c>
      <c r="AD11" s="317"/>
      <c r="AE11" s="479"/>
      <c r="AF11" s="479"/>
      <c r="AG11" s="423"/>
      <c r="AH11" s="820"/>
      <c r="AI11" s="480"/>
      <c r="AJ11" s="660"/>
      <c r="AK11" s="524" t="str">
        <f t="shared" si="12"/>
        <v/>
      </c>
      <c r="AL11" s="731">
        <f>SUMIF($J$4:$J$74,"Básico",$S$4:$S$74)</f>
        <v>0</v>
      </c>
      <c r="AM11" s="732">
        <f>SUMIF($J$4:$J$74,"Básico",$T$4:$T$74)</f>
        <v>0</v>
      </c>
      <c r="AN11" s="528">
        <f t="shared" si="13"/>
        <v>0</v>
      </c>
      <c r="AO11" s="783" t="str">
        <f t="shared" si="37"/>
        <v/>
      </c>
      <c r="AP11" s="528" t="str">
        <f t="shared" si="14"/>
        <v/>
      </c>
      <c r="AQ11" s="495"/>
      <c r="AR11" s="495"/>
      <c r="AS11" s="786"/>
      <c r="AT11" s="787"/>
      <c r="AU11" s="788"/>
      <c r="AV11" s="789"/>
      <c r="AW11" s="790"/>
      <c r="AX11" s="793">
        <f>SUM($AY$4:AY163)</f>
        <v>0</v>
      </c>
      <c r="AY11" s="539">
        <f t="shared" si="15"/>
        <v>0</v>
      </c>
      <c r="AZ11" s="528"/>
      <c r="BA11" s="495" t="str">
        <f t="shared" si="16"/>
        <v/>
      </c>
      <c r="BB11" s="495"/>
      <c r="BC11" s="528"/>
      <c r="BD11" s="528">
        <f t="array" ref="BD11">IF(SUM((BC11=$BC$3:BC10)*1)=0,BC11,0)</f>
        <v>0</v>
      </c>
      <c r="BE11" s="528"/>
      <c r="BF11" s="528"/>
      <c r="BG11" s="528">
        <f t="array" ref="BG11">IF(SUM((BF11=$BF$3:BF10)*1)=0,BF11,0)</f>
        <v>0</v>
      </c>
      <c r="BH11" s="528"/>
      <c r="BI11" s="528"/>
      <c r="BJ11" s="528"/>
      <c r="BK11" s="528"/>
      <c r="BL11" s="528"/>
      <c r="BM11" s="528"/>
      <c r="BN11" s="528"/>
      <c r="BO11" s="528"/>
      <c r="BP11" s="678">
        <f t="shared" si="17"/>
        <v>0</v>
      </c>
      <c r="BQ11" s="528"/>
      <c r="BR11" s="791"/>
      <c r="BS11" s="528"/>
      <c r="BT11" s="678"/>
      <c r="BU11" s="495"/>
      <c r="BV11" s="495" t="str">
        <f t="shared" si="18"/>
        <v/>
      </c>
      <c r="BW11" s="495" t="str">
        <f t="shared" si="38"/>
        <v/>
      </c>
      <c r="BX11" s="495"/>
      <c r="BY11" s="495"/>
      <c r="BZ11" s="495"/>
      <c r="CA11" s="495"/>
      <c r="CB11" s="495"/>
      <c r="CC11" s="495"/>
      <c r="CD11" s="495"/>
      <c r="CE11" s="495"/>
      <c r="CF11" s="495"/>
      <c r="CG11" s="495"/>
      <c r="CH11" s="495"/>
      <c r="CI11" s="495"/>
      <c r="CJ11" s="528" t="str">
        <f t="shared" si="39"/>
        <v/>
      </c>
      <c r="CK11" s="495"/>
      <c r="CL11" s="528"/>
      <c r="CM11" s="495"/>
      <c r="CN11" s="528"/>
      <c r="CO11" s="528"/>
      <c r="CP11" s="528"/>
      <c r="CQ11" s="528"/>
      <c r="CR11" s="528"/>
      <c r="CS11" s="528"/>
      <c r="CT11" s="528"/>
      <c r="CU11" s="528"/>
      <c r="CV11" s="528"/>
      <c r="CW11" s="794">
        <f>SUM($CS$4:$CS$116)</f>
        <v>0</v>
      </c>
      <c r="CX11" s="794">
        <f>SUM($CT$4:$CT$116)</f>
        <v>0</v>
      </c>
      <c r="CY11" s="528">
        <v>8</v>
      </c>
      <c r="CZ11" s="794">
        <f>SUM($CF$4:$CF$116)</f>
        <v>0</v>
      </c>
      <c r="DA11" s="794">
        <f>SUM($CG$4:$CG$116)</f>
        <v>0</v>
      </c>
      <c r="DB11" s="528"/>
      <c r="DC11" s="528" t="s">
        <v>751</v>
      </c>
      <c r="DD11" s="528" t="s">
        <v>911</v>
      </c>
      <c r="DE11" s="495" t="str">
        <f t="shared" si="40"/>
        <v/>
      </c>
      <c r="DF11" s="495" t="str">
        <f t="shared" si="41"/>
        <v/>
      </c>
      <c r="DG11" s="495" t="str">
        <f t="shared" si="42"/>
        <v/>
      </c>
      <c r="DH11" s="495" t="str">
        <f t="shared" si="43"/>
        <v/>
      </c>
      <c r="DI11" s="495" t="str">
        <f t="shared" si="44"/>
        <v/>
      </c>
      <c r="DJ11" s="495" t="str">
        <f t="shared" si="45"/>
        <v/>
      </c>
      <c r="DK11" s="495" t="str">
        <f t="shared" si="19"/>
        <v/>
      </c>
      <c r="DL11" s="495" t="str">
        <f t="shared" si="20"/>
        <v/>
      </c>
      <c r="DM11" s="495" t="str">
        <f t="shared" si="46"/>
        <v/>
      </c>
      <c r="DN11" s="495" t="str">
        <f t="shared" si="47"/>
        <v/>
      </c>
      <c r="DO11" s="495" t="str">
        <f t="shared" si="21"/>
        <v/>
      </c>
      <c r="DP11" s="495" t="str">
        <f t="shared" si="22"/>
        <v/>
      </c>
      <c r="DQ11" s="495" t="str">
        <f t="shared" si="48"/>
        <v/>
      </c>
      <c r="DR11" s="495" t="str">
        <f t="shared" si="49"/>
        <v/>
      </c>
      <c r="DS11" s="495" t="str">
        <f t="shared" si="23"/>
        <v/>
      </c>
      <c r="DT11" s="495" t="str">
        <f t="shared" si="24"/>
        <v/>
      </c>
      <c r="DU11" s="495" t="str">
        <f t="shared" si="50"/>
        <v/>
      </c>
      <c r="DV11" s="495" t="str">
        <f t="shared" si="51"/>
        <v/>
      </c>
      <c r="DW11" s="495" t="str">
        <f t="shared" si="25"/>
        <v/>
      </c>
      <c r="DX11" s="495" t="str">
        <f t="shared" si="26"/>
        <v/>
      </c>
      <c r="DY11" s="495" t="str">
        <f t="shared" si="52"/>
        <v/>
      </c>
      <c r="DZ11" s="495" t="str">
        <f t="shared" si="53"/>
        <v/>
      </c>
      <c r="EA11" s="495" t="str">
        <f t="shared" si="27"/>
        <v/>
      </c>
      <c r="EB11" s="495" t="str">
        <f t="shared" si="28"/>
        <v/>
      </c>
      <c r="EC11" s="495" t="str">
        <f t="shared" si="29"/>
        <v/>
      </c>
      <c r="ED11" s="495" t="str">
        <f t="shared" si="30"/>
        <v/>
      </c>
      <c r="EE11" s="495" t="str">
        <f t="shared" si="31"/>
        <v/>
      </c>
      <c r="EF11" s="495" t="str">
        <f t="shared" si="32"/>
        <v/>
      </c>
      <c r="EG11" s="495" t="str">
        <f t="shared" si="33"/>
        <v/>
      </c>
      <c r="EH11" s="495" t="str">
        <f t="shared" si="34"/>
        <v/>
      </c>
      <c r="EI11" s="495" t="str">
        <f t="shared" si="35"/>
        <v/>
      </c>
      <c r="EJ11" s="495" t="str">
        <f t="shared" si="36"/>
        <v/>
      </c>
      <c r="EK11" s="485"/>
      <c r="EL11" s="485"/>
      <c r="EM11" s="485"/>
      <c r="EN11" s="485"/>
      <c r="EO11" s="447"/>
      <c r="EP11" s="447"/>
      <c r="EQ11" s="447"/>
      <c r="ER11" s="447"/>
      <c r="ES11" s="447"/>
      <c r="ET11" s="495"/>
      <c r="EU11" s="495"/>
      <c r="EV11" s="495"/>
      <c r="EW11" s="495"/>
      <c r="EX11" s="528"/>
      <c r="EY11" s="528"/>
      <c r="EZ11" s="528"/>
      <c r="FA11" s="783"/>
      <c r="FB11" s="783">
        <f t="array" ref="FB11">IF(SUM((FA11=$FA$3:FA10)*1)=0,FA11,0)</f>
        <v>0</v>
      </c>
      <c r="FC11" s="783"/>
      <c r="FD11" s="783"/>
      <c r="FE11" s="783">
        <f t="array" ref="FE11">IF(SUM((FD11=$FD$3:FD10)*1)=0,FD11,0)</f>
        <v>0</v>
      </c>
      <c r="FF11" s="783"/>
      <c r="FG11" s="783"/>
      <c r="FH11" s="783"/>
      <c r="FI11" s="783">
        <f t="array" ref="FI11">IF(SUM((FH11=$FH$3:FH10)*1)=0,FH11,0)</f>
        <v>0</v>
      </c>
      <c r="FJ11" s="783"/>
      <c r="FK11" s="783"/>
      <c r="FL11" s="783">
        <f t="array" ref="FL11">IF(SUM((FK11=$FK$3:FK10)*1)=0,FK11,0)</f>
        <v>0</v>
      </c>
      <c r="FM11" s="783"/>
      <c r="FN11" s="783"/>
      <c r="FO11" s="783"/>
      <c r="FP11" s="783">
        <f t="array" ref="FP11">IF(SUM((FO11=$FO$3:FO10)*1)=0,FO11,0)</f>
        <v>0</v>
      </c>
      <c r="FQ11" s="783"/>
      <c r="FR11" s="783"/>
      <c r="FS11" s="783">
        <f t="array" ref="FS11">IF(SUM((FR11=$FR$3:FR10)*1)=0,FR11,0)</f>
        <v>0</v>
      </c>
      <c r="FT11" s="783"/>
      <c r="FU11" s="783"/>
      <c r="FV11" s="783"/>
      <c r="FW11" s="783">
        <f t="array" ref="FW11">IF(SUM((FV11=$FV$3:FV10)*1)=0,FV11,0)</f>
        <v>0</v>
      </c>
      <c r="FX11" s="783"/>
      <c r="FY11" s="783"/>
      <c r="FZ11" s="783">
        <f t="array" ref="FZ11">IF(SUM((FY11=$FY$3:FY10)*1)=0,FY11,0)</f>
        <v>0</v>
      </c>
      <c r="GA11" s="783"/>
      <c r="GB11" s="783"/>
      <c r="GC11" s="783"/>
      <c r="GD11" s="783">
        <f t="array" ref="GD11">IF(SUM((GC11=$GC$3:GC10)*1)=0,GC11,0)</f>
        <v>0</v>
      </c>
      <c r="GE11" s="783"/>
      <c r="GF11" s="783"/>
      <c r="GG11" s="783">
        <f t="array" ref="GG11">IF(SUM((GF11=$GF$3:GF10)*1)=0,GF11,0)</f>
        <v>0</v>
      </c>
      <c r="GH11" s="783"/>
      <c r="GI11" s="783"/>
      <c r="GJ11" s="783"/>
      <c r="GK11" s="798">
        <f t="array" ref="GK11">IF(SUM((GJ11=$GJ$3:GJ10)*1)=0,GJ11,0)</f>
        <v>0</v>
      </c>
      <c r="GL11" s="783"/>
      <c r="GM11" s="783"/>
      <c r="GN11" s="798">
        <f t="array" ref="GN11">IF(SUM((GM11=$GM$3:GM10)*1)=0,GM11,0)</f>
        <v>0</v>
      </c>
      <c r="GO11" s="783"/>
      <c r="GP11" s="783"/>
      <c r="GQ11" s="783"/>
      <c r="GR11" s="798">
        <f t="array" ref="GR11">IF(SUM((GQ11=$GQ$3:GQ10)*1)=0,GQ11,0)</f>
        <v>0</v>
      </c>
      <c r="GS11" s="783"/>
      <c r="GT11" s="783"/>
      <c r="GU11" s="798">
        <f t="array" ref="GU11">IF(SUM((GT11=$GT$3:GT10)*1)=0,GT11,0)</f>
        <v>0</v>
      </c>
      <c r="GV11" s="783"/>
      <c r="GW11" s="783"/>
      <c r="GX11" s="783"/>
      <c r="GY11" s="798">
        <f t="array" ref="GY11">IF(SUM((GX11=$GX$3:GX10)*1)=0,GX11,0)</f>
        <v>0</v>
      </c>
      <c r="GZ11" s="783"/>
      <c r="HA11" s="783"/>
      <c r="HB11" s="798">
        <f t="array" ref="HB11">IF(SUM((HA11=$HA$3:HA10)*1)=0,HA11,0)</f>
        <v>0</v>
      </c>
      <c r="HC11" s="783"/>
      <c r="HD11" s="783"/>
      <c r="HE11" s="769" t="str">
        <f t="shared" si="130"/>
        <v/>
      </c>
      <c r="HF11" s="768" t="str">
        <f t="shared" si="54"/>
        <v/>
      </c>
      <c r="HG11" s="769" t="str">
        <f t="shared" si="131"/>
        <v/>
      </c>
      <c r="HH11" s="768" t="str">
        <f t="shared" si="55"/>
        <v/>
      </c>
      <c r="HI11" s="728" t="str">
        <f t="shared" si="132"/>
        <v/>
      </c>
      <c r="HJ11" s="768" t="str">
        <f t="shared" si="56"/>
        <v/>
      </c>
      <c r="HK11" s="728" t="str">
        <f t="shared" si="133"/>
        <v/>
      </c>
      <c r="HL11" s="768" t="str">
        <f t="shared" si="57"/>
        <v/>
      </c>
      <c r="HM11" s="769" t="str">
        <f t="shared" si="58"/>
        <v/>
      </c>
      <c r="HN11" s="768" t="str">
        <f t="shared" ref="HN11" si="182">IF(HM11&lt;0,"Invadiu REP-BA-C","")</f>
        <v/>
      </c>
      <c r="HO11" s="769" t="str">
        <f t="shared" si="60"/>
        <v/>
      </c>
      <c r="HP11" s="768" t="str">
        <f t="shared" si="61"/>
        <v/>
      </c>
      <c r="HQ11" s="728" t="str">
        <f t="shared" si="62"/>
        <v/>
      </c>
      <c r="HR11" s="768" t="str">
        <f t="shared" si="63"/>
        <v/>
      </c>
      <c r="HS11" s="728" t="str">
        <f t="shared" si="64"/>
        <v/>
      </c>
      <c r="HT11" s="768" t="str">
        <f t="shared" si="65"/>
        <v/>
      </c>
      <c r="HU11" s="769" t="str">
        <f t="shared" si="66"/>
        <v/>
      </c>
      <c r="HV11" s="768" t="str">
        <f t="shared" ref="HV11" si="183">IF(HU11&lt;0,"Invadiu REP-BA-C","")</f>
        <v/>
      </c>
      <c r="HW11" s="769" t="str">
        <f t="shared" si="68"/>
        <v/>
      </c>
      <c r="HX11" s="768" t="str">
        <f t="shared" si="69"/>
        <v/>
      </c>
      <c r="HY11" s="728" t="str">
        <f t="shared" si="70"/>
        <v/>
      </c>
      <c r="HZ11" s="768" t="str">
        <f t="shared" si="71"/>
        <v/>
      </c>
      <c r="IA11" s="728" t="str">
        <f t="shared" si="72"/>
        <v/>
      </c>
      <c r="IB11" s="768" t="str">
        <f t="shared" si="73"/>
        <v/>
      </c>
      <c r="IC11" s="769" t="str">
        <f t="shared" si="74"/>
        <v/>
      </c>
      <c r="ID11" s="768" t="str">
        <f t="shared" ref="ID11" si="184">IF(IC11&lt;0,"Invadiu REP-BA-C","")</f>
        <v/>
      </c>
      <c r="IE11" s="769" t="str">
        <f t="shared" si="76"/>
        <v/>
      </c>
      <c r="IF11" s="768" t="str">
        <f t="shared" si="77"/>
        <v/>
      </c>
      <c r="IG11" s="728" t="str">
        <f t="shared" si="78"/>
        <v/>
      </c>
      <c r="IH11" s="768" t="str">
        <f t="shared" si="79"/>
        <v/>
      </c>
      <c r="II11" s="728" t="str">
        <f t="shared" si="80"/>
        <v/>
      </c>
      <c r="IJ11" s="768" t="str">
        <f t="shared" si="81"/>
        <v/>
      </c>
      <c r="IK11" s="769" t="str">
        <f t="shared" si="82"/>
        <v/>
      </c>
      <c r="IL11" s="768" t="str">
        <f t="shared" ref="IL11" si="185">IF(IK11&lt;0,"Invadiu REP-BA-C","")</f>
        <v/>
      </c>
      <c r="IM11" s="769" t="str">
        <f t="shared" si="84"/>
        <v/>
      </c>
      <c r="IN11" s="768" t="str">
        <f t="shared" si="85"/>
        <v/>
      </c>
      <c r="IO11" s="728" t="str">
        <f t="shared" si="86"/>
        <v/>
      </c>
      <c r="IP11" s="768" t="str">
        <f t="shared" si="87"/>
        <v/>
      </c>
      <c r="IQ11" s="728" t="str">
        <f t="shared" si="88"/>
        <v/>
      </c>
      <c r="IR11" s="768" t="str">
        <f t="shared" si="89"/>
        <v/>
      </c>
      <c r="IS11" s="769" t="str">
        <f t="shared" si="90"/>
        <v/>
      </c>
      <c r="IT11" s="768" t="str">
        <f t="shared" ref="IT11" si="186">IF(IS11&lt;0,"Invadiu REP-BA-C","")</f>
        <v/>
      </c>
      <c r="IU11" s="769" t="str">
        <f t="shared" si="92"/>
        <v/>
      </c>
      <c r="IV11" s="768" t="str">
        <f t="shared" si="93"/>
        <v/>
      </c>
      <c r="IW11" s="728" t="str">
        <f t="shared" si="94"/>
        <v/>
      </c>
      <c r="IX11" s="768" t="str">
        <f t="shared" si="95"/>
        <v/>
      </c>
      <c r="IY11" s="728" t="str">
        <f t="shared" si="96"/>
        <v/>
      </c>
      <c r="IZ11" s="768" t="str">
        <f t="shared" si="97"/>
        <v/>
      </c>
      <c r="JA11" s="769" t="str">
        <f t="shared" si="98"/>
        <v/>
      </c>
      <c r="JB11" s="768" t="str">
        <f t="shared" ref="JB11" si="187">IF(JA11&lt;0,"Invadiu REP-BA-C","")</f>
        <v/>
      </c>
      <c r="JC11" s="769" t="str">
        <f t="shared" si="100"/>
        <v/>
      </c>
      <c r="JD11" s="768" t="str">
        <f t="shared" si="101"/>
        <v/>
      </c>
      <c r="JE11" s="728" t="str">
        <f t="shared" si="102"/>
        <v/>
      </c>
      <c r="JF11" s="768" t="str">
        <f t="shared" si="103"/>
        <v/>
      </c>
      <c r="JG11" s="728" t="str">
        <f t="shared" si="104"/>
        <v/>
      </c>
      <c r="JH11" s="768" t="str">
        <f t="shared" si="105"/>
        <v/>
      </c>
      <c r="JI11" s="769" t="str">
        <f t="shared" si="106"/>
        <v/>
      </c>
      <c r="JJ11" s="768" t="str">
        <f t="shared" ref="JJ11" si="188">IF(JI11&lt;0,"Invadiu REP-BA-C","")</f>
        <v/>
      </c>
      <c r="JK11" s="769" t="str">
        <f t="shared" si="108"/>
        <v/>
      </c>
      <c r="JL11" s="768" t="str">
        <f t="shared" si="109"/>
        <v/>
      </c>
      <c r="JM11" s="728" t="str">
        <f t="shared" si="110"/>
        <v/>
      </c>
      <c r="JN11" s="768" t="str">
        <f t="shared" si="111"/>
        <v/>
      </c>
      <c r="JO11" s="728" t="str">
        <f t="shared" si="112"/>
        <v/>
      </c>
      <c r="JP11" s="768" t="str">
        <f t="shared" si="113"/>
        <v/>
      </c>
      <c r="JQ11" s="769" t="str">
        <f t="shared" si="114"/>
        <v/>
      </c>
      <c r="JR11" s="768" t="str">
        <f t="shared" ref="JR11" si="189">IF(JQ11&lt;0,"Invadiu REP-BA-C","")</f>
        <v/>
      </c>
      <c r="JS11" s="769" t="str">
        <f t="shared" si="116"/>
        <v/>
      </c>
      <c r="JT11" s="768" t="str">
        <f t="shared" si="117"/>
        <v/>
      </c>
      <c r="JU11" s="728" t="str">
        <f t="shared" si="118"/>
        <v/>
      </c>
      <c r="JV11" s="768" t="str">
        <f t="shared" si="119"/>
        <v/>
      </c>
      <c r="JW11" s="728" t="str">
        <f t="shared" si="120"/>
        <v/>
      </c>
      <c r="JX11" s="768" t="str">
        <f t="shared" si="121"/>
        <v/>
      </c>
      <c r="JY11" s="768" t="str">
        <f t="shared" si="122"/>
        <v/>
      </c>
      <c r="JZ11" s="485" t="str">
        <f>IF(JY11="","",IF(AND(C11=$C$164,JY11&lt;&gt;""),Verificarcpf(D11),IF(AND(C11=$C$165,JY11&lt;&gt;""),VerificarCNPJ(D11))))</f>
        <v/>
      </c>
      <c r="KA11" s="768" t="str">
        <f t="shared" si="123"/>
        <v/>
      </c>
      <c r="KB11" s="485">
        <f t="shared" si="124"/>
        <v>0</v>
      </c>
      <c r="KC11" s="768">
        <f t="shared" si="125"/>
        <v>0</v>
      </c>
      <c r="KD11" s="485">
        <f t="shared" si="126"/>
        <v>0</v>
      </c>
      <c r="KE11" s="447"/>
      <c r="KF11" s="548">
        <f t="shared" si="127"/>
        <v>0</v>
      </c>
      <c r="KG11" s="548" t="s">
        <v>174</v>
      </c>
      <c r="KH11" s="548"/>
      <c r="KI11" s="548"/>
      <c r="KJ11" s="548" t="str">
        <f t="shared" si="128"/>
        <v/>
      </c>
      <c r="KK11" s="548"/>
      <c r="KL11" s="548"/>
      <c r="KM11" s="548">
        <f t="array" ref="KM11">IF(SUM((KL11=$KL$3:KL10)*1)=0,KL11,0)</f>
        <v>0</v>
      </c>
      <c r="KN11" s="548"/>
      <c r="KO11" s="548"/>
      <c r="KP11" s="548"/>
      <c r="KQ11" s="548"/>
      <c r="KR11" s="548" t="str">
        <f t="shared" si="129"/>
        <v/>
      </c>
      <c r="KS11" s="548"/>
      <c r="KT11" s="548"/>
      <c r="KU11" s="548"/>
      <c r="KV11" s="548"/>
      <c r="KW11" s="548"/>
      <c r="KX11" s="548"/>
      <c r="KY11" s="548"/>
      <c r="KZ11" s="548"/>
      <c r="LA11" s="548"/>
      <c r="LB11" s="548"/>
      <c r="LC11" s="485" t="str">
        <f t="shared" si="142"/>
        <v/>
      </c>
      <c r="LD11" s="548"/>
      <c r="LE11" s="548"/>
      <c r="LF11" s="548"/>
      <c r="LG11" s="548"/>
      <c r="LH11" s="548"/>
      <c r="LI11" s="548"/>
      <c r="LJ11" s="548"/>
      <c r="LK11" s="548"/>
      <c r="LL11" s="548"/>
      <c r="LM11" s="548"/>
      <c r="LN11" s="548"/>
      <c r="LO11" s="548"/>
      <c r="LP11" s="485" t="str">
        <f t="shared" si="143"/>
        <v/>
      </c>
      <c r="LQ11" s="548"/>
      <c r="LR11" s="548"/>
      <c r="LS11" s="548"/>
      <c r="LT11" s="548"/>
      <c r="LU11" s="548"/>
      <c r="LV11" s="548"/>
      <c r="LW11" s="548"/>
      <c r="LX11" s="548"/>
      <c r="LY11" s="548"/>
      <c r="LZ11" s="548"/>
      <c r="MA11" s="548"/>
      <c r="MB11" s="548"/>
      <c r="MC11" s="485" t="str">
        <f t="shared" si="144"/>
        <v/>
      </c>
      <c r="MD11" s="548"/>
      <c r="ME11" s="548"/>
      <c r="MF11" s="548"/>
      <c r="MG11" s="548"/>
      <c r="MH11" s="548"/>
      <c r="MI11" s="548"/>
      <c r="MJ11" s="548"/>
      <c r="MK11" s="548"/>
      <c r="ML11" s="548"/>
      <c r="MM11" s="548"/>
      <c r="MN11" s="548"/>
      <c r="MO11" s="548"/>
      <c r="MP11" s="485" t="str">
        <f t="shared" si="145"/>
        <v/>
      </c>
      <c r="MQ11" s="548"/>
      <c r="MR11" s="548"/>
      <c r="MS11" s="548"/>
      <c r="MT11" s="548"/>
      <c r="MU11" s="548"/>
      <c r="MV11" s="548"/>
      <c r="MW11" s="548"/>
      <c r="MX11" s="548"/>
      <c r="MY11" s="548"/>
      <c r="MZ11" s="548"/>
      <c r="NA11" s="548"/>
      <c r="NB11" s="548"/>
      <c r="NC11" s="485" t="str">
        <f t="shared" si="146"/>
        <v/>
      </c>
      <c r="ND11" s="548"/>
      <c r="NE11" s="548"/>
      <c r="NF11" s="548"/>
      <c r="NG11" s="548"/>
      <c r="NH11" s="548"/>
      <c r="NI11" s="548"/>
      <c r="NJ11" s="548"/>
      <c r="NK11" s="548"/>
      <c r="NL11" s="548"/>
      <c r="NM11" s="548"/>
      <c r="NN11" s="548"/>
      <c r="NO11" s="548"/>
      <c r="NP11" s="485" t="str">
        <f t="shared" si="147"/>
        <v/>
      </c>
      <c r="NQ11" s="548"/>
      <c r="NR11" s="548"/>
      <c r="NS11" s="548"/>
      <c r="NT11" s="548"/>
      <c r="NU11" s="548"/>
      <c r="NV11" s="548"/>
      <c r="NW11" s="548"/>
      <c r="NX11" s="548"/>
      <c r="NY11" s="548"/>
      <c r="NZ11" s="548"/>
      <c r="OA11" s="548"/>
      <c r="OB11" s="548"/>
      <c r="OC11" s="485" t="str">
        <f t="shared" si="148"/>
        <v/>
      </c>
      <c r="OD11" s="548"/>
      <c r="OE11" s="548"/>
      <c r="OF11" s="548"/>
      <c r="OG11" s="548"/>
      <c r="OH11" s="548"/>
      <c r="OI11" s="548"/>
      <c r="OJ11" s="548"/>
      <c r="OK11" s="548"/>
      <c r="OL11" s="548"/>
      <c r="OM11" s="548"/>
      <c r="ON11" s="548"/>
      <c r="OO11" s="548"/>
      <c r="OP11" s="548"/>
      <c r="OQ11" s="548"/>
      <c r="OR11" s="548"/>
      <c r="OS11" s="548"/>
      <c r="OT11" s="548"/>
      <c r="OU11" s="548"/>
      <c r="OV11" s="548"/>
      <c r="OW11" s="548"/>
      <c r="OX11" s="548"/>
      <c r="OY11" s="548"/>
      <c r="OZ11" s="548"/>
      <c r="PA11" s="548"/>
      <c r="PB11" s="548"/>
      <c r="PC11" s="548"/>
      <c r="PD11" s="548"/>
      <c r="PE11" s="548"/>
      <c r="PF11" s="548"/>
      <c r="PG11" s="548"/>
      <c r="PH11" s="548"/>
      <c r="PI11" s="548"/>
      <c r="PJ11" s="548"/>
      <c r="PK11" s="548"/>
      <c r="PL11" s="548"/>
      <c r="PM11" s="548"/>
      <c r="PN11" s="548"/>
      <c r="PO11" s="548"/>
      <c r="PP11" s="548"/>
      <c r="PQ11" s="548"/>
      <c r="PR11" s="548"/>
      <c r="PS11" s="548"/>
      <c r="PT11" s="1001">
        <f>SUM($LL$4:$LL$116)</f>
        <v>0</v>
      </c>
      <c r="PU11" s="1001">
        <f>SUM($LM$4:$LM$116)</f>
        <v>0</v>
      </c>
      <c r="PV11" s="528"/>
      <c r="PW11" s="1001">
        <f>SUM($LY$4:$LY$116)</f>
        <v>0</v>
      </c>
      <c r="PX11" s="1001">
        <f>SUM($LZ$4:$LZ$116)</f>
        <v>0</v>
      </c>
      <c r="PY11" s="548"/>
      <c r="PZ11" s="1001">
        <f>SUM($ML$4:$ML$116)</f>
        <v>0</v>
      </c>
      <c r="QA11" s="1001">
        <f>SUM($MM$4:$MM$116)</f>
        <v>0</v>
      </c>
      <c r="QB11" s="528"/>
      <c r="QC11" s="1001">
        <f>SUM($MY$4:$MY$116)</f>
        <v>0</v>
      </c>
      <c r="QD11" s="1001">
        <f>SUM($MZ$4:$MZ$116)</f>
        <v>0</v>
      </c>
      <c r="QE11" s="548"/>
      <c r="QF11" s="1001">
        <f>SUM($NL$4:$NL$116)</f>
        <v>0</v>
      </c>
      <c r="QG11" s="1001">
        <f>SUM($NM$4:$NM$116)</f>
        <v>0</v>
      </c>
      <c r="QH11" s="548"/>
      <c r="QI11" s="1001">
        <f>SUM($NY$4:$NY$116)</f>
        <v>0</v>
      </c>
      <c r="QJ11" s="1001">
        <f>SUM($NZ$4:$NZ$116)</f>
        <v>0</v>
      </c>
      <c r="QK11" s="548"/>
      <c r="QL11" s="1001">
        <f>SUM($OL$4:$OL$116)</f>
        <v>0</v>
      </c>
      <c r="QM11" s="1001">
        <f>SUM($OM$4:$OM$116)</f>
        <v>0</v>
      </c>
      <c r="QN11" s="548"/>
      <c r="QO11" s="548"/>
      <c r="QP11" s="548"/>
      <c r="QQ11" s="1009"/>
      <c r="QR11" s="548"/>
      <c r="QS11" s="548"/>
      <c r="QT11" s="548"/>
      <c r="QU11" s="548"/>
      <c r="QV11" s="548"/>
      <c r="QW11" s="548"/>
      <c r="QX11" s="548"/>
      <c r="QY11" s="548"/>
      <c r="QZ11" s="548"/>
      <c r="RA11" s="548"/>
      <c r="RB11" s="548"/>
      <c r="RC11" s="548"/>
      <c r="RD11" s="548"/>
      <c r="RE11" s="548"/>
      <c r="RF11" s="548"/>
      <c r="RG11" s="548"/>
      <c r="RH11" s="548"/>
      <c r="RI11" s="548"/>
      <c r="RJ11" s="548"/>
      <c r="RK11" s="548"/>
      <c r="RL11" s="548"/>
      <c r="RM11" s="548"/>
      <c r="RN11" s="548"/>
      <c r="RO11" s="548"/>
      <c r="RP11" s="548"/>
      <c r="RQ11" s="548"/>
      <c r="RR11" s="548"/>
      <c r="RS11" s="548"/>
      <c r="RT11" s="548"/>
      <c r="RU11" s="548"/>
      <c r="RV11" s="548"/>
      <c r="RW11" s="548"/>
      <c r="RX11" s="548"/>
      <c r="RY11" s="548"/>
      <c r="RZ11" s="548"/>
      <c r="SA11" s="548"/>
      <c r="SB11" s="548"/>
      <c r="SC11" s="548"/>
      <c r="SD11" s="548"/>
      <c r="SE11" s="548"/>
      <c r="SF11" s="548"/>
      <c r="SG11" s="548"/>
      <c r="SH11" s="548"/>
      <c r="SI11" s="548"/>
      <c r="SJ11" s="548"/>
      <c r="SK11" s="548"/>
      <c r="SL11" s="548"/>
      <c r="SM11" s="548"/>
      <c r="SN11" s="548"/>
      <c r="SO11" s="548"/>
      <c r="SP11" s="548"/>
      <c r="SQ11" s="548"/>
      <c r="SR11" s="548"/>
      <c r="SS11" s="548"/>
      <c r="ST11" s="548"/>
      <c r="SU11" s="548"/>
      <c r="SV11" s="548"/>
      <c r="SW11" s="548"/>
      <c r="SX11" s="548"/>
      <c r="SY11" s="548"/>
      <c r="SZ11" s="548"/>
      <c r="TA11" s="548"/>
      <c r="TB11" s="548"/>
      <c r="TC11" s="548"/>
      <c r="TD11" s="548"/>
      <c r="TE11" s="548"/>
      <c r="TF11" s="548"/>
      <c r="TG11" s="548"/>
      <c r="TH11" s="548"/>
      <c r="TI11" s="548"/>
      <c r="TJ11" s="548"/>
      <c r="TK11" s="548"/>
      <c r="TL11" s="548"/>
      <c r="TM11" s="548"/>
      <c r="TN11" s="548"/>
      <c r="TO11" s="548"/>
      <c r="TP11" s="548"/>
      <c r="TQ11" s="548"/>
      <c r="TR11" s="548"/>
      <c r="TS11" s="548"/>
      <c r="TT11" s="548"/>
      <c r="TU11" s="548"/>
      <c r="TV11" s="548"/>
      <c r="TW11" s="548"/>
      <c r="TX11" s="548"/>
      <c r="TY11" s="548"/>
      <c r="TZ11" s="548"/>
      <c r="UA11" s="548"/>
      <c r="UB11" s="548"/>
      <c r="UC11" s="548"/>
      <c r="UD11" s="548"/>
      <c r="UE11" s="548"/>
      <c r="UF11" s="548"/>
      <c r="UG11" s="548"/>
      <c r="UH11" s="548"/>
      <c r="UI11" s="548"/>
      <c r="UJ11" s="548"/>
      <c r="UK11" s="548"/>
      <c r="UL11" s="548"/>
      <c r="UM11" s="548"/>
      <c r="UN11" s="548"/>
      <c r="UO11" s="548"/>
      <c r="UP11" s="548"/>
      <c r="UQ11" s="548"/>
      <c r="UR11" s="548"/>
      <c r="US11" s="548"/>
      <c r="UT11" s="548"/>
      <c r="UU11" s="548"/>
      <c r="UV11" s="548"/>
      <c r="UW11" s="548"/>
      <c r="UX11" s="548"/>
      <c r="UY11" s="548"/>
      <c r="UZ11" s="548"/>
      <c r="VA11" s="548"/>
      <c r="VB11" s="548"/>
      <c r="VC11" s="548"/>
      <c r="VD11" s="548"/>
      <c r="VE11" s="548"/>
      <c r="VF11" s="548"/>
      <c r="VG11" s="548"/>
      <c r="VH11" s="548"/>
      <c r="VI11" s="548"/>
      <c r="VJ11" s="548"/>
      <c r="VK11" s="548"/>
      <c r="VL11" s="548"/>
      <c r="VM11" s="548"/>
      <c r="VN11" s="548"/>
      <c r="VO11" s="548"/>
      <c r="VP11" s="548"/>
      <c r="VQ11" s="548"/>
      <c r="VR11" s="548"/>
      <c r="VS11" s="548"/>
      <c r="VT11" s="548"/>
      <c r="VU11" s="548"/>
      <c r="VV11" s="548"/>
      <c r="VW11" s="548"/>
      <c r="VX11" s="548"/>
      <c r="VY11" s="548"/>
      <c r="VZ11" s="548"/>
      <c r="WA11" s="548"/>
      <c r="WB11" s="548"/>
      <c r="WC11" s="548"/>
      <c r="WD11" s="548"/>
      <c r="WE11" s="548"/>
      <c r="WF11" s="548"/>
      <c r="WG11" s="548"/>
      <c r="WH11" s="548"/>
      <c r="WI11" s="548"/>
      <c r="WJ11" s="548"/>
      <c r="WK11" s="548"/>
      <c r="WL11" s="548"/>
      <c r="WM11" s="548"/>
      <c r="WN11" s="548"/>
      <c r="WO11" s="548"/>
      <c r="WP11" s="548"/>
      <c r="WQ11" s="548"/>
      <c r="WR11" s="548"/>
      <c r="WS11" s="548"/>
      <c r="WT11" s="548"/>
      <c r="WU11" s="548"/>
      <c r="WV11" s="548"/>
      <c r="WW11" s="548"/>
      <c r="WX11" s="548"/>
      <c r="WY11" s="548"/>
      <c r="WZ11" s="548"/>
      <c r="XA11" s="548"/>
      <c r="XB11" s="548"/>
      <c r="XC11" s="548"/>
      <c r="XD11" s="548"/>
      <c r="XE11" s="548"/>
      <c r="XF11" s="548"/>
      <c r="XG11" s="548"/>
      <c r="XH11" s="548"/>
      <c r="XI11" s="548"/>
      <c r="XJ11" s="548"/>
      <c r="XK11" s="548"/>
      <c r="XL11" s="548"/>
      <c r="XM11" s="548"/>
      <c r="XN11" s="548"/>
      <c r="XO11" s="548"/>
      <c r="XP11" s="548"/>
      <c r="XQ11" s="548"/>
      <c r="XR11" s="548"/>
      <c r="XS11" s="548"/>
      <c r="XT11" s="548"/>
      <c r="XU11" s="548"/>
      <c r="XV11" s="548"/>
      <c r="XW11" s="548"/>
      <c r="XX11" s="548"/>
      <c r="XY11" s="548"/>
      <c r="XZ11" s="548"/>
      <c r="YA11" s="548"/>
      <c r="YB11" s="548"/>
      <c r="YC11" s="548"/>
      <c r="YD11" s="548"/>
      <c r="YE11" s="548"/>
      <c r="YF11" s="548"/>
      <c r="YG11" s="548"/>
      <c r="YH11" s="548"/>
      <c r="YI11" s="548"/>
      <c r="YJ11" s="548"/>
      <c r="YK11" s="548"/>
      <c r="YL11" s="548"/>
      <c r="YM11" s="548"/>
      <c r="YN11" s="548"/>
      <c r="YO11" s="548"/>
      <c r="YP11" s="548"/>
      <c r="YQ11" s="548"/>
      <c r="YR11" s="548"/>
      <c r="YS11" s="548"/>
      <c r="YT11" s="548"/>
      <c r="YU11" s="548"/>
      <c r="YV11" s="548"/>
      <c r="YW11" s="548"/>
      <c r="YX11" s="548"/>
      <c r="YY11" s="548"/>
      <c r="YZ11" s="548"/>
      <c r="ZA11" s="548"/>
      <c r="ZB11" s="548"/>
      <c r="ZC11" s="548"/>
      <c r="ZD11" s="548"/>
      <c r="ZE11" s="548"/>
      <c r="ZF11" s="548"/>
      <c r="ZG11" s="548"/>
      <c r="ZH11" s="548"/>
      <c r="ZI11" s="548"/>
      <c r="ZJ11" s="548"/>
      <c r="ZK11" s="548"/>
      <c r="ZL11" s="548"/>
      <c r="ZM11" s="548"/>
      <c r="ZN11" s="548"/>
      <c r="ZO11" s="548"/>
      <c r="ZP11" s="548"/>
      <c r="ZQ11" s="548"/>
      <c r="ZR11" s="548"/>
      <c r="ZS11" s="548"/>
      <c r="ZT11" s="548"/>
      <c r="ZU11" s="548"/>
      <c r="ZV11" s="548"/>
      <c r="ZW11" s="548"/>
      <c r="ZX11" s="548"/>
      <c r="ZY11" s="548"/>
      <c r="ZZ11" s="548"/>
      <c r="AAA11" s="548"/>
      <c r="AAB11" s="548"/>
      <c r="AAC11" s="548"/>
      <c r="AAD11" s="548"/>
      <c r="AAE11" s="548"/>
      <c r="AAF11" s="548"/>
      <c r="AAG11" s="548"/>
      <c r="AAH11" s="548"/>
      <c r="AAI11" s="548"/>
      <c r="AAJ11" s="548"/>
      <c r="AAK11" s="548"/>
      <c r="AAL11" s="548"/>
      <c r="AAM11" s="548"/>
      <c r="AAN11" s="548"/>
      <c r="AAO11" s="548"/>
      <c r="AAP11" s="548"/>
      <c r="AAQ11" s="548"/>
      <c r="AAR11" s="548"/>
      <c r="AAS11" s="548"/>
      <c r="AAT11" s="548"/>
      <c r="AAU11" s="548"/>
      <c r="AAV11" s="548"/>
      <c r="AAW11" s="548"/>
      <c r="AAX11" s="548"/>
      <c r="AAY11" s="548"/>
      <c r="AAZ11" s="548"/>
      <c r="ABA11" s="548"/>
      <c r="ABB11" s="548"/>
      <c r="ABC11" s="548"/>
      <c r="ABD11" s="548"/>
      <c r="ABE11" s="548"/>
      <c r="ABF11" s="548"/>
      <c r="ABG11" s="548"/>
      <c r="ABH11" s="548"/>
      <c r="ABI11" s="548"/>
      <c r="ABJ11" s="548"/>
      <c r="ABK11" s="548"/>
      <c r="ABL11" s="548"/>
      <c r="ABM11" s="548"/>
      <c r="ABN11" s="548"/>
      <c r="ABO11" s="548"/>
      <c r="ABP11" s="548"/>
      <c r="ABQ11" s="548"/>
      <c r="ABR11" s="548"/>
      <c r="ABS11" s="548"/>
    </row>
    <row r="12" spans="1:747" customFormat="1" ht="15" customHeight="1" x14ac:dyDescent="0.2">
      <c r="A12" s="424" t="str">
        <f t="shared" si="149"/>
        <v/>
      </c>
      <c r="B12" s="415"/>
      <c r="C12" s="525"/>
      <c r="D12" s="750"/>
      <c r="E12" s="416" t="str">
        <f t="shared" si="0"/>
        <v/>
      </c>
      <c r="F12" s="527" t="str">
        <f t="shared" si="1"/>
        <v/>
      </c>
      <c r="G12" s="417"/>
      <c r="H12" s="583" t="str">
        <f t="shared" si="2"/>
        <v/>
      </c>
      <c r="I12" s="424"/>
      <c r="J12" s="749"/>
      <c r="K12" s="418"/>
      <c r="L12" s="419"/>
      <c r="M12" s="415"/>
      <c r="N12" s="420"/>
      <c r="O12" s="653"/>
      <c r="P12" s="561"/>
      <c r="Q12" s="747"/>
      <c r="R12" s="767" t="str">
        <f t="shared" si="3"/>
        <v/>
      </c>
      <c r="S12" s="664"/>
      <c r="T12" s="997"/>
      <c r="U12" s="580">
        <f t="shared" si="4"/>
        <v>0</v>
      </c>
      <c r="V12" s="418"/>
      <c r="W12" s="582" t="str">
        <f t="shared" si="5"/>
        <v/>
      </c>
      <c r="X12" s="479" t="str">
        <f t="shared" si="6"/>
        <v/>
      </c>
      <c r="Y12" s="582" t="str">
        <f t="shared" si="7"/>
        <v/>
      </c>
      <c r="Z12" s="317" t="str">
        <f t="shared" si="8"/>
        <v/>
      </c>
      <c r="AA12" s="317" t="str">
        <f t="shared" si="9"/>
        <v/>
      </c>
      <c r="AB12" s="317">
        <f t="shared" si="10"/>
        <v>0</v>
      </c>
      <c r="AC12" s="317" t="str">
        <f t="shared" si="11"/>
        <v/>
      </c>
      <c r="AD12" s="317"/>
      <c r="AE12" s="479"/>
      <c r="AF12" s="479"/>
      <c r="AG12" s="423"/>
      <c r="AH12" s="820"/>
      <c r="AI12" s="480"/>
      <c r="AJ12" s="660"/>
      <c r="AK12" s="524" t="str">
        <f t="shared" si="12"/>
        <v/>
      </c>
      <c r="AL12" s="731">
        <f>SUMIF($J$4:$J$88,"Básico",$S$4:$S$88)</f>
        <v>0</v>
      </c>
      <c r="AM12" s="732">
        <f>SUMIF($J$4:$J$88,"Básico",$T$4:$T$88)</f>
        <v>0</v>
      </c>
      <c r="AN12" s="528">
        <f t="shared" si="13"/>
        <v>0</v>
      </c>
      <c r="AO12" s="783" t="str">
        <f t="shared" si="37"/>
        <v/>
      </c>
      <c r="AP12" s="528" t="str">
        <f t="shared" si="14"/>
        <v/>
      </c>
      <c r="AQ12" s="426"/>
      <c r="AR12" s="426"/>
      <c r="AS12" s="428"/>
      <c r="AT12" s="429"/>
      <c r="AU12" s="430"/>
      <c r="AV12" s="431"/>
      <c r="AW12" s="432"/>
      <c r="AX12" s="802" t="s">
        <v>216</v>
      </c>
      <c r="AY12" s="539">
        <f t="shared" si="15"/>
        <v>0</v>
      </c>
      <c r="AZ12" s="528"/>
      <c r="BA12" s="495" t="str">
        <f t="shared" si="16"/>
        <v/>
      </c>
      <c r="BB12" s="495"/>
      <c r="BC12" s="528"/>
      <c r="BD12" s="528">
        <f t="array" ref="BD12">IF(SUM((BC12=$BC$3:BC11)*1)=0,BC12,0)</f>
        <v>0</v>
      </c>
      <c r="BE12" s="528"/>
      <c r="BF12" s="528"/>
      <c r="BG12" s="528">
        <f t="array" ref="BG12">IF(SUM((BF12=$BF$3:BF11)*1)=0,BF12,0)</f>
        <v>0</v>
      </c>
      <c r="BH12" s="528"/>
      <c r="BI12" s="528"/>
      <c r="BJ12" s="528"/>
      <c r="BK12" s="528"/>
      <c r="BL12" s="528"/>
      <c r="BM12" s="528"/>
      <c r="BN12" s="528"/>
      <c r="BO12" s="528"/>
      <c r="BP12" s="678">
        <f t="shared" si="17"/>
        <v>0</v>
      </c>
      <c r="BQ12" s="528"/>
      <c r="BR12" s="791"/>
      <c r="BS12" s="528"/>
      <c r="BT12" s="678"/>
      <c r="BU12" s="495"/>
      <c r="BV12" s="495" t="str">
        <f t="shared" si="18"/>
        <v/>
      </c>
      <c r="BW12" s="495" t="str">
        <f t="shared" si="38"/>
        <v/>
      </c>
      <c r="BX12" s="495"/>
      <c r="BY12" s="495"/>
      <c r="BZ12" s="495"/>
      <c r="CA12" s="495"/>
      <c r="CB12" s="495"/>
      <c r="CC12" s="495"/>
      <c r="CD12" s="495"/>
      <c r="CE12" s="495"/>
      <c r="CF12" s="495"/>
      <c r="CG12" s="495"/>
      <c r="CH12" s="495"/>
      <c r="CI12" s="495"/>
      <c r="CJ12" s="528" t="str">
        <f t="shared" si="39"/>
        <v/>
      </c>
      <c r="CK12" s="495"/>
      <c r="CL12" s="528"/>
      <c r="CM12" s="495"/>
      <c r="CN12" s="528"/>
      <c r="CO12" s="528"/>
      <c r="CP12" s="528"/>
      <c r="CQ12" s="528"/>
      <c r="CR12" s="528"/>
      <c r="CS12" s="528"/>
      <c r="CT12" s="528"/>
      <c r="CU12" s="528"/>
      <c r="CV12" s="528"/>
      <c r="CW12" s="794">
        <f>SUM($CS$4:$CS$130)</f>
        <v>0</v>
      </c>
      <c r="CX12" s="794">
        <f>SUM($CT$4:$CT$130)</f>
        <v>0</v>
      </c>
      <c r="CY12" s="528">
        <v>9</v>
      </c>
      <c r="CZ12" s="794">
        <f>SUM($CF$4:$CF$130)</f>
        <v>0</v>
      </c>
      <c r="DA12" s="794">
        <f>SUM($CG$4:$CG$130)</f>
        <v>0</v>
      </c>
      <c r="DB12" s="528"/>
      <c r="DC12" s="528" t="s">
        <v>752</v>
      </c>
      <c r="DD12" s="528" t="s">
        <v>912</v>
      </c>
      <c r="DE12" s="495" t="str">
        <f t="shared" si="40"/>
        <v/>
      </c>
      <c r="DF12" s="495" t="str">
        <f t="shared" si="41"/>
        <v/>
      </c>
      <c r="DG12" s="495" t="str">
        <f t="shared" si="42"/>
        <v/>
      </c>
      <c r="DH12" s="495" t="str">
        <f t="shared" si="43"/>
        <v/>
      </c>
      <c r="DI12" s="495" t="str">
        <f t="shared" si="44"/>
        <v/>
      </c>
      <c r="DJ12" s="495" t="str">
        <f t="shared" si="45"/>
        <v/>
      </c>
      <c r="DK12" s="495" t="str">
        <f t="shared" si="19"/>
        <v/>
      </c>
      <c r="DL12" s="485" t="str">
        <f t="shared" si="20"/>
        <v/>
      </c>
      <c r="DM12" s="495" t="str">
        <f t="shared" si="46"/>
        <v/>
      </c>
      <c r="DN12" s="495" t="str">
        <f t="shared" si="47"/>
        <v/>
      </c>
      <c r="DO12" s="495" t="str">
        <f t="shared" si="21"/>
        <v/>
      </c>
      <c r="DP12" s="495" t="str">
        <f t="shared" si="22"/>
        <v/>
      </c>
      <c r="DQ12" s="495" t="str">
        <f t="shared" si="48"/>
        <v/>
      </c>
      <c r="DR12" s="495" t="str">
        <f t="shared" si="49"/>
        <v/>
      </c>
      <c r="DS12" s="495" t="str">
        <f t="shared" si="23"/>
        <v/>
      </c>
      <c r="DT12" s="495" t="str">
        <f t="shared" si="24"/>
        <v/>
      </c>
      <c r="DU12" s="495" t="str">
        <f t="shared" si="50"/>
        <v/>
      </c>
      <c r="DV12" s="495" t="str">
        <f t="shared" si="51"/>
        <v/>
      </c>
      <c r="DW12" s="495" t="str">
        <f t="shared" si="25"/>
        <v/>
      </c>
      <c r="DX12" s="495" t="str">
        <f t="shared" si="26"/>
        <v/>
      </c>
      <c r="DY12" s="495" t="str">
        <f t="shared" si="52"/>
        <v/>
      </c>
      <c r="DZ12" s="495" t="str">
        <f t="shared" si="53"/>
        <v/>
      </c>
      <c r="EA12" s="495" t="str">
        <f t="shared" si="27"/>
        <v/>
      </c>
      <c r="EB12" s="495" t="str">
        <f t="shared" si="28"/>
        <v/>
      </c>
      <c r="EC12" s="495" t="str">
        <f t="shared" si="29"/>
        <v/>
      </c>
      <c r="ED12" s="495" t="str">
        <f t="shared" si="30"/>
        <v/>
      </c>
      <c r="EE12" s="495" t="str">
        <f t="shared" si="31"/>
        <v/>
      </c>
      <c r="EF12" s="495" t="str">
        <f t="shared" si="32"/>
        <v/>
      </c>
      <c r="EG12" s="495" t="str">
        <f t="shared" si="33"/>
        <v/>
      </c>
      <c r="EH12" s="495" t="str">
        <f t="shared" si="34"/>
        <v/>
      </c>
      <c r="EI12" s="495" t="str">
        <f t="shared" si="35"/>
        <v/>
      </c>
      <c r="EJ12" s="495" t="str">
        <f t="shared" si="36"/>
        <v/>
      </c>
      <c r="EK12" s="485"/>
      <c r="EL12" s="485"/>
      <c r="EM12" s="485"/>
      <c r="EN12" s="485"/>
      <c r="EO12" s="447"/>
      <c r="EP12" s="447"/>
      <c r="EQ12" s="447"/>
      <c r="ER12" s="447"/>
      <c r="ES12" s="447"/>
      <c r="ET12" s="495"/>
      <c r="EU12" s="495"/>
      <c r="EV12" s="495"/>
      <c r="EW12" s="495"/>
      <c r="EX12" s="528"/>
      <c r="EY12" s="528"/>
      <c r="EZ12" s="528"/>
      <c r="FA12" s="783"/>
      <c r="FB12" s="783">
        <f t="array" ref="FB12">IF(SUM((FA12=$FA$3:FA11)*1)=0,FA12,0)</f>
        <v>0</v>
      </c>
      <c r="FC12" s="783"/>
      <c r="FD12" s="783"/>
      <c r="FE12" s="783">
        <f t="array" ref="FE12">IF(SUM((FD12=$FD$3:FD11)*1)=0,FD12,0)</f>
        <v>0</v>
      </c>
      <c r="FF12" s="783"/>
      <c r="FG12" s="783"/>
      <c r="FH12" s="783"/>
      <c r="FI12" s="783">
        <f t="array" ref="FI12">IF(SUM((FH12=$FH$3:FH11)*1)=0,FH12,0)</f>
        <v>0</v>
      </c>
      <c r="FJ12" s="783"/>
      <c r="FK12" s="783"/>
      <c r="FL12" s="783">
        <f t="array" ref="FL12">IF(SUM((FK12=$FK$3:FK11)*1)=0,FK12,0)</f>
        <v>0</v>
      </c>
      <c r="FM12" s="783"/>
      <c r="FN12" s="783"/>
      <c r="FO12" s="783"/>
      <c r="FP12" s="783">
        <f t="array" ref="FP12">IF(SUM((FO12=$FO$3:FO11)*1)=0,FO12,0)</f>
        <v>0</v>
      </c>
      <c r="FQ12" s="783"/>
      <c r="FR12" s="783"/>
      <c r="FS12" s="783">
        <f t="array" ref="FS12">IF(SUM((FR12=$FR$3:FR11)*1)=0,FR12,0)</f>
        <v>0</v>
      </c>
      <c r="FT12" s="783"/>
      <c r="FU12" s="783"/>
      <c r="FV12" s="783"/>
      <c r="FW12" s="783">
        <f t="array" ref="FW12">IF(SUM((FV12=$FV$3:FV11)*1)=0,FV12,0)</f>
        <v>0</v>
      </c>
      <c r="FX12" s="783"/>
      <c r="FY12" s="783"/>
      <c r="FZ12" s="783">
        <f t="array" ref="FZ12">IF(SUM((FY12=$FY$3:FY11)*1)=0,FY12,0)</f>
        <v>0</v>
      </c>
      <c r="GA12" s="783"/>
      <c r="GB12" s="783"/>
      <c r="GC12" s="783"/>
      <c r="GD12" s="783">
        <f t="array" ref="GD12">IF(SUM((GC12=$GC$3:GC11)*1)=0,GC12,0)</f>
        <v>0</v>
      </c>
      <c r="GE12" s="783"/>
      <c r="GF12" s="783"/>
      <c r="GG12" s="783">
        <f t="array" ref="GG12">IF(SUM((GF12=$GF$3:GF11)*1)=0,GF12,0)</f>
        <v>0</v>
      </c>
      <c r="GH12" s="783"/>
      <c r="GI12" s="783"/>
      <c r="GJ12" s="783"/>
      <c r="GK12" s="798">
        <f t="array" ref="GK12">IF(SUM((GJ12=$GJ$3:GJ11)*1)=0,GJ12,0)</f>
        <v>0</v>
      </c>
      <c r="GL12" s="783"/>
      <c r="GM12" s="783"/>
      <c r="GN12" s="798">
        <f t="array" ref="GN12">IF(SUM((GM12=$GM$3:GM11)*1)=0,GM12,0)</f>
        <v>0</v>
      </c>
      <c r="GO12" s="783"/>
      <c r="GP12" s="783"/>
      <c r="GQ12" s="783"/>
      <c r="GR12" s="798">
        <f t="array" ref="GR12">IF(SUM((GQ12=$GQ$3:GQ11)*1)=0,GQ12,0)</f>
        <v>0</v>
      </c>
      <c r="GS12" s="783"/>
      <c r="GT12" s="783"/>
      <c r="GU12" s="798">
        <f t="array" ref="GU12">IF(SUM((GT12=$GT$3:GT11)*1)=0,GT12,0)</f>
        <v>0</v>
      </c>
      <c r="GV12" s="783"/>
      <c r="GW12" s="783"/>
      <c r="GX12" s="783"/>
      <c r="GY12" s="798">
        <f t="array" ref="GY12">IF(SUM((GX12=$GX$3:GX11)*1)=0,GX12,0)</f>
        <v>0</v>
      </c>
      <c r="GZ12" s="783"/>
      <c r="HA12" s="783"/>
      <c r="HB12" s="798">
        <f t="array" ref="HB12">IF(SUM((HA12=$HA$3:HA11)*1)=0,HA12,0)</f>
        <v>0</v>
      </c>
      <c r="HC12" s="783"/>
      <c r="HD12" s="783"/>
      <c r="HE12" s="769" t="str">
        <f t="shared" si="130"/>
        <v/>
      </c>
      <c r="HF12" s="768" t="str">
        <f t="shared" si="54"/>
        <v/>
      </c>
      <c r="HG12" s="769" t="str">
        <f t="shared" si="131"/>
        <v/>
      </c>
      <c r="HH12" s="768" t="str">
        <f t="shared" si="55"/>
        <v/>
      </c>
      <c r="HI12" s="728" t="str">
        <f t="shared" si="132"/>
        <v/>
      </c>
      <c r="HJ12" s="768" t="str">
        <f t="shared" si="56"/>
        <v/>
      </c>
      <c r="HK12" s="728" t="str">
        <f t="shared" si="133"/>
        <v/>
      </c>
      <c r="HL12" s="768" t="str">
        <f t="shared" si="57"/>
        <v/>
      </c>
      <c r="HM12" s="769" t="str">
        <f t="shared" si="58"/>
        <v/>
      </c>
      <c r="HN12" s="768" t="str">
        <f t="shared" ref="HN12" si="190">IF(HM12&lt;0,"Invadiu REP-BA-C","")</f>
        <v/>
      </c>
      <c r="HO12" s="769" t="str">
        <f t="shared" si="60"/>
        <v/>
      </c>
      <c r="HP12" s="768" t="str">
        <f t="shared" si="61"/>
        <v/>
      </c>
      <c r="HQ12" s="728" t="str">
        <f t="shared" si="62"/>
        <v/>
      </c>
      <c r="HR12" s="768" t="str">
        <f t="shared" si="63"/>
        <v/>
      </c>
      <c r="HS12" s="728" t="str">
        <f t="shared" si="64"/>
        <v/>
      </c>
      <c r="HT12" s="768" t="str">
        <f t="shared" si="65"/>
        <v/>
      </c>
      <c r="HU12" s="769" t="str">
        <f t="shared" si="66"/>
        <v/>
      </c>
      <c r="HV12" s="768" t="str">
        <f t="shared" ref="HV12" si="191">IF(HU12&lt;0,"Invadiu REP-BA-C","")</f>
        <v/>
      </c>
      <c r="HW12" s="769" t="str">
        <f t="shared" si="68"/>
        <v/>
      </c>
      <c r="HX12" s="768" t="str">
        <f t="shared" si="69"/>
        <v/>
      </c>
      <c r="HY12" s="728" t="str">
        <f t="shared" si="70"/>
        <v/>
      </c>
      <c r="HZ12" s="768" t="str">
        <f t="shared" si="71"/>
        <v/>
      </c>
      <c r="IA12" s="728" t="str">
        <f t="shared" si="72"/>
        <v/>
      </c>
      <c r="IB12" s="768" t="str">
        <f t="shared" si="73"/>
        <v/>
      </c>
      <c r="IC12" s="769" t="str">
        <f t="shared" si="74"/>
        <v/>
      </c>
      <c r="ID12" s="768" t="str">
        <f t="shared" ref="ID12" si="192">IF(IC12&lt;0,"Invadiu REP-BA-C","")</f>
        <v/>
      </c>
      <c r="IE12" s="769" t="str">
        <f t="shared" si="76"/>
        <v/>
      </c>
      <c r="IF12" s="768" t="str">
        <f t="shared" si="77"/>
        <v/>
      </c>
      <c r="IG12" s="728" t="str">
        <f t="shared" si="78"/>
        <v/>
      </c>
      <c r="IH12" s="768" t="str">
        <f t="shared" si="79"/>
        <v/>
      </c>
      <c r="II12" s="728" t="str">
        <f t="shared" si="80"/>
        <v/>
      </c>
      <c r="IJ12" s="768" t="str">
        <f t="shared" si="81"/>
        <v/>
      </c>
      <c r="IK12" s="769" t="str">
        <f t="shared" si="82"/>
        <v/>
      </c>
      <c r="IL12" s="768" t="str">
        <f t="shared" ref="IL12" si="193">IF(IK12&lt;0,"Invadiu REP-BA-C","")</f>
        <v/>
      </c>
      <c r="IM12" s="769" t="str">
        <f t="shared" si="84"/>
        <v/>
      </c>
      <c r="IN12" s="768" t="str">
        <f t="shared" si="85"/>
        <v/>
      </c>
      <c r="IO12" s="728" t="str">
        <f t="shared" si="86"/>
        <v/>
      </c>
      <c r="IP12" s="768" t="str">
        <f t="shared" si="87"/>
        <v/>
      </c>
      <c r="IQ12" s="728" t="str">
        <f t="shared" si="88"/>
        <v/>
      </c>
      <c r="IR12" s="768" t="str">
        <f t="shared" si="89"/>
        <v/>
      </c>
      <c r="IS12" s="769" t="str">
        <f t="shared" si="90"/>
        <v/>
      </c>
      <c r="IT12" s="768" t="str">
        <f t="shared" ref="IT12" si="194">IF(IS12&lt;0,"Invadiu REP-BA-C","")</f>
        <v/>
      </c>
      <c r="IU12" s="769" t="str">
        <f t="shared" si="92"/>
        <v/>
      </c>
      <c r="IV12" s="768" t="str">
        <f t="shared" si="93"/>
        <v/>
      </c>
      <c r="IW12" s="728" t="str">
        <f t="shared" si="94"/>
        <v/>
      </c>
      <c r="IX12" s="768" t="str">
        <f t="shared" si="95"/>
        <v/>
      </c>
      <c r="IY12" s="728" t="str">
        <f t="shared" si="96"/>
        <v/>
      </c>
      <c r="IZ12" s="768" t="str">
        <f t="shared" si="97"/>
        <v/>
      </c>
      <c r="JA12" s="769" t="str">
        <f t="shared" si="98"/>
        <v/>
      </c>
      <c r="JB12" s="768" t="str">
        <f t="shared" ref="JB12" si="195">IF(JA12&lt;0,"Invadiu REP-BA-C","")</f>
        <v/>
      </c>
      <c r="JC12" s="769" t="str">
        <f t="shared" si="100"/>
        <v/>
      </c>
      <c r="JD12" s="768" t="str">
        <f t="shared" si="101"/>
        <v/>
      </c>
      <c r="JE12" s="728" t="str">
        <f t="shared" si="102"/>
        <v/>
      </c>
      <c r="JF12" s="768" t="str">
        <f t="shared" si="103"/>
        <v/>
      </c>
      <c r="JG12" s="728" t="str">
        <f t="shared" si="104"/>
        <v/>
      </c>
      <c r="JH12" s="768" t="str">
        <f t="shared" si="105"/>
        <v/>
      </c>
      <c r="JI12" s="769" t="str">
        <f t="shared" si="106"/>
        <v/>
      </c>
      <c r="JJ12" s="768" t="str">
        <f t="shared" ref="JJ12" si="196">IF(JI12&lt;0,"Invadiu REP-BA-C","")</f>
        <v/>
      </c>
      <c r="JK12" s="769" t="str">
        <f t="shared" si="108"/>
        <v/>
      </c>
      <c r="JL12" s="768" t="str">
        <f t="shared" si="109"/>
        <v/>
      </c>
      <c r="JM12" s="728" t="str">
        <f t="shared" si="110"/>
        <v/>
      </c>
      <c r="JN12" s="768" t="str">
        <f t="shared" si="111"/>
        <v/>
      </c>
      <c r="JO12" s="728" t="str">
        <f t="shared" si="112"/>
        <v/>
      </c>
      <c r="JP12" s="768" t="str">
        <f t="shared" si="113"/>
        <v/>
      </c>
      <c r="JQ12" s="769" t="str">
        <f t="shared" si="114"/>
        <v/>
      </c>
      <c r="JR12" s="768" t="str">
        <f t="shared" ref="JR12" si="197">IF(JQ12&lt;0,"Invadiu REP-BA-C","")</f>
        <v/>
      </c>
      <c r="JS12" s="769" t="str">
        <f t="shared" si="116"/>
        <v/>
      </c>
      <c r="JT12" s="768" t="str">
        <f t="shared" si="117"/>
        <v/>
      </c>
      <c r="JU12" s="728" t="str">
        <f t="shared" si="118"/>
        <v/>
      </c>
      <c r="JV12" s="768" t="str">
        <f t="shared" si="119"/>
        <v/>
      </c>
      <c r="JW12" s="728" t="str">
        <f t="shared" si="120"/>
        <v/>
      </c>
      <c r="JX12" s="768" t="str">
        <f t="shared" si="121"/>
        <v/>
      </c>
      <c r="JY12" s="768" t="str">
        <f t="shared" si="122"/>
        <v/>
      </c>
      <c r="JZ12" s="485" t="str">
        <f>IF(JY12="","",IF(AND(C12=$C$164,JY12&lt;&gt;""),Verificarcpf(D12),IF(AND(C12=$C$165,JY12&lt;&gt;""),VerificarCNPJ(D12))))</f>
        <v/>
      </c>
      <c r="KA12" s="768" t="str">
        <f t="shared" si="123"/>
        <v/>
      </c>
      <c r="KB12" s="485">
        <f t="shared" si="124"/>
        <v>0</v>
      </c>
      <c r="KC12" s="768">
        <f t="shared" si="125"/>
        <v>0</v>
      </c>
      <c r="KD12" s="485">
        <f t="shared" si="126"/>
        <v>0</v>
      </c>
      <c r="KE12" s="447"/>
      <c r="KF12" s="548">
        <f t="shared" si="127"/>
        <v>0</v>
      </c>
      <c r="KG12" s="548" t="s">
        <v>181</v>
      </c>
      <c r="KH12" s="548"/>
      <c r="KI12" s="548"/>
      <c r="KJ12" s="548" t="str">
        <f t="shared" si="128"/>
        <v/>
      </c>
      <c r="KK12" s="548"/>
      <c r="KL12" s="548"/>
      <c r="KM12" s="548">
        <f t="array" ref="KM12">IF(SUM((KL12=$KL$3:KL11)*1)=0,KL12,0)</f>
        <v>0</v>
      </c>
      <c r="KN12" s="548"/>
      <c r="KO12" s="548"/>
      <c r="KP12" s="548"/>
      <c r="KQ12" s="548"/>
      <c r="KR12" s="548" t="str">
        <f t="shared" si="129"/>
        <v/>
      </c>
      <c r="KS12" s="548"/>
      <c r="KT12" s="548"/>
      <c r="KU12" s="548"/>
      <c r="KV12" s="548"/>
      <c r="KW12" s="548"/>
      <c r="KX12" s="548"/>
      <c r="KY12" s="548"/>
      <c r="KZ12" s="548"/>
      <c r="LA12" s="548"/>
      <c r="LB12" s="548"/>
      <c r="LC12" s="485" t="str">
        <f t="shared" si="142"/>
        <v/>
      </c>
      <c r="LD12" s="548"/>
      <c r="LE12" s="548"/>
      <c r="LF12" s="548"/>
      <c r="LG12" s="548"/>
      <c r="LH12" s="548"/>
      <c r="LI12" s="548"/>
      <c r="LJ12" s="548"/>
      <c r="LK12" s="548"/>
      <c r="LL12" s="548"/>
      <c r="LM12" s="548"/>
      <c r="LN12" s="548"/>
      <c r="LO12" s="548"/>
      <c r="LP12" s="485" t="str">
        <f t="shared" si="143"/>
        <v/>
      </c>
      <c r="LQ12" s="548"/>
      <c r="LR12" s="548"/>
      <c r="LS12" s="548"/>
      <c r="LT12" s="548"/>
      <c r="LU12" s="548"/>
      <c r="LV12" s="548"/>
      <c r="LW12" s="548"/>
      <c r="LX12" s="548"/>
      <c r="LY12" s="548"/>
      <c r="LZ12" s="548"/>
      <c r="MA12" s="548"/>
      <c r="MB12" s="548"/>
      <c r="MC12" s="485" t="str">
        <f t="shared" si="144"/>
        <v/>
      </c>
      <c r="MD12" s="548"/>
      <c r="ME12" s="548"/>
      <c r="MF12" s="548"/>
      <c r="MG12" s="548"/>
      <c r="MH12" s="548"/>
      <c r="MI12" s="548"/>
      <c r="MJ12" s="548"/>
      <c r="MK12" s="548"/>
      <c r="ML12" s="548"/>
      <c r="MM12" s="548"/>
      <c r="MN12" s="548"/>
      <c r="MO12" s="548"/>
      <c r="MP12" s="485" t="str">
        <f t="shared" si="145"/>
        <v/>
      </c>
      <c r="MQ12" s="548"/>
      <c r="MR12" s="548"/>
      <c r="MS12" s="548"/>
      <c r="MT12" s="548"/>
      <c r="MU12" s="548"/>
      <c r="MV12" s="548"/>
      <c r="MW12" s="548"/>
      <c r="MX12" s="548"/>
      <c r="MY12" s="548"/>
      <c r="MZ12" s="548"/>
      <c r="NA12" s="548"/>
      <c r="NB12" s="548"/>
      <c r="NC12" s="485" t="str">
        <f t="shared" si="146"/>
        <v/>
      </c>
      <c r="ND12" s="548"/>
      <c r="NE12" s="548"/>
      <c r="NF12" s="548"/>
      <c r="NG12" s="548"/>
      <c r="NH12" s="548"/>
      <c r="NI12" s="548"/>
      <c r="NJ12" s="548"/>
      <c r="NK12" s="548"/>
      <c r="NL12" s="548"/>
      <c r="NM12" s="548"/>
      <c r="NN12" s="548"/>
      <c r="NO12" s="548"/>
      <c r="NP12" s="485" t="str">
        <f t="shared" si="147"/>
        <v/>
      </c>
      <c r="NQ12" s="548"/>
      <c r="NR12" s="548"/>
      <c r="NS12" s="548"/>
      <c r="NT12" s="548"/>
      <c r="NU12" s="548"/>
      <c r="NV12" s="548"/>
      <c r="NW12" s="548"/>
      <c r="NX12" s="548"/>
      <c r="NY12" s="548"/>
      <c r="NZ12" s="548"/>
      <c r="OA12" s="548"/>
      <c r="OB12" s="548"/>
      <c r="OC12" s="485" t="str">
        <f t="shared" si="148"/>
        <v/>
      </c>
      <c r="OD12" s="548"/>
      <c r="OE12" s="548"/>
      <c r="OF12" s="548"/>
      <c r="OG12" s="548"/>
      <c r="OH12" s="548"/>
      <c r="OI12" s="548"/>
      <c r="OJ12" s="548"/>
      <c r="OK12" s="548"/>
      <c r="OL12" s="548"/>
      <c r="OM12" s="548"/>
      <c r="ON12" s="548"/>
      <c r="OO12" s="548"/>
      <c r="OP12" s="548"/>
      <c r="OQ12" s="548"/>
      <c r="OR12" s="548"/>
      <c r="OS12" s="548"/>
      <c r="OT12" s="548"/>
      <c r="OU12" s="548"/>
      <c r="OV12" s="548"/>
      <c r="OW12" s="548"/>
      <c r="OX12" s="548"/>
      <c r="OY12" s="548"/>
      <c r="OZ12" s="548"/>
      <c r="PA12" s="548"/>
      <c r="PB12" s="548"/>
      <c r="PC12" s="548"/>
      <c r="PD12" s="548"/>
      <c r="PE12" s="548"/>
      <c r="PF12" s="548"/>
      <c r="PG12" s="548"/>
      <c r="PH12" s="548"/>
      <c r="PI12" s="548"/>
      <c r="PJ12" s="548"/>
      <c r="PK12" s="548"/>
      <c r="PL12" s="548"/>
      <c r="PM12" s="548"/>
      <c r="PN12" s="548"/>
      <c r="PO12" s="548"/>
      <c r="PP12" s="548"/>
      <c r="PQ12" s="548"/>
      <c r="PR12" s="548"/>
      <c r="PS12" s="548"/>
      <c r="PT12" s="1001">
        <f>SUM($LL$4:$LL$130)</f>
        <v>0</v>
      </c>
      <c r="PU12" s="1001">
        <f>SUM($LM$4:$LM$130)</f>
        <v>0</v>
      </c>
      <c r="PV12" s="528"/>
      <c r="PW12" s="1001">
        <f>SUM($LY$4:$LY$130)</f>
        <v>0</v>
      </c>
      <c r="PX12" s="1001">
        <f>SUM($LZ$4:$LZ$130)</f>
        <v>0</v>
      </c>
      <c r="PY12" s="548"/>
      <c r="PZ12" s="1001">
        <f>SUM($ML$4:$ML$130)</f>
        <v>0</v>
      </c>
      <c r="QA12" s="1001">
        <f>SUM($MM$4:$MM$130)</f>
        <v>0</v>
      </c>
      <c r="QB12" s="528"/>
      <c r="QC12" s="1001">
        <f>SUM($MY$4:$MY$130)</f>
        <v>0</v>
      </c>
      <c r="QD12" s="1001">
        <f>SUM($MZ$4:$MZ$130)</f>
        <v>0</v>
      </c>
      <c r="QE12" s="548"/>
      <c r="QF12" s="1001">
        <f>SUM($NL$4:$NL$130)</f>
        <v>0</v>
      </c>
      <c r="QG12" s="1001">
        <f>SUM($NM$4:$NM$130)</f>
        <v>0</v>
      </c>
      <c r="QH12" s="548"/>
      <c r="QI12" s="1001">
        <f>SUM($NY$4:$NY$130)</f>
        <v>0</v>
      </c>
      <c r="QJ12" s="1001">
        <f>SUM($NZ$4:$NZ$130)</f>
        <v>0</v>
      </c>
      <c r="QK12" s="548"/>
      <c r="QL12" s="1001">
        <f>SUM($OL$4:$OL$130)</f>
        <v>0</v>
      </c>
      <c r="QM12" s="1001">
        <f>SUM($OM$4:$OM$130)</f>
        <v>0</v>
      </c>
      <c r="QN12" s="548"/>
      <c r="QO12" s="548"/>
      <c r="QP12" s="548"/>
      <c r="QQ12" s="1009"/>
      <c r="QR12" s="548"/>
      <c r="QS12" s="548"/>
      <c r="QT12" s="548"/>
      <c r="QU12" s="548"/>
      <c r="QV12" s="548"/>
      <c r="QW12" s="548"/>
      <c r="QX12" s="548"/>
      <c r="QY12" s="548"/>
      <c r="QZ12" s="548"/>
      <c r="RA12" s="548"/>
      <c r="RB12" s="548"/>
      <c r="RC12" s="548"/>
      <c r="RD12" s="548"/>
      <c r="RE12" s="548"/>
      <c r="RF12" s="548"/>
      <c r="RG12" s="548"/>
      <c r="RH12" s="548"/>
      <c r="RI12" s="548"/>
      <c r="RJ12" s="548"/>
      <c r="RK12" s="548"/>
      <c r="RL12" s="548"/>
      <c r="RM12" s="548"/>
      <c r="RN12" s="548"/>
      <c r="RO12" s="548"/>
      <c r="RP12" s="548"/>
      <c r="RQ12" s="548"/>
      <c r="RR12" s="548"/>
      <c r="RS12" s="548"/>
      <c r="RT12" s="548"/>
      <c r="RU12" s="548"/>
      <c r="RV12" s="548"/>
      <c r="RW12" s="548"/>
      <c r="RX12" s="548"/>
      <c r="RY12" s="548"/>
      <c r="RZ12" s="548"/>
      <c r="SA12" s="548"/>
      <c r="SB12" s="548"/>
      <c r="SC12" s="548"/>
      <c r="SD12" s="548"/>
      <c r="SE12" s="548"/>
      <c r="SF12" s="548"/>
      <c r="SG12" s="548"/>
      <c r="SH12" s="548"/>
      <c r="SI12" s="548"/>
      <c r="SJ12" s="548"/>
      <c r="SK12" s="548"/>
      <c r="SL12" s="548"/>
      <c r="SM12" s="548"/>
      <c r="SN12" s="548"/>
      <c r="SO12" s="548"/>
      <c r="SP12" s="548"/>
      <c r="SQ12" s="548"/>
      <c r="SR12" s="548"/>
      <c r="SS12" s="548"/>
      <c r="ST12" s="548"/>
      <c r="SU12" s="548"/>
      <c r="SV12" s="548"/>
      <c r="SW12" s="548"/>
      <c r="SX12" s="548"/>
      <c r="SY12" s="548"/>
      <c r="SZ12" s="548"/>
      <c r="TA12" s="548"/>
      <c r="TB12" s="548"/>
      <c r="TC12" s="548"/>
      <c r="TD12" s="548"/>
      <c r="TE12" s="548"/>
      <c r="TF12" s="548"/>
      <c r="TG12" s="548"/>
      <c r="TH12" s="548"/>
      <c r="TI12" s="548"/>
      <c r="TJ12" s="548"/>
      <c r="TK12" s="548"/>
      <c r="TL12" s="548"/>
      <c r="TM12" s="548"/>
      <c r="TN12" s="548"/>
      <c r="TO12" s="548"/>
      <c r="TP12" s="548"/>
      <c r="TQ12" s="548"/>
      <c r="TR12" s="548"/>
      <c r="TS12" s="548"/>
      <c r="TT12" s="548"/>
      <c r="TU12" s="548"/>
      <c r="TV12" s="548"/>
      <c r="TW12" s="548"/>
      <c r="TX12" s="548"/>
      <c r="TY12" s="548"/>
      <c r="TZ12" s="548"/>
      <c r="UA12" s="548"/>
      <c r="UB12" s="548"/>
      <c r="UC12" s="548"/>
      <c r="UD12" s="548"/>
      <c r="UE12" s="548"/>
      <c r="UF12" s="548"/>
      <c r="UG12" s="548"/>
      <c r="UH12" s="548"/>
      <c r="UI12" s="548"/>
      <c r="UJ12" s="548"/>
      <c r="UK12" s="548"/>
      <c r="UL12" s="548"/>
      <c r="UM12" s="548"/>
      <c r="UN12" s="548"/>
      <c r="UO12" s="548"/>
      <c r="UP12" s="548"/>
      <c r="UQ12" s="548"/>
      <c r="UR12" s="548"/>
      <c r="US12" s="548"/>
      <c r="UT12" s="548"/>
      <c r="UU12" s="548"/>
      <c r="UV12" s="548"/>
      <c r="UW12" s="548"/>
      <c r="UX12" s="548"/>
      <c r="UY12" s="548"/>
      <c r="UZ12" s="548"/>
      <c r="VA12" s="548"/>
      <c r="VB12" s="548"/>
      <c r="VC12" s="548"/>
      <c r="VD12" s="548"/>
      <c r="VE12" s="548"/>
      <c r="VF12" s="548"/>
      <c r="VG12" s="548"/>
      <c r="VH12" s="548"/>
      <c r="VI12" s="548"/>
      <c r="VJ12" s="548"/>
      <c r="VK12" s="548"/>
      <c r="VL12" s="548"/>
      <c r="VM12" s="548"/>
      <c r="VN12" s="548"/>
      <c r="VO12" s="548"/>
      <c r="VP12" s="548"/>
      <c r="VQ12" s="548"/>
      <c r="VR12" s="548"/>
      <c r="VS12" s="548"/>
      <c r="VT12" s="548"/>
      <c r="VU12" s="548"/>
      <c r="VV12" s="548"/>
      <c r="VW12" s="548"/>
      <c r="VX12" s="548"/>
      <c r="VY12" s="548"/>
      <c r="VZ12" s="548"/>
      <c r="WA12" s="548"/>
      <c r="WB12" s="548"/>
      <c r="WC12" s="548"/>
      <c r="WD12" s="548"/>
      <c r="WE12" s="548"/>
      <c r="WF12" s="548"/>
      <c r="WG12" s="548"/>
      <c r="WH12" s="548"/>
      <c r="WI12" s="548"/>
      <c r="WJ12" s="548"/>
      <c r="WK12" s="548"/>
      <c r="WL12" s="548"/>
      <c r="WM12" s="548"/>
      <c r="WN12" s="548"/>
      <c r="WO12" s="548"/>
      <c r="WP12" s="548"/>
      <c r="WQ12" s="548"/>
      <c r="WR12" s="548"/>
      <c r="WS12" s="548"/>
      <c r="WT12" s="548"/>
      <c r="WU12" s="548"/>
      <c r="WV12" s="548"/>
      <c r="WW12" s="548"/>
      <c r="WX12" s="548"/>
      <c r="WY12" s="548"/>
      <c r="WZ12" s="548"/>
      <c r="XA12" s="548"/>
      <c r="XB12" s="548"/>
      <c r="XC12" s="548"/>
      <c r="XD12" s="548"/>
      <c r="XE12" s="548"/>
      <c r="XF12" s="548"/>
      <c r="XG12" s="548"/>
      <c r="XH12" s="548"/>
      <c r="XI12" s="548"/>
      <c r="XJ12" s="548"/>
      <c r="XK12" s="548"/>
      <c r="XL12" s="548"/>
      <c r="XM12" s="548"/>
      <c r="XN12" s="548"/>
      <c r="XO12" s="548"/>
      <c r="XP12" s="548"/>
      <c r="XQ12" s="548"/>
      <c r="XR12" s="548"/>
      <c r="XS12" s="548"/>
      <c r="XT12" s="548"/>
      <c r="XU12" s="548"/>
      <c r="XV12" s="548"/>
      <c r="XW12" s="548"/>
      <c r="XX12" s="548"/>
      <c r="XY12" s="548"/>
      <c r="XZ12" s="548"/>
      <c r="YA12" s="548"/>
      <c r="YB12" s="548"/>
      <c r="YC12" s="548"/>
      <c r="YD12" s="548"/>
      <c r="YE12" s="548"/>
      <c r="YF12" s="548"/>
      <c r="YG12" s="548"/>
      <c r="YH12" s="548"/>
      <c r="YI12" s="548"/>
      <c r="YJ12" s="548"/>
      <c r="YK12" s="548"/>
      <c r="YL12" s="548"/>
      <c r="YM12" s="548"/>
      <c r="YN12" s="548"/>
      <c r="YO12" s="548"/>
      <c r="YP12" s="548"/>
      <c r="YQ12" s="548"/>
      <c r="YR12" s="548"/>
      <c r="YS12" s="548"/>
      <c r="YT12" s="548"/>
      <c r="YU12" s="548"/>
      <c r="YV12" s="548"/>
      <c r="YW12" s="548"/>
      <c r="YX12" s="548"/>
      <c r="YY12" s="548"/>
      <c r="YZ12" s="548"/>
      <c r="ZA12" s="548"/>
      <c r="ZB12" s="548"/>
      <c r="ZC12" s="548"/>
      <c r="ZD12" s="548"/>
      <c r="ZE12" s="548"/>
      <c r="ZF12" s="548"/>
      <c r="ZG12" s="548"/>
      <c r="ZH12" s="548"/>
      <c r="ZI12" s="548"/>
      <c r="ZJ12" s="548"/>
      <c r="ZK12" s="548"/>
      <c r="ZL12" s="548"/>
      <c r="ZM12" s="548"/>
      <c r="ZN12" s="548"/>
      <c r="ZO12" s="548"/>
      <c r="ZP12" s="548"/>
      <c r="ZQ12" s="548"/>
      <c r="ZR12" s="548"/>
      <c r="ZS12" s="548"/>
      <c r="ZT12" s="548"/>
      <c r="ZU12" s="548"/>
      <c r="ZV12" s="548"/>
      <c r="ZW12" s="548"/>
      <c r="ZX12" s="548"/>
      <c r="ZY12" s="548"/>
      <c r="ZZ12" s="548"/>
      <c r="AAA12" s="548"/>
      <c r="AAB12" s="548"/>
      <c r="AAC12" s="548"/>
      <c r="AAD12" s="548"/>
      <c r="AAE12" s="548"/>
      <c r="AAF12" s="548"/>
      <c r="AAG12" s="548"/>
      <c r="AAH12" s="548"/>
      <c r="AAI12" s="548"/>
      <c r="AAJ12" s="548"/>
      <c r="AAK12" s="548"/>
      <c r="AAL12" s="548"/>
      <c r="AAM12" s="548"/>
      <c r="AAN12" s="548"/>
      <c r="AAO12" s="548"/>
      <c r="AAP12" s="548"/>
      <c r="AAQ12" s="548"/>
      <c r="AAR12" s="548"/>
      <c r="AAS12" s="548"/>
      <c r="AAT12" s="548"/>
      <c r="AAU12" s="548"/>
      <c r="AAV12" s="548"/>
      <c r="AAW12" s="548"/>
      <c r="AAX12" s="548"/>
      <c r="AAY12" s="548"/>
      <c r="AAZ12" s="548"/>
      <c r="ABA12" s="548"/>
      <c r="ABB12" s="548"/>
      <c r="ABC12" s="548"/>
      <c r="ABD12" s="548"/>
      <c r="ABE12" s="548"/>
      <c r="ABF12" s="548"/>
      <c r="ABG12" s="548"/>
      <c r="ABH12" s="548"/>
      <c r="ABI12" s="548"/>
      <c r="ABJ12" s="548"/>
      <c r="ABK12" s="548"/>
      <c r="ABL12" s="548"/>
      <c r="ABM12" s="548"/>
      <c r="ABN12" s="548"/>
      <c r="ABO12" s="548"/>
      <c r="ABP12" s="548"/>
      <c r="ABQ12" s="548"/>
      <c r="ABR12" s="548"/>
      <c r="ABS12" s="548"/>
    </row>
    <row r="13" spans="1:747" customFormat="1" ht="15" customHeight="1" x14ac:dyDescent="0.2">
      <c r="A13" s="424" t="str">
        <f t="shared" si="149"/>
        <v/>
      </c>
      <c r="B13" s="415"/>
      <c r="C13" s="525"/>
      <c r="D13" s="750"/>
      <c r="E13" s="416" t="str">
        <f t="shared" si="0"/>
        <v/>
      </c>
      <c r="F13" s="527" t="str">
        <f t="shared" si="1"/>
        <v/>
      </c>
      <c r="G13" s="417"/>
      <c r="H13" s="583" t="str">
        <f t="shared" si="2"/>
        <v/>
      </c>
      <c r="I13" s="424"/>
      <c r="J13" s="419"/>
      <c r="K13" s="418"/>
      <c r="L13" s="419"/>
      <c r="M13" s="415"/>
      <c r="N13" s="420"/>
      <c r="O13" s="421"/>
      <c r="P13" s="561"/>
      <c r="Q13" s="422"/>
      <c r="R13" s="767" t="str">
        <f t="shared" si="3"/>
        <v/>
      </c>
      <c r="S13" s="664"/>
      <c r="T13" s="663"/>
      <c r="U13" s="580">
        <f t="shared" si="4"/>
        <v>0</v>
      </c>
      <c r="V13" s="418"/>
      <c r="W13" s="582" t="str">
        <f t="shared" si="5"/>
        <v/>
      </c>
      <c r="X13" s="479" t="str">
        <f t="shared" si="6"/>
        <v/>
      </c>
      <c r="Y13" s="582" t="str">
        <f t="shared" si="7"/>
        <v/>
      </c>
      <c r="Z13" s="317" t="str">
        <f t="shared" si="8"/>
        <v/>
      </c>
      <c r="AA13" s="317" t="str">
        <f t="shared" si="9"/>
        <v/>
      </c>
      <c r="AB13" s="317">
        <f t="shared" si="10"/>
        <v>0</v>
      </c>
      <c r="AC13" s="317" t="str">
        <f t="shared" si="11"/>
        <v/>
      </c>
      <c r="AD13" s="317"/>
      <c r="AE13" s="479"/>
      <c r="AF13" s="479"/>
      <c r="AG13" s="423"/>
      <c r="AH13" s="820"/>
      <c r="AI13" s="480"/>
      <c r="AJ13" s="660"/>
      <c r="AK13" s="524" t="str">
        <f t="shared" si="12"/>
        <v/>
      </c>
      <c r="AL13" s="731">
        <f>SUMIF($J$4:$J$102,"Básico",$S$4:$S$102)</f>
        <v>0</v>
      </c>
      <c r="AM13" s="732">
        <f>SUMIF($J$4:$J$102,"Básico",$T$4:$T$102)</f>
        <v>0</v>
      </c>
      <c r="AN13" s="495">
        <f t="shared" si="13"/>
        <v>0</v>
      </c>
      <c r="AO13" s="795" t="str">
        <f t="shared" si="37"/>
        <v/>
      </c>
      <c r="AP13" s="495" t="str">
        <f t="shared" si="14"/>
        <v/>
      </c>
      <c r="AQ13" s="528"/>
      <c r="AR13" s="528"/>
      <c r="AS13" s="759"/>
      <c r="AT13" s="760"/>
      <c r="AU13" s="761"/>
      <c r="AV13" s="539"/>
      <c r="AW13" s="540"/>
      <c r="AX13" s="788"/>
      <c r="AY13" s="789">
        <f t="shared" si="15"/>
        <v>0</v>
      </c>
      <c r="AZ13" s="495"/>
      <c r="BA13" s="495" t="str">
        <f t="shared" si="16"/>
        <v/>
      </c>
      <c r="BB13" s="495"/>
      <c r="BC13" s="495"/>
      <c r="BD13" s="495">
        <f t="array" ref="BD13">IF(SUM((BC13=$BC$3:BC12)*1)=0,BC13,0)</f>
        <v>0</v>
      </c>
      <c r="BE13" s="495"/>
      <c r="BF13" s="495"/>
      <c r="BG13" s="495">
        <f t="array" ref="BG13">IF(SUM((BF13=$BF$3:BF12)*1)=0,BF13,0)</f>
        <v>0</v>
      </c>
      <c r="BH13" s="495"/>
      <c r="BI13" s="495"/>
      <c r="BJ13" s="495"/>
      <c r="BK13" s="495"/>
      <c r="BL13" s="495"/>
      <c r="BM13" s="495"/>
      <c r="BN13" s="495"/>
      <c r="BO13" s="528"/>
      <c r="BP13" s="782">
        <f t="shared" si="17"/>
        <v>0</v>
      </c>
      <c r="BQ13" s="528"/>
      <c r="BR13" s="791"/>
      <c r="BS13" s="528"/>
      <c r="BT13" s="678"/>
      <c r="BU13" s="495"/>
      <c r="BV13" s="495" t="str">
        <f t="shared" si="18"/>
        <v/>
      </c>
      <c r="BW13" s="495" t="str">
        <f t="shared" si="38"/>
        <v/>
      </c>
      <c r="BX13" s="435"/>
      <c r="BY13" s="435"/>
      <c r="BZ13" s="435"/>
      <c r="CA13" s="435"/>
      <c r="CB13" s="435"/>
      <c r="CC13" s="435"/>
      <c r="CD13" s="435"/>
      <c r="CE13" s="435"/>
      <c r="CF13" s="435"/>
      <c r="CG13" s="435"/>
      <c r="CH13" s="435"/>
      <c r="CI13" s="435"/>
      <c r="CJ13" s="528" t="str">
        <f t="shared" si="39"/>
        <v/>
      </c>
      <c r="CK13" s="495"/>
      <c r="CL13" s="528"/>
      <c r="CM13" s="495"/>
      <c r="CN13" s="528"/>
      <c r="CO13" s="528"/>
      <c r="CP13" s="528"/>
      <c r="CQ13" s="528"/>
      <c r="CR13" s="528"/>
      <c r="CS13" s="528"/>
      <c r="CT13" s="528"/>
      <c r="CU13" s="528"/>
      <c r="CV13" s="528"/>
      <c r="CW13" s="797">
        <f>SUM($CS$4:$CS$144)</f>
        <v>0</v>
      </c>
      <c r="CX13" s="797">
        <f>SUM($CT$4:$CT$144)</f>
        <v>0</v>
      </c>
      <c r="CY13" s="528">
        <v>10</v>
      </c>
      <c r="CZ13" s="797">
        <f>SUM($CF$4:$CF$144)</f>
        <v>0</v>
      </c>
      <c r="DA13" s="797">
        <f>SUM($CG$4:$CG$144)</f>
        <v>0</v>
      </c>
      <c r="DB13" s="495"/>
      <c r="DC13" s="528" t="s">
        <v>753</v>
      </c>
      <c r="DD13" s="528" t="s">
        <v>913</v>
      </c>
      <c r="DE13" s="495" t="str">
        <f t="shared" si="40"/>
        <v/>
      </c>
      <c r="DF13" s="495" t="str">
        <f t="shared" si="41"/>
        <v/>
      </c>
      <c r="DG13" s="495" t="str">
        <f t="shared" si="42"/>
        <v/>
      </c>
      <c r="DH13" s="495" t="str">
        <f t="shared" si="43"/>
        <v/>
      </c>
      <c r="DI13" s="495" t="str">
        <f t="shared" si="44"/>
        <v/>
      </c>
      <c r="DJ13" s="495" t="str">
        <f t="shared" si="45"/>
        <v/>
      </c>
      <c r="DK13" s="495" t="str">
        <f t="shared" si="19"/>
        <v/>
      </c>
      <c r="DL13" s="495" t="str">
        <f t="shared" si="20"/>
        <v/>
      </c>
      <c r="DM13" s="495" t="str">
        <f t="shared" si="46"/>
        <v/>
      </c>
      <c r="DN13" s="495" t="str">
        <f t="shared" si="47"/>
        <v/>
      </c>
      <c r="DO13" s="495" t="str">
        <f t="shared" si="21"/>
        <v/>
      </c>
      <c r="DP13" s="495" t="str">
        <f t="shared" si="22"/>
        <v/>
      </c>
      <c r="DQ13" s="495" t="str">
        <f t="shared" si="48"/>
        <v/>
      </c>
      <c r="DR13" s="495" t="str">
        <f t="shared" si="49"/>
        <v/>
      </c>
      <c r="DS13" s="495" t="str">
        <f t="shared" si="23"/>
        <v/>
      </c>
      <c r="DT13" s="495" t="str">
        <f t="shared" si="24"/>
        <v/>
      </c>
      <c r="DU13" s="495" t="str">
        <f t="shared" si="50"/>
        <v/>
      </c>
      <c r="DV13" s="495" t="str">
        <f t="shared" si="51"/>
        <v/>
      </c>
      <c r="DW13" s="495" t="str">
        <f t="shared" si="25"/>
        <v/>
      </c>
      <c r="DX13" s="495" t="str">
        <f t="shared" si="26"/>
        <v/>
      </c>
      <c r="DY13" s="495" t="str">
        <f t="shared" si="52"/>
        <v/>
      </c>
      <c r="DZ13" s="495" t="str">
        <f t="shared" si="53"/>
        <v/>
      </c>
      <c r="EA13" s="495" t="str">
        <f t="shared" si="27"/>
        <v/>
      </c>
      <c r="EB13" s="495" t="str">
        <f t="shared" si="28"/>
        <v/>
      </c>
      <c r="EC13" s="495" t="str">
        <f t="shared" si="29"/>
        <v/>
      </c>
      <c r="ED13" s="495" t="str">
        <f t="shared" si="30"/>
        <v/>
      </c>
      <c r="EE13" s="495" t="str">
        <f t="shared" si="31"/>
        <v/>
      </c>
      <c r="EF13" s="495" t="str">
        <f t="shared" si="32"/>
        <v/>
      </c>
      <c r="EG13" s="495" t="str">
        <f t="shared" si="33"/>
        <v/>
      </c>
      <c r="EH13" s="495" t="str">
        <f t="shared" si="34"/>
        <v/>
      </c>
      <c r="EI13" s="495" t="str">
        <f t="shared" si="35"/>
        <v/>
      </c>
      <c r="EJ13" s="495" t="str">
        <f t="shared" si="36"/>
        <v/>
      </c>
      <c r="EK13" s="485"/>
      <c r="EL13" s="485"/>
      <c r="EM13" s="485"/>
      <c r="EN13" s="485"/>
      <c r="EO13" s="447"/>
      <c r="EP13" s="447"/>
      <c r="EQ13" s="447"/>
      <c r="ER13" s="447"/>
      <c r="ES13" s="447"/>
      <c r="ET13" s="495"/>
      <c r="EU13" s="495"/>
      <c r="EV13" s="495"/>
      <c r="EW13" s="495"/>
      <c r="EX13" s="528"/>
      <c r="EY13" s="528"/>
      <c r="EZ13" s="528"/>
      <c r="FA13" s="856"/>
      <c r="FB13" s="783">
        <f t="array" ref="FB13">IF(SUM((FA13=$FA$3:FA12)*1)=0,FA13,0)</f>
        <v>0</v>
      </c>
      <c r="FC13" s="795"/>
      <c r="FD13" s="795"/>
      <c r="FE13" s="795">
        <f t="array" ref="FE13">IF(SUM((FD13=$FD$3:FD12)*1)=0,FD13,0)</f>
        <v>0</v>
      </c>
      <c r="FF13" s="795"/>
      <c r="FG13" s="795"/>
      <c r="FH13" s="795"/>
      <c r="FI13" s="783">
        <f t="array" ref="FI13">IF(SUM((FH13=$FH$3:FH12)*1)=0,FH13,0)</f>
        <v>0</v>
      </c>
      <c r="FJ13" s="795"/>
      <c r="FK13" s="795"/>
      <c r="FL13" s="795">
        <f t="array" ref="FL13">IF(SUM((FK13=$FK$3:FK12)*1)=0,FK13,0)</f>
        <v>0</v>
      </c>
      <c r="FM13" s="795"/>
      <c r="FN13" s="795"/>
      <c r="FO13" s="795"/>
      <c r="FP13" s="783">
        <f t="array" ref="FP13">IF(SUM((FO13=$FO$3:FO12)*1)=0,FO13,0)</f>
        <v>0</v>
      </c>
      <c r="FQ13" s="795"/>
      <c r="FR13" s="795"/>
      <c r="FS13" s="795">
        <f t="array" ref="FS13">IF(SUM((FR13=$FR$3:FR12)*1)=0,FR13,0)</f>
        <v>0</v>
      </c>
      <c r="FT13" s="795"/>
      <c r="FU13" s="795"/>
      <c r="FV13" s="795"/>
      <c r="FW13" s="783">
        <f t="array" ref="FW13">IF(SUM((FV13=$FV$3:FV12)*1)=0,FV13,0)</f>
        <v>0</v>
      </c>
      <c r="FX13" s="795"/>
      <c r="FY13" s="795"/>
      <c r="FZ13" s="795">
        <f t="array" ref="FZ13">IF(SUM((FY13=$FY$3:FY12)*1)=0,FY13,0)</f>
        <v>0</v>
      </c>
      <c r="GA13" s="795"/>
      <c r="GB13" s="795"/>
      <c r="GC13" s="795"/>
      <c r="GD13" s="783">
        <f t="array" ref="GD13">IF(SUM((GC13=$GC$3:GC12)*1)=0,GC13,0)</f>
        <v>0</v>
      </c>
      <c r="GE13" s="795"/>
      <c r="GF13" s="795"/>
      <c r="GG13" s="795">
        <f t="array" ref="GG13">IF(SUM((GF13=$GF$3:GF12)*1)=0,GF13,0)</f>
        <v>0</v>
      </c>
      <c r="GH13" s="795"/>
      <c r="GI13" s="795"/>
      <c r="GJ13" s="795"/>
      <c r="GK13" s="798">
        <f t="array" ref="GK13">IF(SUM((GJ13=$GJ$3:GJ12)*1)=0,GJ13,0)</f>
        <v>0</v>
      </c>
      <c r="GL13" s="795"/>
      <c r="GM13" s="795"/>
      <c r="GN13" s="798">
        <f t="array" ref="GN13">IF(SUM((GM13=$GM$3:GM12)*1)=0,GM13,0)</f>
        <v>0</v>
      </c>
      <c r="GO13" s="795"/>
      <c r="GP13" s="795"/>
      <c r="GQ13" s="795"/>
      <c r="GR13" s="798">
        <f t="array" ref="GR13">IF(SUM((GQ13=$GQ$3:GQ12)*1)=0,GQ13,0)</f>
        <v>0</v>
      </c>
      <c r="GS13" s="795"/>
      <c r="GT13" s="795"/>
      <c r="GU13" s="798">
        <f t="array" ref="GU13">IF(SUM((GT13=$GT$3:GT12)*1)=0,GT13,0)</f>
        <v>0</v>
      </c>
      <c r="GV13" s="795"/>
      <c r="GW13" s="795"/>
      <c r="GX13" s="795"/>
      <c r="GY13" s="798">
        <f t="array" ref="GY13">IF(SUM((GX13=$GX$3:GX12)*1)=0,GX13,0)</f>
        <v>0</v>
      </c>
      <c r="GZ13" s="795"/>
      <c r="HA13" s="795"/>
      <c r="HB13" s="798">
        <f t="array" ref="HB13">IF(SUM((HA13=$HA$3:HA12)*1)=0,HA13,0)</f>
        <v>0</v>
      </c>
      <c r="HC13" s="795"/>
      <c r="HD13" s="795"/>
      <c r="HE13" s="769" t="str">
        <f t="shared" si="130"/>
        <v/>
      </c>
      <c r="HF13" s="768" t="str">
        <f t="shared" si="54"/>
        <v/>
      </c>
      <c r="HG13" s="769" t="str">
        <f t="shared" si="131"/>
        <v/>
      </c>
      <c r="HH13" s="768" t="str">
        <f t="shared" si="55"/>
        <v/>
      </c>
      <c r="HI13" s="728" t="str">
        <f t="shared" si="132"/>
        <v/>
      </c>
      <c r="HJ13" s="768" t="str">
        <f t="shared" si="56"/>
        <v/>
      </c>
      <c r="HK13" s="728" t="str">
        <f t="shared" si="133"/>
        <v/>
      </c>
      <c r="HL13" s="768" t="str">
        <f t="shared" si="57"/>
        <v/>
      </c>
      <c r="HM13" s="769" t="str">
        <f t="shared" si="58"/>
        <v/>
      </c>
      <c r="HN13" s="768" t="str">
        <f t="shared" ref="HN13" si="198">IF(HM13&lt;0,"Invadiu REP-BA-C","")</f>
        <v/>
      </c>
      <c r="HO13" s="769" t="str">
        <f t="shared" si="60"/>
        <v/>
      </c>
      <c r="HP13" s="768" t="str">
        <f t="shared" si="61"/>
        <v/>
      </c>
      <c r="HQ13" s="728" t="str">
        <f t="shared" si="62"/>
        <v/>
      </c>
      <c r="HR13" s="768" t="str">
        <f t="shared" si="63"/>
        <v/>
      </c>
      <c r="HS13" s="728" t="str">
        <f t="shared" si="64"/>
        <v/>
      </c>
      <c r="HT13" s="768" t="str">
        <f t="shared" si="65"/>
        <v/>
      </c>
      <c r="HU13" s="769" t="str">
        <f t="shared" si="66"/>
        <v/>
      </c>
      <c r="HV13" s="768" t="str">
        <f t="shared" ref="HV13" si="199">IF(HU13&lt;0,"Invadiu REP-BA-C","")</f>
        <v/>
      </c>
      <c r="HW13" s="769" t="str">
        <f t="shared" si="68"/>
        <v/>
      </c>
      <c r="HX13" s="768" t="str">
        <f t="shared" si="69"/>
        <v/>
      </c>
      <c r="HY13" s="728" t="str">
        <f t="shared" si="70"/>
        <v/>
      </c>
      <c r="HZ13" s="768" t="str">
        <f t="shared" si="71"/>
        <v/>
      </c>
      <c r="IA13" s="728" t="str">
        <f t="shared" si="72"/>
        <v/>
      </c>
      <c r="IB13" s="768" t="str">
        <f t="shared" si="73"/>
        <v/>
      </c>
      <c r="IC13" s="769" t="str">
        <f t="shared" si="74"/>
        <v/>
      </c>
      <c r="ID13" s="768" t="str">
        <f t="shared" ref="ID13" si="200">IF(IC13&lt;0,"Invadiu REP-BA-C","")</f>
        <v/>
      </c>
      <c r="IE13" s="769" t="str">
        <f t="shared" si="76"/>
        <v/>
      </c>
      <c r="IF13" s="768" t="str">
        <f t="shared" si="77"/>
        <v/>
      </c>
      <c r="IG13" s="728" t="str">
        <f t="shared" si="78"/>
        <v/>
      </c>
      <c r="IH13" s="768" t="str">
        <f t="shared" si="79"/>
        <v/>
      </c>
      <c r="II13" s="728" t="str">
        <f t="shared" si="80"/>
        <v/>
      </c>
      <c r="IJ13" s="768" t="str">
        <f t="shared" si="81"/>
        <v/>
      </c>
      <c r="IK13" s="769" t="str">
        <f t="shared" si="82"/>
        <v/>
      </c>
      <c r="IL13" s="768" t="str">
        <f t="shared" ref="IL13" si="201">IF(IK13&lt;0,"Invadiu REP-BA-C","")</f>
        <v/>
      </c>
      <c r="IM13" s="769" t="str">
        <f t="shared" si="84"/>
        <v/>
      </c>
      <c r="IN13" s="768" t="str">
        <f t="shared" si="85"/>
        <v/>
      </c>
      <c r="IO13" s="728" t="str">
        <f t="shared" si="86"/>
        <v/>
      </c>
      <c r="IP13" s="768" t="str">
        <f t="shared" si="87"/>
        <v/>
      </c>
      <c r="IQ13" s="728" t="str">
        <f t="shared" si="88"/>
        <v/>
      </c>
      <c r="IR13" s="768" t="str">
        <f t="shared" si="89"/>
        <v/>
      </c>
      <c r="IS13" s="769" t="str">
        <f t="shared" si="90"/>
        <v/>
      </c>
      <c r="IT13" s="768" t="str">
        <f t="shared" ref="IT13" si="202">IF(IS13&lt;0,"Invadiu REP-BA-C","")</f>
        <v/>
      </c>
      <c r="IU13" s="769" t="str">
        <f t="shared" si="92"/>
        <v/>
      </c>
      <c r="IV13" s="768" t="str">
        <f t="shared" si="93"/>
        <v/>
      </c>
      <c r="IW13" s="728" t="str">
        <f t="shared" si="94"/>
        <v/>
      </c>
      <c r="IX13" s="768" t="str">
        <f t="shared" si="95"/>
        <v/>
      </c>
      <c r="IY13" s="728" t="str">
        <f t="shared" si="96"/>
        <v/>
      </c>
      <c r="IZ13" s="768" t="str">
        <f t="shared" si="97"/>
        <v/>
      </c>
      <c r="JA13" s="769" t="str">
        <f t="shared" si="98"/>
        <v/>
      </c>
      <c r="JB13" s="768" t="str">
        <f t="shared" ref="JB13" si="203">IF(JA13&lt;0,"Invadiu REP-BA-C","")</f>
        <v/>
      </c>
      <c r="JC13" s="769" t="str">
        <f t="shared" si="100"/>
        <v/>
      </c>
      <c r="JD13" s="768" t="str">
        <f t="shared" si="101"/>
        <v/>
      </c>
      <c r="JE13" s="728" t="str">
        <f t="shared" si="102"/>
        <v/>
      </c>
      <c r="JF13" s="768" t="str">
        <f t="shared" si="103"/>
        <v/>
      </c>
      <c r="JG13" s="728" t="str">
        <f t="shared" si="104"/>
        <v/>
      </c>
      <c r="JH13" s="768" t="str">
        <f t="shared" si="105"/>
        <v/>
      </c>
      <c r="JI13" s="769" t="str">
        <f t="shared" si="106"/>
        <v/>
      </c>
      <c r="JJ13" s="768" t="str">
        <f t="shared" ref="JJ13" si="204">IF(JI13&lt;0,"Invadiu REP-BA-C","")</f>
        <v/>
      </c>
      <c r="JK13" s="769" t="str">
        <f t="shared" si="108"/>
        <v/>
      </c>
      <c r="JL13" s="768" t="str">
        <f t="shared" si="109"/>
        <v/>
      </c>
      <c r="JM13" s="728" t="str">
        <f t="shared" si="110"/>
        <v/>
      </c>
      <c r="JN13" s="768" t="str">
        <f t="shared" si="111"/>
        <v/>
      </c>
      <c r="JO13" s="728" t="str">
        <f t="shared" si="112"/>
        <v/>
      </c>
      <c r="JP13" s="768" t="str">
        <f t="shared" si="113"/>
        <v/>
      </c>
      <c r="JQ13" s="769" t="str">
        <f t="shared" si="114"/>
        <v/>
      </c>
      <c r="JR13" s="768" t="str">
        <f t="shared" ref="JR13" si="205">IF(JQ13&lt;0,"Invadiu REP-BA-C","")</f>
        <v/>
      </c>
      <c r="JS13" s="769" t="str">
        <f t="shared" si="116"/>
        <v/>
      </c>
      <c r="JT13" s="768" t="str">
        <f t="shared" si="117"/>
        <v/>
      </c>
      <c r="JU13" s="728" t="str">
        <f t="shared" si="118"/>
        <v/>
      </c>
      <c r="JV13" s="768" t="str">
        <f t="shared" si="119"/>
        <v/>
      </c>
      <c r="JW13" s="728" t="str">
        <f t="shared" si="120"/>
        <v/>
      </c>
      <c r="JX13" s="768" t="str">
        <f t="shared" si="121"/>
        <v/>
      </c>
      <c r="JY13" s="768" t="str">
        <f t="shared" si="122"/>
        <v/>
      </c>
      <c r="JZ13" s="485" t="str">
        <f>IF(JY13="","",IF(AND(C13=$C$164,JY13&lt;&gt;""),Verificarcpf(D13),IF(AND(C13=$C$165,JY13&lt;&gt;""),VerificarCNPJ(D13))))</f>
        <v/>
      </c>
      <c r="KA13" s="768" t="str">
        <f t="shared" si="123"/>
        <v/>
      </c>
      <c r="KB13" s="485">
        <f t="shared" si="124"/>
        <v>0</v>
      </c>
      <c r="KC13" s="768">
        <f t="shared" si="125"/>
        <v>0</v>
      </c>
      <c r="KD13" s="485">
        <f t="shared" si="126"/>
        <v>0</v>
      </c>
      <c r="KE13" s="447"/>
      <c r="KF13" s="548">
        <f t="shared" si="127"/>
        <v>0</v>
      </c>
      <c r="KG13" s="548" t="s">
        <v>182</v>
      </c>
      <c r="KH13" s="548"/>
      <c r="KI13" s="548"/>
      <c r="KJ13" s="548" t="str">
        <f t="shared" si="128"/>
        <v/>
      </c>
      <c r="KK13" s="548"/>
      <c r="KL13" s="548"/>
      <c r="KM13" s="548">
        <f t="array" ref="KM13">IF(SUM((KL13=$KL$3:KL12)*1)=0,KL13,0)</f>
        <v>0</v>
      </c>
      <c r="KN13" s="548"/>
      <c r="KO13" s="548"/>
      <c r="KP13" s="548"/>
      <c r="KQ13" s="548"/>
      <c r="KR13" s="548" t="str">
        <f t="shared" si="129"/>
        <v/>
      </c>
      <c r="KS13" s="548"/>
      <c r="KT13" s="548"/>
      <c r="KU13" s="548"/>
      <c r="KV13" s="548"/>
      <c r="KW13" s="548"/>
      <c r="KX13" s="548"/>
      <c r="KY13" s="548"/>
      <c r="KZ13" s="548"/>
      <c r="LA13" s="548"/>
      <c r="LB13" s="548"/>
      <c r="LC13" s="485" t="str">
        <f t="shared" si="142"/>
        <v/>
      </c>
      <c r="LD13" s="548"/>
      <c r="LE13" s="548"/>
      <c r="LF13" s="548"/>
      <c r="LG13" s="548"/>
      <c r="LH13" s="548"/>
      <c r="LI13" s="548"/>
      <c r="LJ13" s="548"/>
      <c r="LK13" s="548"/>
      <c r="LL13" s="548"/>
      <c r="LM13" s="548"/>
      <c r="LN13" s="548"/>
      <c r="LO13" s="548"/>
      <c r="LP13" s="485" t="str">
        <f t="shared" si="143"/>
        <v/>
      </c>
      <c r="LQ13" s="548"/>
      <c r="LR13" s="548"/>
      <c r="LS13" s="548"/>
      <c r="LT13" s="548"/>
      <c r="LU13" s="548"/>
      <c r="LV13" s="548"/>
      <c r="LW13" s="548"/>
      <c r="LX13" s="548"/>
      <c r="LY13" s="548"/>
      <c r="LZ13" s="548"/>
      <c r="MA13" s="548"/>
      <c r="MB13" s="548"/>
      <c r="MC13" s="485" t="str">
        <f t="shared" si="144"/>
        <v/>
      </c>
      <c r="MD13" s="548"/>
      <c r="ME13" s="548"/>
      <c r="MF13" s="548"/>
      <c r="MG13" s="548"/>
      <c r="MH13" s="548"/>
      <c r="MI13" s="548"/>
      <c r="MJ13" s="548"/>
      <c r="MK13" s="548"/>
      <c r="ML13" s="548"/>
      <c r="MM13" s="548"/>
      <c r="MN13" s="548"/>
      <c r="MO13" s="548"/>
      <c r="MP13" s="485" t="str">
        <f t="shared" si="145"/>
        <v/>
      </c>
      <c r="MQ13" s="548"/>
      <c r="MR13" s="548"/>
      <c r="MS13" s="548"/>
      <c r="MT13" s="548"/>
      <c r="MU13" s="548"/>
      <c r="MV13" s="548"/>
      <c r="MW13" s="548"/>
      <c r="MX13" s="548"/>
      <c r="MY13" s="548"/>
      <c r="MZ13" s="548"/>
      <c r="NA13" s="548"/>
      <c r="NB13" s="548"/>
      <c r="NC13" s="485" t="str">
        <f t="shared" si="146"/>
        <v/>
      </c>
      <c r="ND13" s="548"/>
      <c r="NE13" s="548"/>
      <c r="NF13" s="548"/>
      <c r="NG13" s="548"/>
      <c r="NH13" s="548"/>
      <c r="NI13" s="548"/>
      <c r="NJ13" s="548"/>
      <c r="NK13" s="548"/>
      <c r="NL13" s="548"/>
      <c r="NM13" s="548"/>
      <c r="NN13" s="548"/>
      <c r="NO13" s="548"/>
      <c r="NP13" s="485" t="str">
        <f t="shared" si="147"/>
        <v/>
      </c>
      <c r="NQ13" s="548"/>
      <c r="NR13" s="548"/>
      <c r="NS13" s="548"/>
      <c r="NT13" s="548"/>
      <c r="NU13" s="548"/>
      <c r="NV13" s="548"/>
      <c r="NW13" s="548"/>
      <c r="NX13" s="548"/>
      <c r="NY13" s="548"/>
      <c r="NZ13" s="548"/>
      <c r="OA13" s="548"/>
      <c r="OB13" s="548"/>
      <c r="OC13" s="485" t="str">
        <f t="shared" si="148"/>
        <v/>
      </c>
      <c r="OD13" s="548"/>
      <c r="OE13" s="548"/>
      <c r="OF13" s="548"/>
      <c r="OG13" s="548"/>
      <c r="OH13" s="548"/>
      <c r="OI13" s="548"/>
      <c r="OJ13" s="548"/>
      <c r="OK13" s="548"/>
      <c r="OL13" s="548"/>
      <c r="OM13" s="548"/>
      <c r="ON13" s="548"/>
      <c r="OO13" s="548"/>
      <c r="OP13" s="548"/>
      <c r="OQ13" s="548"/>
      <c r="OR13" s="548"/>
      <c r="OS13" s="548"/>
      <c r="OT13" s="548"/>
      <c r="OU13" s="548"/>
      <c r="OV13" s="548"/>
      <c r="OW13" s="548"/>
      <c r="OX13" s="548"/>
      <c r="OY13" s="548"/>
      <c r="OZ13" s="548"/>
      <c r="PA13" s="548"/>
      <c r="PB13" s="548"/>
      <c r="PC13" s="548"/>
      <c r="PD13" s="548"/>
      <c r="PE13" s="548"/>
      <c r="PF13" s="548"/>
      <c r="PG13" s="548"/>
      <c r="PH13" s="548"/>
      <c r="PI13" s="548"/>
      <c r="PJ13" s="548"/>
      <c r="PK13" s="548"/>
      <c r="PL13" s="548"/>
      <c r="PM13" s="548"/>
      <c r="PN13" s="548"/>
      <c r="PO13" s="548"/>
      <c r="PP13" s="548"/>
      <c r="PQ13" s="548"/>
      <c r="PR13" s="548"/>
      <c r="PS13" s="548"/>
      <c r="PT13" s="1001">
        <f>SUM($LL$4:$LL$144)</f>
        <v>0</v>
      </c>
      <c r="PU13" s="1001">
        <f>SUM($LM$4:$LM$144)</f>
        <v>0</v>
      </c>
      <c r="PV13" s="528"/>
      <c r="PW13" s="1001">
        <f>SUM($LY$4:$LY$144)</f>
        <v>0</v>
      </c>
      <c r="PX13" s="1001">
        <f>SUM($LZ$4:$LZ$144)</f>
        <v>0</v>
      </c>
      <c r="PY13" s="548"/>
      <c r="PZ13" s="1001">
        <f>SUM($ML$4:$ML$144)</f>
        <v>0</v>
      </c>
      <c r="QA13" s="1001">
        <f>SUM($MM$4:$MM$144)</f>
        <v>0</v>
      </c>
      <c r="QB13" s="528"/>
      <c r="QC13" s="1001">
        <f>SUM($MY$4:$MY$144)</f>
        <v>0</v>
      </c>
      <c r="QD13" s="1001">
        <f>SUM($MZ$4:$MZ$144)</f>
        <v>0</v>
      </c>
      <c r="QE13" s="548"/>
      <c r="QF13" s="1001">
        <f>SUM($NL$4:$NL$144)</f>
        <v>0</v>
      </c>
      <c r="QG13" s="1001">
        <f>SUM($NM$4:$NM$144)</f>
        <v>0</v>
      </c>
      <c r="QH13" s="548"/>
      <c r="QI13" s="1001">
        <f>SUM($NY$4:$NY$144)</f>
        <v>0</v>
      </c>
      <c r="QJ13" s="1001">
        <f>SUM($NZ$4:$NZ$144)</f>
        <v>0</v>
      </c>
      <c r="QK13" s="548"/>
      <c r="QL13" s="1001">
        <f>SUM($OL$4:$OL$144)</f>
        <v>0</v>
      </c>
      <c r="QM13" s="1001">
        <f>SUM($OM$4:$OM$144)</f>
        <v>0</v>
      </c>
      <c r="QN13" s="548"/>
      <c r="QO13" s="548"/>
      <c r="QP13" s="548"/>
      <c r="QQ13" s="1009"/>
      <c r="QR13" s="548"/>
      <c r="QS13" s="548"/>
      <c r="QT13" s="548"/>
      <c r="QU13" s="548"/>
      <c r="QV13" s="548"/>
      <c r="QW13" s="548"/>
      <c r="QX13" s="548"/>
      <c r="QY13" s="548"/>
      <c r="QZ13" s="548"/>
      <c r="RA13" s="548"/>
      <c r="RB13" s="548"/>
      <c r="RC13" s="548"/>
      <c r="RD13" s="548"/>
      <c r="RE13" s="548"/>
      <c r="RF13" s="548"/>
      <c r="RG13" s="548"/>
      <c r="RH13" s="548"/>
      <c r="RI13" s="548"/>
      <c r="RJ13" s="548"/>
      <c r="RK13" s="548"/>
      <c r="RL13" s="548"/>
      <c r="RM13" s="548"/>
      <c r="RN13" s="548"/>
      <c r="RO13" s="548"/>
      <c r="RP13" s="548"/>
      <c r="RQ13" s="548"/>
      <c r="RR13" s="548"/>
      <c r="RS13" s="548"/>
      <c r="RT13" s="548"/>
      <c r="RU13" s="548"/>
      <c r="RV13" s="548"/>
      <c r="RW13" s="548"/>
      <c r="RX13" s="548"/>
      <c r="RY13" s="548"/>
      <c r="RZ13" s="548"/>
      <c r="SA13" s="548"/>
      <c r="SB13" s="548"/>
      <c r="SC13" s="548"/>
      <c r="SD13" s="548"/>
      <c r="SE13" s="548"/>
      <c r="SF13" s="548"/>
      <c r="SG13" s="548"/>
      <c r="SH13" s="548"/>
      <c r="SI13" s="548"/>
      <c r="SJ13" s="548"/>
      <c r="SK13" s="548"/>
      <c r="SL13" s="548"/>
      <c r="SM13" s="548"/>
      <c r="SN13" s="548"/>
      <c r="SO13" s="548"/>
      <c r="SP13" s="548"/>
      <c r="SQ13" s="548"/>
      <c r="SR13" s="548"/>
      <c r="SS13" s="548"/>
      <c r="ST13" s="548"/>
      <c r="SU13" s="548"/>
      <c r="SV13" s="548"/>
      <c r="SW13" s="548"/>
      <c r="SX13" s="548"/>
      <c r="SY13" s="548"/>
      <c r="SZ13" s="548"/>
      <c r="TA13" s="548"/>
      <c r="TB13" s="548"/>
      <c r="TC13" s="548"/>
      <c r="TD13" s="548"/>
      <c r="TE13" s="548"/>
      <c r="TF13" s="548"/>
      <c r="TG13" s="548"/>
      <c r="TH13" s="548"/>
      <c r="TI13" s="548"/>
      <c r="TJ13" s="548"/>
      <c r="TK13" s="548"/>
      <c r="TL13" s="548"/>
      <c r="TM13" s="548"/>
      <c r="TN13" s="548"/>
      <c r="TO13" s="548"/>
      <c r="TP13" s="548"/>
      <c r="TQ13" s="548"/>
      <c r="TR13" s="548"/>
      <c r="TS13" s="548"/>
      <c r="TT13" s="548"/>
      <c r="TU13" s="548"/>
      <c r="TV13" s="548"/>
      <c r="TW13" s="548"/>
      <c r="TX13" s="548"/>
      <c r="TY13" s="548"/>
      <c r="TZ13" s="548"/>
      <c r="UA13" s="548"/>
      <c r="UB13" s="548"/>
      <c r="UC13" s="548"/>
      <c r="UD13" s="548"/>
      <c r="UE13" s="548"/>
      <c r="UF13" s="548"/>
      <c r="UG13" s="548"/>
      <c r="UH13" s="548"/>
      <c r="UI13" s="548"/>
      <c r="UJ13" s="548"/>
      <c r="UK13" s="548"/>
      <c r="UL13" s="548"/>
      <c r="UM13" s="548"/>
      <c r="UN13" s="548"/>
      <c r="UO13" s="548"/>
      <c r="UP13" s="548"/>
      <c r="UQ13" s="548"/>
      <c r="UR13" s="548"/>
      <c r="US13" s="548"/>
      <c r="UT13" s="548"/>
      <c r="UU13" s="548"/>
      <c r="UV13" s="548"/>
      <c r="UW13" s="548"/>
      <c r="UX13" s="548"/>
      <c r="UY13" s="548"/>
      <c r="UZ13" s="548"/>
      <c r="VA13" s="548"/>
      <c r="VB13" s="548"/>
      <c r="VC13" s="548"/>
      <c r="VD13" s="548"/>
      <c r="VE13" s="548"/>
      <c r="VF13" s="548"/>
      <c r="VG13" s="548"/>
      <c r="VH13" s="548"/>
      <c r="VI13" s="548"/>
      <c r="VJ13" s="548"/>
      <c r="VK13" s="548"/>
      <c r="VL13" s="548"/>
      <c r="VM13" s="548"/>
      <c r="VN13" s="548"/>
      <c r="VO13" s="548"/>
      <c r="VP13" s="548"/>
      <c r="VQ13" s="548"/>
      <c r="VR13" s="548"/>
      <c r="VS13" s="548"/>
      <c r="VT13" s="548"/>
      <c r="VU13" s="548"/>
      <c r="VV13" s="548"/>
      <c r="VW13" s="548"/>
      <c r="VX13" s="548"/>
      <c r="VY13" s="548"/>
      <c r="VZ13" s="548"/>
      <c r="WA13" s="548"/>
      <c r="WB13" s="548"/>
      <c r="WC13" s="548"/>
      <c r="WD13" s="548"/>
      <c r="WE13" s="548"/>
      <c r="WF13" s="548"/>
      <c r="WG13" s="548"/>
      <c r="WH13" s="548"/>
      <c r="WI13" s="548"/>
      <c r="WJ13" s="548"/>
      <c r="WK13" s="548"/>
      <c r="WL13" s="548"/>
      <c r="WM13" s="548"/>
      <c r="WN13" s="548"/>
      <c r="WO13" s="548"/>
      <c r="WP13" s="548"/>
      <c r="WQ13" s="548"/>
      <c r="WR13" s="548"/>
      <c r="WS13" s="548"/>
      <c r="WT13" s="548"/>
      <c r="WU13" s="548"/>
      <c r="WV13" s="548"/>
      <c r="WW13" s="548"/>
      <c r="WX13" s="548"/>
      <c r="WY13" s="548"/>
      <c r="WZ13" s="548"/>
      <c r="XA13" s="548"/>
      <c r="XB13" s="548"/>
      <c r="XC13" s="548"/>
      <c r="XD13" s="548"/>
      <c r="XE13" s="548"/>
      <c r="XF13" s="548"/>
      <c r="XG13" s="548"/>
      <c r="XH13" s="548"/>
      <c r="XI13" s="548"/>
      <c r="XJ13" s="548"/>
      <c r="XK13" s="548"/>
      <c r="XL13" s="548"/>
      <c r="XM13" s="548"/>
      <c r="XN13" s="548"/>
      <c r="XO13" s="548"/>
      <c r="XP13" s="548"/>
      <c r="XQ13" s="548"/>
      <c r="XR13" s="548"/>
      <c r="XS13" s="548"/>
      <c r="XT13" s="548"/>
      <c r="XU13" s="548"/>
      <c r="XV13" s="548"/>
      <c r="XW13" s="548"/>
      <c r="XX13" s="548"/>
      <c r="XY13" s="548"/>
      <c r="XZ13" s="548"/>
      <c r="YA13" s="548"/>
      <c r="YB13" s="548"/>
      <c r="YC13" s="548"/>
      <c r="YD13" s="548"/>
      <c r="YE13" s="548"/>
      <c r="YF13" s="548"/>
      <c r="YG13" s="548"/>
      <c r="YH13" s="548"/>
      <c r="YI13" s="548"/>
      <c r="YJ13" s="548"/>
      <c r="YK13" s="548"/>
      <c r="YL13" s="548"/>
      <c r="YM13" s="548"/>
      <c r="YN13" s="548"/>
      <c r="YO13" s="548"/>
      <c r="YP13" s="548"/>
      <c r="YQ13" s="548"/>
      <c r="YR13" s="548"/>
      <c r="YS13" s="548"/>
      <c r="YT13" s="548"/>
      <c r="YU13" s="548"/>
      <c r="YV13" s="548"/>
      <c r="YW13" s="548"/>
      <c r="YX13" s="548"/>
      <c r="YY13" s="548"/>
      <c r="YZ13" s="548"/>
      <c r="ZA13" s="548"/>
      <c r="ZB13" s="548"/>
      <c r="ZC13" s="548"/>
      <c r="ZD13" s="548"/>
      <c r="ZE13" s="548"/>
      <c r="ZF13" s="548"/>
      <c r="ZG13" s="548"/>
      <c r="ZH13" s="548"/>
      <c r="ZI13" s="548"/>
      <c r="ZJ13" s="548"/>
      <c r="ZK13" s="548"/>
      <c r="ZL13" s="548"/>
      <c r="ZM13" s="548"/>
      <c r="ZN13" s="548"/>
      <c r="ZO13" s="548"/>
      <c r="ZP13" s="548"/>
      <c r="ZQ13" s="548"/>
      <c r="ZR13" s="548"/>
      <c r="ZS13" s="548"/>
      <c r="ZT13" s="548"/>
      <c r="ZU13" s="548"/>
      <c r="ZV13" s="548"/>
      <c r="ZW13" s="548"/>
      <c r="ZX13" s="548"/>
      <c r="ZY13" s="548"/>
      <c r="ZZ13" s="548"/>
      <c r="AAA13" s="548"/>
      <c r="AAB13" s="548"/>
      <c r="AAC13" s="548"/>
      <c r="AAD13" s="548"/>
      <c r="AAE13" s="548"/>
      <c r="AAF13" s="548"/>
      <c r="AAG13" s="548"/>
      <c r="AAH13" s="548"/>
      <c r="AAI13" s="548"/>
      <c r="AAJ13" s="548"/>
      <c r="AAK13" s="548"/>
      <c r="AAL13" s="548"/>
      <c r="AAM13" s="548"/>
      <c r="AAN13" s="548"/>
      <c r="AAO13" s="548"/>
      <c r="AAP13" s="548"/>
      <c r="AAQ13" s="548"/>
      <c r="AAR13" s="548"/>
      <c r="AAS13" s="548"/>
      <c r="AAT13" s="548"/>
      <c r="AAU13" s="548"/>
      <c r="AAV13" s="548"/>
      <c r="AAW13" s="548"/>
      <c r="AAX13" s="548"/>
      <c r="AAY13" s="548"/>
      <c r="AAZ13" s="548"/>
      <c r="ABA13" s="548"/>
      <c r="ABB13" s="548"/>
      <c r="ABC13" s="548"/>
      <c r="ABD13" s="548"/>
      <c r="ABE13" s="548"/>
      <c r="ABF13" s="548"/>
      <c r="ABG13" s="548"/>
      <c r="ABH13" s="548"/>
      <c r="ABI13" s="548"/>
      <c r="ABJ13" s="548"/>
      <c r="ABK13" s="548"/>
      <c r="ABL13" s="548"/>
      <c r="ABM13" s="548"/>
      <c r="ABN13" s="548"/>
      <c r="ABO13" s="548"/>
      <c r="ABP13" s="548"/>
      <c r="ABQ13" s="548"/>
      <c r="ABR13" s="548"/>
      <c r="ABS13" s="548"/>
    </row>
    <row r="14" spans="1:747" customFormat="1" ht="15" customHeight="1" x14ac:dyDescent="0.2">
      <c r="A14" s="424" t="str">
        <f t="shared" si="149"/>
        <v/>
      </c>
      <c r="B14" s="415"/>
      <c r="C14" s="525"/>
      <c r="D14" s="750"/>
      <c r="E14" s="416" t="str">
        <f t="shared" si="0"/>
        <v/>
      </c>
      <c r="F14" s="527" t="str">
        <f t="shared" si="1"/>
        <v/>
      </c>
      <c r="G14" s="417"/>
      <c r="H14" s="583" t="str">
        <f t="shared" si="2"/>
        <v/>
      </c>
      <c r="I14" s="424"/>
      <c r="J14" s="419"/>
      <c r="K14" s="418"/>
      <c r="L14" s="419"/>
      <c r="M14" s="415"/>
      <c r="N14" s="420"/>
      <c r="O14" s="653"/>
      <c r="P14" s="561"/>
      <c r="Q14" s="747"/>
      <c r="R14" s="767" t="str">
        <f t="shared" si="3"/>
        <v/>
      </c>
      <c r="S14" s="664"/>
      <c r="T14" s="663"/>
      <c r="U14" s="580">
        <f t="shared" si="4"/>
        <v>0</v>
      </c>
      <c r="V14" s="418"/>
      <c r="W14" s="582" t="str">
        <f t="shared" si="5"/>
        <v/>
      </c>
      <c r="X14" s="479" t="str">
        <f t="shared" si="6"/>
        <v/>
      </c>
      <c r="Y14" s="582" t="str">
        <f t="shared" si="7"/>
        <v/>
      </c>
      <c r="Z14" s="317" t="str">
        <f t="shared" si="8"/>
        <v/>
      </c>
      <c r="AA14" s="317" t="str">
        <f t="shared" si="9"/>
        <v/>
      </c>
      <c r="AB14" s="317">
        <f t="shared" si="10"/>
        <v>0</v>
      </c>
      <c r="AC14" s="317" t="str">
        <f t="shared" si="11"/>
        <v/>
      </c>
      <c r="AD14" s="317"/>
      <c r="AE14" s="479"/>
      <c r="AF14" s="479"/>
      <c r="AG14" s="423"/>
      <c r="AH14" s="820"/>
      <c r="AI14" s="480"/>
      <c r="AJ14" s="660"/>
      <c r="AK14" s="524" t="str">
        <f t="shared" si="12"/>
        <v/>
      </c>
      <c r="AL14" s="731">
        <f>SUMIF($J$4:$J$116,"Básico",$S$4:$S$116)</f>
        <v>0</v>
      </c>
      <c r="AM14" s="732">
        <f>SUMIF($J$4:$J$116,"Básico",$T$4:$T$116)</f>
        <v>0</v>
      </c>
      <c r="AN14" s="426">
        <f t="shared" si="13"/>
        <v>0</v>
      </c>
      <c r="AO14" s="798" t="str">
        <f t="shared" si="37"/>
        <v/>
      </c>
      <c r="AP14" s="768" t="str">
        <f t="shared" si="14"/>
        <v/>
      </c>
      <c r="AQ14" s="768"/>
      <c r="AR14" s="768"/>
      <c r="AS14" s="803"/>
      <c r="AT14" s="804"/>
      <c r="AU14" s="805"/>
      <c r="AV14" s="806"/>
      <c r="AW14" s="800"/>
      <c r="AX14" s="430"/>
      <c r="AY14" s="431">
        <f t="shared" si="15"/>
        <v>0</v>
      </c>
      <c r="AZ14" s="426"/>
      <c r="BA14" s="435" t="str">
        <f t="shared" si="16"/>
        <v/>
      </c>
      <c r="BB14" s="435"/>
      <c r="BC14" s="426"/>
      <c r="BD14" s="426">
        <f t="array" ref="BD14">IF(SUM((BC14=$BC$3:BC13)*1)=0,BC14,0)</f>
        <v>0</v>
      </c>
      <c r="BE14" s="426"/>
      <c r="BF14" s="426"/>
      <c r="BG14" s="426">
        <f t="array" ref="BG14">IF(SUM((BF14=$BF$3:BF13)*1)=0,BF14,0)</f>
        <v>0</v>
      </c>
      <c r="BH14" s="426"/>
      <c r="BI14" s="426"/>
      <c r="BJ14" s="426"/>
      <c r="BK14" s="426"/>
      <c r="BL14" s="426"/>
      <c r="BM14" s="426"/>
      <c r="BN14" s="426"/>
      <c r="BO14" s="426"/>
      <c r="BP14" s="433">
        <f t="shared" si="17"/>
        <v>0</v>
      </c>
      <c r="BQ14" s="426"/>
      <c r="BR14" s="434"/>
      <c r="BS14" s="426"/>
      <c r="BT14" s="433"/>
      <c r="BU14" s="435"/>
      <c r="BV14" s="435" t="str">
        <f t="shared" si="18"/>
        <v/>
      </c>
      <c r="BW14" s="435" t="str">
        <f t="shared" si="38"/>
        <v/>
      </c>
      <c r="BX14" s="435"/>
      <c r="BY14" s="435"/>
      <c r="BZ14" s="435"/>
      <c r="CA14" s="435"/>
      <c r="CB14" s="435"/>
      <c r="CC14" s="435"/>
      <c r="CD14" s="435"/>
      <c r="CE14" s="435"/>
      <c r="CF14" s="435"/>
      <c r="CG14" s="435"/>
      <c r="CH14" s="435"/>
      <c r="CI14" s="435"/>
      <c r="CJ14" s="426" t="str">
        <f t="shared" si="39"/>
        <v/>
      </c>
      <c r="CK14" s="495"/>
      <c r="CL14" s="528"/>
      <c r="CM14" s="495"/>
      <c r="CN14" s="528"/>
      <c r="CO14" s="528"/>
      <c r="CP14" s="528"/>
      <c r="CQ14" s="528"/>
      <c r="CR14" s="528"/>
      <c r="CS14" s="528"/>
      <c r="CT14" s="528"/>
      <c r="CU14" s="528"/>
      <c r="CV14" s="528"/>
      <c r="CW14" s="425">
        <f>SUM($CS$4:$CS$158)</f>
        <v>0</v>
      </c>
      <c r="CX14" s="425">
        <f>SUM($CT$4:$CT$158)</f>
        <v>0</v>
      </c>
      <c r="CY14" s="426">
        <v>11</v>
      </c>
      <c r="CZ14" s="425">
        <f>SUM($CF$4:$CF$158)</f>
        <v>0</v>
      </c>
      <c r="DA14" s="425">
        <f>SUM($CG$4:$CG$158)</f>
        <v>0</v>
      </c>
      <c r="DB14" s="426"/>
      <c r="DC14" s="426" t="s">
        <v>754</v>
      </c>
      <c r="DD14" s="426" t="s">
        <v>914</v>
      </c>
      <c r="DE14" s="435" t="str">
        <f t="shared" si="40"/>
        <v/>
      </c>
      <c r="DF14" s="435" t="str">
        <f t="shared" si="41"/>
        <v/>
      </c>
      <c r="DG14" s="435" t="str">
        <f t="shared" si="42"/>
        <v/>
      </c>
      <c r="DH14" s="435" t="str">
        <f t="shared" si="43"/>
        <v/>
      </c>
      <c r="DI14" s="435" t="str">
        <f t="shared" si="44"/>
        <v/>
      </c>
      <c r="DJ14" s="435" t="str">
        <f t="shared" si="45"/>
        <v/>
      </c>
      <c r="DK14" s="435" t="str">
        <f t="shared" si="19"/>
        <v/>
      </c>
      <c r="DL14" s="435" t="str">
        <f t="shared" si="20"/>
        <v/>
      </c>
      <c r="DM14" s="435" t="str">
        <f t="shared" si="46"/>
        <v/>
      </c>
      <c r="DN14" s="435" t="str">
        <f t="shared" si="47"/>
        <v/>
      </c>
      <c r="DO14" s="435" t="str">
        <f t="shared" si="21"/>
        <v/>
      </c>
      <c r="DP14" s="435" t="str">
        <f t="shared" si="22"/>
        <v/>
      </c>
      <c r="DQ14" s="435" t="str">
        <f t="shared" si="48"/>
        <v/>
      </c>
      <c r="DR14" s="435" t="str">
        <f t="shared" si="49"/>
        <v/>
      </c>
      <c r="DS14" s="435" t="str">
        <f t="shared" si="23"/>
        <v/>
      </c>
      <c r="DT14" s="435" t="str">
        <f t="shared" si="24"/>
        <v/>
      </c>
      <c r="DU14" s="435" t="str">
        <f t="shared" si="50"/>
        <v/>
      </c>
      <c r="DV14" s="435" t="str">
        <f t="shared" si="51"/>
        <v/>
      </c>
      <c r="DW14" s="435" t="str">
        <f t="shared" si="25"/>
        <v/>
      </c>
      <c r="DX14" s="435" t="str">
        <f t="shared" si="26"/>
        <v/>
      </c>
      <c r="DY14" s="435" t="str">
        <f t="shared" si="52"/>
        <v/>
      </c>
      <c r="DZ14" s="435" t="str">
        <f t="shared" si="53"/>
        <v/>
      </c>
      <c r="EA14" s="435" t="str">
        <f t="shared" si="27"/>
        <v/>
      </c>
      <c r="EB14" s="435" t="str">
        <f t="shared" si="28"/>
        <v/>
      </c>
      <c r="EC14" s="435" t="str">
        <f t="shared" si="29"/>
        <v/>
      </c>
      <c r="ED14" s="435" t="str">
        <f t="shared" si="30"/>
        <v/>
      </c>
      <c r="EE14" s="435" t="str">
        <f t="shared" si="31"/>
        <v/>
      </c>
      <c r="EF14" s="435" t="str">
        <f t="shared" si="32"/>
        <v/>
      </c>
      <c r="EG14" s="435" t="str">
        <f t="shared" si="33"/>
        <v/>
      </c>
      <c r="EH14" s="435" t="str">
        <f t="shared" si="34"/>
        <v/>
      </c>
      <c r="EI14" s="435" t="str">
        <f t="shared" si="35"/>
        <v/>
      </c>
      <c r="EJ14" s="435" t="str">
        <f t="shared" si="36"/>
        <v/>
      </c>
      <c r="EK14" s="485"/>
      <c r="EL14" s="485"/>
      <c r="EM14" s="485"/>
      <c r="EN14" s="485"/>
      <c r="EO14" s="448"/>
      <c r="EP14" s="448"/>
      <c r="EQ14" s="448"/>
      <c r="ER14" s="448"/>
      <c r="ES14" s="448"/>
      <c r="ET14" s="435"/>
      <c r="EU14" s="435"/>
      <c r="EV14" s="435"/>
      <c r="EW14" s="435"/>
      <c r="EX14" s="426"/>
      <c r="EY14" s="426"/>
      <c r="EZ14" s="426"/>
      <c r="FA14" s="427"/>
      <c r="FB14" s="427">
        <f t="array" ref="FB14">IF(SUM((FA14=$FA$3:FA13)*1)=0,FA14,0)</f>
        <v>0</v>
      </c>
      <c r="FC14" s="427"/>
      <c r="FD14" s="427"/>
      <c r="FE14" s="427">
        <f t="array" ref="FE14">IF(SUM((FD14=$FD$3:FD13)*1)=0,FD14,0)</f>
        <v>0</v>
      </c>
      <c r="FF14" s="427"/>
      <c r="FG14" s="427"/>
      <c r="FH14" s="427"/>
      <c r="FI14" s="427">
        <f t="array" ref="FI14">IF(SUM((FH14=$FH$3:FH13)*1)=0,FH14,0)</f>
        <v>0</v>
      </c>
      <c r="FJ14" s="427"/>
      <c r="FK14" s="427"/>
      <c r="FL14" s="427">
        <f t="array" ref="FL14">IF(SUM((FK14=$FK$3:FK13)*1)=0,FK14,0)</f>
        <v>0</v>
      </c>
      <c r="FM14" s="427"/>
      <c r="FN14" s="427"/>
      <c r="FO14" s="427"/>
      <c r="FP14" s="427">
        <f t="array" ref="FP14">IF(SUM((FO14=$FO$3:FO13)*1)=0,FO14,0)</f>
        <v>0</v>
      </c>
      <c r="FQ14" s="427"/>
      <c r="FR14" s="427"/>
      <c r="FS14" s="427">
        <f t="array" ref="FS14">IF(SUM((FR14=$FR$3:FR13)*1)=0,FR14,0)</f>
        <v>0</v>
      </c>
      <c r="FT14" s="427"/>
      <c r="FU14" s="427"/>
      <c r="FV14" s="427"/>
      <c r="FW14" s="427">
        <f t="array" ref="FW14">IF(SUM((FV14=$FV$3:FV13)*1)=0,FV14,0)</f>
        <v>0</v>
      </c>
      <c r="FX14" s="427"/>
      <c r="FY14" s="427"/>
      <c r="FZ14" s="427">
        <f t="array" ref="FZ14">IF(SUM((FY14=$FY$3:FY13)*1)=0,FY14,0)</f>
        <v>0</v>
      </c>
      <c r="GA14" s="427"/>
      <c r="GB14" s="427"/>
      <c r="GC14" s="427"/>
      <c r="GD14" s="427">
        <f t="array" ref="GD14">IF(SUM((GC14=$GC$3:GC13)*1)=0,GC14,0)</f>
        <v>0</v>
      </c>
      <c r="GE14" s="427"/>
      <c r="GF14" s="427"/>
      <c r="GG14" s="427">
        <f t="array" ref="GG14">IF(SUM((GF14=$GF$3:GF13)*1)=0,GF14,0)</f>
        <v>0</v>
      </c>
      <c r="GH14" s="427"/>
      <c r="GI14" s="427"/>
      <c r="GJ14" s="427"/>
      <c r="GK14" s="798">
        <f t="array" ref="GK14">IF(SUM((GJ14=$GJ$3:GJ13)*1)=0,GJ14,0)</f>
        <v>0</v>
      </c>
      <c r="GL14" s="427"/>
      <c r="GM14" s="427"/>
      <c r="GN14" s="798">
        <f t="array" ref="GN14">IF(SUM((GM14=$GM$3:GM13)*1)=0,GM14,0)</f>
        <v>0</v>
      </c>
      <c r="GO14" s="427"/>
      <c r="GP14" s="427"/>
      <c r="GQ14" s="427"/>
      <c r="GR14" s="798">
        <f t="array" ref="GR14">IF(SUM((GQ14=$GQ$3:GQ13)*1)=0,GQ14,0)</f>
        <v>0</v>
      </c>
      <c r="GS14" s="427"/>
      <c r="GT14" s="427"/>
      <c r="GU14" s="798">
        <f t="array" ref="GU14">IF(SUM((GT14=$GT$3:GT13)*1)=0,GT14,0)</f>
        <v>0</v>
      </c>
      <c r="GV14" s="427"/>
      <c r="GW14" s="427"/>
      <c r="GX14" s="427"/>
      <c r="GY14" s="798">
        <f t="array" ref="GY14">IF(SUM((GX14=$GX$3:GX13)*1)=0,GX14,0)</f>
        <v>0</v>
      </c>
      <c r="GZ14" s="427"/>
      <c r="HA14" s="427"/>
      <c r="HB14" s="798">
        <f t="array" ref="HB14">IF(SUM((HA14=$HA$3:HA13)*1)=0,HA14,0)</f>
        <v>0</v>
      </c>
      <c r="HC14" s="427"/>
      <c r="HD14" s="427"/>
      <c r="HE14" s="769" t="str">
        <f t="shared" si="130"/>
        <v/>
      </c>
      <c r="HF14" s="768" t="str">
        <f t="shared" si="54"/>
        <v/>
      </c>
      <c r="HG14" s="769" t="str">
        <f t="shared" si="131"/>
        <v/>
      </c>
      <c r="HH14" s="768" t="str">
        <f t="shared" si="55"/>
        <v/>
      </c>
      <c r="HI14" s="728" t="str">
        <f t="shared" si="132"/>
        <v/>
      </c>
      <c r="HJ14" s="768" t="str">
        <f t="shared" si="56"/>
        <v/>
      </c>
      <c r="HK14" s="728" t="str">
        <f t="shared" si="133"/>
        <v/>
      </c>
      <c r="HL14" s="768" t="str">
        <f t="shared" si="57"/>
        <v/>
      </c>
      <c r="HM14" s="769" t="str">
        <f t="shared" si="58"/>
        <v/>
      </c>
      <c r="HN14" s="768" t="str">
        <f t="shared" ref="HN14" si="206">IF(HM14&lt;0,"Invadiu REP-BA-C","")</f>
        <v/>
      </c>
      <c r="HO14" s="769" t="str">
        <f t="shared" si="60"/>
        <v/>
      </c>
      <c r="HP14" s="768" t="str">
        <f t="shared" si="61"/>
        <v/>
      </c>
      <c r="HQ14" s="728" t="str">
        <f t="shared" si="62"/>
        <v/>
      </c>
      <c r="HR14" s="768" t="str">
        <f t="shared" si="63"/>
        <v/>
      </c>
      <c r="HS14" s="728" t="str">
        <f t="shared" si="64"/>
        <v/>
      </c>
      <c r="HT14" s="768" t="str">
        <f t="shared" si="65"/>
        <v/>
      </c>
      <c r="HU14" s="769" t="str">
        <f t="shared" si="66"/>
        <v/>
      </c>
      <c r="HV14" s="768" t="str">
        <f t="shared" ref="HV14" si="207">IF(HU14&lt;0,"Invadiu REP-BA-C","")</f>
        <v/>
      </c>
      <c r="HW14" s="769" t="str">
        <f t="shared" si="68"/>
        <v/>
      </c>
      <c r="HX14" s="768" t="str">
        <f t="shared" si="69"/>
        <v/>
      </c>
      <c r="HY14" s="728" t="str">
        <f t="shared" si="70"/>
        <v/>
      </c>
      <c r="HZ14" s="768" t="str">
        <f t="shared" si="71"/>
        <v/>
      </c>
      <c r="IA14" s="728" t="str">
        <f t="shared" si="72"/>
        <v/>
      </c>
      <c r="IB14" s="768" t="str">
        <f t="shared" si="73"/>
        <v/>
      </c>
      <c r="IC14" s="769" t="str">
        <f t="shared" si="74"/>
        <v/>
      </c>
      <c r="ID14" s="768" t="str">
        <f t="shared" ref="ID14" si="208">IF(IC14&lt;0,"Invadiu REP-BA-C","")</f>
        <v/>
      </c>
      <c r="IE14" s="769" t="str">
        <f t="shared" si="76"/>
        <v/>
      </c>
      <c r="IF14" s="768" t="str">
        <f t="shared" si="77"/>
        <v/>
      </c>
      <c r="IG14" s="728" t="str">
        <f t="shared" si="78"/>
        <v/>
      </c>
      <c r="IH14" s="768" t="str">
        <f t="shared" si="79"/>
        <v/>
      </c>
      <c r="II14" s="728" t="str">
        <f t="shared" si="80"/>
        <v/>
      </c>
      <c r="IJ14" s="768" t="str">
        <f t="shared" si="81"/>
        <v/>
      </c>
      <c r="IK14" s="769" t="str">
        <f t="shared" si="82"/>
        <v/>
      </c>
      <c r="IL14" s="768" t="str">
        <f t="shared" ref="IL14" si="209">IF(IK14&lt;0,"Invadiu REP-BA-C","")</f>
        <v/>
      </c>
      <c r="IM14" s="769" t="str">
        <f t="shared" si="84"/>
        <v/>
      </c>
      <c r="IN14" s="768" t="str">
        <f t="shared" si="85"/>
        <v/>
      </c>
      <c r="IO14" s="728" t="str">
        <f t="shared" si="86"/>
        <v/>
      </c>
      <c r="IP14" s="768" t="str">
        <f t="shared" si="87"/>
        <v/>
      </c>
      <c r="IQ14" s="728" t="str">
        <f t="shared" si="88"/>
        <v/>
      </c>
      <c r="IR14" s="768" t="str">
        <f t="shared" si="89"/>
        <v/>
      </c>
      <c r="IS14" s="769" t="str">
        <f t="shared" si="90"/>
        <v/>
      </c>
      <c r="IT14" s="768" t="str">
        <f t="shared" ref="IT14" si="210">IF(IS14&lt;0,"Invadiu REP-BA-C","")</f>
        <v/>
      </c>
      <c r="IU14" s="769" t="str">
        <f t="shared" si="92"/>
        <v/>
      </c>
      <c r="IV14" s="768" t="str">
        <f t="shared" si="93"/>
        <v/>
      </c>
      <c r="IW14" s="728" t="str">
        <f t="shared" si="94"/>
        <v/>
      </c>
      <c r="IX14" s="768" t="str">
        <f t="shared" si="95"/>
        <v/>
      </c>
      <c r="IY14" s="728" t="str">
        <f t="shared" si="96"/>
        <v/>
      </c>
      <c r="IZ14" s="768" t="str">
        <f t="shared" si="97"/>
        <v/>
      </c>
      <c r="JA14" s="769" t="str">
        <f t="shared" si="98"/>
        <v/>
      </c>
      <c r="JB14" s="768" t="str">
        <f t="shared" ref="JB14" si="211">IF(JA14&lt;0,"Invadiu REP-BA-C","")</f>
        <v/>
      </c>
      <c r="JC14" s="769" t="str">
        <f t="shared" si="100"/>
        <v/>
      </c>
      <c r="JD14" s="768" t="str">
        <f t="shared" si="101"/>
        <v/>
      </c>
      <c r="JE14" s="728" t="str">
        <f t="shared" si="102"/>
        <v/>
      </c>
      <c r="JF14" s="768" t="str">
        <f t="shared" si="103"/>
        <v/>
      </c>
      <c r="JG14" s="728" t="str">
        <f t="shared" si="104"/>
        <v/>
      </c>
      <c r="JH14" s="768" t="str">
        <f t="shared" si="105"/>
        <v/>
      </c>
      <c r="JI14" s="769" t="str">
        <f t="shared" si="106"/>
        <v/>
      </c>
      <c r="JJ14" s="768" t="str">
        <f t="shared" ref="JJ14" si="212">IF(JI14&lt;0,"Invadiu REP-BA-C","")</f>
        <v/>
      </c>
      <c r="JK14" s="769" t="str">
        <f t="shared" si="108"/>
        <v/>
      </c>
      <c r="JL14" s="768" t="str">
        <f t="shared" si="109"/>
        <v/>
      </c>
      <c r="JM14" s="728" t="str">
        <f t="shared" si="110"/>
        <v/>
      </c>
      <c r="JN14" s="768" t="str">
        <f t="shared" si="111"/>
        <v/>
      </c>
      <c r="JO14" s="728" t="str">
        <f t="shared" si="112"/>
        <v/>
      </c>
      <c r="JP14" s="768" t="str">
        <f t="shared" si="113"/>
        <v/>
      </c>
      <c r="JQ14" s="769" t="str">
        <f t="shared" si="114"/>
        <v/>
      </c>
      <c r="JR14" s="768" t="str">
        <f t="shared" ref="JR14" si="213">IF(JQ14&lt;0,"Invadiu REP-BA-C","")</f>
        <v/>
      </c>
      <c r="JS14" s="769" t="str">
        <f t="shared" si="116"/>
        <v/>
      </c>
      <c r="JT14" s="768" t="str">
        <f t="shared" si="117"/>
        <v/>
      </c>
      <c r="JU14" s="728" t="str">
        <f t="shared" si="118"/>
        <v/>
      </c>
      <c r="JV14" s="768" t="str">
        <f t="shared" si="119"/>
        <v/>
      </c>
      <c r="JW14" s="728" t="str">
        <f t="shared" si="120"/>
        <v/>
      </c>
      <c r="JX14" s="768" t="str">
        <f t="shared" si="121"/>
        <v/>
      </c>
      <c r="JY14" s="768" t="str">
        <f t="shared" si="122"/>
        <v/>
      </c>
      <c r="JZ14" s="485" t="str">
        <f>IF(JY14="","",IF(AND(C14=$C$164,JY14&lt;&gt;""),Verificarcpf(D14),IF(AND(C14=$C$165,JY14&lt;&gt;""),VerificarCNPJ(D14))))</f>
        <v/>
      </c>
      <c r="KA14" s="768" t="str">
        <f t="shared" si="123"/>
        <v/>
      </c>
      <c r="KB14" s="485">
        <f t="shared" si="124"/>
        <v>0</v>
      </c>
      <c r="KC14" s="768">
        <f t="shared" si="125"/>
        <v>0</v>
      </c>
      <c r="KD14" s="485">
        <f t="shared" si="126"/>
        <v>0</v>
      </c>
      <c r="KE14" s="448"/>
      <c r="KF14" s="548">
        <f t="shared" si="127"/>
        <v>0</v>
      </c>
      <c r="KG14" s="548" t="s">
        <v>442</v>
      </c>
      <c r="KH14" s="548"/>
      <c r="KI14" s="548"/>
      <c r="KJ14" s="548" t="str">
        <f t="shared" si="128"/>
        <v/>
      </c>
      <c r="KK14" s="548"/>
      <c r="KL14" s="548"/>
      <c r="KM14" s="548">
        <f t="array" ref="KM14">IF(SUM((KL14=$KL$3:KL13)*1)=0,KL14,0)</f>
        <v>0</v>
      </c>
      <c r="KN14" s="548"/>
      <c r="KO14" s="548"/>
      <c r="KP14" s="548"/>
      <c r="KQ14" s="548"/>
      <c r="KR14" s="548" t="str">
        <f t="shared" si="129"/>
        <v/>
      </c>
      <c r="KS14" s="548"/>
      <c r="KT14" s="548"/>
      <c r="KU14" s="548"/>
      <c r="KV14" s="548"/>
      <c r="KW14" s="548"/>
      <c r="KX14" s="548"/>
      <c r="KY14" s="548"/>
      <c r="KZ14" s="548"/>
      <c r="LA14" s="548"/>
      <c r="LB14" s="548"/>
      <c r="LC14" s="485" t="str">
        <f t="shared" si="142"/>
        <v/>
      </c>
      <c r="LD14" s="548"/>
      <c r="LE14" s="548"/>
      <c r="LF14" s="548"/>
      <c r="LG14" s="548"/>
      <c r="LH14" s="548"/>
      <c r="LI14" s="548"/>
      <c r="LJ14" s="548"/>
      <c r="LK14" s="548"/>
      <c r="LL14" s="548"/>
      <c r="LM14" s="548"/>
      <c r="LN14" s="548"/>
      <c r="LO14" s="548"/>
      <c r="LP14" s="485" t="str">
        <f t="shared" si="143"/>
        <v/>
      </c>
      <c r="LQ14" s="548"/>
      <c r="LR14" s="548"/>
      <c r="LS14" s="548"/>
      <c r="LT14" s="548"/>
      <c r="LU14" s="548"/>
      <c r="LV14" s="548"/>
      <c r="LW14" s="548"/>
      <c r="LX14" s="548"/>
      <c r="LY14" s="548"/>
      <c r="LZ14" s="548"/>
      <c r="MA14" s="548"/>
      <c r="MB14" s="548"/>
      <c r="MC14" s="485" t="str">
        <f t="shared" si="144"/>
        <v/>
      </c>
      <c r="MD14" s="548"/>
      <c r="ME14" s="548"/>
      <c r="MF14" s="548"/>
      <c r="MG14" s="548"/>
      <c r="MH14" s="548"/>
      <c r="MI14" s="548"/>
      <c r="MJ14" s="548"/>
      <c r="MK14" s="548"/>
      <c r="ML14" s="548"/>
      <c r="MM14" s="548"/>
      <c r="MN14" s="548"/>
      <c r="MO14" s="548"/>
      <c r="MP14" s="485" t="str">
        <f t="shared" si="145"/>
        <v/>
      </c>
      <c r="MQ14" s="548"/>
      <c r="MR14" s="548"/>
      <c r="MS14" s="548"/>
      <c r="MT14" s="548"/>
      <c r="MU14" s="548"/>
      <c r="MV14" s="548"/>
      <c r="MW14" s="548"/>
      <c r="MX14" s="548"/>
      <c r="MY14" s="548"/>
      <c r="MZ14" s="548"/>
      <c r="NA14" s="548"/>
      <c r="NB14" s="548"/>
      <c r="NC14" s="485" t="str">
        <f t="shared" si="146"/>
        <v/>
      </c>
      <c r="ND14" s="548"/>
      <c r="NE14" s="548"/>
      <c r="NF14" s="548"/>
      <c r="NG14" s="548"/>
      <c r="NH14" s="548"/>
      <c r="NI14" s="548"/>
      <c r="NJ14" s="548"/>
      <c r="NK14" s="548"/>
      <c r="NL14" s="548"/>
      <c r="NM14" s="548"/>
      <c r="NN14" s="548"/>
      <c r="NO14" s="548"/>
      <c r="NP14" s="485" t="str">
        <f t="shared" si="147"/>
        <v/>
      </c>
      <c r="NQ14" s="548"/>
      <c r="NR14" s="548"/>
      <c r="NS14" s="548"/>
      <c r="NT14" s="548"/>
      <c r="NU14" s="548"/>
      <c r="NV14" s="548"/>
      <c r="NW14" s="548"/>
      <c r="NX14" s="548"/>
      <c r="NY14" s="548"/>
      <c r="NZ14" s="548"/>
      <c r="OA14" s="548"/>
      <c r="OB14" s="548"/>
      <c r="OC14" s="485" t="str">
        <f t="shared" si="148"/>
        <v/>
      </c>
      <c r="OD14" s="548"/>
      <c r="OE14" s="548"/>
      <c r="OF14" s="548"/>
      <c r="OG14" s="548"/>
      <c r="OH14" s="548"/>
      <c r="OI14" s="548"/>
      <c r="OJ14" s="548"/>
      <c r="OK14" s="548"/>
      <c r="OL14" s="548"/>
      <c r="OM14" s="548"/>
      <c r="ON14" s="548"/>
      <c r="OO14" s="548"/>
      <c r="OP14" s="548"/>
      <c r="OQ14" s="548"/>
      <c r="OR14" s="548"/>
      <c r="OS14" s="548"/>
      <c r="OT14" s="548"/>
      <c r="OU14" s="548"/>
      <c r="OV14" s="548"/>
      <c r="OW14" s="548"/>
      <c r="OX14" s="548"/>
      <c r="OY14" s="548"/>
      <c r="OZ14" s="548"/>
      <c r="PA14" s="548"/>
      <c r="PB14" s="548"/>
      <c r="PC14" s="548"/>
      <c r="PD14" s="548"/>
      <c r="PE14" s="548"/>
      <c r="PF14" s="548"/>
      <c r="PG14" s="548"/>
      <c r="PH14" s="548"/>
      <c r="PI14" s="548"/>
      <c r="PJ14" s="548"/>
      <c r="PK14" s="548"/>
      <c r="PL14" s="548"/>
      <c r="PM14" s="548"/>
      <c r="PN14" s="548"/>
      <c r="PO14" s="548"/>
      <c r="PP14" s="548"/>
      <c r="PQ14" s="548"/>
      <c r="PR14" s="548"/>
      <c r="PS14" s="548"/>
      <c r="PT14" s="1001">
        <f>SUM($LL$4:$LL$158)</f>
        <v>0</v>
      </c>
      <c r="PU14" s="1001">
        <f>SUM($LM$4:$LM$158)</f>
        <v>0</v>
      </c>
      <c r="PV14" s="426"/>
      <c r="PW14" s="1001">
        <f>SUM($LY$4:$LY$158)</f>
        <v>0</v>
      </c>
      <c r="PX14" s="1001">
        <f>SUM($LZ$4:$LZ$158)</f>
        <v>0</v>
      </c>
      <c r="PY14" s="548"/>
      <c r="PZ14" s="1001">
        <f>SUM($ML$4:$ML$158)</f>
        <v>0</v>
      </c>
      <c r="QA14" s="1001">
        <f>SUM($MM$4:$MM$158)</f>
        <v>0</v>
      </c>
      <c r="QB14" s="426"/>
      <c r="QC14" s="1001">
        <f>SUM($MY$4:$MY$158)</f>
        <v>0</v>
      </c>
      <c r="QD14" s="1001">
        <f>SUM($MZ$4:$MZ$158)</f>
        <v>0</v>
      </c>
      <c r="QE14" s="548"/>
      <c r="QF14" s="1001">
        <f>SUM($NL$4:$NL$158)</f>
        <v>0</v>
      </c>
      <c r="QG14" s="1001">
        <f>SUM($NM$4:$NM$158)</f>
        <v>0</v>
      </c>
      <c r="QH14" s="548"/>
      <c r="QI14" s="1001">
        <f>SUM($NY$4:$NY$158)</f>
        <v>0</v>
      </c>
      <c r="QJ14" s="1001">
        <f>SUM($NZ$4:$NZ$158)</f>
        <v>0</v>
      </c>
      <c r="QK14" s="548"/>
      <c r="QL14" s="1001">
        <f>SUM($OL$4:$OL$158)</f>
        <v>0</v>
      </c>
      <c r="QM14" s="1001">
        <f>SUM($OM$4:$OM$158)</f>
        <v>0</v>
      </c>
      <c r="QN14" s="548"/>
      <c r="QO14" s="548"/>
      <c r="QP14" s="548"/>
      <c r="QQ14" s="1009"/>
      <c r="QR14" s="548"/>
      <c r="QS14" s="548"/>
      <c r="QT14" s="548"/>
      <c r="QU14" s="548"/>
      <c r="QV14" s="548"/>
      <c r="QW14" s="548"/>
      <c r="QX14" s="548"/>
      <c r="QY14" s="548"/>
      <c r="QZ14" s="548"/>
      <c r="RA14" s="548"/>
      <c r="RB14" s="548"/>
      <c r="RC14" s="548"/>
      <c r="RD14" s="548"/>
      <c r="RE14" s="548"/>
      <c r="RF14" s="548"/>
      <c r="RG14" s="548"/>
      <c r="RH14" s="548"/>
      <c r="RI14" s="548"/>
      <c r="RJ14" s="548"/>
      <c r="RK14" s="548"/>
      <c r="RL14" s="548"/>
      <c r="RM14" s="548"/>
      <c r="RN14" s="548"/>
      <c r="RO14" s="548"/>
      <c r="RP14" s="548"/>
      <c r="RQ14" s="548"/>
      <c r="RR14" s="548"/>
      <c r="RS14" s="548"/>
      <c r="RT14" s="548"/>
      <c r="RU14" s="548"/>
      <c r="RV14" s="548"/>
      <c r="RW14" s="548"/>
      <c r="RX14" s="548"/>
      <c r="RY14" s="548"/>
      <c r="RZ14" s="548"/>
      <c r="SA14" s="548"/>
      <c r="SB14" s="548"/>
      <c r="SC14" s="548"/>
      <c r="SD14" s="548"/>
      <c r="SE14" s="548"/>
      <c r="SF14" s="548"/>
      <c r="SG14" s="548"/>
      <c r="SH14" s="548"/>
      <c r="SI14" s="548"/>
      <c r="SJ14" s="548"/>
      <c r="SK14" s="548"/>
      <c r="SL14" s="548"/>
      <c r="SM14" s="548"/>
      <c r="SN14" s="548"/>
      <c r="SO14" s="548"/>
      <c r="SP14" s="548"/>
      <c r="SQ14" s="548"/>
      <c r="SR14" s="548"/>
      <c r="SS14" s="548"/>
      <c r="ST14" s="548"/>
      <c r="SU14" s="548"/>
      <c r="SV14" s="548"/>
      <c r="SW14" s="548"/>
      <c r="SX14" s="548"/>
      <c r="SY14" s="548"/>
      <c r="SZ14" s="548"/>
      <c r="TA14" s="548"/>
      <c r="TB14" s="548"/>
      <c r="TC14" s="548"/>
      <c r="TD14" s="548"/>
      <c r="TE14" s="548"/>
      <c r="TF14" s="548"/>
      <c r="TG14" s="548"/>
      <c r="TH14" s="548"/>
      <c r="TI14" s="548"/>
      <c r="TJ14" s="548"/>
      <c r="TK14" s="548"/>
      <c r="TL14" s="548"/>
      <c r="TM14" s="548"/>
      <c r="TN14" s="548"/>
      <c r="TO14" s="548"/>
      <c r="TP14" s="548"/>
      <c r="TQ14" s="548"/>
      <c r="TR14" s="548"/>
      <c r="TS14" s="548"/>
      <c r="TT14" s="548"/>
      <c r="TU14" s="548"/>
      <c r="TV14" s="548"/>
      <c r="TW14" s="548"/>
      <c r="TX14" s="548"/>
      <c r="TY14" s="548"/>
      <c r="TZ14" s="548"/>
      <c r="UA14" s="548"/>
      <c r="UB14" s="548"/>
      <c r="UC14" s="548"/>
      <c r="UD14" s="548"/>
      <c r="UE14" s="548"/>
      <c r="UF14" s="548"/>
      <c r="UG14" s="548"/>
      <c r="UH14" s="548"/>
      <c r="UI14" s="548"/>
      <c r="UJ14" s="548"/>
      <c r="UK14" s="548"/>
      <c r="UL14" s="548"/>
      <c r="UM14" s="548"/>
      <c r="UN14" s="548"/>
      <c r="UO14" s="548"/>
      <c r="UP14" s="548"/>
      <c r="UQ14" s="548"/>
      <c r="UR14" s="548"/>
      <c r="US14" s="548"/>
      <c r="UT14" s="548"/>
      <c r="UU14" s="548"/>
      <c r="UV14" s="548"/>
      <c r="UW14" s="548"/>
      <c r="UX14" s="548"/>
      <c r="UY14" s="548"/>
      <c r="UZ14" s="548"/>
      <c r="VA14" s="548"/>
      <c r="VB14" s="548"/>
      <c r="VC14" s="548"/>
      <c r="VD14" s="548"/>
      <c r="VE14" s="548"/>
      <c r="VF14" s="548"/>
      <c r="VG14" s="548"/>
      <c r="VH14" s="548"/>
      <c r="VI14" s="548"/>
      <c r="VJ14" s="548"/>
      <c r="VK14" s="548"/>
      <c r="VL14" s="548"/>
      <c r="VM14" s="548"/>
      <c r="VN14" s="548"/>
      <c r="VO14" s="548"/>
      <c r="VP14" s="548"/>
      <c r="VQ14" s="548"/>
      <c r="VR14" s="548"/>
      <c r="VS14" s="548"/>
      <c r="VT14" s="548"/>
      <c r="VU14" s="548"/>
      <c r="VV14" s="548"/>
      <c r="VW14" s="548"/>
      <c r="VX14" s="548"/>
      <c r="VY14" s="548"/>
      <c r="VZ14" s="548"/>
      <c r="WA14" s="548"/>
      <c r="WB14" s="548"/>
      <c r="WC14" s="548"/>
      <c r="WD14" s="548"/>
      <c r="WE14" s="548"/>
      <c r="WF14" s="548"/>
      <c r="WG14" s="548"/>
      <c r="WH14" s="548"/>
      <c r="WI14" s="548"/>
      <c r="WJ14" s="548"/>
      <c r="WK14" s="548"/>
      <c r="WL14" s="548"/>
      <c r="WM14" s="548"/>
      <c r="WN14" s="548"/>
      <c r="WO14" s="548"/>
      <c r="WP14" s="548"/>
      <c r="WQ14" s="548"/>
      <c r="WR14" s="548"/>
      <c r="WS14" s="548"/>
      <c r="WT14" s="548"/>
      <c r="WU14" s="548"/>
      <c r="WV14" s="548"/>
      <c r="WW14" s="548"/>
      <c r="WX14" s="548"/>
      <c r="WY14" s="548"/>
      <c r="WZ14" s="548"/>
      <c r="XA14" s="548"/>
      <c r="XB14" s="548"/>
      <c r="XC14" s="548"/>
      <c r="XD14" s="548"/>
      <c r="XE14" s="548"/>
      <c r="XF14" s="548"/>
      <c r="XG14" s="548"/>
      <c r="XH14" s="548"/>
      <c r="XI14" s="548"/>
      <c r="XJ14" s="548"/>
      <c r="XK14" s="548"/>
      <c r="XL14" s="548"/>
      <c r="XM14" s="548"/>
      <c r="XN14" s="548"/>
      <c r="XO14" s="548"/>
      <c r="XP14" s="548"/>
      <c r="XQ14" s="548"/>
      <c r="XR14" s="548"/>
      <c r="XS14" s="548"/>
      <c r="XT14" s="548"/>
      <c r="XU14" s="548"/>
      <c r="XV14" s="548"/>
      <c r="XW14" s="548"/>
      <c r="XX14" s="548"/>
      <c r="XY14" s="548"/>
      <c r="XZ14" s="548"/>
      <c r="YA14" s="548"/>
      <c r="YB14" s="548"/>
      <c r="YC14" s="548"/>
      <c r="YD14" s="548"/>
      <c r="YE14" s="548"/>
      <c r="YF14" s="548"/>
      <c r="YG14" s="548"/>
      <c r="YH14" s="548"/>
      <c r="YI14" s="548"/>
      <c r="YJ14" s="548"/>
      <c r="YK14" s="548"/>
      <c r="YL14" s="548"/>
      <c r="YM14" s="548"/>
      <c r="YN14" s="548"/>
      <c r="YO14" s="548"/>
      <c r="YP14" s="548"/>
      <c r="YQ14" s="548"/>
      <c r="YR14" s="548"/>
      <c r="YS14" s="548"/>
      <c r="YT14" s="548"/>
      <c r="YU14" s="548"/>
      <c r="YV14" s="548"/>
      <c r="YW14" s="548"/>
      <c r="YX14" s="548"/>
      <c r="YY14" s="548"/>
      <c r="YZ14" s="548"/>
      <c r="ZA14" s="548"/>
      <c r="ZB14" s="548"/>
      <c r="ZC14" s="548"/>
      <c r="ZD14" s="548"/>
      <c r="ZE14" s="548"/>
      <c r="ZF14" s="548"/>
      <c r="ZG14" s="548"/>
      <c r="ZH14" s="548"/>
      <c r="ZI14" s="548"/>
      <c r="ZJ14" s="548"/>
      <c r="ZK14" s="548"/>
      <c r="ZL14" s="548"/>
      <c r="ZM14" s="548"/>
      <c r="ZN14" s="548"/>
      <c r="ZO14" s="548"/>
      <c r="ZP14" s="548"/>
      <c r="ZQ14" s="548"/>
      <c r="ZR14" s="548"/>
      <c r="ZS14" s="548"/>
      <c r="ZT14" s="548"/>
      <c r="ZU14" s="548"/>
      <c r="ZV14" s="548"/>
      <c r="ZW14" s="548"/>
      <c r="ZX14" s="548"/>
      <c r="ZY14" s="548"/>
      <c r="ZZ14" s="548"/>
      <c r="AAA14" s="548"/>
      <c r="AAB14" s="548"/>
      <c r="AAC14" s="548"/>
      <c r="AAD14" s="548"/>
      <c r="AAE14" s="548"/>
      <c r="AAF14" s="548"/>
      <c r="AAG14" s="548"/>
      <c r="AAH14" s="548"/>
      <c r="AAI14" s="548"/>
      <c r="AAJ14" s="548"/>
      <c r="AAK14" s="548"/>
      <c r="AAL14" s="548"/>
      <c r="AAM14" s="548"/>
      <c r="AAN14" s="548"/>
      <c r="AAO14" s="548"/>
      <c r="AAP14" s="548"/>
      <c r="AAQ14" s="548"/>
      <c r="AAR14" s="548"/>
      <c r="AAS14" s="548"/>
      <c r="AAT14" s="548"/>
      <c r="AAU14" s="548"/>
      <c r="AAV14" s="548"/>
      <c r="AAW14" s="548"/>
      <c r="AAX14" s="548"/>
      <c r="AAY14" s="548"/>
      <c r="AAZ14" s="548"/>
      <c r="ABA14" s="548"/>
      <c r="ABB14" s="548"/>
      <c r="ABC14" s="548"/>
      <c r="ABD14" s="548"/>
      <c r="ABE14" s="548"/>
      <c r="ABF14" s="548"/>
      <c r="ABG14" s="548"/>
      <c r="ABH14" s="548"/>
      <c r="ABI14" s="548"/>
      <c r="ABJ14" s="548"/>
      <c r="ABK14" s="548"/>
      <c r="ABL14" s="548"/>
      <c r="ABM14" s="548"/>
      <c r="ABN14" s="548"/>
      <c r="ABO14" s="548"/>
      <c r="ABP14" s="548"/>
      <c r="ABQ14" s="548"/>
      <c r="ABR14" s="548"/>
      <c r="ABS14" s="548"/>
    </row>
    <row r="15" spans="1:747" customFormat="1" ht="15" customHeight="1" x14ac:dyDescent="0.2">
      <c r="A15" s="424" t="str">
        <f t="shared" si="149"/>
        <v/>
      </c>
      <c r="B15" s="415"/>
      <c r="C15" s="525"/>
      <c r="D15" s="750"/>
      <c r="E15" s="416" t="str">
        <f t="shared" si="0"/>
        <v/>
      </c>
      <c r="F15" s="527" t="str">
        <f t="shared" si="1"/>
        <v/>
      </c>
      <c r="G15" s="417"/>
      <c r="H15" s="583" t="str">
        <f t="shared" si="2"/>
        <v/>
      </c>
      <c r="I15" s="424"/>
      <c r="J15" s="749"/>
      <c r="K15" s="418"/>
      <c r="L15" s="419"/>
      <c r="M15" s="415"/>
      <c r="N15" s="420"/>
      <c r="O15" s="421"/>
      <c r="P15" s="561"/>
      <c r="Q15" s="422"/>
      <c r="R15" s="767" t="str">
        <f t="shared" si="3"/>
        <v/>
      </c>
      <c r="S15" s="664"/>
      <c r="T15" s="663"/>
      <c r="U15" s="580">
        <f t="shared" si="4"/>
        <v>0</v>
      </c>
      <c r="V15" s="418"/>
      <c r="W15" s="582" t="str">
        <f t="shared" si="5"/>
        <v/>
      </c>
      <c r="X15" s="479" t="str">
        <f t="shared" si="6"/>
        <v/>
      </c>
      <c r="Y15" s="582" t="str">
        <f t="shared" si="7"/>
        <v/>
      </c>
      <c r="Z15" s="317" t="str">
        <f t="shared" si="8"/>
        <v/>
      </c>
      <c r="AA15" s="317" t="str">
        <f t="shared" si="9"/>
        <v/>
      </c>
      <c r="AB15" s="317">
        <f t="shared" si="10"/>
        <v>0</v>
      </c>
      <c r="AC15" s="317" t="str">
        <f t="shared" si="11"/>
        <v/>
      </c>
      <c r="AD15" s="317"/>
      <c r="AE15" s="479"/>
      <c r="AF15" s="479"/>
      <c r="AG15" s="423"/>
      <c r="AH15" s="820"/>
      <c r="AI15" s="480"/>
      <c r="AJ15" s="660"/>
      <c r="AK15" s="524" t="str">
        <f t="shared" si="12"/>
        <v/>
      </c>
      <c r="AL15" s="731">
        <f>SUMIF($J$4:$J$130,"Básico",$S$4:$S$130)</f>
        <v>0</v>
      </c>
      <c r="AM15" s="732">
        <f>SUMIF($J$4:$J$130,"Básico",$T$4:$T$130)</f>
        <v>0</v>
      </c>
      <c r="AN15" s="426">
        <f t="shared" si="13"/>
        <v>0</v>
      </c>
      <c r="AO15" s="427" t="str">
        <f t="shared" si="37"/>
        <v/>
      </c>
      <c r="AP15" s="426" t="str">
        <f t="shared" si="14"/>
        <v/>
      </c>
      <c r="AQ15" s="426"/>
      <c r="AR15" s="426"/>
      <c r="AS15" s="428"/>
      <c r="AT15" s="429"/>
      <c r="AU15" s="430"/>
      <c r="AV15" s="806"/>
      <c r="AW15" s="800"/>
      <c r="AX15" s="430"/>
      <c r="AY15" s="431">
        <f t="shared" si="15"/>
        <v>0</v>
      </c>
      <c r="AZ15" s="426"/>
      <c r="BA15" s="435" t="str">
        <f t="shared" si="16"/>
        <v/>
      </c>
      <c r="BB15" s="435"/>
      <c r="BC15" s="426"/>
      <c r="BD15" s="426">
        <f t="array" ref="BD15">IF(SUM((BC15=$BC$3:BC14)*1)=0,BC15,0)</f>
        <v>0</v>
      </c>
      <c r="BE15" s="426"/>
      <c r="BF15" s="426"/>
      <c r="BG15" s="426">
        <f t="array" ref="BG15">IF(SUM((BF15=$BF$3:BF14)*1)=0,BF15,0)</f>
        <v>0</v>
      </c>
      <c r="BH15" s="426"/>
      <c r="BI15" s="426"/>
      <c r="BJ15" s="426"/>
      <c r="BK15" s="426"/>
      <c r="BL15" s="426"/>
      <c r="BM15" s="426"/>
      <c r="BN15" s="426"/>
      <c r="BO15" s="426"/>
      <c r="BP15" s="433">
        <f t="shared" si="17"/>
        <v>0</v>
      </c>
      <c r="BQ15" s="426"/>
      <c r="BR15" s="434"/>
      <c r="BS15" s="426"/>
      <c r="BT15" s="433"/>
      <c r="BU15" s="435"/>
      <c r="BV15" s="435" t="str">
        <f t="shared" si="18"/>
        <v/>
      </c>
      <c r="BW15" s="435" t="str">
        <f t="shared" si="38"/>
        <v/>
      </c>
      <c r="BX15" s="495"/>
      <c r="BY15" s="495"/>
      <c r="BZ15" s="495"/>
      <c r="CA15" s="495"/>
      <c r="CB15" s="495"/>
      <c r="CC15" s="495"/>
      <c r="CD15" s="495"/>
      <c r="CE15" s="495"/>
      <c r="CF15" s="495"/>
      <c r="CG15" s="495"/>
      <c r="CH15" s="495"/>
      <c r="CI15" s="495"/>
      <c r="CJ15" s="426" t="str">
        <f t="shared" si="39"/>
        <v/>
      </c>
      <c r="CK15" s="495"/>
      <c r="CL15" s="495"/>
      <c r="CM15" s="495"/>
      <c r="CN15" s="495"/>
      <c r="CO15" s="495"/>
      <c r="CP15" s="495"/>
      <c r="CQ15" s="495"/>
      <c r="CR15" s="495"/>
      <c r="CS15" s="495"/>
      <c r="CT15" s="495"/>
      <c r="CU15" s="495"/>
      <c r="CV15" s="495"/>
      <c r="CW15" s="679">
        <f>SUM($CS$4:$CS$163)</f>
        <v>0</v>
      </c>
      <c r="CX15" s="679">
        <f>SUM($CT$4:$CT$163)</f>
        <v>0</v>
      </c>
      <c r="CY15" s="426">
        <v>12</v>
      </c>
      <c r="CZ15" s="679">
        <f>SUM($CF$4:$CF$163)</f>
        <v>0</v>
      </c>
      <c r="DA15" s="679">
        <f>SUM($CG$4:$CG$163)</f>
        <v>0</v>
      </c>
      <c r="DB15" s="426"/>
      <c r="DC15" s="426" t="s">
        <v>755</v>
      </c>
      <c r="DD15" s="426" t="s">
        <v>915</v>
      </c>
      <c r="DE15" s="435" t="str">
        <f t="shared" si="40"/>
        <v/>
      </c>
      <c r="DF15" s="435" t="str">
        <f t="shared" si="41"/>
        <v/>
      </c>
      <c r="DG15" s="435" t="str">
        <f t="shared" si="42"/>
        <v/>
      </c>
      <c r="DH15" s="435" t="str">
        <f t="shared" si="43"/>
        <v/>
      </c>
      <c r="DI15" s="435" t="str">
        <f t="shared" si="44"/>
        <v/>
      </c>
      <c r="DJ15" s="435" t="str">
        <f t="shared" si="45"/>
        <v/>
      </c>
      <c r="DK15" s="435" t="str">
        <f t="shared" si="19"/>
        <v/>
      </c>
      <c r="DL15" s="435" t="str">
        <f t="shared" si="20"/>
        <v/>
      </c>
      <c r="DM15" s="435" t="str">
        <f t="shared" si="46"/>
        <v/>
      </c>
      <c r="DN15" s="435" t="str">
        <f t="shared" si="47"/>
        <v/>
      </c>
      <c r="DO15" s="435" t="str">
        <f t="shared" si="21"/>
        <v/>
      </c>
      <c r="DP15" s="435" t="str">
        <f t="shared" si="22"/>
        <v/>
      </c>
      <c r="DQ15" s="435" t="str">
        <f t="shared" si="48"/>
        <v/>
      </c>
      <c r="DR15" s="435" t="str">
        <f t="shared" si="49"/>
        <v/>
      </c>
      <c r="DS15" s="435" t="str">
        <f t="shared" si="23"/>
        <v/>
      </c>
      <c r="DT15" s="435" t="str">
        <f t="shared" si="24"/>
        <v/>
      </c>
      <c r="DU15" s="435" t="str">
        <f t="shared" si="50"/>
        <v/>
      </c>
      <c r="DV15" s="435" t="str">
        <f t="shared" si="51"/>
        <v/>
      </c>
      <c r="DW15" s="435" t="str">
        <f t="shared" si="25"/>
        <v/>
      </c>
      <c r="DX15" s="435" t="str">
        <f t="shared" si="26"/>
        <v/>
      </c>
      <c r="DY15" s="435" t="str">
        <f t="shared" si="52"/>
        <v/>
      </c>
      <c r="DZ15" s="435" t="str">
        <f t="shared" si="53"/>
        <v/>
      </c>
      <c r="EA15" s="435" t="str">
        <f t="shared" si="27"/>
        <v/>
      </c>
      <c r="EB15" s="435" t="str">
        <f t="shared" si="28"/>
        <v/>
      </c>
      <c r="EC15" s="435" t="str">
        <f t="shared" si="29"/>
        <v/>
      </c>
      <c r="ED15" s="435" t="str">
        <f t="shared" si="30"/>
        <v/>
      </c>
      <c r="EE15" s="435" t="str">
        <f t="shared" si="31"/>
        <v/>
      </c>
      <c r="EF15" s="435" t="str">
        <f t="shared" si="32"/>
        <v/>
      </c>
      <c r="EG15" s="435" t="str">
        <f t="shared" si="33"/>
        <v/>
      </c>
      <c r="EH15" s="435" t="str">
        <f t="shared" si="34"/>
        <v/>
      </c>
      <c r="EI15" s="435" t="str">
        <f t="shared" si="35"/>
        <v/>
      </c>
      <c r="EJ15" s="435" t="str">
        <f t="shared" si="36"/>
        <v/>
      </c>
      <c r="EK15" s="485"/>
      <c r="EL15" s="485"/>
      <c r="EM15" s="485"/>
      <c r="EN15" s="485"/>
      <c r="EO15" s="448"/>
      <c r="EP15" s="448"/>
      <c r="EQ15" s="448"/>
      <c r="ER15" s="448"/>
      <c r="ES15" s="448"/>
      <c r="ET15" s="435"/>
      <c r="EU15" s="435"/>
      <c r="EV15" s="435"/>
      <c r="EW15" s="435"/>
      <c r="EX15" s="426"/>
      <c r="EY15" s="426"/>
      <c r="EZ15" s="426"/>
      <c r="FA15" s="427"/>
      <c r="FB15" s="427">
        <f t="array" ref="FB15">IF(SUM((FA15=$FA$3:FA14)*1)=0,FA15,0)</f>
        <v>0</v>
      </c>
      <c r="FC15" s="427"/>
      <c r="FD15" s="427"/>
      <c r="FE15" s="427">
        <f t="array" ref="FE15">IF(SUM((FD15=$FD$3:FD14)*1)=0,FD15,0)</f>
        <v>0</v>
      </c>
      <c r="FF15" s="427"/>
      <c r="FG15" s="427"/>
      <c r="FH15" s="427"/>
      <c r="FI15" s="427">
        <f t="array" ref="FI15">IF(SUM((FH15=$FH$3:FH14)*1)=0,FH15,0)</f>
        <v>0</v>
      </c>
      <c r="FJ15" s="427"/>
      <c r="FK15" s="427"/>
      <c r="FL15" s="427">
        <f t="array" ref="FL15">IF(SUM((FK15=$FK$3:FK14)*1)=0,FK15,0)</f>
        <v>0</v>
      </c>
      <c r="FM15" s="427"/>
      <c r="FN15" s="427"/>
      <c r="FO15" s="798"/>
      <c r="FP15" s="427">
        <f t="array" ref="FP15">IF(SUM((FO15=$FO$3:FO14)*1)=0,FO15,0)</f>
        <v>0</v>
      </c>
      <c r="FQ15" s="427"/>
      <c r="FR15" s="427"/>
      <c r="FS15" s="427">
        <f t="array" ref="FS15">IF(SUM((FR15=$FR$3:FR14)*1)=0,FR15,0)</f>
        <v>0</v>
      </c>
      <c r="FT15" s="427"/>
      <c r="FU15" s="427"/>
      <c r="FV15" s="427"/>
      <c r="FW15" s="427">
        <f t="array" ref="FW15">IF(SUM((FV15=$FV$3:FV14)*1)=0,FV15,0)</f>
        <v>0</v>
      </c>
      <c r="FX15" s="427"/>
      <c r="FY15" s="427"/>
      <c r="FZ15" s="427">
        <f t="array" ref="FZ15">IF(SUM((FY15=$FY$3:FY14)*1)=0,FY15,0)</f>
        <v>0</v>
      </c>
      <c r="GA15" s="427"/>
      <c r="GB15" s="427"/>
      <c r="GC15" s="427"/>
      <c r="GD15" s="427">
        <f t="array" ref="GD15">IF(SUM((GC15=$GC$3:GC14)*1)=0,GC15,0)</f>
        <v>0</v>
      </c>
      <c r="GE15" s="427"/>
      <c r="GF15" s="427"/>
      <c r="GG15" s="427">
        <f t="array" ref="GG15">IF(SUM((GF15=$GF$3:GF14)*1)=0,GF15,0)</f>
        <v>0</v>
      </c>
      <c r="GH15" s="427"/>
      <c r="GI15" s="427"/>
      <c r="GJ15" s="427"/>
      <c r="GK15" s="798">
        <f t="array" ref="GK15">IF(SUM((GJ15=$GJ$3:GJ14)*1)=0,GJ15,0)</f>
        <v>0</v>
      </c>
      <c r="GL15" s="427"/>
      <c r="GM15" s="427"/>
      <c r="GN15" s="798">
        <f t="array" ref="GN15">IF(SUM((GM15=$GM$3:GM14)*1)=0,GM15,0)</f>
        <v>0</v>
      </c>
      <c r="GO15" s="427"/>
      <c r="GP15" s="427"/>
      <c r="GQ15" s="427"/>
      <c r="GR15" s="798">
        <f t="array" ref="GR15">IF(SUM((GQ15=$GQ$3:GQ14)*1)=0,GQ15,0)</f>
        <v>0</v>
      </c>
      <c r="GS15" s="427"/>
      <c r="GT15" s="427"/>
      <c r="GU15" s="798">
        <f t="array" ref="GU15">IF(SUM((GT15=$GT$3:GT14)*1)=0,GT15,0)</f>
        <v>0</v>
      </c>
      <c r="GV15" s="427"/>
      <c r="GW15" s="427"/>
      <c r="GX15" s="427"/>
      <c r="GY15" s="798">
        <f t="array" ref="GY15">IF(SUM((GX15=$GX$3:GX14)*1)=0,GX15,0)</f>
        <v>0</v>
      </c>
      <c r="GZ15" s="427"/>
      <c r="HA15" s="427"/>
      <c r="HB15" s="798">
        <f t="array" ref="HB15">IF(SUM((HA15=$HA$3:HA14)*1)=0,HA15,0)</f>
        <v>0</v>
      </c>
      <c r="HC15" s="427"/>
      <c r="HD15" s="427"/>
      <c r="HE15" s="769" t="str">
        <f t="shared" si="130"/>
        <v/>
      </c>
      <c r="HF15" s="768" t="str">
        <f t="shared" si="54"/>
        <v/>
      </c>
      <c r="HG15" s="769" t="str">
        <f t="shared" si="131"/>
        <v/>
      </c>
      <c r="HH15" s="768" t="str">
        <f t="shared" si="55"/>
        <v/>
      </c>
      <c r="HI15" s="728" t="str">
        <f t="shared" si="132"/>
        <v/>
      </c>
      <c r="HJ15" s="768" t="str">
        <f t="shared" si="56"/>
        <v/>
      </c>
      <c r="HK15" s="728" t="str">
        <f t="shared" si="133"/>
        <v/>
      </c>
      <c r="HL15" s="768" t="str">
        <f t="shared" si="57"/>
        <v/>
      </c>
      <c r="HM15" s="769" t="str">
        <f t="shared" si="58"/>
        <v/>
      </c>
      <c r="HN15" s="768" t="str">
        <f t="shared" ref="HN15" si="214">IF(HM15&lt;0,"Invadiu REP-BA-C","")</f>
        <v/>
      </c>
      <c r="HO15" s="769" t="str">
        <f t="shared" si="60"/>
        <v/>
      </c>
      <c r="HP15" s="768" t="str">
        <f t="shared" si="61"/>
        <v/>
      </c>
      <c r="HQ15" s="728" t="str">
        <f t="shared" si="62"/>
        <v/>
      </c>
      <c r="HR15" s="768" t="str">
        <f t="shared" si="63"/>
        <v/>
      </c>
      <c r="HS15" s="728" t="str">
        <f t="shared" si="64"/>
        <v/>
      </c>
      <c r="HT15" s="768" t="str">
        <f t="shared" si="65"/>
        <v/>
      </c>
      <c r="HU15" s="769" t="str">
        <f t="shared" si="66"/>
        <v/>
      </c>
      <c r="HV15" s="768" t="str">
        <f t="shared" ref="HV15" si="215">IF(HU15&lt;0,"Invadiu REP-BA-C","")</f>
        <v/>
      </c>
      <c r="HW15" s="769" t="str">
        <f t="shared" si="68"/>
        <v/>
      </c>
      <c r="HX15" s="768" t="str">
        <f t="shared" si="69"/>
        <v/>
      </c>
      <c r="HY15" s="728" t="str">
        <f t="shared" si="70"/>
        <v/>
      </c>
      <c r="HZ15" s="768" t="str">
        <f t="shared" si="71"/>
        <v/>
      </c>
      <c r="IA15" s="728" t="str">
        <f t="shared" si="72"/>
        <v/>
      </c>
      <c r="IB15" s="768" t="str">
        <f t="shared" si="73"/>
        <v/>
      </c>
      <c r="IC15" s="769" t="str">
        <f t="shared" si="74"/>
        <v/>
      </c>
      <c r="ID15" s="768" t="str">
        <f t="shared" ref="ID15" si="216">IF(IC15&lt;0,"Invadiu REP-BA-C","")</f>
        <v/>
      </c>
      <c r="IE15" s="769" t="str">
        <f t="shared" si="76"/>
        <v/>
      </c>
      <c r="IF15" s="768" t="str">
        <f t="shared" si="77"/>
        <v/>
      </c>
      <c r="IG15" s="728" t="str">
        <f t="shared" si="78"/>
        <v/>
      </c>
      <c r="IH15" s="768" t="str">
        <f t="shared" si="79"/>
        <v/>
      </c>
      <c r="II15" s="728" t="str">
        <f t="shared" si="80"/>
        <v/>
      </c>
      <c r="IJ15" s="768" t="str">
        <f t="shared" si="81"/>
        <v/>
      </c>
      <c r="IK15" s="769" t="str">
        <f t="shared" si="82"/>
        <v/>
      </c>
      <c r="IL15" s="768" t="str">
        <f t="shared" ref="IL15" si="217">IF(IK15&lt;0,"Invadiu REP-BA-C","")</f>
        <v/>
      </c>
      <c r="IM15" s="769" t="str">
        <f t="shared" si="84"/>
        <v/>
      </c>
      <c r="IN15" s="768" t="str">
        <f t="shared" si="85"/>
        <v/>
      </c>
      <c r="IO15" s="728" t="str">
        <f t="shared" si="86"/>
        <v/>
      </c>
      <c r="IP15" s="768" t="str">
        <f t="shared" si="87"/>
        <v/>
      </c>
      <c r="IQ15" s="728" t="str">
        <f t="shared" si="88"/>
        <v/>
      </c>
      <c r="IR15" s="768" t="str">
        <f t="shared" si="89"/>
        <v/>
      </c>
      <c r="IS15" s="769" t="str">
        <f t="shared" si="90"/>
        <v/>
      </c>
      <c r="IT15" s="768" t="str">
        <f t="shared" ref="IT15" si="218">IF(IS15&lt;0,"Invadiu REP-BA-C","")</f>
        <v/>
      </c>
      <c r="IU15" s="769" t="str">
        <f t="shared" si="92"/>
        <v/>
      </c>
      <c r="IV15" s="768" t="str">
        <f t="shared" si="93"/>
        <v/>
      </c>
      <c r="IW15" s="728" t="str">
        <f t="shared" si="94"/>
        <v/>
      </c>
      <c r="IX15" s="768" t="str">
        <f t="shared" si="95"/>
        <v/>
      </c>
      <c r="IY15" s="728" t="str">
        <f t="shared" si="96"/>
        <v/>
      </c>
      <c r="IZ15" s="768" t="str">
        <f t="shared" si="97"/>
        <v/>
      </c>
      <c r="JA15" s="769" t="str">
        <f t="shared" si="98"/>
        <v/>
      </c>
      <c r="JB15" s="768" t="str">
        <f t="shared" ref="JB15" si="219">IF(JA15&lt;0,"Invadiu REP-BA-C","")</f>
        <v/>
      </c>
      <c r="JC15" s="769" t="str">
        <f t="shared" si="100"/>
        <v/>
      </c>
      <c r="JD15" s="768" t="str">
        <f t="shared" si="101"/>
        <v/>
      </c>
      <c r="JE15" s="728" t="str">
        <f t="shared" si="102"/>
        <v/>
      </c>
      <c r="JF15" s="768" t="str">
        <f t="shared" si="103"/>
        <v/>
      </c>
      <c r="JG15" s="728" t="str">
        <f t="shared" si="104"/>
        <v/>
      </c>
      <c r="JH15" s="768" t="str">
        <f t="shared" si="105"/>
        <v/>
      </c>
      <c r="JI15" s="769" t="str">
        <f t="shared" si="106"/>
        <v/>
      </c>
      <c r="JJ15" s="768" t="str">
        <f t="shared" ref="JJ15" si="220">IF(JI15&lt;0,"Invadiu REP-BA-C","")</f>
        <v/>
      </c>
      <c r="JK15" s="769" t="str">
        <f t="shared" si="108"/>
        <v/>
      </c>
      <c r="JL15" s="768" t="str">
        <f t="shared" si="109"/>
        <v/>
      </c>
      <c r="JM15" s="728" t="str">
        <f t="shared" si="110"/>
        <v/>
      </c>
      <c r="JN15" s="768" t="str">
        <f t="shared" si="111"/>
        <v/>
      </c>
      <c r="JO15" s="728" t="str">
        <f t="shared" si="112"/>
        <v/>
      </c>
      <c r="JP15" s="768" t="str">
        <f t="shared" si="113"/>
        <v/>
      </c>
      <c r="JQ15" s="769" t="str">
        <f t="shared" si="114"/>
        <v/>
      </c>
      <c r="JR15" s="768" t="str">
        <f t="shared" ref="JR15" si="221">IF(JQ15&lt;0,"Invadiu REP-BA-C","")</f>
        <v/>
      </c>
      <c r="JS15" s="769" t="str">
        <f t="shared" si="116"/>
        <v/>
      </c>
      <c r="JT15" s="768" t="str">
        <f t="shared" si="117"/>
        <v/>
      </c>
      <c r="JU15" s="728" t="str">
        <f t="shared" si="118"/>
        <v/>
      </c>
      <c r="JV15" s="768" t="str">
        <f t="shared" si="119"/>
        <v/>
      </c>
      <c r="JW15" s="728" t="str">
        <f t="shared" si="120"/>
        <v/>
      </c>
      <c r="JX15" s="768" t="str">
        <f t="shared" si="121"/>
        <v/>
      </c>
      <c r="JY15" s="768" t="str">
        <f t="shared" si="122"/>
        <v/>
      </c>
      <c r="JZ15" s="485" t="str">
        <f>IF(JY15="","",IF(AND(C15=$C$164,JY15&lt;&gt;""),Verificarcpf(D15),IF(AND(C15=$C$165,JY15&lt;&gt;""),VerificarCNPJ(D15))))</f>
        <v/>
      </c>
      <c r="KA15" s="768" t="str">
        <f t="shared" si="123"/>
        <v/>
      </c>
      <c r="KB15" s="485">
        <f t="shared" si="124"/>
        <v>0</v>
      </c>
      <c r="KC15" s="768">
        <f t="shared" si="125"/>
        <v>0</v>
      </c>
      <c r="KD15" s="485">
        <f t="shared" si="126"/>
        <v>0</v>
      </c>
      <c r="KE15" s="448"/>
      <c r="KF15" s="548">
        <f t="shared" si="127"/>
        <v>0</v>
      </c>
      <c r="KG15" s="548" t="s">
        <v>443</v>
      </c>
      <c r="KH15" s="548"/>
      <c r="KI15" s="548"/>
      <c r="KJ15" s="548" t="str">
        <f t="shared" si="128"/>
        <v/>
      </c>
      <c r="KK15" s="548"/>
      <c r="KL15" s="548"/>
      <c r="KM15" s="548">
        <f t="array" ref="KM15">IF(SUM((KL15=$KL$3:KL14)*1)=0,KL15,0)</f>
        <v>0</v>
      </c>
      <c r="KN15" s="548"/>
      <c r="KO15" s="548"/>
      <c r="KP15" s="548"/>
      <c r="KQ15" s="548"/>
      <c r="KR15" s="548" t="str">
        <f t="shared" si="129"/>
        <v/>
      </c>
      <c r="KS15" s="548"/>
      <c r="KT15" s="548"/>
      <c r="KU15" s="548"/>
      <c r="KV15" s="548"/>
      <c r="KW15" s="548"/>
      <c r="KX15" s="548"/>
      <c r="KY15" s="548"/>
      <c r="KZ15" s="548"/>
      <c r="LA15" s="548"/>
      <c r="LB15" s="548"/>
      <c r="LC15" s="485" t="str">
        <f t="shared" si="142"/>
        <v/>
      </c>
      <c r="LD15" s="548"/>
      <c r="LE15" s="548"/>
      <c r="LF15" s="548"/>
      <c r="LG15" s="548"/>
      <c r="LH15" s="548"/>
      <c r="LI15" s="548"/>
      <c r="LJ15" s="548"/>
      <c r="LK15" s="548"/>
      <c r="LL15" s="548"/>
      <c r="LM15" s="548"/>
      <c r="LN15" s="548"/>
      <c r="LO15" s="548"/>
      <c r="LP15" s="485" t="str">
        <f t="shared" si="143"/>
        <v/>
      </c>
      <c r="LQ15" s="548"/>
      <c r="LR15" s="548"/>
      <c r="LS15" s="548"/>
      <c r="LT15" s="548"/>
      <c r="LU15" s="548"/>
      <c r="LV15" s="548"/>
      <c r="LW15" s="548"/>
      <c r="LX15" s="548"/>
      <c r="LY15" s="548"/>
      <c r="LZ15" s="548"/>
      <c r="MA15" s="548"/>
      <c r="MB15" s="548"/>
      <c r="MC15" s="485" t="str">
        <f t="shared" si="144"/>
        <v/>
      </c>
      <c r="MD15" s="548"/>
      <c r="ME15" s="548"/>
      <c r="MF15" s="548"/>
      <c r="MG15" s="548"/>
      <c r="MH15" s="548"/>
      <c r="MI15" s="548"/>
      <c r="MJ15" s="548"/>
      <c r="MK15" s="548"/>
      <c r="ML15" s="548"/>
      <c r="MM15" s="548"/>
      <c r="MN15" s="548"/>
      <c r="MO15" s="548"/>
      <c r="MP15" s="485" t="str">
        <f t="shared" si="145"/>
        <v/>
      </c>
      <c r="MQ15" s="548"/>
      <c r="MR15" s="548"/>
      <c r="MS15" s="548"/>
      <c r="MT15" s="548"/>
      <c r="MU15" s="548"/>
      <c r="MV15" s="548"/>
      <c r="MW15" s="548"/>
      <c r="MX15" s="548"/>
      <c r="MY15" s="548"/>
      <c r="MZ15" s="548"/>
      <c r="NA15" s="548"/>
      <c r="NB15" s="548"/>
      <c r="NC15" s="485" t="str">
        <f t="shared" si="146"/>
        <v/>
      </c>
      <c r="ND15" s="548"/>
      <c r="NE15" s="548"/>
      <c r="NF15" s="548"/>
      <c r="NG15" s="548"/>
      <c r="NH15" s="548"/>
      <c r="NI15" s="548"/>
      <c r="NJ15" s="548"/>
      <c r="NK15" s="548"/>
      <c r="NL15" s="548"/>
      <c r="NM15" s="548"/>
      <c r="NN15" s="548"/>
      <c r="NO15" s="548"/>
      <c r="NP15" s="485" t="str">
        <f t="shared" si="147"/>
        <v/>
      </c>
      <c r="NQ15" s="548"/>
      <c r="NR15" s="548"/>
      <c r="NS15" s="548"/>
      <c r="NT15" s="548"/>
      <c r="NU15" s="548"/>
      <c r="NV15" s="548"/>
      <c r="NW15" s="548"/>
      <c r="NX15" s="548"/>
      <c r="NY15" s="548"/>
      <c r="NZ15" s="548"/>
      <c r="OA15" s="548"/>
      <c r="OB15" s="548"/>
      <c r="OC15" s="485" t="str">
        <f t="shared" si="148"/>
        <v/>
      </c>
      <c r="OD15" s="548"/>
      <c r="OE15" s="548"/>
      <c r="OF15" s="548"/>
      <c r="OG15" s="548"/>
      <c r="OH15" s="548"/>
      <c r="OI15" s="548"/>
      <c r="OJ15" s="548"/>
      <c r="OK15" s="548"/>
      <c r="OL15" s="548"/>
      <c r="OM15" s="548"/>
      <c r="ON15" s="548"/>
      <c r="OO15" s="548"/>
      <c r="OP15" s="548"/>
      <c r="OQ15" s="548"/>
      <c r="OR15" s="548"/>
      <c r="OS15" s="548"/>
      <c r="OT15" s="548"/>
      <c r="OU15" s="548"/>
      <c r="OV15" s="548"/>
      <c r="OW15" s="548"/>
      <c r="OX15" s="548"/>
      <c r="OY15" s="548"/>
      <c r="OZ15" s="548"/>
      <c r="PA15" s="548"/>
      <c r="PB15" s="548"/>
      <c r="PC15" s="548"/>
      <c r="PD15" s="548"/>
      <c r="PE15" s="548"/>
      <c r="PF15" s="548"/>
      <c r="PG15" s="548"/>
      <c r="PH15" s="548"/>
      <c r="PI15" s="548"/>
      <c r="PJ15" s="548"/>
      <c r="PK15" s="548"/>
      <c r="PL15" s="548"/>
      <c r="PM15" s="548"/>
      <c r="PN15" s="548"/>
      <c r="PO15" s="548"/>
      <c r="PP15" s="548"/>
      <c r="PQ15" s="548"/>
      <c r="PR15" s="548"/>
      <c r="PS15" s="548"/>
      <c r="PT15" s="1001">
        <f>SUM($LL$4:$LL$163)</f>
        <v>0</v>
      </c>
      <c r="PU15" s="1001">
        <f>SUM($LM$4:$LM$163)</f>
        <v>0</v>
      </c>
      <c r="PV15" s="426"/>
      <c r="PW15" s="1001">
        <f>SUM($LY$4:$LY$163)</f>
        <v>0</v>
      </c>
      <c r="PX15" s="1001">
        <f>SUM($LZ$4:$LZ$163)</f>
        <v>0</v>
      </c>
      <c r="PY15" s="548"/>
      <c r="PZ15" s="1001">
        <f>SUM($ML$4:$ML$163)</f>
        <v>0</v>
      </c>
      <c r="QA15" s="1001">
        <f>SUM($MM$4:$MM$163)</f>
        <v>0</v>
      </c>
      <c r="QB15" s="426"/>
      <c r="QC15" s="1001">
        <f>SUM($MY$4:$MY$163)</f>
        <v>0</v>
      </c>
      <c r="QD15" s="1001">
        <f>SUM($MZ$4:$MZ$163)</f>
        <v>0</v>
      </c>
      <c r="QE15" s="548"/>
      <c r="QF15" s="1001">
        <f>SUM($NL$4:$NL$163)</f>
        <v>0</v>
      </c>
      <c r="QG15" s="1001">
        <f>SUM($NM$4:$NM$163)</f>
        <v>0</v>
      </c>
      <c r="QH15" s="548"/>
      <c r="QI15" s="1001">
        <f>SUM($NY$4:$NY$163)</f>
        <v>0</v>
      </c>
      <c r="QJ15" s="1001">
        <f>SUM($NZ$4:$NZ$163)</f>
        <v>0</v>
      </c>
      <c r="QK15" s="548"/>
      <c r="QL15" s="1001">
        <f>SUM($OL$4:$OL$163)</f>
        <v>0</v>
      </c>
      <c r="QM15" s="1001">
        <f>SUM($OM$4:$OM$163)</f>
        <v>0</v>
      </c>
      <c r="QN15" s="548"/>
      <c r="QO15" s="548"/>
      <c r="QP15" s="548"/>
      <c r="QQ15" s="1009"/>
      <c r="QR15" s="548"/>
      <c r="QS15" s="548"/>
      <c r="QT15" s="548"/>
      <c r="QU15" s="548"/>
      <c r="QV15" s="548"/>
      <c r="QW15" s="548"/>
      <c r="QX15" s="548"/>
      <c r="QY15" s="548"/>
      <c r="QZ15" s="548"/>
      <c r="RA15" s="548"/>
      <c r="RB15" s="548"/>
      <c r="RC15" s="548"/>
      <c r="RD15" s="548"/>
      <c r="RE15" s="548"/>
      <c r="RF15" s="548"/>
      <c r="RG15" s="548"/>
      <c r="RH15" s="548"/>
      <c r="RI15" s="548"/>
      <c r="RJ15" s="548"/>
      <c r="RK15" s="548"/>
      <c r="RL15" s="548"/>
      <c r="RM15" s="548"/>
      <c r="RN15" s="548"/>
      <c r="RO15" s="548"/>
      <c r="RP15" s="548"/>
      <c r="RQ15" s="548"/>
      <c r="RR15" s="548"/>
      <c r="RS15" s="548"/>
      <c r="RT15" s="548"/>
      <c r="RU15" s="548"/>
      <c r="RV15" s="548"/>
      <c r="RW15" s="548"/>
      <c r="RX15" s="548"/>
      <c r="RY15" s="548"/>
      <c r="RZ15" s="548"/>
      <c r="SA15" s="548"/>
      <c r="SB15" s="548"/>
      <c r="SC15" s="548"/>
      <c r="SD15" s="548"/>
      <c r="SE15" s="548"/>
      <c r="SF15" s="548"/>
      <c r="SG15" s="548"/>
      <c r="SH15" s="548"/>
      <c r="SI15" s="548"/>
      <c r="SJ15" s="548"/>
      <c r="SK15" s="548"/>
      <c r="SL15" s="548"/>
      <c r="SM15" s="548"/>
      <c r="SN15" s="548"/>
      <c r="SO15" s="548"/>
      <c r="SP15" s="548"/>
      <c r="SQ15" s="548"/>
      <c r="SR15" s="548"/>
      <c r="SS15" s="548"/>
      <c r="ST15" s="548"/>
      <c r="SU15" s="548"/>
      <c r="SV15" s="548"/>
      <c r="SW15" s="548"/>
      <c r="SX15" s="548"/>
      <c r="SY15" s="548"/>
      <c r="SZ15" s="548"/>
      <c r="TA15" s="548"/>
      <c r="TB15" s="548"/>
      <c r="TC15" s="548"/>
      <c r="TD15" s="548"/>
      <c r="TE15" s="548"/>
      <c r="TF15" s="548"/>
      <c r="TG15" s="548"/>
      <c r="TH15" s="548"/>
      <c r="TI15" s="548"/>
      <c r="TJ15" s="548"/>
      <c r="TK15" s="548"/>
      <c r="TL15" s="548"/>
      <c r="TM15" s="548"/>
      <c r="TN15" s="548"/>
      <c r="TO15" s="548"/>
      <c r="TP15" s="548"/>
      <c r="TQ15" s="548"/>
      <c r="TR15" s="548"/>
      <c r="TS15" s="548"/>
      <c r="TT15" s="548"/>
      <c r="TU15" s="548"/>
      <c r="TV15" s="548"/>
      <c r="TW15" s="548"/>
      <c r="TX15" s="548"/>
      <c r="TY15" s="548"/>
      <c r="TZ15" s="548"/>
      <c r="UA15" s="548"/>
      <c r="UB15" s="548"/>
      <c r="UC15" s="548"/>
      <c r="UD15" s="548"/>
      <c r="UE15" s="548"/>
      <c r="UF15" s="548"/>
      <c r="UG15" s="548"/>
      <c r="UH15" s="548"/>
      <c r="UI15" s="548"/>
      <c r="UJ15" s="548"/>
      <c r="UK15" s="548"/>
      <c r="UL15" s="548"/>
      <c r="UM15" s="548"/>
      <c r="UN15" s="548"/>
      <c r="UO15" s="548"/>
      <c r="UP15" s="548"/>
      <c r="UQ15" s="548"/>
      <c r="UR15" s="548"/>
      <c r="US15" s="548"/>
      <c r="UT15" s="548"/>
      <c r="UU15" s="548"/>
      <c r="UV15" s="548"/>
      <c r="UW15" s="548"/>
      <c r="UX15" s="548"/>
      <c r="UY15" s="548"/>
      <c r="UZ15" s="548"/>
      <c r="VA15" s="548"/>
      <c r="VB15" s="548"/>
      <c r="VC15" s="548"/>
      <c r="VD15" s="548"/>
      <c r="VE15" s="548"/>
      <c r="VF15" s="548"/>
      <c r="VG15" s="548"/>
      <c r="VH15" s="548"/>
      <c r="VI15" s="548"/>
      <c r="VJ15" s="548"/>
      <c r="VK15" s="548"/>
      <c r="VL15" s="548"/>
      <c r="VM15" s="548"/>
      <c r="VN15" s="548"/>
      <c r="VO15" s="548"/>
      <c r="VP15" s="548"/>
      <c r="VQ15" s="548"/>
      <c r="VR15" s="548"/>
      <c r="VS15" s="548"/>
      <c r="VT15" s="548"/>
      <c r="VU15" s="548"/>
      <c r="VV15" s="548"/>
      <c r="VW15" s="548"/>
      <c r="VX15" s="548"/>
      <c r="VY15" s="548"/>
      <c r="VZ15" s="548"/>
      <c r="WA15" s="548"/>
      <c r="WB15" s="548"/>
      <c r="WC15" s="548"/>
      <c r="WD15" s="548"/>
      <c r="WE15" s="548"/>
      <c r="WF15" s="548"/>
      <c r="WG15" s="548"/>
      <c r="WH15" s="548"/>
      <c r="WI15" s="548"/>
      <c r="WJ15" s="548"/>
      <c r="WK15" s="548"/>
      <c r="WL15" s="548"/>
      <c r="WM15" s="548"/>
      <c r="WN15" s="548"/>
      <c r="WO15" s="548"/>
      <c r="WP15" s="548"/>
      <c r="WQ15" s="548"/>
      <c r="WR15" s="548"/>
      <c r="WS15" s="548"/>
      <c r="WT15" s="548"/>
      <c r="WU15" s="548"/>
      <c r="WV15" s="548"/>
      <c r="WW15" s="548"/>
      <c r="WX15" s="548"/>
      <c r="WY15" s="548"/>
      <c r="WZ15" s="548"/>
      <c r="XA15" s="548"/>
      <c r="XB15" s="548"/>
      <c r="XC15" s="548"/>
      <c r="XD15" s="548"/>
      <c r="XE15" s="548"/>
      <c r="XF15" s="548"/>
      <c r="XG15" s="548"/>
      <c r="XH15" s="548"/>
      <c r="XI15" s="548"/>
      <c r="XJ15" s="548"/>
      <c r="XK15" s="548"/>
      <c r="XL15" s="548"/>
      <c r="XM15" s="548"/>
      <c r="XN15" s="548"/>
      <c r="XO15" s="548"/>
      <c r="XP15" s="548"/>
      <c r="XQ15" s="548"/>
      <c r="XR15" s="548"/>
      <c r="XS15" s="548"/>
      <c r="XT15" s="548"/>
      <c r="XU15" s="548"/>
      <c r="XV15" s="548"/>
      <c r="XW15" s="548"/>
      <c r="XX15" s="548"/>
      <c r="XY15" s="548"/>
      <c r="XZ15" s="548"/>
      <c r="YA15" s="548"/>
      <c r="YB15" s="548"/>
      <c r="YC15" s="548"/>
      <c r="YD15" s="548"/>
      <c r="YE15" s="548"/>
      <c r="YF15" s="548"/>
      <c r="YG15" s="548"/>
      <c r="YH15" s="548"/>
      <c r="YI15" s="548"/>
      <c r="YJ15" s="548"/>
      <c r="YK15" s="548"/>
      <c r="YL15" s="548"/>
      <c r="YM15" s="548"/>
      <c r="YN15" s="548"/>
      <c r="YO15" s="548"/>
      <c r="YP15" s="548"/>
      <c r="YQ15" s="548"/>
      <c r="YR15" s="548"/>
      <c r="YS15" s="548"/>
      <c r="YT15" s="548"/>
      <c r="YU15" s="548"/>
      <c r="YV15" s="548"/>
      <c r="YW15" s="548"/>
      <c r="YX15" s="548"/>
      <c r="YY15" s="548"/>
      <c r="YZ15" s="548"/>
      <c r="ZA15" s="548"/>
      <c r="ZB15" s="548"/>
      <c r="ZC15" s="548"/>
      <c r="ZD15" s="548"/>
      <c r="ZE15" s="548"/>
      <c r="ZF15" s="548"/>
      <c r="ZG15" s="548"/>
      <c r="ZH15" s="548"/>
      <c r="ZI15" s="548"/>
      <c r="ZJ15" s="548"/>
      <c r="ZK15" s="548"/>
      <c r="ZL15" s="548"/>
      <c r="ZM15" s="548"/>
      <c r="ZN15" s="548"/>
      <c r="ZO15" s="548"/>
      <c r="ZP15" s="548"/>
      <c r="ZQ15" s="548"/>
      <c r="ZR15" s="548"/>
      <c r="ZS15" s="548"/>
      <c r="ZT15" s="548"/>
      <c r="ZU15" s="548"/>
      <c r="ZV15" s="548"/>
      <c r="ZW15" s="548"/>
      <c r="ZX15" s="548"/>
      <c r="ZY15" s="548"/>
      <c r="ZZ15" s="548"/>
      <c r="AAA15" s="548"/>
      <c r="AAB15" s="548"/>
      <c r="AAC15" s="548"/>
      <c r="AAD15" s="548"/>
      <c r="AAE15" s="548"/>
      <c r="AAF15" s="548"/>
      <c r="AAG15" s="548"/>
      <c r="AAH15" s="548"/>
      <c r="AAI15" s="548"/>
      <c r="AAJ15" s="548"/>
      <c r="AAK15" s="548"/>
      <c r="AAL15" s="548"/>
      <c r="AAM15" s="548"/>
      <c r="AAN15" s="548"/>
      <c r="AAO15" s="548"/>
      <c r="AAP15" s="548"/>
      <c r="AAQ15" s="548"/>
      <c r="AAR15" s="548"/>
      <c r="AAS15" s="548"/>
      <c r="AAT15" s="548"/>
      <c r="AAU15" s="548"/>
      <c r="AAV15" s="548"/>
      <c r="AAW15" s="548"/>
      <c r="AAX15" s="548"/>
      <c r="AAY15" s="548"/>
      <c r="AAZ15" s="548"/>
      <c r="ABA15" s="548"/>
      <c r="ABB15" s="548"/>
      <c r="ABC15" s="548"/>
      <c r="ABD15" s="548"/>
      <c r="ABE15" s="548"/>
      <c r="ABF15" s="548"/>
      <c r="ABG15" s="548"/>
      <c r="ABH15" s="548"/>
      <c r="ABI15" s="548"/>
      <c r="ABJ15" s="548"/>
      <c r="ABK15" s="548"/>
      <c r="ABL15" s="548"/>
      <c r="ABM15" s="548"/>
      <c r="ABN15" s="548"/>
      <c r="ABO15" s="548"/>
      <c r="ABP15" s="548"/>
      <c r="ABQ15" s="548"/>
      <c r="ABR15" s="548"/>
      <c r="ABS15" s="548"/>
    </row>
    <row r="16" spans="1:747" customFormat="1" ht="15" customHeight="1" thickBot="1" x14ac:dyDescent="0.25">
      <c r="A16" s="424" t="str">
        <f t="shared" si="149"/>
        <v/>
      </c>
      <c r="B16" s="415"/>
      <c r="C16" s="525"/>
      <c r="D16" s="750"/>
      <c r="E16" s="416" t="str">
        <f t="shared" si="0"/>
        <v/>
      </c>
      <c r="F16" s="527" t="str">
        <f t="shared" si="1"/>
        <v/>
      </c>
      <c r="G16" s="417"/>
      <c r="H16" s="583" t="str">
        <f t="shared" si="2"/>
        <v/>
      </c>
      <c r="I16" s="424"/>
      <c r="J16" s="419"/>
      <c r="K16" s="418"/>
      <c r="L16" s="419"/>
      <c r="M16" s="680"/>
      <c r="N16" s="420"/>
      <c r="O16" s="653"/>
      <c r="P16" s="561"/>
      <c r="Q16" s="747"/>
      <c r="R16" s="767" t="str">
        <f t="shared" si="3"/>
        <v/>
      </c>
      <c r="S16" s="664"/>
      <c r="T16" s="663"/>
      <c r="U16" s="580">
        <f t="shared" si="4"/>
        <v>0</v>
      </c>
      <c r="V16" s="418"/>
      <c r="W16" s="582" t="str">
        <f t="shared" si="5"/>
        <v/>
      </c>
      <c r="X16" s="479" t="str">
        <f t="shared" si="6"/>
        <v/>
      </c>
      <c r="Y16" s="582" t="str">
        <f t="shared" si="7"/>
        <v/>
      </c>
      <c r="Z16" s="317" t="str">
        <f t="shared" si="8"/>
        <v/>
      </c>
      <c r="AA16" s="317" t="str">
        <f t="shared" si="9"/>
        <v/>
      </c>
      <c r="AB16" s="317">
        <f t="shared" si="10"/>
        <v>0</v>
      </c>
      <c r="AC16" s="317" t="str">
        <f t="shared" si="11"/>
        <v/>
      </c>
      <c r="AD16" s="317"/>
      <c r="AE16" s="479"/>
      <c r="AF16" s="479"/>
      <c r="AG16" s="423"/>
      <c r="AH16" s="820"/>
      <c r="AI16" s="480"/>
      <c r="AJ16" s="660"/>
      <c r="AK16" s="524" t="str">
        <f t="shared" si="12"/>
        <v/>
      </c>
      <c r="AL16" s="731">
        <f>SUMIF($J$4:$J$144,"Básico",$S$4:$S$144)</f>
        <v>0</v>
      </c>
      <c r="AM16" s="732">
        <f>SUMIF($J$4:$J$144,"Básico",$T$4:$T$144)</f>
        <v>0</v>
      </c>
      <c r="AN16" s="426">
        <f t="shared" si="13"/>
        <v>0</v>
      </c>
      <c r="AO16" s="427" t="str">
        <f t="shared" si="37"/>
        <v/>
      </c>
      <c r="AP16" s="426" t="str">
        <f t="shared" si="14"/>
        <v/>
      </c>
      <c r="AQ16" s="435"/>
      <c r="AR16" s="435"/>
      <c r="AS16" s="486"/>
      <c r="AT16" s="487"/>
      <c r="AU16" s="488"/>
      <c r="AV16" s="489"/>
      <c r="AW16" s="490"/>
      <c r="AX16" s="430"/>
      <c r="AY16" s="431">
        <f t="shared" si="15"/>
        <v>0</v>
      </c>
      <c r="AZ16" s="426"/>
      <c r="BA16" s="435" t="str">
        <f t="shared" si="16"/>
        <v/>
      </c>
      <c r="BB16" s="435"/>
      <c r="BC16" s="426"/>
      <c r="BD16" s="426">
        <f t="array" ref="BD16">IF(SUM((BC16=$BC$3:BC15)*1)=0,BC16,0)</f>
        <v>0</v>
      </c>
      <c r="BE16" s="426"/>
      <c r="BF16" s="426"/>
      <c r="BG16" s="426">
        <f t="array" ref="BG16">IF(SUM((BF16=$BF$3:BF15)*1)=0,BF16,0)</f>
        <v>0</v>
      </c>
      <c r="BH16" s="426"/>
      <c r="BI16" s="426"/>
      <c r="BJ16" s="426"/>
      <c r="BK16" s="426"/>
      <c r="BL16" s="426"/>
      <c r="BM16" s="426"/>
      <c r="BN16" s="426"/>
      <c r="BO16" s="426"/>
      <c r="BP16" s="433">
        <f t="shared" si="17"/>
        <v>0</v>
      </c>
      <c r="BQ16" s="426"/>
      <c r="BR16" s="434"/>
      <c r="BS16" s="426"/>
      <c r="BT16" s="433"/>
      <c r="BU16" s="435"/>
      <c r="BV16" s="435" t="str">
        <f t="shared" si="18"/>
        <v/>
      </c>
      <c r="BW16" s="435" t="str">
        <f t="shared" si="38"/>
        <v/>
      </c>
      <c r="BX16" s="435"/>
      <c r="BY16" s="435"/>
      <c r="BZ16" s="435"/>
      <c r="CA16" s="435"/>
      <c r="CB16" s="435"/>
      <c r="CC16" s="435"/>
      <c r="CD16" s="435"/>
      <c r="CE16" s="435"/>
      <c r="CF16" s="435"/>
      <c r="CG16" s="435"/>
      <c r="CH16" s="435"/>
      <c r="CI16" s="435"/>
      <c r="CJ16" s="426" t="str">
        <f t="shared" si="39"/>
        <v/>
      </c>
      <c r="CK16" s="495"/>
      <c r="CL16" s="528"/>
      <c r="CM16" s="495"/>
      <c r="CN16" s="528"/>
      <c r="CO16" s="528"/>
      <c r="CP16" s="528"/>
      <c r="CQ16" s="528"/>
      <c r="CR16" s="528"/>
      <c r="CS16" s="528"/>
      <c r="CT16" s="528"/>
      <c r="CU16" s="528"/>
      <c r="CV16" s="528"/>
      <c r="CW16" s="605" t="s">
        <v>214</v>
      </c>
      <c r="CX16" s="606" t="s">
        <v>215</v>
      </c>
      <c r="CY16" s="426">
        <v>13</v>
      </c>
      <c r="CZ16" s="605" t="s">
        <v>214</v>
      </c>
      <c r="DA16" s="606" t="s">
        <v>215</v>
      </c>
      <c r="DB16" s="426"/>
      <c r="DC16" s="426" t="s">
        <v>756</v>
      </c>
      <c r="DD16" s="426" t="s">
        <v>916</v>
      </c>
      <c r="DE16" s="435" t="str">
        <f t="shared" si="40"/>
        <v/>
      </c>
      <c r="DF16" s="435" t="str">
        <f t="shared" si="41"/>
        <v/>
      </c>
      <c r="DG16" s="435" t="str">
        <f t="shared" si="42"/>
        <v/>
      </c>
      <c r="DH16" s="435" t="str">
        <f t="shared" si="43"/>
        <v/>
      </c>
      <c r="DI16" s="435" t="str">
        <f t="shared" si="44"/>
        <v/>
      </c>
      <c r="DJ16" s="435" t="str">
        <f t="shared" si="45"/>
        <v/>
      </c>
      <c r="DK16" s="435" t="str">
        <f t="shared" si="19"/>
        <v/>
      </c>
      <c r="DL16" s="435" t="str">
        <f t="shared" si="20"/>
        <v/>
      </c>
      <c r="DM16" s="435" t="str">
        <f t="shared" si="46"/>
        <v/>
      </c>
      <c r="DN16" s="435" t="str">
        <f t="shared" si="47"/>
        <v/>
      </c>
      <c r="DO16" s="435" t="str">
        <f t="shared" si="21"/>
        <v/>
      </c>
      <c r="DP16" s="435" t="str">
        <f t="shared" si="22"/>
        <v/>
      </c>
      <c r="DQ16" s="435" t="str">
        <f t="shared" si="48"/>
        <v/>
      </c>
      <c r="DR16" s="435" t="str">
        <f t="shared" si="49"/>
        <v/>
      </c>
      <c r="DS16" s="435" t="str">
        <f t="shared" si="23"/>
        <v/>
      </c>
      <c r="DT16" s="435" t="str">
        <f t="shared" si="24"/>
        <v/>
      </c>
      <c r="DU16" s="435" t="str">
        <f t="shared" si="50"/>
        <v/>
      </c>
      <c r="DV16" s="435" t="str">
        <f t="shared" si="51"/>
        <v/>
      </c>
      <c r="DW16" s="435" t="str">
        <f t="shared" si="25"/>
        <v/>
      </c>
      <c r="DX16" s="435" t="str">
        <f t="shared" si="26"/>
        <v/>
      </c>
      <c r="DY16" s="435" t="str">
        <f t="shared" si="52"/>
        <v/>
      </c>
      <c r="DZ16" s="435" t="str">
        <f t="shared" si="53"/>
        <v/>
      </c>
      <c r="EA16" s="435" t="str">
        <f t="shared" si="27"/>
        <v/>
      </c>
      <c r="EB16" s="435" t="str">
        <f t="shared" si="28"/>
        <v/>
      </c>
      <c r="EC16" s="435" t="str">
        <f t="shared" si="29"/>
        <v/>
      </c>
      <c r="ED16" s="435" t="str">
        <f t="shared" si="30"/>
        <v/>
      </c>
      <c r="EE16" s="435" t="str">
        <f t="shared" si="31"/>
        <v/>
      </c>
      <c r="EF16" s="435" t="str">
        <f t="shared" si="32"/>
        <v/>
      </c>
      <c r="EG16" s="435" t="str">
        <f t="shared" si="33"/>
        <v/>
      </c>
      <c r="EH16" s="435" t="str">
        <f t="shared" si="34"/>
        <v/>
      </c>
      <c r="EI16" s="435" t="str">
        <f t="shared" si="35"/>
        <v/>
      </c>
      <c r="EJ16" s="435" t="str">
        <f t="shared" si="36"/>
        <v/>
      </c>
      <c r="EK16" s="485"/>
      <c r="EL16" s="485"/>
      <c r="EM16" s="485"/>
      <c r="EN16" s="485"/>
      <c r="EO16" s="448"/>
      <c r="EP16" s="448"/>
      <c r="EQ16" s="448"/>
      <c r="ER16" s="448"/>
      <c r="ES16" s="448"/>
      <c r="ET16" s="435"/>
      <c r="EU16" s="435"/>
      <c r="EV16" s="435"/>
      <c r="EW16" s="435"/>
      <c r="EX16" s="426"/>
      <c r="EY16" s="426"/>
      <c r="EZ16" s="426"/>
      <c r="FA16" s="427"/>
      <c r="FB16" s="427">
        <f t="array" ref="FB16">IF(SUM((FA16=$FA$3:FA15)*1)=0,FA16,0)</f>
        <v>0</v>
      </c>
      <c r="FC16" s="427"/>
      <c r="FD16" s="427"/>
      <c r="FE16" s="427">
        <f t="array" ref="FE16">IF(SUM((FD16=$FD$3:FD15)*1)=0,FD16,0)</f>
        <v>0</v>
      </c>
      <c r="FF16" s="427"/>
      <c r="FG16" s="427"/>
      <c r="FH16" s="427"/>
      <c r="FI16" s="427">
        <f t="array" ref="FI16">IF(SUM((FH16=$FH$3:FH15)*1)=0,FH16,0)</f>
        <v>0</v>
      </c>
      <c r="FJ16" s="427"/>
      <c r="FK16" s="427"/>
      <c r="FL16" s="427">
        <f t="array" ref="FL16">IF(SUM((FK16=$FK$3:FK15)*1)=0,FK16,0)</f>
        <v>0</v>
      </c>
      <c r="FM16" s="798"/>
      <c r="FN16" s="427"/>
      <c r="FO16" s="427"/>
      <c r="FP16" s="427">
        <f t="array" ref="FP16">IF(SUM((FO16=$FO$3:FO15)*1)=0,FO16,0)</f>
        <v>0</v>
      </c>
      <c r="FQ16" s="427"/>
      <c r="FR16" s="427"/>
      <c r="FS16" s="427">
        <f t="array" ref="FS16">IF(SUM((FR16=$FR$3:FR15)*1)=0,FR16,0)</f>
        <v>0</v>
      </c>
      <c r="FT16" s="427"/>
      <c r="FU16" s="427"/>
      <c r="FV16" s="427"/>
      <c r="FW16" s="427">
        <f t="array" ref="FW16">IF(SUM((FV16=$FV$3:FV15)*1)=0,FV16,0)</f>
        <v>0</v>
      </c>
      <c r="FX16" s="427"/>
      <c r="FY16" s="427"/>
      <c r="FZ16" s="427">
        <f t="array" ref="FZ16">IF(SUM((FY16=$FY$3:FY15)*1)=0,FY16,0)</f>
        <v>0</v>
      </c>
      <c r="GA16" s="427"/>
      <c r="GB16" s="427"/>
      <c r="GC16" s="427"/>
      <c r="GD16" s="427">
        <f t="array" ref="GD16">IF(SUM((GC16=$GC$3:GC15)*1)=0,GC16,0)</f>
        <v>0</v>
      </c>
      <c r="GE16" s="427"/>
      <c r="GF16" s="427"/>
      <c r="GG16" s="427">
        <f t="array" ref="GG16">IF(SUM((GF16=$GF$3:GF15)*1)=0,GF16,0)</f>
        <v>0</v>
      </c>
      <c r="GH16" s="427"/>
      <c r="GI16" s="427"/>
      <c r="GJ16" s="427"/>
      <c r="GK16" s="798">
        <f t="array" ref="GK16">IF(SUM((GJ16=$GJ$3:GJ15)*1)=0,GJ16,0)</f>
        <v>0</v>
      </c>
      <c r="GL16" s="427"/>
      <c r="GM16" s="427"/>
      <c r="GN16" s="798">
        <f t="array" ref="GN16">IF(SUM((GM16=$GM$3:GM15)*1)=0,GM16,0)</f>
        <v>0</v>
      </c>
      <c r="GO16" s="427"/>
      <c r="GP16" s="427"/>
      <c r="GQ16" s="427"/>
      <c r="GR16" s="798">
        <f t="array" ref="GR16">IF(SUM((GQ16=$GQ$3:GQ15)*1)=0,GQ16,0)</f>
        <v>0</v>
      </c>
      <c r="GS16" s="427"/>
      <c r="GT16" s="427"/>
      <c r="GU16" s="798">
        <f t="array" ref="GU16">IF(SUM((GT16=$GT$3:GT15)*1)=0,GT16,0)</f>
        <v>0</v>
      </c>
      <c r="GV16" s="427"/>
      <c r="GW16" s="427"/>
      <c r="GX16" s="427"/>
      <c r="GY16" s="798">
        <f t="array" ref="GY16">IF(SUM((GX16=$GX$3:GX15)*1)=0,GX16,0)</f>
        <v>0</v>
      </c>
      <c r="GZ16" s="427"/>
      <c r="HA16" s="427"/>
      <c r="HB16" s="798">
        <f t="array" ref="HB16">IF(SUM((HA16=$HA$3:HA15)*1)=0,HA16,0)</f>
        <v>0</v>
      </c>
      <c r="HC16" s="427"/>
      <c r="HD16" s="427"/>
      <c r="HE16" s="769" t="str">
        <f t="shared" si="130"/>
        <v/>
      </c>
      <c r="HF16" s="768" t="str">
        <f t="shared" si="54"/>
        <v/>
      </c>
      <c r="HG16" s="769" t="str">
        <f t="shared" si="131"/>
        <v/>
      </c>
      <c r="HH16" s="768" t="str">
        <f t="shared" si="55"/>
        <v/>
      </c>
      <c r="HI16" s="728" t="str">
        <f t="shared" si="132"/>
        <v/>
      </c>
      <c r="HJ16" s="768" t="str">
        <f t="shared" si="56"/>
        <v/>
      </c>
      <c r="HK16" s="728" t="str">
        <f t="shared" si="133"/>
        <v/>
      </c>
      <c r="HL16" s="768" t="str">
        <f t="shared" si="57"/>
        <v/>
      </c>
      <c r="HM16" s="769" t="str">
        <f t="shared" si="58"/>
        <v/>
      </c>
      <c r="HN16" s="768" t="str">
        <f t="shared" ref="HN16" si="222">IF(HM16&lt;0,"Invadiu REP-BA-C","")</f>
        <v/>
      </c>
      <c r="HO16" s="769" t="str">
        <f t="shared" si="60"/>
        <v/>
      </c>
      <c r="HP16" s="768" t="str">
        <f t="shared" si="61"/>
        <v/>
      </c>
      <c r="HQ16" s="728" t="str">
        <f t="shared" si="62"/>
        <v/>
      </c>
      <c r="HR16" s="768" t="str">
        <f t="shared" si="63"/>
        <v/>
      </c>
      <c r="HS16" s="728" t="str">
        <f t="shared" si="64"/>
        <v/>
      </c>
      <c r="HT16" s="768" t="str">
        <f t="shared" si="65"/>
        <v/>
      </c>
      <c r="HU16" s="769" t="str">
        <f t="shared" si="66"/>
        <v/>
      </c>
      <c r="HV16" s="768" t="str">
        <f t="shared" ref="HV16" si="223">IF(HU16&lt;0,"Invadiu REP-BA-C","")</f>
        <v/>
      </c>
      <c r="HW16" s="769" t="str">
        <f t="shared" si="68"/>
        <v/>
      </c>
      <c r="HX16" s="768" t="str">
        <f t="shared" si="69"/>
        <v/>
      </c>
      <c r="HY16" s="728" t="str">
        <f t="shared" si="70"/>
        <v/>
      </c>
      <c r="HZ16" s="768" t="str">
        <f t="shared" si="71"/>
        <v/>
      </c>
      <c r="IA16" s="728" t="str">
        <f t="shared" si="72"/>
        <v/>
      </c>
      <c r="IB16" s="768" t="str">
        <f t="shared" si="73"/>
        <v/>
      </c>
      <c r="IC16" s="769" t="str">
        <f t="shared" si="74"/>
        <v/>
      </c>
      <c r="ID16" s="768" t="str">
        <f t="shared" ref="ID16" si="224">IF(IC16&lt;0,"Invadiu REP-BA-C","")</f>
        <v/>
      </c>
      <c r="IE16" s="769" t="str">
        <f t="shared" si="76"/>
        <v/>
      </c>
      <c r="IF16" s="768" t="str">
        <f t="shared" si="77"/>
        <v/>
      </c>
      <c r="IG16" s="728" t="str">
        <f t="shared" si="78"/>
        <v/>
      </c>
      <c r="IH16" s="768" t="str">
        <f t="shared" si="79"/>
        <v/>
      </c>
      <c r="II16" s="728" t="str">
        <f t="shared" si="80"/>
        <v/>
      </c>
      <c r="IJ16" s="768" t="str">
        <f t="shared" si="81"/>
        <v/>
      </c>
      <c r="IK16" s="769" t="str">
        <f t="shared" si="82"/>
        <v/>
      </c>
      <c r="IL16" s="768" t="str">
        <f t="shared" ref="IL16" si="225">IF(IK16&lt;0,"Invadiu REP-BA-C","")</f>
        <v/>
      </c>
      <c r="IM16" s="769" t="str">
        <f t="shared" si="84"/>
        <v/>
      </c>
      <c r="IN16" s="768" t="str">
        <f t="shared" si="85"/>
        <v/>
      </c>
      <c r="IO16" s="728" t="str">
        <f t="shared" si="86"/>
        <v/>
      </c>
      <c r="IP16" s="768" t="str">
        <f t="shared" si="87"/>
        <v/>
      </c>
      <c r="IQ16" s="728" t="str">
        <f t="shared" si="88"/>
        <v/>
      </c>
      <c r="IR16" s="768" t="str">
        <f t="shared" si="89"/>
        <v/>
      </c>
      <c r="IS16" s="769" t="str">
        <f t="shared" si="90"/>
        <v/>
      </c>
      <c r="IT16" s="768" t="str">
        <f t="shared" ref="IT16" si="226">IF(IS16&lt;0,"Invadiu REP-BA-C","")</f>
        <v/>
      </c>
      <c r="IU16" s="769" t="str">
        <f t="shared" si="92"/>
        <v/>
      </c>
      <c r="IV16" s="768" t="str">
        <f t="shared" si="93"/>
        <v/>
      </c>
      <c r="IW16" s="728" t="str">
        <f t="shared" si="94"/>
        <v/>
      </c>
      <c r="IX16" s="768" t="str">
        <f t="shared" si="95"/>
        <v/>
      </c>
      <c r="IY16" s="728" t="str">
        <f t="shared" si="96"/>
        <v/>
      </c>
      <c r="IZ16" s="768" t="str">
        <f t="shared" si="97"/>
        <v/>
      </c>
      <c r="JA16" s="769" t="str">
        <f t="shared" si="98"/>
        <v/>
      </c>
      <c r="JB16" s="768" t="str">
        <f t="shared" ref="JB16" si="227">IF(JA16&lt;0,"Invadiu REP-BA-C","")</f>
        <v/>
      </c>
      <c r="JC16" s="769" t="str">
        <f t="shared" si="100"/>
        <v/>
      </c>
      <c r="JD16" s="768" t="str">
        <f t="shared" si="101"/>
        <v/>
      </c>
      <c r="JE16" s="728" t="str">
        <f t="shared" si="102"/>
        <v/>
      </c>
      <c r="JF16" s="768" t="str">
        <f t="shared" si="103"/>
        <v/>
      </c>
      <c r="JG16" s="728" t="str">
        <f t="shared" si="104"/>
        <v/>
      </c>
      <c r="JH16" s="768" t="str">
        <f t="shared" si="105"/>
        <v/>
      </c>
      <c r="JI16" s="769" t="str">
        <f t="shared" si="106"/>
        <v/>
      </c>
      <c r="JJ16" s="768" t="str">
        <f t="shared" ref="JJ16" si="228">IF(JI16&lt;0,"Invadiu REP-BA-C","")</f>
        <v/>
      </c>
      <c r="JK16" s="769" t="str">
        <f t="shared" si="108"/>
        <v/>
      </c>
      <c r="JL16" s="768" t="str">
        <f t="shared" si="109"/>
        <v/>
      </c>
      <c r="JM16" s="728" t="str">
        <f t="shared" si="110"/>
        <v/>
      </c>
      <c r="JN16" s="768" t="str">
        <f t="shared" si="111"/>
        <v/>
      </c>
      <c r="JO16" s="728" t="str">
        <f t="shared" si="112"/>
        <v/>
      </c>
      <c r="JP16" s="768" t="str">
        <f t="shared" si="113"/>
        <v/>
      </c>
      <c r="JQ16" s="769" t="str">
        <f t="shared" si="114"/>
        <v/>
      </c>
      <c r="JR16" s="768" t="str">
        <f t="shared" ref="JR16" si="229">IF(JQ16&lt;0,"Invadiu REP-BA-C","")</f>
        <v/>
      </c>
      <c r="JS16" s="769" t="str">
        <f t="shared" si="116"/>
        <v/>
      </c>
      <c r="JT16" s="768" t="str">
        <f t="shared" si="117"/>
        <v/>
      </c>
      <c r="JU16" s="728" t="str">
        <f t="shared" si="118"/>
        <v/>
      </c>
      <c r="JV16" s="768" t="str">
        <f t="shared" si="119"/>
        <v/>
      </c>
      <c r="JW16" s="728" t="str">
        <f t="shared" si="120"/>
        <v/>
      </c>
      <c r="JX16" s="768" t="str">
        <f t="shared" si="121"/>
        <v/>
      </c>
      <c r="JY16" s="768" t="str">
        <f t="shared" si="122"/>
        <v/>
      </c>
      <c r="JZ16" s="485" t="str">
        <f>IF(JY16="","",IF(AND(C16=$C$164,JY16&lt;&gt;""),Verificarcpf(D16),IF(AND(C16=$C$165,JY16&lt;&gt;""),VerificarCNPJ(D16))))</f>
        <v/>
      </c>
      <c r="KA16" s="768" t="str">
        <f t="shared" si="123"/>
        <v/>
      </c>
      <c r="KB16" s="485">
        <f t="shared" si="124"/>
        <v>0</v>
      </c>
      <c r="KC16" s="768">
        <f t="shared" si="125"/>
        <v>0</v>
      </c>
      <c r="KD16" s="485">
        <f t="shared" si="126"/>
        <v>0</v>
      </c>
      <c r="KE16" s="448"/>
      <c r="KF16" s="548">
        <f t="shared" si="127"/>
        <v>0</v>
      </c>
      <c r="KG16" s="548" t="s">
        <v>479</v>
      </c>
      <c r="KH16" s="548"/>
      <c r="KI16" s="548"/>
      <c r="KJ16" s="548" t="str">
        <f t="shared" si="128"/>
        <v/>
      </c>
      <c r="KK16" s="548"/>
      <c r="KL16" s="548"/>
      <c r="KM16" s="548">
        <f t="array" ref="KM16">IF(SUM((KL16=$KL$3:KL15)*1)=0,KL16,0)</f>
        <v>0</v>
      </c>
      <c r="KN16" s="548"/>
      <c r="KO16" s="548"/>
      <c r="KP16" s="548"/>
      <c r="KQ16" s="548"/>
      <c r="KR16" s="548" t="str">
        <f t="shared" si="129"/>
        <v/>
      </c>
      <c r="KS16" s="548"/>
      <c r="KT16" s="548"/>
      <c r="KU16" s="548"/>
      <c r="KV16" s="548"/>
      <c r="KW16" s="548"/>
      <c r="KX16" s="548"/>
      <c r="KY16" s="548"/>
      <c r="KZ16" s="548"/>
      <c r="LA16" s="548"/>
      <c r="LB16" s="548"/>
      <c r="LC16" s="485" t="str">
        <f t="shared" si="142"/>
        <v/>
      </c>
      <c r="LD16" s="548"/>
      <c r="LE16" s="548"/>
      <c r="LF16" s="548"/>
      <c r="LG16" s="548"/>
      <c r="LH16" s="548"/>
      <c r="LI16" s="548"/>
      <c r="LJ16" s="548"/>
      <c r="LK16" s="548"/>
      <c r="LL16" s="548"/>
      <c r="LM16" s="548"/>
      <c r="LN16" s="548"/>
      <c r="LO16" s="548"/>
      <c r="LP16" s="485" t="str">
        <f t="shared" si="143"/>
        <v/>
      </c>
      <c r="LQ16" s="548"/>
      <c r="LR16" s="548"/>
      <c r="LS16" s="548"/>
      <c r="LT16" s="548"/>
      <c r="LU16" s="548"/>
      <c r="LV16" s="548"/>
      <c r="LW16" s="548"/>
      <c r="LX16" s="548"/>
      <c r="LY16" s="548"/>
      <c r="LZ16" s="548"/>
      <c r="MA16" s="548"/>
      <c r="MB16" s="548"/>
      <c r="MC16" s="485" t="str">
        <f t="shared" si="144"/>
        <v/>
      </c>
      <c r="MD16" s="548"/>
      <c r="ME16" s="548"/>
      <c r="MF16" s="548"/>
      <c r="MG16" s="548"/>
      <c r="MH16" s="548"/>
      <c r="MI16" s="548"/>
      <c r="MJ16" s="548"/>
      <c r="MK16" s="548"/>
      <c r="ML16" s="548"/>
      <c r="MM16" s="548"/>
      <c r="MN16" s="548"/>
      <c r="MO16" s="548"/>
      <c r="MP16" s="485" t="str">
        <f t="shared" si="145"/>
        <v/>
      </c>
      <c r="MQ16" s="548"/>
      <c r="MR16" s="548"/>
      <c r="MS16" s="548"/>
      <c r="MT16" s="548"/>
      <c r="MU16" s="548"/>
      <c r="MV16" s="548"/>
      <c r="MW16" s="548"/>
      <c r="MX16" s="548"/>
      <c r="MY16" s="548"/>
      <c r="MZ16" s="548"/>
      <c r="NA16" s="548"/>
      <c r="NB16" s="548"/>
      <c r="NC16" s="485" t="str">
        <f t="shared" si="146"/>
        <v/>
      </c>
      <c r="ND16" s="548"/>
      <c r="NE16" s="548"/>
      <c r="NF16" s="548"/>
      <c r="NG16" s="548"/>
      <c r="NH16" s="548"/>
      <c r="NI16" s="548"/>
      <c r="NJ16" s="548"/>
      <c r="NK16" s="548"/>
      <c r="NL16" s="548"/>
      <c r="NM16" s="548"/>
      <c r="NN16" s="548"/>
      <c r="NO16" s="548"/>
      <c r="NP16" s="485" t="str">
        <f t="shared" si="147"/>
        <v/>
      </c>
      <c r="NQ16" s="548"/>
      <c r="NR16" s="548"/>
      <c r="NS16" s="548"/>
      <c r="NT16" s="548"/>
      <c r="NU16" s="548"/>
      <c r="NV16" s="548"/>
      <c r="NW16" s="548"/>
      <c r="NX16" s="548"/>
      <c r="NY16" s="548"/>
      <c r="NZ16" s="548"/>
      <c r="OA16" s="548"/>
      <c r="OB16" s="548"/>
      <c r="OC16" s="485" t="str">
        <f t="shared" si="148"/>
        <v/>
      </c>
      <c r="OD16" s="548"/>
      <c r="OE16" s="548"/>
      <c r="OF16" s="548"/>
      <c r="OG16" s="548"/>
      <c r="OH16" s="548"/>
      <c r="OI16" s="548"/>
      <c r="OJ16" s="548"/>
      <c r="OK16" s="548"/>
      <c r="OL16" s="548"/>
      <c r="OM16" s="548"/>
      <c r="ON16" s="548"/>
      <c r="OO16" s="548"/>
      <c r="OP16" s="548"/>
      <c r="OQ16" s="548"/>
      <c r="OR16" s="548"/>
      <c r="OS16" s="548"/>
      <c r="OT16" s="548"/>
      <c r="OU16" s="548"/>
      <c r="OV16" s="548"/>
      <c r="OW16" s="548"/>
      <c r="OX16" s="548"/>
      <c r="OY16" s="548"/>
      <c r="OZ16" s="548"/>
      <c r="PA16" s="548"/>
      <c r="PB16" s="548"/>
      <c r="PC16" s="548"/>
      <c r="PD16" s="548"/>
      <c r="PE16" s="548"/>
      <c r="PF16" s="548"/>
      <c r="PG16" s="548"/>
      <c r="PH16" s="548"/>
      <c r="PI16" s="548"/>
      <c r="PJ16" s="548"/>
      <c r="PK16" s="548"/>
      <c r="PL16" s="548"/>
      <c r="PM16" s="548"/>
      <c r="PN16" s="548"/>
      <c r="PO16" s="548"/>
      <c r="PP16" s="548"/>
      <c r="PQ16" s="548"/>
      <c r="PR16" s="548"/>
      <c r="PS16" s="548"/>
      <c r="PT16" s="1000" t="s">
        <v>214</v>
      </c>
      <c r="PU16" s="1004" t="s">
        <v>215</v>
      </c>
      <c r="PV16" s="426"/>
      <c r="PW16" s="1000" t="s">
        <v>214</v>
      </c>
      <c r="PX16" s="1004" t="s">
        <v>215</v>
      </c>
      <c r="PY16" s="548"/>
      <c r="PZ16" s="1000" t="s">
        <v>214</v>
      </c>
      <c r="QA16" s="1004" t="s">
        <v>215</v>
      </c>
      <c r="QB16" s="426"/>
      <c r="QC16" s="1000" t="s">
        <v>214</v>
      </c>
      <c r="QD16" s="1004" t="s">
        <v>215</v>
      </c>
      <c r="QE16" s="548"/>
      <c r="QF16" s="1000" t="s">
        <v>214</v>
      </c>
      <c r="QG16" s="1004" t="s">
        <v>215</v>
      </c>
      <c r="QH16" s="548"/>
      <c r="QI16" s="1000" t="s">
        <v>214</v>
      </c>
      <c r="QJ16" s="1004" t="s">
        <v>215</v>
      </c>
      <c r="QK16" s="548"/>
      <c r="QL16" s="1000" t="s">
        <v>214</v>
      </c>
      <c r="QM16" s="1004" t="s">
        <v>215</v>
      </c>
      <c r="QN16" s="548"/>
      <c r="QO16" s="548"/>
      <c r="QP16" s="548"/>
      <c r="QQ16" s="1009"/>
      <c r="QR16" s="548"/>
      <c r="QS16" s="548"/>
      <c r="QT16" s="548"/>
      <c r="QU16" s="548"/>
      <c r="QV16" s="548"/>
      <c r="QW16" s="548"/>
      <c r="QX16" s="548"/>
      <c r="QY16" s="548"/>
      <c r="QZ16" s="548"/>
      <c r="RA16" s="548"/>
      <c r="RB16" s="548"/>
      <c r="RC16" s="548"/>
      <c r="RD16" s="548"/>
      <c r="RE16" s="548"/>
      <c r="RF16" s="548"/>
      <c r="RG16" s="548"/>
      <c r="RH16" s="548"/>
      <c r="RI16" s="548"/>
      <c r="RJ16" s="548"/>
      <c r="RK16" s="548"/>
      <c r="RL16" s="548"/>
      <c r="RM16" s="548"/>
      <c r="RN16" s="548"/>
      <c r="RO16" s="548"/>
      <c r="RP16" s="548"/>
      <c r="RQ16" s="548"/>
      <c r="RR16" s="548"/>
      <c r="RS16" s="548"/>
      <c r="RT16" s="548"/>
      <c r="RU16" s="548"/>
      <c r="RV16" s="548"/>
      <c r="RW16" s="548"/>
      <c r="RX16" s="548"/>
      <c r="RY16" s="548"/>
      <c r="RZ16" s="548"/>
      <c r="SA16" s="548"/>
      <c r="SB16" s="548"/>
      <c r="SC16" s="548"/>
      <c r="SD16" s="548"/>
      <c r="SE16" s="548"/>
      <c r="SF16" s="548"/>
      <c r="SG16" s="548"/>
      <c r="SH16" s="548"/>
      <c r="SI16" s="548"/>
      <c r="SJ16" s="548"/>
      <c r="SK16" s="548"/>
      <c r="SL16" s="548"/>
      <c r="SM16" s="548"/>
      <c r="SN16" s="548"/>
      <c r="SO16" s="548"/>
      <c r="SP16" s="548"/>
      <c r="SQ16" s="548"/>
      <c r="SR16" s="548"/>
      <c r="SS16" s="548"/>
      <c r="ST16" s="548"/>
      <c r="SU16" s="548"/>
      <c r="SV16" s="548"/>
      <c r="SW16" s="548"/>
      <c r="SX16" s="548"/>
      <c r="SY16" s="548"/>
      <c r="SZ16" s="548"/>
      <c r="TA16" s="548"/>
      <c r="TB16" s="548"/>
      <c r="TC16" s="548"/>
      <c r="TD16" s="548"/>
      <c r="TE16" s="548"/>
      <c r="TF16" s="548"/>
      <c r="TG16" s="548"/>
      <c r="TH16" s="548"/>
      <c r="TI16" s="548"/>
      <c r="TJ16" s="548"/>
      <c r="TK16" s="548"/>
      <c r="TL16" s="548"/>
      <c r="TM16" s="548"/>
      <c r="TN16" s="548"/>
      <c r="TO16" s="548"/>
      <c r="TP16" s="548"/>
      <c r="TQ16" s="548"/>
      <c r="TR16" s="548"/>
      <c r="TS16" s="548"/>
      <c r="TT16" s="548"/>
      <c r="TU16" s="548"/>
      <c r="TV16" s="548"/>
      <c r="TW16" s="548"/>
      <c r="TX16" s="548"/>
      <c r="TY16" s="548"/>
      <c r="TZ16" s="548"/>
      <c r="UA16" s="548"/>
      <c r="UB16" s="548"/>
      <c r="UC16" s="548"/>
      <c r="UD16" s="548"/>
      <c r="UE16" s="548"/>
      <c r="UF16" s="548"/>
      <c r="UG16" s="548"/>
      <c r="UH16" s="548"/>
      <c r="UI16" s="548"/>
      <c r="UJ16" s="548"/>
      <c r="UK16" s="548"/>
      <c r="UL16" s="548"/>
      <c r="UM16" s="548"/>
      <c r="UN16" s="548"/>
      <c r="UO16" s="548"/>
      <c r="UP16" s="548"/>
      <c r="UQ16" s="548"/>
      <c r="UR16" s="548"/>
      <c r="US16" s="548"/>
      <c r="UT16" s="548"/>
      <c r="UU16" s="548"/>
      <c r="UV16" s="548"/>
      <c r="UW16" s="548"/>
      <c r="UX16" s="548"/>
      <c r="UY16" s="548"/>
      <c r="UZ16" s="548"/>
      <c r="VA16" s="548"/>
      <c r="VB16" s="548"/>
      <c r="VC16" s="548"/>
      <c r="VD16" s="548"/>
      <c r="VE16" s="548"/>
      <c r="VF16" s="548"/>
      <c r="VG16" s="548"/>
      <c r="VH16" s="548"/>
      <c r="VI16" s="548"/>
      <c r="VJ16" s="548"/>
      <c r="VK16" s="548"/>
      <c r="VL16" s="548"/>
      <c r="VM16" s="548"/>
      <c r="VN16" s="548"/>
      <c r="VO16" s="548"/>
      <c r="VP16" s="548"/>
      <c r="VQ16" s="548"/>
      <c r="VR16" s="548"/>
      <c r="VS16" s="548"/>
      <c r="VT16" s="548"/>
      <c r="VU16" s="548"/>
      <c r="VV16" s="548"/>
      <c r="VW16" s="548"/>
      <c r="VX16" s="548"/>
      <c r="VY16" s="548"/>
      <c r="VZ16" s="548"/>
      <c r="WA16" s="548"/>
      <c r="WB16" s="548"/>
      <c r="WC16" s="548"/>
      <c r="WD16" s="548"/>
      <c r="WE16" s="548"/>
      <c r="WF16" s="548"/>
      <c r="WG16" s="548"/>
      <c r="WH16" s="548"/>
      <c r="WI16" s="548"/>
      <c r="WJ16" s="548"/>
      <c r="WK16" s="548"/>
      <c r="WL16" s="548"/>
      <c r="WM16" s="548"/>
      <c r="WN16" s="548"/>
      <c r="WO16" s="548"/>
      <c r="WP16" s="548"/>
      <c r="WQ16" s="548"/>
      <c r="WR16" s="548"/>
      <c r="WS16" s="548"/>
      <c r="WT16" s="548"/>
      <c r="WU16" s="548"/>
      <c r="WV16" s="548"/>
      <c r="WW16" s="548"/>
      <c r="WX16" s="548"/>
      <c r="WY16" s="548"/>
      <c r="WZ16" s="548"/>
      <c r="XA16" s="548"/>
      <c r="XB16" s="548"/>
      <c r="XC16" s="548"/>
      <c r="XD16" s="548"/>
      <c r="XE16" s="548"/>
      <c r="XF16" s="548"/>
      <c r="XG16" s="548"/>
      <c r="XH16" s="548"/>
      <c r="XI16" s="548"/>
      <c r="XJ16" s="548"/>
      <c r="XK16" s="548"/>
      <c r="XL16" s="548"/>
      <c r="XM16" s="548"/>
      <c r="XN16" s="548"/>
      <c r="XO16" s="548"/>
      <c r="XP16" s="548"/>
      <c r="XQ16" s="548"/>
      <c r="XR16" s="548"/>
      <c r="XS16" s="548"/>
      <c r="XT16" s="548"/>
      <c r="XU16" s="548"/>
      <c r="XV16" s="548"/>
      <c r="XW16" s="548"/>
      <c r="XX16" s="548"/>
      <c r="XY16" s="548"/>
      <c r="XZ16" s="548"/>
      <c r="YA16" s="548"/>
      <c r="YB16" s="548"/>
      <c r="YC16" s="548"/>
      <c r="YD16" s="548"/>
      <c r="YE16" s="548"/>
      <c r="YF16" s="548"/>
      <c r="YG16" s="548"/>
      <c r="YH16" s="548"/>
      <c r="YI16" s="548"/>
      <c r="YJ16" s="548"/>
      <c r="YK16" s="548"/>
      <c r="YL16" s="548"/>
      <c r="YM16" s="548"/>
      <c r="YN16" s="548"/>
      <c r="YO16" s="548"/>
      <c r="YP16" s="548"/>
      <c r="YQ16" s="548"/>
      <c r="YR16" s="548"/>
      <c r="YS16" s="548"/>
      <c r="YT16" s="548"/>
      <c r="YU16" s="548"/>
      <c r="YV16" s="548"/>
      <c r="YW16" s="548"/>
      <c r="YX16" s="548"/>
      <c r="YY16" s="548"/>
      <c r="YZ16" s="548"/>
      <c r="ZA16" s="548"/>
      <c r="ZB16" s="548"/>
      <c r="ZC16" s="548"/>
      <c r="ZD16" s="548"/>
      <c r="ZE16" s="548"/>
      <c r="ZF16" s="548"/>
      <c r="ZG16" s="548"/>
      <c r="ZH16" s="548"/>
      <c r="ZI16" s="548"/>
      <c r="ZJ16" s="548"/>
      <c r="ZK16" s="548"/>
      <c r="ZL16" s="548"/>
      <c r="ZM16" s="548"/>
      <c r="ZN16" s="548"/>
      <c r="ZO16" s="548"/>
      <c r="ZP16" s="548"/>
      <c r="ZQ16" s="548"/>
      <c r="ZR16" s="548"/>
      <c r="ZS16" s="548"/>
      <c r="ZT16" s="548"/>
      <c r="ZU16" s="548"/>
      <c r="ZV16" s="548"/>
      <c r="ZW16" s="548"/>
      <c r="ZX16" s="548"/>
      <c r="ZY16" s="548"/>
      <c r="ZZ16" s="548"/>
      <c r="AAA16" s="548"/>
      <c r="AAB16" s="548"/>
      <c r="AAC16" s="548"/>
      <c r="AAD16" s="548"/>
      <c r="AAE16" s="548"/>
      <c r="AAF16" s="548"/>
      <c r="AAG16" s="548"/>
      <c r="AAH16" s="548"/>
      <c r="AAI16" s="548"/>
      <c r="AAJ16" s="548"/>
      <c r="AAK16" s="548"/>
      <c r="AAL16" s="548"/>
      <c r="AAM16" s="548"/>
      <c r="AAN16" s="548"/>
      <c r="AAO16" s="548"/>
      <c r="AAP16" s="548"/>
      <c r="AAQ16" s="548"/>
      <c r="AAR16" s="548"/>
      <c r="AAS16" s="548"/>
      <c r="AAT16" s="548"/>
      <c r="AAU16" s="548"/>
      <c r="AAV16" s="548"/>
      <c r="AAW16" s="548"/>
      <c r="AAX16" s="548"/>
      <c r="AAY16" s="548"/>
      <c r="AAZ16" s="548"/>
      <c r="ABA16" s="548"/>
      <c r="ABB16" s="548"/>
      <c r="ABC16" s="548"/>
      <c r="ABD16" s="548"/>
      <c r="ABE16" s="548"/>
      <c r="ABF16" s="548"/>
      <c r="ABG16" s="548"/>
      <c r="ABH16" s="548"/>
      <c r="ABI16" s="548"/>
      <c r="ABJ16" s="548"/>
      <c r="ABK16" s="548"/>
      <c r="ABL16" s="548"/>
      <c r="ABM16" s="548"/>
      <c r="ABN16" s="548"/>
      <c r="ABO16" s="548"/>
      <c r="ABP16" s="548"/>
      <c r="ABQ16" s="548"/>
      <c r="ABR16" s="548"/>
      <c r="ABS16" s="548"/>
    </row>
    <row r="17" spans="1:747" customFormat="1" ht="15" customHeight="1" x14ac:dyDescent="0.2">
      <c r="A17" s="424" t="str">
        <f t="shared" si="149"/>
        <v/>
      </c>
      <c r="B17" s="415"/>
      <c r="C17" s="525"/>
      <c r="D17" s="750"/>
      <c r="E17" s="416" t="str">
        <f t="shared" si="0"/>
        <v/>
      </c>
      <c r="F17" s="527" t="str">
        <f t="shared" si="1"/>
        <v/>
      </c>
      <c r="G17" s="417"/>
      <c r="H17" s="583" t="str">
        <f t="shared" si="2"/>
        <v/>
      </c>
      <c r="I17" s="424"/>
      <c r="J17" s="749"/>
      <c r="K17" s="418"/>
      <c r="L17" s="419"/>
      <c r="M17" s="523"/>
      <c r="N17" s="420"/>
      <c r="O17" s="421"/>
      <c r="P17" s="561"/>
      <c r="Q17" s="422"/>
      <c r="R17" s="767" t="str">
        <f t="shared" si="3"/>
        <v/>
      </c>
      <c r="S17" s="664"/>
      <c r="T17" s="663"/>
      <c r="U17" s="580">
        <f t="shared" si="4"/>
        <v>0</v>
      </c>
      <c r="V17" s="418"/>
      <c r="W17" s="582" t="str">
        <f t="shared" si="5"/>
        <v/>
      </c>
      <c r="X17" s="479" t="str">
        <f t="shared" si="6"/>
        <v/>
      </c>
      <c r="Y17" s="582" t="str">
        <f t="shared" si="7"/>
        <v/>
      </c>
      <c r="Z17" s="317" t="str">
        <f t="shared" si="8"/>
        <v/>
      </c>
      <c r="AA17" s="317" t="str">
        <f t="shared" si="9"/>
        <v/>
      </c>
      <c r="AB17" s="317">
        <f t="shared" si="10"/>
        <v>0</v>
      </c>
      <c r="AC17" s="317" t="str">
        <f t="shared" si="11"/>
        <v/>
      </c>
      <c r="AD17" s="317"/>
      <c r="AE17" s="479"/>
      <c r="AF17" s="479"/>
      <c r="AG17" s="423"/>
      <c r="AH17" s="820"/>
      <c r="AI17" s="480"/>
      <c r="AJ17" s="660"/>
      <c r="AK17" s="524" t="str">
        <f t="shared" si="12"/>
        <v/>
      </c>
      <c r="AL17" s="731">
        <f>SUMIF($J$4:$J$158,"Básico",$S$4:$S$158)</f>
        <v>0</v>
      </c>
      <c r="AM17" s="732">
        <f>SUMIF($J$4:$J$158,"Básico",$T$4:$T$158)</f>
        <v>0</v>
      </c>
      <c r="AN17" s="435">
        <f t="shared" si="13"/>
        <v>0</v>
      </c>
      <c r="AO17" s="956" t="str">
        <f t="shared" si="37"/>
        <v/>
      </c>
      <c r="AP17" s="485" t="str">
        <f t="shared" si="14"/>
        <v/>
      </c>
      <c r="AQ17" s="768"/>
      <c r="AR17" s="426"/>
      <c r="AS17" s="428"/>
      <c r="AT17" s="429"/>
      <c r="AU17" s="501"/>
      <c r="AV17" s="431"/>
      <c r="AW17" s="432"/>
      <c r="AX17" s="488"/>
      <c r="AY17" s="489">
        <f t="shared" si="15"/>
        <v>0</v>
      </c>
      <c r="AZ17" s="435"/>
      <c r="BA17" s="435" t="str">
        <f t="shared" si="16"/>
        <v/>
      </c>
      <c r="BB17" s="435"/>
      <c r="BC17" s="435"/>
      <c r="BD17" s="435">
        <f t="array" ref="BD17">IF(SUM((BC17=$BC$3:BC16)*1)=0,BC17,0)</f>
        <v>0</v>
      </c>
      <c r="BE17" s="435"/>
      <c r="BF17" s="435"/>
      <c r="BG17" s="435">
        <f t="array" ref="BG17">IF(SUM((BF17=$BF$3:BF16)*1)=0,BF17,0)</f>
        <v>0</v>
      </c>
      <c r="BH17" s="435"/>
      <c r="BI17" s="435"/>
      <c r="BJ17" s="435"/>
      <c r="BK17" s="435"/>
      <c r="BL17" s="435"/>
      <c r="BM17" s="435"/>
      <c r="BN17" s="435"/>
      <c r="BO17" s="426"/>
      <c r="BP17" s="491">
        <f t="shared" si="17"/>
        <v>0</v>
      </c>
      <c r="BQ17" s="426"/>
      <c r="BR17" s="434"/>
      <c r="BS17" s="426"/>
      <c r="BT17" s="433"/>
      <c r="BU17" s="435"/>
      <c r="BV17" s="435" t="str">
        <f t="shared" si="18"/>
        <v/>
      </c>
      <c r="BW17" s="435" t="str">
        <f t="shared" si="38"/>
        <v/>
      </c>
      <c r="BX17" s="435"/>
      <c r="BY17" s="435"/>
      <c r="BZ17" s="435"/>
      <c r="CA17" s="435"/>
      <c r="CB17" s="435"/>
      <c r="CC17" s="435"/>
      <c r="CD17" s="435"/>
      <c r="CE17" s="435"/>
      <c r="CF17" s="435"/>
      <c r="CG17" s="435"/>
      <c r="CH17" s="435"/>
      <c r="CI17" s="435"/>
      <c r="CJ17" s="426" t="str">
        <f t="shared" si="39"/>
        <v/>
      </c>
      <c r="CK17" s="495"/>
      <c r="CL17" s="528"/>
      <c r="CM17" s="495"/>
      <c r="CN17" s="528"/>
      <c r="CO17" s="528"/>
      <c r="CP17" s="528"/>
      <c r="CQ17" s="528"/>
      <c r="CR17" s="528"/>
      <c r="CS17" s="528"/>
      <c r="CT17" s="528"/>
      <c r="CU17" s="528"/>
      <c r="CV17" s="528"/>
      <c r="CW17" s="435"/>
      <c r="CX17" s="435"/>
      <c r="CY17" s="426">
        <v>14</v>
      </c>
      <c r="CZ17" s="435"/>
      <c r="DA17" s="435"/>
      <c r="DB17" s="435"/>
      <c r="DC17" s="426" t="s">
        <v>757</v>
      </c>
      <c r="DD17" s="426" t="s">
        <v>917</v>
      </c>
      <c r="DE17" s="435" t="str">
        <f t="shared" si="40"/>
        <v/>
      </c>
      <c r="DF17" s="435" t="str">
        <f t="shared" si="41"/>
        <v/>
      </c>
      <c r="DG17" s="435" t="str">
        <f t="shared" si="42"/>
        <v/>
      </c>
      <c r="DH17" s="435" t="str">
        <f t="shared" si="43"/>
        <v/>
      </c>
      <c r="DI17" s="435" t="str">
        <f t="shared" si="44"/>
        <v/>
      </c>
      <c r="DJ17" s="435" t="str">
        <f t="shared" si="45"/>
        <v/>
      </c>
      <c r="DK17" s="435" t="str">
        <f t="shared" si="19"/>
        <v/>
      </c>
      <c r="DL17" s="435" t="str">
        <f t="shared" si="20"/>
        <v/>
      </c>
      <c r="DM17" s="435" t="str">
        <f t="shared" si="46"/>
        <v/>
      </c>
      <c r="DN17" s="435" t="str">
        <f t="shared" si="47"/>
        <v/>
      </c>
      <c r="DO17" s="435" t="str">
        <f t="shared" si="21"/>
        <v/>
      </c>
      <c r="DP17" s="435" t="str">
        <f t="shared" si="22"/>
        <v/>
      </c>
      <c r="DQ17" s="435" t="str">
        <f t="shared" si="48"/>
        <v/>
      </c>
      <c r="DR17" s="435" t="str">
        <f t="shared" si="49"/>
        <v/>
      </c>
      <c r="DS17" s="435" t="str">
        <f t="shared" si="23"/>
        <v/>
      </c>
      <c r="DT17" s="435" t="str">
        <f t="shared" si="24"/>
        <v/>
      </c>
      <c r="DU17" s="435" t="str">
        <f t="shared" si="50"/>
        <v/>
      </c>
      <c r="DV17" s="435" t="str">
        <f t="shared" si="51"/>
        <v/>
      </c>
      <c r="DW17" s="435" t="str">
        <f t="shared" si="25"/>
        <v/>
      </c>
      <c r="DX17" s="435" t="str">
        <f t="shared" si="26"/>
        <v/>
      </c>
      <c r="DY17" s="435" t="str">
        <f t="shared" si="52"/>
        <v/>
      </c>
      <c r="DZ17" s="435" t="str">
        <f t="shared" si="53"/>
        <v/>
      </c>
      <c r="EA17" s="435" t="str">
        <f t="shared" si="27"/>
        <v/>
      </c>
      <c r="EB17" s="435" t="str">
        <f t="shared" si="28"/>
        <v/>
      </c>
      <c r="EC17" s="435" t="str">
        <f t="shared" si="29"/>
        <v/>
      </c>
      <c r="ED17" s="435" t="str">
        <f t="shared" si="30"/>
        <v/>
      </c>
      <c r="EE17" s="435" t="str">
        <f t="shared" si="31"/>
        <v/>
      </c>
      <c r="EF17" s="435" t="str">
        <f t="shared" si="32"/>
        <v/>
      </c>
      <c r="EG17" s="435" t="str">
        <f t="shared" si="33"/>
        <v/>
      </c>
      <c r="EH17" s="435" t="str">
        <f t="shared" si="34"/>
        <v/>
      </c>
      <c r="EI17" s="435" t="str">
        <f t="shared" si="35"/>
        <v/>
      </c>
      <c r="EJ17" s="435" t="str">
        <f t="shared" si="36"/>
        <v/>
      </c>
      <c r="EK17" s="485"/>
      <c r="EL17" s="485"/>
      <c r="EM17" s="485"/>
      <c r="EN17" s="485"/>
      <c r="EO17" s="448"/>
      <c r="EP17" s="448"/>
      <c r="EQ17" s="448"/>
      <c r="ER17" s="448"/>
      <c r="ES17" s="448"/>
      <c r="ET17" s="435"/>
      <c r="EU17" s="435"/>
      <c r="EV17" s="435"/>
      <c r="EW17" s="435"/>
      <c r="EX17" s="426"/>
      <c r="EY17" s="426"/>
      <c r="EZ17" s="426"/>
      <c r="FA17" s="414"/>
      <c r="FB17" s="427">
        <f t="array" ref="FB17">IF(SUM((FA17=$FA$3:FA16)*1)=0,FA17,0)</f>
        <v>0</v>
      </c>
      <c r="FC17" s="414"/>
      <c r="FD17" s="414"/>
      <c r="FE17" s="414">
        <f t="array" ref="FE17">IF(SUM((FD17=$FD$3:FD16)*1)=0,FD17,0)</f>
        <v>0</v>
      </c>
      <c r="FF17" s="414"/>
      <c r="FG17" s="414"/>
      <c r="FH17" s="414"/>
      <c r="FI17" s="427">
        <f t="array" ref="FI17">IF(SUM((FH17=$FH$3:FH16)*1)=0,FH17,0)</f>
        <v>0</v>
      </c>
      <c r="FJ17" s="414"/>
      <c r="FK17" s="414"/>
      <c r="FL17" s="414">
        <f t="array" ref="FL17">IF(SUM((FK17=$FK$3:FK16)*1)=0,FK17,0)</f>
        <v>0</v>
      </c>
      <c r="FM17" s="414"/>
      <c r="FN17" s="414"/>
      <c r="FO17" s="414"/>
      <c r="FP17" s="427">
        <f t="array" ref="FP17">IF(SUM((FO17=$FO$3:FO16)*1)=0,FO17,0)</f>
        <v>0</v>
      </c>
      <c r="FQ17" s="414"/>
      <c r="FR17" s="414"/>
      <c r="FS17" s="414">
        <f t="array" ref="FS17">IF(SUM((FR17=$FR$3:FR16)*1)=0,FR17,0)</f>
        <v>0</v>
      </c>
      <c r="FT17" s="414"/>
      <c r="FU17" s="414"/>
      <c r="FV17" s="414"/>
      <c r="FW17" s="427">
        <f t="array" ref="FW17">IF(SUM((FV17=$FV$3:FV16)*1)=0,FV17,0)</f>
        <v>0</v>
      </c>
      <c r="FX17" s="414"/>
      <c r="FY17" s="414"/>
      <c r="FZ17" s="414">
        <f t="array" ref="FZ17">IF(SUM((FY17=$FY$3:FY16)*1)=0,FY17,0)</f>
        <v>0</v>
      </c>
      <c r="GA17" s="414"/>
      <c r="GB17" s="414"/>
      <c r="GC17" s="414"/>
      <c r="GD17" s="427">
        <f t="array" ref="GD17">IF(SUM((GC17=$GC$3:GC16)*1)=0,GC17,0)</f>
        <v>0</v>
      </c>
      <c r="GE17" s="414"/>
      <c r="GF17" s="414"/>
      <c r="GG17" s="414">
        <f t="array" ref="GG17">IF(SUM((GF17=$GF$3:GF16)*1)=0,GF17,0)</f>
        <v>0</v>
      </c>
      <c r="GH17" s="414"/>
      <c r="GI17" s="414"/>
      <c r="GJ17" s="414"/>
      <c r="GK17" s="798">
        <f t="array" ref="GK17">IF(SUM((GJ17=$GJ$3:GJ16)*1)=0,GJ17,0)</f>
        <v>0</v>
      </c>
      <c r="GL17" s="414"/>
      <c r="GM17" s="414"/>
      <c r="GN17" s="798">
        <f t="array" ref="GN17">IF(SUM((GM17=$GM$3:GM16)*1)=0,GM17,0)</f>
        <v>0</v>
      </c>
      <c r="GO17" s="414"/>
      <c r="GP17" s="414"/>
      <c r="GQ17" s="414"/>
      <c r="GR17" s="798">
        <f t="array" ref="GR17">IF(SUM((GQ17=$GQ$3:GQ16)*1)=0,GQ17,0)</f>
        <v>0</v>
      </c>
      <c r="GS17" s="414"/>
      <c r="GT17" s="414"/>
      <c r="GU17" s="798">
        <f t="array" ref="GU17">IF(SUM((GT17=$GT$3:GT16)*1)=0,GT17,0)</f>
        <v>0</v>
      </c>
      <c r="GV17" s="414"/>
      <c r="GW17" s="414"/>
      <c r="GX17" s="414"/>
      <c r="GY17" s="798">
        <f t="array" ref="GY17">IF(SUM((GX17=$GX$3:GX16)*1)=0,GX17,0)</f>
        <v>0</v>
      </c>
      <c r="GZ17" s="414"/>
      <c r="HA17" s="414"/>
      <c r="HB17" s="798">
        <f t="array" ref="HB17">IF(SUM((HA17=$HA$3:HA16)*1)=0,HA17,0)</f>
        <v>0</v>
      </c>
      <c r="HC17" s="414"/>
      <c r="HD17" s="414"/>
      <c r="HE17" s="769" t="str">
        <f t="shared" si="130"/>
        <v/>
      </c>
      <c r="HF17" s="768" t="str">
        <f t="shared" si="54"/>
        <v/>
      </c>
      <c r="HG17" s="769" t="str">
        <f t="shared" si="131"/>
        <v/>
      </c>
      <c r="HH17" s="768" t="str">
        <f t="shared" si="55"/>
        <v/>
      </c>
      <c r="HI17" s="728" t="str">
        <f t="shared" si="132"/>
        <v/>
      </c>
      <c r="HJ17" s="768" t="str">
        <f t="shared" si="56"/>
        <v/>
      </c>
      <c r="HK17" s="728" t="str">
        <f t="shared" si="133"/>
        <v/>
      </c>
      <c r="HL17" s="768" t="str">
        <f t="shared" si="57"/>
        <v/>
      </c>
      <c r="HM17" s="769" t="str">
        <f t="shared" si="58"/>
        <v/>
      </c>
      <c r="HN17" s="768" t="str">
        <f t="shared" ref="HN17" si="230">IF(HM17&lt;0,"Invadiu REP-BA-C","")</f>
        <v/>
      </c>
      <c r="HO17" s="769" t="str">
        <f t="shared" si="60"/>
        <v/>
      </c>
      <c r="HP17" s="768" t="str">
        <f t="shared" si="61"/>
        <v/>
      </c>
      <c r="HQ17" s="728" t="str">
        <f t="shared" si="62"/>
        <v/>
      </c>
      <c r="HR17" s="768" t="str">
        <f t="shared" si="63"/>
        <v/>
      </c>
      <c r="HS17" s="728" t="str">
        <f t="shared" si="64"/>
        <v/>
      </c>
      <c r="HT17" s="768" t="str">
        <f t="shared" si="65"/>
        <v/>
      </c>
      <c r="HU17" s="769" t="str">
        <f t="shared" si="66"/>
        <v/>
      </c>
      <c r="HV17" s="768" t="str">
        <f t="shared" ref="HV17" si="231">IF(HU17&lt;0,"Invadiu REP-BA-C","")</f>
        <v/>
      </c>
      <c r="HW17" s="769" t="str">
        <f t="shared" si="68"/>
        <v/>
      </c>
      <c r="HX17" s="768" t="str">
        <f t="shared" si="69"/>
        <v/>
      </c>
      <c r="HY17" s="728" t="str">
        <f t="shared" si="70"/>
        <v/>
      </c>
      <c r="HZ17" s="768" t="str">
        <f t="shared" si="71"/>
        <v/>
      </c>
      <c r="IA17" s="728" t="str">
        <f t="shared" si="72"/>
        <v/>
      </c>
      <c r="IB17" s="768" t="str">
        <f t="shared" si="73"/>
        <v/>
      </c>
      <c r="IC17" s="769" t="str">
        <f t="shared" si="74"/>
        <v/>
      </c>
      <c r="ID17" s="768" t="str">
        <f t="shared" ref="ID17" si="232">IF(IC17&lt;0,"Invadiu REP-BA-C","")</f>
        <v/>
      </c>
      <c r="IE17" s="769" t="str">
        <f t="shared" si="76"/>
        <v/>
      </c>
      <c r="IF17" s="768" t="str">
        <f t="shared" si="77"/>
        <v/>
      </c>
      <c r="IG17" s="728" t="str">
        <f t="shared" si="78"/>
        <v/>
      </c>
      <c r="IH17" s="768" t="str">
        <f t="shared" si="79"/>
        <v/>
      </c>
      <c r="II17" s="728" t="str">
        <f t="shared" si="80"/>
        <v/>
      </c>
      <c r="IJ17" s="768" t="str">
        <f t="shared" si="81"/>
        <v/>
      </c>
      <c r="IK17" s="769" t="str">
        <f t="shared" si="82"/>
        <v/>
      </c>
      <c r="IL17" s="768" t="str">
        <f t="shared" ref="IL17" si="233">IF(IK17&lt;0,"Invadiu REP-BA-C","")</f>
        <v/>
      </c>
      <c r="IM17" s="769" t="str">
        <f t="shared" si="84"/>
        <v/>
      </c>
      <c r="IN17" s="768" t="str">
        <f t="shared" si="85"/>
        <v/>
      </c>
      <c r="IO17" s="728" t="str">
        <f t="shared" si="86"/>
        <v/>
      </c>
      <c r="IP17" s="768" t="str">
        <f t="shared" si="87"/>
        <v/>
      </c>
      <c r="IQ17" s="728" t="str">
        <f t="shared" si="88"/>
        <v/>
      </c>
      <c r="IR17" s="768" t="str">
        <f t="shared" si="89"/>
        <v/>
      </c>
      <c r="IS17" s="769" t="str">
        <f t="shared" si="90"/>
        <v/>
      </c>
      <c r="IT17" s="768" t="str">
        <f t="shared" ref="IT17" si="234">IF(IS17&lt;0,"Invadiu REP-BA-C","")</f>
        <v/>
      </c>
      <c r="IU17" s="769" t="str">
        <f t="shared" si="92"/>
        <v/>
      </c>
      <c r="IV17" s="768" t="str">
        <f t="shared" si="93"/>
        <v/>
      </c>
      <c r="IW17" s="728" t="str">
        <f t="shared" si="94"/>
        <v/>
      </c>
      <c r="IX17" s="768" t="str">
        <f t="shared" si="95"/>
        <v/>
      </c>
      <c r="IY17" s="728" t="str">
        <f t="shared" si="96"/>
        <v/>
      </c>
      <c r="IZ17" s="768" t="str">
        <f t="shared" si="97"/>
        <v/>
      </c>
      <c r="JA17" s="769" t="str">
        <f t="shared" si="98"/>
        <v/>
      </c>
      <c r="JB17" s="768" t="str">
        <f t="shared" ref="JB17" si="235">IF(JA17&lt;0,"Invadiu REP-BA-C","")</f>
        <v/>
      </c>
      <c r="JC17" s="769" t="str">
        <f t="shared" si="100"/>
        <v/>
      </c>
      <c r="JD17" s="768" t="str">
        <f t="shared" si="101"/>
        <v/>
      </c>
      <c r="JE17" s="728" t="str">
        <f t="shared" si="102"/>
        <v/>
      </c>
      <c r="JF17" s="768" t="str">
        <f t="shared" si="103"/>
        <v/>
      </c>
      <c r="JG17" s="728" t="str">
        <f t="shared" si="104"/>
        <v/>
      </c>
      <c r="JH17" s="768" t="str">
        <f t="shared" si="105"/>
        <v/>
      </c>
      <c r="JI17" s="769" t="str">
        <f t="shared" si="106"/>
        <v/>
      </c>
      <c r="JJ17" s="768" t="str">
        <f t="shared" ref="JJ17" si="236">IF(JI17&lt;0,"Invadiu REP-BA-C","")</f>
        <v/>
      </c>
      <c r="JK17" s="769" t="str">
        <f t="shared" si="108"/>
        <v/>
      </c>
      <c r="JL17" s="768" t="str">
        <f t="shared" si="109"/>
        <v/>
      </c>
      <c r="JM17" s="728" t="str">
        <f t="shared" si="110"/>
        <v/>
      </c>
      <c r="JN17" s="768" t="str">
        <f t="shared" si="111"/>
        <v/>
      </c>
      <c r="JO17" s="728" t="str">
        <f t="shared" si="112"/>
        <v/>
      </c>
      <c r="JP17" s="768" t="str">
        <f t="shared" si="113"/>
        <v/>
      </c>
      <c r="JQ17" s="769" t="str">
        <f t="shared" si="114"/>
        <v/>
      </c>
      <c r="JR17" s="768" t="str">
        <f t="shared" ref="JR17" si="237">IF(JQ17&lt;0,"Invadiu REP-BA-C","")</f>
        <v/>
      </c>
      <c r="JS17" s="769" t="str">
        <f t="shared" si="116"/>
        <v/>
      </c>
      <c r="JT17" s="768" t="str">
        <f t="shared" si="117"/>
        <v/>
      </c>
      <c r="JU17" s="728" t="str">
        <f t="shared" si="118"/>
        <v/>
      </c>
      <c r="JV17" s="768" t="str">
        <f t="shared" si="119"/>
        <v/>
      </c>
      <c r="JW17" s="728" t="str">
        <f t="shared" si="120"/>
        <v/>
      </c>
      <c r="JX17" s="768" t="str">
        <f t="shared" si="121"/>
        <v/>
      </c>
      <c r="JY17" s="768" t="str">
        <f t="shared" si="122"/>
        <v/>
      </c>
      <c r="JZ17" s="485" t="str">
        <f>IF(JY17="","",IF(AND(C17=$C$164,JY17&lt;&gt;""),Verificarcpf(D17),IF(AND(C17=$C$165,JY17&lt;&gt;""),VerificarCNPJ(D17))))</f>
        <v/>
      </c>
      <c r="KA17" s="768" t="str">
        <f t="shared" si="123"/>
        <v/>
      </c>
      <c r="KB17" s="485">
        <f t="shared" si="124"/>
        <v>0</v>
      </c>
      <c r="KC17" s="768">
        <f t="shared" si="125"/>
        <v>0</v>
      </c>
      <c r="KD17" s="485">
        <f t="shared" si="126"/>
        <v>0</v>
      </c>
      <c r="KE17" s="448"/>
      <c r="KF17" s="548">
        <f t="shared" si="127"/>
        <v>0</v>
      </c>
      <c r="KG17" s="548" t="s">
        <v>481</v>
      </c>
      <c r="KH17" s="548"/>
      <c r="KI17" s="548"/>
      <c r="KJ17" s="548" t="str">
        <f t="shared" si="128"/>
        <v/>
      </c>
      <c r="KK17" s="548"/>
      <c r="KL17" s="548"/>
      <c r="KM17" s="548">
        <f t="array" ref="KM17">IF(SUM((KL17=$KL$3:KL16)*1)=0,KL17,0)</f>
        <v>0</v>
      </c>
      <c r="KN17" s="548"/>
      <c r="KO17" s="548"/>
      <c r="KP17" s="548"/>
      <c r="KQ17" s="548"/>
      <c r="KR17" s="548" t="str">
        <f t="shared" si="129"/>
        <v/>
      </c>
      <c r="KS17" s="548"/>
      <c r="KT17" s="548"/>
      <c r="KU17" s="548"/>
      <c r="KV17" s="548"/>
      <c r="KW17" s="548"/>
      <c r="KX17" s="548"/>
      <c r="KY17" s="548"/>
      <c r="KZ17" s="548"/>
      <c r="LA17" s="548"/>
      <c r="LB17" s="548"/>
      <c r="LC17" s="485" t="str">
        <f t="shared" si="142"/>
        <v/>
      </c>
      <c r="LD17" s="548"/>
      <c r="LE17" s="548"/>
      <c r="LF17" s="548"/>
      <c r="LG17" s="548"/>
      <c r="LH17" s="548"/>
      <c r="LI17" s="548"/>
      <c r="LJ17" s="548"/>
      <c r="LK17" s="548"/>
      <c r="LL17" s="548"/>
      <c r="LM17" s="548"/>
      <c r="LN17" s="548"/>
      <c r="LO17" s="548"/>
      <c r="LP17" s="485" t="str">
        <f t="shared" si="143"/>
        <v/>
      </c>
      <c r="LQ17" s="548"/>
      <c r="LR17" s="548"/>
      <c r="LS17" s="548"/>
      <c r="LT17" s="548"/>
      <c r="LU17" s="548"/>
      <c r="LV17" s="548"/>
      <c r="LW17" s="548"/>
      <c r="LX17" s="548"/>
      <c r="LY17" s="548"/>
      <c r="LZ17" s="548"/>
      <c r="MA17" s="548"/>
      <c r="MB17" s="548"/>
      <c r="MC17" s="485" t="str">
        <f t="shared" si="144"/>
        <v/>
      </c>
      <c r="MD17" s="548"/>
      <c r="ME17" s="548"/>
      <c r="MF17" s="548"/>
      <c r="MG17" s="548"/>
      <c r="MH17" s="548"/>
      <c r="MI17" s="548"/>
      <c r="MJ17" s="548"/>
      <c r="MK17" s="548"/>
      <c r="ML17" s="548"/>
      <c r="MM17" s="548"/>
      <c r="MN17" s="548"/>
      <c r="MO17" s="548"/>
      <c r="MP17" s="485" t="str">
        <f t="shared" si="145"/>
        <v/>
      </c>
      <c r="MQ17" s="548"/>
      <c r="MR17" s="548"/>
      <c r="MS17" s="548"/>
      <c r="MT17" s="548"/>
      <c r="MU17" s="548"/>
      <c r="MV17" s="548"/>
      <c r="MW17" s="548"/>
      <c r="MX17" s="548"/>
      <c r="MY17" s="548"/>
      <c r="MZ17" s="548"/>
      <c r="NA17" s="548"/>
      <c r="NB17" s="548"/>
      <c r="NC17" s="485" t="str">
        <f t="shared" si="146"/>
        <v/>
      </c>
      <c r="ND17" s="548"/>
      <c r="NE17" s="548"/>
      <c r="NF17" s="548"/>
      <c r="NG17" s="548"/>
      <c r="NH17" s="548"/>
      <c r="NI17" s="548"/>
      <c r="NJ17" s="548"/>
      <c r="NK17" s="548"/>
      <c r="NL17" s="548"/>
      <c r="NM17" s="548"/>
      <c r="NN17" s="548"/>
      <c r="NO17" s="548"/>
      <c r="NP17" s="485" t="str">
        <f t="shared" si="147"/>
        <v/>
      </c>
      <c r="NQ17" s="548"/>
      <c r="NR17" s="548"/>
      <c r="NS17" s="548"/>
      <c r="NT17" s="548"/>
      <c r="NU17" s="548"/>
      <c r="NV17" s="548"/>
      <c r="NW17" s="548"/>
      <c r="NX17" s="548"/>
      <c r="NY17" s="548"/>
      <c r="NZ17" s="548"/>
      <c r="OA17" s="548"/>
      <c r="OB17" s="548"/>
      <c r="OC17" s="485" t="str">
        <f t="shared" si="148"/>
        <v/>
      </c>
      <c r="OD17" s="548"/>
      <c r="OE17" s="548"/>
      <c r="OF17" s="548"/>
      <c r="OG17" s="548"/>
      <c r="OH17" s="548"/>
      <c r="OI17" s="548"/>
      <c r="OJ17" s="548"/>
      <c r="OK17" s="548"/>
      <c r="OL17" s="548"/>
      <c r="OM17" s="548"/>
      <c r="ON17" s="548"/>
      <c r="OO17" s="548"/>
      <c r="OP17" s="548"/>
      <c r="OQ17" s="548"/>
      <c r="OR17" s="548"/>
      <c r="OS17" s="548"/>
      <c r="OT17" s="548"/>
      <c r="OU17" s="548"/>
      <c r="OV17" s="548"/>
      <c r="OW17" s="548"/>
      <c r="OX17" s="548"/>
      <c r="OY17" s="548"/>
      <c r="OZ17" s="548"/>
      <c r="PA17" s="548"/>
      <c r="PB17" s="548"/>
      <c r="PC17" s="548"/>
      <c r="PD17" s="548"/>
      <c r="PE17" s="548"/>
      <c r="PF17" s="548"/>
      <c r="PG17" s="548"/>
      <c r="PH17" s="548"/>
      <c r="PI17" s="548"/>
      <c r="PJ17" s="548"/>
      <c r="PK17" s="548"/>
      <c r="PL17" s="548"/>
      <c r="PM17" s="548"/>
      <c r="PN17" s="548"/>
      <c r="PO17" s="548"/>
      <c r="PP17" s="548"/>
      <c r="PQ17" s="548"/>
      <c r="PR17" s="548"/>
      <c r="PS17" s="548"/>
      <c r="PT17" s="548"/>
      <c r="PU17" s="548"/>
      <c r="PV17" s="548"/>
      <c r="PW17" s="548"/>
      <c r="PX17" s="548"/>
      <c r="PY17" s="548"/>
      <c r="PZ17" s="548"/>
      <c r="QA17" s="548"/>
      <c r="QB17" s="548"/>
      <c r="QC17" s="548"/>
      <c r="QD17" s="548"/>
      <c r="QE17" s="548"/>
      <c r="QF17" s="548"/>
      <c r="QG17" s="548"/>
      <c r="QH17" s="548"/>
      <c r="QI17" s="548"/>
      <c r="QJ17" s="548"/>
      <c r="QK17" s="548"/>
      <c r="QL17" s="548"/>
      <c r="QM17" s="548"/>
      <c r="QN17" s="548"/>
      <c r="QO17" s="548"/>
      <c r="QP17" s="548"/>
      <c r="QQ17" s="1009"/>
      <c r="QR17" s="548"/>
      <c r="QS17" s="548"/>
      <c r="QT17" s="548"/>
      <c r="QU17" s="548"/>
      <c r="QV17" s="548"/>
      <c r="QW17" s="548"/>
      <c r="QX17" s="548"/>
      <c r="QY17" s="548"/>
      <c r="QZ17" s="548"/>
      <c r="RA17" s="548"/>
      <c r="RB17" s="548"/>
      <c r="RC17" s="548"/>
      <c r="RD17" s="548"/>
      <c r="RE17" s="548"/>
      <c r="RF17" s="548"/>
      <c r="RG17" s="548"/>
      <c r="RH17" s="548"/>
      <c r="RI17" s="548"/>
      <c r="RJ17" s="548"/>
      <c r="RK17" s="548"/>
      <c r="RL17" s="548"/>
      <c r="RM17" s="548"/>
      <c r="RN17" s="548"/>
      <c r="RO17" s="548"/>
      <c r="RP17" s="548"/>
      <c r="RQ17" s="548"/>
      <c r="RR17" s="548"/>
      <c r="RS17" s="548"/>
      <c r="RT17" s="548"/>
      <c r="RU17" s="548"/>
      <c r="RV17" s="548"/>
      <c r="RW17" s="548"/>
      <c r="RX17" s="548"/>
      <c r="RY17" s="548"/>
      <c r="RZ17" s="548"/>
      <c r="SA17" s="548"/>
      <c r="SB17" s="548"/>
      <c r="SC17" s="548"/>
      <c r="SD17" s="548"/>
      <c r="SE17" s="548"/>
      <c r="SF17" s="548"/>
      <c r="SG17" s="548"/>
      <c r="SH17" s="548"/>
      <c r="SI17" s="548"/>
      <c r="SJ17" s="548"/>
      <c r="SK17" s="548"/>
      <c r="SL17" s="548"/>
      <c r="SM17" s="548"/>
      <c r="SN17" s="548"/>
      <c r="SO17" s="548"/>
      <c r="SP17" s="548"/>
      <c r="SQ17" s="548"/>
      <c r="SR17" s="548"/>
      <c r="SS17" s="548"/>
      <c r="ST17" s="548"/>
      <c r="SU17" s="548"/>
      <c r="SV17" s="548"/>
      <c r="SW17" s="548"/>
      <c r="SX17" s="548"/>
      <c r="SY17" s="548"/>
      <c r="SZ17" s="548"/>
      <c r="TA17" s="548"/>
      <c r="TB17" s="548"/>
      <c r="TC17" s="548"/>
      <c r="TD17" s="548"/>
      <c r="TE17" s="548"/>
      <c r="TF17" s="548"/>
      <c r="TG17" s="548"/>
      <c r="TH17" s="548"/>
      <c r="TI17" s="548"/>
      <c r="TJ17" s="548"/>
      <c r="TK17" s="548"/>
      <c r="TL17" s="548"/>
      <c r="TM17" s="548"/>
      <c r="TN17" s="548"/>
      <c r="TO17" s="548"/>
      <c r="TP17" s="548"/>
      <c r="TQ17" s="548"/>
      <c r="TR17" s="548"/>
      <c r="TS17" s="548"/>
      <c r="TT17" s="548"/>
      <c r="TU17" s="548"/>
      <c r="TV17" s="548"/>
      <c r="TW17" s="548"/>
      <c r="TX17" s="548"/>
      <c r="TY17" s="548"/>
      <c r="TZ17" s="548"/>
      <c r="UA17" s="548"/>
      <c r="UB17" s="548"/>
      <c r="UC17" s="548"/>
      <c r="UD17" s="548"/>
      <c r="UE17" s="548"/>
      <c r="UF17" s="548"/>
      <c r="UG17" s="548"/>
      <c r="UH17" s="548"/>
      <c r="UI17" s="548"/>
      <c r="UJ17" s="548"/>
      <c r="UK17" s="548"/>
      <c r="UL17" s="548"/>
      <c r="UM17" s="548"/>
      <c r="UN17" s="548"/>
      <c r="UO17" s="548"/>
      <c r="UP17" s="548"/>
      <c r="UQ17" s="548"/>
      <c r="UR17" s="548"/>
      <c r="US17" s="548"/>
      <c r="UT17" s="548"/>
      <c r="UU17" s="548"/>
      <c r="UV17" s="548"/>
      <c r="UW17" s="548"/>
      <c r="UX17" s="548"/>
      <c r="UY17" s="548"/>
      <c r="UZ17" s="548"/>
      <c r="VA17" s="548"/>
      <c r="VB17" s="548"/>
      <c r="VC17" s="548"/>
      <c r="VD17" s="548"/>
      <c r="VE17" s="548"/>
      <c r="VF17" s="548"/>
      <c r="VG17" s="548"/>
      <c r="VH17" s="548"/>
      <c r="VI17" s="548"/>
      <c r="VJ17" s="548"/>
      <c r="VK17" s="548"/>
      <c r="VL17" s="548"/>
      <c r="VM17" s="548"/>
      <c r="VN17" s="548"/>
      <c r="VO17" s="548"/>
      <c r="VP17" s="548"/>
      <c r="VQ17" s="548"/>
      <c r="VR17" s="548"/>
      <c r="VS17" s="548"/>
      <c r="VT17" s="548"/>
      <c r="VU17" s="548"/>
      <c r="VV17" s="548"/>
      <c r="VW17" s="548"/>
      <c r="VX17" s="548"/>
      <c r="VY17" s="548"/>
      <c r="VZ17" s="548"/>
      <c r="WA17" s="548"/>
      <c r="WB17" s="548"/>
      <c r="WC17" s="548"/>
      <c r="WD17" s="548"/>
      <c r="WE17" s="548"/>
      <c r="WF17" s="548"/>
      <c r="WG17" s="548"/>
      <c r="WH17" s="548"/>
      <c r="WI17" s="548"/>
      <c r="WJ17" s="548"/>
      <c r="WK17" s="548"/>
      <c r="WL17" s="548"/>
      <c r="WM17" s="548"/>
      <c r="WN17" s="548"/>
      <c r="WO17" s="548"/>
      <c r="WP17" s="548"/>
      <c r="WQ17" s="548"/>
      <c r="WR17" s="548"/>
      <c r="WS17" s="548"/>
      <c r="WT17" s="548"/>
      <c r="WU17" s="548"/>
      <c r="WV17" s="548"/>
      <c r="WW17" s="548"/>
      <c r="WX17" s="548"/>
      <c r="WY17" s="548"/>
      <c r="WZ17" s="548"/>
      <c r="XA17" s="548"/>
      <c r="XB17" s="548"/>
      <c r="XC17" s="548"/>
      <c r="XD17" s="548"/>
      <c r="XE17" s="548"/>
      <c r="XF17" s="548"/>
      <c r="XG17" s="548"/>
      <c r="XH17" s="548"/>
      <c r="XI17" s="548"/>
      <c r="XJ17" s="548"/>
      <c r="XK17" s="548"/>
      <c r="XL17" s="548"/>
      <c r="XM17" s="548"/>
      <c r="XN17" s="548"/>
      <c r="XO17" s="548"/>
      <c r="XP17" s="548"/>
      <c r="XQ17" s="548"/>
      <c r="XR17" s="548"/>
      <c r="XS17" s="548"/>
      <c r="XT17" s="548"/>
      <c r="XU17" s="548"/>
      <c r="XV17" s="548"/>
      <c r="XW17" s="548"/>
      <c r="XX17" s="548"/>
      <c r="XY17" s="548"/>
      <c r="XZ17" s="548"/>
      <c r="YA17" s="548"/>
      <c r="YB17" s="548"/>
      <c r="YC17" s="548"/>
      <c r="YD17" s="548"/>
      <c r="YE17" s="548"/>
      <c r="YF17" s="548"/>
      <c r="YG17" s="548"/>
      <c r="YH17" s="548"/>
      <c r="YI17" s="548"/>
      <c r="YJ17" s="548"/>
      <c r="YK17" s="548"/>
      <c r="YL17" s="548"/>
      <c r="YM17" s="548"/>
      <c r="YN17" s="548"/>
      <c r="YO17" s="548"/>
      <c r="YP17" s="548"/>
      <c r="YQ17" s="548"/>
      <c r="YR17" s="548"/>
      <c r="YS17" s="548"/>
      <c r="YT17" s="548"/>
      <c r="YU17" s="548"/>
      <c r="YV17" s="548"/>
      <c r="YW17" s="548"/>
      <c r="YX17" s="548"/>
      <c r="YY17" s="548"/>
      <c r="YZ17" s="548"/>
      <c r="ZA17" s="548"/>
      <c r="ZB17" s="548"/>
      <c r="ZC17" s="548"/>
      <c r="ZD17" s="548"/>
      <c r="ZE17" s="548"/>
      <c r="ZF17" s="548"/>
      <c r="ZG17" s="548"/>
      <c r="ZH17" s="548"/>
      <c r="ZI17" s="548"/>
      <c r="ZJ17" s="548"/>
      <c r="ZK17" s="548"/>
      <c r="ZL17" s="548"/>
      <c r="ZM17" s="548"/>
      <c r="ZN17" s="548"/>
      <c r="ZO17" s="548"/>
      <c r="ZP17" s="548"/>
      <c r="ZQ17" s="548"/>
      <c r="ZR17" s="548"/>
      <c r="ZS17" s="548"/>
      <c r="ZT17" s="548"/>
      <c r="ZU17" s="548"/>
      <c r="ZV17" s="548"/>
      <c r="ZW17" s="548"/>
      <c r="ZX17" s="548"/>
      <c r="ZY17" s="548"/>
      <c r="ZZ17" s="548"/>
      <c r="AAA17" s="548"/>
      <c r="AAB17" s="548"/>
      <c r="AAC17" s="548"/>
      <c r="AAD17" s="548"/>
      <c r="AAE17" s="548"/>
      <c r="AAF17" s="548"/>
      <c r="AAG17" s="548"/>
      <c r="AAH17" s="548"/>
      <c r="AAI17" s="548"/>
      <c r="AAJ17" s="548"/>
      <c r="AAK17" s="548"/>
      <c r="AAL17" s="548"/>
      <c r="AAM17" s="548"/>
      <c r="AAN17" s="548"/>
      <c r="AAO17" s="548"/>
      <c r="AAP17" s="548"/>
      <c r="AAQ17" s="548"/>
      <c r="AAR17" s="548"/>
      <c r="AAS17" s="548"/>
      <c r="AAT17" s="548"/>
      <c r="AAU17" s="548"/>
      <c r="AAV17" s="548"/>
      <c r="AAW17" s="548"/>
      <c r="AAX17" s="548"/>
      <c r="AAY17" s="548"/>
      <c r="AAZ17" s="548"/>
      <c r="ABA17" s="548"/>
      <c r="ABB17" s="548"/>
      <c r="ABC17" s="548"/>
      <c r="ABD17" s="548"/>
      <c r="ABE17" s="548"/>
      <c r="ABF17" s="548"/>
      <c r="ABG17" s="548"/>
      <c r="ABH17" s="548"/>
      <c r="ABI17" s="548"/>
      <c r="ABJ17" s="548"/>
      <c r="ABK17" s="548"/>
      <c r="ABL17" s="548"/>
      <c r="ABM17" s="548"/>
      <c r="ABN17" s="548"/>
      <c r="ABO17" s="548"/>
      <c r="ABP17" s="548"/>
      <c r="ABQ17" s="548"/>
      <c r="ABR17" s="548"/>
      <c r="ABS17" s="548"/>
    </row>
    <row r="18" spans="1:747" customFormat="1" ht="15" customHeight="1" thickBot="1" x14ac:dyDescent="0.25">
      <c r="A18" s="424" t="str">
        <f t="shared" si="149"/>
        <v/>
      </c>
      <c r="B18" s="415"/>
      <c r="C18" s="525"/>
      <c r="D18" s="750"/>
      <c r="E18" s="416" t="str">
        <f t="shared" si="0"/>
        <v/>
      </c>
      <c r="F18" s="527" t="str">
        <f t="shared" si="1"/>
        <v/>
      </c>
      <c r="G18" s="417"/>
      <c r="H18" s="583" t="str">
        <f t="shared" si="2"/>
        <v/>
      </c>
      <c r="I18" s="424"/>
      <c r="J18" s="749"/>
      <c r="K18" s="418"/>
      <c r="L18" s="419"/>
      <c r="M18" s="415"/>
      <c r="N18" s="420"/>
      <c r="O18" s="653"/>
      <c r="P18" s="561"/>
      <c r="Q18" s="747"/>
      <c r="R18" s="767" t="str">
        <f t="shared" si="3"/>
        <v/>
      </c>
      <c r="S18" s="664"/>
      <c r="T18" s="663"/>
      <c r="U18" s="580">
        <f t="shared" si="4"/>
        <v>0</v>
      </c>
      <c r="V18" s="418"/>
      <c r="W18" s="582" t="str">
        <f t="shared" si="5"/>
        <v/>
      </c>
      <c r="X18" s="317" t="str">
        <f t="shared" si="6"/>
        <v/>
      </c>
      <c r="Y18" s="582" t="str">
        <f t="shared" si="7"/>
        <v/>
      </c>
      <c r="Z18" s="317" t="str">
        <f t="shared" si="8"/>
        <v/>
      </c>
      <c r="AA18" s="317" t="str">
        <f t="shared" si="9"/>
        <v/>
      </c>
      <c r="AB18" s="317">
        <f t="shared" si="10"/>
        <v>0</v>
      </c>
      <c r="AC18" s="317" t="str">
        <f t="shared" si="11"/>
        <v/>
      </c>
      <c r="AD18" s="317"/>
      <c r="AE18" s="479"/>
      <c r="AF18" s="479"/>
      <c r="AG18" s="423"/>
      <c r="AH18" s="820"/>
      <c r="AI18" s="480"/>
      <c r="AJ18" s="660"/>
      <c r="AK18" s="524" t="str">
        <f t="shared" si="12"/>
        <v/>
      </c>
      <c r="AL18" s="731">
        <f>SUMIF($J$4:$J$163,"Básico",$S$4:$S$163)</f>
        <v>0</v>
      </c>
      <c r="AM18" s="816">
        <f>SUMIF($J$4:$J$163,"Básico",$T$4:$T$163)</f>
        <v>0</v>
      </c>
      <c r="AN18" s="426">
        <f t="shared" si="13"/>
        <v>0</v>
      </c>
      <c r="AO18" s="427" t="str">
        <f t="shared" si="37"/>
        <v/>
      </c>
      <c r="AP18" s="426" t="str">
        <f t="shared" si="14"/>
        <v/>
      </c>
      <c r="AQ18" s="426"/>
      <c r="AR18" s="426"/>
      <c r="AS18" s="428"/>
      <c r="AT18" s="429"/>
      <c r="AU18" s="430"/>
      <c r="AV18" s="431"/>
      <c r="AW18" s="432"/>
      <c r="AX18" s="430"/>
      <c r="AY18" s="431">
        <f t="shared" si="15"/>
        <v>0</v>
      </c>
      <c r="AZ18" s="426"/>
      <c r="BA18" s="435" t="str">
        <f t="shared" si="16"/>
        <v/>
      </c>
      <c r="BB18" s="435"/>
      <c r="BC18" s="426"/>
      <c r="BD18" s="426">
        <f t="array" ref="BD18">IF(SUM((BC18=$BC$3:BC17)*1)=0,BC18,0)</f>
        <v>0</v>
      </c>
      <c r="BE18" s="426"/>
      <c r="BF18" s="426"/>
      <c r="BG18" s="426">
        <f t="array" ref="BG18">IF(SUM((BF18=$BF$3:BF17)*1)=0,BF18,0)</f>
        <v>0</v>
      </c>
      <c r="BH18" s="426"/>
      <c r="BI18" s="426"/>
      <c r="BJ18" s="426"/>
      <c r="BK18" s="426"/>
      <c r="BL18" s="426"/>
      <c r="BM18" s="426"/>
      <c r="BN18" s="426"/>
      <c r="BO18" s="426"/>
      <c r="BP18" s="433">
        <f t="shared" si="17"/>
        <v>0</v>
      </c>
      <c r="BQ18" s="426"/>
      <c r="BR18" s="434"/>
      <c r="BS18" s="426"/>
      <c r="BT18" s="433"/>
      <c r="BU18" s="435"/>
      <c r="BV18" s="435" t="str">
        <f t="shared" si="18"/>
        <v/>
      </c>
      <c r="BW18" s="435" t="str">
        <f t="shared" si="38"/>
        <v/>
      </c>
      <c r="BX18" s="435"/>
      <c r="BY18" s="435"/>
      <c r="BZ18" s="435"/>
      <c r="CA18" s="435"/>
      <c r="CB18" s="435"/>
      <c r="CC18" s="435"/>
      <c r="CD18" s="435"/>
      <c r="CE18" s="435"/>
      <c r="CF18" s="435"/>
      <c r="CG18" s="435"/>
      <c r="CH18" s="435"/>
      <c r="CI18" s="435"/>
      <c r="CJ18" s="426" t="str">
        <f t="shared" si="39"/>
        <v/>
      </c>
      <c r="CK18" s="435"/>
      <c r="CL18" s="426"/>
      <c r="CM18" s="435"/>
      <c r="CN18" s="426"/>
      <c r="CO18" s="426"/>
      <c r="CP18" s="426"/>
      <c r="CQ18" s="426"/>
      <c r="CR18" s="426"/>
      <c r="CS18" s="426"/>
      <c r="CT18" s="426"/>
      <c r="CU18" s="426"/>
      <c r="CV18" s="426"/>
      <c r="CW18" s="426"/>
      <c r="CX18" s="426"/>
      <c r="CY18" s="426">
        <v>15</v>
      </c>
      <c r="CZ18" s="426"/>
      <c r="DA18" s="426"/>
      <c r="DB18" s="426"/>
      <c r="DC18" s="426" t="s">
        <v>758</v>
      </c>
      <c r="DD18" s="426" t="s">
        <v>918</v>
      </c>
      <c r="DE18" s="435" t="str">
        <f t="shared" si="40"/>
        <v/>
      </c>
      <c r="DF18" s="435" t="str">
        <f t="shared" si="41"/>
        <v/>
      </c>
      <c r="DG18" s="435" t="str">
        <f t="shared" si="42"/>
        <v/>
      </c>
      <c r="DH18" s="435" t="str">
        <f t="shared" si="43"/>
        <v/>
      </c>
      <c r="DI18" s="435" t="str">
        <f t="shared" si="44"/>
        <v/>
      </c>
      <c r="DJ18" s="435" t="str">
        <f t="shared" si="45"/>
        <v/>
      </c>
      <c r="DK18" s="435" t="str">
        <f t="shared" si="19"/>
        <v/>
      </c>
      <c r="DL18" s="435" t="str">
        <f t="shared" si="20"/>
        <v/>
      </c>
      <c r="DM18" s="435" t="str">
        <f t="shared" si="46"/>
        <v/>
      </c>
      <c r="DN18" s="435" t="str">
        <f t="shared" si="47"/>
        <v/>
      </c>
      <c r="DO18" s="435" t="str">
        <f t="shared" si="21"/>
        <v/>
      </c>
      <c r="DP18" s="435" t="str">
        <f t="shared" si="22"/>
        <v/>
      </c>
      <c r="DQ18" s="435" t="str">
        <f t="shared" si="48"/>
        <v/>
      </c>
      <c r="DR18" s="435" t="str">
        <f t="shared" si="49"/>
        <v/>
      </c>
      <c r="DS18" s="435" t="str">
        <f t="shared" si="23"/>
        <v/>
      </c>
      <c r="DT18" s="435" t="str">
        <f t="shared" si="24"/>
        <v/>
      </c>
      <c r="DU18" s="435" t="str">
        <f t="shared" si="50"/>
        <v/>
      </c>
      <c r="DV18" s="435" t="str">
        <f t="shared" si="51"/>
        <v/>
      </c>
      <c r="DW18" s="435" t="str">
        <f t="shared" si="25"/>
        <v/>
      </c>
      <c r="DX18" s="435" t="str">
        <f t="shared" si="26"/>
        <v/>
      </c>
      <c r="DY18" s="435" t="str">
        <f t="shared" si="52"/>
        <v/>
      </c>
      <c r="DZ18" s="435" t="str">
        <f t="shared" si="53"/>
        <v/>
      </c>
      <c r="EA18" s="435" t="str">
        <f t="shared" si="27"/>
        <v/>
      </c>
      <c r="EB18" s="435" t="str">
        <f t="shared" si="28"/>
        <v/>
      </c>
      <c r="EC18" s="435" t="str">
        <f t="shared" si="29"/>
        <v/>
      </c>
      <c r="ED18" s="435" t="str">
        <f t="shared" si="30"/>
        <v/>
      </c>
      <c r="EE18" s="435" t="str">
        <f t="shared" si="31"/>
        <v/>
      </c>
      <c r="EF18" s="435" t="str">
        <f t="shared" si="32"/>
        <v/>
      </c>
      <c r="EG18" s="435" t="str">
        <f t="shared" si="33"/>
        <v/>
      </c>
      <c r="EH18" s="435" t="str">
        <f t="shared" si="34"/>
        <v/>
      </c>
      <c r="EI18" s="435" t="str">
        <f t="shared" si="35"/>
        <v/>
      </c>
      <c r="EJ18" s="435" t="str">
        <f t="shared" si="36"/>
        <v/>
      </c>
      <c r="EK18" s="485"/>
      <c r="EL18" s="485"/>
      <c r="EM18" s="485"/>
      <c r="EN18" s="485"/>
      <c r="EO18" s="448"/>
      <c r="EP18" s="448"/>
      <c r="EQ18" s="448"/>
      <c r="ER18" s="448"/>
      <c r="ES18" s="448"/>
      <c r="ET18" s="435"/>
      <c r="EU18" s="435"/>
      <c r="EV18" s="435"/>
      <c r="EW18" s="435"/>
      <c r="EX18" s="426"/>
      <c r="EY18" s="426"/>
      <c r="EZ18" s="426"/>
      <c r="FA18" s="427"/>
      <c r="FB18" s="427">
        <f t="array" ref="FB18">IF(SUM((FA18=$FA$3:FA17)*1)=0,FA18,0)</f>
        <v>0</v>
      </c>
      <c r="FC18" s="427"/>
      <c r="FD18" s="427"/>
      <c r="FE18" s="427">
        <f t="array" ref="FE18">IF(SUM((FD18=$FD$3:FD17)*1)=0,FD18,0)</f>
        <v>0</v>
      </c>
      <c r="FF18" s="427"/>
      <c r="FG18" s="427"/>
      <c r="FH18" s="427"/>
      <c r="FI18" s="427">
        <f t="array" ref="FI18">IF(SUM((FH18=$FH$3:FH17)*1)=0,FH18,0)</f>
        <v>0</v>
      </c>
      <c r="FJ18" s="427"/>
      <c r="FK18" s="427"/>
      <c r="FL18" s="427">
        <f t="array" ref="FL18">IF(SUM((FK18=$FK$3:FK17)*1)=0,FK18,0)</f>
        <v>0</v>
      </c>
      <c r="FM18" s="427"/>
      <c r="FN18" s="427"/>
      <c r="FO18" s="427"/>
      <c r="FP18" s="427">
        <f t="array" ref="FP18">IF(SUM((FO18=$FO$3:FO17)*1)=0,FO18,0)</f>
        <v>0</v>
      </c>
      <c r="FQ18" s="427"/>
      <c r="FR18" s="427"/>
      <c r="FS18" s="427">
        <f t="array" ref="FS18">IF(SUM((FR18=$FR$3:FR17)*1)=0,FR18,0)</f>
        <v>0</v>
      </c>
      <c r="FT18" s="427"/>
      <c r="FU18" s="427"/>
      <c r="FV18" s="427"/>
      <c r="FW18" s="427">
        <f t="array" ref="FW18">IF(SUM((FV18=$FV$3:FV17)*1)=0,FV18,0)</f>
        <v>0</v>
      </c>
      <c r="FX18" s="427"/>
      <c r="FY18" s="427"/>
      <c r="FZ18" s="427">
        <f t="array" ref="FZ18">IF(SUM((FY18=$FY$3:FY17)*1)=0,FY18,0)</f>
        <v>0</v>
      </c>
      <c r="GA18" s="427"/>
      <c r="GB18" s="427"/>
      <c r="GC18" s="427"/>
      <c r="GD18" s="427">
        <f t="array" ref="GD18">IF(SUM((GC18=$GC$3:GC17)*1)=0,GC18,0)</f>
        <v>0</v>
      </c>
      <c r="GE18" s="427"/>
      <c r="GF18" s="427"/>
      <c r="GG18" s="427">
        <f t="array" ref="GG18">IF(SUM((GF18=$GF$3:GF17)*1)=0,GF18,0)</f>
        <v>0</v>
      </c>
      <c r="GH18" s="427"/>
      <c r="GI18" s="427"/>
      <c r="GJ18" s="427"/>
      <c r="GK18" s="798">
        <f t="array" ref="GK18">IF(SUM((GJ18=$GJ$3:GJ17)*1)=0,GJ18,0)</f>
        <v>0</v>
      </c>
      <c r="GL18" s="427"/>
      <c r="GM18" s="427"/>
      <c r="GN18" s="798">
        <f t="array" ref="GN18">IF(SUM((GM18=$GM$3:GM17)*1)=0,GM18,0)</f>
        <v>0</v>
      </c>
      <c r="GO18" s="427"/>
      <c r="GP18" s="427"/>
      <c r="GQ18" s="427"/>
      <c r="GR18" s="798">
        <f t="array" ref="GR18">IF(SUM((GQ18=$GQ$3:GQ17)*1)=0,GQ18,0)</f>
        <v>0</v>
      </c>
      <c r="GS18" s="427"/>
      <c r="GT18" s="427"/>
      <c r="GU18" s="798">
        <f t="array" ref="GU18">IF(SUM((GT18=$GT$3:GT17)*1)=0,GT18,0)</f>
        <v>0</v>
      </c>
      <c r="GV18" s="427"/>
      <c r="GW18" s="427"/>
      <c r="GX18" s="427"/>
      <c r="GY18" s="798">
        <f t="array" ref="GY18">IF(SUM((GX18=$GX$3:GX17)*1)=0,GX18,0)</f>
        <v>0</v>
      </c>
      <c r="GZ18" s="427"/>
      <c r="HA18" s="427"/>
      <c r="HB18" s="798">
        <f t="array" ref="HB18">IF(SUM((HA18=$HA$3:HA17)*1)=0,HA18,0)</f>
        <v>0</v>
      </c>
      <c r="HC18" s="427"/>
      <c r="HD18" s="427"/>
      <c r="HE18" s="769" t="str">
        <f t="shared" si="130"/>
        <v/>
      </c>
      <c r="HF18" s="768" t="str">
        <f t="shared" si="54"/>
        <v/>
      </c>
      <c r="HG18" s="769" t="str">
        <f t="shared" si="131"/>
        <v/>
      </c>
      <c r="HH18" s="768" t="str">
        <f t="shared" si="55"/>
        <v/>
      </c>
      <c r="HI18" s="728" t="str">
        <f t="shared" si="132"/>
        <v/>
      </c>
      <c r="HJ18" s="768" t="str">
        <f t="shared" si="56"/>
        <v/>
      </c>
      <c r="HK18" s="728" t="str">
        <f t="shared" si="133"/>
        <v/>
      </c>
      <c r="HL18" s="768" t="str">
        <f t="shared" si="57"/>
        <v/>
      </c>
      <c r="HM18" s="769" t="str">
        <f t="shared" si="58"/>
        <v/>
      </c>
      <c r="HN18" s="768" t="str">
        <f t="shared" ref="HN18" si="238">IF(HM18&lt;0,"Invadiu REP-BA-C","")</f>
        <v/>
      </c>
      <c r="HO18" s="769" t="str">
        <f t="shared" si="60"/>
        <v/>
      </c>
      <c r="HP18" s="768" t="str">
        <f t="shared" si="61"/>
        <v/>
      </c>
      <c r="HQ18" s="728" t="str">
        <f t="shared" si="62"/>
        <v/>
      </c>
      <c r="HR18" s="768" t="str">
        <f t="shared" si="63"/>
        <v/>
      </c>
      <c r="HS18" s="728" t="str">
        <f t="shared" si="64"/>
        <v/>
      </c>
      <c r="HT18" s="768" t="str">
        <f t="shared" si="65"/>
        <v/>
      </c>
      <c r="HU18" s="769" t="str">
        <f t="shared" si="66"/>
        <v/>
      </c>
      <c r="HV18" s="768" t="str">
        <f t="shared" ref="HV18" si="239">IF(HU18&lt;0,"Invadiu REP-BA-C","")</f>
        <v/>
      </c>
      <c r="HW18" s="769" t="str">
        <f t="shared" si="68"/>
        <v/>
      </c>
      <c r="HX18" s="768" t="str">
        <f t="shared" si="69"/>
        <v/>
      </c>
      <c r="HY18" s="728" t="str">
        <f t="shared" si="70"/>
        <v/>
      </c>
      <c r="HZ18" s="768" t="str">
        <f t="shared" si="71"/>
        <v/>
      </c>
      <c r="IA18" s="728" t="str">
        <f t="shared" si="72"/>
        <v/>
      </c>
      <c r="IB18" s="768" t="str">
        <f t="shared" si="73"/>
        <v/>
      </c>
      <c r="IC18" s="769" t="str">
        <f t="shared" si="74"/>
        <v/>
      </c>
      <c r="ID18" s="768" t="str">
        <f t="shared" ref="ID18" si="240">IF(IC18&lt;0,"Invadiu REP-BA-C","")</f>
        <v/>
      </c>
      <c r="IE18" s="769" t="str">
        <f t="shared" si="76"/>
        <v/>
      </c>
      <c r="IF18" s="768" t="str">
        <f t="shared" si="77"/>
        <v/>
      </c>
      <c r="IG18" s="728" t="str">
        <f t="shared" si="78"/>
        <v/>
      </c>
      <c r="IH18" s="768" t="str">
        <f t="shared" si="79"/>
        <v/>
      </c>
      <c r="II18" s="728" t="str">
        <f t="shared" si="80"/>
        <v/>
      </c>
      <c r="IJ18" s="768" t="str">
        <f t="shared" si="81"/>
        <v/>
      </c>
      <c r="IK18" s="769" t="str">
        <f t="shared" si="82"/>
        <v/>
      </c>
      <c r="IL18" s="768" t="str">
        <f t="shared" ref="IL18" si="241">IF(IK18&lt;0,"Invadiu REP-BA-C","")</f>
        <v/>
      </c>
      <c r="IM18" s="769" t="str">
        <f t="shared" si="84"/>
        <v/>
      </c>
      <c r="IN18" s="768" t="str">
        <f t="shared" si="85"/>
        <v/>
      </c>
      <c r="IO18" s="728" t="str">
        <f t="shared" si="86"/>
        <v/>
      </c>
      <c r="IP18" s="768" t="str">
        <f t="shared" si="87"/>
        <v/>
      </c>
      <c r="IQ18" s="728" t="str">
        <f t="shared" si="88"/>
        <v/>
      </c>
      <c r="IR18" s="768" t="str">
        <f t="shared" si="89"/>
        <v/>
      </c>
      <c r="IS18" s="769" t="str">
        <f t="shared" si="90"/>
        <v/>
      </c>
      <c r="IT18" s="768" t="str">
        <f t="shared" ref="IT18" si="242">IF(IS18&lt;0,"Invadiu REP-BA-C","")</f>
        <v/>
      </c>
      <c r="IU18" s="769" t="str">
        <f t="shared" si="92"/>
        <v/>
      </c>
      <c r="IV18" s="768" t="str">
        <f t="shared" si="93"/>
        <v/>
      </c>
      <c r="IW18" s="728" t="str">
        <f t="shared" si="94"/>
        <v/>
      </c>
      <c r="IX18" s="768" t="str">
        <f t="shared" si="95"/>
        <v/>
      </c>
      <c r="IY18" s="728" t="str">
        <f t="shared" si="96"/>
        <v/>
      </c>
      <c r="IZ18" s="768" t="str">
        <f t="shared" si="97"/>
        <v/>
      </c>
      <c r="JA18" s="769" t="str">
        <f t="shared" si="98"/>
        <v/>
      </c>
      <c r="JB18" s="768" t="str">
        <f t="shared" ref="JB18" si="243">IF(JA18&lt;0,"Invadiu REP-BA-C","")</f>
        <v/>
      </c>
      <c r="JC18" s="769" t="str">
        <f t="shared" si="100"/>
        <v/>
      </c>
      <c r="JD18" s="768" t="str">
        <f t="shared" si="101"/>
        <v/>
      </c>
      <c r="JE18" s="728" t="str">
        <f t="shared" si="102"/>
        <v/>
      </c>
      <c r="JF18" s="768" t="str">
        <f t="shared" si="103"/>
        <v/>
      </c>
      <c r="JG18" s="728" t="str">
        <f t="shared" si="104"/>
        <v/>
      </c>
      <c r="JH18" s="768" t="str">
        <f t="shared" si="105"/>
        <v/>
      </c>
      <c r="JI18" s="769" t="str">
        <f t="shared" si="106"/>
        <v/>
      </c>
      <c r="JJ18" s="768" t="str">
        <f t="shared" ref="JJ18" si="244">IF(JI18&lt;0,"Invadiu REP-BA-C","")</f>
        <v/>
      </c>
      <c r="JK18" s="769" t="str">
        <f t="shared" si="108"/>
        <v/>
      </c>
      <c r="JL18" s="768" t="str">
        <f t="shared" si="109"/>
        <v/>
      </c>
      <c r="JM18" s="728" t="str">
        <f t="shared" si="110"/>
        <v/>
      </c>
      <c r="JN18" s="768" t="str">
        <f t="shared" si="111"/>
        <v/>
      </c>
      <c r="JO18" s="728" t="str">
        <f t="shared" si="112"/>
        <v/>
      </c>
      <c r="JP18" s="768" t="str">
        <f t="shared" si="113"/>
        <v/>
      </c>
      <c r="JQ18" s="769" t="str">
        <f t="shared" si="114"/>
        <v/>
      </c>
      <c r="JR18" s="768" t="str">
        <f t="shared" ref="JR18" si="245">IF(JQ18&lt;0,"Invadiu REP-BA-C","")</f>
        <v/>
      </c>
      <c r="JS18" s="769" t="str">
        <f t="shared" si="116"/>
        <v/>
      </c>
      <c r="JT18" s="768" t="str">
        <f t="shared" si="117"/>
        <v/>
      </c>
      <c r="JU18" s="728" t="str">
        <f t="shared" si="118"/>
        <v/>
      </c>
      <c r="JV18" s="768" t="str">
        <f t="shared" si="119"/>
        <v/>
      </c>
      <c r="JW18" s="728" t="str">
        <f t="shared" si="120"/>
        <v/>
      </c>
      <c r="JX18" s="768" t="str">
        <f t="shared" si="121"/>
        <v/>
      </c>
      <c r="JY18" s="768" t="str">
        <f t="shared" si="122"/>
        <v/>
      </c>
      <c r="JZ18" s="485" t="str">
        <f>IF(JY18="","",IF(AND(C18=$C$164,JY18&lt;&gt;""),Verificarcpf(D18),IF(AND(C18=$C$165,JY18&lt;&gt;""),VerificarCNPJ(D18))))</f>
        <v/>
      </c>
      <c r="KA18" s="768" t="str">
        <f t="shared" si="123"/>
        <v/>
      </c>
      <c r="KB18" s="485">
        <f t="shared" si="124"/>
        <v>0</v>
      </c>
      <c r="KC18" s="768">
        <f t="shared" si="125"/>
        <v>0</v>
      </c>
      <c r="KD18" s="485">
        <f t="shared" si="126"/>
        <v>0</v>
      </c>
      <c r="KE18" s="448"/>
      <c r="KF18" s="548">
        <f t="shared" si="127"/>
        <v>0</v>
      </c>
      <c r="KG18" s="548" t="s">
        <v>482</v>
      </c>
      <c r="KH18" s="548"/>
      <c r="KI18" s="548"/>
      <c r="KJ18" s="548" t="str">
        <f t="shared" si="128"/>
        <v/>
      </c>
      <c r="KK18" s="548"/>
      <c r="KL18" s="548"/>
      <c r="KM18" s="548">
        <f t="array" ref="KM18">IF(SUM((KL18=$KL$3:KL17)*1)=0,KL18,0)</f>
        <v>0</v>
      </c>
      <c r="KN18" s="548"/>
      <c r="KO18" s="548"/>
      <c r="KP18" s="548"/>
      <c r="KQ18" s="548"/>
      <c r="KR18" s="548" t="str">
        <f t="shared" si="129"/>
        <v/>
      </c>
      <c r="KS18" s="548"/>
      <c r="KT18" s="548"/>
      <c r="KU18" s="548"/>
      <c r="KV18" s="548"/>
      <c r="KW18" s="548"/>
      <c r="KX18" s="548"/>
      <c r="KY18" s="548"/>
      <c r="KZ18" s="548"/>
      <c r="LA18" s="548"/>
      <c r="LB18" s="548"/>
      <c r="LC18" s="485" t="str">
        <f t="shared" si="142"/>
        <v/>
      </c>
      <c r="LD18" s="548"/>
      <c r="LE18" s="548"/>
      <c r="LF18" s="548"/>
      <c r="LG18" s="548"/>
      <c r="LH18" s="548"/>
      <c r="LI18" s="548"/>
      <c r="LJ18" s="548"/>
      <c r="LK18" s="548"/>
      <c r="LL18" s="548"/>
      <c r="LM18" s="548"/>
      <c r="LN18" s="548"/>
      <c r="LO18" s="548"/>
      <c r="LP18" s="485" t="str">
        <f t="shared" si="143"/>
        <v/>
      </c>
      <c r="LQ18" s="548"/>
      <c r="LR18" s="548"/>
      <c r="LS18" s="548"/>
      <c r="LT18" s="548"/>
      <c r="LU18" s="548"/>
      <c r="LV18" s="548"/>
      <c r="LW18" s="548"/>
      <c r="LX18" s="548"/>
      <c r="LY18" s="548"/>
      <c r="LZ18" s="548"/>
      <c r="MA18" s="548"/>
      <c r="MB18" s="548"/>
      <c r="MC18" s="485" t="str">
        <f t="shared" si="144"/>
        <v/>
      </c>
      <c r="MD18" s="548"/>
      <c r="ME18" s="548"/>
      <c r="MF18" s="548"/>
      <c r="MG18" s="548"/>
      <c r="MH18" s="548"/>
      <c r="MI18" s="548"/>
      <c r="MJ18" s="548"/>
      <c r="MK18" s="548"/>
      <c r="ML18" s="548"/>
      <c r="MM18" s="548"/>
      <c r="MN18" s="548"/>
      <c r="MO18" s="548"/>
      <c r="MP18" s="485" t="str">
        <f t="shared" si="145"/>
        <v/>
      </c>
      <c r="MQ18" s="548"/>
      <c r="MR18" s="548"/>
      <c r="MS18" s="548"/>
      <c r="MT18" s="548"/>
      <c r="MU18" s="548"/>
      <c r="MV18" s="548"/>
      <c r="MW18" s="548"/>
      <c r="MX18" s="548"/>
      <c r="MY18" s="548"/>
      <c r="MZ18" s="548"/>
      <c r="NA18" s="548"/>
      <c r="NB18" s="548"/>
      <c r="NC18" s="485" t="str">
        <f t="shared" si="146"/>
        <v/>
      </c>
      <c r="ND18" s="548"/>
      <c r="NE18" s="548"/>
      <c r="NF18" s="548"/>
      <c r="NG18" s="548"/>
      <c r="NH18" s="548"/>
      <c r="NI18" s="548"/>
      <c r="NJ18" s="548"/>
      <c r="NK18" s="548"/>
      <c r="NL18" s="548"/>
      <c r="NM18" s="548"/>
      <c r="NN18" s="548"/>
      <c r="NO18" s="548"/>
      <c r="NP18" s="485" t="str">
        <f t="shared" si="147"/>
        <v/>
      </c>
      <c r="NQ18" s="548"/>
      <c r="NR18" s="548"/>
      <c r="NS18" s="548"/>
      <c r="NT18" s="548"/>
      <c r="NU18" s="548"/>
      <c r="NV18" s="548"/>
      <c r="NW18" s="548"/>
      <c r="NX18" s="548"/>
      <c r="NY18" s="548"/>
      <c r="NZ18" s="548"/>
      <c r="OA18" s="548"/>
      <c r="OB18" s="548"/>
      <c r="OC18" s="485" t="str">
        <f t="shared" si="148"/>
        <v/>
      </c>
      <c r="OD18" s="548"/>
      <c r="OE18" s="548"/>
      <c r="OF18" s="548"/>
      <c r="OG18" s="548"/>
      <c r="OH18" s="548"/>
      <c r="OI18" s="548"/>
      <c r="OJ18" s="548"/>
      <c r="OK18" s="548"/>
      <c r="OL18" s="548"/>
      <c r="OM18" s="548"/>
      <c r="ON18" s="548"/>
      <c r="OO18" s="548"/>
      <c r="OP18" s="548"/>
      <c r="OQ18" s="548"/>
      <c r="OR18" s="548"/>
      <c r="OS18" s="548"/>
      <c r="OT18" s="548"/>
      <c r="OU18" s="548"/>
      <c r="OV18" s="548"/>
      <c r="OW18" s="548"/>
      <c r="OX18" s="548"/>
      <c r="OY18" s="548"/>
      <c r="OZ18" s="548"/>
      <c r="PA18" s="548"/>
      <c r="PB18" s="548"/>
      <c r="PC18" s="548"/>
      <c r="PD18" s="548"/>
      <c r="PE18" s="548"/>
      <c r="PF18" s="548"/>
      <c r="PG18" s="548"/>
      <c r="PH18" s="548"/>
      <c r="PI18" s="548"/>
      <c r="PJ18" s="548"/>
      <c r="PK18" s="548"/>
      <c r="PL18" s="548"/>
      <c r="PM18" s="548"/>
      <c r="PN18" s="548"/>
      <c r="PO18" s="548"/>
      <c r="PP18" s="548"/>
      <c r="PQ18" s="548"/>
      <c r="PR18" s="548"/>
      <c r="PS18" s="548"/>
      <c r="PT18" s="548"/>
      <c r="PU18" s="548"/>
      <c r="PV18" s="548"/>
      <c r="PW18" s="548"/>
      <c r="PX18" s="548"/>
      <c r="PY18" s="548"/>
      <c r="PZ18" s="548"/>
      <c r="QA18" s="548"/>
      <c r="QB18" s="548"/>
      <c r="QC18" s="548"/>
      <c r="QD18" s="548"/>
      <c r="QE18" s="548"/>
      <c r="QF18" s="548"/>
      <c r="QG18" s="548"/>
      <c r="QH18" s="548"/>
      <c r="QI18" s="548"/>
      <c r="QJ18" s="548"/>
      <c r="QK18" s="548"/>
      <c r="QL18" s="548"/>
      <c r="QM18" s="548"/>
      <c r="QN18" s="548"/>
      <c r="QO18" s="548"/>
      <c r="QP18" s="548"/>
      <c r="QQ18" s="1009"/>
      <c r="QR18" s="548"/>
      <c r="QS18" s="548"/>
      <c r="QT18" s="548"/>
      <c r="QU18" s="548"/>
      <c r="QV18" s="548"/>
      <c r="QW18" s="548"/>
      <c r="QX18" s="548"/>
      <c r="QY18" s="548"/>
      <c r="QZ18" s="548"/>
      <c r="RA18" s="548"/>
      <c r="RB18" s="548"/>
      <c r="RC18" s="548"/>
      <c r="RD18" s="548"/>
      <c r="RE18" s="548"/>
      <c r="RF18" s="548"/>
      <c r="RG18" s="548"/>
      <c r="RH18" s="548"/>
      <c r="RI18" s="548"/>
      <c r="RJ18" s="548"/>
      <c r="RK18" s="548"/>
      <c r="RL18" s="548"/>
      <c r="RM18" s="548"/>
      <c r="RN18" s="548"/>
      <c r="RO18" s="548"/>
      <c r="RP18" s="548"/>
      <c r="RQ18" s="548"/>
      <c r="RR18" s="548"/>
      <c r="RS18" s="548"/>
      <c r="RT18" s="548"/>
      <c r="RU18" s="548"/>
      <c r="RV18" s="548"/>
      <c r="RW18" s="548"/>
      <c r="RX18" s="548"/>
      <c r="RY18" s="548"/>
      <c r="RZ18" s="548"/>
      <c r="SA18" s="548"/>
      <c r="SB18" s="548"/>
      <c r="SC18" s="548"/>
      <c r="SD18" s="548"/>
      <c r="SE18" s="548"/>
      <c r="SF18" s="548"/>
      <c r="SG18" s="548"/>
      <c r="SH18" s="548"/>
      <c r="SI18" s="548"/>
      <c r="SJ18" s="548"/>
      <c r="SK18" s="548"/>
      <c r="SL18" s="548"/>
      <c r="SM18" s="548"/>
      <c r="SN18" s="548"/>
      <c r="SO18" s="548"/>
      <c r="SP18" s="548"/>
      <c r="SQ18" s="548"/>
      <c r="SR18" s="548"/>
      <c r="SS18" s="548"/>
      <c r="ST18" s="548"/>
      <c r="SU18" s="548"/>
      <c r="SV18" s="548"/>
      <c r="SW18" s="548"/>
      <c r="SX18" s="548"/>
      <c r="SY18" s="548"/>
      <c r="SZ18" s="548"/>
      <c r="TA18" s="548"/>
      <c r="TB18" s="548"/>
      <c r="TC18" s="548"/>
      <c r="TD18" s="548"/>
      <c r="TE18" s="548"/>
      <c r="TF18" s="548"/>
      <c r="TG18" s="548"/>
      <c r="TH18" s="548"/>
      <c r="TI18" s="548"/>
      <c r="TJ18" s="548"/>
      <c r="TK18" s="548"/>
      <c r="TL18" s="548"/>
      <c r="TM18" s="548"/>
      <c r="TN18" s="548"/>
      <c r="TO18" s="548"/>
      <c r="TP18" s="548"/>
      <c r="TQ18" s="548"/>
      <c r="TR18" s="548"/>
      <c r="TS18" s="548"/>
      <c r="TT18" s="548"/>
      <c r="TU18" s="548"/>
      <c r="TV18" s="548"/>
      <c r="TW18" s="548"/>
      <c r="TX18" s="548"/>
      <c r="TY18" s="548"/>
      <c r="TZ18" s="548"/>
      <c r="UA18" s="548"/>
      <c r="UB18" s="548"/>
      <c r="UC18" s="548"/>
      <c r="UD18" s="548"/>
      <c r="UE18" s="548"/>
      <c r="UF18" s="548"/>
      <c r="UG18" s="548"/>
      <c r="UH18" s="548"/>
      <c r="UI18" s="548"/>
      <c r="UJ18" s="548"/>
      <c r="UK18" s="548"/>
      <c r="UL18" s="548"/>
      <c r="UM18" s="548"/>
      <c r="UN18" s="548"/>
      <c r="UO18" s="548"/>
      <c r="UP18" s="548"/>
      <c r="UQ18" s="548"/>
      <c r="UR18" s="548"/>
      <c r="US18" s="548"/>
      <c r="UT18" s="548"/>
      <c r="UU18" s="548"/>
      <c r="UV18" s="548"/>
      <c r="UW18" s="548"/>
      <c r="UX18" s="548"/>
      <c r="UY18" s="548"/>
      <c r="UZ18" s="548"/>
      <c r="VA18" s="548"/>
      <c r="VB18" s="548"/>
      <c r="VC18" s="548"/>
      <c r="VD18" s="548"/>
      <c r="VE18" s="548"/>
      <c r="VF18" s="548"/>
      <c r="VG18" s="548"/>
      <c r="VH18" s="548"/>
      <c r="VI18" s="548"/>
      <c r="VJ18" s="548"/>
      <c r="VK18" s="548"/>
      <c r="VL18" s="548"/>
      <c r="VM18" s="548"/>
      <c r="VN18" s="548"/>
      <c r="VO18" s="548"/>
      <c r="VP18" s="548"/>
      <c r="VQ18" s="548"/>
      <c r="VR18" s="548"/>
      <c r="VS18" s="548"/>
      <c r="VT18" s="548"/>
      <c r="VU18" s="548"/>
      <c r="VV18" s="548"/>
      <c r="VW18" s="548"/>
      <c r="VX18" s="548"/>
      <c r="VY18" s="548"/>
      <c r="VZ18" s="548"/>
      <c r="WA18" s="548"/>
      <c r="WB18" s="548"/>
      <c r="WC18" s="548"/>
      <c r="WD18" s="548"/>
      <c r="WE18" s="548"/>
      <c r="WF18" s="548"/>
      <c r="WG18" s="548"/>
      <c r="WH18" s="548"/>
      <c r="WI18" s="548"/>
      <c r="WJ18" s="548"/>
      <c r="WK18" s="548"/>
      <c r="WL18" s="548"/>
      <c r="WM18" s="548"/>
      <c r="WN18" s="548"/>
      <c r="WO18" s="548"/>
      <c r="WP18" s="548"/>
      <c r="WQ18" s="548"/>
      <c r="WR18" s="548"/>
      <c r="WS18" s="548"/>
      <c r="WT18" s="548"/>
      <c r="WU18" s="548"/>
      <c r="WV18" s="548"/>
      <c r="WW18" s="548"/>
      <c r="WX18" s="548"/>
      <c r="WY18" s="548"/>
      <c r="WZ18" s="548"/>
      <c r="XA18" s="548"/>
      <c r="XB18" s="548"/>
      <c r="XC18" s="548"/>
      <c r="XD18" s="548"/>
      <c r="XE18" s="548"/>
      <c r="XF18" s="548"/>
      <c r="XG18" s="548"/>
      <c r="XH18" s="548"/>
      <c r="XI18" s="548"/>
      <c r="XJ18" s="548"/>
      <c r="XK18" s="548"/>
      <c r="XL18" s="548"/>
      <c r="XM18" s="548"/>
      <c r="XN18" s="548"/>
      <c r="XO18" s="548"/>
      <c r="XP18" s="548"/>
      <c r="XQ18" s="548"/>
      <c r="XR18" s="548"/>
      <c r="XS18" s="548"/>
      <c r="XT18" s="548"/>
      <c r="XU18" s="548"/>
      <c r="XV18" s="548"/>
      <c r="XW18" s="548"/>
      <c r="XX18" s="548"/>
      <c r="XY18" s="548"/>
      <c r="XZ18" s="548"/>
      <c r="YA18" s="548"/>
      <c r="YB18" s="548"/>
      <c r="YC18" s="548"/>
      <c r="YD18" s="548"/>
      <c r="YE18" s="548"/>
      <c r="YF18" s="548"/>
      <c r="YG18" s="548"/>
      <c r="YH18" s="548"/>
      <c r="YI18" s="548"/>
      <c r="YJ18" s="548"/>
      <c r="YK18" s="548"/>
      <c r="YL18" s="548"/>
      <c r="YM18" s="548"/>
      <c r="YN18" s="548"/>
      <c r="YO18" s="548"/>
      <c r="YP18" s="548"/>
      <c r="YQ18" s="548"/>
      <c r="YR18" s="548"/>
      <c r="YS18" s="548"/>
      <c r="YT18" s="548"/>
      <c r="YU18" s="548"/>
      <c r="YV18" s="548"/>
      <c r="YW18" s="548"/>
      <c r="YX18" s="548"/>
      <c r="YY18" s="548"/>
      <c r="YZ18" s="548"/>
      <c r="ZA18" s="548"/>
      <c r="ZB18" s="548"/>
      <c r="ZC18" s="548"/>
      <c r="ZD18" s="548"/>
      <c r="ZE18" s="548"/>
      <c r="ZF18" s="548"/>
      <c r="ZG18" s="548"/>
      <c r="ZH18" s="548"/>
      <c r="ZI18" s="548"/>
      <c r="ZJ18" s="548"/>
      <c r="ZK18" s="548"/>
      <c r="ZL18" s="548"/>
      <c r="ZM18" s="548"/>
      <c r="ZN18" s="548"/>
      <c r="ZO18" s="548"/>
      <c r="ZP18" s="548"/>
      <c r="ZQ18" s="548"/>
      <c r="ZR18" s="548"/>
      <c r="ZS18" s="548"/>
      <c r="ZT18" s="548"/>
      <c r="ZU18" s="548"/>
      <c r="ZV18" s="548"/>
      <c r="ZW18" s="548"/>
      <c r="ZX18" s="548"/>
      <c r="ZY18" s="548"/>
      <c r="ZZ18" s="548"/>
      <c r="AAA18" s="548"/>
      <c r="AAB18" s="548"/>
      <c r="AAC18" s="548"/>
      <c r="AAD18" s="548"/>
      <c r="AAE18" s="548"/>
      <c r="AAF18" s="548"/>
      <c r="AAG18" s="548"/>
      <c r="AAH18" s="548"/>
      <c r="AAI18" s="548"/>
      <c r="AAJ18" s="548"/>
      <c r="AAK18" s="548"/>
      <c r="AAL18" s="548"/>
      <c r="AAM18" s="548"/>
      <c r="AAN18" s="548"/>
      <c r="AAO18" s="548"/>
      <c r="AAP18" s="548"/>
      <c r="AAQ18" s="548"/>
      <c r="AAR18" s="548"/>
      <c r="AAS18" s="548"/>
      <c r="AAT18" s="548"/>
      <c r="AAU18" s="548"/>
      <c r="AAV18" s="548"/>
      <c r="AAW18" s="548"/>
      <c r="AAX18" s="548"/>
      <c r="AAY18" s="548"/>
      <c r="AAZ18" s="548"/>
      <c r="ABA18" s="548"/>
      <c r="ABB18" s="548"/>
      <c r="ABC18" s="548"/>
      <c r="ABD18" s="548"/>
      <c r="ABE18" s="548"/>
      <c r="ABF18" s="548"/>
      <c r="ABG18" s="548"/>
      <c r="ABH18" s="548"/>
      <c r="ABI18" s="548"/>
      <c r="ABJ18" s="548"/>
      <c r="ABK18" s="548"/>
      <c r="ABL18" s="548"/>
      <c r="ABM18" s="548"/>
      <c r="ABN18" s="548"/>
      <c r="ABO18" s="548"/>
      <c r="ABP18" s="548"/>
      <c r="ABQ18" s="548"/>
      <c r="ABR18" s="548"/>
      <c r="ABS18" s="548"/>
    </row>
    <row r="19" spans="1:747" customFormat="1" ht="15" customHeight="1" thickBot="1" x14ac:dyDescent="0.25">
      <c r="A19" s="424" t="str">
        <f t="shared" si="149"/>
        <v/>
      </c>
      <c r="B19" s="436"/>
      <c r="C19" s="525"/>
      <c r="D19" s="823"/>
      <c r="E19" s="416" t="str">
        <f t="shared" si="0"/>
        <v/>
      </c>
      <c r="F19" s="527" t="str">
        <f t="shared" si="1"/>
        <v/>
      </c>
      <c r="G19" s="417"/>
      <c r="H19" s="583" t="str">
        <f t="shared" si="2"/>
        <v/>
      </c>
      <c r="I19" s="424"/>
      <c r="J19" s="419"/>
      <c r="K19" s="418"/>
      <c r="L19" s="419"/>
      <c r="M19" s="436"/>
      <c r="N19" s="420"/>
      <c r="O19" s="653"/>
      <c r="P19" s="561"/>
      <c r="Q19" s="422"/>
      <c r="R19" s="561" t="str">
        <f t="shared" si="3"/>
        <v/>
      </c>
      <c r="S19" s="664"/>
      <c r="T19" s="663"/>
      <c r="U19" s="580">
        <f t="shared" si="4"/>
        <v>0</v>
      </c>
      <c r="V19" s="418"/>
      <c r="W19" s="582" t="str">
        <f t="shared" si="5"/>
        <v/>
      </c>
      <c r="X19" s="317" t="str">
        <f t="shared" si="6"/>
        <v/>
      </c>
      <c r="Y19" s="582" t="str">
        <f t="shared" si="7"/>
        <v/>
      </c>
      <c r="Z19" s="317" t="str">
        <f t="shared" si="8"/>
        <v/>
      </c>
      <c r="AA19" s="317" t="str">
        <f t="shared" si="9"/>
        <v/>
      </c>
      <c r="AB19" s="317">
        <f t="shared" si="10"/>
        <v>0</v>
      </c>
      <c r="AC19" s="317" t="str">
        <f t="shared" si="11"/>
        <v/>
      </c>
      <c r="AD19" s="317"/>
      <c r="AE19" s="479"/>
      <c r="AF19" s="479"/>
      <c r="AG19" s="423"/>
      <c r="AH19" s="820"/>
      <c r="AI19" s="480"/>
      <c r="AJ19" s="660"/>
      <c r="AK19" s="524" t="str">
        <f t="shared" si="12"/>
        <v/>
      </c>
      <c r="AL19" s="748" t="str">
        <f>IF(Dados!$E$3="","",($HE$2+$HG$2)-$AL$18)</f>
        <v/>
      </c>
      <c r="AM19" s="753" t="str">
        <f>IF(Dados!$E$3="","",($HI$2+$HK$2)-$AM$18)</f>
        <v/>
      </c>
      <c r="AN19" s="435">
        <f t="shared" si="13"/>
        <v>0</v>
      </c>
      <c r="AO19" s="414" t="str">
        <f t="shared" si="37"/>
        <v/>
      </c>
      <c r="AP19" s="435" t="str">
        <f t="shared" si="14"/>
        <v/>
      </c>
      <c r="AQ19" s="426"/>
      <c r="AR19" s="426"/>
      <c r="AS19" s="428"/>
      <c r="AT19" s="429"/>
      <c r="AU19" s="430"/>
      <c r="AV19" s="431"/>
      <c r="AW19" s="432"/>
      <c r="AX19" s="488"/>
      <c r="AY19" s="489">
        <f t="shared" si="15"/>
        <v>0</v>
      </c>
      <c r="AZ19" s="435"/>
      <c r="BA19" s="435" t="str">
        <f t="shared" si="16"/>
        <v/>
      </c>
      <c r="BB19" s="435"/>
      <c r="BC19" s="435"/>
      <c r="BD19" s="435">
        <f t="array" ref="BD19">IF(SUM((BC19=$BC$3:BC18)*1)=0,BC19,0)</f>
        <v>0</v>
      </c>
      <c r="BE19" s="435"/>
      <c r="BF19" s="435"/>
      <c r="BG19" s="435">
        <f t="array" ref="BG19">IF(SUM((BF19=$BF$3:BF18)*1)=0,BF19,0)</f>
        <v>0</v>
      </c>
      <c r="BH19" s="435"/>
      <c r="BI19" s="435"/>
      <c r="BJ19" s="435"/>
      <c r="BK19" s="435"/>
      <c r="BL19" s="435"/>
      <c r="BM19" s="435"/>
      <c r="BN19" s="435"/>
      <c r="BO19" s="426"/>
      <c r="BP19" s="491">
        <f t="shared" si="17"/>
        <v>0</v>
      </c>
      <c r="BQ19" s="426"/>
      <c r="BR19" s="434"/>
      <c r="BS19" s="426"/>
      <c r="BT19" s="433"/>
      <c r="BU19" s="435"/>
      <c r="BV19" s="435" t="str">
        <f t="shared" si="18"/>
        <v/>
      </c>
      <c r="BW19" s="435" t="str">
        <f t="shared" si="38"/>
        <v/>
      </c>
      <c r="BX19" s="485"/>
      <c r="BY19" s="485"/>
      <c r="BZ19" s="485"/>
      <c r="CA19" s="485"/>
      <c r="CB19" s="485"/>
      <c r="CC19" s="485"/>
      <c r="CD19" s="485"/>
      <c r="CE19" s="485"/>
      <c r="CF19" s="485"/>
      <c r="CG19" s="485"/>
      <c r="CH19" s="485"/>
      <c r="CI19" s="485"/>
      <c r="CJ19" s="426" t="str">
        <f t="shared" si="39"/>
        <v/>
      </c>
      <c r="CK19" s="435"/>
      <c r="CL19" s="426"/>
      <c r="CM19" s="435"/>
      <c r="CN19" s="426"/>
      <c r="CO19" s="426"/>
      <c r="CP19" s="426"/>
      <c r="CQ19" s="426"/>
      <c r="CR19" s="426"/>
      <c r="CS19" s="426"/>
      <c r="CT19" s="426"/>
      <c r="CU19" s="426"/>
      <c r="CV19" s="426"/>
      <c r="CW19" s="435"/>
      <c r="CX19" s="435"/>
      <c r="CY19" s="426">
        <v>16</v>
      </c>
      <c r="CZ19" s="435"/>
      <c r="DA19" s="435"/>
      <c r="DB19" s="435"/>
      <c r="DC19" s="426" t="s">
        <v>759</v>
      </c>
      <c r="DD19" s="426" t="s">
        <v>919</v>
      </c>
      <c r="DE19" s="435" t="str">
        <f t="shared" si="40"/>
        <v/>
      </c>
      <c r="DF19" s="435" t="str">
        <f t="shared" si="41"/>
        <v/>
      </c>
      <c r="DG19" s="435" t="str">
        <f t="shared" si="42"/>
        <v/>
      </c>
      <c r="DH19" s="435" t="str">
        <f t="shared" si="43"/>
        <v/>
      </c>
      <c r="DI19" s="435" t="str">
        <f t="shared" si="44"/>
        <v/>
      </c>
      <c r="DJ19" s="435" t="str">
        <f t="shared" si="45"/>
        <v/>
      </c>
      <c r="DK19" s="435" t="str">
        <f t="shared" si="19"/>
        <v/>
      </c>
      <c r="DL19" s="435" t="str">
        <f t="shared" si="20"/>
        <v/>
      </c>
      <c r="DM19" s="435" t="str">
        <f t="shared" si="46"/>
        <v/>
      </c>
      <c r="DN19" s="435" t="str">
        <f t="shared" si="47"/>
        <v/>
      </c>
      <c r="DO19" s="435" t="str">
        <f t="shared" si="21"/>
        <v/>
      </c>
      <c r="DP19" s="435" t="str">
        <f t="shared" si="22"/>
        <v/>
      </c>
      <c r="DQ19" s="435" t="str">
        <f t="shared" si="48"/>
        <v/>
      </c>
      <c r="DR19" s="435" t="str">
        <f t="shared" si="49"/>
        <v/>
      </c>
      <c r="DS19" s="435" t="str">
        <f t="shared" si="23"/>
        <v/>
      </c>
      <c r="DT19" s="435" t="str">
        <f t="shared" si="24"/>
        <v/>
      </c>
      <c r="DU19" s="435" t="str">
        <f t="shared" si="50"/>
        <v/>
      </c>
      <c r="DV19" s="435" t="str">
        <f t="shared" si="51"/>
        <v/>
      </c>
      <c r="DW19" s="435" t="str">
        <f t="shared" si="25"/>
        <v/>
      </c>
      <c r="DX19" s="435" t="str">
        <f t="shared" si="26"/>
        <v/>
      </c>
      <c r="DY19" s="435" t="str">
        <f t="shared" si="52"/>
        <v/>
      </c>
      <c r="DZ19" s="435" t="str">
        <f t="shared" si="53"/>
        <v/>
      </c>
      <c r="EA19" s="435" t="str">
        <f t="shared" si="27"/>
        <v/>
      </c>
      <c r="EB19" s="435" t="str">
        <f t="shared" si="28"/>
        <v/>
      </c>
      <c r="EC19" s="435" t="str">
        <f t="shared" si="29"/>
        <v/>
      </c>
      <c r="ED19" s="435" t="str">
        <f t="shared" si="30"/>
        <v/>
      </c>
      <c r="EE19" s="435" t="str">
        <f t="shared" si="31"/>
        <v/>
      </c>
      <c r="EF19" s="435" t="str">
        <f t="shared" si="32"/>
        <v/>
      </c>
      <c r="EG19" s="435" t="str">
        <f t="shared" si="33"/>
        <v/>
      </c>
      <c r="EH19" s="435" t="str">
        <f t="shared" si="34"/>
        <v/>
      </c>
      <c r="EI19" s="435" t="str">
        <f t="shared" si="35"/>
        <v/>
      </c>
      <c r="EJ19" s="435" t="str">
        <f t="shared" si="36"/>
        <v/>
      </c>
      <c r="EK19" s="485"/>
      <c r="EL19" s="485"/>
      <c r="EM19" s="485"/>
      <c r="EN19" s="485"/>
      <c r="EO19" s="448"/>
      <c r="EP19" s="448"/>
      <c r="EQ19" s="448"/>
      <c r="ER19" s="448"/>
      <c r="ES19" s="448"/>
      <c r="ET19" s="435"/>
      <c r="EU19" s="435"/>
      <c r="EV19" s="435"/>
      <c r="EW19" s="435"/>
      <c r="EX19" s="426"/>
      <c r="EY19" s="426"/>
      <c r="EZ19" s="426"/>
      <c r="FA19" s="414"/>
      <c r="FB19" s="427">
        <f t="array" ref="FB19">IF(SUM((FA19=$FA$3:FA18)*1)=0,FA19,0)</f>
        <v>0</v>
      </c>
      <c r="FC19" s="414"/>
      <c r="FD19" s="414"/>
      <c r="FE19" s="414">
        <f t="array" ref="FE19">IF(SUM((FD19=$FD$3:FD18)*1)=0,FD19,0)</f>
        <v>0</v>
      </c>
      <c r="FF19" s="414"/>
      <c r="FG19" s="414"/>
      <c r="FH19" s="414"/>
      <c r="FI19" s="427">
        <f t="array" ref="FI19">IF(SUM((FH19=$FH$3:FH18)*1)=0,FH19,0)</f>
        <v>0</v>
      </c>
      <c r="FJ19" s="414"/>
      <c r="FK19" s="414"/>
      <c r="FL19" s="414">
        <f t="array" ref="FL19">IF(SUM((FK19=$FK$3:FK18)*1)=0,FK19,0)</f>
        <v>0</v>
      </c>
      <c r="FM19" s="414"/>
      <c r="FN19" s="414"/>
      <c r="FO19" s="414"/>
      <c r="FP19" s="427">
        <f t="array" ref="FP19">IF(SUM((FO19=$FO$3:FO18)*1)=0,FO19,0)</f>
        <v>0</v>
      </c>
      <c r="FQ19" s="414"/>
      <c r="FR19" s="414"/>
      <c r="FS19" s="414">
        <f t="array" ref="FS19">IF(SUM((FR19=$FR$3:FR18)*1)=0,FR19,0)</f>
        <v>0</v>
      </c>
      <c r="FT19" s="414"/>
      <c r="FU19" s="414"/>
      <c r="FV19" s="414"/>
      <c r="FW19" s="427">
        <f t="array" ref="FW19">IF(SUM((FV19=$FV$3:FV18)*1)=0,FV19,0)</f>
        <v>0</v>
      </c>
      <c r="FX19" s="414"/>
      <c r="FY19" s="414"/>
      <c r="FZ19" s="414">
        <f t="array" ref="FZ19">IF(SUM((FY19=$FY$3:FY18)*1)=0,FY19,0)</f>
        <v>0</v>
      </c>
      <c r="GA19" s="414"/>
      <c r="GB19" s="414"/>
      <c r="GC19" s="414"/>
      <c r="GD19" s="427">
        <f t="array" ref="GD19">IF(SUM((GC19=$GC$3:GC18)*1)=0,GC19,0)</f>
        <v>0</v>
      </c>
      <c r="GE19" s="414"/>
      <c r="GF19" s="414"/>
      <c r="GG19" s="414">
        <f t="array" ref="GG19">IF(SUM((GF19=$GF$3:GF18)*1)=0,GF19,0)</f>
        <v>0</v>
      </c>
      <c r="GH19" s="414"/>
      <c r="GI19" s="414"/>
      <c r="GJ19" s="414"/>
      <c r="GK19" s="798">
        <f t="array" ref="GK19">IF(SUM((GJ19=$GJ$3:GJ18)*1)=0,GJ19,0)</f>
        <v>0</v>
      </c>
      <c r="GL19" s="414"/>
      <c r="GM19" s="414"/>
      <c r="GN19" s="798">
        <f t="array" ref="GN19">IF(SUM((GM19=$GM$3:GM18)*1)=0,GM19,0)</f>
        <v>0</v>
      </c>
      <c r="GO19" s="414"/>
      <c r="GP19" s="414"/>
      <c r="GQ19" s="414"/>
      <c r="GR19" s="798">
        <f t="array" ref="GR19">IF(SUM((GQ19=$GQ$3:GQ18)*1)=0,GQ19,0)</f>
        <v>0</v>
      </c>
      <c r="GS19" s="414"/>
      <c r="GT19" s="414"/>
      <c r="GU19" s="798">
        <f t="array" ref="GU19">IF(SUM((GT19=$GT$3:GT18)*1)=0,GT19,0)</f>
        <v>0</v>
      </c>
      <c r="GV19" s="414"/>
      <c r="GW19" s="414"/>
      <c r="GX19" s="414"/>
      <c r="GY19" s="798">
        <f t="array" ref="GY19">IF(SUM((GX19=$GX$3:GX18)*1)=0,GX19,0)</f>
        <v>0</v>
      </c>
      <c r="GZ19" s="414"/>
      <c r="HA19" s="414"/>
      <c r="HB19" s="798">
        <f t="array" ref="HB19">IF(SUM((HA19=$HA$3:HA18)*1)=0,HA19,0)</f>
        <v>0</v>
      </c>
      <c r="HC19" s="414"/>
      <c r="HD19" s="414"/>
      <c r="HE19" s="769" t="str">
        <f t="shared" si="130"/>
        <v/>
      </c>
      <c r="HF19" s="768" t="str">
        <f t="shared" si="54"/>
        <v/>
      </c>
      <c r="HG19" s="769" t="str">
        <f t="shared" si="131"/>
        <v/>
      </c>
      <c r="HH19" s="768" t="str">
        <f t="shared" si="55"/>
        <v/>
      </c>
      <c r="HI19" s="728" t="str">
        <f t="shared" si="132"/>
        <v/>
      </c>
      <c r="HJ19" s="768" t="str">
        <f t="shared" si="56"/>
        <v/>
      </c>
      <c r="HK19" s="728" t="str">
        <f t="shared" si="133"/>
        <v/>
      </c>
      <c r="HL19" s="768" t="str">
        <f t="shared" si="57"/>
        <v/>
      </c>
      <c r="HM19" s="769" t="str">
        <f t="shared" si="58"/>
        <v/>
      </c>
      <c r="HN19" s="768" t="str">
        <f t="shared" ref="HN19" si="246">IF(HM19&lt;0,"Invadiu REP-BA-C","")</f>
        <v/>
      </c>
      <c r="HO19" s="769" t="str">
        <f t="shared" si="60"/>
        <v/>
      </c>
      <c r="HP19" s="768" t="str">
        <f t="shared" si="61"/>
        <v/>
      </c>
      <c r="HQ19" s="728" t="str">
        <f t="shared" si="62"/>
        <v/>
      </c>
      <c r="HR19" s="768" t="str">
        <f t="shared" si="63"/>
        <v/>
      </c>
      <c r="HS19" s="728" t="str">
        <f t="shared" si="64"/>
        <v/>
      </c>
      <c r="HT19" s="768" t="str">
        <f t="shared" si="65"/>
        <v/>
      </c>
      <c r="HU19" s="769" t="str">
        <f t="shared" si="66"/>
        <v/>
      </c>
      <c r="HV19" s="768" t="str">
        <f t="shared" ref="HV19" si="247">IF(HU19&lt;0,"Invadiu REP-BA-C","")</f>
        <v/>
      </c>
      <c r="HW19" s="769" t="str">
        <f t="shared" si="68"/>
        <v/>
      </c>
      <c r="HX19" s="768" t="str">
        <f t="shared" si="69"/>
        <v/>
      </c>
      <c r="HY19" s="728" t="str">
        <f t="shared" si="70"/>
        <v/>
      </c>
      <c r="HZ19" s="768" t="str">
        <f t="shared" si="71"/>
        <v/>
      </c>
      <c r="IA19" s="728" t="str">
        <f t="shared" si="72"/>
        <v/>
      </c>
      <c r="IB19" s="768" t="str">
        <f t="shared" si="73"/>
        <v/>
      </c>
      <c r="IC19" s="769" t="str">
        <f t="shared" si="74"/>
        <v/>
      </c>
      <c r="ID19" s="768" t="str">
        <f t="shared" ref="ID19" si="248">IF(IC19&lt;0,"Invadiu REP-BA-C","")</f>
        <v/>
      </c>
      <c r="IE19" s="769" t="str">
        <f t="shared" si="76"/>
        <v/>
      </c>
      <c r="IF19" s="768" t="str">
        <f t="shared" si="77"/>
        <v/>
      </c>
      <c r="IG19" s="728" t="str">
        <f t="shared" si="78"/>
        <v/>
      </c>
      <c r="IH19" s="768" t="str">
        <f t="shared" si="79"/>
        <v/>
      </c>
      <c r="II19" s="728" t="str">
        <f t="shared" si="80"/>
        <v/>
      </c>
      <c r="IJ19" s="768" t="str">
        <f t="shared" si="81"/>
        <v/>
      </c>
      <c r="IK19" s="769" t="str">
        <f t="shared" si="82"/>
        <v/>
      </c>
      <c r="IL19" s="768" t="str">
        <f t="shared" ref="IL19" si="249">IF(IK19&lt;0,"Invadiu REP-BA-C","")</f>
        <v/>
      </c>
      <c r="IM19" s="769" t="str">
        <f t="shared" si="84"/>
        <v/>
      </c>
      <c r="IN19" s="768" t="str">
        <f t="shared" si="85"/>
        <v/>
      </c>
      <c r="IO19" s="728" t="str">
        <f t="shared" si="86"/>
        <v/>
      </c>
      <c r="IP19" s="768" t="str">
        <f t="shared" si="87"/>
        <v/>
      </c>
      <c r="IQ19" s="728" t="str">
        <f t="shared" si="88"/>
        <v/>
      </c>
      <c r="IR19" s="768" t="str">
        <f t="shared" si="89"/>
        <v/>
      </c>
      <c r="IS19" s="769" t="str">
        <f t="shared" si="90"/>
        <v/>
      </c>
      <c r="IT19" s="768" t="str">
        <f t="shared" ref="IT19" si="250">IF(IS19&lt;0,"Invadiu REP-BA-C","")</f>
        <v/>
      </c>
      <c r="IU19" s="769" t="str">
        <f t="shared" si="92"/>
        <v/>
      </c>
      <c r="IV19" s="768" t="str">
        <f t="shared" si="93"/>
        <v/>
      </c>
      <c r="IW19" s="728" t="str">
        <f t="shared" si="94"/>
        <v/>
      </c>
      <c r="IX19" s="768" t="str">
        <f t="shared" si="95"/>
        <v/>
      </c>
      <c r="IY19" s="728" t="str">
        <f t="shared" si="96"/>
        <v/>
      </c>
      <c r="IZ19" s="768" t="str">
        <f t="shared" si="97"/>
        <v/>
      </c>
      <c r="JA19" s="769" t="str">
        <f t="shared" si="98"/>
        <v/>
      </c>
      <c r="JB19" s="768" t="str">
        <f t="shared" ref="JB19" si="251">IF(JA19&lt;0,"Invadiu REP-BA-C","")</f>
        <v/>
      </c>
      <c r="JC19" s="769" t="str">
        <f t="shared" si="100"/>
        <v/>
      </c>
      <c r="JD19" s="768" t="str">
        <f t="shared" si="101"/>
        <v/>
      </c>
      <c r="JE19" s="728" t="str">
        <f t="shared" si="102"/>
        <v/>
      </c>
      <c r="JF19" s="768" t="str">
        <f t="shared" si="103"/>
        <v/>
      </c>
      <c r="JG19" s="728" t="str">
        <f t="shared" si="104"/>
        <v/>
      </c>
      <c r="JH19" s="768" t="str">
        <f t="shared" si="105"/>
        <v/>
      </c>
      <c r="JI19" s="769" t="str">
        <f t="shared" si="106"/>
        <v/>
      </c>
      <c r="JJ19" s="768" t="str">
        <f t="shared" ref="JJ19" si="252">IF(JI19&lt;0,"Invadiu REP-BA-C","")</f>
        <v/>
      </c>
      <c r="JK19" s="769" t="str">
        <f t="shared" si="108"/>
        <v/>
      </c>
      <c r="JL19" s="768" t="str">
        <f t="shared" si="109"/>
        <v/>
      </c>
      <c r="JM19" s="728" t="str">
        <f t="shared" si="110"/>
        <v/>
      </c>
      <c r="JN19" s="768" t="str">
        <f t="shared" si="111"/>
        <v/>
      </c>
      <c r="JO19" s="728" t="str">
        <f t="shared" si="112"/>
        <v/>
      </c>
      <c r="JP19" s="768" t="str">
        <f t="shared" si="113"/>
        <v/>
      </c>
      <c r="JQ19" s="769" t="str">
        <f t="shared" si="114"/>
        <v/>
      </c>
      <c r="JR19" s="768" t="str">
        <f t="shared" ref="JR19" si="253">IF(JQ19&lt;0,"Invadiu REP-BA-C","")</f>
        <v/>
      </c>
      <c r="JS19" s="769" t="str">
        <f t="shared" si="116"/>
        <v/>
      </c>
      <c r="JT19" s="768" t="str">
        <f t="shared" si="117"/>
        <v/>
      </c>
      <c r="JU19" s="728" t="str">
        <f t="shared" si="118"/>
        <v/>
      </c>
      <c r="JV19" s="768" t="str">
        <f t="shared" si="119"/>
        <v/>
      </c>
      <c r="JW19" s="728" t="str">
        <f t="shared" si="120"/>
        <v/>
      </c>
      <c r="JX19" s="768" t="str">
        <f t="shared" si="121"/>
        <v/>
      </c>
      <c r="JY19" s="768" t="str">
        <f t="shared" si="122"/>
        <v/>
      </c>
      <c r="JZ19" s="485" t="str">
        <f>IF(JY19="","",IF(AND(C19=$C$164,JY19&lt;&gt;""),Verificarcpf(D19),IF(AND(C19=$C$165,JY19&lt;&gt;""),VerificarCNPJ(D19))))</f>
        <v/>
      </c>
      <c r="KA19" s="768" t="str">
        <f t="shared" si="123"/>
        <v/>
      </c>
      <c r="KB19" s="485">
        <f t="shared" si="124"/>
        <v>0</v>
      </c>
      <c r="KC19" s="768">
        <f t="shared" si="125"/>
        <v>0</v>
      </c>
      <c r="KD19" s="485">
        <f t="shared" si="126"/>
        <v>0</v>
      </c>
      <c r="KE19" s="448"/>
      <c r="KF19" s="548">
        <f t="shared" si="127"/>
        <v>0</v>
      </c>
      <c r="KG19" s="548" t="s">
        <v>480</v>
      </c>
      <c r="KH19" s="548"/>
      <c r="KI19" s="548"/>
      <c r="KJ19" s="548" t="str">
        <f t="shared" si="128"/>
        <v/>
      </c>
      <c r="KK19" s="548"/>
      <c r="KL19" s="548"/>
      <c r="KM19" s="548">
        <f t="array" ref="KM19">IF(SUM((KL19=$KL$3:KL18)*1)=0,KL19,0)</f>
        <v>0</v>
      </c>
      <c r="KN19" s="548"/>
      <c r="KO19" s="548"/>
      <c r="KP19" s="548"/>
      <c r="KQ19" s="548"/>
      <c r="KR19" s="548" t="str">
        <f t="shared" si="129"/>
        <v/>
      </c>
      <c r="KS19" s="548"/>
      <c r="KT19" s="548"/>
      <c r="KU19" s="548"/>
      <c r="KV19" s="548"/>
      <c r="KW19" s="548"/>
      <c r="KX19" s="548"/>
      <c r="KY19" s="548"/>
      <c r="KZ19" s="548"/>
      <c r="LA19" s="548"/>
      <c r="LB19" s="548"/>
      <c r="LC19" s="485" t="str">
        <f t="shared" si="142"/>
        <v/>
      </c>
      <c r="LD19" s="548"/>
      <c r="LE19" s="548"/>
      <c r="LF19" s="548"/>
      <c r="LG19" s="548"/>
      <c r="LH19" s="548"/>
      <c r="LI19" s="548"/>
      <c r="LJ19" s="548"/>
      <c r="LK19" s="548"/>
      <c r="LL19" s="548"/>
      <c r="LM19" s="548"/>
      <c r="LN19" s="548"/>
      <c r="LO19" s="548"/>
      <c r="LP19" s="485" t="str">
        <f t="shared" si="143"/>
        <v/>
      </c>
      <c r="LQ19" s="548"/>
      <c r="LR19" s="548"/>
      <c r="LS19" s="548"/>
      <c r="LT19" s="548"/>
      <c r="LU19" s="548"/>
      <c r="LV19" s="548"/>
      <c r="LW19" s="548"/>
      <c r="LX19" s="548"/>
      <c r="LY19" s="548"/>
      <c r="LZ19" s="548"/>
      <c r="MA19" s="548"/>
      <c r="MB19" s="548"/>
      <c r="MC19" s="485" t="str">
        <f t="shared" si="144"/>
        <v/>
      </c>
      <c r="MD19" s="548"/>
      <c r="ME19" s="548"/>
      <c r="MF19" s="548"/>
      <c r="MG19" s="548"/>
      <c r="MH19" s="548"/>
      <c r="MI19" s="548"/>
      <c r="MJ19" s="548"/>
      <c r="MK19" s="548"/>
      <c r="ML19" s="548"/>
      <c r="MM19" s="548"/>
      <c r="MN19" s="548"/>
      <c r="MO19" s="548"/>
      <c r="MP19" s="485" t="str">
        <f t="shared" si="145"/>
        <v/>
      </c>
      <c r="MQ19" s="548"/>
      <c r="MR19" s="548"/>
      <c r="MS19" s="548"/>
      <c r="MT19" s="548"/>
      <c r="MU19" s="548"/>
      <c r="MV19" s="548"/>
      <c r="MW19" s="548"/>
      <c r="MX19" s="548"/>
      <c r="MY19" s="548"/>
      <c r="MZ19" s="548"/>
      <c r="NA19" s="548"/>
      <c r="NB19" s="548"/>
      <c r="NC19" s="485" t="str">
        <f t="shared" si="146"/>
        <v/>
      </c>
      <c r="ND19" s="548"/>
      <c r="NE19" s="548"/>
      <c r="NF19" s="548"/>
      <c r="NG19" s="548"/>
      <c r="NH19" s="548"/>
      <c r="NI19" s="548"/>
      <c r="NJ19" s="548"/>
      <c r="NK19" s="548"/>
      <c r="NL19" s="548"/>
      <c r="NM19" s="548"/>
      <c r="NN19" s="548"/>
      <c r="NO19" s="548"/>
      <c r="NP19" s="485" t="str">
        <f t="shared" si="147"/>
        <v/>
      </c>
      <c r="NQ19" s="548"/>
      <c r="NR19" s="548"/>
      <c r="NS19" s="548"/>
      <c r="NT19" s="548"/>
      <c r="NU19" s="548"/>
      <c r="NV19" s="548"/>
      <c r="NW19" s="548"/>
      <c r="NX19" s="548"/>
      <c r="NY19" s="548"/>
      <c r="NZ19" s="548"/>
      <c r="OA19" s="548"/>
      <c r="OB19" s="548"/>
      <c r="OC19" s="485" t="str">
        <f t="shared" si="148"/>
        <v/>
      </c>
      <c r="OD19" s="548"/>
      <c r="OE19" s="548"/>
      <c r="OF19" s="548"/>
      <c r="OG19" s="548"/>
      <c r="OH19" s="548"/>
      <c r="OI19" s="548"/>
      <c r="OJ19" s="548"/>
      <c r="OK19" s="548"/>
      <c r="OL19" s="548"/>
      <c r="OM19" s="548"/>
      <c r="ON19" s="548"/>
      <c r="OO19" s="548"/>
      <c r="OP19" s="548"/>
      <c r="OQ19" s="548"/>
      <c r="OR19" s="548"/>
      <c r="OS19" s="548"/>
      <c r="OT19" s="548"/>
      <c r="OU19" s="548"/>
      <c r="OV19" s="548"/>
      <c r="OW19" s="548"/>
      <c r="OX19" s="548"/>
      <c r="OY19" s="548"/>
      <c r="OZ19" s="548"/>
      <c r="PA19" s="548"/>
      <c r="PB19" s="548"/>
      <c r="PC19" s="548"/>
      <c r="PD19" s="548"/>
      <c r="PE19" s="548"/>
      <c r="PF19" s="548"/>
      <c r="PG19" s="548"/>
      <c r="PH19" s="548"/>
      <c r="PI19" s="548"/>
      <c r="PJ19" s="548"/>
      <c r="PK19" s="548"/>
      <c r="PL19" s="548"/>
      <c r="PM19" s="548"/>
      <c r="PN19" s="548"/>
      <c r="PO19" s="548"/>
      <c r="PP19" s="548"/>
      <c r="PQ19" s="548"/>
      <c r="PR19" s="548"/>
      <c r="PS19" s="548"/>
      <c r="PT19" s="548"/>
      <c r="PU19" s="548"/>
      <c r="PV19" s="548"/>
      <c r="PW19" s="548"/>
      <c r="PX19" s="548"/>
      <c r="PY19" s="548"/>
      <c r="PZ19" s="548"/>
      <c r="QA19" s="548"/>
      <c r="QB19" s="548"/>
      <c r="QC19" s="548"/>
      <c r="QD19" s="548"/>
      <c r="QE19" s="548"/>
      <c r="QF19" s="548"/>
      <c r="QG19" s="548"/>
      <c r="QH19" s="548"/>
      <c r="QI19" s="548"/>
      <c r="QJ19" s="548"/>
      <c r="QK19" s="548"/>
      <c r="QL19" s="548"/>
      <c r="QM19" s="548"/>
      <c r="QN19" s="548"/>
      <c r="QO19" s="548"/>
      <c r="QP19" s="548"/>
      <c r="QQ19" s="1009"/>
      <c r="QR19" s="548"/>
      <c r="QS19" s="548"/>
      <c r="QT19" s="548"/>
      <c r="QU19" s="548"/>
      <c r="QV19" s="548"/>
      <c r="QW19" s="548"/>
      <c r="QX19" s="548"/>
      <c r="QY19" s="548"/>
      <c r="QZ19" s="548"/>
      <c r="RA19" s="548"/>
      <c r="RB19" s="548"/>
      <c r="RC19" s="548"/>
      <c r="RD19" s="548"/>
      <c r="RE19" s="548"/>
      <c r="RF19" s="548"/>
      <c r="RG19" s="548"/>
      <c r="RH19" s="548"/>
      <c r="RI19" s="548"/>
      <c r="RJ19" s="548"/>
      <c r="RK19" s="548"/>
      <c r="RL19" s="548"/>
      <c r="RM19" s="548"/>
      <c r="RN19" s="548"/>
      <c r="RO19" s="548"/>
      <c r="RP19" s="548"/>
      <c r="RQ19" s="548"/>
      <c r="RR19" s="548"/>
      <c r="RS19" s="548"/>
      <c r="RT19" s="548"/>
      <c r="RU19" s="548"/>
      <c r="RV19" s="548"/>
      <c r="RW19" s="548"/>
      <c r="RX19" s="548"/>
      <c r="RY19" s="548"/>
      <c r="RZ19" s="548"/>
      <c r="SA19" s="548"/>
      <c r="SB19" s="548"/>
      <c r="SC19" s="548"/>
      <c r="SD19" s="548"/>
      <c r="SE19" s="548"/>
      <c r="SF19" s="548"/>
      <c r="SG19" s="548"/>
      <c r="SH19" s="548"/>
      <c r="SI19" s="548"/>
      <c r="SJ19" s="548"/>
      <c r="SK19" s="548"/>
      <c r="SL19" s="548"/>
      <c r="SM19" s="548"/>
      <c r="SN19" s="548"/>
      <c r="SO19" s="548"/>
      <c r="SP19" s="548"/>
      <c r="SQ19" s="548"/>
      <c r="SR19" s="548"/>
      <c r="SS19" s="548"/>
      <c r="ST19" s="548"/>
      <c r="SU19" s="548"/>
      <c r="SV19" s="548"/>
      <c r="SW19" s="548"/>
      <c r="SX19" s="548"/>
      <c r="SY19" s="548"/>
      <c r="SZ19" s="548"/>
      <c r="TA19" s="548"/>
      <c r="TB19" s="548"/>
      <c r="TC19" s="548"/>
      <c r="TD19" s="548"/>
      <c r="TE19" s="548"/>
      <c r="TF19" s="548"/>
      <c r="TG19" s="548"/>
      <c r="TH19" s="548"/>
      <c r="TI19" s="548"/>
      <c r="TJ19" s="548"/>
      <c r="TK19" s="548"/>
      <c r="TL19" s="548"/>
      <c r="TM19" s="548"/>
      <c r="TN19" s="548"/>
      <c r="TO19" s="548"/>
      <c r="TP19" s="548"/>
      <c r="TQ19" s="548"/>
      <c r="TR19" s="548"/>
      <c r="TS19" s="548"/>
      <c r="TT19" s="548"/>
      <c r="TU19" s="548"/>
      <c r="TV19" s="548"/>
      <c r="TW19" s="548"/>
      <c r="TX19" s="548"/>
      <c r="TY19" s="548"/>
      <c r="TZ19" s="548"/>
      <c r="UA19" s="548"/>
      <c r="UB19" s="548"/>
      <c r="UC19" s="548"/>
      <c r="UD19" s="548"/>
      <c r="UE19" s="548"/>
      <c r="UF19" s="548"/>
      <c r="UG19" s="548"/>
      <c r="UH19" s="548"/>
      <c r="UI19" s="548"/>
      <c r="UJ19" s="548"/>
      <c r="UK19" s="548"/>
      <c r="UL19" s="548"/>
      <c r="UM19" s="548"/>
      <c r="UN19" s="548"/>
      <c r="UO19" s="548"/>
      <c r="UP19" s="548"/>
      <c r="UQ19" s="548"/>
      <c r="UR19" s="548"/>
      <c r="US19" s="548"/>
      <c r="UT19" s="548"/>
      <c r="UU19" s="548"/>
      <c r="UV19" s="548"/>
      <c r="UW19" s="548"/>
      <c r="UX19" s="548"/>
      <c r="UY19" s="548"/>
      <c r="UZ19" s="548"/>
      <c r="VA19" s="548"/>
      <c r="VB19" s="548"/>
      <c r="VC19" s="548"/>
      <c r="VD19" s="548"/>
      <c r="VE19" s="548"/>
      <c r="VF19" s="548"/>
      <c r="VG19" s="548"/>
      <c r="VH19" s="548"/>
      <c r="VI19" s="548"/>
      <c r="VJ19" s="548"/>
      <c r="VK19" s="548"/>
      <c r="VL19" s="548"/>
      <c r="VM19" s="548"/>
      <c r="VN19" s="548"/>
      <c r="VO19" s="548"/>
      <c r="VP19" s="548"/>
      <c r="VQ19" s="548"/>
      <c r="VR19" s="548"/>
      <c r="VS19" s="548"/>
      <c r="VT19" s="548"/>
      <c r="VU19" s="548"/>
      <c r="VV19" s="548"/>
      <c r="VW19" s="548"/>
      <c r="VX19" s="548"/>
      <c r="VY19" s="548"/>
      <c r="VZ19" s="548"/>
      <c r="WA19" s="548"/>
      <c r="WB19" s="548"/>
      <c r="WC19" s="548"/>
      <c r="WD19" s="548"/>
      <c r="WE19" s="548"/>
      <c r="WF19" s="548"/>
      <c r="WG19" s="548"/>
      <c r="WH19" s="548"/>
      <c r="WI19" s="548"/>
      <c r="WJ19" s="548"/>
      <c r="WK19" s="548"/>
      <c r="WL19" s="548"/>
      <c r="WM19" s="548"/>
      <c r="WN19" s="548"/>
      <c r="WO19" s="548"/>
      <c r="WP19" s="548"/>
      <c r="WQ19" s="548"/>
      <c r="WR19" s="548"/>
      <c r="WS19" s="548"/>
      <c r="WT19" s="548"/>
      <c r="WU19" s="548"/>
      <c r="WV19" s="548"/>
      <c r="WW19" s="548"/>
      <c r="WX19" s="548"/>
      <c r="WY19" s="548"/>
      <c r="WZ19" s="548"/>
      <c r="XA19" s="548"/>
      <c r="XB19" s="548"/>
      <c r="XC19" s="548"/>
      <c r="XD19" s="548"/>
      <c r="XE19" s="548"/>
      <c r="XF19" s="548"/>
      <c r="XG19" s="548"/>
      <c r="XH19" s="548"/>
      <c r="XI19" s="548"/>
      <c r="XJ19" s="548"/>
      <c r="XK19" s="548"/>
      <c r="XL19" s="548"/>
      <c r="XM19" s="548"/>
      <c r="XN19" s="548"/>
      <c r="XO19" s="548"/>
      <c r="XP19" s="548"/>
      <c r="XQ19" s="548"/>
      <c r="XR19" s="548"/>
      <c r="XS19" s="548"/>
      <c r="XT19" s="548"/>
      <c r="XU19" s="548"/>
      <c r="XV19" s="548"/>
      <c r="XW19" s="548"/>
      <c r="XX19" s="548"/>
      <c r="XY19" s="548"/>
      <c r="XZ19" s="548"/>
      <c r="YA19" s="548"/>
      <c r="YB19" s="548"/>
      <c r="YC19" s="548"/>
      <c r="YD19" s="548"/>
      <c r="YE19" s="548"/>
      <c r="YF19" s="548"/>
      <c r="YG19" s="548"/>
      <c r="YH19" s="548"/>
      <c r="YI19" s="548"/>
      <c r="YJ19" s="548"/>
      <c r="YK19" s="548"/>
      <c r="YL19" s="548"/>
      <c r="YM19" s="548"/>
      <c r="YN19" s="548"/>
      <c r="YO19" s="548"/>
      <c r="YP19" s="548"/>
      <c r="YQ19" s="548"/>
      <c r="YR19" s="548"/>
      <c r="YS19" s="548"/>
      <c r="YT19" s="548"/>
      <c r="YU19" s="548"/>
      <c r="YV19" s="548"/>
      <c r="YW19" s="548"/>
      <c r="YX19" s="548"/>
      <c r="YY19" s="548"/>
      <c r="YZ19" s="548"/>
      <c r="ZA19" s="548"/>
      <c r="ZB19" s="548"/>
      <c r="ZC19" s="548"/>
      <c r="ZD19" s="548"/>
      <c r="ZE19" s="548"/>
      <c r="ZF19" s="548"/>
      <c r="ZG19" s="548"/>
      <c r="ZH19" s="548"/>
      <c r="ZI19" s="548"/>
      <c r="ZJ19" s="548"/>
      <c r="ZK19" s="548"/>
      <c r="ZL19" s="548"/>
      <c r="ZM19" s="548"/>
      <c r="ZN19" s="548"/>
      <c r="ZO19" s="548"/>
      <c r="ZP19" s="548"/>
      <c r="ZQ19" s="548"/>
      <c r="ZR19" s="548"/>
      <c r="ZS19" s="548"/>
      <c r="ZT19" s="548"/>
      <c r="ZU19" s="548"/>
      <c r="ZV19" s="548"/>
      <c r="ZW19" s="548"/>
      <c r="ZX19" s="548"/>
      <c r="ZY19" s="548"/>
      <c r="ZZ19" s="548"/>
      <c r="AAA19" s="548"/>
      <c r="AAB19" s="548"/>
      <c r="AAC19" s="548"/>
      <c r="AAD19" s="548"/>
      <c r="AAE19" s="548"/>
      <c r="AAF19" s="548"/>
      <c r="AAG19" s="548"/>
      <c r="AAH19" s="548"/>
      <c r="AAI19" s="548"/>
      <c r="AAJ19" s="548"/>
      <c r="AAK19" s="548"/>
      <c r="AAL19" s="548"/>
      <c r="AAM19" s="548"/>
      <c r="AAN19" s="548"/>
      <c r="AAO19" s="548"/>
      <c r="AAP19" s="548"/>
      <c r="AAQ19" s="548"/>
      <c r="AAR19" s="548"/>
      <c r="AAS19" s="548"/>
      <c r="AAT19" s="548"/>
      <c r="AAU19" s="548"/>
      <c r="AAV19" s="548"/>
      <c r="AAW19" s="548"/>
      <c r="AAX19" s="548"/>
      <c r="AAY19" s="548"/>
      <c r="AAZ19" s="548"/>
      <c r="ABA19" s="548"/>
      <c r="ABB19" s="548"/>
      <c r="ABC19" s="548"/>
      <c r="ABD19" s="548"/>
      <c r="ABE19" s="548"/>
      <c r="ABF19" s="548"/>
      <c r="ABG19" s="548"/>
      <c r="ABH19" s="548"/>
      <c r="ABI19" s="548"/>
      <c r="ABJ19" s="548"/>
      <c r="ABK19" s="548"/>
      <c r="ABL19" s="548"/>
      <c r="ABM19" s="548"/>
      <c r="ABN19" s="548"/>
      <c r="ABO19" s="548"/>
      <c r="ABP19" s="548"/>
      <c r="ABQ19" s="548"/>
      <c r="ABR19" s="548"/>
      <c r="ABS19" s="548"/>
    </row>
    <row r="20" spans="1:747" customFormat="1" ht="15" customHeight="1" thickBot="1" x14ac:dyDescent="0.25">
      <c r="A20" s="424" t="str">
        <f t="shared" si="149"/>
        <v/>
      </c>
      <c r="B20" s="415"/>
      <c r="C20" s="525"/>
      <c r="D20" s="750"/>
      <c r="E20" s="416" t="str">
        <f t="shared" si="0"/>
        <v/>
      </c>
      <c r="F20" s="527" t="str">
        <f t="shared" si="1"/>
        <v/>
      </c>
      <c r="G20" s="417"/>
      <c r="H20" s="583" t="str">
        <f t="shared" si="2"/>
        <v/>
      </c>
      <c r="I20" s="424"/>
      <c r="J20" s="749"/>
      <c r="K20" s="418"/>
      <c r="L20" s="419"/>
      <c r="M20" s="415"/>
      <c r="N20" s="420"/>
      <c r="O20" s="421"/>
      <c r="P20" s="561"/>
      <c r="Q20" s="422"/>
      <c r="R20" s="561" t="str">
        <f t="shared" si="3"/>
        <v/>
      </c>
      <c r="S20" s="664"/>
      <c r="T20" s="663"/>
      <c r="U20" s="580">
        <f t="shared" si="4"/>
        <v>0</v>
      </c>
      <c r="V20" s="418"/>
      <c r="W20" s="582" t="str">
        <f t="shared" si="5"/>
        <v/>
      </c>
      <c r="X20" s="479" t="str">
        <f t="shared" si="6"/>
        <v/>
      </c>
      <c r="Y20" s="582" t="str">
        <f t="shared" si="7"/>
        <v/>
      </c>
      <c r="Z20" s="317" t="str">
        <f t="shared" si="8"/>
        <v/>
      </c>
      <c r="AA20" s="317" t="str">
        <f t="shared" si="9"/>
        <v/>
      </c>
      <c r="AB20" s="317">
        <f t="shared" si="10"/>
        <v>0</v>
      </c>
      <c r="AC20" s="317" t="str">
        <f t="shared" si="11"/>
        <v/>
      </c>
      <c r="AD20" s="317"/>
      <c r="AE20" s="479"/>
      <c r="AF20" s="479"/>
      <c r="AG20" s="423"/>
      <c r="AH20" s="820"/>
      <c r="AI20" s="480"/>
      <c r="AJ20" s="660"/>
      <c r="AK20" s="524" t="str">
        <f t="shared" si="12"/>
        <v/>
      </c>
      <c r="AL20" s="1910" t="s">
        <v>599</v>
      </c>
      <c r="AM20" s="1911"/>
      <c r="AN20" s="426">
        <f t="shared" si="13"/>
        <v>0</v>
      </c>
      <c r="AO20" s="427" t="str">
        <f t="shared" si="37"/>
        <v/>
      </c>
      <c r="AP20" s="426" t="str">
        <f t="shared" si="14"/>
        <v/>
      </c>
      <c r="AQ20" s="426"/>
      <c r="AR20" s="426"/>
      <c r="AS20" s="428"/>
      <c r="AT20" s="429"/>
      <c r="AU20" s="430"/>
      <c r="AV20" s="431"/>
      <c r="AW20" s="432"/>
      <c r="AX20" s="430"/>
      <c r="AY20" s="431">
        <f t="shared" si="15"/>
        <v>0</v>
      </c>
      <c r="AZ20" s="426"/>
      <c r="BA20" s="435" t="str">
        <f t="shared" si="16"/>
        <v/>
      </c>
      <c r="BB20" s="435"/>
      <c r="BC20" s="426"/>
      <c r="BD20" s="426">
        <f t="array" ref="BD20">IF(SUM((BC20=$BC$3:BC19)*1)=0,BC20,0)</f>
        <v>0</v>
      </c>
      <c r="BE20" s="426"/>
      <c r="BF20" s="426"/>
      <c r="BG20" s="426">
        <f t="array" ref="BG20">IF(SUM((BF20=$BF$3:BF19)*1)=0,BF20,0)</f>
        <v>0</v>
      </c>
      <c r="BH20" s="426"/>
      <c r="BI20" s="426"/>
      <c r="BJ20" s="426"/>
      <c r="BK20" s="426"/>
      <c r="BL20" s="426"/>
      <c r="BM20" s="426"/>
      <c r="BN20" s="426"/>
      <c r="BO20" s="426"/>
      <c r="BP20" s="433">
        <f t="shared" si="17"/>
        <v>0</v>
      </c>
      <c r="BQ20" s="426"/>
      <c r="BR20" s="434"/>
      <c r="BS20" s="426"/>
      <c r="BT20" s="433"/>
      <c r="BU20" s="435"/>
      <c r="BV20" s="435" t="str">
        <f t="shared" si="18"/>
        <v/>
      </c>
      <c r="BW20" s="435" t="str">
        <f t="shared" si="38"/>
        <v/>
      </c>
      <c r="BX20" s="435"/>
      <c r="BY20" s="435"/>
      <c r="BZ20" s="435"/>
      <c r="CA20" s="435"/>
      <c r="CB20" s="435"/>
      <c r="CC20" s="435"/>
      <c r="CD20" s="435"/>
      <c r="CE20" s="435"/>
      <c r="CF20" s="435"/>
      <c r="CG20" s="435"/>
      <c r="CH20" s="435"/>
      <c r="CI20" s="435"/>
      <c r="CJ20" s="426" t="str">
        <f t="shared" si="39"/>
        <v/>
      </c>
      <c r="CK20" s="435"/>
      <c r="CL20" s="426"/>
      <c r="CM20" s="435"/>
      <c r="CN20" s="426"/>
      <c r="CO20" s="426"/>
      <c r="CP20" s="426"/>
      <c r="CQ20" s="426"/>
      <c r="CR20" s="426"/>
      <c r="CS20" s="426"/>
      <c r="CT20" s="426"/>
      <c r="CU20" s="426"/>
      <c r="CV20" s="426"/>
      <c r="CW20" s="426"/>
      <c r="CX20" s="426"/>
      <c r="CY20" s="426">
        <v>17</v>
      </c>
      <c r="CZ20" s="426"/>
      <c r="DA20" s="426"/>
      <c r="DB20" s="426"/>
      <c r="DC20" s="426" t="s">
        <v>760</v>
      </c>
      <c r="DD20" s="426" t="s">
        <v>920</v>
      </c>
      <c r="DE20" s="435" t="str">
        <f t="shared" si="40"/>
        <v/>
      </c>
      <c r="DF20" s="435" t="str">
        <f t="shared" si="41"/>
        <v/>
      </c>
      <c r="DG20" s="435" t="str">
        <f t="shared" si="42"/>
        <v/>
      </c>
      <c r="DH20" s="435" t="str">
        <f t="shared" si="43"/>
        <v/>
      </c>
      <c r="DI20" s="435" t="str">
        <f t="shared" si="44"/>
        <v/>
      </c>
      <c r="DJ20" s="435" t="str">
        <f t="shared" si="45"/>
        <v/>
      </c>
      <c r="DK20" s="435" t="str">
        <f t="shared" si="19"/>
        <v/>
      </c>
      <c r="DL20" s="435" t="str">
        <f t="shared" si="20"/>
        <v/>
      </c>
      <c r="DM20" s="435" t="str">
        <f t="shared" si="46"/>
        <v/>
      </c>
      <c r="DN20" s="435" t="str">
        <f t="shared" si="47"/>
        <v/>
      </c>
      <c r="DO20" s="435" t="str">
        <f t="shared" si="21"/>
        <v/>
      </c>
      <c r="DP20" s="435" t="str">
        <f t="shared" si="22"/>
        <v/>
      </c>
      <c r="DQ20" s="435" t="str">
        <f t="shared" si="48"/>
        <v/>
      </c>
      <c r="DR20" s="435" t="str">
        <f t="shared" si="49"/>
        <v/>
      </c>
      <c r="DS20" s="435" t="str">
        <f t="shared" si="23"/>
        <v/>
      </c>
      <c r="DT20" s="435" t="str">
        <f t="shared" si="24"/>
        <v/>
      </c>
      <c r="DU20" s="435" t="str">
        <f t="shared" si="50"/>
        <v/>
      </c>
      <c r="DV20" s="435" t="str">
        <f t="shared" si="51"/>
        <v/>
      </c>
      <c r="DW20" s="435" t="str">
        <f t="shared" si="25"/>
        <v/>
      </c>
      <c r="DX20" s="435" t="str">
        <f t="shared" si="26"/>
        <v/>
      </c>
      <c r="DY20" s="435" t="str">
        <f t="shared" si="52"/>
        <v/>
      </c>
      <c r="DZ20" s="435" t="str">
        <f t="shared" si="53"/>
        <v/>
      </c>
      <c r="EA20" s="435" t="str">
        <f t="shared" si="27"/>
        <v/>
      </c>
      <c r="EB20" s="435" t="str">
        <f t="shared" si="28"/>
        <v/>
      </c>
      <c r="EC20" s="435" t="str">
        <f t="shared" si="29"/>
        <v/>
      </c>
      <c r="ED20" s="435" t="str">
        <f t="shared" si="30"/>
        <v/>
      </c>
      <c r="EE20" s="435" t="str">
        <f t="shared" si="31"/>
        <v/>
      </c>
      <c r="EF20" s="435" t="str">
        <f t="shared" si="32"/>
        <v/>
      </c>
      <c r="EG20" s="435" t="str">
        <f t="shared" si="33"/>
        <v/>
      </c>
      <c r="EH20" s="435" t="str">
        <f t="shared" si="34"/>
        <v/>
      </c>
      <c r="EI20" s="435" t="str">
        <f t="shared" si="35"/>
        <v/>
      </c>
      <c r="EJ20" s="435" t="str">
        <f t="shared" si="36"/>
        <v/>
      </c>
      <c r="EK20" s="485"/>
      <c r="EL20" s="485"/>
      <c r="EM20" s="485"/>
      <c r="EN20" s="485"/>
      <c r="EO20" s="448"/>
      <c r="EP20" s="448"/>
      <c r="EQ20" s="448"/>
      <c r="ER20" s="448"/>
      <c r="ES20" s="448"/>
      <c r="ET20" s="435"/>
      <c r="EU20" s="435"/>
      <c r="EV20" s="435"/>
      <c r="EW20" s="435"/>
      <c r="EX20" s="426"/>
      <c r="EY20" s="426"/>
      <c r="EZ20" s="426"/>
      <c r="FA20" s="427"/>
      <c r="FB20" s="427">
        <f t="array" ref="FB20">IF(SUM((FA20=$FA$3:FA19)*1)=0,FA20,0)</f>
        <v>0</v>
      </c>
      <c r="FC20" s="427"/>
      <c r="FD20" s="427"/>
      <c r="FE20" s="427">
        <f t="array" ref="FE20">IF(SUM((FD20=$FD$3:FD19)*1)=0,FD20,0)</f>
        <v>0</v>
      </c>
      <c r="FF20" s="427"/>
      <c r="FG20" s="427"/>
      <c r="FH20" s="427"/>
      <c r="FI20" s="427">
        <f t="array" ref="FI20">IF(SUM((FH20=$FH$3:FH19)*1)=0,FH20,0)</f>
        <v>0</v>
      </c>
      <c r="FJ20" s="427"/>
      <c r="FK20" s="427"/>
      <c r="FL20" s="427">
        <f t="array" ref="FL20">IF(SUM((FK20=$FK$3:FK19)*1)=0,FK20,0)</f>
        <v>0</v>
      </c>
      <c r="FM20" s="427"/>
      <c r="FN20" s="427"/>
      <c r="FO20" s="427"/>
      <c r="FP20" s="427">
        <f t="array" ref="FP20">IF(SUM((FO20=$FO$3:FO19)*1)=0,FO20,0)</f>
        <v>0</v>
      </c>
      <c r="FQ20" s="427"/>
      <c r="FR20" s="427"/>
      <c r="FS20" s="427">
        <f t="array" ref="FS20">IF(SUM((FR20=$FR$3:FR19)*1)=0,FR20,0)</f>
        <v>0</v>
      </c>
      <c r="FT20" s="427"/>
      <c r="FU20" s="427"/>
      <c r="FV20" s="427"/>
      <c r="FW20" s="427">
        <f t="array" ref="FW20">IF(SUM((FV20=$FV$3:FV19)*1)=0,FV20,0)</f>
        <v>0</v>
      </c>
      <c r="FX20" s="427"/>
      <c r="FY20" s="427"/>
      <c r="FZ20" s="427">
        <f t="array" ref="FZ20">IF(SUM((FY20=$FY$3:FY19)*1)=0,FY20,0)</f>
        <v>0</v>
      </c>
      <c r="GA20" s="427"/>
      <c r="GB20" s="427"/>
      <c r="GC20" s="427"/>
      <c r="GD20" s="427">
        <f t="array" ref="GD20">IF(SUM((GC20=$GC$3:GC19)*1)=0,GC20,0)</f>
        <v>0</v>
      </c>
      <c r="GE20" s="427"/>
      <c r="GF20" s="427"/>
      <c r="GG20" s="427">
        <f t="array" ref="GG20">IF(SUM((GF20=$GF$3:GF19)*1)=0,GF20,0)</f>
        <v>0</v>
      </c>
      <c r="GH20" s="427"/>
      <c r="GI20" s="427"/>
      <c r="GJ20" s="427"/>
      <c r="GK20" s="798">
        <f t="array" ref="GK20">IF(SUM((GJ20=$GJ$3:GJ19)*1)=0,GJ20,0)</f>
        <v>0</v>
      </c>
      <c r="GL20" s="427"/>
      <c r="GM20" s="427"/>
      <c r="GN20" s="798">
        <f t="array" ref="GN20">IF(SUM((GM20=$GM$3:GM19)*1)=0,GM20,0)</f>
        <v>0</v>
      </c>
      <c r="GO20" s="427"/>
      <c r="GP20" s="427"/>
      <c r="GQ20" s="427"/>
      <c r="GR20" s="798">
        <f t="array" ref="GR20">IF(SUM((GQ20=$GQ$3:GQ19)*1)=0,GQ20,0)</f>
        <v>0</v>
      </c>
      <c r="GS20" s="427"/>
      <c r="GT20" s="427"/>
      <c r="GU20" s="798">
        <f t="array" ref="GU20">IF(SUM((GT20=$GT$3:GT19)*1)=0,GT20,0)</f>
        <v>0</v>
      </c>
      <c r="GV20" s="427"/>
      <c r="GW20" s="427"/>
      <c r="GX20" s="427"/>
      <c r="GY20" s="798">
        <f t="array" ref="GY20">IF(SUM((GX20=$GX$3:GX19)*1)=0,GX20,0)</f>
        <v>0</v>
      </c>
      <c r="GZ20" s="427"/>
      <c r="HA20" s="427"/>
      <c r="HB20" s="798">
        <f t="array" ref="HB20">IF(SUM((HA20=$HA$3:HA19)*1)=0,HA20,0)</f>
        <v>0</v>
      </c>
      <c r="HC20" s="427"/>
      <c r="HD20" s="427"/>
      <c r="HE20" s="769" t="str">
        <f t="shared" si="130"/>
        <v/>
      </c>
      <c r="HF20" s="768" t="str">
        <f t="shared" si="54"/>
        <v/>
      </c>
      <c r="HG20" s="769" t="str">
        <f t="shared" si="131"/>
        <v/>
      </c>
      <c r="HH20" s="768" t="str">
        <f t="shared" si="55"/>
        <v/>
      </c>
      <c r="HI20" s="728" t="str">
        <f t="shared" si="132"/>
        <v/>
      </c>
      <c r="HJ20" s="768" t="str">
        <f t="shared" si="56"/>
        <v/>
      </c>
      <c r="HK20" s="728" t="str">
        <f t="shared" si="133"/>
        <v/>
      </c>
      <c r="HL20" s="768" t="str">
        <f t="shared" si="57"/>
        <v/>
      </c>
      <c r="HM20" s="769" t="str">
        <f t="shared" si="58"/>
        <v/>
      </c>
      <c r="HN20" s="768" t="str">
        <f t="shared" ref="HN20" si="254">IF(HM20&lt;0,"Invadiu REP-BA-C","")</f>
        <v/>
      </c>
      <c r="HO20" s="769" t="str">
        <f t="shared" si="60"/>
        <v/>
      </c>
      <c r="HP20" s="768" t="str">
        <f t="shared" si="61"/>
        <v/>
      </c>
      <c r="HQ20" s="728" t="str">
        <f t="shared" si="62"/>
        <v/>
      </c>
      <c r="HR20" s="768" t="str">
        <f t="shared" si="63"/>
        <v/>
      </c>
      <c r="HS20" s="728" t="str">
        <f t="shared" si="64"/>
        <v/>
      </c>
      <c r="HT20" s="768" t="str">
        <f t="shared" si="65"/>
        <v/>
      </c>
      <c r="HU20" s="769" t="str">
        <f t="shared" si="66"/>
        <v/>
      </c>
      <c r="HV20" s="768" t="str">
        <f t="shared" ref="HV20" si="255">IF(HU20&lt;0,"Invadiu REP-BA-C","")</f>
        <v/>
      </c>
      <c r="HW20" s="769" t="str">
        <f t="shared" si="68"/>
        <v/>
      </c>
      <c r="HX20" s="768" t="str">
        <f t="shared" si="69"/>
        <v/>
      </c>
      <c r="HY20" s="728" t="str">
        <f t="shared" si="70"/>
        <v/>
      </c>
      <c r="HZ20" s="768" t="str">
        <f t="shared" si="71"/>
        <v/>
      </c>
      <c r="IA20" s="728" t="str">
        <f t="shared" si="72"/>
        <v/>
      </c>
      <c r="IB20" s="768" t="str">
        <f t="shared" si="73"/>
        <v/>
      </c>
      <c r="IC20" s="769" t="str">
        <f t="shared" si="74"/>
        <v/>
      </c>
      <c r="ID20" s="768" t="str">
        <f t="shared" ref="ID20" si="256">IF(IC20&lt;0,"Invadiu REP-BA-C","")</f>
        <v/>
      </c>
      <c r="IE20" s="769" t="str">
        <f t="shared" si="76"/>
        <v/>
      </c>
      <c r="IF20" s="768" t="str">
        <f t="shared" si="77"/>
        <v/>
      </c>
      <c r="IG20" s="728" t="str">
        <f t="shared" si="78"/>
        <v/>
      </c>
      <c r="IH20" s="768" t="str">
        <f t="shared" si="79"/>
        <v/>
      </c>
      <c r="II20" s="728" t="str">
        <f t="shared" si="80"/>
        <v/>
      </c>
      <c r="IJ20" s="768" t="str">
        <f t="shared" si="81"/>
        <v/>
      </c>
      <c r="IK20" s="769" t="str">
        <f t="shared" si="82"/>
        <v/>
      </c>
      <c r="IL20" s="768" t="str">
        <f t="shared" ref="IL20" si="257">IF(IK20&lt;0,"Invadiu REP-BA-C","")</f>
        <v/>
      </c>
      <c r="IM20" s="769" t="str">
        <f t="shared" si="84"/>
        <v/>
      </c>
      <c r="IN20" s="768" t="str">
        <f t="shared" si="85"/>
        <v/>
      </c>
      <c r="IO20" s="728" t="str">
        <f t="shared" si="86"/>
        <v/>
      </c>
      <c r="IP20" s="768" t="str">
        <f t="shared" si="87"/>
        <v/>
      </c>
      <c r="IQ20" s="728" t="str">
        <f t="shared" si="88"/>
        <v/>
      </c>
      <c r="IR20" s="768" t="str">
        <f t="shared" si="89"/>
        <v/>
      </c>
      <c r="IS20" s="769" t="str">
        <f t="shared" si="90"/>
        <v/>
      </c>
      <c r="IT20" s="768" t="str">
        <f t="shared" ref="IT20" si="258">IF(IS20&lt;0,"Invadiu REP-BA-C","")</f>
        <v/>
      </c>
      <c r="IU20" s="769" t="str">
        <f t="shared" si="92"/>
        <v/>
      </c>
      <c r="IV20" s="768" t="str">
        <f t="shared" si="93"/>
        <v/>
      </c>
      <c r="IW20" s="728" t="str">
        <f t="shared" si="94"/>
        <v/>
      </c>
      <c r="IX20" s="768" t="str">
        <f t="shared" si="95"/>
        <v/>
      </c>
      <c r="IY20" s="728" t="str">
        <f t="shared" si="96"/>
        <v/>
      </c>
      <c r="IZ20" s="768" t="str">
        <f t="shared" si="97"/>
        <v/>
      </c>
      <c r="JA20" s="769" t="str">
        <f t="shared" si="98"/>
        <v/>
      </c>
      <c r="JB20" s="768" t="str">
        <f t="shared" ref="JB20" si="259">IF(JA20&lt;0,"Invadiu REP-BA-C","")</f>
        <v/>
      </c>
      <c r="JC20" s="769" t="str">
        <f t="shared" si="100"/>
        <v/>
      </c>
      <c r="JD20" s="768" t="str">
        <f t="shared" si="101"/>
        <v/>
      </c>
      <c r="JE20" s="728" t="str">
        <f t="shared" si="102"/>
        <v/>
      </c>
      <c r="JF20" s="768" t="str">
        <f t="shared" si="103"/>
        <v/>
      </c>
      <c r="JG20" s="728" t="str">
        <f t="shared" si="104"/>
        <v/>
      </c>
      <c r="JH20" s="768" t="str">
        <f t="shared" si="105"/>
        <v/>
      </c>
      <c r="JI20" s="769" t="str">
        <f t="shared" si="106"/>
        <v/>
      </c>
      <c r="JJ20" s="768" t="str">
        <f t="shared" ref="JJ20" si="260">IF(JI20&lt;0,"Invadiu REP-BA-C","")</f>
        <v/>
      </c>
      <c r="JK20" s="769" t="str">
        <f t="shared" si="108"/>
        <v/>
      </c>
      <c r="JL20" s="768" t="str">
        <f t="shared" si="109"/>
        <v/>
      </c>
      <c r="JM20" s="728" t="str">
        <f t="shared" si="110"/>
        <v/>
      </c>
      <c r="JN20" s="768" t="str">
        <f t="shared" si="111"/>
        <v/>
      </c>
      <c r="JO20" s="728" t="str">
        <f t="shared" si="112"/>
        <v/>
      </c>
      <c r="JP20" s="768" t="str">
        <f t="shared" si="113"/>
        <v/>
      </c>
      <c r="JQ20" s="769" t="str">
        <f t="shared" si="114"/>
        <v/>
      </c>
      <c r="JR20" s="768" t="str">
        <f t="shared" ref="JR20" si="261">IF(JQ20&lt;0,"Invadiu REP-BA-C","")</f>
        <v/>
      </c>
      <c r="JS20" s="769" t="str">
        <f t="shared" si="116"/>
        <v/>
      </c>
      <c r="JT20" s="768" t="str">
        <f t="shared" si="117"/>
        <v/>
      </c>
      <c r="JU20" s="728" t="str">
        <f t="shared" si="118"/>
        <v/>
      </c>
      <c r="JV20" s="768" t="str">
        <f t="shared" si="119"/>
        <v/>
      </c>
      <c r="JW20" s="728" t="str">
        <f t="shared" si="120"/>
        <v/>
      </c>
      <c r="JX20" s="768" t="str">
        <f t="shared" si="121"/>
        <v/>
      </c>
      <c r="JY20" s="768" t="str">
        <f t="shared" si="122"/>
        <v/>
      </c>
      <c r="JZ20" s="485" t="str">
        <f>IF(JY20="","",IF(AND(C20=$C$164,JY20&lt;&gt;""),Verificarcpf(D20),IF(AND(C20=$C$165,JY20&lt;&gt;""),VerificarCNPJ(D20))))</f>
        <v/>
      </c>
      <c r="KA20" s="768" t="str">
        <f t="shared" si="123"/>
        <v/>
      </c>
      <c r="KB20" s="485">
        <f t="shared" si="124"/>
        <v>0</v>
      </c>
      <c r="KC20" s="768">
        <f t="shared" si="125"/>
        <v>0</v>
      </c>
      <c r="KD20" s="485">
        <f t="shared" si="126"/>
        <v>0</v>
      </c>
      <c r="KE20" s="448"/>
      <c r="KF20" s="548">
        <f t="shared" si="127"/>
        <v>0</v>
      </c>
      <c r="KG20" s="548" t="s">
        <v>505</v>
      </c>
      <c r="KH20" s="548"/>
      <c r="KI20" s="548"/>
      <c r="KJ20" s="548" t="str">
        <f t="shared" si="128"/>
        <v/>
      </c>
      <c r="KK20" s="548"/>
      <c r="KL20" s="548"/>
      <c r="KM20" s="548">
        <f t="array" ref="KM20">IF(SUM((KL20=$KL$3:KL19)*1)=0,KL20,0)</f>
        <v>0</v>
      </c>
      <c r="KN20" s="548"/>
      <c r="KO20" s="548"/>
      <c r="KP20" s="548"/>
      <c r="KQ20" s="548"/>
      <c r="KR20" s="548" t="str">
        <f t="shared" si="129"/>
        <v/>
      </c>
      <c r="KS20" s="548"/>
      <c r="KT20" s="548"/>
      <c r="KU20" s="548"/>
      <c r="KV20" s="548"/>
      <c r="KW20" s="548"/>
      <c r="KX20" s="548"/>
      <c r="KY20" s="548"/>
      <c r="KZ20" s="548"/>
      <c r="LA20" s="548"/>
      <c r="LB20" s="548"/>
      <c r="LC20" s="485" t="str">
        <f t="shared" si="142"/>
        <v/>
      </c>
      <c r="LD20" s="548"/>
      <c r="LE20" s="548"/>
      <c r="LF20" s="548"/>
      <c r="LG20" s="548"/>
      <c r="LH20" s="548"/>
      <c r="LI20" s="548"/>
      <c r="LJ20" s="548"/>
      <c r="LK20" s="548"/>
      <c r="LL20" s="548"/>
      <c r="LM20" s="548"/>
      <c r="LN20" s="548"/>
      <c r="LO20" s="548"/>
      <c r="LP20" s="485" t="str">
        <f t="shared" si="143"/>
        <v/>
      </c>
      <c r="LQ20" s="548"/>
      <c r="LR20" s="548"/>
      <c r="LS20" s="548"/>
      <c r="LT20" s="548"/>
      <c r="LU20" s="548"/>
      <c r="LV20" s="548"/>
      <c r="LW20" s="548"/>
      <c r="LX20" s="548"/>
      <c r="LY20" s="548"/>
      <c r="LZ20" s="548"/>
      <c r="MA20" s="548"/>
      <c r="MB20" s="548"/>
      <c r="MC20" s="485" t="str">
        <f t="shared" si="144"/>
        <v/>
      </c>
      <c r="MD20" s="548"/>
      <c r="ME20" s="548"/>
      <c r="MF20" s="548"/>
      <c r="MG20" s="548"/>
      <c r="MH20" s="548"/>
      <c r="MI20" s="548"/>
      <c r="MJ20" s="548"/>
      <c r="MK20" s="548"/>
      <c r="ML20" s="548"/>
      <c r="MM20" s="548"/>
      <c r="MN20" s="548"/>
      <c r="MO20" s="548"/>
      <c r="MP20" s="485" t="str">
        <f t="shared" si="145"/>
        <v/>
      </c>
      <c r="MQ20" s="548"/>
      <c r="MR20" s="548"/>
      <c r="MS20" s="548"/>
      <c r="MT20" s="548"/>
      <c r="MU20" s="548"/>
      <c r="MV20" s="548"/>
      <c r="MW20" s="548"/>
      <c r="MX20" s="548"/>
      <c r="MY20" s="548"/>
      <c r="MZ20" s="548"/>
      <c r="NA20" s="548"/>
      <c r="NB20" s="548"/>
      <c r="NC20" s="485" t="str">
        <f t="shared" si="146"/>
        <v/>
      </c>
      <c r="ND20" s="548"/>
      <c r="NE20" s="548"/>
      <c r="NF20" s="548"/>
      <c r="NG20" s="548"/>
      <c r="NH20" s="548"/>
      <c r="NI20" s="548"/>
      <c r="NJ20" s="548"/>
      <c r="NK20" s="548"/>
      <c r="NL20" s="548"/>
      <c r="NM20" s="548"/>
      <c r="NN20" s="548"/>
      <c r="NO20" s="548"/>
      <c r="NP20" s="485" t="str">
        <f t="shared" si="147"/>
        <v/>
      </c>
      <c r="NQ20" s="548"/>
      <c r="NR20" s="548"/>
      <c r="NS20" s="548"/>
      <c r="NT20" s="548"/>
      <c r="NU20" s="548"/>
      <c r="NV20" s="548"/>
      <c r="NW20" s="548"/>
      <c r="NX20" s="548"/>
      <c r="NY20" s="548"/>
      <c r="NZ20" s="548"/>
      <c r="OA20" s="548"/>
      <c r="OB20" s="548"/>
      <c r="OC20" s="485" t="str">
        <f t="shared" si="148"/>
        <v/>
      </c>
      <c r="OD20" s="548"/>
      <c r="OE20" s="548"/>
      <c r="OF20" s="548"/>
      <c r="OG20" s="548"/>
      <c r="OH20" s="548"/>
      <c r="OI20" s="548"/>
      <c r="OJ20" s="548"/>
      <c r="OK20" s="548"/>
      <c r="OL20" s="548"/>
      <c r="OM20" s="548"/>
      <c r="ON20" s="548"/>
      <c r="OO20" s="548"/>
      <c r="OP20" s="548"/>
      <c r="OQ20" s="548"/>
      <c r="OR20" s="548"/>
      <c r="OS20" s="548"/>
      <c r="OT20" s="548"/>
      <c r="OU20" s="548"/>
      <c r="OV20" s="548"/>
      <c r="OW20" s="548"/>
      <c r="OX20" s="548"/>
      <c r="OY20" s="548"/>
      <c r="OZ20" s="548"/>
      <c r="PA20" s="548"/>
      <c r="PB20" s="548"/>
      <c r="PC20" s="548"/>
      <c r="PD20" s="548"/>
      <c r="PE20" s="548"/>
      <c r="PF20" s="548"/>
      <c r="PG20" s="548"/>
      <c r="PH20" s="548"/>
      <c r="PI20" s="548"/>
      <c r="PJ20" s="548"/>
      <c r="PK20" s="548"/>
      <c r="PL20" s="548"/>
      <c r="PM20" s="548"/>
      <c r="PN20" s="548"/>
      <c r="PO20" s="548"/>
      <c r="PP20" s="548"/>
      <c r="PQ20" s="548"/>
      <c r="PR20" s="548"/>
      <c r="PS20" s="548"/>
      <c r="PT20" s="548"/>
      <c r="PU20" s="548"/>
      <c r="PV20" s="548"/>
      <c r="PW20" s="548"/>
      <c r="PX20" s="548"/>
      <c r="PY20" s="548"/>
      <c r="PZ20" s="548"/>
      <c r="QA20" s="548"/>
      <c r="QB20" s="548"/>
      <c r="QC20" s="548"/>
      <c r="QD20" s="548"/>
      <c r="QE20" s="548"/>
      <c r="QF20" s="548"/>
      <c r="QG20" s="548"/>
      <c r="QH20" s="548"/>
      <c r="QI20" s="548"/>
      <c r="QJ20" s="548"/>
      <c r="QK20" s="548"/>
      <c r="QL20" s="548"/>
      <c r="QM20" s="548"/>
      <c r="QN20" s="548"/>
      <c r="QO20" s="548"/>
      <c r="QP20" s="548"/>
      <c r="QQ20" s="1009"/>
      <c r="QR20" s="548"/>
      <c r="QS20" s="548"/>
      <c r="QT20" s="548"/>
      <c r="QU20" s="548"/>
      <c r="QV20" s="548"/>
      <c r="QW20" s="548"/>
      <c r="QX20" s="548"/>
      <c r="QY20" s="548"/>
      <c r="QZ20" s="548"/>
      <c r="RA20" s="548"/>
      <c r="RB20" s="548"/>
      <c r="RC20" s="548"/>
      <c r="RD20" s="548"/>
      <c r="RE20" s="548"/>
      <c r="RF20" s="548"/>
      <c r="RG20" s="548"/>
      <c r="RH20" s="548"/>
      <c r="RI20" s="548"/>
      <c r="RJ20" s="548"/>
      <c r="RK20" s="548"/>
      <c r="RL20" s="548"/>
      <c r="RM20" s="548"/>
      <c r="RN20" s="548"/>
      <c r="RO20" s="548"/>
      <c r="RP20" s="548"/>
      <c r="RQ20" s="548"/>
      <c r="RR20" s="548"/>
      <c r="RS20" s="548"/>
      <c r="RT20" s="548"/>
      <c r="RU20" s="548"/>
      <c r="RV20" s="548"/>
      <c r="RW20" s="548"/>
      <c r="RX20" s="548"/>
      <c r="RY20" s="548"/>
      <c r="RZ20" s="548"/>
      <c r="SA20" s="548"/>
      <c r="SB20" s="548"/>
      <c r="SC20" s="548"/>
      <c r="SD20" s="548"/>
      <c r="SE20" s="548"/>
      <c r="SF20" s="548"/>
      <c r="SG20" s="548"/>
      <c r="SH20" s="548"/>
      <c r="SI20" s="548"/>
      <c r="SJ20" s="548"/>
      <c r="SK20" s="548"/>
      <c r="SL20" s="548"/>
      <c r="SM20" s="548"/>
      <c r="SN20" s="548"/>
      <c r="SO20" s="548"/>
      <c r="SP20" s="548"/>
      <c r="SQ20" s="548"/>
      <c r="SR20" s="548"/>
      <c r="SS20" s="548"/>
      <c r="ST20" s="548"/>
      <c r="SU20" s="548"/>
      <c r="SV20" s="548"/>
      <c r="SW20" s="548"/>
      <c r="SX20" s="548"/>
      <c r="SY20" s="548"/>
      <c r="SZ20" s="548"/>
      <c r="TA20" s="548"/>
      <c r="TB20" s="548"/>
      <c r="TC20" s="548"/>
      <c r="TD20" s="548"/>
      <c r="TE20" s="548"/>
      <c r="TF20" s="548"/>
      <c r="TG20" s="548"/>
      <c r="TH20" s="548"/>
      <c r="TI20" s="548"/>
      <c r="TJ20" s="548"/>
      <c r="TK20" s="548"/>
      <c r="TL20" s="548"/>
      <c r="TM20" s="548"/>
      <c r="TN20" s="548"/>
      <c r="TO20" s="548"/>
      <c r="TP20" s="548"/>
      <c r="TQ20" s="548"/>
      <c r="TR20" s="548"/>
      <c r="TS20" s="548"/>
      <c r="TT20" s="548"/>
      <c r="TU20" s="548"/>
      <c r="TV20" s="548"/>
      <c r="TW20" s="548"/>
      <c r="TX20" s="548"/>
      <c r="TY20" s="548"/>
      <c r="TZ20" s="548"/>
      <c r="UA20" s="548"/>
      <c r="UB20" s="548"/>
      <c r="UC20" s="548"/>
      <c r="UD20" s="548"/>
      <c r="UE20" s="548"/>
      <c r="UF20" s="548"/>
      <c r="UG20" s="548"/>
      <c r="UH20" s="548"/>
      <c r="UI20" s="548"/>
      <c r="UJ20" s="548"/>
      <c r="UK20" s="548"/>
      <c r="UL20" s="548"/>
      <c r="UM20" s="548"/>
      <c r="UN20" s="548"/>
      <c r="UO20" s="548"/>
      <c r="UP20" s="548"/>
      <c r="UQ20" s="548"/>
      <c r="UR20" s="548"/>
      <c r="US20" s="548"/>
      <c r="UT20" s="548"/>
      <c r="UU20" s="548"/>
      <c r="UV20" s="548"/>
      <c r="UW20" s="548"/>
      <c r="UX20" s="548"/>
      <c r="UY20" s="548"/>
      <c r="UZ20" s="548"/>
      <c r="VA20" s="548"/>
      <c r="VB20" s="548"/>
      <c r="VC20" s="548"/>
      <c r="VD20" s="548"/>
      <c r="VE20" s="548"/>
      <c r="VF20" s="548"/>
      <c r="VG20" s="548"/>
      <c r="VH20" s="548"/>
      <c r="VI20" s="548"/>
      <c r="VJ20" s="548"/>
      <c r="VK20" s="548"/>
      <c r="VL20" s="548"/>
      <c r="VM20" s="548"/>
      <c r="VN20" s="548"/>
      <c r="VO20" s="548"/>
      <c r="VP20" s="548"/>
      <c r="VQ20" s="548"/>
      <c r="VR20" s="548"/>
      <c r="VS20" s="548"/>
      <c r="VT20" s="548"/>
      <c r="VU20" s="548"/>
      <c r="VV20" s="548"/>
      <c r="VW20" s="548"/>
      <c r="VX20" s="548"/>
      <c r="VY20" s="548"/>
      <c r="VZ20" s="548"/>
      <c r="WA20" s="548"/>
      <c r="WB20" s="548"/>
      <c r="WC20" s="548"/>
      <c r="WD20" s="548"/>
      <c r="WE20" s="548"/>
      <c r="WF20" s="548"/>
      <c r="WG20" s="548"/>
      <c r="WH20" s="548"/>
      <c r="WI20" s="548"/>
      <c r="WJ20" s="548"/>
      <c r="WK20" s="548"/>
      <c r="WL20" s="548"/>
      <c r="WM20" s="548"/>
      <c r="WN20" s="548"/>
      <c r="WO20" s="548"/>
      <c r="WP20" s="548"/>
      <c r="WQ20" s="548"/>
      <c r="WR20" s="548"/>
      <c r="WS20" s="548"/>
      <c r="WT20" s="548"/>
      <c r="WU20" s="548"/>
      <c r="WV20" s="548"/>
      <c r="WW20" s="548"/>
      <c r="WX20" s="548"/>
      <c r="WY20" s="548"/>
      <c r="WZ20" s="548"/>
      <c r="XA20" s="548"/>
      <c r="XB20" s="548"/>
      <c r="XC20" s="548"/>
      <c r="XD20" s="548"/>
      <c r="XE20" s="548"/>
      <c r="XF20" s="548"/>
      <c r="XG20" s="548"/>
      <c r="XH20" s="548"/>
      <c r="XI20" s="548"/>
      <c r="XJ20" s="548"/>
      <c r="XK20" s="548"/>
      <c r="XL20" s="548"/>
      <c r="XM20" s="548"/>
      <c r="XN20" s="548"/>
      <c r="XO20" s="548"/>
      <c r="XP20" s="548"/>
      <c r="XQ20" s="548"/>
      <c r="XR20" s="548"/>
      <c r="XS20" s="548"/>
      <c r="XT20" s="548"/>
      <c r="XU20" s="548"/>
      <c r="XV20" s="548"/>
      <c r="XW20" s="548"/>
      <c r="XX20" s="548"/>
      <c r="XY20" s="548"/>
      <c r="XZ20" s="548"/>
      <c r="YA20" s="548"/>
      <c r="YB20" s="548"/>
      <c r="YC20" s="548"/>
      <c r="YD20" s="548"/>
      <c r="YE20" s="548"/>
      <c r="YF20" s="548"/>
      <c r="YG20" s="548"/>
      <c r="YH20" s="548"/>
      <c r="YI20" s="548"/>
      <c r="YJ20" s="548"/>
      <c r="YK20" s="548"/>
      <c r="YL20" s="548"/>
      <c r="YM20" s="548"/>
      <c r="YN20" s="548"/>
      <c r="YO20" s="548"/>
      <c r="YP20" s="548"/>
      <c r="YQ20" s="548"/>
      <c r="YR20" s="548"/>
      <c r="YS20" s="548"/>
      <c r="YT20" s="548"/>
      <c r="YU20" s="548"/>
      <c r="YV20" s="548"/>
      <c r="YW20" s="548"/>
      <c r="YX20" s="548"/>
      <c r="YY20" s="548"/>
      <c r="YZ20" s="548"/>
      <c r="ZA20" s="548"/>
      <c r="ZB20" s="548"/>
      <c r="ZC20" s="548"/>
      <c r="ZD20" s="548"/>
      <c r="ZE20" s="548"/>
      <c r="ZF20" s="548"/>
      <c r="ZG20" s="548"/>
      <c r="ZH20" s="548"/>
      <c r="ZI20" s="548"/>
      <c r="ZJ20" s="548"/>
      <c r="ZK20" s="548"/>
      <c r="ZL20" s="548"/>
      <c r="ZM20" s="548"/>
      <c r="ZN20" s="548"/>
      <c r="ZO20" s="548"/>
      <c r="ZP20" s="548"/>
      <c r="ZQ20" s="548"/>
      <c r="ZR20" s="548"/>
      <c r="ZS20" s="548"/>
      <c r="ZT20" s="548"/>
      <c r="ZU20" s="548"/>
      <c r="ZV20" s="548"/>
      <c r="ZW20" s="548"/>
      <c r="ZX20" s="548"/>
      <c r="ZY20" s="548"/>
      <c r="ZZ20" s="548"/>
      <c r="AAA20" s="548"/>
      <c r="AAB20" s="548"/>
      <c r="AAC20" s="548"/>
      <c r="AAD20" s="548"/>
      <c r="AAE20" s="548"/>
      <c r="AAF20" s="548"/>
      <c r="AAG20" s="548"/>
      <c r="AAH20" s="548"/>
      <c r="AAI20" s="548"/>
      <c r="AAJ20" s="548"/>
      <c r="AAK20" s="548"/>
      <c r="AAL20" s="548"/>
      <c r="AAM20" s="548"/>
      <c r="AAN20" s="548"/>
      <c r="AAO20" s="548"/>
      <c r="AAP20" s="548"/>
      <c r="AAQ20" s="548"/>
      <c r="AAR20" s="548"/>
      <c r="AAS20" s="548"/>
      <c r="AAT20" s="548"/>
      <c r="AAU20" s="548"/>
      <c r="AAV20" s="548"/>
      <c r="AAW20" s="548"/>
      <c r="AAX20" s="548"/>
      <c r="AAY20" s="548"/>
      <c r="AAZ20" s="548"/>
      <c r="ABA20" s="548"/>
      <c r="ABB20" s="548"/>
      <c r="ABC20" s="548"/>
      <c r="ABD20" s="548"/>
      <c r="ABE20" s="548"/>
      <c r="ABF20" s="548"/>
      <c r="ABG20" s="548"/>
      <c r="ABH20" s="548"/>
      <c r="ABI20" s="548"/>
      <c r="ABJ20" s="548"/>
      <c r="ABK20" s="548"/>
      <c r="ABL20" s="548"/>
      <c r="ABM20" s="548"/>
      <c r="ABN20" s="548"/>
      <c r="ABO20" s="548"/>
      <c r="ABP20" s="548"/>
      <c r="ABQ20" s="548"/>
      <c r="ABR20" s="548"/>
      <c r="ABS20" s="548"/>
    </row>
    <row r="21" spans="1:747" customFormat="1" ht="15" customHeight="1" x14ac:dyDescent="0.2">
      <c r="A21" s="424" t="str">
        <f t="shared" si="149"/>
        <v/>
      </c>
      <c r="B21" s="415"/>
      <c r="C21" s="525"/>
      <c r="D21" s="750"/>
      <c r="E21" s="416" t="str">
        <f t="shared" si="0"/>
        <v/>
      </c>
      <c r="F21" s="527" t="str">
        <f t="shared" si="1"/>
        <v/>
      </c>
      <c r="G21" s="417"/>
      <c r="H21" s="583" t="str">
        <f t="shared" si="2"/>
        <v/>
      </c>
      <c r="I21" s="424"/>
      <c r="J21" s="749"/>
      <c r="K21" s="418"/>
      <c r="L21" s="419"/>
      <c r="M21" s="415"/>
      <c r="N21" s="420"/>
      <c r="O21" s="653"/>
      <c r="P21" s="561"/>
      <c r="Q21" s="422"/>
      <c r="R21" s="561" t="str">
        <f t="shared" si="3"/>
        <v/>
      </c>
      <c r="S21" s="664"/>
      <c r="T21" s="663"/>
      <c r="U21" s="580">
        <f t="shared" si="4"/>
        <v>0</v>
      </c>
      <c r="V21" s="418"/>
      <c r="W21" s="582" t="str">
        <f t="shared" si="5"/>
        <v/>
      </c>
      <c r="X21" s="479" t="str">
        <f t="shared" si="6"/>
        <v/>
      </c>
      <c r="Y21" s="582" t="str">
        <f t="shared" si="7"/>
        <v/>
      </c>
      <c r="Z21" s="317" t="str">
        <f t="shared" si="8"/>
        <v/>
      </c>
      <c r="AA21" s="317" t="str">
        <f t="shared" si="9"/>
        <v/>
      </c>
      <c r="AB21" s="317">
        <f t="shared" si="10"/>
        <v>0</v>
      </c>
      <c r="AC21" s="317" t="str">
        <f t="shared" si="11"/>
        <v/>
      </c>
      <c r="AD21" s="317"/>
      <c r="AE21" s="479"/>
      <c r="AF21" s="479"/>
      <c r="AG21" s="423"/>
      <c r="AH21" s="820"/>
      <c r="AI21" s="480"/>
      <c r="AJ21" s="660"/>
      <c r="AK21" s="524" t="str">
        <f t="shared" si="12"/>
        <v/>
      </c>
      <c r="AL21" s="719" t="str">
        <f>$AL$5</f>
        <v>itens de Despesas</v>
      </c>
      <c r="AM21" s="719" t="str">
        <f>$AM$5</f>
        <v>total pag. Mod. 2</v>
      </c>
      <c r="AN21" s="426">
        <f t="shared" si="13"/>
        <v>0</v>
      </c>
      <c r="AO21" s="427" t="str">
        <f t="shared" si="37"/>
        <v/>
      </c>
      <c r="AP21" s="426" t="str">
        <f t="shared" si="14"/>
        <v/>
      </c>
      <c r="AQ21" s="485"/>
      <c r="AR21" s="435"/>
      <c r="AS21" s="486"/>
      <c r="AT21" s="487"/>
      <c r="AU21" s="488"/>
      <c r="AV21" s="489"/>
      <c r="AW21" s="490"/>
      <c r="AX21" s="426"/>
      <c r="AY21" s="431">
        <f t="shared" si="15"/>
        <v>0</v>
      </c>
      <c r="AZ21" s="426"/>
      <c r="BA21" s="435" t="str">
        <f t="shared" si="16"/>
        <v/>
      </c>
      <c r="BB21" s="435"/>
      <c r="BC21" s="426"/>
      <c r="BD21" s="426">
        <f t="array" ref="BD21">IF(SUM((BC21=$BC$3:BC20)*1)=0,BC21,0)</f>
        <v>0</v>
      </c>
      <c r="BE21" s="426"/>
      <c r="BF21" s="426"/>
      <c r="BG21" s="426">
        <f t="array" ref="BG21">IF(SUM((BF21=$BF$3:BF20)*1)=0,BF21,0)</f>
        <v>0</v>
      </c>
      <c r="BH21" s="426"/>
      <c r="BI21" s="426"/>
      <c r="BJ21" s="426"/>
      <c r="BK21" s="426"/>
      <c r="BL21" s="426"/>
      <c r="BM21" s="426"/>
      <c r="BN21" s="426"/>
      <c r="BO21" s="426"/>
      <c r="BP21" s="433">
        <f t="shared" si="17"/>
        <v>0</v>
      </c>
      <c r="BQ21" s="426"/>
      <c r="BR21" s="434"/>
      <c r="BS21" s="426"/>
      <c r="BT21" s="433"/>
      <c r="BU21" s="435"/>
      <c r="BV21" s="435" t="str">
        <f t="shared" si="18"/>
        <v/>
      </c>
      <c r="BW21" s="435" t="str">
        <f t="shared" si="38"/>
        <v/>
      </c>
      <c r="BX21" s="495"/>
      <c r="BY21" s="495"/>
      <c r="BZ21" s="495"/>
      <c r="CA21" s="495"/>
      <c r="CB21" s="495"/>
      <c r="CC21" s="495"/>
      <c r="CD21" s="495"/>
      <c r="CE21" s="495"/>
      <c r="CF21" s="495"/>
      <c r="CG21" s="495"/>
      <c r="CH21" s="495"/>
      <c r="CI21" s="495"/>
      <c r="CJ21" s="426" t="str">
        <f t="shared" si="39"/>
        <v/>
      </c>
      <c r="CK21" s="435"/>
      <c r="CL21" s="426"/>
      <c r="CM21" s="435"/>
      <c r="CN21" s="426"/>
      <c r="CO21" s="426"/>
      <c r="CP21" s="426"/>
      <c r="CQ21" s="426"/>
      <c r="CR21" s="426"/>
      <c r="CS21" s="426"/>
      <c r="CT21" s="426"/>
      <c r="CU21" s="426"/>
      <c r="CV21" s="426"/>
      <c r="CW21" s="426"/>
      <c r="CX21" s="426"/>
      <c r="CY21" s="426">
        <v>18</v>
      </c>
      <c r="CZ21" s="426"/>
      <c r="DA21" s="426"/>
      <c r="DB21" s="426"/>
      <c r="DC21" s="426" t="s">
        <v>761</v>
      </c>
      <c r="DD21" s="426" t="s">
        <v>921</v>
      </c>
      <c r="DE21" s="435" t="str">
        <f t="shared" si="40"/>
        <v/>
      </c>
      <c r="DF21" s="435" t="str">
        <f t="shared" si="41"/>
        <v/>
      </c>
      <c r="DG21" s="435" t="str">
        <f t="shared" si="42"/>
        <v/>
      </c>
      <c r="DH21" s="435" t="str">
        <f t="shared" si="43"/>
        <v/>
      </c>
      <c r="DI21" s="435" t="str">
        <f t="shared" si="44"/>
        <v/>
      </c>
      <c r="DJ21" s="435" t="str">
        <f t="shared" si="45"/>
        <v/>
      </c>
      <c r="DK21" s="435" t="str">
        <f t="shared" si="19"/>
        <v/>
      </c>
      <c r="DL21" s="435" t="str">
        <f t="shared" si="20"/>
        <v/>
      </c>
      <c r="DM21" s="435" t="str">
        <f t="shared" si="46"/>
        <v/>
      </c>
      <c r="DN21" s="435" t="str">
        <f t="shared" si="47"/>
        <v/>
      </c>
      <c r="DO21" s="435" t="str">
        <f t="shared" si="21"/>
        <v/>
      </c>
      <c r="DP21" s="435" t="str">
        <f t="shared" si="22"/>
        <v/>
      </c>
      <c r="DQ21" s="435" t="str">
        <f t="shared" si="48"/>
        <v/>
      </c>
      <c r="DR21" s="435" t="str">
        <f t="shared" si="49"/>
        <v/>
      </c>
      <c r="DS21" s="435" t="str">
        <f t="shared" si="23"/>
        <v/>
      </c>
      <c r="DT21" s="435" t="str">
        <f t="shared" si="24"/>
        <v/>
      </c>
      <c r="DU21" s="435" t="str">
        <f t="shared" si="50"/>
        <v/>
      </c>
      <c r="DV21" s="435" t="str">
        <f t="shared" si="51"/>
        <v/>
      </c>
      <c r="DW21" s="435" t="str">
        <f t="shared" si="25"/>
        <v/>
      </c>
      <c r="DX21" s="435" t="str">
        <f t="shared" si="26"/>
        <v/>
      </c>
      <c r="DY21" s="435" t="str">
        <f t="shared" si="52"/>
        <v/>
      </c>
      <c r="DZ21" s="435" t="str">
        <f t="shared" si="53"/>
        <v/>
      </c>
      <c r="EA21" s="435" t="str">
        <f t="shared" si="27"/>
        <v/>
      </c>
      <c r="EB21" s="435" t="str">
        <f t="shared" si="28"/>
        <v/>
      </c>
      <c r="EC21" s="435" t="str">
        <f t="shared" si="29"/>
        <v/>
      </c>
      <c r="ED21" s="435" t="str">
        <f t="shared" si="30"/>
        <v/>
      </c>
      <c r="EE21" s="435" t="str">
        <f t="shared" si="31"/>
        <v/>
      </c>
      <c r="EF21" s="435" t="str">
        <f t="shared" si="32"/>
        <v/>
      </c>
      <c r="EG21" s="435" t="str">
        <f t="shared" si="33"/>
        <v/>
      </c>
      <c r="EH21" s="435" t="str">
        <f t="shared" si="34"/>
        <v/>
      </c>
      <c r="EI21" s="435" t="str">
        <f t="shared" si="35"/>
        <v/>
      </c>
      <c r="EJ21" s="435" t="str">
        <f t="shared" si="36"/>
        <v/>
      </c>
      <c r="EK21" s="485"/>
      <c r="EL21" s="485"/>
      <c r="EM21" s="485"/>
      <c r="EN21" s="485"/>
      <c r="EO21" s="448"/>
      <c r="EP21" s="448"/>
      <c r="EQ21" s="448"/>
      <c r="ER21" s="448"/>
      <c r="ES21" s="448"/>
      <c r="ET21" s="435"/>
      <c r="EU21" s="435"/>
      <c r="EV21" s="435"/>
      <c r="EW21" s="435"/>
      <c r="EX21" s="426"/>
      <c r="EY21" s="426"/>
      <c r="EZ21" s="426"/>
      <c r="FA21" s="427"/>
      <c r="FB21" s="427">
        <f t="array" ref="FB21">IF(SUM((FA21=$FA$3:FA20)*1)=0,FA21,0)</f>
        <v>0</v>
      </c>
      <c r="FC21" s="427"/>
      <c r="FD21" s="427"/>
      <c r="FE21" s="427">
        <f t="array" ref="FE21">IF(SUM((FD21=$FD$3:FD20)*1)=0,FD21,0)</f>
        <v>0</v>
      </c>
      <c r="FF21" s="427"/>
      <c r="FG21" s="427"/>
      <c r="FH21" s="427"/>
      <c r="FI21" s="427">
        <f t="array" ref="FI21">IF(SUM((FH21=$FH$3:FH20)*1)=0,FH21,0)</f>
        <v>0</v>
      </c>
      <c r="FJ21" s="427"/>
      <c r="FK21" s="427"/>
      <c r="FL21" s="427">
        <f t="array" ref="FL21">IF(SUM((FK21=$FK$3:FK20)*1)=0,FK21,0)</f>
        <v>0</v>
      </c>
      <c r="FM21" s="427"/>
      <c r="FN21" s="427"/>
      <c r="FO21" s="427"/>
      <c r="FP21" s="427">
        <f t="array" ref="FP21">IF(SUM((FO21=$FO$3:FO20)*1)=0,FO21,0)</f>
        <v>0</v>
      </c>
      <c r="FQ21" s="427"/>
      <c r="FR21" s="427"/>
      <c r="FS21" s="427">
        <f t="array" ref="FS21">IF(SUM((FR21=$FR$3:FR20)*1)=0,FR21,0)</f>
        <v>0</v>
      </c>
      <c r="FT21" s="427"/>
      <c r="FU21" s="427"/>
      <c r="FV21" s="427"/>
      <c r="FW21" s="427">
        <f t="array" ref="FW21">IF(SUM((FV21=$FV$3:FV20)*1)=0,FV21,0)</f>
        <v>0</v>
      </c>
      <c r="FX21" s="427"/>
      <c r="FY21" s="427"/>
      <c r="FZ21" s="427">
        <f t="array" ref="FZ21">IF(SUM((FY21=$FY$3:FY20)*1)=0,FY21,0)</f>
        <v>0</v>
      </c>
      <c r="GA21" s="427"/>
      <c r="GB21" s="427"/>
      <c r="GC21" s="427"/>
      <c r="GD21" s="427">
        <f t="array" ref="GD21">IF(SUM((GC21=$GC$3:GC20)*1)=0,GC21,0)</f>
        <v>0</v>
      </c>
      <c r="GE21" s="427"/>
      <c r="GF21" s="427"/>
      <c r="GG21" s="427">
        <f t="array" ref="GG21">IF(SUM((GF21=$GF$3:GF20)*1)=0,GF21,0)</f>
        <v>0</v>
      </c>
      <c r="GH21" s="427"/>
      <c r="GI21" s="427"/>
      <c r="GJ21" s="427"/>
      <c r="GK21" s="798">
        <f t="array" ref="GK21">IF(SUM((GJ21=$GJ$3:GJ20)*1)=0,GJ21,0)</f>
        <v>0</v>
      </c>
      <c r="GL21" s="427"/>
      <c r="GM21" s="427"/>
      <c r="GN21" s="798">
        <f t="array" ref="GN21">IF(SUM((GM21=$GM$3:GM20)*1)=0,GM21,0)</f>
        <v>0</v>
      </c>
      <c r="GO21" s="427"/>
      <c r="GP21" s="427"/>
      <c r="GQ21" s="427"/>
      <c r="GR21" s="798">
        <f t="array" ref="GR21">IF(SUM((GQ21=$GQ$3:GQ20)*1)=0,GQ21,0)</f>
        <v>0</v>
      </c>
      <c r="GS21" s="427"/>
      <c r="GT21" s="427"/>
      <c r="GU21" s="798">
        <f t="array" ref="GU21">IF(SUM((GT21=$GT$3:GT20)*1)=0,GT21,0)</f>
        <v>0</v>
      </c>
      <c r="GV21" s="427"/>
      <c r="GW21" s="427"/>
      <c r="GX21" s="427"/>
      <c r="GY21" s="798">
        <f t="array" ref="GY21">IF(SUM((GX21=$GX$3:GX20)*1)=0,GX21,0)</f>
        <v>0</v>
      </c>
      <c r="GZ21" s="427"/>
      <c r="HA21" s="427"/>
      <c r="HB21" s="798">
        <f t="array" ref="HB21">IF(SUM((HA21=$HA$3:HA20)*1)=0,HA21,0)</f>
        <v>0</v>
      </c>
      <c r="HC21" s="427"/>
      <c r="HD21" s="427"/>
      <c r="HE21" s="769" t="str">
        <f t="shared" si="130"/>
        <v/>
      </c>
      <c r="HF21" s="768" t="str">
        <f t="shared" si="54"/>
        <v/>
      </c>
      <c r="HG21" s="769" t="str">
        <f t="shared" si="131"/>
        <v/>
      </c>
      <c r="HH21" s="768" t="str">
        <f t="shared" si="55"/>
        <v/>
      </c>
      <c r="HI21" s="728" t="str">
        <f t="shared" si="132"/>
        <v/>
      </c>
      <c r="HJ21" s="768" t="str">
        <f t="shared" si="56"/>
        <v/>
      </c>
      <c r="HK21" s="728" t="str">
        <f t="shared" si="133"/>
        <v/>
      </c>
      <c r="HL21" s="768" t="str">
        <f t="shared" si="57"/>
        <v/>
      </c>
      <c r="HM21" s="769" t="str">
        <f t="shared" si="58"/>
        <v/>
      </c>
      <c r="HN21" s="768" t="str">
        <f t="shared" ref="HN21" si="262">IF(HM21&lt;0,"Invadiu REP-BA-C","")</f>
        <v/>
      </c>
      <c r="HO21" s="769" t="str">
        <f t="shared" si="60"/>
        <v/>
      </c>
      <c r="HP21" s="768" t="str">
        <f t="shared" si="61"/>
        <v/>
      </c>
      <c r="HQ21" s="728" t="str">
        <f t="shared" si="62"/>
        <v/>
      </c>
      <c r="HR21" s="768" t="str">
        <f t="shared" si="63"/>
        <v/>
      </c>
      <c r="HS21" s="728" t="str">
        <f t="shared" si="64"/>
        <v/>
      </c>
      <c r="HT21" s="768" t="str">
        <f t="shared" si="65"/>
        <v/>
      </c>
      <c r="HU21" s="769" t="str">
        <f t="shared" si="66"/>
        <v/>
      </c>
      <c r="HV21" s="768" t="str">
        <f t="shared" ref="HV21" si="263">IF(HU21&lt;0,"Invadiu REP-BA-C","")</f>
        <v/>
      </c>
      <c r="HW21" s="769" t="str">
        <f t="shared" si="68"/>
        <v/>
      </c>
      <c r="HX21" s="768" t="str">
        <f t="shared" si="69"/>
        <v/>
      </c>
      <c r="HY21" s="728" t="str">
        <f t="shared" si="70"/>
        <v/>
      </c>
      <c r="HZ21" s="768" t="str">
        <f t="shared" si="71"/>
        <v/>
      </c>
      <c r="IA21" s="728" t="str">
        <f t="shared" si="72"/>
        <v/>
      </c>
      <c r="IB21" s="768" t="str">
        <f t="shared" si="73"/>
        <v/>
      </c>
      <c r="IC21" s="769" t="str">
        <f t="shared" si="74"/>
        <v/>
      </c>
      <c r="ID21" s="768" t="str">
        <f t="shared" ref="ID21" si="264">IF(IC21&lt;0,"Invadiu REP-BA-C","")</f>
        <v/>
      </c>
      <c r="IE21" s="769" t="str">
        <f t="shared" si="76"/>
        <v/>
      </c>
      <c r="IF21" s="768" t="str">
        <f t="shared" si="77"/>
        <v/>
      </c>
      <c r="IG21" s="728" t="str">
        <f t="shared" si="78"/>
        <v/>
      </c>
      <c r="IH21" s="768" t="str">
        <f t="shared" si="79"/>
        <v/>
      </c>
      <c r="II21" s="728" t="str">
        <f t="shared" si="80"/>
        <v/>
      </c>
      <c r="IJ21" s="768" t="str">
        <f t="shared" si="81"/>
        <v/>
      </c>
      <c r="IK21" s="769" t="str">
        <f t="shared" si="82"/>
        <v/>
      </c>
      <c r="IL21" s="768" t="str">
        <f t="shared" ref="IL21" si="265">IF(IK21&lt;0,"Invadiu REP-BA-C","")</f>
        <v/>
      </c>
      <c r="IM21" s="769" t="str">
        <f t="shared" si="84"/>
        <v/>
      </c>
      <c r="IN21" s="768" t="str">
        <f t="shared" si="85"/>
        <v/>
      </c>
      <c r="IO21" s="728" t="str">
        <f t="shared" si="86"/>
        <v/>
      </c>
      <c r="IP21" s="768" t="str">
        <f t="shared" si="87"/>
        <v/>
      </c>
      <c r="IQ21" s="728" t="str">
        <f t="shared" si="88"/>
        <v/>
      </c>
      <c r="IR21" s="768" t="str">
        <f t="shared" si="89"/>
        <v/>
      </c>
      <c r="IS21" s="769" t="str">
        <f t="shared" si="90"/>
        <v/>
      </c>
      <c r="IT21" s="768" t="str">
        <f t="shared" ref="IT21" si="266">IF(IS21&lt;0,"Invadiu REP-BA-C","")</f>
        <v/>
      </c>
      <c r="IU21" s="769" t="str">
        <f t="shared" si="92"/>
        <v/>
      </c>
      <c r="IV21" s="768" t="str">
        <f t="shared" si="93"/>
        <v/>
      </c>
      <c r="IW21" s="728" t="str">
        <f t="shared" si="94"/>
        <v/>
      </c>
      <c r="IX21" s="768" t="str">
        <f t="shared" si="95"/>
        <v/>
      </c>
      <c r="IY21" s="728" t="str">
        <f t="shared" si="96"/>
        <v/>
      </c>
      <c r="IZ21" s="768" t="str">
        <f t="shared" si="97"/>
        <v/>
      </c>
      <c r="JA21" s="769" t="str">
        <f t="shared" si="98"/>
        <v/>
      </c>
      <c r="JB21" s="768" t="str">
        <f t="shared" ref="JB21" si="267">IF(JA21&lt;0,"Invadiu REP-BA-C","")</f>
        <v/>
      </c>
      <c r="JC21" s="769" t="str">
        <f t="shared" si="100"/>
        <v/>
      </c>
      <c r="JD21" s="768" t="str">
        <f t="shared" si="101"/>
        <v/>
      </c>
      <c r="JE21" s="728" t="str">
        <f t="shared" si="102"/>
        <v/>
      </c>
      <c r="JF21" s="768" t="str">
        <f t="shared" si="103"/>
        <v/>
      </c>
      <c r="JG21" s="728" t="str">
        <f t="shared" si="104"/>
        <v/>
      </c>
      <c r="JH21" s="768" t="str">
        <f t="shared" si="105"/>
        <v/>
      </c>
      <c r="JI21" s="769" t="str">
        <f t="shared" si="106"/>
        <v/>
      </c>
      <c r="JJ21" s="768" t="str">
        <f t="shared" ref="JJ21" si="268">IF(JI21&lt;0,"Invadiu REP-BA-C","")</f>
        <v/>
      </c>
      <c r="JK21" s="769" t="str">
        <f t="shared" si="108"/>
        <v/>
      </c>
      <c r="JL21" s="768" t="str">
        <f t="shared" si="109"/>
        <v/>
      </c>
      <c r="JM21" s="728" t="str">
        <f t="shared" si="110"/>
        <v/>
      </c>
      <c r="JN21" s="768" t="str">
        <f t="shared" si="111"/>
        <v/>
      </c>
      <c r="JO21" s="728" t="str">
        <f t="shared" si="112"/>
        <v/>
      </c>
      <c r="JP21" s="768" t="str">
        <f t="shared" si="113"/>
        <v/>
      </c>
      <c r="JQ21" s="769" t="str">
        <f t="shared" si="114"/>
        <v/>
      </c>
      <c r="JR21" s="768" t="str">
        <f t="shared" ref="JR21" si="269">IF(JQ21&lt;0,"Invadiu REP-BA-C","")</f>
        <v/>
      </c>
      <c r="JS21" s="769" t="str">
        <f t="shared" si="116"/>
        <v/>
      </c>
      <c r="JT21" s="768" t="str">
        <f t="shared" si="117"/>
        <v/>
      </c>
      <c r="JU21" s="728" t="str">
        <f t="shared" si="118"/>
        <v/>
      </c>
      <c r="JV21" s="768" t="str">
        <f t="shared" si="119"/>
        <v/>
      </c>
      <c r="JW21" s="728" t="str">
        <f t="shared" si="120"/>
        <v/>
      </c>
      <c r="JX21" s="768" t="str">
        <f t="shared" si="121"/>
        <v/>
      </c>
      <c r="JY21" s="768" t="str">
        <f t="shared" si="122"/>
        <v/>
      </c>
      <c r="JZ21" s="485" t="str">
        <f>IF(JY21="","",IF(AND(C21=$C$164,JY21&lt;&gt;""),Verificarcpf(D21),IF(AND(C21=$C$165,JY21&lt;&gt;""),VerificarCNPJ(D21))))</f>
        <v/>
      </c>
      <c r="KA21" s="768" t="str">
        <f t="shared" si="123"/>
        <v/>
      </c>
      <c r="KB21" s="485">
        <f t="shared" si="124"/>
        <v>0</v>
      </c>
      <c r="KC21" s="768">
        <f t="shared" si="125"/>
        <v>0</v>
      </c>
      <c r="KD21" s="485">
        <f t="shared" si="126"/>
        <v>0</v>
      </c>
      <c r="KE21" s="448"/>
      <c r="KF21" s="548">
        <f t="shared" si="127"/>
        <v>0</v>
      </c>
      <c r="KG21" s="548" t="s">
        <v>506</v>
      </c>
      <c r="KH21" s="548"/>
      <c r="KI21" s="548"/>
      <c r="KJ21" s="548" t="str">
        <f t="shared" si="128"/>
        <v/>
      </c>
      <c r="KK21" s="548"/>
      <c r="KL21" s="548"/>
      <c r="KM21" s="548">
        <f t="array" ref="KM21">IF(SUM((KL21=$KL$3:KL20)*1)=0,KL21,0)</f>
        <v>0</v>
      </c>
      <c r="KN21" s="548"/>
      <c r="KO21" s="548"/>
      <c r="KP21" s="548"/>
      <c r="KQ21" s="548"/>
      <c r="KR21" s="548" t="str">
        <f t="shared" si="129"/>
        <v/>
      </c>
      <c r="KS21" s="548"/>
      <c r="KT21" s="548"/>
      <c r="KU21" s="548"/>
      <c r="KV21" s="548"/>
      <c r="KW21" s="548"/>
      <c r="KX21" s="548"/>
      <c r="KY21" s="548"/>
      <c r="KZ21" s="548"/>
      <c r="LA21" s="548"/>
      <c r="LB21" s="548"/>
      <c r="LC21" s="485" t="str">
        <f t="shared" si="142"/>
        <v/>
      </c>
      <c r="LD21" s="548"/>
      <c r="LE21" s="548"/>
      <c r="LF21" s="548"/>
      <c r="LG21" s="548"/>
      <c r="LH21" s="548"/>
      <c r="LI21" s="548"/>
      <c r="LJ21" s="548"/>
      <c r="LK21" s="548"/>
      <c r="LL21" s="548"/>
      <c r="LM21" s="548"/>
      <c r="LN21" s="548"/>
      <c r="LO21" s="548"/>
      <c r="LP21" s="485" t="str">
        <f t="shared" si="143"/>
        <v/>
      </c>
      <c r="LQ21" s="548"/>
      <c r="LR21" s="548"/>
      <c r="LS21" s="548"/>
      <c r="LT21" s="548"/>
      <c r="LU21" s="548"/>
      <c r="LV21" s="548"/>
      <c r="LW21" s="548"/>
      <c r="LX21" s="548"/>
      <c r="LY21" s="548"/>
      <c r="LZ21" s="548"/>
      <c r="MA21" s="548"/>
      <c r="MB21" s="548"/>
      <c r="MC21" s="485" t="str">
        <f t="shared" si="144"/>
        <v/>
      </c>
      <c r="MD21" s="548"/>
      <c r="ME21" s="548"/>
      <c r="MF21" s="548"/>
      <c r="MG21" s="548"/>
      <c r="MH21" s="548"/>
      <c r="MI21" s="548"/>
      <c r="MJ21" s="548"/>
      <c r="MK21" s="548"/>
      <c r="ML21" s="548"/>
      <c r="MM21" s="548"/>
      <c r="MN21" s="548"/>
      <c r="MO21" s="548"/>
      <c r="MP21" s="485" t="str">
        <f t="shared" si="145"/>
        <v/>
      </c>
      <c r="MQ21" s="548"/>
      <c r="MR21" s="548"/>
      <c r="MS21" s="548"/>
      <c r="MT21" s="548"/>
      <c r="MU21" s="548"/>
      <c r="MV21" s="548"/>
      <c r="MW21" s="548"/>
      <c r="MX21" s="548"/>
      <c r="MY21" s="548"/>
      <c r="MZ21" s="548"/>
      <c r="NA21" s="548"/>
      <c r="NB21" s="548"/>
      <c r="NC21" s="485" t="str">
        <f t="shared" si="146"/>
        <v/>
      </c>
      <c r="ND21" s="548"/>
      <c r="NE21" s="548"/>
      <c r="NF21" s="548"/>
      <c r="NG21" s="548"/>
      <c r="NH21" s="548"/>
      <c r="NI21" s="548"/>
      <c r="NJ21" s="548"/>
      <c r="NK21" s="548"/>
      <c r="NL21" s="548"/>
      <c r="NM21" s="548"/>
      <c r="NN21" s="548"/>
      <c r="NO21" s="548"/>
      <c r="NP21" s="485" t="str">
        <f t="shared" si="147"/>
        <v/>
      </c>
      <c r="NQ21" s="548"/>
      <c r="NR21" s="548"/>
      <c r="NS21" s="548"/>
      <c r="NT21" s="548"/>
      <c r="NU21" s="548"/>
      <c r="NV21" s="548"/>
      <c r="NW21" s="548"/>
      <c r="NX21" s="548"/>
      <c r="NY21" s="548"/>
      <c r="NZ21" s="548"/>
      <c r="OA21" s="548"/>
      <c r="OB21" s="548"/>
      <c r="OC21" s="485" t="str">
        <f t="shared" si="148"/>
        <v/>
      </c>
      <c r="OD21" s="548"/>
      <c r="OE21" s="548"/>
      <c r="OF21" s="548"/>
      <c r="OG21" s="548"/>
      <c r="OH21" s="548"/>
      <c r="OI21" s="548"/>
      <c r="OJ21" s="548"/>
      <c r="OK21" s="548"/>
      <c r="OL21" s="548"/>
      <c r="OM21" s="548"/>
      <c r="ON21" s="548"/>
      <c r="OO21" s="548"/>
      <c r="OP21" s="548"/>
      <c r="OQ21" s="548"/>
      <c r="OR21" s="548"/>
      <c r="OS21" s="548"/>
      <c r="OT21" s="548"/>
      <c r="OU21" s="548"/>
      <c r="OV21" s="548"/>
      <c r="OW21" s="548"/>
      <c r="OX21" s="548"/>
      <c r="OY21" s="548"/>
      <c r="OZ21" s="548"/>
      <c r="PA21" s="548"/>
      <c r="PB21" s="548"/>
      <c r="PC21" s="548"/>
      <c r="PD21" s="548"/>
      <c r="PE21" s="548"/>
      <c r="PF21" s="548"/>
      <c r="PG21" s="548"/>
      <c r="PH21" s="548"/>
      <c r="PI21" s="548"/>
      <c r="PJ21" s="548"/>
      <c r="PK21" s="548"/>
      <c r="PL21" s="548"/>
      <c r="PM21" s="548"/>
      <c r="PN21" s="548"/>
      <c r="PO21" s="548"/>
      <c r="PP21" s="548"/>
      <c r="PQ21" s="548"/>
      <c r="PR21" s="548"/>
      <c r="PS21" s="548"/>
      <c r="PT21" s="548"/>
      <c r="PU21" s="548"/>
      <c r="PV21" s="548"/>
      <c r="PW21" s="548"/>
      <c r="PX21" s="548"/>
      <c r="PY21" s="548"/>
      <c r="PZ21" s="548"/>
      <c r="QA21" s="548"/>
      <c r="QB21" s="548"/>
      <c r="QC21" s="548"/>
      <c r="QD21" s="548"/>
      <c r="QE21" s="548"/>
      <c r="QF21" s="548"/>
      <c r="QG21" s="548"/>
      <c r="QH21" s="548"/>
      <c r="QI21" s="548"/>
      <c r="QJ21" s="548"/>
      <c r="QK21" s="548"/>
      <c r="QL21" s="548"/>
      <c r="QM21" s="548"/>
      <c r="QN21" s="548"/>
      <c r="QO21" s="548"/>
      <c r="QP21" s="548"/>
      <c r="QQ21" s="1009"/>
      <c r="QR21" s="548"/>
      <c r="QS21" s="548"/>
      <c r="QT21" s="548"/>
      <c r="QU21" s="548"/>
      <c r="QV21" s="548"/>
      <c r="QW21" s="548"/>
      <c r="QX21" s="548"/>
      <c r="QY21" s="548"/>
      <c r="QZ21" s="548"/>
      <c r="RA21" s="548"/>
      <c r="RB21" s="548"/>
      <c r="RC21" s="548"/>
      <c r="RD21" s="548"/>
      <c r="RE21" s="548"/>
      <c r="RF21" s="548"/>
      <c r="RG21" s="548"/>
      <c r="RH21" s="548"/>
      <c r="RI21" s="548"/>
      <c r="RJ21" s="548"/>
      <c r="RK21" s="548"/>
      <c r="RL21" s="548"/>
      <c r="RM21" s="548"/>
      <c r="RN21" s="548"/>
      <c r="RO21" s="548"/>
      <c r="RP21" s="548"/>
      <c r="RQ21" s="548"/>
      <c r="RR21" s="548"/>
      <c r="RS21" s="548"/>
      <c r="RT21" s="548"/>
      <c r="RU21" s="548"/>
      <c r="RV21" s="548"/>
      <c r="RW21" s="548"/>
      <c r="RX21" s="548"/>
      <c r="RY21" s="548"/>
      <c r="RZ21" s="548"/>
      <c r="SA21" s="548"/>
      <c r="SB21" s="548"/>
      <c r="SC21" s="548"/>
      <c r="SD21" s="548"/>
      <c r="SE21" s="548"/>
      <c r="SF21" s="548"/>
      <c r="SG21" s="548"/>
      <c r="SH21" s="548"/>
      <c r="SI21" s="548"/>
      <c r="SJ21" s="548"/>
      <c r="SK21" s="548"/>
      <c r="SL21" s="548"/>
      <c r="SM21" s="548"/>
      <c r="SN21" s="548"/>
      <c r="SO21" s="548"/>
      <c r="SP21" s="548"/>
      <c r="SQ21" s="548"/>
      <c r="SR21" s="548"/>
      <c r="SS21" s="548"/>
      <c r="ST21" s="548"/>
      <c r="SU21" s="548"/>
      <c r="SV21" s="548"/>
      <c r="SW21" s="548"/>
      <c r="SX21" s="548"/>
      <c r="SY21" s="548"/>
      <c r="SZ21" s="548"/>
      <c r="TA21" s="548"/>
      <c r="TB21" s="548"/>
      <c r="TC21" s="548"/>
      <c r="TD21" s="548"/>
      <c r="TE21" s="548"/>
      <c r="TF21" s="548"/>
      <c r="TG21" s="548"/>
      <c r="TH21" s="548"/>
      <c r="TI21" s="548"/>
      <c r="TJ21" s="548"/>
      <c r="TK21" s="548"/>
      <c r="TL21" s="548"/>
      <c r="TM21" s="548"/>
      <c r="TN21" s="548"/>
      <c r="TO21" s="548"/>
      <c r="TP21" s="548"/>
      <c r="TQ21" s="548"/>
      <c r="TR21" s="548"/>
      <c r="TS21" s="548"/>
      <c r="TT21" s="548"/>
      <c r="TU21" s="548"/>
      <c r="TV21" s="548"/>
      <c r="TW21" s="548"/>
      <c r="TX21" s="548"/>
      <c r="TY21" s="548"/>
      <c r="TZ21" s="548"/>
      <c r="UA21" s="548"/>
      <c r="UB21" s="548"/>
      <c r="UC21" s="548"/>
      <c r="UD21" s="548"/>
      <c r="UE21" s="548"/>
      <c r="UF21" s="548"/>
      <c r="UG21" s="548"/>
      <c r="UH21" s="548"/>
      <c r="UI21" s="548"/>
      <c r="UJ21" s="548"/>
      <c r="UK21" s="548"/>
      <c r="UL21" s="548"/>
      <c r="UM21" s="548"/>
      <c r="UN21" s="548"/>
      <c r="UO21" s="548"/>
      <c r="UP21" s="548"/>
      <c r="UQ21" s="548"/>
      <c r="UR21" s="548"/>
      <c r="US21" s="548"/>
      <c r="UT21" s="548"/>
      <c r="UU21" s="548"/>
      <c r="UV21" s="548"/>
      <c r="UW21" s="548"/>
      <c r="UX21" s="548"/>
      <c r="UY21" s="548"/>
      <c r="UZ21" s="548"/>
      <c r="VA21" s="548"/>
      <c r="VB21" s="548"/>
      <c r="VC21" s="548"/>
      <c r="VD21" s="548"/>
      <c r="VE21" s="548"/>
      <c r="VF21" s="548"/>
      <c r="VG21" s="548"/>
      <c r="VH21" s="548"/>
      <c r="VI21" s="548"/>
      <c r="VJ21" s="548"/>
      <c r="VK21" s="548"/>
      <c r="VL21" s="548"/>
      <c r="VM21" s="548"/>
      <c r="VN21" s="548"/>
      <c r="VO21" s="548"/>
      <c r="VP21" s="548"/>
      <c r="VQ21" s="548"/>
      <c r="VR21" s="548"/>
      <c r="VS21" s="548"/>
      <c r="VT21" s="548"/>
      <c r="VU21" s="548"/>
      <c r="VV21" s="548"/>
      <c r="VW21" s="548"/>
      <c r="VX21" s="548"/>
      <c r="VY21" s="548"/>
      <c r="VZ21" s="548"/>
      <c r="WA21" s="548"/>
      <c r="WB21" s="548"/>
      <c r="WC21" s="548"/>
      <c r="WD21" s="548"/>
      <c r="WE21" s="548"/>
      <c r="WF21" s="548"/>
      <c r="WG21" s="548"/>
      <c r="WH21" s="548"/>
      <c r="WI21" s="548"/>
      <c r="WJ21" s="548"/>
      <c r="WK21" s="548"/>
      <c r="WL21" s="548"/>
      <c r="WM21" s="548"/>
      <c r="WN21" s="548"/>
      <c r="WO21" s="548"/>
      <c r="WP21" s="548"/>
      <c r="WQ21" s="548"/>
      <c r="WR21" s="548"/>
      <c r="WS21" s="548"/>
      <c r="WT21" s="548"/>
      <c r="WU21" s="548"/>
      <c r="WV21" s="548"/>
      <c r="WW21" s="548"/>
      <c r="WX21" s="548"/>
      <c r="WY21" s="548"/>
      <c r="WZ21" s="548"/>
      <c r="XA21" s="548"/>
      <c r="XB21" s="548"/>
      <c r="XC21" s="548"/>
      <c r="XD21" s="548"/>
      <c r="XE21" s="548"/>
      <c r="XF21" s="548"/>
      <c r="XG21" s="548"/>
      <c r="XH21" s="548"/>
      <c r="XI21" s="548"/>
      <c r="XJ21" s="548"/>
      <c r="XK21" s="548"/>
      <c r="XL21" s="548"/>
      <c r="XM21" s="548"/>
      <c r="XN21" s="548"/>
      <c r="XO21" s="548"/>
      <c r="XP21" s="548"/>
      <c r="XQ21" s="548"/>
      <c r="XR21" s="548"/>
      <c r="XS21" s="548"/>
      <c r="XT21" s="548"/>
      <c r="XU21" s="548"/>
      <c r="XV21" s="548"/>
      <c r="XW21" s="548"/>
      <c r="XX21" s="548"/>
      <c r="XY21" s="548"/>
      <c r="XZ21" s="548"/>
      <c r="YA21" s="548"/>
      <c r="YB21" s="548"/>
      <c r="YC21" s="548"/>
      <c r="YD21" s="548"/>
      <c r="YE21" s="548"/>
      <c r="YF21" s="548"/>
      <c r="YG21" s="548"/>
      <c r="YH21" s="548"/>
      <c r="YI21" s="548"/>
      <c r="YJ21" s="548"/>
      <c r="YK21" s="548"/>
      <c r="YL21" s="548"/>
      <c r="YM21" s="548"/>
      <c r="YN21" s="548"/>
      <c r="YO21" s="548"/>
      <c r="YP21" s="548"/>
      <c r="YQ21" s="548"/>
      <c r="YR21" s="548"/>
      <c r="YS21" s="548"/>
      <c r="YT21" s="548"/>
      <c r="YU21" s="548"/>
      <c r="YV21" s="548"/>
      <c r="YW21" s="548"/>
      <c r="YX21" s="548"/>
      <c r="YY21" s="548"/>
      <c r="YZ21" s="548"/>
      <c r="ZA21" s="548"/>
      <c r="ZB21" s="548"/>
      <c r="ZC21" s="548"/>
      <c r="ZD21" s="548"/>
      <c r="ZE21" s="548"/>
      <c r="ZF21" s="548"/>
      <c r="ZG21" s="548"/>
      <c r="ZH21" s="548"/>
      <c r="ZI21" s="548"/>
      <c r="ZJ21" s="548"/>
      <c r="ZK21" s="548"/>
      <c r="ZL21" s="548"/>
      <c r="ZM21" s="548"/>
      <c r="ZN21" s="548"/>
      <c r="ZO21" s="548"/>
      <c r="ZP21" s="548"/>
      <c r="ZQ21" s="548"/>
      <c r="ZR21" s="548"/>
      <c r="ZS21" s="548"/>
      <c r="ZT21" s="548"/>
      <c r="ZU21" s="548"/>
      <c r="ZV21" s="548"/>
      <c r="ZW21" s="548"/>
      <c r="ZX21" s="548"/>
      <c r="ZY21" s="548"/>
      <c r="ZZ21" s="548"/>
      <c r="AAA21" s="548"/>
      <c r="AAB21" s="548"/>
      <c r="AAC21" s="548"/>
      <c r="AAD21" s="548"/>
      <c r="AAE21" s="548"/>
      <c r="AAF21" s="548"/>
      <c r="AAG21" s="548"/>
      <c r="AAH21" s="548"/>
      <c r="AAI21" s="548"/>
      <c r="AAJ21" s="548"/>
      <c r="AAK21" s="548"/>
      <c r="AAL21" s="548"/>
      <c r="AAM21" s="548"/>
      <c r="AAN21" s="548"/>
      <c r="AAO21" s="548"/>
      <c r="AAP21" s="548"/>
      <c r="AAQ21" s="548"/>
      <c r="AAR21" s="548"/>
      <c r="AAS21" s="548"/>
      <c r="AAT21" s="548"/>
      <c r="AAU21" s="548"/>
      <c r="AAV21" s="548"/>
      <c r="AAW21" s="548"/>
      <c r="AAX21" s="548"/>
      <c r="AAY21" s="548"/>
      <c r="AAZ21" s="548"/>
      <c r="ABA21" s="548"/>
      <c r="ABB21" s="548"/>
      <c r="ABC21" s="548"/>
      <c r="ABD21" s="548"/>
      <c r="ABE21" s="548"/>
      <c r="ABF21" s="548"/>
      <c r="ABG21" s="548"/>
      <c r="ABH21" s="548"/>
      <c r="ABI21" s="548"/>
      <c r="ABJ21" s="548"/>
      <c r="ABK21" s="548"/>
      <c r="ABL21" s="548"/>
      <c r="ABM21" s="548"/>
      <c r="ABN21" s="548"/>
      <c r="ABO21" s="548"/>
      <c r="ABP21" s="548"/>
      <c r="ABQ21" s="548"/>
      <c r="ABR21" s="548"/>
      <c r="ABS21" s="548"/>
    </row>
    <row r="22" spans="1:747" customFormat="1" ht="15" customHeight="1" thickBot="1" x14ac:dyDescent="0.25">
      <c r="A22" s="424" t="str">
        <f t="shared" si="149"/>
        <v/>
      </c>
      <c r="B22" s="415"/>
      <c r="C22" s="525"/>
      <c r="D22" s="750"/>
      <c r="E22" s="416" t="str">
        <f t="shared" si="0"/>
        <v/>
      </c>
      <c r="F22" s="527" t="str">
        <f t="shared" si="1"/>
        <v/>
      </c>
      <c r="G22" s="417"/>
      <c r="H22" s="583" t="str">
        <f t="shared" si="2"/>
        <v/>
      </c>
      <c r="I22" s="424"/>
      <c r="J22" s="749"/>
      <c r="K22" s="418"/>
      <c r="L22" s="419"/>
      <c r="M22" s="523"/>
      <c r="N22" s="420"/>
      <c r="O22" s="653"/>
      <c r="P22" s="561"/>
      <c r="Q22" s="422"/>
      <c r="R22" s="561" t="str">
        <f t="shared" si="3"/>
        <v/>
      </c>
      <c r="S22" s="664"/>
      <c r="T22" s="663"/>
      <c r="U22" s="580">
        <f t="shared" si="4"/>
        <v>0</v>
      </c>
      <c r="V22" s="418"/>
      <c r="W22" s="582" t="str">
        <f t="shared" si="5"/>
        <v/>
      </c>
      <c r="X22" s="479" t="str">
        <f t="shared" si="6"/>
        <v/>
      </c>
      <c r="Y22" s="582" t="str">
        <f t="shared" si="7"/>
        <v/>
      </c>
      <c r="Z22" s="317" t="str">
        <f t="shared" si="8"/>
        <v/>
      </c>
      <c r="AA22" s="317" t="str">
        <f t="shared" si="9"/>
        <v/>
      </c>
      <c r="AB22" s="317">
        <f t="shared" si="10"/>
        <v>0</v>
      </c>
      <c r="AC22" s="317" t="str">
        <f t="shared" si="11"/>
        <v/>
      </c>
      <c r="AD22" s="317"/>
      <c r="AE22" s="479"/>
      <c r="AF22" s="479"/>
      <c r="AG22" s="423"/>
      <c r="AH22" s="820"/>
      <c r="AI22" s="480"/>
      <c r="AJ22" s="660"/>
      <c r="AK22" s="524" t="str">
        <f t="shared" si="12"/>
        <v/>
      </c>
      <c r="AL22" s="507">
        <f>COUNTIF($J$4:$J$163,"Volta Aulas")</f>
        <v>0</v>
      </c>
      <c r="AM22" s="507">
        <f>IF(AL22&lt;=15,1,IF(AND(AL22&gt;15,AL22&lt;=29),2,IF(AND(AL22&gt;29,AL22&lt;=43),3,IF(AND(AL22&gt;43,AL22&lt;=57),4,IF(AND(AL22&gt;57,AL22&lt;=71),5,IF(AND(AL22&gt;71,AL22&lt;=85),6,IF(AND(AL22&gt;85,AL22&lt;=99),7,IF(AND(AL22&gt;99,AL22&lt;=113),8,IF(AND(AL22&gt;113,AL22&lt;=127),9,IF(AND(AL22&gt;127,AL22&lt;=141),10,IF(AND(AL22&gt;141,AL22&lt;=155),11,IF(AND(AL22&gt;155,AL22&lt;=160),12,$AN$1))))))))))))</f>
        <v>1</v>
      </c>
      <c r="AN22" s="426">
        <f t="shared" si="13"/>
        <v>0</v>
      </c>
      <c r="AO22" s="427" t="str">
        <f t="shared" si="37"/>
        <v/>
      </c>
      <c r="AP22" s="426" t="str">
        <f t="shared" si="14"/>
        <v/>
      </c>
      <c r="AQ22" s="426"/>
      <c r="AR22" s="426"/>
      <c r="AS22" s="428"/>
      <c r="AT22" s="429"/>
      <c r="AU22" s="430"/>
      <c r="AV22" s="431"/>
      <c r="AW22" s="432"/>
      <c r="AX22" s="430"/>
      <c r="AY22" s="431">
        <f t="shared" si="15"/>
        <v>0</v>
      </c>
      <c r="AZ22" s="426"/>
      <c r="BA22" s="435" t="str">
        <f t="shared" si="16"/>
        <v/>
      </c>
      <c r="BB22" s="435"/>
      <c r="BC22" s="426"/>
      <c r="BD22" s="426">
        <f t="array" ref="BD22">IF(SUM((BC22=$BC$3:BC21)*1)=0,BC22,0)</f>
        <v>0</v>
      </c>
      <c r="BE22" s="426"/>
      <c r="BF22" s="426"/>
      <c r="BG22" s="426">
        <f t="array" ref="BG22">IF(SUM((BF22=$BF$3:BF21)*1)=0,BF22,0)</f>
        <v>0</v>
      </c>
      <c r="BH22" s="426"/>
      <c r="BI22" s="426"/>
      <c r="BJ22" s="426"/>
      <c r="BK22" s="426"/>
      <c r="BL22" s="426"/>
      <c r="BM22" s="426"/>
      <c r="BN22" s="426"/>
      <c r="BO22" s="426"/>
      <c r="BP22" s="433">
        <f t="shared" si="17"/>
        <v>0</v>
      </c>
      <c r="BQ22" s="426"/>
      <c r="BR22" s="434"/>
      <c r="BS22" s="426"/>
      <c r="BT22" s="433"/>
      <c r="BU22" s="435"/>
      <c r="BV22" s="435" t="str">
        <f t="shared" si="18"/>
        <v/>
      </c>
      <c r="BW22" s="435" t="str">
        <f t="shared" si="38"/>
        <v/>
      </c>
      <c r="BX22" s="485"/>
      <c r="BY22" s="485"/>
      <c r="BZ22" s="485"/>
      <c r="CA22" s="485"/>
      <c r="CB22" s="485"/>
      <c r="CC22" s="485"/>
      <c r="CD22" s="485"/>
      <c r="CE22" s="485"/>
      <c r="CF22" s="485"/>
      <c r="CG22" s="485"/>
      <c r="CH22" s="485"/>
      <c r="CI22" s="485"/>
      <c r="CJ22" s="426" t="str">
        <f t="shared" si="39"/>
        <v/>
      </c>
      <c r="CK22" s="435"/>
      <c r="CL22" s="426"/>
      <c r="CM22" s="435"/>
      <c r="CN22" s="426"/>
      <c r="CO22" s="426"/>
      <c r="CP22" s="426"/>
      <c r="CQ22" s="426"/>
      <c r="CR22" s="426"/>
      <c r="CS22" s="426"/>
      <c r="CT22" s="426"/>
      <c r="CU22" s="426"/>
      <c r="CV22" s="426"/>
      <c r="CW22" s="426"/>
      <c r="CX22" s="426"/>
      <c r="CY22" s="426">
        <v>19</v>
      </c>
      <c r="CZ22" s="426"/>
      <c r="DA22" s="426"/>
      <c r="DB22" s="426"/>
      <c r="DC22" s="426" t="s">
        <v>762</v>
      </c>
      <c r="DD22" s="426" t="s">
        <v>922</v>
      </c>
      <c r="DE22" s="435" t="str">
        <f t="shared" si="40"/>
        <v/>
      </c>
      <c r="DF22" s="435" t="str">
        <f t="shared" si="41"/>
        <v/>
      </c>
      <c r="DG22" s="435" t="str">
        <f t="shared" si="42"/>
        <v/>
      </c>
      <c r="DH22" s="435" t="str">
        <f t="shared" si="43"/>
        <v/>
      </c>
      <c r="DI22" s="435" t="str">
        <f t="shared" si="44"/>
        <v/>
      </c>
      <c r="DJ22" s="435" t="str">
        <f t="shared" si="45"/>
        <v/>
      </c>
      <c r="DK22" s="435" t="str">
        <f t="shared" si="19"/>
        <v/>
      </c>
      <c r="DL22" s="435" t="str">
        <f t="shared" si="20"/>
        <v/>
      </c>
      <c r="DM22" s="435" t="str">
        <f t="shared" si="46"/>
        <v/>
      </c>
      <c r="DN22" s="435" t="str">
        <f t="shared" si="47"/>
        <v/>
      </c>
      <c r="DO22" s="435" t="str">
        <f t="shared" si="21"/>
        <v/>
      </c>
      <c r="DP22" s="435" t="str">
        <f t="shared" si="22"/>
        <v/>
      </c>
      <c r="DQ22" s="435" t="str">
        <f t="shared" si="48"/>
        <v/>
      </c>
      <c r="DR22" s="435" t="str">
        <f t="shared" si="49"/>
        <v/>
      </c>
      <c r="DS22" s="435" t="str">
        <f t="shared" si="23"/>
        <v/>
      </c>
      <c r="DT22" s="435" t="str">
        <f t="shared" si="24"/>
        <v/>
      </c>
      <c r="DU22" s="435" t="str">
        <f t="shared" si="50"/>
        <v/>
      </c>
      <c r="DV22" s="435" t="str">
        <f t="shared" si="51"/>
        <v/>
      </c>
      <c r="DW22" s="435" t="str">
        <f t="shared" si="25"/>
        <v/>
      </c>
      <c r="DX22" s="435" t="str">
        <f t="shared" si="26"/>
        <v/>
      </c>
      <c r="DY22" s="435" t="str">
        <f t="shared" si="52"/>
        <v/>
      </c>
      <c r="DZ22" s="435" t="str">
        <f t="shared" si="53"/>
        <v/>
      </c>
      <c r="EA22" s="435" t="str">
        <f t="shared" si="27"/>
        <v/>
      </c>
      <c r="EB22" s="435" t="str">
        <f t="shared" si="28"/>
        <v/>
      </c>
      <c r="EC22" s="435" t="str">
        <f t="shared" si="29"/>
        <v/>
      </c>
      <c r="ED22" s="435" t="str">
        <f t="shared" si="30"/>
        <v/>
      </c>
      <c r="EE22" s="435" t="str">
        <f t="shared" si="31"/>
        <v/>
      </c>
      <c r="EF22" s="435" t="str">
        <f t="shared" si="32"/>
        <v/>
      </c>
      <c r="EG22" s="435" t="str">
        <f t="shared" si="33"/>
        <v/>
      </c>
      <c r="EH22" s="435" t="str">
        <f t="shared" si="34"/>
        <v/>
      </c>
      <c r="EI22" s="435" t="str">
        <f t="shared" si="35"/>
        <v/>
      </c>
      <c r="EJ22" s="435" t="str">
        <f t="shared" si="36"/>
        <v/>
      </c>
      <c r="EK22" s="485"/>
      <c r="EL22" s="485"/>
      <c r="EM22" s="485"/>
      <c r="EN22" s="485"/>
      <c r="EO22" s="448"/>
      <c r="EP22" s="448"/>
      <c r="EQ22" s="448"/>
      <c r="ER22" s="448"/>
      <c r="ES22" s="448"/>
      <c r="ET22" s="435"/>
      <c r="EU22" s="435"/>
      <c r="EV22" s="435"/>
      <c r="EW22" s="435"/>
      <c r="EX22" s="426"/>
      <c r="EY22" s="426"/>
      <c r="EZ22" s="426"/>
      <c r="FA22" s="427"/>
      <c r="FB22" s="427">
        <f t="array" ref="FB22">IF(SUM((FA22=$FA$3:FA21)*1)=0,FA22,0)</f>
        <v>0</v>
      </c>
      <c r="FC22" s="427"/>
      <c r="FD22" s="427"/>
      <c r="FE22" s="427">
        <f t="array" ref="FE22">IF(SUM((FD22=$FD$3:FD21)*1)=0,FD22,0)</f>
        <v>0</v>
      </c>
      <c r="FF22" s="427"/>
      <c r="FG22" s="427"/>
      <c r="FH22" s="427"/>
      <c r="FI22" s="427">
        <f t="array" ref="FI22">IF(SUM((FH22=$FH$3:FH21)*1)=0,FH22,0)</f>
        <v>0</v>
      </c>
      <c r="FJ22" s="427"/>
      <c r="FK22" s="427"/>
      <c r="FL22" s="427">
        <f t="array" ref="FL22">IF(SUM((FK22=$FK$3:FK21)*1)=0,FK22,0)</f>
        <v>0</v>
      </c>
      <c r="FM22" s="427"/>
      <c r="FN22" s="427"/>
      <c r="FO22" s="427"/>
      <c r="FP22" s="427">
        <f t="array" ref="FP22">IF(SUM((FO22=$FO$3:FO21)*1)=0,FO22,0)</f>
        <v>0</v>
      </c>
      <c r="FQ22" s="427"/>
      <c r="FR22" s="427"/>
      <c r="FS22" s="427">
        <f t="array" ref="FS22">IF(SUM((FR22=$FR$3:FR21)*1)=0,FR22,0)</f>
        <v>0</v>
      </c>
      <c r="FT22" s="427"/>
      <c r="FU22" s="427"/>
      <c r="FV22" s="427"/>
      <c r="FW22" s="427">
        <f t="array" ref="FW22">IF(SUM((FV22=$FV$3:FV21)*1)=0,FV22,0)</f>
        <v>0</v>
      </c>
      <c r="FX22" s="427"/>
      <c r="FY22" s="427"/>
      <c r="FZ22" s="427">
        <f t="array" ref="FZ22">IF(SUM((FY22=$FY$3:FY21)*1)=0,FY22,0)</f>
        <v>0</v>
      </c>
      <c r="GA22" s="427"/>
      <c r="GB22" s="427"/>
      <c r="GC22" s="427"/>
      <c r="GD22" s="427">
        <f t="array" ref="GD22">IF(SUM((GC22=$GC$3:GC21)*1)=0,GC22,0)</f>
        <v>0</v>
      </c>
      <c r="GE22" s="427"/>
      <c r="GF22" s="427"/>
      <c r="GG22" s="427">
        <f t="array" ref="GG22">IF(SUM((GF22=$GF$3:GF21)*1)=0,GF22,0)</f>
        <v>0</v>
      </c>
      <c r="GH22" s="427"/>
      <c r="GI22" s="427"/>
      <c r="GJ22" s="427"/>
      <c r="GK22" s="798">
        <f t="array" ref="GK22">IF(SUM((GJ22=$GJ$3:GJ21)*1)=0,GJ22,0)</f>
        <v>0</v>
      </c>
      <c r="GL22" s="427"/>
      <c r="GM22" s="427"/>
      <c r="GN22" s="798">
        <f t="array" ref="GN22">IF(SUM((GM22=$GM$3:GM21)*1)=0,GM22,0)</f>
        <v>0</v>
      </c>
      <c r="GO22" s="427"/>
      <c r="GP22" s="427"/>
      <c r="GQ22" s="427"/>
      <c r="GR22" s="798">
        <f t="array" ref="GR22">IF(SUM((GQ22=$GQ$3:GQ21)*1)=0,GQ22,0)</f>
        <v>0</v>
      </c>
      <c r="GS22" s="427"/>
      <c r="GT22" s="427"/>
      <c r="GU22" s="798">
        <f t="array" ref="GU22">IF(SUM((GT22=$GT$3:GT21)*1)=0,GT22,0)</f>
        <v>0</v>
      </c>
      <c r="GV22" s="427"/>
      <c r="GW22" s="427"/>
      <c r="GX22" s="427"/>
      <c r="GY22" s="798">
        <f t="array" ref="GY22">IF(SUM((GX22=$GX$3:GX21)*1)=0,GX22,0)</f>
        <v>0</v>
      </c>
      <c r="GZ22" s="427"/>
      <c r="HA22" s="427"/>
      <c r="HB22" s="798">
        <f t="array" ref="HB22">IF(SUM((HA22=$HA$3:HA21)*1)=0,HA22,0)</f>
        <v>0</v>
      </c>
      <c r="HC22" s="427"/>
      <c r="HD22" s="427"/>
      <c r="HE22" s="769" t="str">
        <f t="shared" si="130"/>
        <v/>
      </c>
      <c r="HF22" s="768" t="str">
        <f t="shared" si="54"/>
        <v/>
      </c>
      <c r="HG22" s="769" t="str">
        <f t="shared" si="131"/>
        <v/>
      </c>
      <c r="HH22" s="768" t="str">
        <f t="shared" si="55"/>
        <v/>
      </c>
      <c r="HI22" s="728" t="str">
        <f t="shared" si="132"/>
        <v/>
      </c>
      <c r="HJ22" s="768" t="str">
        <f t="shared" si="56"/>
        <v/>
      </c>
      <c r="HK22" s="728" t="str">
        <f t="shared" si="133"/>
        <v/>
      </c>
      <c r="HL22" s="768" t="str">
        <f t="shared" si="57"/>
        <v/>
      </c>
      <c r="HM22" s="769" t="str">
        <f t="shared" si="58"/>
        <v/>
      </c>
      <c r="HN22" s="768" t="str">
        <f t="shared" ref="HN22" si="270">IF(HM22&lt;0,"Invadiu REP-BA-C","")</f>
        <v/>
      </c>
      <c r="HO22" s="769" t="str">
        <f t="shared" si="60"/>
        <v/>
      </c>
      <c r="HP22" s="768" t="str">
        <f t="shared" si="61"/>
        <v/>
      </c>
      <c r="HQ22" s="728" t="str">
        <f t="shared" si="62"/>
        <v/>
      </c>
      <c r="HR22" s="768" t="str">
        <f t="shared" si="63"/>
        <v/>
      </c>
      <c r="HS22" s="728" t="str">
        <f t="shared" si="64"/>
        <v/>
      </c>
      <c r="HT22" s="768" t="str">
        <f t="shared" si="65"/>
        <v/>
      </c>
      <c r="HU22" s="769" t="str">
        <f t="shared" si="66"/>
        <v/>
      </c>
      <c r="HV22" s="768" t="str">
        <f t="shared" ref="HV22" si="271">IF(HU22&lt;0,"Invadiu REP-BA-C","")</f>
        <v/>
      </c>
      <c r="HW22" s="769" t="str">
        <f t="shared" si="68"/>
        <v/>
      </c>
      <c r="HX22" s="768" t="str">
        <f t="shared" si="69"/>
        <v/>
      </c>
      <c r="HY22" s="728" t="str">
        <f t="shared" si="70"/>
        <v/>
      </c>
      <c r="HZ22" s="768" t="str">
        <f t="shared" si="71"/>
        <v/>
      </c>
      <c r="IA22" s="728" t="str">
        <f t="shared" si="72"/>
        <v/>
      </c>
      <c r="IB22" s="768" t="str">
        <f t="shared" si="73"/>
        <v/>
      </c>
      <c r="IC22" s="769" t="str">
        <f t="shared" si="74"/>
        <v/>
      </c>
      <c r="ID22" s="768" t="str">
        <f t="shared" ref="ID22" si="272">IF(IC22&lt;0,"Invadiu REP-BA-C","")</f>
        <v/>
      </c>
      <c r="IE22" s="769" t="str">
        <f t="shared" si="76"/>
        <v/>
      </c>
      <c r="IF22" s="768" t="str">
        <f t="shared" si="77"/>
        <v/>
      </c>
      <c r="IG22" s="728" t="str">
        <f t="shared" si="78"/>
        <v/>
      </c>
      <c r="IH22" s="768" t="str">
        <f t="shared" si="79"/>
        <v/>
      </c>
      <c r="II22" s="728" t="str">
        <f t="shared" si="80"/>
        <v/>
      </c>
      <c r="IJ22" s="768" t="str">
        <f t="shared" si="81"/>
        <v/>
      </c>
      <c r="IK22" s="769" t="str">
        <f t="shared" si="82"/>
        <v/>
      </c>
      <c r="IL22" s="768" t="str">
        <f t="shared" ref="IL22" si="273">IF(IK22&lt;0,"Invadiu REP-BA-C","")</f>
        <v/>
      </c>
      <c r="IM22" s="769" t="str">
        <f t="shared" si="84"/>
        <v/>
      </c>
      <c r="IN22" s="768" t="str">
        <f t="shared" si="85"/>
        <v/>
      </c>
      <c r="IO22" s="728" t="str">
        <f t="shared" si="86"/>
        <v/>
      </c>
      <c r="IP22" s="768" t="str">
        <f t="shared" si="87"/>
        <v/>
      </c>
      <c r="IQ22" s="728" t="str">
        <f t="shared" si="88"/>
        <v/>
      </c>
      <c r="IR22" s="768" t="str">
        <f t="shared" si="89"/>
        <v/>
      </c>
      <c r="IS22" s="769" t="str">
        <f t="shared" si="90"/>
        <v/>
      </c>
      <c r="IT22" s="768" t="str">
        <f t="shared" ref="IT22" si="274">IF(IS22&lt;0,"Invadiu REP-BA-C","")</f>
        <v/>
      </c>
      <c r="IU22" s="769" t="str">
        <f t="shared" si="92"/>
        <v/>
      </c>
      <c r="IV22" s="768" t="str">
        <f t="shared" si="93"/>
        <v/>
      </c>
      <c r="IW22" s="728" t="str">
        <f t="shared" si="94"/>
        <v/>
      </c>
      <c r="IX22" s="768" t="str">
        <f t="shared" si="95"/>
        <v/>
      </c>
      <c r="IY22" s="728" t="str">
        <f t="shared" si="96"/>
        <v/>
      </c>
      <c r="IZ22" s="768" t="str">
        <f t="shared" si="97"/>
        <v/>
      </c>
      <c r="JA22" s="769" t="str">
        <f t="shared" si="98"/>
        <v/>
      </c>
      <c r="JB22" s="768" t="str">
        <f t="shared" ref="JB22" si="275">IF(JA22&lt;0,"Invadiu REP-BA-C","")</f>
        <v/>
      </c>
      <c r="JC22" s="769" t="str">
        <f t="shared" si="100"/>
        <v/>
      </c>
      <c r="JD22" s="768" t="str">
        <f t="shared" si="101"/>
        <v/>
      </c>
      <c r="JE22" s="728" t="str">
        <f t="shared" si="102"/>
        <v/>
      </c>
      <c r="JF22" s="768" t="str">
        <f t="shared" si="103"/>
        <v/>
      </c>
      <c r="JG22" s="728" t="str">
        <f t="shared" si="104"/>
        <v/>
      </c>
      <c r="JH22" s="768" t="str">
        <f t="shared" si="105"/>
        <v/>
      </c>
      <c r="JI22" s="769" t="str">
        <f t="shared" si="106"/>
        <v/>
      </c>
      <c r="JJ22" s="768" t="str">
        <f t="shared" ref="JJ22" si="276">IF(JI22&lt;0,"Invadiu REP-BA-C","")</f>
        <v/>
      </c>
      <c r="JK22" s="769" t="str">
        <f t="shared" si="108"/>
        <v/>
      </c>
      <c r="JL22" s="768" t="str">
        <f t="shared" si="109"/>
        <v/>
      </c>
      <c r="JM22" s="728" t="str">
        <f t="shared" si="110"/>
        <v/>
      </c>
      <c r="JN22" s="768" t="str">
        <f t="shared" si="111"/>
        <v/>
      </c>
      <c r="JO22" s="728" t="str">
        <f t="shared" si="112"/>
        <v/>
      </c>
      <c r="JP22" s="768" t="str">
        <f t="shared" si="113"/>
        <v/>
      </c>
      <c r="JQ22" s="769" t="str">
        <f t="shared" si="114"/>
        <v/>
      </c>
      <c r="JR22" s="768" t="str">
        <f t="shared" ref="JR22" si="277">IF(JQ22&lt;0,"Invadiu REP-BA-C","")</f>
        <v/>
      </c>
      <c r="JS22" s="769" t="str">
        <f t="shared" si="116"/>
        <v/>
      </c>
      <c r="JT22" s="768" t="str">
        <f t="shared" si="117"/>
        <v/>
      </c>
      <c r="JU22" s="728" t="str">
        <f t="shared" si="118"/>
        <v/>
      </c>
      <c r="JV22" s="768" t="str">
        <f t="shared" si="119"/>
        <v/>
      </c>
      <c r="JW22" s="728" t="str">
        <f t="shared" si="120"/>
        <v/>
      </c>
      <c r="JX22" s="768" t="str">
        <f t="shared" si="121"/>
        <v/>
      </c>
      <c r="JY22" s="768" t="str">
        <f t="shared" si="122"/>
        <v/>
      </c>
      <c r="JZ22" s="485" t="str">
        <f>IF(JY22="","",IF(AND(C22=$C$164,JY22&lt;&gt;""),Verificarcpf(D22),IF(AND(C22=$C$165,JY22&lt;&gt;""),VerificarCNPJ(D22))))</f>
        <v/>
      </c>
      <c r="KA22" s="768" t="str">
        <f t="shared" si="123"/>
        <v/>
      </c>
      <c r="KB22" s="485">
        <f t="shared" si="124"/>
        <v>0</v>
      </c>
      <c r="KC22" s="768">
        <f t="shared" si="125"/>
        <v>0</v>
      </c>
      <c r="KD22" s="485">
        <f t="shared" si="126"/>
        <v>0</v>
      </c>
      <c r="KE22" s="448"/>
      <c r="KF22" s="548">
        <f t="shared" si="127"/>
        <v>0</v>
      </c>
      <c r="KG22" s="548" t="s">
        <v>12310</v>
      </c>
      <c r="KH22" s="548"/>
      <c r="KI22" s="548"/>
      <c r="KJ22" s="548" t="str">
        <f t="shared" si="128"/>
        <v/>
      </c>
      <c r="KK22" s="548"/>
      <c r="KL22" s="548"/>
      <c r="KM22" s="548">
        <f t="array" ref="KM22">IF(SUM((KL22=$KL$3:KL21)*1)=0,KL22,0)</f>
        <v>0</v>
      </c>
      <c r="KN22" s="548"/>
      <c r="KO22" s="548"/>
      <c r="KP22" s="548"/>
      <c r="KQ22" s="548"/>
      <c r="KR22" s="548" t="str">
        <f t="shared" si="129"/>
        <v/>
      </c>
      <c r="KS22" s="548"/>
      <c r="KT22" s="548"/>
      <c r="KU22" s="548"/>
      <c r="KV22" s="548"/>
      <c r="KW22" s="548"/>
      <c r="KX22" s="548"/>
      <c r="KY22" s="548"/>
      <c r="KZ22" s="548"/>
      <c r="LA22" s="548"/>
      <c r="LB22" s="548"/>
      <c r="LC22" s="485" t="str">
        <f t="shared" si="142"/>
        <v/>
      </c>
      <c r="LD22" s="548"/>
      <c r="LE22" s="548"/>
      <c r="LF22" s="548"/>
      <c r="LG22" s="548"/>
      <c r="LH22" s="548"/>
      <c r="LI22" s="548"/>
      <c r="LJ22" s="548"/>
      <c r="LK22" s="548"/>
      <c r="LL22" s="548"/>
      <c r="LM22" s="548"/>
      <c r="LN22" s="548"/>
      <c r="LO22" s="548"/>
      <c r="LP22" s="485" t="str">
        <f t="shared" si="143"/>
        <v/>
      </c>
      <c r="LQ22" s="548"/>
      <c r="LR22" s="548"/>
      <c r="LS22" s="548"/>
      <c r="LT22" s="548"/>
      <c r="LU22" s="548"/>
      <c r="LV22" s="548"/>
      <c r="LW22" s="548"/>
      <c r="LX22" s="548"/>
      <c r="LY22" s="548"/>
      <c r="LZ22" s="548"/>
      <c r="MA22" s="548"/>
      <c r="MB22" s="548"/>
      <c r="MC22" s="485" t="str">
        <f t="shared" si="144"/>
        <v/>
      </c>
      <c r="MD22" s="548"/>
      <c r="ME22" s="548"/>
      <c r="MF22" s="548"/>
      <c r="MG22" s="548"/>
      <c r="MH22" s="548"/>
      <c r="MI22" s="548"/>
      <c r="MJ22" s="548"/>
      <c r="MK22" s="548"/>
      <c r="ML22" s="548"/>
      <c r="MM22" s="548"/>
      <c r="MN22" s="548"/>
      <c r="MO22" s="548"/>
      <c r="MP22" s="485" t="str">
        <f t="shared" si="145"/>
        <v/>
      </c>
      <c r="MQ22" s="548"/>
      <c r="MR22" s="548"/>
      <c r="MS22" s="548"/>
      <c r="MT22" s="548"/>
      <c r="MU22" s="548"/>
      <c r="MV22" s="548"/>
      <c r="MW22" s="548"/>
      <c r="MX22" s="548"/>
      <c r="MY22" s="548"/>
      <c r="MZ22" s="548"/>
      <c r="NA22" s="548"/>
      <c r="NB22" s="548"/>
      <c r="NC22" s="485" t="str">
        <f t="shared" si="146"/>
        <v/>
      </c>
      <c r="ND22" s="548"/>
      <c r="NE22" s="548"/>
      <c r="NF22" s="548"/>
      <c r="NG22" s="548"/>
      <c r="NH22" s="548"/>
      <c r="NI22" s="548"/>
      <c r="NJ22" s="548"/>
      <c r="NK22" s="548"/>
      <c r="NL22" s="548"/>
      <c r="NM22" s="548"/>
      <c r="NN22" s="548"/>
      <c r="NO22" s="548"/>
      <c r="NP22" s="485" t="str">
        <f t="shared" si="147"/>
        <v/>
      </c>
      <c r="NQ22" s="548"/>
      <c r="NR22" s="548"/>
      <c r="NS22" s="548"/>
      <c r="NT22" s="548"/>
      <c r="NU22" s="548"/>
      <c r="NV22" s="548"/>
      <c r="NW22" s="548"/>
      <c r="NX22" s="548"/>
      <c r="NY22" s="548"/>
      <c r="NZ22" s="548"/>
      <c r="OA22" s="548"/>
      <c r="OB22" s="548"/>
      <c r="OC22" s="485" t="str">
        <f t="shared" si="148"/>
        <v/>
      </c>
      <c r="OD22" s="548"/>
      <c r="OE22" s="548"/>
      <c r="OF22" s="548"/>
      <c r="OG22" s="548"/>
      <c r="OH22" s="548"/>
      <c r="OI22" s="548"/>
      <c r="OJ22" s="548"/>
      <c r="OK22" s="548"/>
      <c r="OL22" s="548"/>
      <c r="OM22" s="548"/>
      <c r="ON22" s="548"/>
      <c r="OO22" s="548"/>
      <c r="OP22" s="548"/>
      <c r="OQ22" s="548"/>
      <c r="OR22" s="548"/>
      <c r="OS22" s="548"/>
      <c r="OT22" s="548"/>
      <c r="OU22" s="548"/>
      <c r="OV22" s="548"/>
      <c r="OW22" s="548"/>
      <c r="OX22" s="548"/>
      <c r="OY22" s="548"/>
      <c r="OZ22" s="548"/>
      <c r="PA22" s="548"/>
      <c r="PB22" s="548"/>
      <c r="PC22" s="548"/>
      <c r="PD22" s="548"/>
      <c r="PE22" s="548"/>
      <c r="PF22" s="548"/>
      <c r="PG22" s="548"/>
      <c r="PH22" s="548"/>
      <c r="PI22" s="548"/>
      <c r="PJ22" s="548"/>
      <c r="PK22" s="548"/>
      <c r="PL22" s="548"/>
      <c r="PM22" s="548"/>
      <c r="PN22" s="548"/>
      <c r="PO22" s="548"/>
      <c r="PP22" s="548"/>
      <c r="PQ22" s="548"/>
      <c r="PR22" s="548"/>
      <c r="PS22" s="548"/>
      <c r="PT22" s="548"/>
      <c r="PU22" s="548"/>
      <c r="PV22" s="548"/>
      <c r="PW22" s="548"/>
      <c r="PX22" s="548"/>
      <c r="PY22" s="548"/>
      <c r="PZ22" s="548"/>
      <c r="QA22" s="548"/>
      <c r="QB22" s="548"/>
      <c r="QC22" s="548"/>
      <c r="QD22" s="548"/>
      <c r="QE22" s="548"/>
      <c r="QF22" s="548"/>
      <c r="QG22" s="548"/>
      <c r="QH22" s="548"/>
      <c r="QI22" s="548"/>
      <c r="QJ22" s="548"/>
      <c r="QK22" s="548"/>
      <c r="QL22" s="548"/>
      <c r="QM22" s="548"/>
      <c r="QN22" s="548"/>
      <c r="QO22" s="548"/>
      <c r="QP22" s="548"/>
      <c r="QQ22" s="1009"/>
      <c r="QR22" s="548"/>
      <c r="QS22" s="548"/>
      <c r="QT22" s="548"/>
      <c r="QU22" s="548"/>
      <c r="QV22" s="548"/>
      <c r="QW22" s="548"/>
      <c r="QX22" s="548"/>
      <c r="QY22" s="548"/>
      <c r="QZ22" s="548"/>
      <c r="RA22" s="548"/>
      <c r="RB22" s="548"/>
      <c r="RC22" s="548"/>
      <c r="RD22" s="548"/>
      <c r="RE22" s="548"/>
      <c r="RF22" s="548"/>
      <c r="RG22" s="548"/>
      <c r="RH22" s="548"/>
      <c r="RI22" s="548"/>
      <c r="RJ22" s="548"/>
      <c r="RK22" s="548"/>
      <c r="RL22" s="548"/>
      <c r="RM22" s="548"/>
      <c r="RN22" s="548"/>
      <c r="RO22" s="548"/>
      <c r="RP22" s="548"/>
      <c r="RQ22" s="548"/>
      <c r="RR22" s="548"/>
      <c r="RS22" s="548"/>
      <c r="RT22" s="548"/>
      <c r="RU22" s="548"/>
      <c r="RV22" s="548"/>
      <c r="RW22" s="548"/>
      <c r="RX22" s="548"/>
      <c r="RY22" s="548"/>
      <c r="RZ22" s="548"/>
      <c r="SA22" s="548"/>
      <c r="SB22" s="548"/>
      <c r="SC22" s="548"/>
      <c r="SD22" s="548"/>
      <c r="SE22" s="548"/>
      <c r="SF22" s="548"/>
      <c r="SG22" s="548"/>
      <c r="SH22" s="548"/>
      <c r="SI22" s="548"/>
      <c r="SJ22" s="548"/>
      <c r="SK22" s="548"/>
      <c r="SL22" s="548"/>
      <c r="SM22" s="548"/>
      <c r="SN22" s="548"/>
      <c r="SO22" s="548"/>
      <c r="SP22" s="548"/>
      <c r="SQ22" s="548"/>
      <c r="SR22" s="548"/>
      <c r="SS22" s="548"/>
      <c r="ST22" s="548"/>
      <c r="SU22" s="548"/>
      <c r="SV22" s="548"/>
      <c r="SW22" s="548"/>
      <c r="SX22" s="548"/>
      <c r="SY22" s="548"/>
      <c r="SZ22" s="548"/>
      <c r="TA22" s="548"/>
      <c r="TB22" s="548"/>
      <c r="TC22" s="548"/>
      <c r="TD22" s="548"/>
      <c r="TE22" s="548"/>
      <c r="TF22" s="548"/>
      <c r="TG22" s="548"/>
      <c r="TH22" s="548"/>
      <c r="TI22" s="548"/>
      <c r="TJ22" s="548"/>
      <c r="TK22" s="548"/>
      <c r="TL22" s="548"/>
      <c r="TM22" s="548"/>
      <c r="TN22" s="548"/>
      <c r="TO22" s="548"/>
      <c r="TP22" s="548"/>
      <c r="TQ22" s="548"/>
      <c r="TR22" s="548"/>
      <c r="TS22" s="548"/>
      <c r="TT22" s="548"/>
      <c r="TU22" s="548"/>
      <c r="TV22" s="548"/>
      <c r="TW22" s="548"/>
      <c r="TX22" s="548"/>
      <c r="TY22" s="548"/>
      <c r="TZ22" s="548"/>
      <c r="UA22" s="548"/>
      <c r="UB22" s="548"/>
      <c r="UC22" s="548"/>
      <c r="UD22" s="548"/>
      <c r="UE22" s="548"/>
      <c r="UF22" s="548"/>
      <c r="UG22" s="548"/>
      <c r="UH22" s="548"/>
      <c r="UI22" s="548"/>
      <c r="UJ22" s="548"/>
      <c r="UK22" s="548"/>
      <c r="UL22" s="548"/>
      <c r="UM22" s="548"/>
      <c r="UN22" s="548"/>
      <c r="UO22" s="548"/>
      <c r="UP22" s="548"/>
      <c r="UQ22" s="548"/>
      <c r="UR22" s="548"/>
      <c r="US22" s="548"/>
      <c r="UT22" s="548"/>
      <c r="UU22" s="548"/>
      <c r="UV22" s="548"/>
      <c r="UW22" s="548"/>
      <c r="UX22" s="548"/>
      <c r="UY22" s="548"/>
      <c r="UZ22" s="548"/>
      <c r="VA22" s="548"/>
      <c r="VB22" s="548"/>
      <c r="VC22" s="548"/>
      <c r="VD22" s="548"/>
      <c r="VE22" s="548"/>
      <c r="VF22" s="548"/>
      <c r="VG22" s="548"/>
      <c r="VH22" s="548"/>
      <c r="VI22" s="548"/>
      <c r="VJ22" s="548"/>
      <c r="VK22" s="548"/>
      <c r="VL22" s="548"/>
      <c r="VM22" s="548"/>
      <c r="VN22" s="548"/>
      <c r="VO22" s="548"/>
      <c r="VP22" s="548"/>
      <c r="VQ22" s="548"/>
      <c r="VR22" s="548"/>
      <c r="VS22" s="548"/>
      <c r="VT22" s="548"/>
      <c r="VU22" s="548"/>
      <c r="VV22" s="548"/>
      <c r="VW22" s="548"/>
      <c r="VX22" s="548"/>
      <c r="VY22" s="548"/>
      <c r="VZ22" s="548"/>
      <c r="WA22" s="548"/>
      <c r="WB22" s="548"/>
      <c r="WC22" s="548"/>
      <c r="WD22" s="548"/>
      <c r="WE22" s="548"/>
      <c r="WF22" s="548"/>
      <c r="WG22" s="548"/>
      <c r="WH22" s="548"/>
      <c r="WI22" s="548"/>
      <c r="WJ22" s="548"/>
      <c r="WK22" s="548"/>
      <c r="WL22" s="548"/>
      <c r="WM22" s="548"/>
      <c r="WN22" s="548"/>
      <c r="WO22" s="548"/>
      <c r="WP22" s="548"/>
      <c r="WQ22" s="548"/>
      <c r="WR22" s="548"/>
      <c r="WS22" s="548"/>
      <c r="WT22" s="548"/>
      <c r="WU22" s="548"/>
      <c r="WV22" s="548"/>
      <c r="WW22" s="548"/>
      <c r="WX22" s="548"/>
      <c r="WY22" s="548"/>
      <c r="WZ22" s="548"/>
      <c r="XA22" s="548"/>
      <c r="XB22" s="548"/>
      <c r="XC22" s="548"/>
      <c r="XD22" s="548"/>
      <c r="XE22" s="548"/>
      <c r="XF22" s="548"/>
      <c r="XG22" s="548"/>
      <c r="XH22" s="548"/>
      <c r="XI22" s="548"/>
      <c r="XJ22" s="548"/>
      <c r="XK22" s="548"/>
      <c r="XL22" s="548"/>
      <c r="XM22" s="548"/>
      <c r="XN22" s="548"/>
      <c r="XO22" s="548"/>
      <c r="XP22" s="548"/>
      <c r="XQ22" s="548"/>
      <c r="XR22" s="548"/>
      <c r="XS22" s="548"/>
      <c r="XT22" s="548"/>
      <c r="XU22" s="548"/>
      <c r="XV22" s="548"/>
      <c r="XW22" s="548"/>
      <c r="XX22" s="548"/>
      <c r="XY22" s="548"/>
      <c r="XZ22" s="548"/>
      <c r="YA22" s="548"/>
      <c r="YB22" s="548"/>
      <c r="YC22" s="548"/>
      <c r="YD22" s="548"/>
      <c r="YE22" s="548"/>
      <c r="YF22" s="548"/>
      <c r="YG22" s="548"/>
      <c r="YH22" s="548"/>
      <c r="YI22" s="548"/>
      <c r="YJ22" s="548"/>
      <c r="YK22" s="548"/>
      <c r="YL22" s="548"/>
      <c r="YM22" s="548"/>
      <c r="YN22" s="548"/>
      <c r="YO22" s="548"/>
      <c r="YP22" s="548"/>
      <c r="YQ22" s="548"/>
      <c r="YR22" s="548"/>
      <c r="YS22" s="548"/>
      <c r="YT22" s="548"/>
      <c r="YU22" s="548"/>
      <c r="YV22" s="548"/>
      <c r="YW22" s="548"/>
      <c r="YX22" s="548"/>
      <c r="YY22" s="548"/>
      <c r="YZ22" s="548"/>
      <c r="ZA22" s="548"/>
      <c r="ZB22" s="548"/>
      <c r="ZC22" s="548"/>
      <c r="ZD22" s="548"/>
      <c r="ZE22" s="548"/>
      <c r="ZF22" s="548"/>
      <c r="ZG22" s="548"/>
      <c r="ZH22" s="548"/>
      <c r="ZI22" s="548"/>
      <c r="ZJ22" s="548"/>
      <c r="ZK22" s="548"/>
      <c r="ZL22" s="548"/>
      <c r="ZM22" s="548"/>
      <c r="ZN22" s="548"/>
      <c r="ZO22" s="548"/>
      <c r="ZP22" s="548"/>
      <c r="ZQ22" s="548"/>
      <c r="ZR22" s="548"/>
      <c r="ZS22" s="548"/>
      <c r="ZT22" s="548"/>
      <c r="ZU22" s="548"/>
      <c r="ZV22" s="548"/>
      <c r="ZW22" s="548"/>
      <c r="ZX22" s="548"/>
      <c r="ZY22" s="548"/>
      <c r="ZZ22" s="548"/>
      <c r="AAA22" s="548"/>
      <c r="AAB22" s="548"/>
      <c r="AAC22" s="548"/>
      <c r="AAD22" s="548"/>
      <c r="AAE22" s="548"/>
      <c r="AAF22" s="548"/>
      <c r="AAG22" s="548"/>
      <c r="AAH22" s="548"/>
      <c r="AAI22" s="548"/>
      <c r="AAJ22" s="548"/>
      <c r="AAK22" s="548"/>
      <c r="AAL22" s="548"/>
      <c r="AAM22" s="548"/>
      <c r="AAN22" s="548"/>
      <c r="AAO22" s="548"/>
      <c r="AAP22" s="548"/>
      <c r="AAQ22" s="548"/>
      <c r="AAR22" s="548"/>
      <c r="AAS22" s="548"/>
      <c r="AAT22" s="548"/>
      <c r="AAU22" s="548"/>
      <c r="AAV22" s="548"/>
      <c r="AAW22" s="548"/>
      <c r="AAX22" s="548"/>
      <c r="AAY22" s="548"/>
      <c r="AAZ22" s="548"/>
      <c r="ABA22" s="548"/>
      <c r="ABB22" s="548"/>
      <c r="ABC22" s="548"/>
      <c r="ABD22" s="548"/>
      <c r="ABE22" s="548"/>
      <c r="ABF22" s="548"/>
      <c r="ABG22" s="548"/>
      <c r="ABH22" s="548"/>
      <c r="ABI22" s="548"/>
      <c r="ABJ22" s="548"/>
      <c r="ABK22" s="548"/>
      <c r="ABL22" s="548"/>
      <c r="ABM22" s="548"/>
      <c r="ABN22" s="548"/>
      <c r="ABO22" s="548"/>
      <c r="ABP22" s="548"/>
      <c r="ABQ22" s="548"/>
      <c r="ABR22" s="548"/>
      <c r="ABS22" s="548"/>
    </row>
    <row r="23" spans="1:747" customFormat="1" ht="15" customHeight="1" x14ac:dyDescent="0.2">
      <c r="A23" s="424" t="str">
        <f t="shared" si="149"/>
        <v/>
      </c>
      <c r="B23" s="415"/>
      <c r="C23" s="525"/>
      <c r="D23" s="750"/>
      <c r="E23" s="416" t="str">
        <f t="shared" si="0"/>
        <v/>
      </c>
      <c r="F23" s="527" t="str">
        <f t="shared" si="1"/>
        <v/>
      </c>
      <c r="G23" s="417"/>
      <c r="H23" s="583" t="str">
        <f t="shared" si="2"/>
        <v/>
      </c>
      <c r="I23" s="424"/>
      <c r="J23" s="749"/>
      <c r="K23" s="418"/>
      <c r="L23" s="419"/>
      <c r="M23" s="415"/>
      <c r="N23" s="420"/>
      <c r="O23" s="421"/>
      <c r="P23" s="561"/>
      <c r="Q23" s="422"/>
      <c r="R23" s="561" t="str">
        <f t="shared" si="3"/>
        <v/>
      </c>
      <c r="S23" s="664"/>
      <c r="T23" s="663"/>
      <c r="U23" s="580">
        <f t="shared" si="4"/>
        <v>0</v>
      </c>
      <c r="V23" s="418"/>
      <c r="W23" s="582" t="str">
        <f t="shared" si="5"/>
        <v/>
      </c>
      <c r="X23" s="479" t="str">
        <f t="shared" si="6"/>
        <v/>
      </c>
      <c r="Y23" s="582" t="str">
        <f t="shared" si="7"/>
        <v/>
      </c>
      <c r="Z23" s="317" t="str">
        <f t="shared" si="8"/>
        <v/>
      </c>
      <c r="AA23" s="317" t="str">
        <f t="shared" si="9"/>
        <v/>
      </c>
      <c r="AB23" s="317">
        <f t="shared" si="10"/>
        <v>0</v>
      </c>
      <c r="AC23" s="317" t="str">
        <f t="shared" si="11"/>
        <v/>
      </c>
      <c r="AD23" s="317"/>
      <c r="AE23" s="479"/>
      <c r="AF23" s="479"/>
      <c r="AG23" s="423"/>
      <c r="AH23" s="820"/>
      <c r="AI23" s="480"/>
      <c r="AJ23" s="660"/>
      <c r="AK23" s="524" t="str">
        <f t="shared" si="12"/>
        <v/>
      </c>
      <c r="AL23" s="729">
        <f>SUMIF($J$4:$J$18,"Volta Aulas",$S$4:$S$18)</f>
        <v>0</v>
      </c>
      <c r="AM23" s="730">
        <f>SUMIF($J$4:$J$18,"Volta Aulas",$T$4:$T$18)</f>
        <v>0</v>
      </c>
      <c r="AN23" s="426">
        <f t="shared" si="13"/>
        <v>0</v>
      </c>
      <c r="AO23" s="427" t="str">
        <f t="shared" si="37"/>
        <v/>
      </c>
      <c r="AP23" s="426" t="str">
        <f t="shared" si="14"/>
        <v/>
      </c>
      <c r="AQ23" s="426"/>
      <c r="AR23" s="426"/>
      <c r="AS23" s="428"/>
      <c r="AT23" s="429"/>
      <c r="AU23" s="430"/>
      <c r="AV23" s="431"/>
      <c r="AW23" s="432"/>
      <c r="AX23" s="430"/>
      <c r="AY23" s="431">
        <f t="shared" si="15"/>
        <v>0</v>
      </c>
      <c r="AZ23" s="426"/>
      <c r="BA23" s="435" t="str">
        <f t="shared" si="16"/>
        <v/>
      </c>
      <c r="BB23" s="435"/>
      <c r="BC23" s="426"/>
      <c r="BD23" s="426">
        <f t="array" ref="BD23">IF(SUM((BC23=$BC$3:BC22)*1)=0,BC23,0)</f>
        <v>0</v>
      </c>
      <c r="BE23" s="426"/>
      <c r="BF23" s="426"/>
      <c r="BG23" s="426">
        <f t="array" ref="BG23">IF(SUM((BF23=$BF$3:BF22)*1)=0,BF23,0)</f>
        <v>0</v>
      </c>
      <c r="BH23" s="426"/>
      <c r="BI23" s="426"/>
      <c r="BJ23" s="426"/>
      <c r="BK23" s="426"/>
      <c r="BL23" s="426"/>
      <c r="BM23" s="426"/>
      <c r="BN23" s="426"/>
      <c r="BO23" s="426"/>
      <c r="BP23" s="433">
        <f t="shared" si="17"/>
        <v>0</v>
      </c>
      <c r="BQ23" s="426"/>
      <c r="BR23" s="434"/>
      <c r="BS23" s="426"/>
      <c r="BT23" s="433"/>
      <c r="BU23" s="435"/>
      <c r="BV23" s="435" t="str">
        <f t="shared" si="18"/>
        <v/>
      </c>
      <c r="BW23" s="435" t="str">
        <f t="shared" si="38"/>
        <v/>
      </c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26" t="str">
        <f t="shared" si="39"/>
        <v/>
      </c>
      <c r="CK23" s="435"/>
      <c r="CL23" s="426"/>
      <c r="CM23" s="435"/>
      <c r="CN23" s="426"/>
      <c r="CO23" s="426"/>
      <c r="CP23" s="426"/>
      <c r="CQ23" s="426"/>
      <c r="CR23" s="426"/>
      <c r="CS23" s="426"/>
      <c r="CT23" s="426"/>
      <c r="CU23" s="426"/>
      <c r="CV23" s="426"/>
      <c r="CW23" s="426"/>
      <c r="CX23" s="426"/>
      <c r="CY23" s="426">
        <v>20</v>
      </c>
      <c r="CZ23" s="426"/>
      <c r="DA23" s="426"/>
      <c r="DB23" s="426"/>
      <c r="DC23" s="426" t="s">
        <v>763</v>
      </c>
      <c r="DD23" s="426" t="s">
        <v>923</v>
      </c>
      <c r="DE23" s="435" t="str">
        <f t="shared" si="40"/>
        <v/>
      </c>
      <c r="DF23" s="435" t="str">
        <f t="shared" si="41"/>
        <v/>
      </c>
      <c r="DG23" s="435" t="str">
        <f t="shared" si="42"/>
        <v/>
      </c>
      <c r="DH23" s="435" t="str">
        <f t="shared" si="43"/>
        <v/>
      </c>
      <c r="DI23" s="435" t="str">
        <f t="shared" si="44"/>
        <v/>
      </c>
      <c r="DJ23" s="435" t="str">
        <f t="shared" si="45"/>
        <v/>
      </c>
      <c r="DK23" s="435" t="str">
        <f t="shared" si="19"/>
        <v/>
      </c>
      <c r="DL23" s="435" t="str">
        <f t="shared" si="20"/>
        <v/>
      </c>
      <c r="DM23" s="435" t="str">
        <f t="shared" si="46"/>
        <v/>
      </c>
      <c r="DN23" s="435" t="str">
        <f t="shared" si="47"/>
        <v/>
      </c>
      <c r="DO23" s="435" t="str">
        <f t="shared" si="21"/>
        <v/>
      </c>
      <c r="DP23" s="435" t="str">
        <f t="shared" si="22"/>
        <v/>
      </c>
      <c r="DQ23" s="435" t="str">
        <f t="shared" si="48"/>
        <v/>
      </c>
      <c r="DR23" s="435" t="str">
        <f t="shared" si="49"/>
        <v/>
      </c>
      <c r="DS23" s="435" t="str">
        <f t="shared" si="23"/>
        <v/>
      </c>
      <c r="DT23" s="435" t="str">
        <f t="shared" si="24"/>
        <v/>
      </c>
      <c r="DU23" s="435" t="str">
        <f t="shared" si="50"/>
        <v/>
      </c>
      <c r="DV23" s="435" t="str">
        <f t="shared" si="51"/>
        <v/>
      </c>
      <c r="DW23" s="435" t="str">
        <f t="shared" si="25"/>
        <v/>
      </c>
      <c r="DX23" s="435" t="str">
        <f t="shared" si="26"/>
        <v/>
      </c>
      <c r="DY23" s="435" t="str">
        <f t="shared" si="52"/>
        <v/>
      </c>
      <c r="DZ23" s="435" t="str">
        <f t="shared" si="53"/>
        <v/>
      </c>
      <c r="EA23" s="435" t="str">
        <f t="shared" si="27"/>
        <v/>
      </c>
      <c r="EB23" s="435" t="str">
        <f t="shared" si="28"/>
        <v/>
      </c>
      <c r="EC23" s="435" t="str">
        <f t="shared" si="29"/>
        <v/>
      </c>
      <c r="ED23" s="435" t="str">
        <f t="shared" si="30"/>
        <v/>
      </c>
      <c r="EE23" s="435" t="str">
        <f t="shared" si="31"/>
        <v/>
      </c>
      <c r="EF23" s="435" t="str">
        <f t="shared" si="32"/>
        <v/>
      </c>
      <c r="EG23" s="435" t="str">
        <f t="shared" si="33"/>
        <v/>
      </c>
      <c r="EH23" s="435" t="str">
        <f t="shared" si="34"/>
        <v/>
      </c>
      <c r="EI23" s="435" t="str">
        <f t="shared" si="35"/>
        <v/>
      </c>
      <c r="EJ23" s="435" t="str">
        <f t="shared" si="36"/>
        <v/>
      </c>
      <c r="EK23" s="485"/>
      <c r="EL23" s="485"/>
      <c r="EM23" s="485"/>
      <c r="EN23" s="485"/>
      <c r="EO23" s="448"/>
      <c r="EP23" s="448"/>
      <c r="EQ23" s="448"/>
      <c r="ER23" s="448"/>
      <c r="ES23" s="448"/>
      <c r="ET23" s="435"/>
      <c r="EU23" s="435"/>
      <c r="EV23" s="435"/>
      <c r="EW23" s="435"/>
      <c r="EX23" s="426"/>
      <c r="EY23" s="426"/>
      <c r="EZ23" s="426"/>
      <c r="FA23" s="427"/>
      <c r="FB23" s="427">
        <f t="array" ref="FB23">IF(SUM((FA23=$FA$3:FA22)*1)=0,FA23,0)</f>
        <v>0</v>
      </c>
      <c r="FC23" s="427"/>
      <c r="FD23" s="427"/>
      <c r="FE23" s="427">
        <f t="array" ref="FE23">IF(SUM((FD23=$FD$3:FD22)*1)=0,FD23,0)</f>
        <v>0</v>
      </c>
      <c r="FF23" s="427"/>
      <c r="FG23" s="427"/>
      <c r="FH23" s="427"/>
      <c r="FI23" s="427">
        <f t="array" ref="FI23">IF(SUM((FH23=$FH$3:FH22)*1)=0,FH23,0)</f>
        <v>0</v>
      </c>
      <c r="FJ23" s="427"/>
      <c r="FK23" s="427"/>
      <c r="FL23" s="427">
        <f t="array" ref="FL23">IF(SUM((FK23=$FK$3:FK22)*1)=0,FK23,0)</f>
        <v>0</v>
      </c>
      <c r="FM23" s="427"/>
      <c r="FN23" s="427"/>
      <c r="FO23" s="427"/>
      <c r="FP23" s="427">
        <f t="array" ref="FP23">IF(SUM((FO23=$FO$3:FO22)*1)=0,FO23,0)</f>
        <v>0</v>
      </c>
      <c r="FQ23" s="427"/>
      <c r="FR23" s="427"/>
      <c r="FS23" s="427">
        <f t="array" ref="FS23">IF(SUM((FR23=$FR$3:FR22)*1)=0,FR23,0)</f>
        <v>0</v>
      </c>
      <c r="FT23" s="427"/>
      <c r="FU23" s="427"/>
      <c r="FV23" s="427"/>
      <c r="FW23" s="427">
        <f t="array" ref="FW23">IF(SUM((FV23=$FV$3:FV22)*1)=0,FV23,0)</f>
        <v>0</v>
      </c>
      <c r="FX23" s="427"/>
      <c r="FY23" s="427"/>
      <c r="FZ23" s="427">
        <f t="array" ref="FZ23">IF(SUM((FY23=$FY$3:FY22)*1)=0,FY23,0)</f>
        <v>0</v>
      </c>
      <c r="GA23" s="427"/>
      <c r="GB23" s="427"/>
      <c r="GC23" s="427"/>
      <c r="GD23" s="427">
        <f t="array" ref="GD23">IF(SUM((GC23=$GC$3:GC22)*1)=0,GC23,0)</f>
        <v>0</v>
      </c>
      <c r="GE23" s="427"/>
      <c r="GF23" s="427"/>
      <c r="GG23" s="427">
        <f t="array" ref="GG23">IF(SUM((GF23=$GF$3:GF22)*1)=0,GF23,0)</f>
        <v>0</v>
      </c>
      <c r="GH23" s="427"/>
      <c r="GI23" s="427"/>
      <c r="GJ23" s="427"/>
      <c r="GK23" s="798">
        <f t="array" ref="GK23">IF(SUM((GJ23=$GJ$3:GJ22)*1)=0,GJ23,0)</f>
        <v>0</v>
      </c>
      <c r="GL23" s="427"/>
      <c r="GM23" s="427"/>
      <c r="GN23" s="798">
        <f t="array" ref="GN23">IF(SUM((GM23=$GM$3:GM22)*1)=0,GM23,0)</f>
        <v>0</v>
      </c>
      <c r="GO23" s="427"/>
      <c r="GP23" s="427"/>
      <c r="GQ23" s="427"/>
      <c r="GR23" s="798">
        <f t="array" ref="GR23">IF(SUM((GQ23=$GQ$3:GQ22)*1)=0,GQ23,0)</f>
        <v>0</v>
      </c>
      <c r="GS23" s="427"/>
      <c r="GT23" s="427"/>
      <c r="GU23" s="798">
        <f t="array" ref="GU23">IF(SUM((GT23=$GT$3:GT22)*1)=0,GT23,0)</f>
        <v>0</v>
      </c>
      <c r="GV23" s="427"/>
      <c r="GW23" s="427"/>
      <c r="GX23" s="427"/>
      <c r="GY23" s="798">
        <f t="array" ref="GY23">IF(SUM((GX23=$GX$3:GX22)*1)=0,GX23,0)</f>
        <v>0</v>
      </c>
      <c r="GZ23" s="427"/>
      <c r="HA23" s="427"/>
      <c r="HB23" s="798">
        <f t="array" ref="HB23">IF(SUM((HA23=$HA$3:HA22)*1)=0,HA23,0)</f>
        <v>0</v>
      </c>
      <c r="HC23" s="427"/>
      <c r="HD23" s="427"/>
      <c r="HE23" s="769" t="str">
        <f t="shared" si="130"/>
        <v/>
      </c>
      <c r="HF23" s="768" t="str">
        <f t="shared" si="54"/>
        <v/>
      </c>
      <c r="HG23" s="769" t="str">
        <f t="shared" si="131"/>
        <v/>
      </c>
      <c r="HH23" s="768" t="str">
        <f t="shared" si="55"/>
        <v/>
      </c>
      <c r="HI23" s="728" t="str">
        <f t="shared" si="132"/>
        <v/>
      </c>
      <c r="HJ23" s="768" t="str">
        <f t="shared" si="56"/>
        <v/>
      </c>
      <c r="HK23" s="728" t="str">
        <f t="shared" si="133"/>
        <v/>
      </c>
      <c r="HL23" s="768" t="str">
        <f t="shared" si="57"/>
        <v/>
      </c>
      <c r="HM23" s="769" t="str">
        <f t="shared" si="58"/>
        <v/>
      </c>
      <c r="HN23" s="768" t="str">
        <f t="shared" ref="HN23" si="278">IF(HM23&lt;0,"Invadiu REP-BA-C","")</f>
        <v/>
      </c>
      <c r="HO23" s="769" t="str">
        <f t="shared" si="60"/>
        <v/>
      </c>
      <c r="HP23" s="768" t="str">
        <f t="shared" si="61"/>
        <v/>
      </c>
      <c r="HQ23" s="728" t="str">
        <f t="shared" si="62"/>
        <v/>
      </c>
      <c r="HR23" s="768" t="str">
        <f t="shared" si="63"/>
        <v/>
      </c>
      <c r="HS23" s="728" t="str">
        <f t="shared" si="64"/>
        <v/>
      </c>
      <c r="HT23" s="768" t="str">
        <f t="shared" si="65"/>
        <v/>
      </c>
      <c r="HU23" s="769" t="str">
        <f t="shared" si="66"/>
        <v/>
      </c>
      <c r="HV23" s="768" t="str">
        <f t="shared" ref="HV23" si="279">IF(HU23&lt;0,"Invadiu REP-BA-C","")</f>
        <v/>
      </c>
      <c r="HW23" s="769" t="str">
        <f t="shared" si="68"/>
        <v/>
      </c>
      <c r="HX23" s="768" t="str">
        <f t="shared" si="69"/>
        <v/>
      </c>
      <c r="HY23" s="728" t="str">
        <f t="shared" si="70"/>
        <v/>
      </c>
      <c r="HZ23" s="768" t="str">
        <f t="shared" si="71"/>
        <v/>
      </c>
      <c r="IA23" s="728" t="str">
        <f t="shared" si="72"/>
        <v/>
      </c>
      <c r="IB23" s="768" t="str">
        <f t="shared" si="73"/>
        <v/>
      </c>
      <c r="IC23" s="769" t="str">
        <f t="shared" si="74"/>
        <v/>
      </c>
      <c r="ID23" s="768" t="str">
        <f t="shared" ref="ID23" si="280">IF(IC23&lt;0,"Invadiu REP-BA-C","")</f>
        <v/>
      </c>
      <c r="IE23" s="769" t="str">
        <f t="shared" si="76"/>
        <v/>
      </c>
      <c r="IF23" s="768" t="str">
        <f t="shared" si="77"/>
        <v/>
      </c>
      <c r="IG23" s="728" t="str">
        <f t="shared" si="78"/>
        <v/>
      </c>
      <c r="IH23" s="768" t="str">
        <f t="shared" si="79"/>
        <v/>
      </c>
      <c r="II23" s="728" t="str">
        <f t="shared" si="80"/>
        <v/>
      </c>
      <c r="IJ23" s="768" t="str">
        <f t="shared" si="81"/>
        <v/>
      </c>
      <c r="IK23" s="769" t="str">
        <f t="shared" si="82"/>
        <v/>
      </c>
      <c r="IL23" s="768" t="str">
        <f t="shared" ref="IL23" si="281">IF(IK23&lt;0,"Invadiu REP-BA-C","")</f>
        <v/>
      </c>
      <c r="IM23" s="769" t="str">
        <f t="shared" si="84"/>
        <v/>
      </c>
      <c r="IN23" s="768" t="str">
        <f t="shared" si="85"/>
        <v/>
      </c>
      <c r="IO23" s="728" t="str">
        <f t="shared" si="86"/>
        <v/>
      </c>
      <c r="IP23" s="768" t="str">
        <f t="shared" si="87"/>
        <v/>
      </c>
      <c r="IQ23" s="728" t="str">
        <f t="shared" si="88"/>
        <v/>
      </c>
      <c r="IR23" s="768" t="str">
        <f t="shared" si="89"/>
        <v/>
      </c>
      <c r="IS23" s="769" t="str">
        <f t="shared" si="90"/>
        <v/>
      </c>
      <c r="IT23" s="768" t="str">
        <f t="shared" ref="IT23" si="282">IF(IS23&lt;0,"Invadiu REP-BA-C","")</f>
        <v/>
      </c>
      <c r="IU23" s="769" t="str">
        <f t="shared" si="92"/>
        <v/>
      </c>
      <c r="IV23" s="768" t="str">
        <f t="shared" si="93"/>
        <v/>
      </c>
      <c r="IW23" s="728" t="str">
        <f t="shared" si="94"/>
        <v/>
      </c>
      <c r="IX23" s="768" t="str">
        <f t="shared" si="95"/>
        <v/>
      </c>
      <c r="IY23" s="728" t="str">
        <f t="shared" si="96"/>
        <v/>
      </c>
      <c r="IZ23" s="768" t="str">
        <f t="shared" si="97"/>
        <v/>
      </c>
      <c r="JA23" s="769" t="str">
        <f t="shared" si="98"/>
        <v/>
      </c>
      <c r="JB23" s="768" t="str">
        <f t="shared" ref="JB23" si="283">IF(JA23&lt;0,"Invadiu REP-BA-C","")</f>
        <v/>
      </c>
      <c r="JC23" s="769" t="str">
        <f t="shared" si="100"/>
        <v/>
      </c>
      <c r="JD23" s="768" t="str">
        <f t="shared" si="101"/>
        <v/>
      </c>
      <c r="JE23" s="728" t="str">
        <f t="shared" si="102"/>
        <v/>
      </c>
      <c r="JF23" s="768" t="str">
        <f t="shared" si="103"/>
        <v/>
      </c>
      <c r="JG23" s="728" t="str">
        <f t="shared" si="104"/>
        <v/>
      </c>
      <c r="JH23" s="768" t="str">
        <f t="shared" si="105"/>
        <v/>
      </c>
      <c r="JI23" s="769" t="str">
        <f t="shared" si="106"/>
        <v/>
      </c>
      <c r="JJ23" s="768" t="str">
        <f t="shared" ref="JJ23" si="284">IF(JI23&lt;0,"Invadiu REP-BA-C","")</f>
        <v/>
      </c>
      <c r="JK23" s="769" t="str">
        <f t="shared" si="108"/>
        <v/>
      </c>
      <c r="JL23" s="768" t="str">
        <f t="shared" si="109"/>
        <v/>
      </c>
      <c r="JM23" s="728" t="str">
        <f t="shared" si="110"/>
        <v/>
      </c>
      <c r="JN23" s="768" t="str">
        <f t="shared" si="111"/>
        <v/>
      </c>
      <c r="JO23" s="728" t="str">
        <f t="shared" si="112"/>
        <v/>
      </c>
      <c r="JP23" s="768" t="str">
        <f t="shared" si="113"/>
        <v/>
      </c>
      <c r="JQ23" s="769" t="str">
        <f t="shared" si="114"/>
        <v/>
      </c>
      <c r="JR23" s="768" t="str">
        <f t="shared" ref="JR23" si="285">IF(JQ23&lt;0,"Invadiu REP-BA-C","")</f>
        <v/>
      </c>
      <c r="JS23" s="769" t="str">
        <f t="shared" si="116"/>
        <v/>
      </c>
      <c r="JT23" s="768" t="str">
        <f t="shared" si="117"/>
        <v/>
      </c>
      <c r="JU23" s="728" t="str">
        <f t="shared" si="118"/>
        <v/>
      </c>
      <c r="JV23" s="768" t="str">
        <f t="shared" si="119"/>
        <v/>
      </c>
      <c r="JW23" s="728" t="str">
        <f t="shared" si="120"/>
        <v/>
      </c>
      <c r="JX23" s="768" t="str">
        <f t="shared" si="121"/>
        <v/>
      </c>
      <c r="JY23" s="768" t="str">
        <f t="shared" si="122"/>
        <v/>
      </c>
      <c r="JZ23" s="485" t="str">
        <f>IF(JY23="","",IF(AND(C23=$C$164,JY23&lt;&gt;""),Verificarcpf(D23),IF(AND(C23=$C$165,JY23&lt;&gt;""),VerificarCNPJ(D23))))</f>
        <v/>
      </c>
      <c r="KA23" s="768" t="str">
        <f t="shared" si="123"/>
        <v/>
      </c>
      <c r="KB23" s="485">
        <f t="shared" si="124"/>
        <v>0</v>
      </c>
      <c r="KC23" s="768">
        <f t="shared" si="125"/>
        <v>0</v>
      </c>
      <c r="KD23" s="485">
        <f t="shared" si="126"/>
        <v>0</v>
      </c>
      <c r="KE23" s="448"/>
      <c r="KF23" s="548">
        <f t="shared" si="127"/>
        <v>0</v>
      </c>
      <c r="KG23" s="548" t="s">
        <v>567</v>
      </c>
      <c r="KH23" s="548"/>
      <c r="KI23" s="548"/>
      <c r="KJ23" s="548" t="str">
        <f t="shared" si="128"/>
        <v/>
      </c>
      <c r="KK23" s="548"/>
      <c r="KL23" s="548"/>
      <c r="KM23" s="548">
        <f t="array" ref="KM23">IF(SUM((KL23=$KL$3:KL22)*1)=0,KL23,0)</f>
        <v>0</v>
      </c>
      <c r="KN23" s="548"/>
      <c r="KO23" s="548"/>
      <c r="KP23" s="548"/>
      <c r="KQ23" s="548"/>
      <c r="KR23" s="548" t="str">
        <f t="shared" si="129"/>
        <v/>
      </c>
      <c r="KS23" s="548"/>
      <c r="KT23" s="548"/>
      <c r="KU23" s="548"/>
      <c r="KV23" s="548"/>
      <c r="KW23" s="548"/>
      <c r="KX23" s="548"/>
      <c r="KY23" s="548"/>
      <c r="KZ23" s="548"/>
      <c r="LA23" s="548"/>
      <c r="LB23" s="548"/>
      <c r="LC23" s="485" t="str">
        <f t="shared" si="142"/>
        <v/>
      </c>
      <c r="LD23" s="548"/>
      <c r="LE23" s="548"/>
      <c r="LF23" s="548"/>
      <c r="LG23" s="548"/>
      <c r="LH23" s="548"/>
      <c r="LI23" s="548"/>
      <c r="LJ23" s="548"/>
      <c r="LK23" s="548"/>
      <c r="LL23" s="548"/>
      <c r="LM23" s="548"/>
      <c r="LN23" s="548"/>
      <c r="LO23" s="548"/>
      <c r="LP23" s="485" t="str">
        <f t="shared" si="143"/>
        <v/>
      </c>
      <c r="LQ23" s="548"/>
      <c r="LR23" s="548"/>
      <c r="LS23" s="548"/>
      <c r="LT23" s="548"/>
      <c r="LU23" s="548"/>
      <c r="LV23" s="548"/>
      <c r="LW23" s="548"/>
      <c r="LX23" s="548"/>
      <c r="LY23" s="548"/>
      <c r="LZ23" s="548"/>
      <c r="MA23" s="548"/>
      <c r="MB23" s="548"/>
      <c r="MC23" s="485" t="str">
        <f t="shared" si="144"/>
        <v/>
      </c>
      <c r="MD23" s="548"/>
      <c r="ME23" s="548"/>
      <c r="MF23" s="548"/>
      <c r="MG23" s="548"/>
      <c r="MH23" s="548"/>
      <c r="MI23" s="548"/>
      <c r="MJ23" s="548"/>
      <c r="MK23" s="548"/>
      <c r="ML23" s="548"/>
      <c r="MM23" s="548"/>
      <c r="MN23" s="548"/>
      <c r="MO23" s="548"/>
      <c r="MP23" s="485" t="str">
        <f t="shared" si="145"/>
        <v/>
      </c>
      <c r="MQ23" s="548"/>
      <c r="MR23" s="548"/>
      <c r="MS23" s="548"/>
      <c r="MT23" s="548"/>
      <c r="MU23" s="548"/>
      <c r="MV23" s="548"/>
      <c r="MW23" s="548"/>
      <c r="MX23" s="548"/>
      <c r="MY23" s="548"/>
      <c r="MZ23" s="548"/>
      <c r="NA23" s="548"/>
      <c r="NB23" s="548"/>
      <c r="NC23" s="485" t="str">
        <f t="shared" si="146"/>
        <v/>
      </c>
      <c r="ND23" s="548"/>
      <c r="NE23" s="548"/>
      <c r="NF23" s="548"/>
      <c r="NG23" s="548"/>
      <c r="NH23" s="548"/>
      <c r="NI23" s="548"/>
      <c r="NJ23" s="548"/>
      <c r="NK23" s="548"/>
      <c r="NL23" s="548"/>
      <c r="NM23" s="548"/>
      <c r="NN23" s="548"/>
      <c r="NO23" s="548"/>
      <c r="NP23" s="485" t="str">
        <f t="shared" si="147"/>
        <v/>
      </c>
      <c r="NQ23" s="548"/>
      <c r="NR23" s="548"/>
      <c r="NS23" s="548"/>
      <c r="NT23" s="548"/>
      <c r="NU23" s="548"/>
      <c r="NV23" s="548"/>
      <c r="NW23" s="548"/>
      <c r="NX23" s="548"/>
      <c r="NY23" s="548"/>
      <c r="NZ23" s="548"/>
      <c r="OA23" s="548"/>
      <c r="OB23" s="548"/>
      <c r="OC23" s="485" t="str">
        <f t="shared" si="148"/>
        <v/>
      </c>
      <c r="OD23" s="548"/>
      <c r="OE23" s="548"/>
      <c r="OF23" s="548"/>
      <c r="OG23" s="548"/>
      <c r="OH23" s="548"/>
      <c r="OI23" s="548"/>
      <c r="OJ23" s="548"/>
      <c r="OK23" s="548"/>
      <c r="OL23" s="548"/>
      <c r="OM23" s="548"/>
      <c r="ON23" s="548"/>
      <c r="OO23" s="548"/>
      <c r="OP23" s="548"/>
      <c r="OQ23" s="548"/>
      <c r="OR23" s="548"/>
      <c r="OS23" s="548"/>
      <c r="OT23" s="548"/>
      <c r="OU23" s="548"/>
      <c r="OV23" s="548"/>
      <c r="OW23" s="548"/>
      <c r="OX23" s="548"/>
      <c r="OY23" s="548"/>
      <c r="OZ23" s="548"/>
      <c r="PA23" s="548"/>
      <c r="PB23" s="548"/>
      <c r="PC23" s="548"/>
      <c r="PD23" s="548"/>
      <c r="PE23" s="548"/>
      <c r="PF23" s="548"/>
      <c r="PG23" s="548"/>
      <c r="PH23" s="548"/>
      <c r="PI23" s="548"/>
      <c r="PJ23" s="548"/>
      <c r="PK23" s="548"/>
      <c r="PL23" s="548"/>
      <c r="PM23" s="548"/>
      <c r="PN23" s="548"/>
      <c r="PO23" s="548"/>
      <c r="PP23" s="548"/>
      <c r="PQ23" s="548"/>
      <c r="PR23" s="548"/>
      <c r="PS23" s="548"/>
      <c r="PT23" s="548"/>
      <c r="PU23" s="548"/>
      <c r="PV23" s="548"/>
      <c r="PW23" s="548"/>
      <c r="PX23" s="548"/>
      <c r="PY23" s="548"/>
      <c r="PZ23" s="548"/>
      <c r="QA23" s="548"/>
      <c r="QB23" s="548"/>
      <c r="QC23" s="548"/>
      <c r="QD23" s="548"/>
      <c r="QE23" s="548"/>
      <c r="QF23" s="548"/>
      <c r="QG23" s="548"/>
      <c r="QH23" s="548"/>
      <c r="QI23" s="548"/>
      <c r="QJ23" s="548"/>
      <c r="QK23" s="548"/>
      <c r="QL23" s="548"/>
      <c r="QM23" s="548"/>
      <c r="QN23" s="548"/>
      <c r="QO23" s="548"/>
      <c r="QP23" s="548"/>
      <c r="QQ23" s="1009"/>
      <c r="QR23" s="548"/>
      <c r="QS23" s="548"/>
      <c r="QT23" s="548"/>
      <c r="QU23" s="548"/>
      <c r="QV23" s="548"/>
      <c r="QW23" s="548"/>
      <c r="QX23" s="548"/>
      <c r="QY23" s="548"/>
      <c r="QZ23" s="548"/>
      <c r="RA23" s="548"/>
      <c r="RB23" s="548"/>
      <c r="RC23" s="548"/>
      <c r="RD23" s="548"/>
      <c r="RE23" s="548"/>
      <c r="RF23" s="548"/>
      <c r="RG23" s="548"/>
      <c r="RH23" s="548"/>
      <c r="RI23" s="548"/>
      <c r="RJ23" s="548"/>
      <c r="RK23" s="548"/>
      <c r="RL23" s="548"/>
      <c r="RM23" s="548"/>
      <c r="RN23" s="548"/>
      <c r="RO23" s="548"/>
      <c r="RP23" s="548"/>
      <c r="RQ23" s="548"/>
      <c r="RR23" s="548"/>
      <c r="RS23" s="548"/>
      <c r="RT23" s="548"/>
      <c r="RU23" s="548"/>
      <c r="RV23" s="548"/>
      <c r="RW23" s="548"/>
      <c r="RX23" s="548"/>
      <c r="RY23" s="548"/>
      <c r="RZ23" s="548"/>
      <c r="SA23" s="548"/>
      <c r="SB23" s="548"/>
      <c r="SC23" s="548"/>
      <c r="SD23" s="548"/>
      <c r="SE23" s="548"/>
      <c r="SF23" s="548"/>
      <c r="SG23" s="548"/>
      <c r="SH23" s="548"/>
      <c r="SI23" s="548"/>
      <c r="SJ23" s="548"/>
      <c r="SK23" s="548"/>
      <c r="SL23" s="548"/>
      <c r="SM23" s="548"/>
      <c r="SN23" s="548"/>
      <c r="SO23" s="548"/>
      <c r="SP23" s="548"/>
      <c r="SQ23" s="548"/>
      <c r="SR23" s="548"/>
      <c r="SS23" s="548"/>
      <c r="ST23" s="548"/>
      <c r="SU23" s="548"/>
      <c r="SV23" s="548"/>
      <c r="SW23" s="548"/>
      <c r="SX23" s="548"/>
      <c r="SY23" s="548"/>
      <c r="SZ23" s="548"/>
      <c r="TA23" s="548"/>
      <c r="TB23" s="548"/>
      <c r="TC23" s="548"/>
      <c r="TD23" s="548"/>
      <c r="TE23" s="548"/>
      <c r="TF23" s="548"/>
      <c r="TG23" s="548"/>
      <c r="TH23" s="548"/>
      <c r="TI23" s="548"/>
      <c r="TJ23" s="548"/>
      <c r="TK23" s="548"/>
      <c r="TL23" s="548"/>
      <c r="TM23" s="548"/>
      <c r="TN23" s="548"/>
      <c r="TO23" s="548"/>
      <c r="TP23" s="548"/>
      <c r="TQ23" s="548"/>
      <c r="TR23" s="548"/>
      <c r="TS23" s="548"/>
      <c r="TT23" s="548"/>
      <c r="TU23" s="548"/>
      <c r="TV23" s="548"/>
      <c r="TW23" s="548"/>
      <c r="TX23" s="548"/>
      <c r="TY23" s="548"/>
      <c r="TZ23" s="548"/>
      <c r="UA23" s="548"/>
      <c r="UB23" s="548"/>
      <c r="UC23" s="548"/>
      <c r="UD23" s="548"/>
      <c r="UE23" s="548"/>
      <c r="UF23" s="548"/>
      <c r="UG23" s="548"/>
      <c r="UH23" s="548"/>
      <c r="UI23" s="548"/>
      <c r="UJ23" s="548"/>
      <c r="UK23" s="548"/>
      <c r="UL23" s="548"/>
      <c r="UM23" s="548"/>
      <c r="UN23" s="548"/>
      <c r="UO23" s="548"/>
      <c r="UP23" s="548"/>
      <c r="UQ23" s="548"/>
      <c r="UR23" s="548"/>
      <c r="US23" s="548"/>
      <c r="UT23" s="548"/>
      <c r="UU23" s="548"/>
      <c r="UV23" s="548"/>
      <c r="UW23" s="548"/>
      <c r="UX23" s="548"/>
      <c r="UY23" s="548"/>
      <c r="UZ23" s="548"/>
      <c r="VA23" s="548"/>
      <c r="VB23" s="548"/>
      <c r="VC23" s="548"/>
      <c r="VD23" s="548"/>
      <c r="VE23" s="548"/>
      <c r="VF23" s="548"/>
      <c r="VG23" s="548"/>
      <c r="VH23" s="548"/>
      <c r="VI23" s="548"/>
      <c r="VJ23" s="548"/>
      <c r="VK23" s="548"/>
      <c r="VL23" s="548"/>
      <c r="VM23" s="548"/>
      <c r="VN23" s="548"/>
      <c r="VO23" s="548"/>
      <c r="VP23" s="548"/>
      <c r="VQ23" s="548"/>
      <c r="VR23" s="548"/>
      <c r="VS23" s="548"/>
      <c r="VT23" s="548"/>
      <c r="VU23" s="548"/>
      <c r="VV23" s="548"/>
      <c r="VW23" s="548"/>
      <c r="VX23" s="548"/>
      <c r="VY23" s="548"/>
      <c r="VZ23" s="548"/>
      <c r="WA23" s="548"/>
      <c r="WB23" s="548"/>
      <c r="WC23" s="548"/>
      <c r="WD23" s="548"/>
      <c r="WE23" s="548"/>
      <c r="WF23" s="548"/>
      <c r="WG23" s="548"/>
      <c r="WH23" s="548"/>
      <c r="WI23" s="548"/>
      <c r="WJ23" s="548"/>
      <c r="WK23" s="548"/>
      <c r="WL23" s="548"/>
      <c r="WM23" s="548"/>
      <c r="WN23" s="548"/>
      <c r="WO23" s="548"/>
      <c r="WP23" s="548"/>
      <c r="WQ23" s="548"/>
      <c r="WR23" s="548"/>
      <c r="WS23" s="548"/>
      <c r="WT23" s="548"/>
      <c r="WU23" s="548"/>
      <c r="WV23" s="548"/>
      <c r="WW23" s="548"/>
      <c r="WX23" s="548"/>
      <c r="WY23" s="548"/>
      <c r="WZ23" s="548"/>
      <c r="XA23" s="548"/>
      <c r="XB23" s="548"/>
      <c r="XC23" s="548"/>
      <c r="XD23" s="548"/>
      <c r="XE23" s="548"/>
      <c r="XF23" s="548"/>
      <c r="XG23" s="548"/>
      <c r="XH23" s="548"/>
      <c r="XI23" s="548"/>
      <c r="XJ23" s="548"/>
      <c r="XK23" s="548"/>
      <c r="XL23" s="548"/>
      <c r="XM23" s="548"/>
      <c r="XN23" s="548"/>
      <c r="XO23" s="548"/>
      <c r="XP23" s="548"/>
      <c r="XQ23" s="548"/>
      <c r="XR23" s="548"/>
      <c r="XS23" s="548"/>
      <c r="XT23" s="548"/>
      <c r="XU23" s="548"/>
      <c r="XV23" s="548"/>
      <c r="XW23" s="548"/>
      <c r="XX23" s="548"/>
      <c r="XY23" s="548"/>
      <c r="XZ23" s="548"/>
      <c r="YA23" s="548"/>
      <c r="YB23" s="548"/>
      <c r="YC23" s="548"/>
      <c r="YD23" s="548"/>
      <c r="YE23" s="548"/>
      <c r="YF23" s="548"/>
      <c r="YG23" s="548"/>
      <c r="YH23" s="548"/>
      <c r="YI23" s="548"/>
      <c r="YJ23" s="548"/>
      <c r="YK23" s="548"/>
      <c r="YL23" s="548"/>
      <c r="YM23" s="548"/>
      <c r="YN23" s="548"/>
      <c r="YO23" s="548"/>
      <c r="YP23" s="548"/>
      <c r="YQ23" s="548"/>
      <c r="YR23" s="548"/>
      <c r="YS23" s="548"/>
      <c r="YT23" s="548"/>
      <c r="YU23" s="548"/>
      <c r="YV23" s="548"/>
      <c r="YW23" s="548"/>
      <c r="YX23" s="548"/>
      <c r="YY23" s="548"/>
      <c r="YZ23" s="548"/>
      <c r="ZA23" s="548"/>
      <c r="ZB23" s="548"/>
      <c r="ZC23" s="548"/>
      <c r="ZD23" s="548"/>
      <c r="ZE23" s="548"/>
      <c r="ZF23" s="548"/>
      <c r="ZG23" s="548"/>
      <c r="ZH23" s="548"/>
      <c r="ZI23" s="548"/>
      <c r="ZJ23" s="548"/>
      <c r="ZK23" s="548"/>
      <c r="ZL23" s="548"/>
      <c r="ZM23" s="548"/>
      <c r="ZN23" s="548"/>
      <c r="ZO23" s="548"/>
      <c r="ZP23" s="548"/>
      <c r="ZQ23" s="548"/>
      <c r="ZR23" s="548"/>
      <c r="ZS23" s="548"/>
      <c r="ZT23" s="548"/>
      <c r="ZU23" s="548"/>
      <c r="ZV23" s="548"/>
      <c r="ZW23" s="548"/>
      <c r="ZX23" s="548"/>
      <c r="ZY23" s="548"/>
      <c r="ZZ23" s="548"/>
      <c r="AAA23" s="548"/>
      <c r="AAB23" s="548"/>
      <c r="AAC23" s="548"/>
      <c r="AAD23" s="548"/>
      <c r="AAE23" s="548"/>
      <c r="AAF23" s="548"/>
      <c r="AAG23" s="548"/>
      <c r="AAH23" s="548"/>
      <c r="AAI23" s="548"/>
      <c r="AAJ23" s="548"/>
      <c r="AAK23" s="548"/>
      <c r="AAL23" s="548"/>
      <c r="AAM23" s="548"/>
      <c r="AAN23" s="548"/>
      <c r="AAO23" s="548"/>
      <c r="AAP23" s="548"/>
      <c r="AAQ23" s="548"/>
      <c r="AAR23" s="548"/>
      <c r="AAS23" s="548"/>
      <c r="AAT23" s="548"/>
      <c r="AAU23" s="548"/>
      <c r="AAV23" s="548"/>
      <c r="AAW23" s="548"/>
      <c r="AAX23" s="548"/>
      <c r="AAY23" s="548"/>
      <c r="AAZ23" s="548"/>
      <c r="ABA23" s="548"/>
      <c r="ABB23" s="548"/>
      <c r="ABC23" s="548"/>
      <c r="ABD23" s="548"/>
      <c r="ABE23" s="548"/>
      <c r="ABF23" s="548"/>
      <c r="ABG23" s="548"/>
      <c r="ABH23" s="548"/>
      <c r="ABI23" s="548"/>
      <c r="ABJ23" s="548"/>
      <c r="ABK23" s="548"/>
      <c r="ABL23" s="548"/>
      <c r="ABM23" s="548"/>
      <c r="ABN23" s="548"/>
      <c r="ABO23" s="548"/>
      <c r="ABP23" s="548"/>
      <c r="ABQ23" s="548"/>
      <c r="ABR23" s="548"/>
      <c r="ABS23" s="548"/>
    </row>
    <row r="24" spans="1:747" customFormat="1" ht="15" customHeight="1" x14ac:dyDescent="0.2">
      <c r="A24" s="424" t="str">
        <f t="shared" si="149"/>
        <v/>
      </c>
      <c r="B24" s="415"/>
      <c r="C24" s="525"/>
      <c r="D24" s="750"/>
      <c r="E24" s="416" t="str">
        <f t="shared" si="0"/>
        <v/>
      </c>
      <c r="F24" s="527" t="str">
        <f t="shared" si="1"/>
        <v/>
      </c>
      <c r="G24" s="417"/>
      <c r="H24" s="583" t="str">
        <f t="shared" si="2"/>
        <v/>
      </c>
      <c r="I24" s="424"/>
      <c r="J24" s="749"/>
      <c r="K24" s="418"/>
      <c r="L24" s="419"/>
      <c r="M24" s="415"/>
      <c r="N24" s="420"/>
      <c r="O24" s="421"/>
      <c r="P24" s="561"/>
      <c r="Q24" s="422"/>
      <c r="R24" s="561" t="str">
        <f t="shared" si="3"/>
        <v/>
      </c>
      <c r="S24" s="664"/>
      <c r="T24" s="663"/>
      <c r="U24" s="580">
        <f t="shared" si="4"/>
        <v>0</v>
      </c>
      <c r="V24" s="418"/>
      <c r="W24" s="582" t="str">
        <f t="shared" si="5"/>
        <v/>
      </c>
      <c r="X24" s="479" t="str">
        <f t="shared" si="6"/>
        <v/>
      </c>
      <c r="Y24" s="582" t="str">
        <f t="shared" si="7"/>
        <v/>
      </c>
      <c r="Z24" s="317" t="str">
        <f t="shared" si="8"/>
        <v/>
      </c>
      <c r="AA24" s="317" t="str">
        <f t="shared" si="9"/>
        <v/>
      </c>
      <c r="AB24" s="317">
        <f t="shared" si="10"/>
        <v>0</v>
      </c>
      <c r="AC24" s="317" t="str">
        <f t="shared" si="11"/>
        <v/>
      </c>
      <c r="AD24" s="317"/>
      <c r="AE24" s="479"/>
      <c r="AF24" s="479"/>
      <c r="AG24" s="423"/>
      <c r="AH24" s="820"/>
      <c r="AI24" s="480"/>
      <c r="AJ24" s="660"/>
      <c r="AK24" s="524" t="str">
        <f t="shared" si="12"/>
        <v/>
      </c>
      <c r="AL24" s="731">
        <f>SUMIF($J$4:$J$32,"Volta Aulas",$S$4:$S$32)</f>
        <v>0</v>
      </c>
      <c r="AM24" s="732">
        <f>SUMIF($J$4:$J$32,"Volta Aulas",$T$4:$T$32)</f>
        <v>0</v>
      </c>
      <c r="AN24" s="426">
        <f t="shared" si="13"/>
        <v>0</v>
      </c>
      <c r="AO24" s="427" t="str">
        <f t="shared" si="37"/>
        <v/>
      </c>
      <c r="AP24" s="426" t="str">
        <f t="shared" si="14"/>
        <v/>
      </c>
      <c r="AQ24" s="426"/>
      <c r="AR24" s="426"/>
      <c r="AS24" s="428"/>
      <c r="AT24" s="429"/>
      <c r="AU24" s="430"/>
      <c r="AV24" s="431"/>
      <c r="AW24" s="432"/>
      <c r="AX24" s="430"/>
      <c r="AY24" s="431">
        <f t="shared" si="15"/>
        <v>0</v>
      </c>
      <c r="AZ24" s="426"/>
      <c r="BA24" s="435" t="str">
        <f t="shared" si="16"/>
        <v/>
      </c>
      <c r="BB24" s="435"/>
      <c r="BC24" s="426"/>
      <c r="BD24" s="426">
        <f t="array" ref="BD24">IF(SUM((BC24=$BC$3:BC23)*1)=0,BC24,0)</f>
        <v>0</v>
      </c>
      <c r="BE24" s="426"/>
      <c r="BF24" s="426"/>
      <c r="BG24" s="426">
        <f t="array" ref="BG24">IF(SUM((BF24=$BF$3:BF23)*1)=0,BF24,0)</f>
        <v>0</v>
      </c>
      <c r="BH24" s="426"/>
      <c r="BI24" s="426"/>
      <c r="BJ24" s="426"/>
      <c r="BK24" s="426"/>
      <c r="BL24" s="426"/>
      <c r="BM24" s="426"/>
      <c r="BN24" s="426"/>
      <c r="BO24" s="426"/>
      <c r="BP24" s="433">
        <f t="shared" si="17"/>
        <v>0</v>
      </c>
      <c r="BQ24" s="426"/>
      <c r="BR24" s="434"/>
      <c r="BS24" s="426"/>
      <c r="BT24" s="433"/>
      <c r="BU24" s="435"/>
      <c r="BV24" s="435" t="str">
        <f t="shared" si="18"/>
        <v/>
      </c>
      <c r="BW24" s="435" t="str">
        <f t="shared" si="38"/>
        <v/>
      </c>
      <c r="BX24" s="485"/>
      <c r="BY24" s="485"/>
      <c r="BZ24" s="485"/>
      <c r="CA24" s="485"/>
      <c r="CB24" s="485"/>
      <c r="CC24" s="485"/>
      <c r="CD24" s="485"/>
      <c r="CE24" s="485"/>
      <c r="CF24" s="485"/>
      <c r="CG24" s="485"/>
      <c r="CH24" s="485"/>
      <c r="CI24" s="485"/>
      <c r="CJ24" s="426" t="str">
        <f t="shared" si="39"/>
        <v/>
      </c>
      <c r="CK24" s="435"/>
      <c r="CL24" s="426"/>
      <c r="CM24" s="435"/>
      <c r="CN24" s="426"/>
      <c r="CO24" s="426"/>
      <c r="CP24" s="426"/>
      <c r="CQ24" s="426"/>
      <c r="CR24" s="426"/>
      <c r="CS24" s="426"/>
      <c r="CT24" s="426"/>
      <c r="CU24" s="426"/>
      <c r="CV24" s="426"/>
      <c r="CW24" s="426"/>
      <c r="CX24" s="426"/>
      <c r="CY24" s="426">
        <v>21</v>
      </c>
      <c r="CZ24" s="426"/>
      <c r="DA24" s="426"/>
      <c r="DB24" s="426"/>
      <c r="DC24" s="426" t="s">
        <v>764</v>
      </c>
      <c r="DD24" s="426" t="s">
        <v>924</v>
      </c>
      <c r="DE24" s="435" t="str">
        <f t="shared" si="40"/>
        <v/>
      </c>
      <c r="DF24" s="435" t="str">
        <f t="shared" si="41"/>
        <v/>
      </c>
      <c r="DG24" s="435" t="str">
        <f t="shared" si="42"/>
        <v/>
      </c>
      <c r="DH24" s="435" t="str">
        <f t="shared" si="43"/>
        <v/>
      </c>
      <c r="DI24" s="435" t="str">
        <f t="shared" si="44"/>
        <v/>
      </c>
      <c r="DJ24" s="435" t="str">
        <f t="shared" si="45"/>
        <v/>
      </c>
      <c r="DK24" s="435" t="str">
        <f t="shared" si="19"/>
        <v/>
      </c>
      <c r="DL24" s="435" t="str">
        <f t="shared" si="20"/>
        <v/>
      </c>
      <c r="DM24" s="435" t="str">
        <f t="shared" si="46"/>
        <v/>
      </c>
      <c r="DN24" s="435" t="str">
        <f t="shared" si="47"/>
        <v/>
      </c>
      <c r="DO24" s="435" t="str">
        <f t="shared" si="21"/>
        <v/>
      </c>
      <c r="DP24" s="435" t="str">
        <f t="shared" si="22"/>
        <v/>
      </c>
      <c r="DQ24" s="435" t="str">
        <f t="shared" si="48"/>
        <v/>
      </c>
      <c r="DR24" s="435" t="str">
        <f t="shared" si="49"/>
        <v/>
      </c>
      <c r="DS24" s="435" t="str">
        <f t="shared" si="23"/>
        <v/>
      </c>
      <c r="DT24" s="435" t="str">
        <f t="shared" si="24"/>
        <v/>
      </c>
      <c r="DU24" s="435" t="str">
        <f t="shared" si="50"/>
        <v/>
      </c>
      <c r="DV24" s="435" t="str">
        <f t="shared" si="51"/>
        <v/>
      </c>
      <c r="DW24" s="435" t="str">
        <f t="shared" si="25"/>
        <v/>
      </c>
      <c r="DX24" s="435" t="str">
        <f t="shared" si="26"/>
        <v/>
      </c>
      <c r="DY24" s="435" t="str">
        <f t="shared" si="52"/>
        <v/>
      </c>
      <c r="DZ24" s="435" t="str">
        <f t="shared" si="53"/>
        <v/>
      </c>
      <c r="EA24" s="435" t="str">
        <f t="shared" si="27"/>
        <v/>
      </c>
      <c r="EB24" s="435" t="str">
        <f t="shared" si="28"/>
        <v/>
      </c>
      <c r="EC24" s="435" t="str">
        <f t="shared" si="29"/>
        <v/>
      </c>
      <c r="ED24" s="435" t="str">
        <f t="shared" si="30"/>
        <v/>
      </c>
      <c r="EE24" s="435" t="str">
        <f t="shared" si="31"/>
        <v/>
      </c>
      <c r="EF24" s="435" t="str">
        <f t="shared" si="32"/>
        <v/>
      </c>
      <c r="EG24" s="435" t="str">
        <f t="shared" si="33"/>
        <v/>
      </c>
      <c r="EH24" s="435" t="str">
        <f t="shared" si="34"/>
        <v/>
      </c>
      <c r="EI24" s="435" t="str">
        <f t="shared" si="35"/>
        <v/>
      </c>
      <c r="EJ24" s="435" t="str">
        <f t="shared" si="36"/>
        <v/>
      </c>
      <c r="EK24" s="485"/>
      <c r="EL24" s="485"/>
      <c r="EM24" s="485"/>
      <c r="EN24" s="485"/>
      <c r="EO24" s="448"/>
      <c r="EP24" s="448"/>
      <c r="EQ24" s="448"/>
      <c r="ER24" s="448"/>
      <c r="ES24" s="448"/>
      <c r="ET24" s="435"/>
      <c r="EU24" s="435"/>
      <c r="EV24" s="435"/>
      <c r="EW24" s="435"/>
      <c r="EX24" s="426"/>
      <c r="EY24" s="426"/>
      <c r="EZ24" s="426"/>
      <c r="FA24" s="427"/>
      <c r="FB24" s="427">
        <f t="array" ref="FB24">IF(SUM((FA24=$FA$3:FA23)*1)=0,FA24,0)</f>
        <v>0</v>
      </c>
      <c r="FC24" s="427"/>
      <c r="FD24" s="427"/>
      <c r="FE24" s="427">
        <f t="array" ref="FE24">IF(SUM((FD24=$FD$3:FD23)*1)=0,FD24,0)</f>
        <v>0</v>
      </c>
      <c r="FF24" s="427"/>
      <c r="FG24" s="427"/>
      <c r="FH24" s="427"/>
      <c r="FI24" s="427">
        <f t="array" ref="FI24">IF(SUM((FH24=$FH$3:FH23)*1)=0,FH24,0)</f>
        <v>0</v>
      </c>
      <c r="FJ24" s="427"/>
      <c r="FK24" s="427"/>
      <c r="FL24" s="427">
        <f t="array" ref="FL24">IF(SUM((FK24=$FK$3:FK23)*1)=0,FK24,0)</f>
        <v>0</v>
      </c>
      <c r="FM24" s="427"/>
      <c r="FN24" s="427"/>
      <c r="FO24" s="427"/>
      <c r="FP24" s="427">
        <f t="array" ref="FP24">IF(SUM((FO24=$FO$3:FO23)*1)=0,FO24,0)</f>
        <v>0</v>
      </c>
      <c r="FQ24" s="427"/>
      <c r="FR24" s="427"/>
      <c r="FS24" s="427">
        <f t="array" ref="FS24">IF(SUM((FR24=$FR$3:FR23)*1)=0,FR24,0)</f>
        <v>0</v>
      </c>
      <c r="FT24" s="427"/>
      <c r="FU24" s="427"/>
      <c r="FV24" s="427"/>
      <c r="FW24" s="427">
        <f t="array" ref="FW24">IF(SUM((FV24=$FV$3:FV23)*1)=0,FV24,0)</f>
        <v>0</v>
      </c>
      <c r="FX24" s="427"/>
      <c r="FY24" s="427"/>
      <c r="FZ24" s="427">
        <f t="array" ref="FZ24">IF(SUM((FY24=$FY$3:FY23)*1)=0,FY24,0)</f>
        <v>0</v>
      </c>
      <c r="GA24" s="427"/>
      <c r="GB24" s="427"/>
      <c r="GC24" s="427"/>
      <c r="GD24" s="427">
        <f t="array" ref="GD24">IF(SUM((GC24=$GC$3:GC23)*1)=0,GC24,0)</f>
        <v>0</v>
      </c>
      <c r="GE24" s="427"/>
      <c r="GF24" s="427"/>
      <c r="GG24" s="427">
        <f t="array" ref="GG24">IF(SUM((GF24=$GF$3:GF23)*1)=0,GF24,0)</f>
        <v>0</v>
      </c>
      <c r="GH24" s="427"/>
      <c r="GI24" s="427"/>
      <c r="GJ24" s="427"/>
      <c r="GK24" s="798">
        <f t="array" ref="GK24">IF(SUM((GJ24=$GJ$3:GJ23)*1)=0,GJ24,0)</f>
        <v>0</v>
      </c>
      <c r="GL24" s="427"/>
      <c r="GM24" s="427"/>
      <c r="GN24" s="798">
        <f t="array" ref="GN24">IF(SUM((GM24=$GM$3:GM23)*1)=0,GM24,0)</f>
        <v>0</v>
      </c>
      <c r="GO24" s="427"/>
      <c r="GP24" s="427"/>
      <c r="GQ24" s="427"/>
      <c r="GR24" s="798">
        <f t="array" ref="GR24">IF(SUM((GQ24=$GQ$3:GQ23)*1)=0,GQ24,0)</f>
        <v>0</v>
      </c>
      <c r="GS24" s="427"/>
      <c r="GT24" s="427"/>
      <c r="GU24" s="798">
        <f t="array" ref="GU24">IF(SUM((GT24=$GT$3:GT23)*1)=0,GT24,0)</f>
        <v>0</v>
      </c>
      <c r="GV24" s="427"/>
      <c r="GW24" s="427"/>
      <c r="GX24" s="427"/>
      <c r="GY24" s="798">
        <f t="array" ref="GY24">IF(SUM((GX24=$GX$3:GX23)*1)=0,GX24,0)</f>
        <v>0</v>
      </c>
      <c r="GZ24" s="427"/>
      <c r="HA24" s="427"/>
      <c r="HB24" s="798">
        <f t="array" ref="HB24">IF(SUM((HA24=$HA$3:HA23)*1)=0,HA24,0)</f>
        <v>0</v>
      </c>
      <c r="HC24" s="427"/>
      <c r="HD24" s="427"/>
      <c r="HE24" s="769" t="str">
        <f t="shared" si="130"/>
        <v/>
      </c>
      <c r="HF24" s="768" t="str">
        <f t="shared" si="54"/>
        <v/>
      </c>
      <c r="HG24" s="769" t="str">
        <f t="shared" si="131"/>
        <v/>
      </c>
      <c r="HH24" s="768" t="str">
        <f t="shared" si="55"/>
        <v/>
      </c>
      <c r="HI24" s="728" t="str">
        <f t="shared" si="132"/>
        <v/>
      </c>
      <c r="HJ24" s="768" t="str">
        <f t="shared" si="56"/>
        <v/>
      </c>
      <c r="HK24" s="728" t="str">
        <f t="shared" si="133"/>
        <v/>
      </c>
      <c r="HL24" s="768" t="str">
        <f t="shared" si="57"/>
        <v/>
      </c>
      <c r="HM24" s="769" t="str">
        <f t="shared" si="58"/>
        <v/>
      </c>
      <c r="HN24" s="768" t="str">
        <f t="shared" ref="HN24" si="286">IF(HM24&lt;0,"Invadiu REP-BA-C","")</f>
        <v/>
      </c>
      <c r="HO24" s="769" t="str">
        <f t="shared" si="60"/>
        <v/>
      </c>
      <c r="HP24" s="768" t="str">
        <f t="shared" si="61"/>
        <v/>
      </c>
      <c r="HQ24" s="728" t="str">
        <f t="shared" si="62"/>
        <v/>
      </c>
      <c r="HR24" s="768" t="str">
        <f t="shared" si="63"/>
        <v/>
      </c>
      <c r="HS24" s="728" t="str">
        <f t="shared" si="64"/>
        <v/>
      </c>
      <c r="HT24" s="768" t="str">
        <f t="shared" si="65"/>
        <v/>
      </c>
      <c r="HU24" s="769" t="str">
        <f t="shared" si="66"/>
        <v/>
      </c>
      <c r="HV24" s="768" t="str">
        <f t="shared" ref="HV24" si="287">IF(HU24&lt;0,"Invadiu REP-BA-C","")</f>
        <v/>
      </c>
      <c r="HW24" s="769" t="str">
        <f t="shared" si="68"/>
        <v/>
      </c>
      <c r="HX24" s="768" t="str">
        <f t="shared" si="69"/>
        <v/>
      </c>
      <c r="HY24" s="728" t="str">
        <f t="shared" si="70"/>
        <v/>
      </c>
      <c r="HZ24" s="768" t="str">
        <f t="shared" si="71"/>
        <v/>
      </c>
      <c r="IA24" s="728" t="str">
        <f t="shared" si="72"/>
        <v/>
      </c>
      <c r="IB24" s="768" t="str">
        <f t="shared" si="73"/>
        <v/>
      </c>
      <c r="IC24" s="769" t="str">
        <f t="shared" si="74"/>
        <v/>
      </c>
      <c r="ID24" s="768" t="str">
        <f t="shared" ref="ID24" si="288">IF(IC24&lt;0,"Invadiu REP-BA-C","")</f>
        <v/>
      </c>
      <c r="IE24" s="769" t="str">
        <f t="shared" si="76"/>
        <v/>
      </c>
      <c r="IF24" s="768" t="str">
        <f t="shared" si="77"/>
        <v/>
      </c>
      <c r="IG24" s="728" t="str">
        <f t="shared" si="78"/>
        <v/>
      </c>
      <c r="IH24" s="768" t="str">
        <f t="shared" si="79"/>
        <v/>
      </c>
      <c r="II24" s="728" t="str">
        <f t="shared" si="80"/>
        <v/>
      </c>
      <c r="IJ24" s="768" t="str">
        <f t="shared" si="81"/>
        <v/>
      </c>
      <c r="IK24" s="769" t="str">
        <f t="shared" si="82"/>
        <v/>
      </c>
      <c r="IL24" s="768" t="str">
        <f t="shared" ref="IL24" si="289">IF(IK24&lt;0,"Invadiu REP-BA-C","")</f>
        <v/>
      </c>
      <c r="IM24" s="769" t="str">
        <f t="shared" si="84"/>
        <v/>
      </c>
      <c r="IN24" s="768" t="str">
        <f t="shared" si="85"/>
        <v/>
      </c>
      <c r="IO24" s="728" t="str">
        <f t="shared" si="86"/>
        <v/>
      </c>
      <c r="IP24" s="768" t="str">
        <f t="shared" si="87"/>
        <v/>
      </c>
      <c r="IQ24" s="728" t="str">
        <f t="shared" si="88"/>
        <v/>
      </c>
      <c r="IR24" s="768" t="str">
        <f t="shared" si="89"/>
        <v/>
      </c>
      <c r="IS24" s="769" t="str">
        <f t="shared" si="90"/>
        <v/>
      </c>
      <c r="IT24" s="768" t="str">
        <f t="shared" ref="IT24" si="290">IF(IS24&lt;0,"Invadiu REP-BA-C","")</f>
        <v/>
      </c>
      <c r="IU24" s="769" t="str">
        <f t="shared" si="92"/>
        <v/>
      </c>
      <c r="IV24" s="768" t="str">
        <f t="shared" si="93"/>
        <v/>
      </c>
      <c r="IW24" s="728" t="str">
        <f t="shared" si="94"/>
        <v/>
      </c>
      <c r="IX24" s="768" t="str">
        <f t="shared" si="95"/>
        <v/>
      </c>
      <c r="IY24" s="728" t="str">
        <f t="shared" si="96"/>
        <v/>
      </c>
      <c r="IZ24" s="768" t="str">
        <f t="shared" si="97"/>
        <v/>
      </c>
      <c r="JA24" s="769" t="str">
        <f t="shared" si="98"/>
        <v/>
      </c>
      <c r="JB24" s="768" t="str">
        <f t="shared" ref="JB24" si="291">IF(JA24&lt;0,"Invadiu REP-BA-C","")</f>
        <v/>
      </c>
      <c r="JC24" s="769" t="str">
        <f t="shared" si="100"/>
        <v/>
      </c>
      <c r="JD24" s="768" t="str">
        <f t="shared" si="101"/>
        <v/>
      </c>
      <c r="JE24" s="728" t="str">
        <f t="shared" si="102"/>
        <v/>
      </c>
      <c r="JF24" s="768" t="str">
        <f t="shared" si="103"/>
        <v/>
      </c>
      <c r="JG24" s="728" t="str">
        <f t="shared" si="104"/>
        <v/>
      </c>
      <c r="JH24" s="768" t="str">
        <f t="shared" si="105"/>
        <v/>
      </c>
      <c r="JI24" s="769" t="str">
        <f t="shared" si="106"/>
        <v/>
      </c>
      <c r="JJ24" s="768" t="str">
        <f t="shared" ref="JJ24" si="292">IF(JI24&lt;0,"Invadiu REP-BA-C","")</f>
        <v/>
      </c>
      <c r="JK24" s="769" t="str">
        <f t="shared" si="108"/>
        <v/>
      </c>
      <c r="JL24" s="768" t="str">
        <f t="shared" si="109"/>
        <v/>
      </c>
      <c r="JM24" s="728" t="str">
        <f t="shared" si="110"/>
        <v/>
      </c>
      <c r="JN24" s="768" t="str">
        <f t="shared" si="111"/>
        <v/>
      </c>
      <c r="JO24" s="728" t="str">
        <f t="shared" si="112"/>
        <v/>
      </c>
      <c r="JP24" s="768" t="str">
        <f t="shared" si="113"/>
        <v/>
      </c>
      <c r="JQ24" s="769" t="str">
        <f t="shared" si="114"/>
        <v/>
      </c>
      <c r="JR24" s="768" t="str">
        <f t="shared" ref="JR24" si="293">IF(JQ24&lt;0,"Invadiu REP-BA-C","")</f>
        <v/>
      </c>
      <c r="JS24" s="769" t="str">
        <f t="shared" si="116"/>
        <v/>
      </c>
      <c r="JT24" s="768" t="str">
        <f t="shared" si="117"/>
        <v/>
      </c>
      <c r="JU24" s="728" t="str">
        <f t="shared" si="118"/>
        <v/>
      </c>
      <c r="JV24" s="768" t="str">
        <f t="shared" si="119"/>
        <v/>
      </c>
      <c r="JW24" s="728" t="str">
        <f t="shared" si="120"/>
        <v/>
      </c>
      <c r="JX24" s="768" t="str">
        <f t="shared" si="121"/>
        <v/>
      </c>
      <c r="JY24" s="768" t="str">
        <f t="shared" si="122"/>
        <v/>
      </c>
      <c r="JZ24" s="485" t="str">
        <f>IF(JY24="","",IF(AND(C24=$C$164,JY24&lt;&gt;""),Verificarcpf(D24),IF(AND(C24=$C$165,JY24&lt;&gt;""),VerificarCNPJ(D24))))</f>
        <v/>
      </c>
      <c r="KA24" s="768" t="str">
        <f t="shared" si="123"/>
        <v/>
      </c>
      <c r="KB24" s="485">
        <f t="shared" si="124"/>
        <v>0</v>
      </c>
      <c r="KC24" s="768">
        <f t="shared" si="125"/>
        <v>0</v>
      </c>
      <c r="KD24" s="485">
        <f t="shared" si="126"/>
        <v>0</v>
      </c>
      <c r="KE24" s="448"/>
      <c r="KF24" s="548">
        <f t="shared" si="127"/>
        <v>0</v>
      </c>
      <c r="KG24" s="548" t="s">
        <v>568</v>
      </c>
      <c r="KH24" s="548"/>
      <c r="KI24" s="548"/>
      <c r="KJ24" s="548" t="str">
        <f t="shared" si="128"/>
        <v/>
      </c>
      <c r="KK24" s="548"/>
      <c r="KL24" s="548"/>
      <c r="KM24" s="548">
        <f t="array" ref="KM24">IF(SUM((KL24=$KL$3:KL23)*1)=0,KL24,0)</f>
        <v>0</v>
      </c>
      <c r="KN24" s="548"/>
      <c r="KO24" s="548"/>
      <c r="KP24" s="548"/>
      <c r="KQ24" s="548"/>
      <c r="KR24" s="548" t="str">
        <f t="shared" si="129"/>
        <v/>
      </c>
      <c r="KS24" s="548"/>
      <c r="KT24" s="548"/>
      <c r="KU24" s="548"/>
      <c r="KV24" s="548"/>
      <c r="KW24" s="548"/>
      <c r="KX24" s="548"/>
      <c r="KY24" s="548"/>
      <c r="KZ24" s="548"/>
      <c r="LA24" s="548"/>
      <c r="LB24" s="548"/>
      <c r="LC24" s="485" t="str">
        <f t="shared" si="142"/>
        <v/>
      </c>
      <c r="LD24" s="548"/>
      <c r="LE24" s="548"/>
      <c r="LF24" s="548"/>
      <c r="LG24" s="548"/>
      <c r="LH24" s="548"/>
      <c r="LI24" s="548"/>
      <c r="LJ24" s="548"/>
      <c r="LK24" s="548"/>
      <c r="LL24" s="548"/>
      <c r="LM24" s="548"/>
      <c r="LN24" s="548"/>
      <c r="LO24" s="548"/>
      <c r="LP24" s="485" t="str">
        <f t="shared" si="143"/>
        <v/>
      </c>
      <c r="LQ24" s="548"/>
      <c r="LR24" s="548"/>
      <c r="LS24" s="548"/>
      <c r="LT24" s="548"/>
      <c r="LU24" s="548"/>
      <c r="LV24" s="548"/>
      <c r="LW24" s="548"/>
      <c r="LX24" s="548"/>
      <c r="LY24" s="548"/>
      <c r="LZ24" s="548"/>
      <c r="MA24" s="548"/>
      <c r="MB24" s="548"/>
      <c r="MC24" s="485" t="str">
        <f t="shared" si="144"/>
        <v/>
      </c>
      <c r="MD24" s="548"/>
      <c r="ME24" s="548"/>
      <c r="MF24" s="548"/>
      <c r="MG24" s="548"/>
      <c r="MH24" s="548"/>
      <c r="MI24" s="548"/>
      <c r="MJ24" s="548"/>
      <c r="MK24" s="548"/>
      <c r="ML24" s="548"/>
      <c r="MM24" s="548"/>
      <c r="MN24" s="548"/>
      <c r="MO24" s="548"/>
      <c r="MP24" s="485" t="str">
        <f t="shared" si="145"/>
        <v/>
      </c>
      <c r="MQ24" s="548"/>
      <c r="MR24" s="548"/>
      <c r="MS24" s="548"/>
      <c r="MT24" s="548"/>
      <c r="MU24" s="548"/>
      <c r="MV24" s="548"/>
      <c r="MW24" s="548"/>
      <c r="MX24" s="548"/>
      <c r="MY24" s="548"/>
      <c r="MZ24" s="548"/>
      <c r="NA24" s="548"/>
      <c r="NB24" s="548"/>
      <c r="NC24" s="485" t="str">
        <f t="shared" si="146"/>
        <v/>
      </c>
      <c r="ND24" s="548"/>
      <c r="NE24" s="548"/>
      <c r="NF24" s="548"/>
      <c r="NG24" s="548"/>
      <c r="NH24" s="548"/>
      <c r="NI24" s="548"/>
      <c r="NJ24" s="548"/>
      <c r="NK24" s="548"/>
      <c r="NL24" s="548"/>
      <c r="NM24" s="548"/>
      <c r="NN24" s="548"/>
      <c r="NO24" s="548"/>
      <c r="NP24" s="485" t="str">
        <f t="shared" si="147"/>
        <v/>
      </c>
      <c r="NQ24" s="548"/>
      <c r="NR24" s="548"/>
      <c r="NS24" s="548"/>
      <c r="NT24" s="548"/>
      <c r="NU24" s="548"/>
      <c r="NV24" s="548"/>
      <c r="NW24" s="548"/>
      <c r="NX24" s="548"/>
      <c r="NY24" s="548"/>
      <c r="NZ24" s="548"/>
      <c r="OA24" s="548"/>
      <c r="OB24" s="548"/>
      <c r="OC24" s="485" t="str">
        <f t="shared" si="148"/>
        <v/>
      </c>
      <c r="OD24" s="548"/>
      <c r="OE24" s="548"/>
      <c r="OF24" s="548"/>
      <c r="OG24" s="548"/>
      <c r="OH24" s="548"/>
      <c r="OI24" s="548"/>
      <c r="OJ24" s="548"/>
      <c r="OK24" s="548"/>
      <c r="OL24" s="548"/>
      <c r="OM24" s="548"/>
      <c r="ON24" s="548"/>
      <c r="OO24" s="548"/>
      <c r="OP24" s="548"/>
      <c r="OQ24" s="548"/>
      <c r="OR24" s="548"/>
      <c r="OS24" s="548"/>
      <c r="OT24" s="548"/>
      <c r="OU24" s="548"/>
      <c r="OV24" s="548"/>
      <c r="OW24" s="548"/>
      <c r="OX24" s="548"/>
      <c r="OY24" s="548"/>
      <c r="OZ24" s="548"/>
      <c r="PA24" s="548"/>
      <c r="PB24" s="548"/>
      <c r="PC24" s="548"/>
      <c r="PD24" s="548"/>
      <c r="PE24" s="548"/>
      <c r="PF24" s="548"/>
      <c r="PG24" s="548"/>
      <c r="PH24" s="548"/>
      <c r="PI24" s="548"/>
      <c r="PJ24" s="548"/>
      <c r="PK24" s="548"/>
      <c r="PL24" s="548"/>
      <c r="PM24" s="548"/>
      <c r="PN24" s="548"/>
      <c r="PO24" s="548"/>
      <c r="PP24" s="548"/>
      <c r="PQ24" s="548"/>
      <c r="PR24" s="548"/>
      <c r="PS24" s="548"/>
      <c r="PT24" s="548"/>
      <c r="PU24" s="548"/>
      <c r="PV24" s="548"/>
      <c r="PW24" s="548"/>
      <c r="PX24" s="548"/>
      <c r="PY24" s="548"/>
      <c r="PZ24" s="548"/>
      <c r="QA24" s="548"/>
      <c r="QB24" s="548"/>
      <c r="QC24" s="548"/>
      <c r="QD24" s="548"/>
      <c r="QE24" s="548"/>
      <c r="QF24" s="548"/>
      <c r="QG24" s="548"/>
      <c r="QH24" s="548"/>
      <c r="QI24" s="548"/>
      <c r="QJ24" s="548"/>
      <c r="QK24" s="548"/>
      <c r="QL24" s="548"/>
      <c r="QM24" s="548"/>
      <c r="QN24" s="548"/>
      <c r="QO24" s="548"/>
      <c r="QP24" s="548"/>
      <c r="QQ24" s="1009"/>
      <c r="QR24" s="548"/>
      <c r="QS24" s="548"/>
      <c r="QT24" s="548"/>
      <c r="QU24" s="548"/>
      <c r="QV24" s="548"/>
      <c r="QW24" s="548"/>
      <c r="QX24" s="548"/>
      <c r="QY24" s="548"/>
      <c r="QZ24" s="548"/>
      <c r="RA24" s="548"/>
      <c r="RB24" s="548"/>
      <c r="RC24" s="548"/>
      <c r="RD24" s="548"/>
      <c r="RE24" s="548"/>
      <c r="RF24" s="548"/>
      <c r="RG24" s="548"/>
      <c r="RH24" s="548"/>
      <c r="RI24" s="548"/>
      <c r="RJ24" s="548"/>
      <c r="RK24" s="548"/>
      <c r="RL24" s="548"/>
      <c r="RM24" s="548"/>
      <c r="RN24" s="548"/>
      <c r="RO24" s="548"/>
      <c r="RP24" s="548"/>
      <c r="RQ24" s="548"/>
      <c r="RR24" s="548"/>
      <c r="RS24" s="548"/>
      <c r="RT24" s="548"/>
      <c r="RU24" s="548"/>
      <c r="RV24" s="548"/>
      <c r="RW24" s="548"/>
      <c r="RX24" s="548"/>
      <c r="RY24" s="548"/>
      <c r="RZ24" s="548"/>
      <c r="SA24" s="548"/>
      <c r="SB24" s="548"/>
      <c r="SC24" s="548"/>
      <c r="SD24" s="548"/>
      <c r="SE24" s="548"/>
      <c r="SF24" s="548"/>
      <c r="SG24" s="548"/>
      <c r="SH24" s="548"/>
      <c r="SI24" s="548"/>
      <c r="SJ24" s="548"/>
      <c r="SK24" s="548"/>
      <c r="SL24" s="548"/>
      <c r="SM24" s="548"/>
      <c r="SN24" s="548"/>
      <c r="SO24" s="548"/>
      <c r="SP24" s="548"/>
      <c r="SQ24" s="548"/>
      <c r="SR24" s="548"/>
      <c r="SS24" s="548"/>
      <c r="ST24" s="548"/>
      <c r="SU24" s="548"/>
      <c r="SV24" s="548"/>
      <c r="SW24" s="548"/>
      <c r="SX24" s="548"/>
      <c r="SY24" s="548"/>
      <c r="SZ24" s="548"/>
      <c r="TA24" s="548"/>
      <c r="TB24" s="548"/>
      <c r="TC24" s="548"/>
      <c r="TD24" s="548"/>
      <c r="TE24" s="548"/>
      <c r="TF24" s="548"/>
      <c r="TG24" s="548"/>
      <c r="TH24" s="548"/>
      <c r="TI24" s="548"/>
      <c r="TJ24" s="548"/>
      <c r="TK24" s="548"/>
      <c r="TL24" s="548"/>
      <c r="TM24" s="548"/>
      <c r="TN24" s="548"/>
      <c r="TO24" s="548"/>
      <c r="TP24" s="548"/>
      <c r="TQ24" s="548"/>
      <c r="TR24" s="548"/>
      <c r="TS24" s="548"/>
      <c r="TT24" s="548"/>
      <c r="TU24" s="548"/>
      <c r="TV24" s="548"/>
      <c r="TW24" s="548"/>
      <c r="TX24" s="548"/>
      <c r="TY24" s="548"/>
      <c r="TZ24" s="548"/>
      <c r="UA24" s="548"/>
      <c r="UB24" s="548"/>
      <c r="UC24" s="548"/>
      <c r="UD24" s="548"/>
      <c r="UE24" s="548"/>
      <c r="UF24" s="548"/>
      <c r="UG24" s="548"/>
      <c r="UH24" s="548"/>
      <c r="UI24" s="548"/>
      <c r="UJ24" s="548"/>
      <c r="UK24" s="548"/>
      <c r="UL24" s="548"/>
      <c r="UM24" s="548"/>
      <c r="UN24" s="548"/>
      <c r="UO24" s="548"/>
      <c r="UP24" s="548"/>
      <c r="UQ24" s="548"/>
      <c r="UR24" s="548"/>
      <c r="US24" s="548"/>
      <c r="UT24" s="548"/>
      <c r="UU24" s="548"/>
      <c r="UV24" s="548"/>
      <c r="UW24" s="548"/>
      <c r="UX24" s="548"/>
      <c r="UY24" s="548"/>
      <c r="UZ24" s="548"/>
      <c r="VA24" s="548"/>
      <c r="VB24" s="548"/>
      <c r="VC24" s="548"/>
      <c r="VD24" s="548"/>
      <c r="VE24" s="548"/>
      <c r="VF24" s="548"/>
      <c r="VG24" s="548"/>
      <c r="VH24" s="548"/>
      <c r="VI24" s="548"/>
      <c r="VJ24" s="548"/>
      <c r="VK24" s="548"/>
      <c r="VL24" s="548"/>
      <c r="VM24" s="548"/>
      <c r="VN24" s="548"/>
      <c r="VO24" s="548"/>
      <c r="VP24" s="548"/>
      <c r="VQ24" s="548"/>
      <c r="VR24" s="548"/>
      <c r="VS24" s="548"/>
      <c r="VT24" s="548"/>
      <c r="VU24" s="548"/>
      <c r="VV24" s="548"/>
      <c r="VW24" s="548"/>
      <c r="VX24" s="548"/>
      <c r="VY24" s="548"/>
      <c r="VZ24" s="548"/>
      <c r="WA24" s="548"/>
      <c r="WB24" s="548"/>
      <c r="WC24" s="548"/>
      <c r="WD24" s="548"/>
      <c r="WE24" s="548"/>
      <c r="WF24" s="548"/>
      <c r="WG24" s="548"/>
      <c r="WH24" s="548"/>
      <c r="WI24" s="548"/>
      <c r="WJ24" s="548"/>
      <c r="WK24" s="548"/>
      <c r="WL24" s="548"/>
      <c r="WM24" s="548"/>
      <c r="WN24" s="548"/>
      <c r="WO24" s="548"/>
      <c r="WP24" s="548"/>
      <c r="WQ24" s="548"/>
      <c r="WR24" s="548"/>
      <c r="WS24" s="548"/>
      <c r="WT24" s="548"/>
      <c r="WU24" s="548"/>
      <c r="WV24" s="548"/>
      <c r="WW24" s="548"/>
      <c r="WX24" s="548"/>
      <c r="WY24" s="548"/>
      <c r="WZ24" s="548"/>
      <c r="XA24" s="548"/>
      <c r="XB24" s="548"/>
      <c r="XC24" s="548"/>
      <c r="XD24" s="548"/>
      <c r="XE24" s="548"/>
      <c r="XF24" s="548"/>
      <c r="XG24" s="548"/>
      <c r="XH24" s="548"/>
      <c r="XI24" s="548"/>
      <c r="XJ24" s="548"/>
      <c r="XK24" s="548"/>
      <c r="XL24" s="548"/>
      <c r="XM24" s="548"/>
      <c r="XN24" s="548"/>
      <c r="XO24" s="548"/>
      <c r="XP24" s="548"/>
      <c r="XQ24" s="548"/>
      <c r="XR24" s="548"/>
      <c r="XS24" s="548"/>
      <c r="XT24" s="548"/>
      <c r="XU24" s="548"/>
      <c r="XV24" s="548"/>
      <c r="XW24" s="548"/>
      <c r="XX24" s="548"/>
      <c r="XY24" s="548"/>
      <c r="XZ24" s="548"/>
      <c r="YA24" s="548"/>
      <c r="YB24" s="548"/>
      <c r="YC24" s="548"/>
      <c r="YD24" s="548"/>
      <c r="YE24" s="548"/>
      <c r="YF24" s="548"/>
      <c r="YG24" s="548"/>
      <c r="YH24" s="548"/>
      <c r="YI24" s="548"/>
      <c r="YJ24" s="548"/>
      <c r="YK24" s="548"/>
      <c r="YL24" s="548"/>
      <c r="YM24" s="548"/>
      <c r="YN24" s="548"/>
      <c r="YO24" s="548"/>
      <c r="YP24" s="548"/>
      <c r="YQ24" s="548"/>
      <c r="YR24" s="548"/>
      <c r="YS24" s="548"/>
      <c r="YT24" s="548"/>
      <c r="YU24" s="548"/>
      <c r="YV24" s="548"/>
      <c r="YW24" s="548"/>
      <c r="YX24" s="548"/>
      <c r="YY24" s="548"/>
      <c r="YZ24" s="548"/>
      <c r="ZA24" s="548"/>
      <c r="ZB24" s="548"/>
      <c r="ZC24" s="548"/>
      <c r="ZD24" s="548"/>
      <c r="ZE24" s="548"/>
      <c r="ZF24" s="548"/>
      <c r="ZG24" s="548"/>
      <c r="ZH24" s="548"/>
      <c r="ZI24" s="548"/>
      <c r="ZJ24" s="548"/>
      <c r="ZK24" s="548"/>
      <c r="ZL24" s="548"/>
      <c r="ZM24" s="548"/>
      <c r="ZN24" s="548"/>
      <c r="ZO24" s="548"/>
      <c r="ZP24" s="548"/>
      <c r="ZQ24" s="548"/>
      <c r="ZR24" s="548"/>
      <c r="ZS24" s="548"/>
      <c r="ZT24" s="548"/>
      <c r="ZU24" s="548"/>
      <c r="ZV24" s="548"/>
      <c r="ZW24" s="548"/>
      <c r="ZX24" s="548"/>
      <c r="ZY24" s="548"/>
      <c r="ZZ24" s="548"/>
      <c r="AAA24" s="548"/>
      <c r="AAB24" s="548"/>
      <c r="AAC24" s="548"/>
      <c r="AAD24" s="548"/>
      <c r="AAE24" s="548"/>
      <c r="AAF24" s="548"/>
      <c r="AAG24" s="548"/>
      <c r="AAH24" s="548"/>
      <c r="AAI24" s="548"/>
      <c r="AAJ24" s="548"/>
      <c r="AAK24" s="548"/>
      <c r="AAL24" s="548"/>
      <c r="AAM24" s="548"/>
      <c r="AAN24" s="548"/>
      <c r="AAO24" s="548"/>
      <c r="AAP24" s="548"/>
      <c r="AAQ24" s="548"/>
      <c r="AAR24" s="548"/>
      <c r="AAS24" s="548"/>
      <c r="AAT24" s="548"/>
      <c r="AAU24" s="548"/>
      <c r="AAV24" s="548"/>
      <c r="AAW24" s="548"/>
      <c r="AAX24" s="548"/>
      <c r="AAY24" s="548"/>
      <c r="AAZ24" s="548"/>
      <c r="ABA24" s="548"/>
      <c r="ABB24" s="548"/>
      <c r="ABC24" s="548"/>
      <c r="ABD24" s="548"/>
      <c r="ABE24" s="548"/>
      <c r="ABF24" s="548"/>
      <c r="ABG24" s="548"/>
      <c r="ABH24" s="548"/>
      <c r="ABI24" s="548"/>
      <c r="ABJ24" s="548"/>
      <c r="ABK24" s="548"/>
      <c r="ABL24" s="548"/>
      <c r="ABM24" s="548"/>
      <c r="ABN24" s="548"/>
      <c r="ABO24" s="548"/>
      <c r="ABP24" s="548"/>
      <c r="ABQ24" s="548"/>
      <c r="ABR24" s="548"/>
      <c r="ABS24" s="548"/>
    </row>
    <row r="25" spans="1:747" customFormat="1" ht="15" customHeight="1" x14ac:dyDescent="0.2">
      <c r="A25" s="424" t="str">
        <f t="shared" si="149"/>
        <v/>
      </c>
      <c r="B25" s="415"/>
      <c r="C25" s="525"/>
      <c r="D25" s="750"/>
      <c r="E25" s="416" t="str">
        <f t="shared" si="0"/>
        <v/>
      </c>
      <c r="F25" s="527" t="str">
        <f t="shared" si="1"/>
        <v/>
      </c>
      <c r="G25" s="417"/>
      <c r="H25" s="583" t="str">
        <f t="shared" si="2"/>
        <v/>
      </c>
      <c r="I25" s="424"/>
      <c r="J25" s="749"/>
      <c r="K25" s="418"/>
      <c r="L25" s="419"/>
      <c r="M25" s="415"/>
      <c r="N25" s="420"/>
      <c r="O25" s="653"/>
      <c r="P25" s="561"/>
      <c r="Q25" s="422"/>
      <c r="R25" s="561" t="str">
        <f t="shared" si="3"/>
        <v/>
      </c>
      <c r="S25" s="664"/>
      <c r="T25" s="663"/>
      <c r="U25" s="580">
        <f t="shared" si="4"/>
        <v>0</v>
      </c>
      <c r="V25" s="418"/>
      <c r="W25" s="582" t="str">
        <f t="shared" si="5"/>
        <v/>
      </c>
      <c r="X25" s="479" t="str">
        <f t="shared" si="6"/>
        <v/>
      </c>
      <c r="Y25" s="582" t="str">
        <f t="shared" si="7"/>
        <v/>
      </c>
      <c r="Z25" s="317" t="str">
        <f t="shared" si="8"/>
        <v/>
      </c>
      <c r="AA25" s="317" t="str">
        <f t="shared" si="9"/>
        <v/>
      </c>
      <c r="AB25" s="317">
        <f t="shared" si="10"/>
        <v>0</v>
      </c>
      <c r="AC25" s="317" t="str">
        <f t="shared" si="11"/>
        <v/>
      </c>
      <c r="AD25" s="317"/>
      <c r="AE25" s="479"/>
      <c r="AF25" s="479"/>
      <c r="AG25" s="423"/>
      <c r="AH25" s="820"/>
      <c r="AI25" s="480"/>
      <c r="AJ25" s="660"/>
      <c r="AK25" s="524" t="str">
        <f t="shared" si="12"/>
        <v/>
      </c>
      <c r="AL25" s="731">
        <f>SUMIF($J$4:$J$46,"Volta Aulas",$S$4:$S$46)</f>
        <v>0</v>
      </c>
      <c r="AM25" s="732">
        <f>SUMIF($J$4:$J$46,"Volta Aulas",$T$4:$T$46)</f>
        <v>0</v>
      </c>
      <c r="AN25" s="426">
        <f t="shared" si="13"/>
        <v>0</v>
      </c>
      <c r="AO25" s="427" t="str">
        <f t="shared" si="37"/>
        <v/>
      </c>
      <c r="AP25" s="426" t="str">
        <f t="shared" si="14"/>
        <v/>
      </c>
      <c r="AQ25" s="426"/>
      <c r="AR25" s="426"/>
      <c r="AS25" s="428"/>
      <c r="AT25" s="429"/>
      <c r="AU25" s="430"/>
      <c r="AV25" s="431"/>
      <c r="AW25" s="432"/>
      <c r="AX25" s="430"/>
      <c r="AY25" s="431">
        <f t="shared" si="15"/>
        <v>0</v>
      </c>
      <c r="AZ25" s="426"/>
      <c r="BA25" s="435" t="str">
        <f t="shared" si="16"/>
        <v/>
      </c>
      <c r="BB25" s="435"/>
      <c r="BC25" s="426"/>
      <c r="BD25" s="426">
        <f t="array" ref="BD25">IF(SUM((BC25=$BC$3:BC24)*1)=0,BC25,0)</f>
        <v>0</v>
      </c>
      <c r="BE25" s="426"/>
      <c r="BF25" s="426"/>
      <c r="BG25" s="426">
        <f t="array" ref="BG25">IF(SUM((BF25=$BF$3:BF24)*1)=0,BF25,0)</f>
        <v>0</v>
      </c>
      <c r="BH25" s="426"/>
      <c r="BI25" s="426"/>
      <c r="BJ25" s="426"/>
      <c r="BK25" s="426"/>
      <c r="BL25" s="426"/>
      <c r="BM25" s="426"/>
      <c r="BN25" s="426"/>
      <c r="BO25" s="426"/>
      <c r="BP25" s="433">
        <f t="shared" si="17"/>
        <v>0</v>
      </c>
      <c r="BQ25" s="426"/>
      <c r="BR25" s="434"/>
      <c r="BS25" s="426"/>
      <c r="BT25" s="433"/>
      <c r="BU25" s="435"/>
      <c r="BV25" s="435" t="str">
        <f t="shared" si="18"/>
        <v/>
      </c>
      <c r="BW25" s="435" t="str">
        <f t="shared" si="38"/>
        <v/>
      </c>
      <c r="BX25" s="435"/>
      <c r="BY25" s="435"/>
      <c r="BZ25" s="435"/>
      <c r="CA25" s="435"/>
      <c r="CB25" s="435"/>
      <c r="CC25" s="435"/>
      <c r="CD25" s="435"/>
      <c r="CE25" s="435"/>
      <c r="CF25" s="435"/>
      <c r="CG25" s="435"/>
      <c r="CH25" s="435"/>
      <c r="CI25" s="435"/>
      <c r="CJ25" s="426" t="str">
        <f t="shared" si="39"/>
        <v/>
      </c>
      <c r="CK25" s="435"/>
      <c r="CL25" s="426"/>
      <c r="CM25" s="435"/>
      <c r="CN25" s="426"/>
      <c r="CO25" s="426"/>
      <c r="CP25" s="426"/>
      <c r="CQ25" s="426"/>
      <c r="CR25" s="426"/>
      <c r="CS25" s="426"/>
      <c r="CT25" s="426"/>
      <c r="CU25" s="426"/>
      <c r="CV25" s="426"/>
      <c r="CW25" s="426"/>
      <c r="CX25" s="426"/>
      <c r="CY25" s="426">
        <v>22</v>
      </c>
      <c r="CZ25" s="426"/>
      <c r="DA25" s="426"/>
      <c r="DB25" s="426"/>
      <c r="DC25" s="426" t="s">
        <v>765</v>
      </c>
      <c r="DD25" s="426" t="s">
        <v>925</v>
      </c>
      <c r="DE25" s="435" t="str">
        <f t="shared" si="40"/>
        <v/>
      </c>
      <c r="DF25" s="435" t="str">
        <f t="shared" si="41"/>
        <v/>
      </c>
      <c r="DG25" s="435" t="str">
        <f t="shared" si="42"/>
        <v/>
      </c>
      <c r="DH25" s="435" t="str">
        <f t="shared" si="43"/>
        <v/>
      </c>
      <c r="DI25" s="435" t="str">
        <f t="shared" si="44"/>
        <v/>
      </c>
      <c r="DJ25" s="435" t="str">
        <f t="shared" si="45"/>
        <v/>
      </c>
      <c r="DK25" s="435" t="str">
        <f t="shared" si="19"/>
        <v/>
      </c>
      <c r="DL25" s="435" t="str">
        <f t="shared" si="20"/>
        <v/>
      </c>
      <c r="DM25" s="435" t="str">
        <f t="shared" si="46"/>
        <v/>
      </c>
      <c r="DN25" s="435" t="str">
        <f t="shared" si="47"/>
        <v/>
      </c>
      <c r="DO25" s="435" t="str">
        <f t="shared" si="21"/>
        <v/>
      </c>
      <c r="DP25" s="435" t="str">
        <f t="shared" si="22"/>
        <v/>
      </c>
      <c r="DQ25" s="435" t="str">
        <f t="shared" si="48"/>
        <v/>
      </c>
      <c r="DR25" s="435" t="str">
        <f t="shared" si="49"/>
        <v/>
      </c>
      <c r="DS25" s="435" t="str">
        <f t="shared" si="23"/>
        <v/>
      </c>
      <c r="DT25" s="435" t="str">
        <f t="shared" si="24"/>
        <v/>
      </c>
      <c r="DU25" s="435" t="str">
        <f t="shared" si="50"/>
        <v/>
      </c>
      <c r="DV25" s="435" t="str">
        <f t="shared" si="51"/>
        <v/>
      </c>
      <c r="DW25" s="435" t="str">
        <f t="shared" si="25"/>
        <v/>
      </c>
      <c r="DX25" s="435" t="str">
        <f t="shared" si="26"/>
        <v/>
      </c>
      <c r="DY25" s="435" t="str">
        <f t="shared" si="52"/>
        <v/>
      </c>
      <c r="DZ25" s="435" t="str">
        <f t="shared" si="53"/>
        <v/>
      </c>
      <c r="EA25" s="435" t="str">
        <f t="shared" si="27"/>
        <v/>
      </c>
      <c r="EB25" s="435" t="str">
        <f t="shared" si="28"/>
        <v/>
      </c>
      <c r="EC25" s="435" t="str">
        <f t="shared" si="29"/>
        <v/>
      </c>
      <c r="ED25" s="435" t="str">
        <f t="shared" si="30"/>
        <v/>
      </c>
      <c r="EE25" s="435" t="str">
        <f t="shared" si="31"/>
        <v/>
      </c>
      <c r="EF25" s="435" t="str">
        <f t="shared" si="32"/>
        <v/>
      </c>
      <c r="EG25" s="435" t="str">
        <f t="shared" si="33"/>
        <v/>
      </c>
      <c r="EH25" s="435" t="str">
        <f t="shared" si="34"/>
        <v/>
      </c>
      <c r="EI25" s="435" t="str">
        <f t="shared" si="35"/>
        <v/>
      </c>
      <c r="EJ25" s="435" t="str">
        <f t="shared" si="36"/>
        <v/>
      </c>
      <c r="EK25" s="485"/>
      <c r="EL25" s="485"/>
      <c r="EM25" s="485"/>
      <c r="EN25" s="485"/>
      <c r="EO25" s="448"/>
      <c r="EP25" s="448"/>
      <c r="EQ25" s="448"/>
      <c r="ER25" s="448"/>
      <c r="ES25" s="448"/>
      <c r="ET25" s="435"/>
      <c r="EU25" s="435"/>
      <c r="EV25" s="435"/>
      <c r="EW25" s="435"/>
      <c r="EX25" s="426"/>
      <c r="EY25" s="426"/>
      <c r="EZ25" s="426"/>
      <c r="FA25" s="427"/>
      <c r="FB25" s="427">
        <f t="array" ref="FB25">IF(SUM((FA25=$FA$3:FA24)*1)=0,FA25,0)</f>
        <v>0</v>
      </c>
      <c r="FC25" s="427"/>
      <c r="FD25" s="427"/>
      <c r="FE25" s="427">
        <f t="array" ref="FE25">IF(SUM((FD25=$FD$3:FD24)*1)=0,FD25,0)</f>
        <v>0</v>
      </c>
      <c r="FF25" s="427"/>
      <c r="FG25" s="427"/>
      <c r="FH25" s="427"/>
      <c r="FI25" s="427">
        <f t="array" ref="FI25">IF(SUM((FH25=$FH$3:FH24)*1)=0,FH25,0)</f>
        <v>0</v>
      </c>
      <c r="FJ25" s="427"/>
      <c r="FK25" s="427"/>
      <c r="FL25" s="427">
        <f t="array" ref="FL25">IF(SUM((FK25=$FK$3:FK24)*1)=0,FK25,0)</f>
        <v>0</v>
      </c>
      <c r="FM25" s="427"/>
      <c r="FN25" s="427"/>
      <c r="FO25" s="427"/>
      <c r="FP25" s="427">
        <f t="array" ref="FP25">IF(SUM((FO25=$FO$3:FO24)*1)=0,FO25,0)</f>
        <v>0</v>
      </c>
      <c r="FQ25" s="427"/>
      <c r="FR25" s="427"/>
      <c r="FS25" s="427">
        <f t="array" ref="FS25">IF(SUM((FR25=$FR$3:FR24)*1)=0,FR25,0)</f>
        <v>0</v>
      </c>
      <c r="FT25" s="427"/>
      <c r="FU25" s="427"/>
      <c r="FV25" s="427"/>
      <c r="FW25" s="427">
        <f t="array" ref="FW25">IF(SUM((FV25=$FV$3:FV24)*1)=0,FV25,0)</f>
        <v>0</v>
      </c>
      <c r="FX25" s="427"/>
      <c r="FY25" s="427"/>
      <c r="FZ25" s="427">
        <f t="array" ref="FZ25">IF(SUM((FY25=$FY$3:FY24)*1)=0,FY25,0)</f>
        <v>0</v>
      </c>
      <c r="GA25" s="427"/>
      <c r="GB25" s="427"/>
      <c r="GC25" s="427"/>
      <c r="GD25" s="427">
        <f t="array" ref="GD25">IF(SUM((GC25=$GC$3:GC24)*1)=0,GC25,0)</f>
        <v>0</v>
      </c>
      <c r="GE25" s="427"/>
      <c r="GF25" s="427"/>
      <c r="GG25" s="427">
        <f t="array" ref="GG25">IF(SUM((GF25=$GF$3:GF24)*1)=0,GF25,0)</f>
        <v>0</v>
      </c>
      <c r="GH25" s="427"/>
      <c r="GI25" s="427"/>
      <c r="GJ25" s="427"/>
      <c r="GK25" s="798">
        <f t="array" ref="GK25">IF(SUM((GJ25=$GJ$3:GJ24)*1)=0,GJ25,0)</f>
        <v>0</v>
      </c>
      <c r="GL25" s="427"/>
      <c r="GM25" s="427"/>
      <c r="GN25" s="798">
        <f t="array" ref="GN25">IF(SUM((GM25=$GM$3:GM24)*1)=0,GM25,0)</f>
        <v>0</v>
      </c>
      <c r="GO25" s="427"/>
      <c r="GP25" s="427"/>
      <c r="GQ25" s="427"/>
      <c r="GR25" s="798">
        <f t="array" ref="GR25">IF(SUM((GQ25=$GQ$3:GQ24)*1)=0,GQ25,0)</f>
        <v>0</v>
      </c>
      <c r="GS25" s="427"/>
      <c r="GT25" s="427"/>
      <c r="GU25" s="798">
        <f t="array" ref="GU25">IF(SUM((GT25=$GT$3:GT24)*1)=0,GT25,0)</f>
        <v>0</v>
      </c>
      <c r="GV25" s="427"/>
      <c r="GW25" s="427"/>
      <c r="GX25" s="427"/>
      <c r="GY25" s="798">
        <f t="array" ref="GY25">IF(SUM((GX25=$GX$3:GX24)*1)=0,GX25,0)</f>
        <v>0</v>
      </c>
      <c r="GZ25" s="427"/>
      <c r="HA25" s="427"/>
      <c r="HB25" s="798">
        <f t="array" ref="HB25">IF(SUM((HA25=$HA$3:HA24)*1)=0,HA25,0)</f>
        <v>0</v>
      </c>
      <c r="HC25" s="427"/>
      <c r="HD25" s="427"/>
      <c r="HE25" s="769" t="str">
        <f t="shared" si="130"/>
        <v/>
      </c>
      <c r="HF25" s="768" t="str">
        <f t="shared" ref="HF25" si="294">IF(HE25&lt;0,"Invadiu REP-BA-C","")</f>
        <v/>
      </c>
      <c r="HG25" s="769" t="str">
        <f t="shared" si="131"/>
        <v/>
      </c>
      <c r="HH25" s="768" t="str">
        <f t="shared" si="55"/>
        <v/>
      </c>
      <c r="HI25" s="728" t="str">
        <f t="shared" si="132"/>
        <v/>
      </c>
      <c r="HJ25" s="768" t="str">
        <f t="shared" si="56"/>
        <v/>
      </c>
      <c r="HK25" s="728" t="str">
        <f t="shared" si="133"/>
        <v/>
      </c>
      <c r="HL25" s="768" t="str">
        <f t="shared" si="57"/>
        <v/>
      </c>
      <c r="HM25" s="769" t="str">
        <f t="shared" si="58"/>
        <v/>
      </c>
      <c r="HN25" s="768" t="str">
        <f t="shared" ref="HN25" si="295">IF(HM25&lt;0,"Invadiu REP-BA-C","")</f>
        <v/>
      </c>
      <c r="HO25" s="769" t="str">
        <f t="shared" si="60"/>
        <v/>
      </c>
      <c r="HP25" s="768" t="str">
        <f t="shared" si="61"/>
        <v/>
      </c>
      <c r="HQ25" s="728" t="str">
        <f t="shared" si="62"/>
        <v/>
      </c>
      <c r="HR25" s="768" t="str">
        <f t="shared" si="63"/>
        <v/>
      </c>
      <c r="HS25" s="728" t="str">
        <f t="shared" si="64"/>
        <v/>
      </c>
      <c r="HT25" s="768" t="str">
        <f t="shared" si="65"/>
        <v/>
      </c>
      <c r="HU25" s="769" t="str">
        <f t="shared" si="66"/>
        <v/>
      </c>
      <c r="HV25" s="768" t="str">
        <f t="shared" ref="HV25" si="296">IF(HU25&lt;0,"Invadiu REP-BA-C","")</f>
        <v/>
      </c>
      <c r="HW25" s="769" t="str">
        <f t="shared" si="68"/>
        <v/>
      </c>
      <c r="HX25" s="768" t="str">
        <f t="shared" si="69"/>
        <v/>
      </c>
      <c r="HY25" s="728" t="str">
        <f t="shared" si="70"/>
        <v/>
      </c>
      <c r="HZ25" s="768" t="str">
        <f t="shared" si="71"/>
        <v/>
      </c>
      <c r="IA25" s="728" t="str">
        <f t="shared" si="72"/>
        <v/>
      </c>
      <c r="IB25" s="768" t="str">
        <f t="shared" si="73"/>
        <v/>
      </c>
      <c r="IC25" s="769" t="str">
        <f t="shared" si="74"/>
        <v/>
      </c>
      <c r="ID25" s="768" t="str">
        <f t="shared" ref="ID25" si="297">IF(IC25&lt;0,"Invadiu REP-BA-C","")</f>
        <v/>
      </c>
      <c r="IE25" s="769" t="str">
        <f t="shared" si="76"/>
        <v/>
      </c>
      <c r="IF25" s="768" t="str">
        <f t="shared" si="77"/>
        <v/>
      </c>
      <c r="IG25" s="728" t="str">
        <f t="shared" si="78"/>
        <v/>
      </c>
      <c r="IH25" s="768" t="str">
        <f t="shared" si="79"/>
        <v/>
      </c>
      <c r="II25" s="728" t="str">
        <f t="shared" si="80"/>
        <v/>
      </c>
      <c r="IJ25" s="768" t="str">
        <f t="shared" si="81"/>
        <v/>
      </c>
      <c r="IK25" s="769" t="str">
        <f t="shared" si="82"/>
        <v/>
      </c>
      <c r="IL25" s="768" t="str">
        <f t="shared" ref="IL25" si="298">IF(IK25&lt;0,"Invadiu REP-BA-C","")</f>
        <v/>
      </c>
      <c r="IM25" s="769" t="str">
        <f t="shared" si="84"/>
        <v/>
      </c>
      <c r="IN25" s="768" t="str">
        <f t="shared" si="85"/>
        <v/>
      </c>
      <c r="IO25" s="728" t="str">
        <f t="shared" si="86"/>
        <v/>
      </c>
      <c r="IP25" s="768" t="str">
        <f t="shared" si="87"/>
        <v/>
      </c>
      <c r="IQ25" s="728" t="str">
        <f t="shared" si="88"/>
        <v/>
      </c>
      <c r="IR25" s="768" t="str">
        <f t="shared" si="89"/>
        <v/>
      </c>
      <c r="IS25" s="769" t="str">
        <f t="shared" si="90"/>
        <v/>
      </c>
      <c r="IT25" s="768" t="str">
        <f t="shared" ref="IT25" si="299">IF(IS25&lt;0,"Invadiu REP-BA-C","")</f>
        <v/>
      </c>
      <c r="IU25" s="769" t="str">
        <f t="shared" si="92"/>
        <v/>
      </c>
      <c r="IV25" s="768" t="str">
        <f t="shared" si="93"/>
        <v/>
      </c>
      <c r="IW25" s="728" t="str">
        <f t="shared" si="94"/>
        <v/>
      </c>
      <c r="IX25" s="768" t="str">
        <f t="shared" si="95"/>
        <v/>
      </c>
      <c r="IY25" s="728" t="str">
        <f t="shared" si="96"/>
        <v/>
      </c>
      <c r="IZ25" s="768" t="str">
        <f t="shared" si="97"/>
        <v/>
      </c>
      <c r="JA25" s="769" t="str">
        <f t="shared" si="98"/>
        <v/>
      </c>
      <c r="JB25" s="768" t="str">
        <f t="shared" ref="JB25" si="300">IF(JA25&lt;0,"Invadiu REP-BA-C","")</f>
        <v/>
      </c>
      <c r="JC25" s="769" t="str">
        <f t="shared" si="100"/>
        <v/>
      </c>
      <c r="JD25" s="768" t="str">
        <f t="shared" si="101"/>
        <v/>
      </c>
      <c r="JE25" s="728" t="str">
        <f t="shared" si="102"/>
        <v/>
      </c>
      <c r="JF25" s="768" t="str">
        <f t="shared" si="103"/>
        <v/>
      </c>
      <c r="JG25" s="728" t="str">
        <f t="shared" si="104"/>
        <v/>
      </c>
      <c r="JH25" s="768" t="str">
        <f t="shared" si="105"/>
        <v/>
      </c>
      <c r="JI25" s="769" t="str">
        <f t="shared" si="106"/>
        <v/>
      </c>
      <c r="JJ25" s="768" t="str">
        <f t="shared" ref="JJ25" si="301">IF(JI25&lt;0,"Invadiu REP-BA-C","")</f>
        <v/>
      </c>
      <c r="JK25" s="769" t="str">
        <f t="shared" si="108"/>
        <v/>
      </c>
      <c r="JL25" s="768" t="str">
        <f t="shared" si="109"/>
        <v/>
      </c>
      <c r="JM25" s="728" t="str">
        <f t="shared" si="110"/>
        <v/>
      </c>
      <c r="JN25" s="768" t="str">
        <f t="shared" si="111"/>
        <v/>
      </c>
      <c r="JO25" s="728" t="str">
        <f t="shared" si="112"/>
        <v/>
      </c>
      <c r="JP25" s="768" t="str">
        <f t="shared" si="113"/>
        <v/>
      </c>
      <c r="JQ25" s="769" t="str">
        <f t="shared" si="114"/>
        <v/>
      </c>
      <c r="JR25" s="768" t="str">
        <f t="shared" ref="JR25" si="302">IF(JQ25&lt;0,"Invadiu REP-BA-C","")</f>
        <v/>
      </c>
      <c r="JS25" s="769" t="str">
        <f t="shared" si="116"/>
        <v/>
      </c>
      <c r="JT25" s="768" t="str">
        <f t="shared" si="117"/>
        <v/>
      </c>
      <c r="JU25" s="728" t="str">
        <f t="shared" si="118"/>
        <v/>
      </c>
      <c r="JV25" s="768" t="str">
        <f t="shared" si="119"/>
        <v/>
      </c>
      <c r="JW25" s="728" t="str">
        <f t="shared" si="120"/>
        <v/>
      </c>
      <c r="JX25" s="768" t="str">
        <f t="shared" si="121"/>
        <v/>
      </c>
      <c r="JY25" s="768" t="str">
        <f t="shared" si="122"/>
        <v/>
      </c>
      <c r="JZ25" s="485" t="str">
        <f>IF(JY25="","",IF(AND(C25=$C$164,JY25&lt;&gt;""),Verificarcpf(D25),IF(AND(C25=$C$165,JY25&lt;&gt;""),VerificarCNPJ(D25))))</f>
        <v/>
      </c>
      <c r="KA25" s="768" t="str">
        <f t="shared" si="123"/>
        <v/>
      </c>
      <c r="KB25" s="485">
        <f t="shared" si="124"/>
        <v>0</v>
      </c>
      <c r="KC25" s="768">
        <f t="shared" si="125"/>
        <v>0</v>
      </c>
      <c r="KD25" s="485">
        <f t="shared" si="126"/>
        <v>0</v>
      </c>
      <c r="KE25" s="448"/>
      <c r="KF25" s="548">
        <f t="shared" si="127"/>
        <v>0</v>
      </c>
      <c r="KG25" s="548" t="s">
        <v>12311</v>
      </c>
      <c r="KH25" s="548"/>
      <c r="KI25" s="548"/>
      <c r="KJ25" s="548" t="str">
        <f t="shared" si="128"/>
        <v/>
      </c>
      <c r="KK25" s="548"/>
      <c r="KL25" s="548"/>
      <c r="KM25" s="548">
        <f t="array" ref="KM25">IF(SUM((KL25=$KL$3:KL24)*1)=0,KL25,0)</f>
        <v>0</v>
      </c>
      <c r="KN25" s="548"/>
      <c r="KO25" s="548"/>
      <c r="KP25" s="548"/>
      <c r="KQ25" s="548"/>
      <c r="KR25" s="548" t="str">
        <f t="shared" si="129"/>
        <v/>
      </c>
      <c r="KS25" s="548"/>
      <c r="KT25" s="548"/>
      <c r="KU25" s="548"/>
      <c r="KV25" s="548"/>
      <c r="KW25" s="548"/>
      <c r="KX25" s="548"/>
      <c r="KY25" s="548"/>
      <c r="KZ25" s="548"/>
      <c r="LA25" s="548"/>
      <c r="LB25" s="548"/>
      <c r="LC25" s="485" t="str">
        <f t="shared" si="142"/>
        <v/>
      </c>
      <c r="LD25" s="548"/>
      <c r="LE25" s="548"/>
      <c r="LF25" s="548"/>
      <c r="LG25" s="548"/>
      <c r="LH25" s="548"/>
      <c r="LI25" s="548"/>
      <c r="LJ25" s="548"/>
      <c r="LK25" s="548"/>
      <c r="LL25" s="548"/>
      <c r="LM25" s="548"/>
      <c r="LN25" s="548"/>
      <c r="LO25" s="548"/>
      <c r="LP25" s="485" t="str">
        <f t="shared" si="143"/>
        <v/>
      </c>
      <c r="LQ25" s="548"/>
      <c r="LR25" s="548"/>
      <c r="LS25" s="548"/>
      <c r="LT25" s="548"/>
      <c r="LU25" s="548"/>
      <c r="LV25" s="548"/>
      <c r="LW25" s="548"/>
      <c r="LX25" s="548"/>
      <c r="LY25" s="548"/>
      <c r="LZ25" s="548"/>
      <c r="MA25" s="548"/>
      <c r="MB25" s="548"/>
      <c r="MC25" s="485" t="str">
        <f t="shared" si="144"/>
        <v/>
      </c>
      <c r="MD25" s="548"/>
      <c r="ME25" s="548"/>
      <c r="MF25" s="548"/>
      <c r="MG25" s="548"/>
      <c r="MH25" s="548"/>
      <c r="MI25" s="548"/>
      <c r="MJ25" s="548"/>
      <c r="MK25" s="548"/>
      <c r="ML25" s="548"/>
      <c r="MM25" s="548"/>
      <c r="MN25" s="548"/>
      <c r="MO25" s="548"/>
      <c r="MP25" s="485" t="str">
        <f t="shared" si="145"/>
        <v/>
      </c>
      <c r="MQ25" s="548"/>
      <c r="MR25" s="548"/>
      <c r="MS25" s="548"/>
      <c r="MT25" s="548"/>
      <c r="MU25" s="548"/>
      <c r="MV25" s="548"/>
      <c r="MW25" s="548"/>
      <c r="MX25" s="548"/>
      <c r="MY25" s="548"/>
      <c r="MZ25" s="548"/>
      <c r="NA25" s="548"/>
      <c r="NB25" s="548"/>
      <c r="NC25" s="485" t="str">
        <f t="shared" si="146"/>
        <v/>
      </c>
      <c r="ND25" s="548"/>
      <c r="NE25" s="548"/>
      <c r="NF25" s="548"/>
      <c r="NG25" s="548"/>
      <c r="NH25" s="548"/>
      <c r="NI25" s="548"/>
      <c r="NJ25" s="548"/>
      <c r="NK25" s="548"/>
      <c r="NL25" s="548"/>
      <c r="NM25" s="548"/>
      <c r="NN25" s="548"/>
      <c r="NO25" s="548"/>
      <c r="NP25" s="485" t="str">
        <f t="shared" si="147"/>
        <v/>
      </c>
      <c r="NQ25" s="548"/>
      <c r="NR25" s="548"/>
      <c r="NS25" s="548"/>
      <c r="NT25" s="548"/>
      <c r="NU25" s="548"/>
      <c r="NV25" s="548"/>
      <c r="NW25" s="548"/>
      <c r="NX25" s="548"/>
      <c r="NY25" s="548"/>
      <c r="NZ25" s="548"/>
      <c r="OA25" s="548"/>
      <c r="OB25" s="548"/>
      <c r="OC25" s="485" t="str">
        <f t="shared" si="148"/>
        <v/>
      </c>
      <c r="OD25" s="548"/>
      <c r="OE25" s="548"/>
      <c r="OF25" s="548"/>
      <c r="OG25" s="548"/>
      <c r="OH25" s="548"/>
      <c r="OI25" s="548"/>
      <c r="OJ25" s="548"/>
      <c r="OK25" s="548"/>
      <c r="OL25" s="548"/>
      <c r="OM25" s="548"/>
      <c r="ON25" s="548"/>
      <c r="OO25" s="548"/>
      <c r="OP25" s="548"/>
      <c r="OQ25" s="548"/>
      <c r="OR25" s="548"/>
      <c r="OS25" s="548"/>
      <c r="OT25" s="548"/>
      <c r="OU25" s="548"/>
      <c r="OV25" s="548"/>
      <c r="OW25" s="548"/>
      <c r="OX25" s="548"/>
      <c r="OY25" s="548"/>
      <c r="OZ25" s="548"/>
      <c r="PA25" s="548"/>
      <c r="PB25" s="548"/>
      <c r="PC25" s="548"/>
      <c r="PD25" s="548"/>
      <c r="PE25" s="548"/>
      <c r="PF25" s="548"/>
      <c r="PG25" s="548"/>
      <c r="PH25" s="548"/>
      <c r="PI25" s="548"/>
      <c r="PJ25" s="548"/>
      <c r="PK25" s="548"/>
      <c r="PL25" s="548"/>
      <c r="PM25" s="548"/>
      <c r="PN25" s="548"/>
      <c r="PO25" s="548"/>
      <c r="PP25" s="548"/>
      <c r="PQ25" s="548"/>
      <c r="PR25" s="548"/>
      <c r="PS25" s="548"/>
      <c r="PT25" s="548"/>
      <c r="PU25" s="548"/>
      <c r="PV25" s="548"/>
      <c r="PW25" s="548"/>
      <c r="PX25" s="548"/>
      <c r="PY25" s="548"/>
      <c r="PZ25" s="548"/>
      <c r="QA25" s="548"/>
      <c r="QB25" s="548"/>
      <c r="QC25" s="548"/>
      <c r="QD25" s="548"/>
      <c r="QE25" s="548"/>
      <c r="QF25" s="548"/>
      <c r="QG25" s="548"/>
      <c r="QH25" s="548"/>
      <c r="QI25" s="548"/>
      <c r="QJ25" s="548"/>
      <c r="QK25" s="548"/>
      <c r="QL25" s="548"/>
      <c r="QM25" s="548"/>
      <c r="QN25" s="548"/>
      <c r="QO25" s="548"/>
      <c r="QP25" s="548"/>
      <c r="QQ25" s="1009"/>
      <c r="QR25" s="548"/>
      <c r="QS25" s="548"/>
      <c r="QT25" s="548"/>
      <c r="QU25" s="548"/>
      <c r="QV25" s="548"/>
      <c r="QW25" s="548"/>
      <c r="QX25" s="548"/>
      <c r="QY25" s="548"/>
      <c r="QZ25" s="548"/>
      <c r="RA25" s="548"/>
      <c r="RB25" s="548"/>
      <c r="RC25" s="548"/>
      <c r="RD25" s="548"/>
      <c r="RE25" s="548"/>
      <c r="RF25" s="548"/>
      <c r="RG25" s="548"/>
      <c r="RH25" s="548"/>
      <c r="RI25" s="548"/>
      <c r="RJ25" s="548"/>
      <c r="RK25" s="548"/>
      <c r="RL25" s="548"/>
      <c r="RM25" s="548"/>
      <c r="RN25" s="548"/>
      <c r="RO25" s="548"/>
      <c r="RP25" s="548"/>
      <c r="RQ25" s="548"/>
      <c r="RR25" s="548"/>
      <c r="RS25" s="548"/>
      <c r="RT25" s="548"/>
      <c r="RU25" s="548"/>
      <c r="RV25" s="548"/>
      <c r="RW25" s="548"/>
      <c r="RX25" s="548"/>
      <c r="RY25" s="548"/>
      <c r="RZ25" s="548"/>
      <c r="SA25" s="548"/>
      <c r="SB25" s="548"/>
      <c r="SC25" s="548"/>
      <c r="SD25" s="548"/>
      <c r="SE25" s="548"/>
      <c r="SF25" s="548"/>
      <c r="SG25" s="548"/>
      <c r="SH25" s="548"/>
      <c r="SI25" s="548"/>
      <c r="SJ25" s="548"/>
      <c r="SK25" s="548"/>
      <c r="SL25" s="548"/>
      <c r="SM25" s="548"/>
      <c r="SN25" s="548"/>
      <c r="SO25" s="548"/>
      <c r="SP25" s="548"/>
      <c r="SQ25" s="548"/>
      <c r="SR25" s="548"/>
      <c r="SS25" s="548"/>
      <c r="ST25" s="548"/>
      <c r="SU25" s="548"/>
      <c r="SV25" s="548"/>
      <c r="SW25" s="548"/>
      <c r="SX25" s="548"/>
      <c r="SY25" s="548"/>
      <c r="SZ25" s="548"/>
      <c r="TA25" s="548"/>
      <c r="TB25" s="548"/>
      <c r="TC25" s="548"/>
      <c r="TD25" s="548"/>
      <c r="TE25" s="548"/>
      <c r="TF25" s="548"/>
      <c r="TG25" s="548"/>
      <c r="TH25" s="548"/>
      <c r="TI25" s="548"/>
      <c r="TJ25" s="548"/>
      <c r="TK25" s="548"/>
      <c r="TL25" s="548"/>
      <c r="TM25" s="548"/>
      <c r="TN25" s="548"/>
      <c r="TO25" s="548"/>
      <c r="TP25" s="548"/>
      <c r="TQ25" s="548"/>
      <c r="TR25" s="548"/>
      <c r="TS25" s="548"/>
      <c r="TT25" s="548"/>
      <c r="TU25" s="548"/>
      <c r="TV25" s="548"/>
      <c r="TW25" s="548"/>
      <c r="TX25" s="548"/>
      <c r="TY25" s="548"/>
      <c r="TZ25" s="548"/>
      <c r="UA25" s="548"/>
      <c r="UB25" s="548"/>
      <c r="UC25" s="548"/>
      <c r="UD25" s="548"/>
      <c r="UE25" s="548"/>
      <c r="UF25" s="548"/>
      <c r="UG25" s="548"/>
      <c r="UH25" s="548"/>
      <c r="UI25" s="548"/>
      <c r="UJ25" s="548"/>
      <c r="UK25" s="548"/>
      <c r="UL25" s="548"/>
      <c r="UM25" s="548"/>
      <c r="UN25" s="548"/>
      <c r="UO25" s="548"/>
      <c r="UP25" s="548"/>
      <c r="UQ25" s="548"/>
      <c r="UR25" s="548"/>
      <c r="US25" s="548"/>
      <c r="UT25" s="548"/>
      <c r="UU25" s="548"/>
      <c r="UV25" s="548"/>
      <c r="UW25" s="548"/>
      <c r="UX25" s="548"/>
      <c r="UY25" s="548"/>
      <c r="UZ25" s="548"/>
      <c r="VA25" s="548"/>
      <c r="VB25" s="548"/>
      <c r="VC25" s="548"/>
      <c r="VD25" s="548"/>
      <c r="VE25" s="548"/>
      <c r="VF25" s="548"/>
      <c r="VG25" s="548"/>
      <c r="VH25" s="548"/>
      <c r="VI25" s="548"/>
      <c r="VJ25" s="548"/>
      <c r="VK25" s="548"/>
      <c r="VL25" s="548"/>
      <c r="VM25" s="548"/>
      <c r="VN25" s="548"/>
      <c r="VO25" s="548"/>
      <c r="VP25" s="548"/>
      <c r="VQ25" s="548"/>
      <c r="VR25" s="548"/>
      <c r="VS25" s="548"/>
      <c r="VT25" s="548"/>
      <c r="VU25" s="548"/>
      <c r="VV25" s="548"/>
      <c r="VW25" s="548"/>
      <c r="VX25" s="548"/>
      <c r="VY25" s="548"/>
      <c r="VZ25" s="548"/>
      <c r="WA25" s="548"/>
      <c r="WB25" s="548"/>
      <c r="WC25" s="548"/>
      <c r="WD25" s="548"/>
      <c r="WE25" s="548"/>
      <c r="WF25" s="548"/>
      <c r="WG25" s="548"/>
      <c r="WH25" s="548"/>
      <c r="WI25" s="548"/>
      <c r="WJ25" s="548"/>
      <c r="WK25" s="548"/>
      <c r="WL25" s="548"/>
      <c r="WM25" s="548"/>
      <c r="WN25" s="548"/>
      <c r="WO25" s="548"/>
      <c r="WP25" s="548"/>
      <c r="WQ25" s="548"/>
      <c r="WR25" s="548"/>
      <c r="WS25" s="548"/>
      <c r="WT25" s="548"/>
      <c r="WU25" s="548"/>
      <c r="WV25" s="548"/>
      <c r="WW25" s="548"/>
      <c r="WX25" s="548"/>
      <c r="WY25" s="548"/>
      <c r="WZ25" s="548"/>
      <c r="XA25" s="548"/>
      <c r="XB25" s="548"/>
      <c r="XC25" s="548"/>
      <c r="XD25" s="548"/>
      <c r="XE25" s="548"/>
      <c r="XF25" s="548"/>
      <c r="XG25" s="548"/>
      <c r="XH25" s="548"/>
      <c r="XI25" s="548"/>
      <c r="XJ25" s="548"/>
      <c r="XK25" s="548"/>
      <c r="XL25" s="548"/>
      <c r="XM25" s="548"/>
      <c r="XN25" s="548"/>
      <c r="XO25" s="548"/>
      <c r="XP25" s="548"/>
      <c r="XQ25" s="548"/>
      <c r="XR25" s="548"/>
      <c r="XS25" s="548"/>
      <c r="XT25" s="548"/>
      <c r="XU25" s="548"/>
      <c r="XV25" s="548"/>
      <c r="XW25" s="548"/>
      <c r="XX25" s="548"/>
      <c r="XY25" s="548"/>
      <c r="XZ25" s="548"/>
      <c r="YA25" s="548"/>
      <c r="YB25" s="548"/>
      <c r="YC25" s="548"/>
      <c r="YD25" s="548"/>
      <c r="YE25" s="548"/>
      <c r="YF25" s="548"/>
      <c r="YG25" s="548"/>
      <c r="YH25" s="548"/>
      <c r="YI25" s="548"/>
      <c r="YJ25" s="548"/>
      <c r="YK25" s="548"/>
      <c r="YL25" s="548"/>
      <c r="YM25" s="548"/>
      <c r="YN25" s="548"/>
      <c r="YO25" s="548"/>
      <c r="YP25" s="548"/>
      <c r="YQ25" s="548"/>
      <c r="YR25" s="548"/>
      <c r="YS25" s="548"/>
      <c r="YT25" s="548"/>
      <c r="YU25" s="548"/>
      <c r="YV25" s="548"/>
      <c r="YW25" s="548"/>
      <c r="YX25" s="548"/>
      <c r="YY25" s="548"/>
      <c r="YZ25" s="548"/>
      <c r="ZA25" s="548"/>
      <c r="ZB25" s="548"/>
      <c r="ZC25" s="548"/>
      <c r="ZD25" s="548"/>
      <c r="ZE25" s="548"/>
      <c r="ZF25" s="548"/>
      <c r="ZG25" s="548"/>
      <c r="ZH25" s="548"/>
      <c r="ZI25" s="548"/>
      <c r="ZJ25" s="548"/>
      <c r="ZK25" s="548"/>
      <c r="ZL25" s="548"/>
      <c r="ZM25" s="548"/>
      <c r="ZN25" s="548"/>
      <c r="ZO25" s="548"/>
      <c r="ZP25" s="548"/>
      <c r="ZQ25" s="548"/>
      <c r="ZR25" s="548"/>
      <c r="ZS25" s="548"/>
      <c r="ZT25" s="548"/>
      <c r="ZU25" s="548"/>
      <c r="ZV25" s="548"/>
      <c r="ZW25" s="548"/>
      <c r="ZX25" s="548"/>
      <c r="ZY25" s="548"/>
      <c r="ZZ25" s="548"/>
      <c r="AAA25" s="548"/>
      <c r="AAB25" s="548"/>
      <c r="AAC25" s="548"/>
      <c r="AAD25" s="548"/>
      <c r="AAE25" s="548"/>
      <c r="AAF25" s="548"/>
      <c r="AAG25" s="548"/>
      <c r="AAH25" s="548"/>
      <c r="AAI25" s="548"/>
      <c r="AAJ25" s="548"/>
      <c r="AAK25" s="548"/>
      <c r="AAL25" s="548"/>
      <c r="AAM25" s="548"/>
      <c r="AAN25" s="548"/>
      <c r="AAO25" s="548"/>
      <c r="AAP25" s="548"/>
      <c r="AAQ25" s="548"/>
      <c r="AAR25" s="548"/>
      <c r="AAS25" s="548"/>
      <c r="AAT25" s="548"/>
      <c r="AAU25" s="548"/>
      <c r="AAV25" s="548"/>
      <c r="AAW25" s="548"/>
      <c r="AAX25" s="548"/>
      <c r="AAY25" s="548"/>
      <c r="AAZ25" s="548"/>
      <c r="ABA25" s="548"/>
      <c r="ABB25" s="548"/>
      <c r="ABC25" s="548"/>
      <c r="ABD25" s="548"/>
      <c r="ABE25" s="548"/>
      <c r="ABF25" s="548"/>
      <c r="ABG25" s="548"/>
      <c r="ABH25" s="548"/>
      <c r="ABI25" s="548"/>
      <c r="ABJ25" s="548"/>
      <c r="ABK25" s="548"/>
      <c r="ABL25" s="548"/>
      <c r="ABM25" s="548"/>
      <c r="ABN25" s="548"/>
      <c r="ABO25" s="548"/>
      <c r="ABP25" s="548"/>
      <c r="ABQ25" s="548"/>
      <c r="ABR25" s="548"/>
      <c r="ABS25" s="548"/>
    </row>
    <row r="26" spans="1:747" customFormat="1" ht="15" customHeight="1" x14ac:dyDescent="0.2">
      <c r="A26" s="424" t="str">
        <f t="shared" si="149"/>
        <v/>
      </c>
      <c r="B26" s="415"/>
      <c r="C26" s="525"/>
      <c r="D26" s="750"/>
      <c r="E26" s="416" t="str">
        <f t="shared" si="0"/>
        <v/>
      </c>
      <c r="F26" s="527" t="str">
        <f t="shared" si="1"/>
        <v/>
      </c>
      <c r="G26" s="417"/>
      <c r="H26" s="583" t="str">
        <f t="shared" si="2"/>
        <v/>
      </c>
      <c r="I26" s="424"/>
      <c r="J26" s="749"/>
      <c r="K26" s="418"/>
      <c r="L26" s="419"/>
      <c r="M26" s="415"/>
      <c r="N26" s="420"/>
      <c r="O26" s="421"/>
      <c r="P26" s="561"/>
      <c r="Q26" s="422"/>
      <c r="R26" s="561" t="str">
        <f t="shared" si="3"/>
        <v/>
      </c>
      <c r="S26" s="664"/>
      <c r="T26" s="663"/>
      <c r="U26" s="580">
        <f t="shared" si="4"/>
        <v>0</v>
      </c>
      <c r="V26" s="418"/>
      <c r="W26" s="582" t="str">
        <f t="shared" si="5"/>
        <v/>
      </c>
      <c r="X26" s="479" t="str">
        <f t="shared" si="6"/>
        <v/>
      </c>
      <c r="Y26" s="582" t="str">
        <f t="shared" si="7"/>
        <v/>
      </c>
      <c r="Z26" s="317" t="str">
        <f t="shared" si="8"/>
        <v/>
      </c>
      <c r="AA26" s="317" t="str">
        <f t="shared" si="9"/>
        <v/>
      </c>
      <c r="AB26" s="317">
        <f t="shared" si="10"/>
        <v>0</v>
      </c>
      <c r="AC26" s="317" t="str">
        <f t="shared" si="11"/>
        <v/>
      </c>
      <c r="AD26" s="317"/>
      <c r="AE26" s="479"/>
      <c r="AF26" s="479"/>
      <c r="AG26" s="423"/>
      <c r="AH26" s="820"/>
      <c r="AI26" s="480"/>
      <c r="AJ26" s="660"/>
      <c r="AK26" s="524" t="str">
        <f t="shared" si="12"/>
        <v/>
      </c>
      <c r="AL26" s="731">
        <f>SUMIF($J$4:$J$60,"Volta Aulas",$S$4:$S$60)</f>
        <v>0</v>
      </c>
      <c r="AM26" s="732">
        <f>SUMIF($J$4:$J$60,"Volta Aulas",$T$4:$T$60)</f>
        <v>0</v>
      </c>
      <c r="AN26" s="426">
        <f t="shared" si="13"/>
        <v>0</v>
      </c>
      <c r="AO26" s="427" t="str">
        <f t="shared" si="37"/>
        <v/>
      </c>
      <c r="AP26" s="426" t="str">
        <f t="shared" si="14"/>
        <v/>
      </c>
      <c r="AQ26" s="426"/>
      <c r="AR26" s="426"/>
      <c r="AS26" s="428"/>
      <c r="AT26" s="429"/>
      <c r="AU26" s="430"/>
      <c r="AV26" s="431"/>
      <c r="AW26" s="432"/>
      <c r="AX26" s="430"/>
      <c r="AY26" s="431">
        <f t="shared" si="15"/>
        <v>0</v>
      </c>
      <c r="AZ26" s="426"/>
      <c r="BA26" s="435" t="str">
        <f t="shared" si="16"/>
        <v/>
      </c>
      <c r="BB26" s="435"/>
      <c r="BC26" s="426"/>
      <c r="BD26" s="426">
        <f t="array" ref="BD26">IF(SUM((BC26=$BC$3:BC25)*1)=0,BC26,0)</f>
        <v>0</v>
      </c>
      <c r="BE26" s="426"/>
      <c r="BF26" s="426"/>
      <c r="BG26" s="426">
        <f t="array" ref="BG26">IF(SUM((BF26=$BF$3:BF25)*1)=0,BF26,0)</f>
        <v>0</v>
      </c>
      <c r="BH26" s="426"/>
      <c r="BI26" s="426"/>
      <c r="BJ26" s="426"/>
      <c r="BK26" s="426"/>
      <c r="BL26" s="426"/>
      <c r="BM26" s="426"/>
      <c r="BN26" s="426"/>
      <c r="BO26" s="426"/>
      <c r="BP26" s="433">
        <f t="shared" si="17"/>
        <v>0</v>
      </c>
      <c r="BQ26" s="426"/>
      <c r="BR26" s="434"/>
      <c r="BS26" s="426"/>
      <c r="BT26" s="433"/>
      <c r="BU26" s="435"/>
      <c r="BV26" s="435" t="str">
        <f t="shared" si="18"/>
        <v/>
      </c>
      <c r="BW26" s="435" t="str">
        <f t="shared" si="38"/>
        <v/>
      </c>
      <c r="BX26" s="435"/>
      <c r="BY26" s="435"/>
      <c r="BZ26" s="435"/>
      <c r="CA26" s="435"/>
      <c r="CB26" s="435"/>
      <c r="CC26" s="435"/>
      <c r="CD26" s="435"/>
      <c r="CE26" s="435"/>
      <c r="CF26" s="435"/>
      <c r="CG26" s="435"/>
      <c r="CH26" s="435"/>
      <c r="CI26" s="435"/>
      <c r="CJ26" s="426" t="str">
        <f t="shared" si="39"/>
        <v/>
      </c>
      <c r="CK26" s="435"/>
      <c r="CL26" s="426"/>
      <c r="CM26" s="435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>
        <v>23</v>
      </c>
      <c r="CZ26" s="426"/>
      <c r="DA26" s="426"/>
      <c r="DB26" s="426"/>
      <c r="DC26" s="426" t="s">
        <v>766</v>
      </c>
      <c r="DD26" s="426" t="s">
        <v>926</v>
      </c>
      <c r="DE26" s="435" t="str">
        <f t="shared" si="40"/>
        <v/>
      </c>
      <c r="DF26" s="435" t="str">
        <f t="shared" si="41"/>
        <v/>
      </c>
      <c r="DG26" s="435" t="str">
        <f t="shared" si="42"/>
        <v/>
      </c>
      <c r="DH26" s="435" t="str">
        <f t="shared" si="43"/>
        <v/>
      </c>
      <c r="DI26" s="435" t="str">
        <f t="shared" si="44"/>
        <v/>
      </c>
      <c r="DJ26" s="435" t="str">
        <f t="shared" si="45"/>
        <v/>
      </c>
      <c r="DK26" s="435" t="str">
        <f t="shared" si="19"/>
        <v/>
      </c>
      <c r="DL26" s="435" t="str">
        <f t="shared" si="20"/>
        <v/>
      </c>
      <c r="DM26" s="435" t="str">
        <f t="shared" si="46"/>
        <v/>
      </c>
      <c r="DN26" s="435" t="str">
        <f t="shared" si="47"/>
        <v/>
      </c>
      <c r="DO26" s="435" t="str">
        <f t="shared" si="21"/>
        <v/>
      </c>
      <c r="DP26" s="435" t="str">
        <f t="shared" si="22"/>
        <v/>
      </c>
      <c r="DQ26" s="435" t="str">
        <f t="shared" si="48"/>
        <v/>
      </c>
      <c r="DR26" s="435" t="str">
        <f t="shared" si="49"/>
        <v/>
      </c>
      <c r="DS26" s="435" t="str">
        <f t="shared" si="23"/>
        <v/>
      </c>
      <c r="DT26" s="435" t="str">
        <f t="shared" si="24"/>
        <v/>
      </c>
      <c r="DU26" s="435" t="str">
        <f t="shared" si="50"/>
        <v/>
      </c>
      <c r="DV26" s="435" t="str">
        <f t="shared" si="51"/>
        <v/>
      </c>
      <c r="DW26" s="435" t="str">
        <f t="shared" si="25"/>
        <v/>
      </c>
      <c r="DX26" s="435" t="str">
        <f t="shared" si="26"/>
        <v/>
      </c>
      <c r="DY26" s="435" t="str">
        <f t="shared" si="52"/>
        <v/>
      </c>
      <c r="DZ26" s="435" t="str">
        <f t="shared" si="53"/>
        <v/>
      </c>
      <c r="EA26" s="435" t="str">
        <f t="shared" si="27"/>
        <v/>
      </c>
      <c r="EB26" s="435" t="str">
        <f t="shared" si="28"/>
        <v/>
      </c>
      <c r="EC26" s="435" t="str">
        <f t="shared" si="29"/>
        <v/>
      </c>
      <c r="ED26" s="435" t="str">
        <f t="shared" si="30"/>
        <v/>
      </c>
      <c r="EE26" s="435" t="str">
        <f t="shared" si="31"/>
        <v/>
      </c>
      <c r="EF26" s="435" t="str">
        <f t="shared" si="32"/>
        <v/>
      </c>
      <c r="EG26" s="435" t="str">
        <f t="shared" si="33"/>
        <v/>
      </c>
      <c r="EH26" s="435" t="str">
        <f t="shared" si="34"/>
        <v/>
      </c>
      <c r="EI26" s="435" t="str">
        <f t="shared" si="35"/>
        <v/>
      </c>
      <c r="EJ26" s="435" t="str">
        <f t="shared" si="36"/>
        <v/>
      </c>
      <c r="EK26" s="485"/>
      <c r="EL26" s="485"/>
      <c r="EM26" s="485"/>
      <c r="EN26" s="485"/>
      <c r="EO26" s="448"/>
      <c r="EP26" s="448"/>
      <c r="EQ26" s="448"/>
      <c r="ER26" s="448"/>
      <c r="ES26" s="448"/>
      <c r="ET26" s="435"/>
      <c r="EU26" s="435"/>
      <c r="EV26" s="435"/>
      <c r="EW26" s="435"/>
      <c r="EX26" s="426"/>
      <c r="EY26" s="426"/>
      <c r="EZ26" s="426"/>
      <c r="FA26" s="427"/>
      <c r="FB26" s="427">
        <f t="array" ref="FB26">IF(SUM((FA26=$FA$3:FA25)*1)=0,FA26,0)</f>
        <v>0</v>
      </c>
      <c r="FC26" s="427"/>
      <c r="FD26" s="427"/>
      <c r="FE26" s="427">
        <f t="array" ref="FE26">IF(SUM((FD26=$FD$3:FD25)*1)=0,FD26,0)</f>
        <v>0</v>
      </c>
      <c r="FF26" s="427"/>
      <c r="FG26" s="427"/>
      <c r="FH26" s="427"/>
      <c r="FI26" s="427">
        <f t="array" ref="FI26">IF(SUM((FH26=$FH$3:FH25)*1)=0,FH26,0)</f>
        <v>0</v>
      </c>
      <c r="FJ26" s="427"/>
      <c r="FK26" s="427"/>
      <c r="FL26" s="427">
        <f t="array" ref="FL26">IF(SUM((FK26=$FK$3:FK25)*1)=0,FK26,0)</f>
        <v>0</v>
      </c>
      <c r="FM26" s="427"/>
      <c r="FN26" s="427"/>
      <c r="FO26" s="427"/>
      <c r="FP26" s="427">
        <f t="array" ref="FP26">IF(SUM((FO26=$FO$3:FO25)*1)=0,FO26,0)</f>
        <v>0</v>
      </c>
      <c r="FQ26" s="427"/>
      <c r="FR26" s="427"/>
      <c r="FS26" s="427">
        <f t="array" ref="FS26">IF(SUM((FR26=$FR$3:FR25)*1)=0,FR26,0)</f>
        <v>0</v>
      </c>
      <c r="FT26" s="427"/>
      <c r="FU26" s="427"/>
      <c r="FV26" s="427"/>
      <c r="FW26" s="427">
        <f t="array" ref="FW26">IF(SUM((FV26=$FV$3:FV25)*1)=0,FV26,0)</f>
        <v>0</v>
      </c>
      <c r="FX26" s="427"/>
      <c r="FY26" s="427"/>
      <c r="FZ26" s="427">
        <f t="array" ref="FZ26">IF(SUM((FY26=$FY$3:FY25)*1)=0,FY26,0)</f>
        <v>0</v>
      </c>
      <c r="GA26" s="427"/>
      <c r="GB26" s="427"/>
      <c r="GC26" s="427"/>
      <c r="GD26" s="427">
        <f t="array" ref="GD26">IF(SUM((GC26=$GC$3:GC25)*1)=0,GC26,0)</f>
        <v>0</v>
      </c>
      <c r="GE26" s="427"/>
      <c r="GF26" s="427"/>
      <c r="GG26" s="427">
        <f t="array" ref="GG26">IF(SUM((GF26=$GF$3:GF25)*1)=0,GF26,0)</f>
        <v>0</v>
      </c>
      <c r="GH26" s="427"/>
      <c r="GI26" s="427"/>
      <c r="GJ26" s="427"/>
      <c r="GK26" s="798">
        <f t="array" ref="GK26">IF(SUM((GJ26=$GJ$3:GJ25)*1)=0,GJ26,0)</f>
        <v>0</v>
      </c>
      <c r="GL26" s="427"/>
      <c r="GM26" s="427"/>
      <c r="GN26" s="798">
        <f t="array" ref="GN26">IF(SUM((GM26=$GM$3:GM25)*1)=0,GM26,0)</f>
        <v>0</v>
      </c>
      <c r="GO26" s="427"/>
      <c r="GP26" s="427"/>
      <c r="GQ26" s="427"/>
      <c r="GR26" s="798">
        <f t="array" ref="GR26">IF(SUM((GQ26=$GQ$3:GQ25)*1)=0,GQ26,0)</f>
        <v>0</v>
      </c>
      <c r="GS26" s="427"/>
      <c r="GT26" s="427"/>
      <c r="GU26" s="798">
        <f t="array" ref="GU26">IF(SUM((GT26=$GT$3:GT25)*1)=0,GT26,0)</f>
        <v>0</v>
      </c>
      <c r="GV26" s="427"/>
      <c r="GW26" s="427"/>
      <c r="GX26" s="427"/>
      <c r="GY26" s="798">
        <f t="array" ref="GY26">IF(SUM((GX26=$GX$3:GX25)*1)=0,GX26,0)</f>
        <v>0</v>
      </c>
      <c r="GZ26" s="427"/>
      <c r="HA26" s="427"/>
      <c r="HB26" s="798">
        <f t="array" ref="HB26">IF(SUM((HA26=$HA$3:HA25)*1)=0,HA26,0)</f>
        <v>0</v>
      </c>
      <c r="HC26" s="427"/>
      <c r="HD26" s="427"/>
      <c r="HE26" s="769" t="str">
        <f t="shared" si="130"/>
        <v/>
      </c>
      <c r="HF26" s="768" t="str">
        <f t="shared" ref="HF26" si="303">IF(HE26&lt;0,"Invadiu REP-BA-C","")</f>
        <v/>
      </c>
      <c r="HG26" s="769" t="str">
        <f t="shared" si="131"/>
        <v/>
      </c>
      <c r="HH26" s="768" t="str">
        <f t="shared" si="55"/>
        <v/>
      </c>
      <c r="HI26" s="728" t="str">
        <f t="shared" si="132"/>
        <v/>
      </c>
      <c r="HJ26" s="768" t="str">
        <f t="shared" si="56"/>
        <v/>
      </c>
      <c r="HK26" s="728" t="str">
        <f t="shared" si="133"/>
        <v/>
      </c>
      <c r="HL26" s="768" t="str">
        <f t="shared" si="57"/>
        <v/>
      </c>
      <c r="HM26" s="769" t="str">
        <f t="shared" si="58"/>
        <v/>
      </c>
      <c r="HN26" s="768" t="str">
        <f t="shared" ref="HN26" si="304">IF(HM26&lt;0,"Invadiu REP-BA-C","")</f>
        <v/>
      </c>
      <c r="HO26" s="769" t="str">
        <f t="shared" si="60"/>
        <v/>
      </c>
      <c r="HP26" s="768" t="str">
        <f t="shared" si="61"/>
        <v/>
      </c>
      <c r="HQ26" s="728" t="str">
        <f t="shared" si="62"/>
        <v/>
      </c>
      <c r="HR26" s="768" t="str">
        <f t="shared" si="63"/>
        <v/>
      </c>
      <c r="HS26" s="728" t="str">
        <f t="shared" si="64"/>
        <v/>
      </c>
      <c r="HT26" s="768" t="str">
        <f t="shared" si="65"/>
        <v/>
      </c>
      <c r="HU26" s="769" t="str">
        <f t="shared" si="66"/>
        <v/>
      </c>
      <c r="HV26" s="768" t="str">
        <f t="shared" ref="HV26" si="305">IF(HU26&lt;0,"Invadiu REP-BA-C","")</f>
        <v/>
      </c>
      <c r="HW26" s="769" t="str">
        <f t="shared" si="68"/>
        <v/>
      </c>
      <c r="HX26" s="768" t="str">
        <f t="shared" si="69"/>
        <v/>
      </c>
      <c r="HY26" s="728" t="str">
        <f t="shared" si="70"/>
        <v/>
      </c>
      <c r="HZ26" s="768" t="str">
        <f t="shared" si="71"/>
        <v/>
      </c>
      <c r="IA26" s="728" t="str">
        <f t="shared" si="72"/>
        <v/>
      </c>
      <c r="IB26" s="768" t="str">
        <f t="shared" si="73"/>
        <v/>
      </c>
      <c r="IC26" s="769" t="str">
        <f t="shared" si="74"/>
        <v/>
      </c>
      <c r="ID26" s="768" t="str">
        <f t="shared" ref="ID26" si="306">IF(IC26&lt;0,"Invadiu REP-BA-C","")</f>
        <v/>
      </c>
      <c r="IE26" s="769" t="str">
        <f t="shared" si="76"/>
        <v/>
      </c>
      <c r="IF26" s="768" t="str">
        <f t="shared" si="77"/>
        <v/>
      </c>
      <c r="IG26" s="728" t="str">
        <f t="shared" si="78"/>
        <v/>
      </c>
      <c r="IH26" s="768" t="str">
        <f t="shared" si="79"/>
        <v/>
      </c>
      <c r="II26" s="728" t="str">
        <f t="shared" si="80"/>
        <v/>
      </c>
      <c r="IJ26" s="768" t="str">
        <f t="shared" si="81"/>
        <v/>
      </c>
      <c r="IK26" s="769" t="str">
        <f t="shared" si="82"/>
        <v/>
      </c>
      <c r="IL26" s="768" t="str">
        <f t="shared" ref="IL26" si="307">IF(IK26&lt;0,"Invadiu REP-BA-C","")</f>
        <v/>
      </c>
      <c r="IM26" s="769" t="str">
        <f t="shared" si="84"/>
        <v/>
      </c>
      <c r="IN26" s="768" t="str">
        <f t="shared" si="85"/>
        <v/>
      </c>
      <c r="IO26" s="728" t="str">
        <f t="shared" si="86"/>
        <v/>
      </c>
      <c r="IP26" s="768" t="str">
        <f t="shared" si="87"/>
        <v/>
      </c>
      <c r="IQ26" s="728" t="str">
        <f t="shared" si="88"/>
        <v/>
      </c>
      <c r="IR26" s="768" t="str">
        <f t="shared" si="89"/>
        <v/>
      </c>
      <c r="IS26" s="769" t="str">
        <f t="shared" si="90"/>
        <v/>
      </c>
      <c r="IT26" s="768" t="str">
        <f t="shared" ref="IT26" si="308">IF(IS26&lt;0,"Invadiu REP-BA-C","")</f>
        <v/>
      </c>
      <c r="IU26" s="769" t="str">
        <f t="shared" si="92"/>
        <v/>
      </c>
      <c r="IV26" s="768" t="str">
        <f t="shared" si="93"/>
        <v/>
      </c>
      <c r="IW26" s="728" t="str">
        <f t="shared" si="94"/>
        <v/>
      </c>
      <c r="IX26" s="768" t="str">
        <f t="shared" si="95"/>
        <v/>
      </c>
      <c r="IY26" s="728" t="str">
        <f t="shared" si="96"/>
        <v/>
      </c>
      <c r="IZ26" s="768" t="str">
        <f t="shared" si="97"/>
        <v/>
      </c>
      <c r="JA26" s="769" t="str">
        <f t="shared" si="98"/>
        <v/>
      </c>
      <c r="JB26" s="768" t="str">
        <f t="shared" ref="JB26" si="309">IF(JA26&lt;0,"Invadiu REP-BA-C","")</f>
        <v/>
      </c>
      <c r="JC26" s="769" t="str">
        <f t="shared" si="100"/>
        <v/>
      </c>
      <c r="JD26" s="768" t="str">
        <f t="shared" si="101"/>
        <v/>
      </c>
      <c r="JE26" s="728" t="str">
        <f t="shared" si="102"/>
        <v/>
      </c>
      <c r="JF26" s="768" t="str">
        <f t="shared" si="103"/>
        <v/>
      </c>
      <c r="JG26" s="728" t="str">
        <f t="shared" si="104"/>
        <v/>
      </c>
      <c r="JH26" s="768" t="str">
        <f t="shared" si="105"/>
        <v/>
      </c>
      <c r="JI26" s="769" t="str">
        <f t="shared" si="106"/>
        <v/>
      </c>
      <c r="JJ26" s="768" t="str">
        <f t="shared" ref="JJ26" si="310">IF(JI26&lt;0,"Invadiu REP-BA-C","")</f>
        <v/>
      </c>
      <c r="JK26" s="769" t="str">
        <f t="shared" si="108"/>
        <v/>
      </c>
      <c r="JL26" s="768" t="str">
        <f t="shared" si="109"/>
        <v/>
      </c>
      <c r="JM26" s="728" t="str">
        <f t="shared" si="110"/>
        <v/>
      </c>
      <c r="JN26" s="768" t="str">
        <f t="shared" si="111"/>
        <v/>
      </c>
      <c r="JO26" s="728" t="str">
        <f t="shared" si="112"/>
        <v/>
      </c>
      <c r="JP26" s="768" t="str">
        <f t="shared" si="113"/>
        <v/>
      </c>
      <c r="JQ26" s="769" t="str">
        <f t="shared" si="114"/>
        <v/>
      </c>
      <c r="JR26" s="768" t="str">
        <f t="shared" ref="JR26" si="311">IF(JQ26&lt;0,"Invadiu REP-BA-C","")</f>
        <v/>
      </c>
      <c r="JS26" s="769" t="str">
        <f t="shared" si="116"/>
        <v/>
      </c>
      <c r="JT26" s="768" t="str">
        <f t="shared" si="117"/>
        <v/>
      </c>
      <c r="JU26" s="728" t="str">
        <f t="shared" si="118"/>
        <v/>
      </c>
      <c r="JV26" s="768" t="str">
        <f t="shared" si="119"/>
        <v/>
      </c>
      <c r="JW26" s="728" t="str">
        <f t="shared" si="120"/>
        <v/>
      </c>
      <c r="JX26" s="768" t="str">
        <f t="shared" si="121"/>
        <v/>
      </c>
      <c r="JY26" s="768" t="str">
        <f t="shared" si="122"/>
        <v/>
      </c>
      <c r="JZ26" s="485" t="str">
        <f>IF(JY26="","",IF(AND(C26=$C$164,JY26&lt;&gt;""),Verificarcpf(D26),IF(AND(C26=$C$165,JY26&lt;&gt;""),VerificarCNPJ(D26))))</f>
        <v/>
      </c>
      <c r="KA26" s="768" t="str">
        <f t="shared" si="123"/>
        <v/>
      </c>
      <c r="KB26" s="485">
        <f t="shared" si="124"/>
        <v>0</v>
      </c>
      <c r="KC26" s="768">
        <f t="shared" si="125"/>
        <v>0</v>
      </c>
      <c r="KD26" s="485">
        <f t="shared" si="126"/>
        <v>0</v>
      </c>
      <c r="KE26" s="448"/>
      <c r="KF26" s="548">
        <f t="shared" si="127"/>
        <v>0</v>
      </c>
      <c r="KG26" s="548" t="s">
        <v>570</v>
      </c>
      <c r="KH26" s="548"/>
      <c r="KI26" s="548"/>
      <c r="KJ26" s="548" t="str">
        <f t="shared" si="128"/>
        <v/>
      </c>
      <c r="KK26" s="548"/>
      <c r="KL26" s="548"/>
      <c r="KM26" s="548">
        <f t="array" ref="KM26">IF(SUM((KL26=$KL$3:KL25)*1)=0,KL26,0)</f>
        <v>0</v>
      </c>
      <c r="KN26" s="548"/>
      <c r="KO26" s="548"/>
      <c r="KP26" s="548"/>
      <c r="KQ26" s="548"/>
      <c r="KR26" s="548" t="str">
        <f t="shared" si="129"/>
        <v/>
      </c>
      <c r="KS26" s="548"/>
      <c r="KT26" s="548"/>
      <c r="KU26" s="548"/>
      <c r="KV26" s="548"/>
      <c r="KW26" s="548"/>
      <c r="KX26" s="548"/>
      <c r="KY26" s="548"/>
      <c r="KZ26" s="548"/>
      <c r="LA26" s="548"/>
      <c r="LB26" s="548"/>
      <c r="LC26" s="485" t="str">
        <f t="shared" si="142"/>
        <v/>
      </c>
      <c r="LD26" s="548"/>
      <c r="LE26" s="548"/>
      <c r="LF26" s="548"/>
      <c r="LG26" s="548"/>
      <c r="LH26" s="548"/>
      <c r="LI26" s="548"/>
      <c r="LJ26" s="548"/>
      <c r="LK26" s="548"/>
      <c r="LL26" s="548"/>
      <c r="LM26" s="548"/>
      <c r="LN26" s="548"/>
      <c r="LO26" s="548"/>
      <c r="LP26" s="485" t="str">
        <f t="shared" si="143"/>
        <v/>
      </c>
      <c r="LQ26" s="548"/>
      <c r="LR26" s="548"/>
      <c r="LS26" s="548"/>
      <c r="LT26" s="548"/>
      <c r="LU26" s="548"/>
      <c r="LV26" s="548"/>
      <c r="LW26" s="548"/>
      <c r="LX26" s="548"/>
      <c r="LY26" s="548"/>
      <c r="LZ26" s="548"/>
      <c r="MA26" s="548"/>
      <c r="MB26" s="548"/>
      <c r="MC26" s="485" t="str">
        <f t="shared" si="144"/>
        <v/>
      </c>
      <c r="MD26" s="548"/>
      <c r="ME26" s="548"/>
      <c r="MF26" s="548"/>
      <c r="MG26" s="548"/>
      <c r="MH26" s="548"/>
      <c r="MI26" s="548"/>
      <c r="MJ26" s="548"/>
      <c r="MK26" s="548"/>
      <c r="ML26" s="548"/>
      <c r="MM26" s="548"/>
      <c r="MN26" s="548"/>
      <c r="MO26" s="548"/>
      <c r="MP26" s="485" t="str">
        <f t="shared" si="145"/>
        <v/>
      </c>
      <c r="MQ26" s="548"/>
      <c r="MR26" s="548"/>
      <c r="MS26" s="548"/>
      <c r="MT26" s="548"/>
      <c r="MU26" s="548"/>
      <c r="MV26" s="548"/>
      <c r="MW26" s="548"/>
      <c r="MX26" s="548"/>
      <c r="MY26" s="548"/>
      <c r="MZ26" s="548"/>
      <c r="NA26" s="548"/>
      <c r="NB26" s="548"/>
      <c r="NC26" s="485" t="str">
        <f t="shared" si="146"/>
        <v/>
      </c>
      <c r="ND26" s="548"/>
      <c r="NE26" s="548"/>
      <c r="NF26" s="548"/>
      <c r="NG26" s="548"/>
      <c r="NH26" s="548"/>
      <c r="NI26" s="548"/>
      <c r="NJ26" s="548"/>
      <c r="NK26" s="548"/>
      <c r="NL26" s="548"/>
      <c r="NM26" s="548"/>
      <c r="NN26" s="548"/>
      <c r="NO26" s="548"/>
      <c r="NP26" s="485" t="str">
        <f t="shared" si="147"/>
        <v/>
      </c>
      <c r="NQ26" s="548"/>
      <c r="NR26" s="548"/>
      <c r="NS26" s="548"/>
      <c r="NT26" s="548"/>
      <c r="NU26" s="548"/>
      <c r="NV26" s="548"/>
      <c r="NW26" s="548"/>
      <c r="NX26" s="548"/>
      <c r="NY26" s="548"/>
      <c r="NZ26" s="548"/>
      <c r="OA26" s="548"/>
      <c r="OB26" s="548"/>
      <c r="OC26" s="485" t="str">
        <f t="shared" si="148"/>
        <v/>
      </c>
      <c r="OD26" s="548"/>
      <c r="OE26" s="548"/>
      <c r="OF26" s="548"/>
      <c r="OG26" s="548"/>
      <c r="OH26" s="548"/>
      <c r="OI26" s="548"/>
      <c r="OJ26" s="548"/>
      <c r="OK26" s="548"/>
      <c r="OL26" s="548"/>
      <c r="OM26" s="548"/>
      <c r="ON26" s="548"/>
      <c r="OO26" s="548"/>
      <c r="OP26" s="548"/>
      <c r="OQ26" s="548"/>
      <c r="OR26" s="548"/>
      <c r="OS26" s="548"/>
      <c r="OT26" s="548"/>
      <c r="OU26" s="548"/>
      <c r="OV26" s="548"/>
      <c r="OW26" s="548"/>
      <c r="OX26" s="548"/>
      <c r="OY26" s="548"/>
      <c r="OZ26" s="548"/>
      <c r="PA26" s="548"/>
      <c r="PB26" s="548"/>
      <c r="PC26" s="548"/>
      <c r="PD26" s="548"/>
      <c r="PE26" s="548"/>
      <c r="PF26" s="548"/>
      <c r="PG26" s="548"/>
      <c r="PH26" s="548"/>
      <c r="PI26" s="548"/>
      <c r="PJ26" s="548"/>
      <c r="PK26" s="548"/>
      <c r="PL26" s="548"/>
      <c r="PM26" s="548"/>
      <c r="PN26" s="548"/>
      <c r="PO26" s="548"/>
      <c r="PP26" s="548"/>
      <c r="PQ26" s="548"/>
      <c r="PR26" s="548"/>
      <c r="PS26" s="548"/>
      <c r="PT26" s="548"/>
      <c r="PU26" s="548"/>
      <c r="PV26" s="548"/>
      <c r="PW26" s="548"/>
      <c r="PX26" s="548"/>
      <c r="PY26" s="548"/>
      <c r="PZ26" s="548"/>
      <c r="QA26" s="548"/>
      <c r="QB26" s="548"/>
      <c r="QC26" s="548"/>
      <c r="QD26" s="548"/>
      <c r="QE26" s="548"/>
      <c r="QF26" s="548"/>
      <c r="QG26" s="548"/>
      <c r="QH26" s="548"/>
      <c r="QI26" s="548"/>
      <c r="QJ26" s="548"/>
      <c r="QK26" s="548"/>
      <c r="QL26" s="548"/>
      <c r="QM26" s="548"/>
      <c r="QN26" s="548"/>
      <c r="QO26" s="548"/>
      <c r="QP26" s="548"/>
      <c r="QQ26" s="1009"/>
      <c r="QR26" s="548"/>
      <c r="QS26" s="548"/>
      <c r="QT26" s="548"/>
      <c r="QU26" s="548"/>
      <c r="QV26" s="548"/>
      <c r="QW26" s="548"/>
      <c r="QX26" s="548"/>
      <c r="QY26" s="548"/>
      <c r="QZ26" s="548"/>
      <c r="RA26" s="548"/>
      <c r="RB26" s="548"/>
      <c r="RC26" s="548"/>
      <c r="RD26" s="548"/>
      <c r="RE26" s="548"/>
      <c r="RF26" s="548"/>
      <c r="RG26" s="548"/>
      <c r="RH26" s="548"/>
      <c r="RI26" s="548"/>
      <c r="RJ26" s="548"/>
      <c r="RK26" s="548"/>
      <c r="RL26" s="548"/>
      <c r="RM26" s="548"/>
      <c r="RN26" s="548"/>
      <c r="RO26" s="548"/>
      <c r="RP26" s="548"/>
      <c r="RQ26" s="548"/>
      <c r="RR26" s="548"/>
      <c r="RS26" s="548"/>
      <c r="RT26" s="548"/>
      <c r="RU26" s="548"/>
      <c r="RV26" s="548"/>
      <c r="RW26" s="548"/>
      <c r="RX26" s="548"/>
      <c r="RY26" s="548"/>
      <c r="RZ26" s="548"/>
      <c r="SA26" s="548"/>
      <c r="SB26" s="548"/>
      <c r="SC26" s="548"/>
      <c r="SD26" s="548"/>
      <c r="SE26" s="548"/>
      <c r="SF26" s="548"/>
      <c r="SG26" s="548"/>
      <c r="SH26" s="548"/>
      <c r="SI26" s="548"/>
      <c r="SJ26" s="548"/>
      <c r="SK26" s="548"/>
      <c r="SL26" s="548"/>
      <c r="SM26" s="548"/>
      <c r="SN26" s="548"/>
      <c r="SO26" s="548"/>
      <c r="SP26" s="548"/>
      <c r="SQ26" s="548"/>
      <c r="SR26" s="548"/>
      <c r="SS26" s="548"/>
      <c r="ST26" s="548"/>
      <c r="SU26" s="548"/>
      <c r="SV26" s="548"/>
      <c r="SW26" s="548"/>
      <c r="SX26" s="548"/>
      <c r="SY26" s="548"/>
      <c r="SZ26" s="548"/>
      <c r="TA26" s="548"/>
      <c r="TB26" s="548"/>
      <c r="TC26" s="548"/>
      <c r="TD26" s="548"/>
      <c r="TE26" s="548"/>
      <c r="TF26" s="548"/>
      <c r="TG26" s="548"/>
      <c r="TH26" s="548"/>
      <c r="TI26" s="548"/>
      <c r="TJ26" s="548"/>
      <c r="TK26" s="548"/>
      <c r="TL26" s="548"/>
      <c r="TM26" s="548"/>
      <c r="TN26" s="548"/>
      <c r="TO26" s="548"/>
      <c r="TP26" s="548"/>
      <c r="TQ26" s="548"/>
      <c r="TR26" s="548"/>
      <c r="TS26" s="548"/>
      <c r="TT26" s="548"/>
      <c r="TU26" s="548"/>
      <c r="TV26" s="548"/>
      <c r="TW26" s="548"/>
      <c r="TX26" s="548"/>
      <c r="TY26" s="548"/>
      <c r="TZ26" s="548"/>
      <c r="UA26" s="548"/>
      <c r="UB26" s="548"/>
      <c r="UC26" s="548"/>
      <c r="UD26" s="548"/>
      <c r="UE26" s="548"/>
      <c r="UF26" s="548"/>
      <c r="UG26" s="548"/>
      <c r="UH26" s="548"/>
      <c r="UI26" s="548"/>
      <c r="UJ26" s="548"/>
      <c r="UK26" s="548"/>
      <c r="UL26" s="548"/>
      <c r="UM26" s="548"/>
      <c r="UN26" s="548"/>
      <c r="UO26" s="548"/>
      <c r="UP26" s="548"/>
      <c r="UQ26" s="548"/>
      <c r="UR26" s="548"/>
      <c r="US26" s="548"/>
      <c r="UT26" s="548"/>
      <c r="UU26" s="548"/>
      <c r="UV26" s="548"/>
      <c r="UW26" s="548"/>
      <c r="UX26" s="548"/>
      <c r="UY26" s="548"/>
      <c r="UZ26" s="548"/>
      <c r="VA26" s="548"/>
      <c r="VB26" s="548"/>
      <c r="VC26" s="548"/>
      <c r="VD26" s="548"/>
      <c r="VE26" s="548"/>
      <c r="VF26" s="548"/>
      <c r="VG26" s="548"/>
      <c r="VH26" s="548"/>
      <c r="VI26" s="548"/>
      <c r="VJ26" s="548"/>
      <c r="VK26" s="548"/>
      <c r="VL26" s="548"/>
      <c r="VM26" s="548"/>
      <c r="VN26" s="548"/>
      <c r="VO26" s="548"/>
      <c r="VP26" s="548"/>
      <c r="VQ26" s="548"/>
      <c r="VR26" s="548"/>
      <c r="VS26" s="548"/>
      <c r="VT26" s="548"/>
      <c r="VU26" s="548"/>
      <c r="VV26" s="548"/>
      <c r="VW26" s="548"/>
      <c r="VX26" s="548"/>
      <c r="VY26" s="548"/>
      <c r="VZ26" s="548"/>
      <c r="WA26" s="548"/>
      <c r="WB26" s="548"/>
      <c r="WC26" s="548"/>
      <c r="WD26" s="548"/>
      <c r="WE26" s="548"/>
      <c r="WF26" s="548"/>
      <c r="WG26" s="548"/>
      <c r="WH26" s="548"/>
      <c r="WI26" s="548"/>
      <c r="WJ26" s="548"/>
      <c r="WK26" s="548"/>
      <c r="WL26" s="548"/>
      <c r="WM26" s="548"/>
      <c r="WN26" s="548"/>
      <c r="WO26" s="548"/>
      <c r="WP26" s="548"/>
      <c r="WQ26" s="548"/>
      <c r="WR26" s="548"/>
      <c r="WS26" s="548"/>
      <c r="WT26" s="548"/>
      <c r="WU26" s="548"/>
      <c r="WV26" s="548"/>
      <c r="WW26" s="548"/>
      <c r="WX26" s="548"/>
      <c r="WY26" s="548"/>
      <c r="WZ26" s="548"/>
      <c r="XA26" s="548"/>
      <c r="XB26" s="548"/>
      <c r="XC26" s="548"/>
      <c r="XD26" s="548"/>
      <c r="XE26" s="548"/>
      <c r="XF26" s="548"/>
      <c r="XG26" s="548"/>
      <c r="XH26" s="548"/>
      <c r="XI26" s="548"/>
      <c r="XJ26" s="548"/>
      <c r="XK26" s="548"/>
      <c r="XL26" s="548"/>
      <c r="XM26" s="548"/>
      <c r="XN26" s="548"/>
      <c r="XO26" s="548"/>
      <c r="XP26" s="548"/>
      <c r="XQ26" s="548"/>
      <c r="XR26" s="548"/>
      <c r="XS26" s="548"/>
      <c r="XT26" s="548"/>
      <c r="XU26" s="548"/>
      <c r="XV26" s="548"/>
      <c r="XW26" s="548"/>
      <c r="XX26" s="548"/>
      <c r="XY26" s="548"/>
      <c r="XZ26" s="548"/>
      <c r="YA26" s="548"/>
      <c r="YB26" s="548"/>
      <c r="YC26" s="548"/>
      <c r="YD26" s="548"/>
      <c r="YE26" s="548"/>
      <c r="YF26" s="548"/>
      <c r="YG26" s="548"/>
      <c r="YH26" s="548"/>
      <c r="YI26" s="548"/>
      <c r="YJ26" s="548"/>
      <c r="YK26" s="548"/>
      <c r="YL26" s="548"/>
      <c r="YM26" s="548"/>
      <c r="YN26" s="548"/>
      <c r="YO26" s="548"/>
      <c r="YP26" s="548"/>
      <c r="YQ26" s="548"/>
      <c r="YR26" s="548"/>
      <c r="YS26" s="548"/>
      <c r="YT26" s="548"/>
      <c r="YU26" s="548"/>
      <c r="YV26" s="548"/>
      <c r="YW26" s="548"/>
      <c r="YX26" s="548"/>
      <c r="YY26" s="548"/>
      <c r="YZ26" s="548"/>
      <c r="ZA26" s="548"/>
      <c r="ZB26" s="548"/>
      <c r="ZC26" s="548"/>
      <c r="ZD26" s="548"/>
      <c r="ZE26" s="548"/>
      <c r="ZF26" s="548"/>
      <c r="ZG26" s="548"/>
      <c r="ZH26" s="548"/>
      <c r="ZI26" s="548"/>
      <c r="ZJ26" s="548"/>
      <c r="ZK26" s="548"/>
      <c r="ZL26" s="548"/>
      <c r="ZM26" s="548"/>
      <c r="ZN26" s="548"/>
      <c r="ZO26" s="548"/>
      <c r="ZP26" s="548"/>
      <c r="ZQ26" s="548"/>
      <c r="ZR26" s="548"/>
      <c r="ZS26" s="548"/>
      <c r="ZT26" s="548"/>
      <c r="ZU26" s="548"/>
      <c r="ZV26" s="548"/>
      <c r="ZW26" s="548"/>
      <c r="ZX26" s="548"/>
      <c r="ZY26" s="548"/>
      <c r="ZZ26" s="548"/>
      <c r="AAA26" s="548"/>
      <c r="AAB26" s="548"/>
      <c r="AAC26" s="548"/>
      <c r="AAD26" s="548"/>
      <c r="AAE26" s="548"/>
      <c r="AAF26" s="548"/>
      <c r="AAG26" s="548"/>
      <c r="AAH26" s="548"/>
      <c r="AAI26" s="548"/>
      <c r="AAJ26" s="548"/>
      <c r="AAK26" s="548"/>
      <c r="AAL26" s="548"/>
      <c r="AAM26" s="548"/>
      <c r="AAN26" s="548"/>
      <c r="AAO26" s="548"/>
      <c r="AAP26" s="548"/>
      <c r="AAQ26" s="548"/>
      <c r="AAR26" s="548"/>
      <c r="AAS26" s="548"/>
      <c r="AAT26" s="548"/>
      <c r="AAU26" s="548"/>
      <c r="AAV26" s="548"/>
      <c r="AAW26" s="548"/>
      <c r="AAX26" s="548"/>
      <c r="AAY26" s="548"/>
      <c r="AAZ26" s="548"/>
      <c r="ABA26" s="548"/>
      <c r="ABB26" s="548"/>
      <c r="ABC26" s="548"/>
      <c r="ABD26" s="548"/>
      <c r="ABE26" s="548"/>
      <c r="ABF26" s="548"/>
      <c r="ABG26" s="548"/>
      <c r="ABH26" s="548"/>
      <c r="ABI26" s="548"/>
      <c r="ABJ26" s="548"/>
      <c r="ABK26" s="548"/>
      <c r="ABL26" s="548"/>
      <c r="ABM26" s="548"/>
      <c r="ABN26" s="548"/>
      <c r="ABO26" s="548"/>
      <c r="ABP26" s="548"/>
      <c r="ABQ26" s="548"/>
      <c r="ABR26" s="548"/>
      <c r="ABS26" s="548"/>
    </row>
    <row r="27" spans="1:747" customFormat="1" ht="15" customHeight="1" x14ac:dyDescent="0.2">
      <c r="A27" s="424" t="str">
        <f t="shared" si="149"/>
        <v/>
      </c>
      <c r="B27" s="415"/>
      <c r="C27" s="525"/>
      <c r="D27" s="750"/>
      <c r="E27" s="416" t="str">
        <f t="shared" si="0"/>
        <v/>
      </c>
      <c r="F27" s="527" t="str">
        <f t="shared" si="1"/>
        <v/>
      </c>
      <c r="G27" s="417"/>
      <c r="H27" s="583" t="str">
        <f t="shared" si="2"/>
        <v/>
      </c>
      <c r="I27" s="424"/>
      <c r="J27" s="749"/>
      <c r="K27" s="418"/>
      <c r="L27" s="419"/>
      <c r="M27" s="415"/>
      <c r="N27" s="420"/>
      <c r="O27" s="653"/>
      <c r="P27" s="561"/>
      <c r="Q27" s="422"/>
      <c r="R27" s="561" t="str">
        <f t="shared" si="3"/>
        <v/>
      </c>
      <c r="S27" s="664"/>
      <c r="T27" s="663"/>
      <c r="U27" s="580">
        <f t="shared" si="4"/>
        <v>0</v>
      </c>
      <c r="V27" s="418"/>
      <c r="W27" s="582" t="str">
        <f t="shared" si="5"/>
        <v/>
      </c>
      <c r="X27" s="479" t="str">
        <f t="shared" si="6"/>
        <v/>
      </c>
      <c r="Y27" s="582" t="str">
        <f t="shared" si="7"/>
        <v/>
      </c>
      <c r="Z27" s="317" t="str">
        <f t="shared" si="8"/>
        <v/>
      </c>
      <c r="AA27" s="317" t="str">
        <f t="shared" si="9"/>
        <v/>
      </c>
      <c r="AB27" s="317">
        <f t="shared" si="10"/>
        <v>0</v>
      </c>
      <c r="AC27" s="317" t="str">
        <f t="shared" si="11"/>
        <v/>
      </c>
      <c r="AD27" s="317"/>
      <c r="AE27" s="479"/>
      <c r="AF27" s="479"/>
      <c r="AG27" s="423"/>
      <c r="AH27" s="820"/>
      <c r="AI27" s="480"/>
      <c r="AJ27" s="660"/>
      <c r="AK27" s="524" t="str">
        <f t="shared" si="12"/>
        <v/>
      </c>
      <c r="AL27" s="731">
        <f>SUMIF($J$4:$J$74,"Volta Aulas",$S$4:$S$74)</f>
        <v>0</v>
      </c>
      <c r="AM27" s="732">
        <f>SUMIF($J$4:$J$74,"Volta Aulas",$T$4:$T$74)</f>
        <v>0</v>
      </c>
      <c r="AN27" s="426">
        <f t="shared" si="13"/>
        <v>0</v>
      </c>
      <c r="AO27" s="427" t="str">
        <f t="shared" si="37"/>
        <v/>
      </c>
      <c r="AP27" s="426" t="str">
        <f t="shared" si="14"/>
        <v/>
      </c>
      <c r="AQ27" s="435"/>
      <c r="AR27" s="435"/>
      <c r="AS27" s="486"/>
      <c r="AT27" s="487"/>
      <c r="AU27" s="488"/>
      <c r="AV27" s="489"/>
      <c r="AW27" s="490"/>
      <c r="AX27" s="430"/>
      <c r="AY27" s="431">
        <f t="shared" si="15"/>
        <v>0</v>
      </c>
      <c r="AZ27" s="426"/>
      <c r="BA27" s="435" t="str">
        <f t="shared" si="16"/>
        <v/>
      </c>
      <c r="BB27" s="435"/>
      <c r="BC27" s="426"/>
      <c r="BD27" s="426">
        <f t="array" ref="BD27">IF(SUM((BC27=$BC$3:BC26)*1)=0,BC27,0)</f>
        <v>0</v>
      </c>
      <c r="BE27" s="426"/>
      <c r="BF27" s="426"/>
      <c r="BG27" s="426">
        <f t="array" ref="BG27">IF(SUM((BF27=$BF$3:BF26)*1)=0,BF27,0)</f>
        <v>0</v>
      </c>
      <c r="BH27" s="426"/>
      <c r="BI27" s="426"/>
      <c r="BJ27" s="426"/>
      <c r="BK27" s="426"/>
      <c r="BL27" s="426"/>
      <c r="BM27" s="426"/>
      <c r="BN27" s="426"/>
      <c r="BO27" s="426"/>
      <c r="BP27" s="433">
        <f t="shared" si="17"/>
        <v>0</v>
      </c>
      <c r="BQ27" s="426"/>
      <c r="BR27" s="434"/>
      <c r="BS27" s="426"/>
      <c r="BT27" s="433"/>
      <c r="BU27" s="435"/>
      <c r="BV27" s="435" t="str">
        <f t="shared" si="18"/>
        <v/>
      </c>
      <c r="BW27" s="435" t="str">
        <f t="shared" si="38"/>
        <v/>
      </c>
      <c r="BX27" s="435"/>
      <c r="BY27" s="435"/>
      <c r="BZ27" s="435"/>
      <c r="CA27" s="435"/>
      <c r="CB27" s="435"/>
      <c r="CC27" s="435"/>
      <c r="CD27" s="435"/>
      <c r="CE27" s="435"/>
      <c r="CF27" s="435"/>
      <c r="CG27" s="435"/>
      <c r="CH27" s="435"/>
      <c r="CI27" s="435"/>
      <c r="CJ27" s="426" t="str">
        <f t="shared" si="39"/>
        <v/>
      </c>
      <c r="CK27" s="435"/>
      <c r="CL27" s="426"/>
      <c r="CM27" s="435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>
        <v>24</v>
      </c>
      <c r="CZ27" s="426"/>
      <c r="DA27" s="426"/>
      <c r="DB27" s="426"/>
      <c r="DC27" s="426" t="s">
        <v>767</v>
      </c>
      <c r="DD27" s="426" t="s">
        <v>927</v>
      </c>
      <c r="DE27" s="435" t="str">
        <f t="shared" si="40"/>
        <v/>
      </c>
      <c r="DF27" s="435" t="str">
        <f t="shared" si="41"/>
        <v/>
      </c>
      <c r="DG27" s="435" t="str">
        <f t="shared" si="42"/>
        <v/>
      </c>
      <c r="DH27" s="435" t="str">
        <f t="shared" si="43"/>
        <v/>
      </c>
      <c r="DI27" s="435" t="str">
        <f t="shared" si="44"/>
        <v/>
      </c>
      <c r="DJ27" s="435" t="str">
        <f t="shared" si="45"/>
        <v/>
      </c>
      <c r="DK27" s="435" t="str">
        <f t="shared" si="19"/>
        <v/>
      </c>
      <c r="DL27" s="435" t="str">
        <f t="shared" si="20"/>
        <v/>
      </c>
      <c r="DM27" s="435" t="str">
        <f t="shared" si="46"/>
        <v/>
      </c>
      <c r="DN27" s="435" t="str">
        <f t="shared" si="47"/>
        <v/>
      </c>
      <c r="DO27" s="435" t="str">
        <f t="shared" si="21"/>
        <v/>
      </c>
      <c r="DP27" s="435" t="str">
        <f t="shared" si="22"/>
        <v/>
      </c>
      <c r="DQ27" s="435" t="str">
        <f t="shared" si="48"/>
        <v/>
      </c>
      <c r="DR27" s="435" t="str">
        <f t="shared" si="49"/>
        <v/>
      </c>
      <c r="DS27" s="435" t="str">
        <f t="shared" si="23"/>
        <v/>
      </c>
      <c r="DT27" s="435" t="str">
        <f t="shared" si="24"/>
        <v/>
      </c>
      <c r="DU27" s="435" t="str">
        <f t="shared" si="50"/>
        <v/>
      </c>
      <c r="DV27" s="435" t="str">
        <f t="shared" si="51"/>
        <v/>
      </c>
      <c r="DW27" s="435" t="str">
        <f t="shared" si="25"/>
        <v/>
      </c>
      <c r="DX27" s="435" t="str">
        <f t="shared" si="26"/>
        <v/>
      </c>
      <c r="DY27" s="435" t="str">
        <f t="shared" si="52"/>
        <v/>
      </c>
      <c r="DZ27" s="435" t="str">
        <f t="shared" si="53"/>
        <v/>
      </c>
      <c r="EA27" s="435" t="str">
        <f t="shared" si="27"/>
        <v/>
      </c>
      <c r="EB27" s="435" t="str">
        <f t="shared" si="28"/>
        <v/>
      </c>
      <c r="EC27" s="435" t="str">
        <f t="shared" si="29"/>
        <v/>
      </c>
      <c r="ED27" s="435" t="str">
        <f t="shared" si="30"/>
        <v/>
      </c>
      <c r="EE27" s="435" t="str">
        <f t="shared" si="31"/>
        <v/>
      </c>
      <c r="EF27" s="435" t="str">
        <f t="shared" si="32"/>
        <v/>
      </c>
      <c r="EG27" s="435" t="str">
        <f t="shared" si="33"/>
        <v/>
      </c>
      <c r="EH27" s="435" t="str">
        <f t="shared" si="34"/>
        <v/>
      </c>
      <c r="EI27" s="435" t="str">
        <f t="shared" si="35"/>
        <v/>
      </c>
      <c r="EJ27" s="435" t="str">
        <f t="shared" si="36"/>
        <v/>
      </c>
      <c r="EK27" s="485"/>
      <c r="EL27" s="485"/>
      <c r="EM27" s="485"/>
      <c r="EN27" s="485"/>
      <c r="EO27" s="448"/>
      <c r="EP27" s="448"/>
      <c r="EQ27" s="448"/>
      <c r="ER27" s="448"/>
      <c r="ES27" s="448"/>
      <c r="ET27" s="435"/>
      <c r="EU27" s="435"/>
      <c r="EV27" s="435"/>
      <c r="EW27" s="435"/>
      <c r="EX27" s="426"/>
      <c r="EY27" s="426"/>
      <c r="EZ27" s="426"/>
      <c r="FA27" s="427"/>
      <c r="FB27" s="427">
        <f t="array" ref="FB27">IF(SUM((FA27=$FA$3:FA26)*1)=0,FA27,0)</f>
        <v>0</v>
      </c>
      <c r="FC27" s="427"/>
      <c r="FD27" s="427"/>
      <c r="FE27" s="427">
        <f t="array" ref="FE27">IF(SUM((FD27=$FD$3:FD26)*1)=0,FD27,0)</f>
        <v>0</v>
      </c>
      <c r="FF27" s="427"/>
      <c r="FG27" s="427"/>
      <c r="FH27" s="427"/>
      <c r="FI27" s="427">
        <f t="array" ref="FI27">IF(SUM((FH27=$FH$3:FH26)*1)=0,FH27,0)</f>
        <v>0</v>
      </c>
      <c r="FJ27" s="427"/>
      <c r="FK27" s="427"/>
      <c r="FL27" s="427">
        <f t="array" ref="FL27">IF(SUM((FK27=$FK$3:FK26)*1)=0,FK27,0)</f>
        <v>0</v>
      </c>
      <c r="FM27" s="427"/>
      <c r="FN27" s="427"/>
      <c r="FO27" s="427"/>
      <c r="FP27" s="427">
        <f t="array" ref="FP27">IF(SUM((FO27=$FO$3:FO26)*1)=0,FO27,0)</f>
        <v>0</v>
      </c>
      <c r="FQ27" s="427"/>
      <c r="FR27" s="427"/>
      <c r="FS27" s="427">
        <f t="array" ref="FS27">IF(SUM((FR27=$FR$3:FR26)*1)=0,FR27,0)</f>
        <v>0</v>
      </c>
      <c r="FT27" s="427"/>
      <c r="FU27" s="427"/>
      <c r="FV27" s="427"/>
      <c r="FW27" s="427">
        <f t="array" ref="FW27">IF(SUM((FV27=$FV$3:FV26)*1)=0,FV27,0)</f>
        <v>0</v>
      </c>
      <c r="FX27" s="427"/>
      <c r="FY27" s="427"/>
      <c r="FZ27" s="427">
        <f t="array" ref="FZ27">IF(SUM((FY27=$FY$3:FY26)*1)=0,FY27,0)</f>
        <v>0</v>
      </c>
      <c r="GA27" s="427"/>
      <c r="GB27" s="427"/>
      <c r="GC27" s="427"/>
      <c r="GD27" s="427">
        <f t="array" ref="GD27">IF(SUM((GC27=$GC$3:GC26)*1)=0,GC27,0)</f>
        <v>0</v>
      </c>
      <c r="GE27" s="427"/>
      <c r="GF27" s="427"/>
      <c r="GG27" s="427">
        <f t="array" ref="GG27">IF(SUM((GF27=$GF$3:GF26)*1)=0,GF27,0)</f>
        <v>0</v>
      </c>
      <c r="GH27" s="427"/>
      <c r="GI27" s="427"/>
      <c r="GJ27" s="427"/>
      <c r="GK27" s="798">
        <f t="array" ref="GK27">IF(SUM((GJ27=$GJ$3:GJ26)*1)=0,GJ27,0)</f>
        <v>0</v>
      </c>
      <c r="GL27" s="427"/>
      <c r="GM27" s="427"/>
      <c r="GN27" s="798">
        <f t="array" ref="GN27">IF(SUM((GM27=$GM$3:GM26)*1)=0,GM27,0)</f>
        <v>0</v>
      </c>
      <c r="GO27" s="427"/>
      <c r="GP27" s="427"/>
      <c r="GQ27" s="427"/>
      <c r="GR27" s="798">
        <f t="array" ref="GR27">IF(SUM((GQ27=$GQ$3:GQ26)*1)=0,GQ27,0)</f>
        <v>0</v>
      </c>
      <c r="GS27" s="427"/>
      <c r="GT27" s="427"/>
      <c r="GU27" s="798">
        <f t="array" ref="GU27">IF(SUM((GT27=$GT$3:GT26)*1)=0,GT27,0)</f>
        <v>0</v>
      </c>
      <c r="GV27" s="427"/>
      <c r="GW27" s="427"/>
      <c r="GX27" s="427"/>
      <c r="GY27" s="798">
        <f t="array" ref="GY27">IF(SUM((GX27=$GX$3:GX26)*1)=0,GX27,0)</f>
        <v>0</v>
      </c>
      <c r="GZ27" s="427"/>
      <c r="HA27" s="427"/>
      <c r="HB27" s="798">
        <f t="array" ref="HB27">IF(SUM((HA27=$HA$3:HA26)*1)=0,HA27,0)</f>
        <v>0</v>
      </c>
      <c r="HC27" s="427"/>
      <c r="HD27" s="427"/>
      <c r="HE27" s="769" t="str">
        <f t="shared" si="130"/>
        <v/>
      </c>
      <c r="HF27" s="768" t="str">
        <f t="shared" ref="HF27" si="312">IF(HE27&lt;0,"Invadiu REP-BA-C","")</f>
        <v/>
      </c>
      <c r="HG27" s="769" t="str">
        <f t="shared" si="131"/>
        <v/>
      </c>
      <c r="HH27" s="768" t="str">
        <f t="shared" si="55"/>
        <v/>
      </c>
      <c r="HI27" s="728" t="str">
        <f t="shared" si="132"/>
        <v/>
      </c>
      <c r="HJ27" s="768" t="str">
        <f t="shared" si="56"/>
        <v/>
      </c>
      <c r="HK27" s="728" t="str">
        <f t="shared" si="133"/>
        <v/>
      </c>
      <c r="HL27" s="768" t="str">
        <f t="shared" si="57"/>
        <v/>
      </c>
      <c r="HM27" s="769" t="str">
        <f t="shared" si="58"/>
        <v/>
      </c>
      <c r="HN27" s="768" t="str">
        <f t="shared" ref="HN27" si="313">IF(HM27&lt;0,"Invadiu REP-BA-C","")</f>
        <v/>
      </c>
      <c r="HO27" s="769" t="str">
        <f t="shared" si="60"/>
        <v/>
      </c>
      <c r="HP27" s="768" t="str">
        <f t="shared" si="61"/>
        <v/>
      </c>
      <c r="HQ27" s="728" t="str">
        <f t="shared" si="62"/>
        <v/>
      </c>
      <c r="HR27" s="768" t="str">
        <f t="shared" si="63"/>
        <v/>
      </c>
      <c r="HS27" s="728" t="str">
        <f t="shared" si="64"/>
        <v/>
      </c>
      <c r="HT27" s="768" t="str">
        <f t="shared" si="65"/>
        <v/>
      </c>
      <c r="HU27" s="769" t="str">
        <f t="shared" si="66"/>
        <v/>
      </c>
      <c r="HV27" s="768" t="str">
        <f t="shared" ref="HV27" si="314">IF(HU27&lt;0,"Invadiu REP-BA-C","")</f>
        <v/>
      </c>
      <c r="HW27" s="769" t="str">
        <f t="shared" si="68"/>
        <v/>
      </c>
      <c r="HX27" s="768" t="str">
        <f t="shared" si="69"/>
        <v/>
      </c>
      <c r="HY27" s="728" t="str">
        <f t="shared" si="70"/>
        <v/>
      </c>
      <c r="HZ27" s="768" t="str">
        <f t="shared" si="71"/>
        <v/>
      </c>
      <c r="IA27" s="728" t="str">
        <f t="shared" si="72"/>
        <v/>
      </c>
      <c r="IB27" s="768" t="str">
        <f t="shared" si="73"/>
        <v/>
      </c>
      <c r="IC27" s="769" t="str">
        <f t="shared" si="74"/>
        <v/>
      </c>
      <c r="ID27" s="768" t="str">
        <f t="shared" ref="ID27" si="315">IF(IC27&lt;0,"Invadiu REP-BA-C","")</f>
        <v/>
      </c>
      <c r="IE27" s="769" t="str">
        <f t="shared" si="76"/>
        <v/>
      </c>
      <c r="IF27" s="768" t="str">
        <f t="shared" si="77"/>
        <v/>
      </c>
      <c r="IG27" s="728" t="str">
        <f t="shared" si="78"/>
        <v/>
      </c>
      <c r="IH27" s="768" t="str">
        <f t="shared" si="79"/>
        <v/>
      </c>
      <c r="II27" s="728" t="str">
        <f t="shared" si="80"/>
        <v/>
      </c>
      <c r="IJ27" s="768" t="str">
        <f t="shared" si="81"/>
        <v/>
      </c>
      <c r="IK27" s="769" t="str">
        <f t="shared" si="82"/>
        <v/>
      </c>
      <c r="IL27" s="768" t="str">
        <f t="shared" ref="IL27" si="316">IF(IK27&lt;0,"Invadiu REP-BA-C","")</f>
        <v/>
      </c>
      <c r="IM27" s="769" t="str">
        <f t="shared" si="84"/>
        <v/>
      </c>
      <c r="IN27" s="768" t="str">
        <f t="shared" si="85"/>
        <v/>
      </c>
      <c r="IO27" s="728" t="str">
        <f t="shared" si="86"/>
        <v/>
      </c>
      <c r="IP27" s="768" t="str">
        <f t="shared" si="87"/>
        <v/>
      </c>
      <c r="IQ27" s="728" t="str">
        <f t="shared" si="88"/>
        <v/>
      </c>
      <c r="IR27" s="768" t="str">
        <f t="shared" si="89"/>
        <v/>
      </c>
      <c r="IS27" s="769" t="str">
        <f t="shared" si="90"/>
        <v/>
      </c>
      <c r="IT27" s="768" t="str">
        <f t="shared" ref="IT27" si="317">IF(IS27&lt;0,"Invadiu REP-BA-C","")</f>
        <v/>
      </c>
      <c r="IU27" s="769" t="str">
        <f t="shared" si="92"/>
        <v/>
      </c>
      <c r="IV27" s="768" t="str">
        <f t="shared" si="93"/>
        <v/>
      </c>
      <c r="IW27" s="728" t="str">
        <f t="shared" si="94"/>
        <v/>
      </c>
      <c r="IX27" s="768" t="str">
        <f t="shared" si="95"/>
        <v/>
      </c>
      <c r="IY27" s="728" t="str">
        <f t="shared" si="96"/>
        <v/>
      </c>
      <c r="IZ27" s="768" t="str">
        <f t="shared" si="97"/>
        <v/>
      </c>
      <c r="JA27" s="769" t="str">
        <f t="shared" si="98"/>
        <v/>
      </c>
      <c r="JB27" s="768" t="str">
        <f t="shared" ref="JB27" si="318">IF(JA27&lt;0,"Invadiu REP-BA-C","")</f>
        <v/>
      </c>
      <c r="JC27" s="769" t="str">
        <f t="shared" si="100"/>
        <v/>
      </c>
      <c r="JD27" s="768" t="str">
        <f t="shared" si="101"/>
        <v/>
      </c>
      <c r="JE27" s="728" t="str">
        <f t="shared" si="102"/>
        <v/>
      </c>
      <c r="JF27" s="768" t="str">
        <f t="shared" si="103"/>
        <v/>
      </c>
      <c r="JG27" s="728" t="str">
        <f t="shared" si="104"/>
        <v/>
      </c>
      <c r="JH27" s="768" t="str">
        <f t="shared" si="105"/>
        <v/>
      </c>
      <c r="JI27" s="769" t="str">
        <f t="shared" si="106"/>
        <v/>
      </c>
      <c r="JJ27" s="768" t="str">
        <f t="shared" ref="JJ27" si="319">IF(JI27&lt;0,"Invadiu REP-BA-C","")</f>
        <v/>
      </c>
      <c r="JK27" s="769" t="str">
        <f t="shared" si="108"/>
        <v/>
      </c>
      <c r="JL27" s="768" t="str">
        <f t="shared" si="109"/>
        <v/>
      </c>
      <c r="JM27" s="728" t="str">
        <f t="shared" si="110"/>
        <v/>
      </c>
      <c r="JN27" s="768" t="str">
        <f t="shared" si="111"/>
        <v/>
      </c>
      <c r="JO27" s="728" t="str">
        <f t="shared" si="112"/>
        <v/>
      </c>
      <c r="JP27" s="768" t="str">
        <f t="shared" si="113"/>
        <v/>
      </c>
      <c r="JQ27" s="769" t="str">
        <f t="shared" si="114"/>
        <v/>
      </c>
      <c r="JR27" s="768" t="str">
        <f t="shared" ref="JR27" si="320">IF(JQ27&lt;0,"Invadiu REP-BA-C","")</f>
        <v/>
      </c>
      <c r="JS27" s="769" t="str">
        <f t="shared" si="116"/>
        <v/>
      </c>
      <c r="JT27" s="768" t="str">
        <f t="shared" si="117"/>
        <v/>
      </c>
      <c r="JU27" s="728" t="str">
        <f t="shared" si="118"/>
        <v/>
      </c>
      <c r="JV27" s="768" t="str">
        <f t="shared" si="119"/>
        <v/>
      </c>
      <c r="JW27" s="728" t="str">
        <f t="shared" si="120"/>
        <v/>
      </c>
      <c r="JX27" s="768" t="str">
        <f t="shared" si="121"/>
        <v/>
      </c>
      <c r="JY27" s="768" t="str">
        <f t="shared" si="122"/>
        <v/>
      </c>
      <c r="JZ27" s="485" t="str">
        <f>IF(JY27="","",IF(AND(C27=$C$164,JY27&lt;&gt;""),Verificarcpf(D27),IF(AND(C27=$C$165,JY27&lt;&gt;""),VerificarCNPJ(D27))))</f>
        <v/>
      </c>
      <c r="KA27" s="768" t="str">
        <f t="shared" si="123"/>
        <v/>
      </c>
      <c r="KB27" s="485">
        <f t="shared" si="124"/>
        <v>0</v>
      </c>
      <c r="KC27" s="768">
        <f t="shared" si="125"/>
        <v>0</v>
      </c>
      <c r="KD27" s="485">
        <f t="shared" si="126"/>
        <v>0</v>
      </c>
      <c r="KE27" s="448"/>
      <c r="KF27" s="548">
        <f t="shared" si="127"/>
        <v>0</v>
      </c>
      <c r="KG27" s="548" t="s">
        <v>571</v>
      </c>
      <c r="KH27" s="548"/>
      <c r="KI27" s="548"/>
      <c r="KJ27" s="548" t="str">
        <f t="shared" si="128"/>
        <v/>
      </c>
      <c r="KK27" s="548"/>
      <c r="KL27" s="548"/>
      <c r="KM27" s="548">
        <f t="array" ref="KM27">IF(SUM((KL27=$KL$3:KL26)*1)=0,KL27,0)</f>
        <v>0</v>
      </c>
      <c r="KN27" s="548"/>
      <c r="KO27" s="548"/>
      <c r="KP27" s="548"/>
      <c r="KQ27" s="548"/>
      <c r="KR27" s="548" t="str">
        <f t="shared" si="129"/>
        <v/>
      </c>
      <c r="KS27" s="548"/>
      <c r="KT27" s="548"/>
      <c r="KU27" s="548"/>
      <c r="KV27" s="548"/>
      <c r="KW27" s="548"/>
      <c r="KX27" s="548"/>
      <c r="KY27" s="548"/>
      <c r="KZ27" s="548"/>
      <c r="LA27" s="548"/>
      <c r="LB27" s="548"/>
      <c r="LC27" s="485" t="str">
        <f t="shared" si="142"/>
        <v/>
      </c>
      <c r="LD27" s="548"/>
      <c r="LE27" s="548"/>
      <c r="LF27" s="548"/>
      <c r="LG27" s="548"/>
      <c r="LH27" s="548"/>
      <c r="LI27" s="548"/>
      <c r="LJ27" s="548"/>
      <c r="LK27" s="548"/>
      <c r="LL27" s="548"/>
      <c r="LM27" s="548"/>
      <c r="LN27" s="548"/>
      <c r="LO27" s="548"/>
      <c r="LP27" s="485" t="str">
        <f t="shared" si="143"/>
        <v/>
      </c>
      <c r="LQ27" s="548"/>
      <c r="LR27" s="548"/>
      <c r="LS27" s="548"/>
      <c r="LT27" s="548"/>
      <c r="LU27" s="548"/>
      <c r="LV27" s="548"/>
      <c r="LW27" s="548"/>
      <c r="LX27" s="548"/>
      <c r="LY27" s="548"/>
      <c r="LZ27" s="548"/>
      <c r="MA27" s="548"/>
      <c r="MB27" s="548"/>
      <c r="MC27" s="485" t="str">
        <f t="shared" si="144"/>
        <v/>
      </c>
      <c r="MD27" s="548"/>
      <c r="ME27" s="548"/>
      <c r="MF27" s="548"/>
      <c r="MG27" s="548"/>
      <c r="MH27" s="548"/>
      <c r="MI27" s="548"/>
      <c r="MJ27" s="548"/>
      <c r="MK27" s="548"/>
      <c r="ML27" s="548"/>
      <c r="MM27" s="548"/>
      <c r="MN27" s="548"/>
      <c r="MO27" s="548"/>
      <c r="MP27" s="485" t="str">
        <f t="shared" si="145"/>
        <v/>
      </c>
      <c r="MQ27" s="548"/>
      <c r="MR27" s="548"/>
      <c r="MS27" s="548"/>
      <c r="MT27" s="548"/>
      <c r="MU27" s="548"/>
      <c r="MV27" s="548"/>
      <c r="MW27" s="548"/>
      <c r="MX27" s="548"/>
      <c r="MY27" s="548"/>
      <c r="MZ27" s="548"/>
      <c r="NA27" s="548"/>
      <c r="NB27" s="548"/>
      <c r="NC27" s="485" t="str">
        <f t="shared" si="146"/>
        <v/>
      </c>
      <c r="ND27" s="548"/>
      <c r="NE27" s="548"/>
      <c r="NF27" s="548"/>
      <c r="NG27" s="548"/>
      <c r="NH27" s="548"/>
      <c r="NI27" s="548"/>
      <c r="NJ27" s="548"/>
      <c r="NK27" s="548"/>
      <c r="NL27" s="548"/>
      <c r="NM27" s="548"/>
      <c r="NN27" s="548"/>
      <c r="NO27" s="548"/>
      <c r="NP27" s="485" t="str">
        <f t="shared" si="147"/>
        <v/>
      </c>
      <c r="NQ27" s="548"/>
      <c r="NR27" s="548"/>
      <c r="NS27" s="548"/>
      <c r="NT27" s="548"/>
      <c r="NU27" s="548"/>
      <c r="NV27" s="548"/>
      <c r="NW27" s="548"/>
      <c r="NX27" s="548"/>
      <c r="NY27" s="548"/>
      <c r="NZ27" s="548"/>
      <c r="OA27" s="548"/>
      <c r="OB27" s="548"/>
      <c r="OC27" s="485" t="str">
        <f t="shared" si="148"/>
        <v/>
      </c>
      <c r="OD27" s="548"/>
      <c r="OE27" s="548"/>
      <c r="OF27" s="548"/>
      <c r="OG27" s="548"/>
      <c r="OH27" s="548"/>
      <c r="OI27" s="548"/>
      <c r="OJ27" s="548"/>
      <c r="OK27" s="548"/>
      <c r="OL27" s="548"/>
      <c r="OM27" s="548"/>
      <c r="ON27" s="548"/>
      <c r="OO27" s="548"/>
      <c r="OP27" s="548"/>
      <c r="OQ27" s="548"/>
      <c r="OR27" s="548"/>
      <c r="OS27" s="548"/>
      <c r="OT27" s="548"/>
      <c r="OU27" s="548"/>
      <c r="OV27" s="548"/>
      <c r="OW27" s="548"/>
      <c r="OX27" s="548"/>
      <c r="OY27" s="548"/>
      <c r="OZ27" s="548"/>
      <c r="PA27" s="548"/>
      <c r="PB27" s="548"/>
      <c r="PC27" s="548"/>
      <c r="PD27" s="548"/>
      <c r="PE27" s="548"/>
      <c r="PF27" s="548"/>
      <c r="PG27" s="548"/>
      <c r="PH27" s="548"/>
      <c r="PI27" s="548"/>
      <c r="PJ27" s="548"/>
      <c r="PK27" s="548"/>
      <c r="PL27" s="548"/>
      <c r="PM27" s="548"/>
      <c r="PN27" s="548"/>
      <c r="PO27" s="548"/>
      <c r="PP27" s="548"/>
      <c r="PQ27" s="548"/>
      <c r="PR27" s="548"/>
      <c r="PS27" s="548"/>
      <c r="PT27" s="548"/>
      <c r="PU27" s="548"/>
      <c r="PV27" s="548"/>
      <c r="PW27" s="548"/>
      <c r="PX27" s="548"/>
      <c r="PY27" s="548"/>
      <c r="PZ27" s="548"/>
      <c r="QA27" s="548"/>
      <c r="QB27" s="548"/>
      <c r="QC27" s="548"/>
      <c r="QD27" s="548"/>
      <c r="QE27" s="548"/>
      <c r="QF27" s="548"/>
      <c r="QG27" s="548"/>
      <c r="QH27" s="548"/>
      <c r="QI27" s="548"/>
      <c r="QJ27" s="548"/>
      <c r="QK27" s="548"/>
      <c r="QL27" s="548"/>
      <c r="QM27" s="548"/>
      <c r="QN27" s="548"/>
      <c r="QO27" s="548"/>
      <c r="QP27" s="548"/>
      <c r="QQ27" s="1009"/>
      <c r="QR27" s="548"/>
      <c r="QS27" s="548"/>
      <c r="QT27" s="548"/>
      <c r="QU27" s="548"/>
      <c r="QV27" s="548"/>
      <c r="QW27" s="548"/>
      <c r="QX27" s="548"/>
      <c r="QY27" s="548"/>
      <c r="QZ27" s="548"/>
      <c r="RA27" s="548"/>
      <c r="RB27" s="548"/>
      <c r="RC27" s="548"/>
      <c r="RD27" s="548"/>
      <c r="RE27" s="548"/>
      <c r="RF27" s="548"/>
      <c r="RG27" s="548"/>
      <c r="RH27" s="548"/>
      <c r="RI27" s="548"/>
      <c r="RJ27" s="548"/>
      <c r="RK27" s="548"/>
      <c r="RL27" s="548"/>
      <c r="RM27" s="548"/>
      <c r="RN27" s="548"/>
      <c r="RO27" s="548"/>
      <c r="RP27" s="548"/>
      <c r="RQ27" s="548"/>
      <c r="RR27" s="548"/>
      <c r="RS27" s="548"/>
      <c r="RT27" s="548"/>
      <c r="RU27" s="548"/>
      <c r="RV27" s="548"/>
      <c r="RW27" s="548"/>
      <c r="RX27" s="548"/>
      <c r="RY27" s="548"/>
      <c r="RZ27" s="548"/>
      <c r="SA27" s="548"/>
      <c r="SB27" s="548"/>
      <c r="SC27" s="548"/>
      <c r="SD27" s="548"/>
      <c r="SE27" s="548"/>
      <c r="SF27" s="548"/>
      <c r="SG27" s="548"/>
      <c r="SH27" s="548"/>
      <c r="SI27" s="548"/>
      <c r="SJ27" s="548"/>
      <c r="SK27" s="548"/>
      <c r="SL27" s="548"/>
      <c r="SM27" s="548"/>
      <c r="SN27" s="548"/>
      <c r="SO27" s="548"/>
      <c r="SP27" s="548"/>
      <c r="SQ27" s="548"/>
      <c r="SR27" s="548"/>
      <c r="SS27" s="548"/>
      <c r="ST27" s="548"/>
      <c r="SU27" s="548"/>
      <c r="SV27" s="548"/>
      <c r="SW27" s="548"/>
      <c r="SX27" s="548"/>
      <c r="SY27" s="548"/>
      <c r="SZ27" s="548"/>
      <c r="TA27" s="548"/>
      <c r="TB27" s="548"/>
      <c r="TC27" s="548"/>
      <c r="TD27" s="548"/>
      <c r="TE27" s="548"/>
      <c r="TF27" s="548"/>
      <c r="TG27" s="548"/>
      <c r="TH27" s="548"/>
      <c r="TI27" s="548"/>
      <c r="TJ27" s="548"/>
      <c r="TK27" s="548"/>
      <c r="TL27" s="548"/>
      <c r="TM27" s="548"/>
      <c r="TN27" s="548"/>
      <c r="TO27" s="548"/>
      <c r="TP27" s="548"/>
      <c r="TQ27" s="548"/>
      <c r="TR27" s="548"/>
      <c r="TS27" s="548"/>
      <c r="TT27" s="548"/>
      <c r="TU27" s="548"/>
      <c r="TV27" s="548"/>
      <c r="TW27" s="548"/>
      <c r="TX27" s="548"/>
      <c r="TY27" s="548"/>
      <c r="TZ27" s="548"/>
      <c r="UA27" s="548"/>
      <c r="UB27" s="548"/>
      <c r="UC27" s="548"/>
      <c r="UD27" s="548"/>
      <c r="UE27" s="548"/>
      <c r="UF27" s="548"/>
      <c r="UG27" s="548"/>
      <c r="UH27" s="548"/>
      <c r="UI27" s="548"/>
      <c r="UJ27" s="548"/>
      <c r="UK27" s="548"/>
      <c r="UL27" s="548"/>
      <c r="UM27" s="548"/>
      <c r="UN27" s="548"/>
      <c r="UO27" s="548"/>
      <c r="UP27" s="548"/>
      <c r="UQ27" s="548"/>
      <c r="UR27" s="548"/>
      <c r="US27" s="548"/>
      <c r="UT27" s="548"/>
      <c r="UU27" s="548"/>
      <c r="UV27" s="548"/>
      <c r="UW27" s="548"/>
      <c r="UX27" s="548"/>
      <c r="UY27" s="548"/>
      <c r="UZ27" s="548"/>
      <c r="VA27" s="548"/>
      <c r="VB27" s="548"/>
      <c r="VC27" s="548"/>
      <c r="VD27" s="548"/>
      <c r="VE27" s="548"/>
      <c r="VF27" s="548"/>
      <c r="VG27" s="548"/>
      <c r="VH27" s="548"/>
      <c r="VI27" s="548"/>
      <c r="VJ27" s="548"/>
      <c r="VK27" s="548"/>
      <c r="VL27" s="548"/>
      <c r="VM27" s="548"/>
      <c r="VN27" s="548"/>
      <c r="VO27" s="548"/>
      <c r="VP27" s="548"/>
      <c r="VQ27" s="548"/>
      <c r="VR27" s="548"/>
      <c r="VS27" s="548"/>
      <c r="VT27" s="548"/>
      <c r="VU27" s="548"/>
      <c r="VV27" s="548"/>
      <c r="VW27" s="548"/>
      <c r="VX27" s="548"/>
      <c r="VY27" s="548"/>
      <c r="VZ27" s="548"/>
      <c r="WA27" s="548"/>
      <c r="WB27" s="548"/>
      <c r="WC27" s="548"/>
      <c r="WD27" s="548"/>
      <c r="WE27" s="548"/>
      <c r="WF27" s="548"/>
      <c r="WG27" s="548"/>
      <c r="WH27" s="548"/>
      <c r="WI27" s="548"/>
      <c r="WJ27" s="548"/>
      <c r="WK27" s="548"/>
      <c r="WL27" s="548"/>
      <c r="WM27" s="548"/>
      <c r="WN27" s="548"/>
      <c r="WO27" s="548"/>
      <c r="WP27" s="548"/>
      <c r="WQ27" s="548"/>
      <c r="WR27" s="548"/>
      <c r="WS27" s="548"/>
      <c r="WT27" s="548"/>
      <c r="WU27" s="548"/>
      <c r="WV27" s="548"/>
      <c r="WW27" s="548"/>
      <c r="WX27" s="548"/>
      <c r="WY27" s="548"/>
      <c r="WZ27" s="548"/>
      <c r="XA27" s="548"/>
      <c r="XB27" s="548"/>
      <c r="XC27" s="548"/>
      <c r="XD27" s="548"/>
      <c r="XE27" s="548"/>
      <c r="XF27" s="548"/>
      <c r="XG27" s="548"/>
      <c r="XH27" s="548"/>
      <c r="XI27" s="548"/>
      <c r="XJ27" s="548"/>
      <c r="XK27" s="548"/>
      <c r="XL27" s="548"/>
      <c r="XM27" s="548"/>
      <c r="XN27" s="548"/>
      <c r="XO27" s="548"/>
      <c r="XP27" s="548"/>
      <c r="XQ27" s="548"/>
      <c r="XR27" s="548"/>
      <c r="XS27" s="548"/>
      <c r="XT27" s="548"/>
      <c r="XU27" s="548"/>
      <c r="XV27" s="548"/>
      <c r="XW27" s="548"/>
      <c r="XX27" s="548"/>
      <c r="XY27" s="548"/>
      <c r="XZ27" s="548"/>
      <c r="YA27" s="548"/>
      <c r="YB27" s="548"/>
      <c r="YC27" s="548"/>
      <c r="YD27" s="548"/>
      <c r="YE27" s="548"/>
      <c r="YF27" s="548"/>
      <c r="YG27" s="548"/>
      <c r="YH27" s="548"/>
      <c r="YI27" s="548"/>
      <c r="YJ27" s="548"/>
      <c r="YK27" s="548"/>
      <c r="YL27" s="548"/>
      <c r="YM27" s="548"/>
      <c r="YN27" s="548"/>
      <c r="YO27" s="548"/>
      <c r="YP27" s="548"/>
      <c r="YQ27" s="548"/>
      <c r="YR27" s="548"/>
      <c r="YS27" s="548"/>
      <c r="YT27" s="548"/>
      <c r="YU27" s="548"/>
      <c r="YV27" s="548"/>
      <c r="YW27" s="548"/>
      <c r="YX27" s="548"/>
      <c r="YY27" s="548"/>
      <c r="YZ27" s="548"/>
      <c r="ZA27" s="548"/>
      <c r="ZB27" s="548"/>
      <c r="ZC27" s="548"/>
      <c r="ZD27" s="548"/>
      <c r="ZE27" s="548"/>
      <c r="ZF27" s="548"/>
      <c r="ZG27" s="548"/>
      <c r="ZH27" s="548"/>
      <c r="ZI27" s="548"/>
      <c r="ZJ27" s="548"/>
      <c r="ZK27" s="548"/>
      <c r="ZL27" s="548"/>
      <c r="ZM27" s="548"/>
      <c r="ZN27" s="548"/>
      <c r="ZO27" s="548"/>
      <c r="ZP27" s="548"/>
      <c r="ZQ27" s="548"/>
      <c r="ZR27" s="548"/>
      <c r="ZS27" s="548"/>
      <c r="ZT27" s="548"/>
      <c r="ZU27" s="548"/>
      <c r="ZV27" s="548"/>
      <c r="ZW27" s="548"/>
      <c r="ZX27" s="548"/>
      <c r="ZY27" s="548"/>
      <c r="ZZ27" s="548"/>
      <c r="AAA27" s="548"/>
      <c r="AAB27" s="548"/>
      <c r="AAC27" s="548"/>
      <c r="AAD27" s="548"/>
      <c r="AAE27" s="548"/>
      <c r="AAF27" s="548"/>
      <c r="AAG27" s="548"/>
      <c r="AAH27" s="548"/>
      <c r="AAI27" s="548"/>
      <c r="AAJ27" s="548"/>
      <c r="AAK27" s="548"/>
      <c r="AAL27" s="548"/>
      <c r="AAM27" s="548"/>
      <c r="AAN27" s="548"/>
      <c r="AAO27" s="548"/>
      <c r="AAP27" s="548"/>
      <c r="AAQ27" s="548"/>
      <c r="AAR27" s="548"/>
      <c r="AAS27" s="548"/>
      <c r="AAT27" s="548"/>
      <c r="AAU27" s="548"/>
      <c r="AAV27" s="548"/>
      <c r="AAW27" s="548"/>
      <c r="AAX27" s="548"/>
      <c r="AAY27" s="548"/>
      <c r="AAZ27" s="548"/>
      <c r="ABA27" s="548"/>
      <c r="ABB27" s="548"/>
      <c r="ABC27" s="548"/>
      <c r="ABD27" s="548"/>
      <c r="ABE27" s="548"/>
      <c r="ABF27" s="548"/>
      <c r="ABG27" s="548"/>
      <c r="ABH27" s="548"/>
      <c r="ABI27" s="548"/>
      <c r="ABJ27" s="548"/>
      <c r="ABK27" s="548"/>
      <c r="ABL27" s="548"/>
      <c r="ABM27" s="548"/>
      <c r="ABN27" s="548"/>
      <c r="ABO27" s="548"/>
      <c r="ABP27" s="548"/>
      <c r="ABQ27" s="548"/>
      <c r="ABR27" s="548"/>
      <c r="ABS27" s="548"/>
    </row>
    <row r="28" spans="1:747" customFormat="1" ht="15" customHeight="1" x14ac:dyDescent="0.2">
      <c r="A28" s="424" t="str">
        <f t="shared" si="149"/>
        <v/>
      </c>
      <c r="B28" s="415"/>
      <c r="C28" s="525"/>
      <c r="D28" s="750"/>
      <c r="E28" s="416" t="str">
        <f t="shared" si="0"/>
        <v/>
      </c>
      <c r="F28" s="527" t="str">
        <f t="shared" si="1"/>
        <v/>
      </c>
      <c r="G28" s="417"/>
      <c r="H28" s="583" t="str">
        <f t="shared" si="2"/>
        <v/>
      </c>
      <c r="I28" s="424"/>
      <c r="J28" s="749"/>
      <c r="K28" s="418"/>
      <c r="L28" s="419"/>
      <c r="M28" s="415"/>
      <c r="N28" s="420"/>
      <c r="O28" s="653"/>
      <c r="P28" s="561"/>
      <c r="Q28" s="422"/>
      <c r="R28" s="561" t="str">
        <f t="shared" si="3"/>
        <v/>
      </c>
      <c r="S28" s="664"/>
      <c r="T28" s="663"/>
      <c r="U28" s="580">
        <f t="shared" si="4"/>
        <v>0</v>
      </c>
      <c r="V28" s="418"/>
      <c r="W28" s="582" t="str">
        <f t="shared" si="5"/>
        <v/>
      </c>
      <c r="X28" s="479" t="str">
        <f t="shared" si="6"/>
        <v/>
      </c>
      <c r="Y28" s="582" t="str">
        <f t="shared" si="7"/>
        <v/>
      </c>
      <c r="Z28" s="317" t="str">
        <f t="shared" si="8"/>
        <v/>
      </c>
      <c r="AA28" s="317" t="str">
        <f t="shared" si="9"/>
        <v/>
      </c>
      <c r="AB28" s="317">
        <f t="shared" si="10"/>
        <v>0</v>
      </c>
      <c r="AC28" s="317" t="str">
        <f t="shared" si="11"/>
        <v/>
      </c>
      <c r="AD28" s="317"/>
      <c r="AE28" s="479"/>
      <c r="AF28" s="479"/>
      <c r="AG28" s="423"/>
      <c r="AH28" s="820"/>
      <c r="AI28" s="480"/>
      <c r="AJ28" s="660"/>
      <c r="AK28" s="524" t="str">
        <f t="shared" si="12"/>
        <v/>
      </c>
      <c r="AL28" s="731">
        <f>SUMIF($J$4:$J$88,"Volta Aulas",$S$4:$S$88)</f>
        <v>0</v>
      </c>
      <c r="AM28" s="732">
        <f>SUMIF($J$4:$J$88,"Volta Aulas",$T$4:$T$88)</f>
        <v>0</v>
      </c>
      <c r="AN28" s="426">
        <f t="shared" si="13"/>
        <v>0</v>
      </c>
      <c r="AO28" s="427" t="str">
        <f t="shared" si="37"/>
        <v/>
      </c>
      <c r="AP28" s="426" t="str">
        <f t="shared" si="14"/>
        <v/>
      </c>
      <c r="AQ28" s="435"/>
      <c r="AR28" s="435"/>
      <c r="AS28" s="486"/>
      <c r="AT28" s="487"/>
      <c r="AU28" s="488"/>
      <c r="AV28" s="489"/>
      <c r="AW28" s="490"/>
      <c r="AX28" s="501"/>
      <c r="AY28" s="431">
        <f t="shared" si="15"/>
        <v>0</v>
      </c>
      <c r="AZ28" s="426"/>
      <c r="BA28" s="435" t="str">
        <f t="shared" si="16"/>
        <v/>
      </c>
      <c r="BB28" s="435"/>
      <c r="BC28" s="426"/>
      <c r="BD28" s="426">
        <f t="array" ref="BD28">IF(SUM((BC28=$BC$3:BC27)*1)=0,BC28,0)</f>
        <v>0</v>
      </c>
      <c r="BE28" s="426"/>
      <c r="BF28" s="426"/>
      <c r="BG28" s="426">
        <f t="array" ref="BG28">IF(SUM((BF28=$BF$3:BF27)*1)=0,BF28,0)</f>
        <v>0</v>
      </c>
      <c r="BH28" s="426"/>
      <c r="BI28" s="426"/>
      <c r="BJ28" s="426"/>
      <c r="BK28" s="426"/>
      <c r="BL28" s="426"/>
      <c r="BM28" s="426"/>
      <c r="BN28" s="426"/>
      <c r="BO28" s="426"/>
      <c r="BP28" s="433">
        <f t="shared" si="17"/>
        <v>0</v>
      </c>
      <c r="BQ28" s="426"/>
      <c r="BR28" s="434"/>
      <c r="BS28" s="426"/>
      <c r="BT28" s="433"/>
      <c r="BU28" s="435"/>
      <c r="BV28" s="435" t="str">
        <f t="shared" si="18"/>
        <v/>
      </c>
      <c r="BW28" s="435" t="str">
        <f t="shared" si="38"/>
        <v/>
      </c>
      <c r="BX28" s="435"/>
      <c r="BY28" s="435"/>
      <c r="BZ28" s="435"/>
      <c r="CA28" s="435"/>
      <c r="CB28" s="435"/>
      <c r="CC28" s="435"/>
      <c r="CD28" s="435"/>
      <c r="CE28" s="435"/>
      <c r="CF28" s="435"/>
      <c r="CG28" s="435"/>
      <c r="CH28" s="435"/>
      <c r="CI28" s="435"/>
      <c r="CJ28" s="426" t="str">
        <f t="shared" si="39"/>
        <v/>
      </c>
      <c r="CK28" s="435"/>
      <c r="CL28" s="426"/>
      <c r="CM28" s="435"/>
      <c r="CN28" s="426"/>
      <c r="CO28" s="426"/>
      <c r="CP28" s="426"/>
      <c r="CQ28" s="426"/>
      <c r="CR28" s="426"/>
      <c r="CS28" s="426"/>
      <c r="CT28" s="426"/>
      <c r="CU28" s="426"/>
      <c r="CV28" s="426"/>
      <c r="CW28" s="552"/>
      <c r="CX28" s="552"/>
      <c r="CY28" s="426">
        <v>25</v>
      </c>
      <c r="CZ28" s="552"/>
      <c r="DA28" s="552"/>
      <c r="DB28" s="426"/>
      <c r="DC28" s="426" t="s">
        <v>768</v>
      </c>
      <c r="DD28" s="426" t="s">
        <v>928</v>
      </c>
      <c r="DE28" s="435" t="str">
        <f t="shared" si="40"/>
        <v/>
      </c>
      <c r="DF28" s="435" t="str">
        <f t="shared" si="41"/>
        <v/>
      </c>
      <c r="DG28" s="435" t="str">
        <f t="shared" si="42"/>
        <v/>
      </c>
      <c r="DH28" s="435" t="str">
        <f t="shared" si="43"/>
        <v/>
      </c>
      <c r="DI28" s="435" t="str">
        <f t="shared" si="44"/>
        <v/>
      </c>
      <c r="DJ28" s="435" t="str">
        <f t="shared" si="45"/>
        <v/>
      </c>
      <c r="DK28" s="435" t="str">
        <f t="shared" si="19"/>
        <v/>
      </c>
      <c r="DL28" s="435" t="str">
        <f t="shared" si="20"/>
        <v/>
      </c>
      <c r="DM28" s="435" t="str">
        <f t="shared" si="46"/>
        <v/>
      </c>
      <c r="DN28" s="435" t="str">
        <f t="shared" si="47"/>
        <v/>
      </c>
      <c r="DO28" s="435" t="str">
        <f t="shared" si="21"/>
        <v/>
      </c>
      <c r="DP28" s="435" t="str">
        <f t="shared" si="22"/>
        <v/>
      </c>
      <c r="DQ28" s="435" t="str">
        <f t="shared" si="48"/>
        <v/>
      </c>
      <c r="DR28" s="435" t="str">
        <f t="shared" si="49"/>
        <v/>
      </c>
      <c r="DS28" s="435" t="str">
        <f t="shared" si="23"/>
        <v/>
      </c>
      <c r="DT28" s="435" t="str">
        <f t="shared" si="24"/>
        <v/>
      </c>
      <c r="DU28" s="435" t="str">
        <f t="shared" si="50"/>
        <v/>
      </c>
      <c r="DV28" s="435" t="str">
        <f t="shared" si="51"/>
        <v/>
      </c>
      <c r="DW28" s="435" t="str">
        <f t="shared" si="25"/>
        <v/>
      </c>
      <c r="DX28" s="435" t="str">
        <f t="shared" si="26"/>
        <v/>
      </c>
      <c r="DY28" s="435" t="str">
        <f t="shared" si="52"/>
        <v/>
      </c>
      <c r="DZ28" s="435" t="str">
        <f t="shared" si="53"/>
        <v/>
      </c>
      <c r="EA28" s="435" t="str">
        <f t="shared" si="27"/>
        <v/>
      </c>
      <c r="EB28" s="435" t="str">
        <f t="shared" si="28"/>
        <v/>
      </c>
      <c r="EC28" s="435" t="str">
        <f t="shared" si="29"/>
        <v/>
      </c>
      <c r="ED28" s="435" t="str">
        <f t="shared" si="30"/>
        <v/>
      </c>
      <c r="EE28" s="435" t="str">
        <f t="shared" si="31"/>
        <v/>
      </c>
      <c r="EF28" s="435" t="str">
        <f t="shared" si="32"/>
        <v/>
      </c>
      <c r="EG28" s="435" t="str">
        <f t="shared" si="33"/>
        <v/>
      </c>
      <c r="EH28" s="435" t="str">
        <f t="shared" si="34"/>
        <v/>
      </c>
      <c r="EI28" s="435" t="str">
        <f t="shared" si="35"/>
        <v/>
      </c>
      <c r="EJ28" s="435" t="str">
        <f t="shared" si="36"/>
        <v/>
      </c>
      <c r="EK28" s="485"/>
      <c r="EL28" s="485"/>
      <c r="EM28" s="485"/>
      <c r="EN28" s="485"/>
      <c r="EO28" s="448"/>
      <c r="EP28" s="448"/>
      <c r="EQ28" s="448"/>
      <c r="ER28" s="448"/>
      <c r="ES28" s="448"/>
      <c r="ET28" s="435"/>
      <c r="EU28" s="435"/>
      <c r="EV28" s="435"/>
      <c r="EW28" s="435"/>
      <c r="EX28" s="426"/>
      <c r="EY28" s="426"/>
      <c r="EZ28" s="426"/>
      <c r="FA28" s="427"/>
      <c r="FB28" s="427">
        <f t="array" ref="FB28">IF(SUM((FA28=$FA$3:FA27)*1)=0,FA28,0)</f>
        <v>0</v>
      </c>
      <c r="FC28" s="427"/>
      <c r="FD28" s="427"/>
      <c r="FE28" s="427">
        <f t="array" ref="FE28">IF(SUM((FD28=$FD$3:FD27)*1)=0,FD28,0)</f>
        <v>0</v>
      </c>
      <c r="FF28" s="427"/>
      <c r="FG28" s="427"/>
      <c r="FH28" s="427"/>
      <c r="FI28" s="427">
        <f t="array" ref="FI28">IF(SUM((FH28=$FH$3:FH27)*1)=0,FH28,0)</f>
        <v>0</v>
      </c>
      <c r="FJ28" s="427"/>
      <c r="FK28" s="427"/>
      <c r="FL28" s="427">
        <f t="array" ref="FL28">IF(SUM((FK28=$FK$3:FK27)*1)=0,FK28,0)</f>
        <v>0</v>
      </c>
      <c r="FM28" s="427"/>
      <c r="FN28" s="427"/>
      <c r="FO28" s="427"/>
      <c r="FP28" s="427">
        <f t="array" ref="FP28">IF(SUM((FO28=$FO$3:FO27)*1)=0,FO28,0)</f>
        <v>0</v>
      </c>
      <c r="FQ28" s="427"/>
      <c r="FR28" s="427"/>
      <c r="FS28" s="427">
        <f t="array" ref="FS28">IF(SUM((FR28=$FR$3:FR27)*1)=0,FR28,0)</f>
        <v>0</v>
      </c>
      <c r="FT28" s="427"/>
      <c r="FU28" s="427"/>
      <c r="FV28" s="427"/>
      <c r="FW28" s="427">
        <f t="array" ref="FW28">IF(SUM((FV28=$FV$3:FV27)*1)=0,FV28,0)</f>
        <v>0</v>
      </c>
      <c r="FX28" s="427"/>
      <c r="FY28" s="427"/>
      <c r="FZ28" s="427">
        <f t="array" ref="FZ28">IF(SUM((FY28=$FY$3:FY27)*1)=0,FY28,0)</f>
        <v>0</v>
      </c>
      <c r="GA28" s="427"/>
      <c r="GB28" s="427"/>
      <c r="GC28" s="427"/>
      <c r="GD28" s="427">
        <f t="array" ref="GD28">IF(SUM((GC28=$GC$3:GC27)*1)=0,GC28,0)</f>
        <v>0</v>
      </c>
      <c r="GE28" s="427"/>
      <c r="GF28" s="427"/>
      <c r="GG28" s="427">
        <f t="array" ref="GG28">IF(SUM((GF28=$GF$3:GF27)*1)=0,GF28,0)</f>
        <v>0</v>
      </c>
      <c r="GH28" s="427"/>
      <c r="GI28" s="427"/>
      <c r="GJ28" s="427"/>
      <c r="GK28" s="798">
        <f t="array" ref="GK28">IF(SUM((GJ28=$GJ$3:GJ27)*1)=0,GJ28,0)</f>
        <v>0</v>
      </c>
      <c r="GL28" s="427"/>
      <c r="GM28" s="427"/>
      <c r="GN28" s="798">
        <f t="array" ref="GN28">IF(SUM((GM28=$GM$3:GM27)*1)=0,GM28,0)</f>
        <v>0</v>
      </c>
      <c r="GO28" s="427"/>
      <c r="GP28" s="427"/>
      <c r="GQ28" s="427"/>
      <c r="GR28" s="798">
        <f t="array" ref="GR28">IF(SUM((GQ28=$GQ$3:GQ27)*1)=0,GQ28,0)</f>
        <v>0</v>
      </c>
      <c r="GS28" s="427"/>
      <c r="GT28" s="427"/>
      <c r="GU28" s="798">
        <f t="array" ref="GU28">IF(SUM((GT28=$GT$3:GT27)*1)=0,GT28,0)</f>
        <v>0</v>
      </c>
      <c r="GV28" s="427"/>
      <c r="GW28" s="427"/>
      <c r="GX28" s="427"/>
      <c r="GY28" s="798">
        <f t="array" ref="GY28">IF(SUM((GX28=$GX$3:GX27)*1)=0,GX28,0)</f>
        <v>0</v>
      </c>
      <c r="GZ28" s="427"/>
      <c r="HA28" s="427"/>
      <c r="HB28" s="798">
        <f t="array" ref="HB28">IF(SUM((HA28=$HA$3:HA27)*1)=0,HA28,0)</f>
        <v>0</v>
      </c>
      <c r="HC28" s="427"/>
      <c r="HD28" s="427"/>
      <c r="HE28" s="769" t="str">
        <f t="shared" si="130"/>
        <v/>
      </c>
      <c r="HF28" s="768" t="str">
        <f t="shared" ref="HF28" si="321">IF(HE28&lt;0,"Invadiu REP-BA-C","")</f>
        <v/>
      </c>
      <c r="HG28" s="769" t="str">
        <f t="shared" si="131"/>
        <v/>
      </c>
      <c r="HH28" s="768" t="str">
        <f t="shared" si="55"/>
        <v/>
      </c>
      <c r="HI28" s="728" t="str">
        <f t="shared" si="132"/>
        <v/>
      </c>
      <c r="HJ28" s="768" t="str">
        <f t="shared" si="56"/>
        <v/>
      </c>
      <c r="HK28" s="728" t="str">
        <f t="shared" si="133"/>
        <v/>
      </c>
      <c r="HL28" s="768" t="str">
        <f t="shared" si="57"/>
        <v/>
      </c>
      <c r="HM28" s="769" t="str">
        <f t="shared" si="58"/>
        <v/>
      </c>
      <c r="HN28" s="768" t="str">
        <f t="shared" ref="HN28" si="322">IF(HM28&lt;0,"Invadiu REP-BA-C","")</f>
        <v/>
      </c>
      <c r="HO28" s="769" t="str">
        <f t="shared" si="60"/>
        <v/>
      </c>
      <c r="HP28" s="768" t="str">
        <f t="shared" si="61"/>
        <v/>
      </c>
      <c r="HQ28" s="728" t="str">
        <f t="shared" si="62"/>
        <v/>
      </c>
      <c r="HR28" s="768" t="str">
        <f t="shared" si="63"/>
        <v/>
      </c>
      <c r="HS28" s="728" t="str">
        <f t="shared" si="64"/>
        <v/>
      </c>
      <c r="HT28" s="768" t="str">
        <f t="shared" si="65"/>
        <v/>
      </c>
      <c r="HU28" s="769" t="str">
        <f t="shared" si="66"/>
        <v/>
      </c>
      <c r="HV28" s="768" t="str">
        <f t="shared" ref="HV28" si="323">IF(HU28&lt;0,"Invadiu REP-BA-C","")</f>
        <v/>
      </c>
      <c r="HW28" s="769" t="str">
        <f t="shared" si="68"/>
        <v/>
      </c>
      <c r="HX28" s="768" t="str">
        <f t="shared" si="69"/>
        <v/>
      </c>
      <c r="HY28" s="728" t="str">
        <f t="shared" si="70"/>
        <v/>
      </c>
      <c r="HZ28" s="768" t="str">
        <f t="shared" si="71"/>
        <v/>
      </c>
      <c r="IA28" s="728" t="str">
        <f t="shared" si="72"/>
        <v/>
      </c>
      <c r="IB28" s="768" t="str">
        <f t="shared" si="73"/>
        <v/>
      </c>
      <c r="IC28" s="769" t="str">
        <f t="shared" si="74"/>
        <v/>
      </c>
      <c r="ID28" s="768" t="str">
        <f t="shared" ref="ID28" si="324">IF(IC28&lt;0,"Invadiu REP-BA-C","")</f>
        <v/>
      </c>
      <c r="IE28" s="769" t="str">
        <f t="shared" si="76"/>
        <v/>
      </c>
      <c r="IF28" s="768" t="str">
        <f t="shared" si="77"/>
        <v/>
      </c>
      <c r="IG28" s="728" t="str">
        <f t="shared" si="78"/>
        <v/>
      </c>
      <c r="IH28" s="768" t="str">
        <f t="shared" si="79"/>
        <v/>
      </c>
      <c r="II28" s="728" t="str">
        <f t="shared" si="80"/>
        <v/>
      </c>
      <c r="IJ28" s="768" t="str">
        <f t="shared" si="81"/>
        <v/>
      </c>
      <c r="IK28" s="769" t="str">
        <f t="shared" si="82"/>
        <v/>
      </c>
      <c r="IL28" s="768" t="str">
        <f t="shared" ref="IL28" si="325">IF(IK28&lt;0,"Invadiu REP-BA-C","")</f>
        <v/>
      </c>
      <c r="IM28" s="769" t="str">
        <f t="shared" si="84"/>
        <v/>
      </c>
      <c r="IN28" s="768" t="str">
        <f t="shared" si="85"/>
        <v/>
      </c>
      <c r="IO28" s="728" t="str">
        <f t="shared" si="86"/>
        <v/>
      </c>
      <c r="IP28" s="768" t="str">
        <f t="shared" si="87"/>
        <v/>
      </c>
      <c r="IQ28" s="728" t="str">
        <f t="shared" si="88"/>
        <v/>
      </c>
      <c r="IR28" s="768" t="str">
        <f t="shared" si="89"/>
        <v/>
      </c>
      <c r="IS28" s="769" t="str">
        <f t="shared" si="90"/>
        <v/>
      </c>
      <c r="IT28" s="768" t="str">
        <f t="shared" ref="IT28" si="326">IF(IS28&lt;0,"Invadiu REP-BA-C","")</f>
        <v/>
      </c>
      <c r="IU28" s="769" t="str">
        <f t="shared" si="92"/>
        <v/>
      </c>
      <c r="IV28" s="768" t="str">
        <f t="shared" si="93"/>
        <v/>
      </c>
      <c r="IW28" s="728" t="str">
        <f t="shared" si="94"/>
        <v/>
      </c>
      <c r="IX28" s="768" t="str">
        <f t="shared" si="95"/>
        <v/>
      </c>
      <c r="IY28" s="728" t="str">
        <f t="shared" si="96"/>
        <v/>
      </c>
      <c r="IZ28" s="768" t="str">
        <f t="shared" si="97"/>
        <v/>
      </c>
      <c r="JA28" s="769" t="str">
        <f t="shared" si="98"/>
        <v/>
      </c>
      <c r="JB28" s="768" t="str">
        <f t="shared" ref="JB28" si="327">IF(JA28&lt;0,"Invadiu REP-BA-C","")</f>
        <v/>
      </c>
      <c r="JC28" s="769" t="str">
        <f t="shared" si="100"/>
        <v/>
      </c>
      <c r="JD28" s="768" t="str">
        <f t="shared" si="101"/>
        <v/>
      </c>
      <c r="JE28" s="728" t="str">
        <f t="shared" si="102"/>
        <v/>
      </c>
      <c r="JF28" s="768" t="str">
        <f t="shared" si="103"/>
        <v/>
      </c>
      <c r="JG28" s="728" t="str">
        <f t="shared" si="104"/>
        <v/>
      </c>
      <c r="JH28" s="768" t="str">
        <f t="shared" si="105"/>
        <v/>
      </c>
      <c r="JI28" s="769" t="str">
        <f t="shared" si="106"/>
        <v/>
      </c>
      <c r="JJ28" s="768" t="str">
        <f t="shared" ref="JJ28" si="328">IF(JI28&lt;0,"Invadiu REP-BA-C","")</f>
        <v/>
      </c>
      <c r="JK28" s="769" t="str">
        <f t="shared" si="108"/>
        <v/>
      </c>
      <c r="JL28" s="768" t="str">
        <f t="shared" si="109"/>
        <v/>
      </c>
      <c r="JM28" s="728" t="str">
        <f t="shared" si="110"/>
        <v/>
      </c>
      <c r="JN28" s="768" t="str">
        <f t="shared" si="111"/>
        <v/>
      </c>
      <c r="JO28" s="728" t="str">
        <f t="shared" si="112"/>
        <v/>
      </c>
      <c r="JP28" s="768" t="str">
        <f t="shared" si="113"/>
        <v/>
      </c>
      <c r="JQ28" s="769" t="str">
        <f t="shared" si="114"/>
        <v/>
      </c>
      <c r="JR28" s="768" t="str">
        <f t="shared" ref="JR28" si="329">IF(JQ28&lt;0,"Invadiu REP-BA-C","")</f>
        <v/>
      </c>
      <c r="JS28" s="769" t="str">
        <f t="shared" si="116"/>
        <v/>
      </c>
      <c r="JT28" s="768" t="str">
        <f t="shared" si="117"/>
        <v/>
      </c>
      <c r="JU28" s="728" t="str">
        <f t="shared" si="118"/>
        <v/>
      </c>
      <c r="JV28" s="768" t="str">
        <f t="shared" si="119"/>
        <v/>
      </c>
      <c r="JW28" s="728" t="str">
        <f t="shared" si="120"/>
        <v/>
      </c>
      <c r="JX28" s="768" t="str">
        <f t="shared" si="121"/>
        <v/>
      </c>
      <c r="JY28" s="768" t="str">
        <f t="shared" si="122"/>
        <v/>
      </c>
      <c r="JZ28" s="485" t="str">
        <f>IF(JY28="","",IF(AND(C28=$C$164,JY28&lt;&gt;""),Verificarcpf(D28),IF(AND(C28=$C$165,JY28&lt;&gt;""),VerificarCNPJ(D28))))</f>
        <v/>
      </c>
      <c r="KA28" s="768" t="str">
        <f t="shared" si="123"/>
        <v/>
      </c>
      <c r="KB28" s="485">
        <f t="shared" si="124"/>
        <v>0</v>
      </c>
      <c r="KC28" s="768">
        <f t="shared" si="125"/>
        <v>0</v>
      </c>
      <c r="KD28" s="485">
        <f t="shared" si="126"/>
        <v>0</v>
      </c>
      <c r="KE28" s="448"/>
      <c r="KF28" s="548">
        <f t="shared" si="127"/>
        <v>0</v>
      </c>
      <c r="KG28" s="548" t="s">
        <v>12312</v>
      </c>
      <c r="KH28" s="548"/>
      <c r="KI28" s="548"/>
      <c r="KJ28" s="548" t="str">
        <f t="shared" si="128"/>
        <v/>
      </c>
      <c r="KK28" s="548"/>
      <c r="KL28" s="548"/>
      <c r="KM28" s="548">
        <f t="array" ref="KM28">IF(SUM((KL28=$KL$3:KL27)*1)=0,KL28,0)</f>
        <v>0</v>
      </c>
      <c r="KN28" s="548"/>
      <c r="KO28" s="548"/>
      <c r="KP28" s="548"/>
      <c r="KQ28" s="548"/>
      <c r="KR28" s="548" t="str">
        <f t="shared" si="129"/>
        <v/>
      </c>
      <c r="KS28" s="548"/>
      <c r="KT28" s="548"/>
      <c r="KU28" s="548"/>
      <c r="KV28" s="548"/>
      <c r="KW28" s="548"/>
      <c r="KX28" s="548"/>
      <c r="KY28" s="548"/>
      <c r="KZ28" s="548"/>
      <c r="LA28" s="548"/>
      <c r="LB28" s="548"/>
      <c r="LC28" s="485" t="str">
        <f t="shared" si="142"/>
        <v/>
      </c>
      <c r="LD28" s="548"/>
      <c r="LE28" s="548"/>
      <c r="LF28" s="548"/>
      <c r="LG28" s="548"/>
      <c r="LH28" s="548"/>
      <c r="LI28" s="548"/>
      <c r="LJ28" s="548"/>
      <c r="LK28" s="548"/>
      <c r="LL28" s="548"/>
      <c r="LM28" s="548"/>
      <c r="LN28" s="548"/>
      <c r="LO28" s="548"/>
      <c r="LP28" s="485" t="str">
        <f t="shared" si="143"/>
        <v/>
      </c>
      <c r="LQ28" s="548"/>
      <c r="LR28" s="548"/>
      <c r="LS28" s="548"/>
      <c r="LT28" s="548"/>
      <c r="LU28" s="548"/>
      <c r="LV28" s="548"/>
      <c r="LW28" s="548"/>
      <c r="LX28" s="548"/>
      <c r="LY28" s="548"/>
      <c r="LZ28" s="548"/>
      <c r="MA28" s="548"/>
      <c r="MB28" s="548"/>
      <c r="MC28" s="485" t="str">
        <f t="shared" si="144"/>
        <v/>
      </c>
      <c r="MD28" s="548"/>
      <c r="ME28" s="548"/>
      <c r="MF28" s="548"/>
      <c r="MG28" s="548"/>
      <c r="MH28" s="548"/>
      <c r="MI28" s="548"/>
      <c r="MJ28" s="548"/>
      <c r="MK28" s="548"/>
      <c r="ML28" s="548"/>
      <c r="MM28" s="548"/>
      <c r="MN28" s="548"/>
      <c r="MO28" s="548"/>
      <c r="MP28" s="485" t="str">
        <f t="shared" si="145"/>
        <v/>
      </c>
      <c r="MQ28" s="548"/>
      <c r="MR28" s="548"/>
      <c r="MS28" s="548"/>
      <c r="MT28" s="548"/>
      <c r="MU28" s="548"/>
      <c r="MV28" s="548"/>
      <c r="MW28" s="548"/>
      <c r="MX28" s="548"/>
      <c r="MY28" s="548"/>
      <c r="MZ28" s="548"/>
      <c r="NA28" s="548"/>
      <c r="NB28" s="548"/>
      <c r="NC28" s="485" t="str">
        <f t="shared" si="146"/>
        <v/>
      </c>
      <c r="ND28" s="548"/>
      <c r="NE28" s="548"/>
      <c r="NF28" s="548"/>
      <c r="NG28" s="548"/>
      <c r="NH28" s="548"/>
      <c r="NI28" s="548"/>
      <c r="NJ28" s="548"/>
      <c r="NK28" s="548"/>
      <c r="NL28" s="548"/>
      <c r="NM28" s="548"/>
      <c r="NN28" s="548"/>
      <c r="NO28" s="548"/>
      <c r="NP28" s="485" t="str">
        <f t="shared" si="147"/>
        <v/>
      </c>
      <c r="NQ28" s="548"/>
      <c r="NR28" s="548"/>
      <c r="NS28" s="548"/>
      <c r="NT28" s="548"/>
      <c r="NU28" s="548"/>
      <c r="NV28" s="548"/>
      <c r="NW28" s="548"/>
      <c r="NX28" s="548"/>
      <c r="NY28" s="548"/>
      <c r="NZ28" s="548"/>
      <c r="OA28" s="548"/>
      <c r="OB28" s="548"/>
      <c r="OC28" s="485" t="str">
        <f t="shared" si="148"/>
        <v/>
      </c>
      <c r="OD28" s="548"/>
      <c r="OE28" s="548"/>
      <c r="OF28" s="548"/>
      <c r="OG28" s="548"/>
      <c r="OH28" s="548"/>
      <c r="OI28" s="548"/>
      <c r="OJ28" s="548"/>
      <c r="OK28" s="548"/>
      <c r="OL28" s="548"/>
      <c r="OM28" s="548"/>
      <c r="ON28" s="548"/>
      <c r="OO28" s="548"/>
      <c r="OP28" s="548"/>
      <c r="OQ28" s="548"/>
      <c r="OR28" s="548"/>
      <c r="OS28" s="548"/>
      <c r="OT28" s="548"/>
      <c r="OU28" s="548"/>
      <c r="OV28" s="548"/>
      <c r="OW28" s="548"/>
      <c r="OX28" s="548"/>
      <c r="OY28" s="548"/>
      <c r="OZ28" s="548"/>
      <c r="PA28" s="548"/>
      <c r="PB28" s="548"/>
      <c r="PC28" s="548"/>
      <c r="PD28" s="548"/>
      <c r="PE28" s="548"/>
      <c r="PF28" s="548"/>
      <c r="PG28" s="548"/>
      <c r="PH28" s="548"/>
      <c r="PI28" s="548"/>
      <c r="PJ28" s="548"/>
      <c r="PK28" s="548"/>
      <c r="PL28" s="548"/>
      <c r="PM28" s="548"/>
      <c r="PN28" s="548"/>
      <c r="PO28" s="548"/>
      <c r="PP28" s="548"/>
      <c r="PQ28" s="548"/>
      <c r="PR28" s="548"/>
      <c r="PS28" s="548"/>
      <c r="PT28" s="548"/>
      <c r="PU28" s="548"/>
      <c r="PV28" s="548"/>
      <c r="PW28" s="548"/>
      <c r="PX28" s="548"/>
      <c r="PY28" s="548"/>
      <c r="PZ28" s="548"/>
      <c r="QA28" s="548"/>
      <c r="QB28" s="548"/>
      <c r="QC28" s="548"/>
      <c r="QD28" s="548"/>
      <c r="QE28" s="548"/>
      <c r="QF28" s="548"/>
      <c r="QG28" s="548"/>
      <c r="QH28" s="548"/>
      <c r="QI28" s="548"/>
      <c r="QJ28" s="548"/>
      <c r="QK28" s="548"/>
      <c r="QL28" s="548"/>
      <c r="QM28" s="548"/>
      <c r="QN28" s="548"/>
      <c r="QO28" s="548"/>
      <c r="QP28" s="548"/>
      <c r="QQ28" s="1009"/>
      <c r="QR28" s="548"/>
      <c r="QS28" s="548"/>
      <c r="QT28" s="548"/>
      <c r="QU28" s="548"/>
      <c r="QV28" s="548"/>
      <c r="QW28" s="548"/>
      <c r="QX28" s="548"/>
      <c r="QY28" s="548"/>
      <c r="QZ28" s="548"/>
      <c r="RA28" s="548"/>
      <c r="RB28" s="548"/>
      <c r="RC28" s="548"/>
      <c r="RD28" s="548"/>
      <c r="RE28" s="548"/>
      <c r="RF28" s="548"/>
      <c r="RG28" s="548"/>
      <c r="RH28" s="548"/>
      <c r="RI28" s="548"/>
      <c r="RJ28" s="548"/>
      <c r="RK28" s="548"/>
      <c r="RL28" s="548"/>
      <c r="RM28" s="548"/>
      <c r="RN28" s="548"/>
      <c r="RO28" s="548"/>
      <c r="RP28" s="548"/>
      <c r="RQ28" s="548"/>
      <c r="RR28" s="548"/>
      <c r="RS28" s="548"/>
      <c r="RT28" s="548"/>
      <c r="RU28" s="548"/>
      <c r="RV28" s="548"/>
      <c r="RW28" s="548"/>
      <c r="RX28" s="548"/>
      <c r="RY28" s="548"/>
      <c r="RZ28" s="548"/>
      <c r="SA28" s="548"/>
      <c r="SB28" s="548"/>
      <c r="SC28" s="548"/>
      <c r="SD28" s="548"/>
      <c r="SE28" s="548"/>
      <c r="SF28" s="548"/>
      <c r="SG28" s="548"/>
      <c r="SH28" s="548"/>
      <c r="SI28" s="548"/>
      <c r="SJ28" s="548"/>
      <c r="SK28" s="548"/>
      <c r="SL28" s="548"/>
      <c r="SM28" s="548"/>
      <c r="SN28" s="548"/>
      <c r="SO28" s="548"/>
      <c r="SP28" s="548"/>
      <c r="SQ28" s="548"/>
      <c r="SR28" s="548"/>
      <c r="SS28" s="548"/>
      <c r="ST28" s="548"/>
      <c r="SU28" s="548"/>
      <c r="SV28" s="548"/>
      <c r="SW28" s="548"/>
      <c r="SX28" s="548"/>
      <c r="SY28" s="548"/>
      <c r="SZ28" s="548"/>
      <c r="TA28" s="548"/>
      <c r="TB28" s="548"/>
      <c r="TC28" s="548"/>
      <c r="TD28" s="548"/>
      <c r="TE28" s="548"/>
      <c r="TF28" s="548"/>
      <c r="TG28" s="548"/>
      <c r="TH28" s="548"/>
      <c r="TI28" s="548"/>
      <c r="TJ28" s="548"/>
      <c r="TK28" s="548"/>
      <c r="TL28" s="548"/>
      <c r="TM28" s="548"/>
      <c r="TN28" s="548"/>
      <c r="TO28" s="548"/>
      <c r="TP28" s="548"/>
      <c r="TQ28" s="548"/>
      <c r="TR28" s="548"/>
      <c r="TS28" s="548"/>
      <c r="TT28" s="548"/>
      <c r="TU28" s="548"/>
      <c r="TV28" s="548"/>
      <c r="TW28" s="548"/>
      <c r="TX28" s="548"/>
      <c r="TY28" s="548"/>
      <c r="TZ28" s="548"/>
      <c r="UA28" s="548"/>
      <c r="UB28" s="548"/>
      <c r="UC28" s="548"/>
      <c r="UD28" s="548"/>
      <c r="UE28" s="548"/>
      <c r="UF28" s="548"/>
      <c r="UG28" s="548"/>
      <c r="UH28" s="548"/>
      <c r="UI28" s="548"/>
      <c r="UJ28" s="548"/>
      <c r="UK28" s="548"/>
      <c r="UL28" s="548"/>
      <c r="UM28" s="548"/>
      <c r="UN28" s="548"/>
      <c r="UO28" s="548"/>
      <c r="UP28" s="548"/>
      <c r="UQ28" s="548"/>
      <c r="UR28" s="548"/>
      <c r="US28" s="548"/>
      <c r="UT28" s="548"/>
      <c r="UU28" s="548"/>
      <c r="UV28" s="548"/>
      <c r="UW28" s="548"/>
      <c r="UX28" s="548"/>
      <c r="UY28" s="548"/>
      <c r="UZ28" s="548"/>
      <c r="VA28" s="548"/>
      <c r="VB28" s="548"/>
      <c r="VC28" s="548"/>
      <c r="VD28" s="548"/>
      <c r="VE28" s="548"/>
      <c r="VF28" s="548"/>
      <c r="VG28" s="548"/>
      <c r="VH28" s="548"/>
      <c r="VI28" s="548"/>
      <c r="VJ28" s="548"/>
      <c r="VK28" s="548"/>
      <c r="VL28" s="548"/>
      <c r="VM28" s="548"/>
      <c r="VN28" s="548"/>
      <c r="VO28" s="548"/>
      <c r="VP28" s="548"/>
      <c r="VQ28" s="548"/>
      <c r="VR28" s="548"/>
      <c r="VS28" s="548"/>
      <c r="VT28" s="548"/>
      <c r="VU28" s="548"/>
      <c r="VV28" s="548"/>
      <c r="VW28" s="548"/>
      <c r="VX28" s="548"/>
      <c r="VY28" s="548"/>
      <c r="VZ28" s="548"/>
      <c r="WA28" s="548"/>
      <c r="WB28" s="548"/>
      <c r="WC28" s="548"/>
      <c r="WD28" s="548"/>
      <c r="WE28" s="548"/>
      <c r="WF28" s="548"/>
      <c r="WG28" s="548"/>
      <c r="WH28" s="548"/>
      <c r="WI28" s="548"/>
      <c r="WJ28" s="548"/>
      <c r="WK28" s="548"/>
      <c r="WL28" s="548"/>
      <c r="WM28" s="548"/>
      <c r="WN28" s="548"/>
      <c r="WO28" s="548"/>
      <c r="WP28" s="548"/>
      <c r="WQ28" s="548"/>
      <c r="WR28" s="548"/>
      <c r="WS28" s="548"/>
      <c r="WT28" s="548"/>
      <c r="WU28" s="548"/>
      <c r="WV28" s="548"/>
      <c r="WW28" s="548"/>
      <c r="WX28" s="548"/>
      <c r="WY28" s="548"/>
      <c r="WZ28" s="548"/>
      <c r="XA28" s="548"/>
      <c r="XB28" s="548"/>
      <c r="XC28" s="548"/>
      <c r="XD28" s="548"/>
      <c r="XE28" s="548"/>
      <c r="XF28" s="548"/>
      <c r="XG28" s="548"/>
      <c r="XH28" s="548"/>
      <c r="XI28" s="548"/>
      <c r="XJ28" s="548"/>
      <c r="XK28" s="548"/>
      <c r="XL28" s="548"/>
      <c r="XM28" s="548"/>
      <c r="XN28" s="548"/>
      <c r="XO28" s="548"/>
      <c r="XP28" s="548"/>
      <c r="XQ28" s="548"/>
      <c r="XR28" s="548"/>
      <c r="XS28" s="548"/>
      <c r="XT28" s="548"/>
      <c r="XU28" s="548"/>
      <c r="XV28" s="548"/>
      <c r="XW28" s="548"/>
      <c r="XX28" s="548"/>
      <c r="XY28" s="548"/>
      <c r="XZ28" s="548"/>
      <c r="YA28" s="548"/>
      <c r="YB28" s="548"/>
      <c r="YC28" s="548"/>
      <c r="YD28" s="548"/>
      <c r="YE28" s="548"/>
      <c r="YF28" s="548"/>
      <c r="YG28" s="548"/>
      <c r="YH28" s="548"/>
      <c r="YI28" s="548"/>
      <c r="YJ28" s="548"/>
      <c r="YK28" s="548"/>
      <c r="YL28" s="548"/>
      <c r="YM28" s="548"/>
      <c r="YN28" s="548"/>
      <c r="YO28" s="548"/>
      <c r="YP28" s="548"/>
      <c r="YQ28" s="548"/>
      <c r="YR28" s="548"/>
      <c r="YS28" s="548"/>
      <c r="YT28" s="548"/>
      <c r="YU28" s="548"/>
      <c r="YV28" s="548"/>
      <c r="YW28" s="548"/>
      <c r="YX28" s="548"/>
      <c r="YY28" s="548"/>
      <c r="YZ28" s="548"/>
      <c r="ZA28" s="548"/>
      <c r="ZB28" s="548"/>
      <c r="ZC28" s="548"/>
      <c r="ZD28" s="548"/>
      <c r="ZE28" s="548"/>
      <c r="ZF28" s="548"/>
      <c r="ZG28" s="548"/>
      <c r="ZH28" s="548"/>
      <c r="ZI28" s="548"/>
      <c r="ZJ28" s="548"/>
      <c r="ZK28" s="548"/>
      <c r="ZL28" s="548"/>
      <c r="ZM28" s="548"/>
      <c r="ZN28" s="548"/>
      <c r="ZO28" s="548"/>
      <c r="ZP28" s="548"/>
      <c r="ZQ28" s="548"/>
      <c r="ZR28" s="548"/>
      <c r="ZS28" s="548"/>
      <c r="ZT28" s="548"/>
      <c r="ZU28" s="548"/>
      <c r="ZV28" s="548"/>
      <c r="ZW28" s="548"/>
      <c r="ZX28" s="548"/>
      <c r="ZY28" s="548"/>
      <c r="ZZ28" s="548"/>
      <c r="AAA28" s="548"/>
      <c r="AAB28" s="548"/>
      <c r="AAC28" s="548"/>
      <c r="AAD28" s="548"/>
      <c r="AAE28" s="548"/>
      <c r="AAF28" s="548"/>
      <c r="AAG28" s="548"/>
      <c r="AAH28" s="548"/>
      <c r="AAI28" s="548"/>
      <c r="AAJ28" s="548"/>
      <c r="AAK28" s="548"/>
      <c r="AAL28" s="548"/>
      <c r="AAM28" s="548"/>
      <c r="AAN28" s="548"/>
      <c r="AAO28" s="548"/>
      <c r="AAP28" s="548"/>
      <c r="AAQ28" s="548"/>
      <c r="AAR28" s="548"/>
      <c r="AAS28" s="548"/>
      <c r="AAT28" s="548"/>
      <c r="AAU28" s="548"/>
      <c r="AAV28" s="548"/>
      <c r="AAW28" s="548"/>
      <c r="AAX28" s="548"/>
      <c r="AAY28" s="548"/>
      <c r="AAZ28" s="548"/>
      <c r="ABA28" s="548"/>
      <c r="ABB28" s="548"/>
      <c r="ABC28" s="548"/>
      <c r="ABD28" s="548"/>
      <c r="ABE28" s="548"/>
      <c r="ABF28" s="548"/>
      <c r="ABG28" s="548"/>
      <c r="ABH28" s="548"/>
      <c r="ABI28" s="548"/>
      <c r="ABJ28" s="548"/>
      <c r="ABK28" s="548"/>
      <c r="ABL28" s="548"/>
      <c r="ABM28" s="548"/>
      <c r="ABN28" s="548"/>
      <c r="ABO28" s="548"/>
      <c r="ABP28" s="548"/>
      <c r="ABQ28" s="548"/>
      <c r="ABR28" s="548"/>
      <c r="ABS28" s="548"/>
    </row>
    <row r="29" spans="1:747" customFormat="1" ht="15" customHeight="1" x14ac:dyDescent="0.2">
      <c r="A29" s="424" t="str">
        <f t="shared" si="149"/>
        <v/>
      </c>
      <c r="B29" s="415"/>
      <c r="C29" s="525"/>
      <c r="D29" s="750"/>
      <c r="E29" s="416" t="str">
        <f t="shared" si="0"/>
        <v/>
      </c>
      <c r="F29" s="527" t="str">
        <f t="shared" si="1"/>
        <v/>
      </c>
      <c r="G29" s="417"/>
      <c r="H29" s="583" t="str">
        <f t="shared" si="2"/>
        <v/>
      </c>
      <c r="I29" s="424"/>
      <c r="J29" s="749"/>
      <c r="K29" s="418"/>
      <c r="L29" s="419"/>
      <c r="M29" s="415"/>
      <c r="N29" s="420"/>
      <c r="O29" s="421"/>
      <c r="P29" s="561"/>
      <c r="Q29" s="422"/>
      <c r="R29" s="561" t="str">
        <f t="shared" si="3"/>
        <v/>
      </c>
      <c r="S29" s="664"/>
      <c r="T29" s="663"/>
      <c r="U29" s="580">
        <f t="shared" si="4"/>
        <v>0</v>
      </c>
      <c r="V29" s="418"/>
      <c r="W29" s="582" t="str">
        <f t="shared" si="5"/>
        <v/>
      </c>
      <c r="X29" s="479" t="str">
        <f t="shared" si="6"/>
        <v/>
      </c>
      <c r="Y29" s="582" t="str">
        <f t="shared" si="7"/>
        <v/>
      </c>
      <c r="Z29" s="317" t="str">
        <f t="shared" si="8"/>
        <v/>
      </c>
      <c r="AA29" s="317" t="str">
        <f t="shared" si="9"/>
        <v/>
      </c>
      <c r="AB29" s="317">
        <f t="shared" si="10"/>
        <v>0</v>
      </c>
      <c r="AC29" s="317" t="str">
        <f t="shared" si="11"/>
        <v/>
      </c>
      <c r="AD29" s="317"/>
      <c r="AE29" s="479"/>
      <c r="AF29" s="479"/>
      <c r="AG29" s="423"/>
      <c r="AH29" s="820"/>
      <c r="AI29" s="480"/>
      <c r="AJ29" s="660"/>
      <c r="AK29" s="524" t="str">
        <f t="shared" si="12"/>
        <v/>
      </c>
      <c r="AL29" s="731">
        <f>SUMIF($J$4:$J$102,"Volta Aulas",$S$4:$S$102)</f>
        <v>0</v>
      </c>
      <c r="AM29" s="732">
        <f>SUMIF($J$4:$J$102,"Volta Aulas",$T$4:$T$102)</f>
        <v>0</v>
      </c>
      <c r="AN29" s="426">
        <f t="shared" si="13"/>
        <v>0</v>
      </c>
      <c r="AO29" s="798" t="str">
        <f t="shared" si="37"/>
        <v/>
      </c>
      <c r="AP29" s="768" t="str">
        <f t="shared" si="14"/>
        <v/>
      </c>
      <c r="AQ29" s="426"/>
      <c r="AR29" s="426"/>
      <c r="AS29" s="428"/>
      <c r="AT29" s="429"/>
      <c r="AU29" s="430"/>
      <c r="AV29" s="431"/>
      <c r="AW29" s="432"/>
      <c r="AX29" s="560"/>
      <c r="AY29" s="431">
        <f t="shared" si="15"/>
        <v>0</v>
      </c>
      <c r="AZ29" s="426"/>
      <c r="BA29" s="435" t="str">
        <f t="shared" si="16"/>
        <v/>
      </c>
      <c r="BB29" s="435"/>
      <c r="BC29" s="426"/>
      <c r="BD29" s="426">
        <f t="array" ref="BD29">IF(SUM((BC29=$BC$3:BC28)*1)=0,BC29,0)</f>
        <v>0</v>
      </c>
      <c r="BE29" s="426"/>
      <c r="BF29" s="426"/>
      <c r="BG29" s="426">
        <f t="array" ref="BG29">IF(SUM((BF29=$BF$3:BF28)*1)=0,BF29,0)</f>
        <v>0</v>
      </c>
      <c r="BH29" s="426"/>
      <c r="BI29" s="426"/>
      <c r="BJ29" s="426"/>
      <c r="BK29" s="426"/>
      <c r="BL29" s="426"/>
      <c r="BM29" s="426"/>
      <c r="BN29" s="426"/>
      <c r="BO29" s="426"/>
      <c r="BP29" s="433">
        <f t="shared" si="17"/>
        <v>0</v>
      </c>
      <c r="BQ29" s="426"/>
      <c r="BR29" s="434"/>
      <c r="BS29" s="426"/>
      <c r="BT29" s="433"/>
      <c r="BU29" s="435"/>
      <c r="BV29" s="435" t="str">
        <f t="shared" si="18"/>
        <v/>
      </c>
      <c r="BW29" s="435" t="str">
        <f t="shared" si="38"/>
        <v/>
      </c>
      <c r="BX29" s="435"/>
      <c r="BY29" s="435"/>
      <c r="BZ29" s="435"/>
      <c r="CA29" s="435"/>
      <c r="CB29" s="435"/>
      <c r="CC29" s="435"/>
      <c r="CD29" s="435"/>
      <c r="CE29" s="435"/>
      <c r="CF29" s="435"/>
      <c r="CG29" s="435"/>
      <c r="CH29" s="435"/>
      <c r="CI29" s="435"/>
      <c r="CJ29" s="426" t="str">
        <f t="shared" si="39"/>
        <v/>
      </c>
      <c r="CK29" s="435"/>
      <c r="CL29" s="426"/>
      <c r="CM29" s="435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>
        <v>26</v>
      </c>
      <c r="CZ29" s="426"/>
      <c r="DA29" s="426"/>
      <c r="DB29" s="426"/>
      <c r="DC29" s="426" t="s">
        <v>769</v>
      </c>
      <c r="DD29" s="426" t="s">
        <v>929</v>
      </c>
      <c r="DE29" s="435" t="str">
        <f t="shared" si="40"/>
        <v/>
      </c>
      <c r="DF29" s="435" t="str">
        <f t="shared" si="41"/>
        <v/>
      </c>
      <c r="DG29" s="435" t="str">
        <f t="shared" si="42"/>
        <v/>
      </c>
      <c r="DH29" s="435" t="str">
        <f t="shared" si="43"/>
        <v/>
      </c>
      <c r="DI29" s="435" t="str">
        <f t="shared" si="44"/>
        <v/>
      </c>
      <c r="DJ29" s="435" t="str">
        <f t="shared" si="45"/>
        <v/>
      </c>
      <c r="DK29" s="435" t="str">
        <f t="shared" si="19"/>
        <v/>
      </c>
      <c r="DL29" s="435" t="str">
        <f t="shared" si="20"/>
        <v/>
      </c>
      <c r="DM29" s="435" t="str">
        <f t="shared" si="46"/>
        <v/>
      </c>
      <c r="DN29" s="435" t="str">
        <f t="shared" si="47"/>
        <v/>
      </c>
      <c r="DO29" s="435" t="str">
        <f t="shared" si="21"/>
        <v/>
      </c>
      <c r="DP29" s="435" t="str">
        <f t="shared" si="22"/>
        <v/>
      </c>
      <c r="DQ29" s="435" t="str">
        <f t="shared" si="48"/>
        <v/>
      </c>
      <c r="DR29" s="435" t="str">
        <f t="shared" si="49"/>
        <v/>
      </c>
      <c r="DS29" s="435" t="str">
        <f t="shared" si="23"/>
        <v/>
      </c>
      <c r="DT29" s="435" t="str">
        <f t="shared" si="24"/>
        <v/>
      </c>
      <c r="DU29" s="435" t="str">
        <f t="shared" si="50"/>
        <v/>
      </c>
      <c r="DV29" s="435" t="str">
        <f t="shared" si="51"/>
        <v/>
      </c>
      <c r="DW29" s="435" t="str">
        <f t="shared" si="25"/>
        <v/>
      </c>
      <c r="DX29" s="435" t="str">
        <f t="shared" si="26"/>
        <v/>
      </c>
      <c r="DY29" s="435" t="str">
        <f t="shared" si="52"/>
        <v/>
      </c>
      <c r="DZ29" s="435" t="str">
        <f t="shared" si="53"/>
        <v/>
      </c>
      <c r="EA29" s="435" t="str">
        <f t="shared" si="27"/>
        <v/>
      </c>
      <c r="EB29" s="435" t="str">
        <f t="shared" si="28"/>
        <v/>
      </c>
      <c r="EC29" s="435" t="str">
        <f t="shared" si="29"/>
        <v/>
      </c>
      <c r="ED29" s="435" t="str">
        <f t="shared" si="30"/>
        <v/>
      </c>
      <c r="EE29" s="435" t="str">
        <f t="shared" si="31"/>
        <v/>
      </c>
      <c r="EF29" s="435" t="str">
        <f t="shared" si="32"/>
        <v/>
      </c>
      <c r="EG29" s="435" t="str">
        <f t="shared" si="33"/>
        <v/>
      </c>
      <c r="EH29" s="435" t="str">
        <f t="shared" si="34"/>
        <v/>
      </c>
      <c r="EI29" s="435" t="str">
        <f t="shared" si="35"/>
        <v/>
      </c>
      <c r="EJ29" s="435" t="str">
        <f t="shared" si="36"/>
        <v/>
      </c>
      <c r="EK29" s="485"/>
      <c r="EL29" s="485"/>
      <c r="EM29" s="485"/>
      <c r="EN29" s="485"/>
      <c r="EO29" s="448"/>
      <c r="EP29" s="448"/>
      <c r="EQ29" s="448"/>
      <c r="ER29" s="448"/>
      <c r="ES29" s="448"/>
      <c r="ET29" s="435"/>
      <c r="EU29" s="435"/>
      <c r="EV29" s="435"/>
      <c r="EW29" s="435"/>
      <c r="EX29" s="426"/>
      <c r="EY29" s="426"/>
      <c r="EZ29" s="426"/>
      <c r="FA29" s="427"/>
      <c r="FB29" s="427">
        <f t="array" ref="FB29">IF(SUM((FA29=$FA$3:FA28)*1)=0,FA29,0)</f>
        <v>0</v>
      </c>
      <c r="FC29" s="427"/>
      <c r="FD29" s="427"/>
      <c r="FE29" s="427">
        <f t="array" ref="FE29">IF(SUM((FD29=$FD$3:FD28)*1)=0,FD29,0)</f>
        <v>0</v>
      </c>
      <c r="FF29" s="427"/>
      <c r="FG29" s="427"/>
      <c r="FH29" s="427"/>
      <c r="FI29" s="427">
        <f t="array" ref="FI29">IF(SUM((FH29=$FH$3:FH28)*1)=0,FH29,0)</f>
        <v>0</v>
      </c>
      <c r="FJ29" s="427"/>
      <c r="FK29" s="427"/>
      <c r="FL29" s="427">
        <f t="array" ref="FL29">IF(SUM((FK29=$FK$3:FK28)*1)=0,FK29,0)</f>
        <v>0</v>
      </c>
      <c r="FM29" s="427"/>
      <c r="FN29" s="427"/>
      <c r="FO29" s="427"/>
      <c r="FP29" s="427">
        <f t="array" ref="FP29">IF(SUM((FO29=$FO$3:FO28)*1)=0,FO29,0)</f>
        <v>0</v>
      </c>
      <c r="FQ29" s="427"/>
      <c r="FR29" s="427"/>
      <c r="FS29" s="427">
        <f t="array" ref="FS29">IF(SUM((FR29=$FR$3:FR28)*1)=0,FR29,0)</f>
        <v>0</v>
      </c>
      <c r="FT29" s="427"/>
      <c r="FU29" s="427"/>
      <c r="FV29" s="427"/>
      <c r="FW29" s="427">
        <f t="array" ref="FW29">IF(SUM((FV29=$FV$3:FV28)*1)=0,FV29,0)</f>
        <v>0</v>
      </c>
      <c r="FX29" s="427"/>
      <c r="FY29" s="427"/>
      <c r="FZ29" s="427">
        <f t="array" ref="FZ29">IF(SUM((FY29=$FY$3:FY28)*1)=0,FY29,0)</f>
        <v>0</v>
      </c>
      <c r="GA29" s="427"/>
      <c r="GB29" s="427"/>
      <c r="GC29" s="427"/>
      <c r="GD29" s="427">
        <f t="array" ref="GD29">IF(SUM((GC29=$GC$3:GC28)*1)=0,GC29,0)</f>
        <v>0</v>
      </c>
      <c r="GE29" s="427"/>
      <c r="GF29" s="427"/>
      <c r="GG29" s="427">
        <f t="array" ref="GG29">IF(SUM((GF29=$GF$3:GF28)*1)=0,GF29,0)</f>
        <v>0</v>
      </c>
      <c r="GH29" s="427"/>
      <c r="GI29" s="427"/>
      <c r="GJ29" s="427"/>
      <c r="GK29" s="798">
        <f t="array" ref="GK29">IF(SUM((GJ29=$GJ$3:GJ28)*1)=0,GJ29,0)</f>
        <v>0</v>
      </c>
      <c r="GL29" s="427"/>
      <c r="GM29" s="427"/>
      <c r="GN29" s="798">
        <f t="array" ref="GN29">IF(SUM((GM29=$GM$3:GM28)*1)=0,GM29,0)</f>
        <v>0</v>
      </c>
      <c r="GO29" s="427"/>
      <c r="GP29" s="427"/>
      <c r="GQ29" s="427"/>
      <c r="GR29" s="798">
        <f t="array" ref="GR29">IF(SUM((GQ29=$GQ$3:GQ28)*1)=0,GQ29,0)</f>
        <v>0</v>
      </c>
      <c r="GS29" s="427"/>
      <c r="GT29" s="427"/>
      <c r="GU29" s="798">
        <f t="array" ref="GU29">IF(SUM((GT29=$GT$3:GT28)*1)=0,GT29,0)</f>
        <v>0</v>
      </c>
      <c r="GV29" s="427"/>
      <c r="GW29" s="427"/>
      <c r="GX29" s="427"/>
      <c r="GY29" s="798">
        <f t="array" ref="GY29">IF(SUM((GX29=$GX$3:GX28)*1)=0,GX29,0)</f>
        <v>0</v>
      </c>
      <c r="GZ29" s="427"/>
      <c r="HA29" s="427"/>
      <c r="HB29" s="798">
        <f t="array" ref="HB29">IF(SUM((HA29=$HA$3:HA28)*1)=0,HA29,0)</f>
        <v>0</v>
      </c>
      <c r="HC29" s="427"/>
      <c r="HD29" s="427"/>
      <c r="HE29" s="769" t="str">
        <f t="shared" si="130"/>
        <v/>
      </c>
      <c r="HF29" s="768" t="str">
        <f t="shared" ref="HF29" si="330">IF(HE29&lt;0,"Invadiu REP-BA-C","")</f>
        <v/>
      </c>
      <c r="HG29" s="769" t="str">
        <f t="shared" si="131"/>
        <v/>
      </c>
      <c r="HH29" s="768" t="str">
        <f t="shared" si="55"/>
        <v/>
      </c>
      <c r="HI29" s="728" t="str">
        <f t="shared" si="132"/>
        <v/>
      </c>
      <c r="HJ29" s="768" t="str">
        <f t="shared" si="56"/>
        <v/>
      </c>
      <c r="HK29" s="728" t="str">
        <f t="shared" si="133"/>
        <v/>
      </c>
      <c r="HL29" s="768" t="str">
        <f t="shared" si="57"/>
        <v/>
      </c>
      <c r="HM29" s="769" t="str">
        <f t="shared" si="58"/>
        <v/>
      </c>
      <c r="HN29" s="768" t="str">
        <f t="shared" ref="HN29" si="331">IF(HM29&lt;0,"Invadiu REP-BA-C","")</f>
        <v/>
      </c>
      <c r="HO29" s="769" t="str">
        <f t="shared" si="60"/>
        <v/>
      </c>
      <c r="HP29" s="768" t="str">
        <f t="shared" si="61"/>
        <v/>
      </c>
      <c r="HQ29" s="728" t="str">
        <f t="shared" si="62"/>
        <v/>
      </c>
      <c r="HR29" s="768" t="str">
        <f t="shared" si="63"/>
        <v/>
      </c>
      <c r="HS29" s="728" t="str">
        <f t="shared" si="64"/>
        <v/>
      </c>
      <c r="HT29" s="768" t="str">
        <f t="shared" si="65"/>
        <v/>
      </c>
      <c r="HU29" s="769" t="str">
        <f t="shared" si="66"/>
        <v/>
      </c>
      <c r="HV29" s="768" t="str">
        <f t="shared" ref="HV29" si="332">IF(HU29&lt;0,"Invadiu REP-BA-C","")</f>
        <v/>
      </c>
      <c r="HW29" s="769" t="str">
        <f t="shared" si="68"/>
        <v/>
      </c>
      <c r="HX29" s="768" t="str">
        <f t="shared" si="69"/>
        <v/>
      </c>
      <c r="HY29" s="728" t="str">
        <f t="shared" si="70"/>
        <v/>
      </c>
      <c r="HZ29" s="768" t="str">
        <f t="shared" si="71"/>
        <v/>
      </c>
      <c r="IA29" s="728" t="str">
        <f t="shared" si="72"/>
        <v/>
      </c>
      <c r="IB29" s="768" t="str">
        <f t="shared" si="73"/>
        <v/>
      </c>
      <c r="IC29" s="769" t="str">
        <f t="shared" si="74"/>
        <v/>
      </c>
      <c r="ID29" s="768" t="str">
        <f t="shared" ref="ID29" si="333">IF(IC29&lt;0,"Invadiu REP-BA-C","")</f>
        <v/>
      </c>
      <c r="IE29" s="769" t="str">
        <f t="shared" si="76"/>
        <v/>
      </c>
      <c r="IF29" s="768" t="str">
        <f t="shared" si="77"/>
        <v/>
      </c>
      <c r="IG29" s="728" t="str">
        <f t="shared" si="78"/>
        <v/>
      </c>
      <c r="IH29" s="768" t="str">
        <f t="shared" si="79"/>
        <v/>
      </c>
      <c r="II29" s="728" t="str">
        <f t="shared" si="80"/>
        <v/>
      </c>
      <c r="IJ29" s="768" t="str">
        <f t="shared" si="81"/>
        <v/>
      </c>
      <c r="IK29" s="769" t="str">
        <f t="shared" si="82"/>
        <v/>
      </c>
      <c r="IL29" s="768" t="str">
        <f t="shared" ref="IL29" si="334">IF(IK29&lt;0,"Invadiu REP-BA-C","")</f>
        <v/>
      </c>
      <c r="IM29" s="769" t="str">
        <f t="shared" si="84"/>
        <v/>
      </c>
      <c r="IN29" s="768" t="str">
        <f t="shared" si="85"/>
        <v/>
      </c>
      <c r="IO29" s="728" t="str">
        <f t="shared" si="86"/>
        <v/>
      </c>
      <c r="IP29" s="768" t="str">
        <f t="shared" si="87"/>
        <v/>
      </c>
      <c r="IQ29" s="728" t="str">
        <f t="shared" si="88"/>
        <v/>
      </c>
      <c r="IR29" s="768" t="str">
        <f t="shared" si="89"/>
        <v/>
      </c>
      <c r="IS29" s="769" t="str">
        <f t="shared" si="90"/>
        <v/>
      </c>
      <c r="IT29" s="768" t="str">
        <f t="shared" ref="IT29" si="335">IF(IS29&lt;0,"Invadiu REP-BA-C","")</f>
        <v/>
      </c>
      <c r="IU29" s="769" t="str">
        <f t="shared" si="92"/>
        <v/>
      </c>
      <c r="IV29" s="768" t="str">
        <f t="shared" si="93"/>
        <v/>
      </c>
      <c r="IW29" s="728" t="str">
        <f t="shared" si="94"/>
        <v/>
      </c>
      <c r="IX29" s="768" t="str">
        <f t="shared" si="95"/>
        <v/>
      </c>
      <c r="IY29" s="728" t="str">
        <f t="shared" si="96"/>
        <v/>
      </c>
      <c r="IZ29" s="768" t="str">
        <f t="shared" si="97"/>
        <v/>
      </c>
      <c r="JA29" s="769" t="str">
        <f t="shared" si="98"/>
        <v/>
      </c>
      <c r="JB29" s="768" t="str">
        <f t="shared" ref="JB29" si="336">IF(JA29&lt;0,"Invadiu REP-BA-C","")</f>
        <v/>
      </c>
      <c r="JC29" s="769" t="str">
        <f t="shared" si="100"/>
        <v/>
      </c>
      <c r="JD29" s="768" t="str">
        <f t="shared" si="101"/>
        <v/>
      </c>
      <c r="JE29" s="728" t="str">
        <f t="shared" si="102"/>
        <v/>
      </c>
      <c r="JF29" s="768" t="str">
        <f t="shared" si="103"/>
        <v/>
      </c>
      <c r="JG29" s="728" t="str">
        <f t="shared" si="104"/>
        <v/>
      </c>
      <c r="JH29" s="768" t="str">
        <f t="shared" si="105"/>
        <v/>
      </c>
      <c r="JI29" s="769" t="str">
        <f t="shared" si="106"/>
        <v/>
      </c>
      <c r="JJ29" s="768" t="str">
        <f t="shared" ref="JJ29" si="337">IF(JI29&lt;0,"Invadiu REP-BA-C","")</f>
        <v/>
      </c>
      <c r="JK29" s="769" t="str">
        <f t="shared" si="108"/>
        <v/>
      </c>
      <c r="JL29" s="768" t="str">
        <f t="shared" si="109"/>
        <v/>
      </c>
      <c r="JM29" s="728" t="str">
        <f t="shared" si="110"/>
        <v/>
      </c>
      <c r="JN29" s="768" t="str">
        <f t="shared" si="111"/>
        <v/>
      </c>
      <c r="JO29" s="728" t="str">
        <f t="shared" si="112"/>
        <v/>
      </c>
      <c r="JP29" s="768" t="str">
        <f t="shared" si="113"/>
        <v/>
      </c>
      <c r="JQ29" s="769" t="str">
        <f t="shared" si="114"/>
        <v/>
      </c>
      <c r="JR29" s="768" t="str">
        <f t="shared" ref="JR29" si="338">IF(JQ29&lt;0,"Invadiu REP-BA-C","")</f>
        <v/>
      </c>
      <c r="JS29" s="769" t="str">
        <f t="shared" si="116"/>
        <v/>
      </c>
      <c r="JT29" s="768" t="str">
        <f t="shared" si="117"/>
        <v/>
      </c>
      <c r="JU29" s="728" t="str">
        <f t="shared" si="118"/>
        <v/>
      </c>
      <c r="JV29" s="768" t="str">
        <f t="shared" si="119"/>
        <v/>
      </c>
      <c r="JW29" s="728" t="str">
        <f t="shared" si="120"/>
        <v/>
      </c>
      <c r="JX29" s="768" t="str">
        <f t="shared" si="121"/>
        <v/>
      </c>
      <c r="JY29" s="768" t="str">
        <f t="shared" si="122"/>
        <v/>
      </c>
      <c r="JZ29" s="485" t="str">
        <f>IF(JY29="","",IF(AND(C29=$C$164,JY29&lt;&gt;""),Verificarcpf(D29),IF(AND(C29=$C$165,JY29&lt;&gt;""),VerificarCNPJ(D29))))</f>
        <v/>
      </c>
      <c r="KA29" s="768" t="str">
        <f t="shared" si="123"/>
        <v/>
      </c>
      <c r="KB29" s="485">
        <f t="shared" si="124"/>
        <v>0</v>
      </c>
      <c r="KC29" s="768">
        <f t="shared" si="125"/>
        <v>0</v>
      </c>
      <c r="KD29" s="485">
        <f t="shared" si="126"/>
        <v>0</v>
      </c>
      <c r="KE29" s="448"/>
      <c r="KF29" s="548">
        <f t="shared" si="127"/>
        <v>0</v>
      </c>
      <c r="KG29" s="548" t="s">
        <v>573</v>
      </c>
      <c r="KH29" s="548"/>
      <c r="KI29" s="548"/>
      <c r="KJ29" s="548" t="str">
        <f t="shared" si="128"/>
        <v/>
      </c>
      <c r="KK29" s="548"/>
      <c r="KL29" s="548"/>
      <c r="KM29" s="548">
        <f t="array" ref="KM29">IF(SUM((KL29=$KL$3:KL28)*1)=0,KL29,0)</f>
        <v>0</v>
      </c>
      <c r="KN29" s="548"/>
      <c r="KO29" s="548"/>
      <c r="KP29" s="548"/>
      <c r="KQ29" s="548"/>
      <c r="KR29" s="548" t="str">
        <f t="shared" si="129"/>
        <v/>
      </c>
      <c r="KS29" s="548"/>
      <c r="KT29" s="548"/>
      <c r="KU29" s="548"/>
      <c r="KV29" s="548"/>
      <c r="KW29" s="548"/>
      <c r="KX29" s="548"/>
      <c r="KY29" s="548"/>
      <c r="KZ29" s="548"/>
      <c r="LA29" s="548"/>
      <c r="LB29" s="548"/>
      <c r="LC29" s="485" t="str">
        <f t="shared" si="142"/>
        <v/>
      </c>
      <c r="LD29" s="548"/>
      <c r="LE29" s="548"/>
      <c r="LF29" s="548"/>
      <c r="LG29" s="548"/>
      <c r="LH29" s="548"/>
      <c r="LI29" s="548"/>
      <c r="LJ29" s="548"/>
      <c r="LK29" s="548"/>
      <c r="LL29" s="548"/>
      <c r="LM29" s="548"/>
      <c r="LN29" s="548"/>
      <c r="LO29" s="548"/>
      <c r="LP29" s="485" t="str">
        <f t="shared" si="143"/>
        <v/>
      </c>
      <c r="LQ29" s="548"/>
      <c r="LR29" s="548"/>
      <c r="LS29" s="548"/>
      <c r="LT29" s="548"/>
      <c r="LU29" s="548"/>
      <c r="LV29" s="548"/>
      <c r="LW29" s="548"/>
      <c r="LX29" s="548"/>
      <c r="LY29" s="548"/>
      <c r="LZ29" s="548"/>
      <c r="MA29" s="548"/>
      <c r="MB29" s="548"/>
      <c r="MC29" s="485" t="str">
        <f t="shared" si="144"/>
        <v/>
      </c>
      <c r="MD29" s="548"/>
      <c r="ME29" s="548"/>
      <c r="MF29" s="548"/>
      <c r="MG29" s="548"/>
      <c r="MH29" s="548"/>
      <c r="MI29" s="548"/>
      <c r="MJ29" s="548"/>
      <c r="MK29" s="548"/>
      <c r="ML29" s="548"/>
      <c r="MM29" s="548"/>
      <c r="MN29" s="548"/>
      <c r="MO29" s="548"/>
      <c r="MP29" s="485" t="str">
        <f t="shared" si="145"/>
        <v/>
      </c>
      <c r="MQ29" s="548"/>
      <c r="MR29" s="548"/>
      <c r="MS29" s="548"/>
      <c r="MT29" s="548"/>
      <c r="MU29" s="548"/>
      <c r="MV29" s="548"/>
      <c r="MW29" s="548"/>
      <c r="MX29" s="548"/>
      <c r="MY29" s="548"/>
      <c r="MZ29" s="548"/>
      <c r="NA29" s="548"/>
      <c r="NB29" s="548"/>
      <c r="NC29" s="485" t="str">
        <f t="shared" si="146"/>
        <v/>
      </c>
      <c r="ND29" s="548"/>
      <c r="NE29" s="548"/>
      <c r="NF29" s="548"/>
      <c r="NG29" s="548"/>
      <c r="NH29" s="548"/>
      <c r="NI29" s="548"/>
      <c r="NJ29" s="548"/>
      <c r="NK29" s="548"/>
      <c r="NL29" s="548"/>
      <c r="NM29" s="548"/>
      <c r="NN29" s="548"/>
      <c r="NO29" s="548"/>
      <c r="NP29" s="485" t="str">
        <f t="shared" si="147"/>
        <v/>
      </c>
      <c r="NQ29" s="548"/>
      <c r="NR29" s="548"/>
      <c r="NS29" s="548"/>
      <c r="NT29" s="548"/>
      <c r="NU29" s="548"/>
      <c r="NV29" s="548"/>
      <c r="NW29" s="548"/>
      <c r="NX29" s="548"/>
      <c r="NY29" s="548"/>
      <c r="NZ29" s="548"/>
      <c r="OA29" s="548"/>
      <c r="OB29" s="548"/>
      <c r="OC29" s="485" t="str">
        <f t="shared" si="148"/>
        <v/>
      </c>
      <c r="OD29" s="548"/>
      <c r="OE29" s="548"/>
      <c r="OF29" s="548"/>
      <c r="OG29" s="548"/>
      <c r="OH29" s="548"/>
      <c r="OI29" s="548"/>
      <c r="OJ29" s="548"/>
      <c r="OK29" s="548"/>
      <c r="OL29" s="548"/>
      <c r="OM29" s="548"/>
      <c r="ON29" s="548"/>
      <c r="OO29" s="548"/>
      <c r="OP29" s="548"/>
      <c r="OQ29" s="548"/>
      <c r="OR29" s="548"/>
      <c r="OS29" s="548"/>
      <c r="OT29" s="548"/>
      <c r="OU29" s="548"/>
      <c r="OV29" s="548"/>
      <c r="OW29" s="548"/>
      <c r="OX29" s="548"/>
      <c r="OY29" s="548"/>
      <c r="OZ29" s="548"/>
      <c r="PA29" s="548"/>
      <c r="PB29" s="548"/>
      <c r="PC29" s="548"/>
      <c r="PD29" s="548"/>
      <c r="PE29" s="548"/>
      <c r="PF29" s="548"/>
      <c r="PG29" s="548"/>
      <c r="PH29" s="548"/>
      <c r="PI29" s="548"/>
      <c r="PJ29" s="548"/>
      <c r="PK29" s="548"/>
      <c r="PL29" s="548"/>
      <c r="PM29" s="548"/>
      <c r="PN29" s="548"/>
      <c r="PO29" s="548"/>
      <c r="PP29" s="548"/>
      <c r="PQ29" s="548"/>
      <c r="PR29" s="548"/>
      <c r="PS29" s="548"/>
      <c r="PT29" s="548"/>
      <c r="PU29" s="548"/>
      <c r="PV29" s="548"/>
      <c r="PW29" s="548"/>
      <c r="PX29" s="548"/>
      <c r="PY29" s="548"/>
      <c r="PZ29" s="548"/>
      <c r="QA29" s="548"/>
      <c r="QB29" s="548"/>
      <c r="QC29" s="548"/>
      <c r="QD29" s="548"/>
      <c r="QE29" s="548"/>
      <c r="QF29" s="548"/>
      <c r="QG29" s="548"/>
      <c r="QH29" s="548"/>
      <c r="QI29" s="548"/>
      <c r="QJ29" s="548"/>
      <c r="QK29" s="548"/>
      <c r="QL29" s="548"/>
      <c r="QM29" s="548"/>
      <c r="QN29" s="548"/>
      <c r="QO29" s="548"/>
      <c r="QP29" s="548"/>
      <c r="QQ29" s="1009"/>
      <c r="QR29" s="548"/>
      <c r="QS29" s="548"/>
      <c r="QT29" s="548"/>
      <c r="QU29" s="548"/>
      <c r="QV29" s="548"/>
      <c r="QW29" s="548"/>
      <c r="QX29" s="548"/>
      <c r="QY29" s="548"/>
      <c r="QZ29" s="548"/>
      <c r="RA29" s="548"/>
      <c r="RB29" s="548"/>
      <c r="RC29" s="548"/>
      <c r="RD29" s="548"/>
      <c r="RE29" s="548"/>
      <c r="RF29" s="548"/>
      <c r="RG29" s="548"/>
      <c r="RH29" s="548"/>
      <c r="RI29" s="548"/>
      <c r="RJ29" s="548"/>
      <c r="RK29" s="548"/>
      <c r="RL29" s="548"/>
      <c r="RM29" s="548"/>
      <c r="RN29" s="548"/>
      <c r="RO29" s="548"/>
      <c r="RP29" s="548"/>
      <c r="RQ29" s="548"/>
      <c r="RR29" s="548"/>
      <c r="RS29" s="548"/>
      <c r="RT29" s="548"/>
      <c r="RU29" s="548"/>
      <c r="RV29" s="548"/>
      <c r="RW29" s="548"/>
      <c r="RX29" s="548"/>
      <c r="RY29" s="548"/>
      <c r="RZ29" s="548"/>
      <c r="SA29" s="548"/>
      <c r="SB29" s="548"/>
      <c r="SC29" s="548"/>
      <c r="SD29" s="548"/>
      <c r="SE29" s="548"/>
      <c r="SF29" s="548"/>
      <c r="SG29" s="548"/>
      <c r="SH29" s="548"/>
      <c r="SI29" s="548"/>
      <c r="SJ29" s="548"/>
      <c r="SK29" s="548"/>
      <c r="SL29" s="548"/>
      <c r="SM29" s="548"/>
      <c r="SN29" s="548"/>
      <c r="SO29" s="548"/>
      <c r="SP29" s="548"/>
      <c r="SQ29" s="548"/>
      <c r="SR29" s="548"/>
      <c r="SS29" s="548"/>
      <c r="ST29" s="548"/>
      <c r="SU29" s="548"/>
      <c r="SV29" s="548"/>
      <c r="SW29" s="548"/>
      <c r="SX29" s="548"/>
      <c r="SY29" s="548"/>
      <c r="SZ29" s="548"/>
      <c r="TA29" s="548"/>
      <c r="TB29" s="548"/>
      <c r="TC29" s="548"/>
      <c r="TD29" s="548"/>
      <c r="TE29" s="548"/>
      <c r="TF29" s="548"/>
      <c r="TG29" s="548"/>
      <c r="TH29" s="548"/>
      <c r="TI29" s="548"/>
      <c r="TJ29" s="548"/>
      <c r="TK29" s="548"/>
      <c r="TL29" s="548"/>
      <c r="TM29" s="548"/>
      <c r="TN29" s="548"/>
      <c r="TO29" s="548"/>
      <c r="TP29" s="548"/>
      <c r="TQ29" s="548"/>
      <c r="TR29" s="548"/>
      <c r="TS29" s="548"/>
      <c r="TT29" s="548"/>
      <c r="TU29" s="548"/>
      <c r="TV29" s="548"/>
      <c r="TW29" s="548"/>
      <c r="TX29" s="548"/>
      <c r="TY29" s="548"/>
      <c r="TZ29" s="548"/>
      <c r="UA29" s="548"/>
      <c r="UB29" s="548"/>
      <c r="UC29" s="548"/>
      <c r="UD29" s="548"/>
      <c r="UE29" s="548"/>
      <c r="UF29" s="548"/>
      <c r="UG29" s="548"/>
      <c r="UH29" s="548"/>
      <c r="UI29" s="548"/>
      <c r="UJ29" s="548"/>
      <c r="UK29" s="548"/>
      <c r="UL29" s="548"/>
      <c r="UM29" s="548"/>
      <c r="UN29" s="548"/>
      <c r="UO29" s="548"/>
      <c r="UP29" s="548"/>
      <c r="UQ29" s="548"/>
      <c r="UR29" s="548"/>
      <c r="US29" s="548"/>
      <c r="UT29" s="548"/>
      <c r="UU29" s="548"/>
      <c r="UV29" s="548"/>
      <c r="UW29" s="548"/>
      <c r="UX29" s="548"/>
      <c r="UY29" s="548"/>
      <c r="UZ29" s="548"/>
      <c r="VA29" s="548"/>
      <c r="VB29" s="548"/>
      <c r="VC29" s="548"/>
      <c r="VD29" s="548"/>
      <c r="VE29" s="548"/>
      <c r="VF29" s="548"/>
      <c r="VG29" s="548"/>
      <c r="VH29" s="548"/>
      <c r="VI29" s="548"/>
      <c r="VJ29" s="548"/>
      <c r="VK29" s="548"/>
      <c r="VL29" s="548"/>
      <c r="VM29" s="548"/>
      <c r="VN29" s="548"/>
      <c r="VO29" s="548"/>
      <c r="VP29" s="548"/>
      <c r="VQ29" s="548"/>
      <c r="VR29" s="548"/>
      <c r="VS29" s="548"/>
      <c r="VT29" s="548"/>
      <c r="VU29" s="548"/>
      <c r="VV29" s="548"/>
      <c r="VW29" s="548"/>
      <c r="VX29" s="548"/>
      <c r="VY29" s="548"/>
      <c r="VZ29" s="548"/>
      <c r="WA29" s="548"/>
      <c r="WB29" s="548"/>
      <c r="WC29" s="548"/>
      <c r="WD29" s="548"/>
      <c r="WE29" s="548"/>
      <c r="WF29" s="548"/>
      <c r="WG29" s="548"/>
      <c r="WH29" s="548"/>
      <c r="WI29" s="548"/>
      <c r="WJ29" s="548"/>
      <c r="WK29" s="548"/>
      <c r="WL29" s="548"/>
      <c r="WM29" s="548"/>
      <c r="WN29" s="548"/>
      <c r="WO29" s="548"/>
      <c r="WP29" s="548"/>
      <c r="WQ29" s="548"/>
      <c r="WR29" s="548"/>
      <c r="WS29" s="548"/>
      <c r="WT29" s="548"/>
      <c r="WU29" s="548"/>
      <c r="WV29" s="548"/>
      <c r="WW29" s="548"/>
      <c r="WX29" s="548"/>
      <c r="WY29" s="548"/>
      <c r="WZ29" s="548"/>
      <c r="XA29" s="548"/>
      <c r="XB29" s="548"/>
      <c r="XC29" s="548"/>
      <c r="XD29" s="548"/>
      <c r="XE29" s="548"/>
      <c r="XF29" s="548"/>
      <c r="XG29" s="548"/>
      <c r="XH29" s="548"/>
      <c r="XI29" s="548"/>
      <c r="XJ29" s="548"/>
      <c r="XK29" s="548"/>
      <c r="XL29" s="548"/>
      <c r="XM29" s="548"/>
      <c r="XN29" s="548"/>
      <c r="XO29" s="548"/>
      <c r="XP29" s="548"/>
      <c r="XQ29" s="548"/>
      <c r="XR29" s="548"/>
      <c r="XS29" s="548"/>
      <c r="XT29" s="548"/>
      <c r="XU29" s="548"/>
      <c r="XV29" s="548"/>
      <c r="XW29" s="548"/>
      <c r="XX29" s="548"/>
      <c r="XY29" s="548"/>
      <c r="XZ29" s="548"/>
      <c r="YA29" s="548"/>
      <c r="YB29" s="548"/>
      <c r="YC29" s="548"/>
      <c r="YD29" s="548"/>
      <c r="YE29" s="548"/>
      <c r="YF29" s="548"/>
      <c r="YG29" s="548"/>
      <c r="YH29" s="548"/>
      <c r="YI29" s="548"/>
      <c r="YJ29" s="548"/>
      <c r="YK29" s="548"/>
      <c r="YL29" s="548"/>
      <c r="YM29" s="548"/>
      <c r="YN29" s="548"/>
      <c r="YO29" s="548"/>
      <c r="YP29" s="548"/>
      <c r="YQ29" s="548"/>
      <c r="YR29" s="548"/>
      <c r="YS29" s="548"/>
      <c r="YT29" s="548"/>
      <c r="YU29" s="548"/>
      <c r="YV29" s="548"/>
      <c r="YW29" s="548"/>
      <c r="YX29" s="548"/>
      <c r="YY29" s="548"/>
      <c r="YZ29" s="548"/>
      <c r="ZA29" s="548"/>
      <c r="ZB29" s="548"/>
      <c r="ZC29" s="548"/>
      <c r="ZD29" s="548"/>
      <c r="ZE29" s="548"/>
      <c r="ZF29" s="548"/>
      <c r="ZG29" s="548"/>
      <c r="ZH29" s="548"/>
      <c r="ZI29" s="548"/>
      <c r="ZJ29" s="548"/>
      <c r="ZK29" s="548"/>
      <c r="ZL29" s="548"/>
      <c r="ZM29" s="548"/>
      <c r="ZN29" s="548"/>
      <c r="ZO29" s="548"/>
      <c r="ZP29" s="548"/>
      <c r="ZQ29" s="548"/>
      <c r="ZR29" s="548"/>
      <c r="ZS29" s="548"/>
      <c r="ZT29" s="548"/>
      <c r="ZU29" s="548"/>
      <c r="ZV29" s="548"/>
      <c r="ZW29" s="548"/>
      <c r="ZX29" s="548"/>
      <c r="ZY29" s="548"/>
      <c r="ZZ29" s="548"/>
      <c r="AAA29" s="548"/>
      <c r="AAB29" s="548"/>
      <c r="AAC29" s="548"/>
      <c r="AAD29" s="548"/>
      <c r="AAE29" s="548"/>
      <c r="AAF29" s="548"/>
      <c r="AAG29" s="548"/>
      <c r="AAH29" s="548"/>
      <c r="AAI29" s="548"/>
      <c r="AAJ29" s="548"/>
      <c r="AAK29" s="548"/>
      <c r="AAL29" s="548"/>
      <c r="AAM29" s="548"/>
      <c r="AAN29" s="548"/>
      <c r="AAO29" s="548"/>
      <c r="AAP29" s="548"/>
      <c r="AAQ29" s="548"/>
      <c r="AAR29" s="548"/>
      <c r="AAS29" s="548"/>
      <c r="AAT29" s="548"/>
      <c r="AAU29" s="548"/>
      <c r="AAV29" s="548"/>
      <c r="AAW29" s="548"/>
      <c r="AAX29" s="548"/>
      <c r="AAY29" s="548"/>
      <c r="AAZ29" s="548"/>
      <c r="ABA29" s="548"/>
      <c r="ABB29" s="548"/>
      <c r="ABC29" s="548"/>
      <c r="ABD29" s="548"/>
      <c r="ABE29" s="548"/>
      <c r="ABF29" s="548"/>
      <c r="ABG29" s="548"/>
      <c r="ABH29" s="548"/>
      <c r="ABI29" s="548"/>
      <c r="ABJ29" s="548"/>
      <c r="ABK29" s="548"/>
      <c r="ABL29" s="548"/>
      <c r="ABM29" s="548"/>
      <c r="ABN29" s="548"/>
      <c r="ABO29" s="548"/>
      <c r="ABP29" s="548"/>
      <c r="ABQ29" s="548"/>
      <c r="ABR29" s="548"/>
      <c r="ABS29" s="548"/>
    </row>
    <row r="30" spans="1:747" customFormat="1" ht="15" customHeight="1" x14ac:dyDescent="0.2">
      <c r="A30" s="424" t="str">
        <f t="shared" si="149"/>
        <v/>
      </c>
      <c r="B30" s="415"/>
      <c r="C30" s="525"/>
      <c r="D30" s="750"/>
      <c r="E30" s="416" t="str">
        <f t="shared" si="0"/>
        <v/>
      </c>
      <c r="F30" s="527" t="str">
        <f t="shared" si="1"/>
        <v/>
      </c>
      <c r="G30" s="417"/>
      <c r="H30" s="583" t="str">
        <f t="shared" si="2"/>
        <v/>
      </c>
      <c r="I30" s="424"/>
      <c r="J30" s="749"/>
      <c r="K30" s="418"/>
      <c r="L30" s="419"/>
      <c r="M30" s="415"/>
      <c r="N30" s="420"/>
      <c r="O30" s="421"/>
      <c r="P30" s="561"/>
      <c r="Q30" s="422"/>
      <c r="R30" s="561" t="str">
        <f t="shared" si="3"/>
        <v/>
      </c>
      <c r="S30" s="664"/>
      <c r="T30" s="663"/>
      <c r="U30" s="580">
        <f t="shared" si="4"/>
        <v>0</v>
      </c>
      <c r="V30" s="418"/>
      <c r="W30" s="582" t="str">
        <f t="shared" si="5"/>
        <v/>
      </c>
      <c r="X30" s="479" t="str">
        <f t="shared" si="6"/>
        <v/>
      </c>
      <c r="Y30" s="582" t="str">
        <f t="shared" si="7"/>
        <v/>
      </c>
      <c r="Z30" s="317" t="str">
        <f t="shared" si="8"/>
        <v/>
      </c>
      <c r="AA30" s="317" t="str">
        <f t="shared" si="9"/>
        <v/>
      </c>
      <c r="AB30" s="317">
        <f t="shared" si="10"/>
        <v>0</v>
      </c>
      <c r="AC30" s="317" t="str">
        <f t="shared" si="11"/>
        <v/>
      </c>
      <c r="AD30" s="317"/>
      <c r="AE30" s="479"/>
      <c r="AF30" s="479"/>
      <c r="AG30" s="423"/>
      <c r="AH30" s="820"/>
      <c r="AI30" s="480"/>
      <c r="AJ30" s="660"/>
      <c r="AK30" s="524" t="str">
        <f t="shared" si="12"/>
        <v/>
      </c>
      <c r="AL30" s="731">
        <f>SUMIF($J$4:$J$116,"Volta Aulas",$S$4:$S$116)</f>
        <v>0</v>
      </c>
      <c r="AM30" s="732">
        <f>SUMIF($J$4:$J$116,"Volta Aulas",$T$4:$T$116)</f>
        <v>0</v>
      </c>
      <c r="AN30" s="426">
        <f t="shared" si="13"/>
        <v>0</v>
      </c>
      <c r="AO30" s="427" t="str">
        <f t="shared" si="37"/>
        <v/>
      </c>
      <c r="AP30" s="426" t="str">
        <f t="shared" si="14"/>
        <v/>
      </c>
      <c r="AQ30" s="426"/>
      <c r="AR30" s="426"/>
      <c r="AS30" s="428"/>
      <c r="AT30" s="429"/>
      <c r="AU30" s="501"/>
      <c r="AV30" s="431"/>
      <c r="AW30" s="432"/>
      <c r="AX30" s="430"/>
      <c r="AY30" s="431">
        <f t="shared" si="15"/>
        <v>0</v>
      </c>
      <c r="AZ30" s="426"/>
      <c r="BA30" s="435" t="str">
        <f t="shared" si="16"/>
        <v/>
      </c>
      <c r="BB30" s="435"/>
      <c r="BC30" s="426"/>
      <c r="BD30" s="426">
        <f t="array" ref="BD30">IF(SUM((BC30=$BC$3:BC29)*1)=0,BC30,0)</f>
        <v>0</v>
      </c>
      <c r="BE30" s="426"/>
      <c r="BF30" s="426"/>
      <c r="BG30" s="426">
        <f t="array" ref="BG30">IF(SUM((BF30=$BF$3:BF29)*1)=0,BF30,0)</f>
        <v>0</v>
      </c>
      <c r="BH30" s="426"/>
      <c r="BI30" s="426"/>
      <c r="BJ30" s="426"/>
      <c r="BK30" s="426"/>
      <c r="BL30" s="426"/>
      <c r="BM30" s="426"/>
      <c r="BN30" s="426"/>
      <c r="BO30" s="426"/>
      <c r="BP30" s="433">
        <f t="shared" si="17"/>
        <v>0</v>
      </c>
      <c r="BQ30" s="426"/>
      <c r="BR30" s="434"/>
      <c r="BS30" s="426"/>
      <c r="BT30" s="433"/>
      <c r="BU30" s="435"/>
      <c r="BV30" s="435" t="str">
        <f t="shared" si="18"/>
        <v/>
      </c>
      <c r="BW30" s="435" t="str">
        <f t="shared" si="38"/>
        <v/>
      </c>
      <c r="BX30" s="435"/>
      <c r="BY30" s="435"/>
      <c r="BZ30" s="435"/>
      <c r="CA30" s="435"/>
      <c r="CB30" s="435"/>
      <c r="CC30" s="435"/>
      <c r="CD30" s="435"/>
      <c r="CE30" s="435"/>
      <c r="CF30" s="435"/>
      <c r="CG30" s="435"/>
      <c r="CH30" s="435"/>
      <c r="CI30" s="435"/>
      <c r="CJ30" s="426" t="str">
        <f t="shared" si="39"/>
        <v/>
      </c>
      <c r="CK30" s="435"/>
      <c r="CL30" s="426"/>
      <c r="CM30" s="435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>
        <v>27</v>
      </c>
      <c r="CZ30" s="426"/>
      <c r="DA30" s="426"/>
      <c r="DB30" s="426"/>
      <c r="DC30" s="426" t="s">
        <v>770</v>
      </c>
      <c r="DD30" s="426" t="s">
        <v>930</v>
      </c>
      <c r="DE30" s="435" t="str">
        <f t="shared" si="40"/>
        <v/>
      </c>
      <c r="DF30" s="435" t="str">
        <f t="shared" si="41"/>
        <v/>
      </c>
      <c r="DG30" s="435" t="str">
        <f t="shared" si="42"/>
        <v/>
      </c>
      <c r="DH30" s="435" t="str">
        <f t="shared" si="43"/>
        <v/>
      </c>
      <c r="DI30" s="435" t="str">
        <f t="shared" si="44"/>
        <v/>
      </c>
      <c r="DJ30" s="435" t="str">
        <f t="shared" si="45"/>
        <v/>
      </c>
      <c r="DK30" s="435" t="str">
        <f t="shared" si="19"/>
        <v/>
      </c>
      <c r="DL30" s="435" t="str">
        <f t="shared" si="20"/>
        <v/>
      </c>
      <c r="DM30" s="435" t="str">
        <f t="shared" si="46"/>
        <v/>
      </c>
      <c r="DN30" s="435" t="str">
        <f t="shared" si="47"/>
        <v/>
      </c>
      <c r="DO30" s="435" t="str">
        <f t="shared" si="21"/>
        <v/>
      </c>
      <c r="DP30" s="435" t="str">
        <f t="shared" si="22"/>
        <v/>
      </c>
      <c r="DQ30" s="435" t="str">
        <f t="shared" si="48"/>
        <v/>
      </c>
      <c r="DR30" s="435" t="str">
        <f t="shared" si="49"/>
        <v/>
      </c>
      <c r="DS30" s="435" t="str">
        <f t="shared" si="23"/>
        <v/>
      </c>
      <c r="DT30" s="435" t="str">
        <f t="shared" si="24"/>
        <v/>
      </c>
      <c r="DU30" s="435" t="str">
        <f t="shared" si="50"/>
        <v/>
      </c>
      <c r="DV30" s="435" t="str">
        <f t="shared" si="51"/>
        <v/>
      </c>
      <c r="DW30" s="435" t="str">
        <f t="shared" si="25"/>
        <v/>
      </c>
      <c r="DX30" s="435" t="str">
        <f t="shared" si="26"/>
        <v/>
      </c>
      <c r="DY30" s="435" t="str">
        <f t="shared" si="52"/>
        <v/>
      </c>
      <c r="DZ30" s="435" t="str">
        <f t="shared" si="53"/>
        <v/>
      </c>
      <c r="EA30" s="435" t="str">
        <f t="shared" si="27"/>
        <v/>
      </c>
      <c r="EB30" s="435" t="str">
        <f t="shared" si="28"/>
        <v/>
      </c>
      <c r="EC30" s="435" t="str">
        <f t="shared" si="29"/>
        <v/>
      </c>
      <c r="ED30" s="435" t="str">
        <f t="shared" si="30"/>
        <v/>
      </c>
      <c r="EE30" s="435" t="str">
        <f t="shared" si="31"/>
        <v/>
      </c>
      <c r="EF30" s="435" t="str">
        <f t="shared" si="32"/>
        <v/>
      </c>
      <c r="EG30" s="435" t="str">
        <f t="shared" si="33"/>
        <v/>
      </c>
      <c r="EH30" s="435" t="str">
        <f t="shared" si="34"/>
        <v/>
      </c>
      <c r="EI30" s="435" t="str">
        <f t="shared" si="35"/>
        <v/>
      </c>
      <c r="EJ30" s="435" t="str">
        <f t="shared" si="36"/>
        <v/>
      </c>
      <c r="EK30" s="485"/>
      <c r="EL30" s="485"/>
      <c r="EM30" s="485"/>
      <c r="EN30" s="485"/>
      <c r="EO30" s="448"/>
      <c r="EP30" s="448"/>
      <c r="EQ30" s="448"/>
      <c r="ER30" s="448"/>
      <c r="ES30" s="448"/>
      <c r="ET30" s="435"/>
      <c r="EU30" s="435"/>
      <c r="EV30" s="435"/>
      <c r="EW30" s="435"/>
      <c r="EX30" s="426"/>
      <c r="EY30" s="426"/>
      <c r="EZ30" s="426"/>
      <c r="FA30" s="427"/>
      <c r="FB30" s="427">
        <f t="array" ref="FB30">IF(SUM((FA30=$FA$3:FA29)*1)=0,FA30,0)</f>
        <v>0</v>
      </c>
      <c r="FC30" s="427"/>
      <c r="FD30" s="427"/>
      <c r="FE30" s="427">
        <f t="array" ref="FE30">IF(SUM((FD30=$FD$3:FD29)*1)=0,FD30,0)</f>
        <v>0</v>
      </c>
      <c r="FF30" s="427"/>
      <c r="FG30" s="427"/>
      <c r="FH30" s="427"/>
      <c r="FI30" s="427">
        <f t="array" ref="FI30">IF(SUM((FH30=$FH$3:FH29)*1)=0,FH30,0)</f>
        <v>0</v>
      </c>
      <c r="FJ30" s="427"/>
      <c r="FK30" s="427"/>
      <c r="FL30" s="427">
        <f t="array" ref="FL30">IF(SUM((FK30=$FK$3:FK29)*1)=0,FK30,0)</f>
        <v>0</v>
      </c>
      <c r="FM30" s="427"/>
      <c r="FN30" s="427"/>
      <c r="FO30" s="427"/>
      <c r="FP30" s="427">
        <f t="array" ref="FP30">IF(SUM((FO30=$FO$3:FO29)*1)=0,FO30,0)</f>
        <v>0</v>
      </c>
      <c r="FQ30" s="427"/>
      <c r="FR30" s="427"/>
      <c r="FS30" s="427">
        <f t="array" ref="FS30">IF(SUM((FR30=$FR$3:FR29)*1)=0,FR30,0)</f>
        <v>0</v>
      </c>
      <c r="FT30" s="427"/>
      <c r="FU30" s="427"/>
      <c r="FV30" s="427"/>
      <c r="FW30" s="427">
        <f t="array" ref="FW30">IF(SUM((FV30=$FV$3:FV29)*1)=0,FV30,0)</f>
        <v>0</v>
      </c>
      <c r="FX30" s="427"/>
      <c r="FY30" s="427"/>
      <c r="FZ30" s="427">
        <f t="array" ref="FZ30">IF(SUM((FY30=$FY$3:FY29)*1)=0,FY30,0)</f>
        <v>0</v>
      </c>
      <c r="GA30" s="427"/>
      <c r="GB30" s="427"/>
      <c r="GC30" s="427"/>
      <c r="GD30" s="427">
        <f t="array" ref="GD30">IF(SUM((GC30=$GC$3:GC29)*1)=0,GC30,0)</f>
        <v>0</v>
      </c>
      <c r="GE30" s="427"/>
      <c r="GF30" s="427"/>
      <c r="GG30" s="427">
        <f t="array" ref="GG30">IF(SUM((GF30=$GF$3:GF29)*1)=0,GF30,0)</f>
        <v>0</v>
      </c>
      <c r="GH30" s="427"/>
      <c r="GI30" s="427"/>
      <c r="GJ30" s="427"/>
      <c r="GK30" s="798">
        <f t="array" ref="GK30">IF(SUM((GJ30=$GJ$3:GJ29)*1)=0,GJ30,0)</f>
        <v>0</v>
      </c>
      <c r="GL30" s="427"/>
      <c r="GM30" s="427"/>
      <c r="GN30" s="798">
        <f t="array" ref="GN30">IF(SUM((GM30=$GM$3:GM29)*1)=0,GM30,0)</f>
        <v>0</v>
      </c>
      <c r="GO30" s="427"/>
      <c r="GP30" s="427"/>
      <c r="GQ30" s="427"/>
      <c r="GR30" s="798">
        <f t="array" ref="GR30">IF(SUM((GQ30=$GQ$3:GQ29)*1)=0,GQ30,0)</f>
        <v>0</v>
      </c>
      <c r="GS30" s="427"/>
      <c r="GT30" s="427"/>
      <c r="GU30" s="798">
        <f t="array" ref="GU30">IF(SUM((GT30=$GT$3:GT29)*1)=0,GT30,0)</f>
        <v>0</v>
      </c>
      <c r="GV30" s="427"/>
      <c r="GW30" s="427"/>
      <c r="GX30" s="427"/>
      <c r="GY30" s="798">
        <f t="array" ref="GY30">IF(SUM((GX30=$GX$3:GX29)*1)=0,GX30,0)</f>
        <v>0</v>
      </c>
      <c r="GZ30" s="427"/>
      <c r="HA30" s="427"/>
      <c r="HB30" s="798">
        <f t="array" ref="HB30">IF(SUM((HA30=$HA$3:HA29)*1)=0,HA30,0)</f>
        <v>0</v>
      </c>
      <c r="HC30" s="427"/>
      <c r="HD30" s="427"/>
      <c r="HE30" s="769" t="str">
        <f t="shared" si="130"/>
        <v/>
      </c>
      <c r="HF30" s="768" t="str">
        <f t="shared" ref="HF30" si="339">IF(HE30&lt;0,"Invadiu REP-BA-C","")</f>
        <v/>
      </c>
      <c r="HG30" s="769" t="str">
        <f t="shared" si="131"/>
        <v/>
      </c>
      <c r="HH30" s="768" t="str">
        <f t="shared" si="55"/>
        <v/>
      </c>
      <c r="HI30" s="728" t="str">
        <f t="shared" si="132"/>
        <v/>
      </c>
      <c r="HJ30" s="768" t="str">
        <f t="shared" si="56"/>
        <v/>
      </c>
      <c r="HK30" s="728" t="str">
        <f t="shared" si="133"/>
        <v/>
      </c>
      <c r="HL30" s="768" t="str">
        <f t="shared" si="57"/>
        <v/>
      </c>
      <c r="HM30" s="769" t="str">
        <f t="shared" si="58"/>
        <v/>
      </c>
      <c r="HN30" s="768" t="str">
        <f t="shared" ref="HN30" si="340">IF(HM30&lt;0,"Invadiu REP-BA-C","")</f>
        <v/>
      </c>
      <c r="HO30" s="769" t="str">
        <f t="shared" si="60"/>
        <v/>
      </c>
      <c r="HP30" s="768" t="str">
        <f t="shared" si="61"/>
        <v/>
      </c>
      <c r="HQ30" s="728" t="str">
        <f t="shared" si="62"/>
        <v/>
      </c>
      <c r="HR30" s="768" t="str">
        <f t="shared" si="63"/>
        <v/>
      </c>
      <c r="HS30" s="728" t="str">
        <f t="shared" si="64"/>
        <v/>
      </c>
      <c r="HT30" s="768" t="str">
        <f t="shared" si="65"/>
        <v/>
      </c>
      <c r="HU30" s="769" t="str">
        <f t="shared" si="66"/>
        <v/>
      </c>
      <c r="HV30" s="768" t="str">
        <f t="shared" ref="HV30" si="341">IF(HU30&lt;0,"Invadiu REP-BA-C","")</f>
        <v/>
      </c>
      <c r="HW30" s="769" t="str">
        <f t="shared" si="68"/>
        <v/>
      </c>
      <c r="HX30" s="768" t="str">
        <f t="shared" si="69"/>
        <v/>
      </c>
      <c r="HY30" s="728" t="str">
        <f t="shared" si="70"/>
        <v/>
      </c>
      <c r="HZ30" s="768" t="str">
        <f t="shared" si="71"/>
        <v/>
      </c>
      <c r="IA30" s="728" t="str">
        <f t="shared" si="72"/>
        <v/>
      </c>
      <c r="IB30" s="768" t="str">
        <f t="shared" si="73"/>
        <v/>
      </c>
      <c r="IC30" s="769" t="str">
        <f t="shared" si="74"/>
        <v/>
      </c>
      <c r="ID30" s="768" t="str">
        <f t="shared" ref="ID30" si="342">IF(IC30&lt;0,"Invadiu REP-BA-C","")</f>
        <v/>
      </c>
      <c r="IE30" s="769" t="str">
        <f t="shared" si="76"/>
        <v/>
      </c>
      <c r="IF30" s="768" t="str">
        <f t="shared" si="77"/>
        <v/>
      </c>
      <c r="IG30" s="728" t="str">
        <f t="shared" si="78"/>
        <v/>
      </c>
      <c r="IH30" s="768" t="str">
        <f t="shared" si="79"/>
        <v/>
      </c>
      <c r="II30" s="728" t="str">
        <f t="shared" si="80"/>
        <v/>
      </c>
      <c r="IJ30" s="768" t="str">
        <f t="shared" si="81"/>
        <v/>
      </c>
      <c r="IK30" s="769" t="str">
        <f t="shared" si="82"/>
        <v/>
      </c>
      <c r="IL30" s="768" t="str">
        <f t="shared" ref="IL30" si="343">IF(IK30&lt;0,"Invadiu REP-BA-C","")</f>
        <v/>
      </c>
      <c r="IM30" s="769" t="str">
        <f t="shared" si="84"/>
        <v/>
      </c>
      <c r="IN30" s="768" t="str">
        <f t="shared" si="85"/>
        <v/>
      </c>
      <c r="IO30" s="728" t="str">
        <f t="shared" si="86"/>
        <v/>
      </c>
      <c r="IP30" s="768" t="str">
        <f t="shared" si="87"/>
        <v/>
      </c>
      <c r="IQ30" s="728" t="str">
        <f t="shared" si="88"/>
        <v/>
      </c>
      <c r="IR30" s="768" t="str">
        <f t="shared" si="89"/>
        <v/>
      </c>
      <c r="IS30" s="769" t="str">
        <f t="shared" si="90"/>
        <v/>
      </c>
      <c r="IT30" s="768" t="str">
        <f t="shared" ref="IT30" si="344">IF(IS30&lt;0,"Invadiu REP-BA-C","")</f>
        <v/>
      </c>
      <c r="IU30" s="769" t="str">
        <f t="shared" si="92"/>
        <v/>
      </c>
      <c r="IV30" s="768" t="str">
        <f t="shared" si="93"/>
        <v/>
      </c>
      <c r="IW30" s="728" t="str">
        <f t="shared" si="94"/>
        <v/>
      </c>
      <c r="IX30" s="768" t="str">
        <f t="shared" si="95"/>
        <v/>
      </c>
      <c r="IY30" s="728" t="str">
        <f t="shared" si="96"/>
        <v/>
      </c>
      <c r="IZ30" s="768" t="str">
        <f t="shared" si="97"/>
        <v/>
      </c>
      <c r="JA30" s="769" t="str">
        <f t="shared" si="98"/>
        <v/>
      </c>
      <c r="JB30" s="768" t="str">
        <f t="shared" ref="JB30" si="345">IF(JA30&lt;0,"Invadiu REP-BA-C","")</f>
        <v/>
      </c>
      <c r="JC30" s="769" t="str">
        <f t="shared" si="100"/>
        <v/>
      </c>
      <c r="JD30" s="768" t="str">
        <f t="shared" si="101"/>
        <v/>
      </c>
      <c r="JE30" s="728" t="str">
        <f t="shared" si="102"/>
        <v/>
      </c>
      <c r="JF30" s="768" t="str">
        <f t="shared" si="103"/>
        <v/>
      </c>
      <c r="JG30" s="728" t="str">
        <f t="shared" si="104"/>
        <v/>
      </c>
      <c r="JH30" s="768" t="str">
        <f t="shared" si="105"/>
        <v/>
      </c>
      <c r="JI30" s="769" t="str">
        <f t="shared" si="106"/>
        <v/>
      </c>
      <c r="JJ30" s="768" t="str">
        <f t="shared" ref="JJ30" si="346">IF(JI30&lt;0,"Invadiu REP-BA-C","")</f>
        <v/>
      </c>
      <c r="JK30" s="769" t="str">
        <f t="shared" si="108"/>
        <v/>
      </c>
      <c r="JL30" s="768" t="str">
        <f t="shared" si="109"/>
        <v/>
      </c>
      <c r="JM30" s="728" t="str">
        <f t="shared" si="110"/>
        <v/>
      </c>
      <c r="JN30" s="768" t="str">
        <f t="shared" si="111"/>
        <v/>
      </c>
      <c r="JO30" s="728" t="str">
        <f t="shared" si="112"/>
        <v/>
      </c>
      <c r="JP30" s="768" t="str">
        <f t="shared" si="113"/>
        <v/>
      </c>
      <c r="JQ30" s="769" t="str">
        <f t="shared" si="114"/>
        <v/>
      </c>
      <c r="JR30" s="768" t="str">
        <f t="shared" ref="JR30" si="347">IF(JQ30&lt;0,"Invadiu REP-BA-C","")</f>
        <v/>
      </c>
      <c r="JS30" s="769" t="str">
        <f t="shared" si="116"/>
        <v/>
      </c>
      <c r="JT30" s="768" t="str">
        <f t="shared" si="117"/>
        <v/>
      </c>
      <c r="JU30" s="728" t="str">
        <f t="shared" si="118"/>
        <v/>
      </c>
      <c r="JV30" s="768" t="str">
        <f t="shared" si="119"/>
        <v/>
      </c>
      <c r="JW30" s="728" t="str">
        <f t="shared" si="120"/>
        <v/>
      </c>
      <c r="JX30" s="768" t="str">
        <f t="shared" si="121"/>
        <v/>
      </c>
      <c r="JY30" s="768" t="str">
        <f t="shared" si="122"/>
        <v/>
      </c>
      <c r="JZ30" s="485" t="str">
        <f>IF(JY30="","",IF(AND(C30=$C$164,JY30&lt;&gt;""),Verificarcpf(D30),IF(AND(C30=$C$165,JY30&lt;&gt;""),VerificarCNPJ(D30))))</f>
        <v/>
      </c>
      <c r="KA30" s="768" t="str">
        <f t="shared" si="123"/>
        <v/>
      </c>
      <c r="KB30" s="485">
        <f t="shared" si="124"/>
        <v>0</v>
      </c>
      <c r="KC30" s="768">
        <f t="shared" si="125"/>
        <v>0</v>
      </c>
      <c r="KD30" s="485">
        <f t="shared" si="126"/>
        <v>0</v>
      </c>
      <c r="KE30" s="448"/>
      <c r="KF30" s="548">
        <f t="shared" si="127"/>
        <v>0</v>
      </c>
      <c r="KG30" s="548" t="s">
        <v>574</v>
      </c>
      <c r="KH30" s="548"/>
      <c r="KI30" s="548"/>
      <c r="KJ30" s="548" t="str">
        <f t="shared" si="128"/>
        <v/>
      </c>
      <c r="KK30" s="548"/>
      <c r="KL30" s="548"/>
      <c r="KM30" s="548">
        <f t="array" ref="KM30">IF(SUM((KL30=$KL$3:KL29)*1)=0,KL30,0)</f>
        <v>0</v>
      </c>
      <c r="KN30" s="548"/>
      <c r="KO30" s="548"/>
      <c r="KP30" s="548"/>
      <c r="KQ30" s="548"/>
      <c r="KR30" s="548" t="str">
        <f t="shared" si="129"/>
        <v/>
      </c>
      <c r="KS30" s="548"/>
      <c r="KT30" s="548"/>
      <c r="KU30" s="548"/>
      <c r="KV30" s="548"/>
      <c r="KW30" s="548"/>
      <c r="KX30" s="548"/>
      <c r="KY30" s="548"/>
      <c r="KZ30" s="548"/>
      <c r="LA30" s="548"/>
      <c r="LB30" s="548"/>
      <c r="LC30" s="485" t="str">
        <f t="shared" si="142"/>
        <v/>
      </c>
      <c r="LD30" s="548"/>
      <c r="LE30" s="548"/>
      <c r="LF30" s="548"/>
      <c r="LG30" s="548"/>
      <c r="LH30" s="548"/>
      <c r="LI30" s="548"/>
      <c r="LJ30" s="548"/>
      <c r="LK30" s="548"/>
      <c r="LL30" s="548"/>
      <c r="LM30" s="548"/>
      <c r="LN30" s="548"/>
      <c r="LO30" s="548"/>
      <c r="LP30" s="485" t="str">
        <f t="shared" si="143"/>
        <v/>
      </c>
      <c r="LQ30" s="548"/>
      <c r="LR30" s="548"/>
      <c r="LS30" s="548"/>
      <c r="LT30" s="548"/>
      <c r="LU30" s="548"/>
      <c r="LV30" s="548"/>
      <c r="LW30" s="548"/>
      <c r="LX30" s="548"/>
      <c r="LY30" s="548"/>
      <c r="LZ30" s="548"/>
      <c r="MA30" s="548"/>
      <c r="MB30" s="548"/>
      <c r="MC30" s="485" t="str">
        <f t="shared" si="144"/>
        <v/>
      </c>
      <c r="MD30" s="548"/>
      <c r="ME30" s="548"/>
      <c r="MF30" s="548"/>
      <c r="MG30" s="548"/>
      <c r="MH30" s="548"/>
      <c r="MI30" s="548"/>
      <c r="MJ30" s="548"/>
      <c r="MK30" s="548"/>
      <c r="ML30" s="548"/>
      <c r="MM30" s="548"/>
      <c r="MN30" s="548"/>
      <c r="MO30" s="548"/>
      <c r="MP30" s="485" t="str">
        <f t="shared" si="145"/>
        <v/>
      </c>
      <c r="MQ30" s="548"/>
      <c r="MR30" s="548"/>
      <c r="MS30" s="548"/>
      <c r="MT30" s="548"/>
      <c r="MU30" s="548"/>
      <c r="MV30" s="548"/>
      <c r="MW30" s="548"/>
      <c r="MX30" s="548"/>
      <c r="MY30" s="548"/>
      <c r="MZ30" s="548"/>
      <c r="NA30" s="548"/>
      <c r="NB30" s="548"/>
      <c r="NC30" s="485" t="str">
        <f t="shared" si="146"/>
        <v/>
      </c>
      <c r="ND30" s="548"/>
      <c r="NE30" s="548"/>
      <c r="NF30" s="548"/>
      <c r="NG30" s="548"/>
      <c r="NH30" s="548"/>
      <c r="NI30" s="548"/>
      <c r="NJ30" s="548"/>
      <c r="NK30" s="548"/>
      <c r="NL30" s="548"/>
      <c r="NM30" s="548"/>
      <c r="NN30" s="548"/>
      <c r="NO30" s="548"/>
      <c r="NP30" s="485" t="str">
        <f t="shared" si="147"/>
        <v/>
      </c>
      <c r="NQ30" s="548"/>
      <c r="NR30" s="548"/>
      <c r="NS30" s="548"/>
      <c r="NT30" s="548"/>
      <c r="NU30" s="548"/>
      <c r="NV30" s="548"/>
      <c r="NW30" s="548"/>
      <c r="NX30" s="548"/>
      <c r="NY30" s="548"/>
      <c r="NZ30" s="548"/>
      <c r="OA30" s="548"/>
      <c r="OB30" s="548"/>
      <c r="OC30" s="485" t="str">
        <f t="shared" si="148"/>
        <v/>
      </c>
      <c r="OD30" s="548"/>
      <c r="OE30" s="548"/>
      <c r="OF30" s="548"/>
      <c r="OG30" s="548"/>
      <c r="OH30" s="548"/>
      <c r="OI30" s="548"/>
      <c r="OJ30" s="548"/>
      <c r="OK30" s="548"/>
      <c r="OL30" s="548"/>
      <c r="OM30" s="548"/>
      <c r="ON30" s="548"/>
      <c r="OO30" s="548"/>
      <c r="OP30" s="548"/>
      <c r="OQ30" s="548"/>
      <c r="OR30" s="548"/>
      <c r="OS30" s="548"/>
      <c r="OT30" s="548"/>
      <c r="OU30" s="548"/>
      <c r="OV30" s="548"/>
      <c r="OW30" s="548"/>
      <c r="OX30" s="548"/>
      <c r="OY30" s="548"/>
      <c r="OZ30" s="548"/>
      <c r="PA30" s="548"/>
      <c r="PB30" s="548"/>
      <c r="PC30" s="548"/>
      <c r="PD30" s="548"/>
      <c r="PE30" s="548"/>
      <c r="PF30" s="548"/>
      <c r="PG30" s="548"/>
      <c r="PH30" s="548"/>
      <c r="PI30" s="548"/>
      <c r="PJ30" s="548"/>
      <c r="PK30" s="548"/>
      <c r="PL30" s="548"/>
      <c r="PM30" s="548"/>
      <c r="PN30" s="548"/>
      <c r="PO30" s="548"/>
      <c r="PP30" s="548"/>
      <c r="PQ30" s="548"/>
      <c r="PR30" s="548"/>
      <c r="PS30" s="548"/>
      <c r="PT30" s="548"/>
      <c r="PU30" s="548"/>
      <c r="PV30" s="548"/>
      <c r="PW30" s="548"/>
      <c r="PX30" s="548"/>
      <c r="PY30" s="548"/>
      <c r="PZ30" s="548"/>
      <c r="QA30" s="548"/>
      <c r="QB30" s="548"/>
      <c r="QC30" s="548"/>
      <c r="QD30" s="548"/>
      <c r="QE30" s="548"/>
      <c r="QF30" s="548"/>
      <c r="QG30" s="548"/>
      <c r="QH30" s="548"/>
      <c r="QI30" s="548"/>
      <c r="QJ30" s="548"/>
      <c r="QK30" s="548"/>
      <c r="QL30" s="548"/>
      <c r="QM30" s="548"/>
      <c r="QN30" s="548"/>
      <c r="QO30" s="548"/>
      <c r="QP30" s="548"/>
      <c r="QQ30" s="1009"/>
      <c r="QR30" s="548"/>
      <c r="QS30" s="548"/>
      <c r="QT30" s="548"/>
      <c r="QU30" s="548"/>
      <c r="QV30" s="548"/>
      <c r="QW30" s="548"/>
      <c r="QX30" s="548"/>
      <c r="QY30" s="548"/>
      <c r="QZ30" s="548"/>
      <c r="RA30" s="548"/>
      <c r="RB30" s="548"/>
      <c r="RC30" s="548"/>
      <c r="RD30" s="548"/>
      <c r="RE30" s="548"/>
      <c r="RF30" s="548"/>
      <c r="RG30" s="548"/>
      <c r="RH30" s="548"/>
      <c r="RI30" s="548"/>
      <c r="RJ30" s="548"/>
      <c r="RK30" s="548"/>
      <c r="RL30" s="548"/>
      <c r="RM30" s="548"/>
      <c r="RN30" s="548"/>
      <c r="RO30" s="548"/>
      <c r="RP30" s="548"/>
      <c r="RQ30" s="548"/>
      <c r="RR30" s="548"/>
      <c r="RS30" s="548"/>
      <c r="RT30" s="548"/>
      <c r="RU30" s="548"/>
      <c r="RV30" s="548"/>
      <c r="RW30" s="548"/>
      <c r="RX30" s="548"/>
      <c r="RY30" s="548"/>
      <c r="RZ30" s="548"/>
      <c r="SA30" s="548"/>
      <c r="SB30" s="548"/>
      <c r="SC30" s="548"/>
      <c r="SD30" s="548"/>
      <c r="SE30" s="548"/>
      <c r="SF30" s="548"/>
      <c r="SG30" s="548"/>
      <c r="SH30" s="548"/>
      <c r="SI30" s="548"/>
      <c r="SJ30" s="548"/>
      <c r="SK30" s="548"/>
      <c r="SL30" s="548"/>
      <c r="SM30" s="548"/>
      <c r="SN30" s="548"/>
      <c r="SO30" s="548"/>
      <c r="SP30" s="548"/>
      <c r="SQ30" s="548"/>
      <c r="SR30" s="548"/>
      <c r="SS30" s="548"/>
      <c r="ST30" s="548"/>
      <c r="SU30" s="548"/>
      <c r="SV30" s="548"/>
      <c r="SW30" s="548"/>
      <c r="SX30" s="548"/>
      <c r="SY30" s="548"/>
      <c r="SZ30" s="548"/>
      <c r="TA30" s="548"/>
      <c r="TB30" s="548"/>
      <c r="TC30" s="548"/>
      <c r="TD30" s="548"/>
      <c r="TE30" s="548"/>
      <c r="TF30" s="548"/>
      <c r="TG30" s="548"/>
      <c r="TH30" s="548"/>
      <c r="TI30" s="548"/>
      <c r="TJ30" s="548"/>
      <c r="TK30" s="548"/>
      <c r="TL30" s="548"/>
      <c r="TM30" s="548"/>
      <c r="TN30" s="548"/>
      <c r="TO30" s="548"/>
      <c r="TP30" s="548"/>
      <c r="TQ30" s="548"/>
      <c r="TR30" s="548"/>
      <c r="TS30" s="548"/>
      <c r="TT30" s="548"/>
      <c r="TU30" s="548"/>
      <c r="TV30" s="548"/>
      <c r="TW30" s="548"/>
      <c r="TX30" s="548"/>
      <c r="TY30" s="548"/>
      <c r="TZ30" s="548"/>
      <c r="UA30" s="548"/>
      <c r="UB30" s="548"/>
      <c r="UC30" s="548"/>
      <c r="UD30" s="548"/>
      <c r="UE30" s="548"/>
      <c r="UF30" s="548"/>
      <c r="UG30" s="548"/>
      <c r="UH30" s="548"/>
      <c r="UI30" s="548"/>
      <c r="UJ30" s="548"/>
      <c r="UK30" s="548"/>
      <c r="UL30" s="548"/>
      <c r="UM30" s="548"/>
      <c r="UN30" s="548"/>
      <c r="UO30" s="548"/>
      <c r="UP30" s="548"/>
      <c r="UQ30" s="548"/>
      <c r="UR30" s="548"/>
      <c r="US30" s="548"/>
      <c r="UT30" s="548"/>
      <c r="UU30" s="548"/>
      <c r="UV30" s="548"/>
      <c r="UW30" s="548"/>
      <c r="UX30" s="548"/>
      <c r="UY30" s="548"/>
      <c r="UZ30" s="548"/>
      <c r="VA30" s="548"/>
      <c r="VB30" s="548"/>
      <c r="VC30" s="548"/>
      <c r="VD30" s="548"/>
      <c r="VE30" s="548"/>
      <c r="VF30" s="548"/>
      <c r="VG30" s="548"/>
      <c r="VH30" s="548"/>
      <c r="VI30" s="548"/>
      <c r="VJ30" s="548"/>
      <c r="VK30" s="548"/>
      <c r="VL30" s="548"/>
      <c r="VM30" s="548"/>
      <c r="VN30" s="548"/>
      <c r="VO30" s="548"/>
      <c r="VP30" s="548"/>
      <c r="VQ30" s="548"/>
      <c r="VR30" s="548"/>
      <c r="VS30" s="548"/>
      <c r="VT30" s="548"/>
      <c r="VU30" s="548"/>
      <c r="VV30" s="548"/>
      <c r="VW30" s="548"/>
      <c r="VX30" s="548"/>
      <c r="VY30" s="548"/>
      <c r="VZ30" s="548"/>
      <c r="WA30" s="548"/>
      <c r="WB30" s="548"/>
      <c r="WC30" s="548"/>
      <c r="WD30" s="548"/>
      <c r="WE30" s="548"/>
      <c r="WF30" s="548"/>
      <c r="WG30" s="548"/>
      <c r="WH30" s="548"/>
      <c r="WI30" s="548"/>
      <c r="WJ30" s="548"/>
      <c r="WK30" s="548"/>
      <c r="WL30" s="548"/>
      <c r="WM30" s="548"/>
      <c r="WN30" s="548"/>
      <c r="WO30" s="548"/>
      <c r="WP30" s="548"/>
      <c r="WQ30" s="548"/>
      <c r="WR30" s="548"/>
      <c r="WS30" s="548"/>
      <c r="WT30" s="548"/>
      <c r="WU30" s="548"/>
      <c r="WV30" s="548"/>
      <c r="WW30" s="548"/>
      <c r="WX30" s="548"/>
      <c r="WY30" s="548"/>
      <c r="WZ30" s="548"/>
      <c r="XA30" s="548"/>
      <c r="XB30" s="548"/>
      <c r="XC30" s="548"/>
      <c r="XD30" s="548"/>
      <c r="XE30" s="548"/>
      <c r="XF30" s="548"/>
      <c r="XG30" s="548"/>
      <c r="XH30" s="548"/>
      <c r="XI30" s="548"/>
      <c r="XJ30" s="548"/>
      <c r="XK30" s="548"/>
      <c r="XL30" s="548"/>
      <c r="XM30" s="548"/>
      <c r="XN30" s="548"/>
      <c r="XO30" s="548"/>
      <c r="XP30" s="548"/>
      <c r="XQ30" s="548"/>
      <c r="XR30" s="548"/>
      <c r="XS30" s="548"/>
      <c r="XT30" s="548"/>
      <c r="XU30" s="548"/>
      <c r="XV30" s="548"/>
      <c r="XW30" s="548"/>
      <c r="XX30" s="548"/>
      <c r="XY30" s="548"/>
      <c r="XZ30" s="548"/>
      <c r="YA30" s="548"/>
      <c r="YB30" s="548"/>
      <c r="YC30" s="548"/>
      <c r="YD30" s="548"/>
      <c r="YE30" s="548"/>
      <c r="YF30" s="548"/>
      <c r="YG30" s="548"/>
      <c r="YH30" s="548"/>
      <c r="YI30" s="548"/>
      <c r="YJ30" s="548"/>
      <c r="YK30" s="548"/>
      <c r="YL30" s="548"/>
      <c r="YM30" s="548"/>
      <c r="YN30" s="548"/>
      <c r="YO30" s="548"/>
      <c r="YP30" s="548"/>
      <c r="YQ30" s="548"/>
      <c r="YR30" s="548"/>
      <c r="YS30" s="548"/>
      <c r="YT30" s="548"/>
      <c r="YU30" s="548"/>
      <c r="YV30" s="548"/>
      <c r="YW30" s="548"/>
      <c r="YX30" s="548"/>
      <c r="YY30" s="548"/>
      <c r="YZ30" s="548"/>
      <c r="ZA30" s="548"/>
      <c r="ZB30" s="548"/>
      <c r="ZC30" s="548"/>
      <c r="ZD30" s="548"/>
      <c r="ZE30" s="548"/>
      <c r="ZF30" s="548"/>
      <c r="ZG30" s="548"/>
      <c r="ZH30" s="548"/>
      <c r="ZI30" s="548"/>
      <c r="ZJ30" s="548"/>
      <c r="ZK30" s="548"/>
      <c r="ZL30" s="548"/>
      <c r="ZM30" s="548"/>
      <c r="ZN30" s="548"/>
      <c r="ZO30" s="548"/>
      <c r="ZP30" s="548"/>
      <c r="ZQ30" s="548"/>
      <c r="ZR30" s="548"/>
      <c r="ZS30" s="548"/>
      <c r="ZT30" s="548"/>
      <c r="ZU30" s="548"/>
      <c r="ZV30" s="548"/>
      <c r="ZW30" s="548"/>
      <c r="ZX30" s="548"/>
      <c r="ZY30" s="548"/>
      <c r="ZZ30" s="548"/>
      <c r="AAA30" s="548"/>
      <c r="AAB30" s="548"/>
      <c r="AAC30" s="548"/>
      <c r="AAD30" s="548"/>
      <c r="AAE30" s="548"/>
      <c r="AAF30" s="548"/>
      <c r="AAG30" s="548"/>
      <c r="AAH30" s="548"/>
      <c r="AAI30" s="548"/>
      <c r="AAJ30" s="548"/>
      <c r="AAK30" s="548"/>
      <c r="AAL30" s="548"/>
      <c r="AAM30" s="548"/>
      <c r="AAN30" s="548"/>
      <c r="AAO30" s="548"/>
      <c r="AAP30" s="548"/>
      <c r="AAQ30" s="548"/>
      <c r="AAR30" s="548"/>
      <c r="AAS30" s="548"/>
      <c r="AAT30" s="548"/>
      <c r="AAU30" s="548"/>
      <c r="AAV30" s="548"/>
      <c r="AAW30" s="548"/>
      <c r="AAX30" s="548"/>
      <c r="AAY30" s="548"/>
      <c r="AAZ30" s="548"/>
      <c r="ABA30" s="548"/>
      <c r="ABB30" s="548"/>
      <c r="ABC30" s="548"/>
      <c r="ABD30" s="548"/>
      <c r="ABE30" s="548"/>
      <c r="ABF30" s="548"/>
      <c r="ABG30" s="548"/>
      <c r="ABH30" s="548"/>
      <c r="ABI30" s="548"/>
      <c r="ABJ30" s="548"/>
      <c r="ABK30" s="548"/>
      <c r="ABL30" s="548"/>
      <c r="ABM30" s="548"/>
      <c r="ABN30" s="548"/>
      <c r="ABO30" s="548"/>
      <c r="ABP30" s="548"/>
      <c r="ABQ30" s="548"/>
      <c r="ABR30" s="548"/>
      <c r="ABS30" s="548"/>
    </row>
    <row r="31" spans="1:747" customFormat="1" ht="15" customHeight="1" x14ac:dyDescent="0.2">
      <c r="A31" s="424" t="str">
        <f t="shared" si="149"/>
        <v/>
      </c>
      <c r="B31" s="415"/>
      <c r="C31" s="525"/>
      <c r="D31" s="750"/>
      <c r="E31" s="416" t="str">
        <f t="shared" si="0"/>
        <v/>
      </c>
      <c r="F31" s="527" t="str">
        <f t="shared" si="1"/>
        <v/>
      </c>
      <c r="G31" s="417"/>
      <c r="H31" s="583" t="str">
        <f t="shared" si="2"/>
        <v/>
      </c>
      <c r="I31" s="424"/>
      <c r="J31" s="749"/>
      <c r="K31" s="418"/>
      <c r="L31" s="419"/>
      <c r="M31" s="415"/>
      <c r="N31" s="420"/>
      <c r="O31" s="653"/>
      <c r="P31" s="561"/>
      <c r="Q31" s="422"/>
      <c r="R31" s="561" t="str">
        <f t="shared" si="3"/>
        <v/>
      </c>
      <c r="S31" s="664"/>
      <c r="T31" s="663"/>
      <c r="U31" s="580">
        <f t="shared" si="4"/>
        <v>0</v>
      </c>
      <c r="V31" s="418"/>
      <c r="W31" s="582" t="str">
        <f t="shared" si="5"/>
        <v/>
      </c>
      <c r="X31" s="479" t="str">
        <f t="shared" si="6"/>
        <v/>
      </c>
      <c r="Y31" s="582" t="str">
        <f t="shared" si="7"/>
        <v/>
      </c>
      <c r="Z31" s="317" t="str">
        <f t="shared" si="8"/>
        <v/>
      </c>
      <c r="AA31" s="317" t="str">
        <f t="shared" si="9"/>
        <v/>
      </c>
      <c r="AB31" s="317">
        <f t="shared" si="10"/>
        <v>0</v>
      </c>
      <c r="AC31" s="317" t="str">
        <f t="shared" si="11"/>
        <v/>
      </c>
      <c r="AD31" s="317"/>
      <c r="AE31" s="479"/>
      <c r="AF31" s="479"/>
      <c r="AG31" s="423"/>
      <c r="AH31" s="820"/>
      <c r="AI31" s="480"/>
      <c r="AJ31" s="660"/>
      <c r="AK31" s="524" t="str">
        <f t="shared" si="12"/>
        <v/>
      </c>
      <c r="AL31" s="731">
        <f>SUMIF($J$4:$J$130,"Volta Aulas",$S$4:$S$130)</f>
        <v>0</v>
      </c>
      <c r="AM31" s="732">
        <f>SUMIF($J$4:$J$130,"Volta Aulas",$T$4:$T$130)</f>
        <v>0</v>
      </c>
      <c r="AN31" s="426">
        <f t="shared" si="13"/>
        <v>0</v>
      </c>
      <c r="AO31" s="427" t="str">
        <f t="shared" si="37"/>
        <v/>
      </c>
      <c r="AP31" s="426" t="str">
        <f t="shared" si="14"/>
        <v/>
      </c>
      <c r="AQ31" s="426"/>
      <c r="AR31" s="426"/>
      <c r="AS31" s="428"/>
      <c r="AT31" s="429"/>
      <c r="AU31" s="430"/>
      <c r="AV31" s="431"/>
      <c r="AW31" s="432"/>
      <c r="AX31" s="560"/>
      <c r="AY31" s="431">
        <f t="shared" si="15"/>
        <v>0</v>
      </c>
      <c r="AZ31" s="426"/>
      <c r="BA31" s="435" t="str">
        <f t="shared" si="16"/>
        <v/>
      </c>
      <c r="BB31" s="435"/>
      <c r="BC31" s="426"/>
      <c r="BD31" s="426">
        <f t="array" ref="BD31">IF(SUM((BC31=$BC$3:BC30)*1)=0,BC31,0)</f>
        <v>0</v>
      </c>
      <c r="BE31" s="426"/>
      <c r="BF31" s="426"/>
      <c r="BG31" s="426">
        <f t="array" ref="BG31">IF(SUM((BF31=$BF$3:BF30)*1)=0,BF31,0)</f>
        <v>0</v>
      </c>
      <c r="BH31" s="426"/>
      <c r="BI31" s="426"/>
      <c r="BJ31" s="426"/>
      <c r="BK31" s="426"/>
      <c r="BL31" s="426"/>
      <c r="BM31" s="426"/>
      <c r="BN31" s="426"/>
      <c r="BO31" s="426"/>
      <c r="BP31" s="433">
        <f t="shared" si="17"/>
        <v>0</v>
      </c>
      <c r="BQ31" s="426"/>
      <c r="BR31" s="434"/>
      <c r="BS31" s="426"/>
      <c r="BT31" s="433"/>
      <c r="BU31" s="435"/>
      <c r="BV31" s="435" t="str">
        <f t="shared" si="18"/>
        <v/>
      </c>
      <c r="BW31" s="435" t="str">
        <f t="shared" si="38"/>
        <v/>
      </c>
      <c r="BX31" s="435"/>
      <c r="BY31" s="435"/>
      <c r="BZ31" s="435"/>
      <c r="CA31" s="435"/>
      <c r="CB31" s="435"/>
      <c r="CC31" s="435"/>
      <c r="CD31" s="435"/>
      <c r="CE31" s="435"/>
      <c r="CF31" s="435"/>
      <c r="CG31" s="435"/>
      <c r="CH31" s="435"/>
      <c r="CI31" s="435"/>
      <c r="CJ31" s="426" t="str">
        <f t="shared" si="39"/>
        <v/>
      </c>
      <c r="CK31" s="435"/>
      <c r="CL31" s="426"/>
      <c r="CM31" s="435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>
        <v>28</v>
      </c>
      <c r="CZ31" s="426"/>
      <c r="DA31" s="426"/>
      <c r="DB31" s="426"/>
      <c r="DC31" s="426" t="s">
        <v>771</v>
      </c>
      <c r="DD31" s="426" t="s">
        <v>931</v>
      </c>
      <c r="DE31" s="435" t="str">
        <f t="shared" si="40"/>
        <v/>
      </c>
      <c r="DF31" s="435" t="str">
        <f t="shared" si="41"/>
        <v/>
      </c>
      <c r="DG31" s="435" t="str">
        <f t="shared" si="42"/>
        <v/>
      </c>
      <c r="DH31" s="435" t="str">
        <f t="shared" si="43"/>
        <v/>
      </c>
      <c r="DI31" s="435" t="str">
        <f t="shared" si="44"/>
        <v/>
      </c>
      <c r="DJ31" s="435" t="str">
        <f t="shared" si="45"/>
        <v/>
      </c>
      <c r="DK31" s="435" t="str">
        <f t="shared" si="19"/>
        <v/>
      </c>
      <c r="DL31" s="435" t="str">
        <f t="shared" si="20"/>
        <v/>
      </c>
      <c r="DM31" s="435" t="str">
        <f t="shared" si="46"/>
        <v/>
      </c>
      <c r="DN31" s="435" t="str">
        <f t="shared" si="47"/>
        <v/>
      </c>
      <c r="DO31" s="435" t="str">
        <f t="shared" si="21"/>
        <v/>
      </c>
      <c r="DP31" s="435" t="str">
        <f t="shared" si="22"/>
        <v/>
      </c>
      <c r="DQ31" s="435" t="str">
        <f t="shared" si="48"/>
        <v/>
      </c>
      <c r="DR31" s="435" t="str">
        <f t="shared" si="49"/>
        <v/>
      </c>
      <c r="DS31" s="435" t="str">
        <f t="shared" si="23"/>
        <v/>
      </c>
      <c r="DT31" s="435" t="str">
        <f t="shared" si="24"/>
        <v/>
      </c>
      <c r="DU31" s="435" t="str">
        <f t="shared" si="50"/>
        <v/>
      </c>
      <c r="DV31" s="435" t="str">
        <f t="shared" si="51"/>
        <v/>
      </c>
      <c r="DW31" s="435" t="str">
        <f t="shared" si="25"/>
        <v/>
      </c>
      <c r="DX31" s="435" t="str">
        <f t="shared" si="26"/>
        <v/>
      </c>
      <c r="DY31" s="435" t="str">
        <f t="shared" si="52"/>
        <v/>
      </c>
      <c r="DZ31" s="435" t="str">
        <f t="shared" si="53"/>
        <v/>
      </c>
      <c r="EA31" s="435" t="str">
        <f t="shared" si="27"/>
        <v/>
      </c>
      <c r="EB31" s="435" t="str">
        <f t="shared" si="28"/>
        <v/>
      </c>
      <c r="EC31" s="435" t="str">
        <f t="shared" si="29"/>
        <v/>
      </c>
      <c r="ED31" s="435" t="str">
        <f t="shared" si="30"/>
        <v/>
      </c>
      <c r="EE31" s="435" t="str">
        <f t="shared" si="31"/>
        <v/>
      </c>
      <c r="EF31" s="435" t="str">
        <f t="shared" si="32"/>
        <v/>
      </c>
      <c r="EG31" s="435" t="str">
        <f t="shared" si="33"/>
        <v/>
      </c>
      <c r="EH31" s="435" t="str">
        <f t="shared" si="34"/>
        <v/>
      </c>
      <c r="EI31" s="435" t="str">
        <f t="shared" si="35"/>
        <v/>
      </c>
      <c r="EJ31" s="435" t="str">
        <f t="shared" si="36"/>
        <v/>
      </c>
      <c r="EK31" s="485"/>
      <c r="EL31" s="485"/>
      <c r="EM31" s="485"/>
      <c r="EN31" s="485"/>
      <c r="EO31" s="448"/>
      <c r="EP31" s="448"/>
      <c r="EQ31" s="448"/>
      <c r="ER31" s="448"/>
      <c r="ES31" s="448"/>
      <c r="ET31" s="435"/>
      <c r="EU31" s="435"/>
      <c r="EV31" s="435"/>
      <c r="EW31" s="435"/>
      <c r="EX31" s="426"/>
      <c r="EY31" s="426"/>
      <c r="EZ31" s="426"/>
      <c r="FA31" s="427"/>
      <c r="FB31" s="427">
        <f t="array" ref="FB31">IF(SUM((FA31=$FA$3:FA30)*1)=0,FA31,0)</f>
        <v>0</v>
      </c>
      <c r="FC31" s="427"/>
      <c r="FD31" s="427"/>
      <c r="FE31" s="427">
        <f t="array" ref="FE31">IF(SUM((FD31=$FD$3:FD30)*1)=0,FD31,0)</f>
        <v>0</v>
      </c>
      <c r="FF31" s="427"/>
      <c r="FG31" s="427"/>
      <c r="FH31" s="427"/>
      <c r="FI31" s="427">
        <f t="array" ref="FI31">IF(SUM((FH31=$FH$3:FH30)*1)=0,FH31,0)</f>
        <v>0</v>
      </c>
      <c r="FJ31" s="427"/>
      <c r="FK31" s="427"/>
      <c r="FL31" s="427">
        <f t="array" ref="FL31">IF(SUM((FK31=$FK$3:FK30)*1)=0,FK31,0)</f>
        <v>0</v>
      </c>
      <c r="FM31" s="427"/>
      <c r="FN31" s="427"/>
      <c r="FO31" s="427"/>
      <c r="FP31" s="427">
        <f t="array" ref="FP31">IF(SUM((FO31=$FO$3:FO30)*1)=0,FO31,0)</f>
        <v>0</v>
      </c>
      <c r="FQ31" s="427"/>
      <c r="FR31" s="427"/>
      <c r="FS31" s="427">
        <f t="array" ref="FS31">IF(SUM((FR31=$FR$3:FR30)*1)=0,FR31,0)</f>
        <v>0</v>
      </c>
      <c r="FT31" s="427"/>
      <c r="FU31" s="427"/>
      <c r="FV31" s="427"/>
      <c r="FW31" s="427">
        <f t="array" ref="FW31">IF(SUM((FV31=$FV$3:FV30)*1)=0,FV31,0)</f>
        <v>0</v>
      </c>
      <c r="FX31" s="427"/>
      <c r="FY31" s="427"/>
      <c r="FZ31" s="427">
        <f t="array" ref="FZ31">IF(SUM((FY31=$FY$3:FY30)*1)=0,FY31,0)</f>
        <v>0</v>
      </c>
      <c r="GA31" s="427"/>
      <c r="GB31" s="427"/>
      <c r="GC31" s="427"/>
      <c r="GD31" s="427">
        <f t="array" ref="GD31">IF(SUM((GC31=$GC$3:GC30)*1)=0,GC31,0)</f>
        <v>0</v>
      </c>
      <c r="GE31" s="427"/>
      <c r="GF31" s="427"/>
      <c r="GG31" s="427">
        <f t="array" ref="GG31">IF(SUM((GF31=$GF$3:GF30)*1)=0,GF31,0)</f>
        <v>0</v>
      </c>
      <c r="GH31" s="427"/>
      <c r="GI31" s="427"/>
      <c r="GJ31" s="427"/>
      <c r="GK31" s="798">
        <f t="array" ref="GK31">IF(SUM((GJ31=$GJ$3:GJ30)*1)=0,GJ31,0)</f>
        <v>0</v>
      </c>
      <c r="GL31" s="427"/>
      <c r="GM31" s="427"/>
      <c r="GN31" s="798">
        <f t="array" ref="GN31">IF(SUM((GM31=$GM$3:GM30)*1)=0,GM31,0)</f>
        <v>0</v>
      </c>
      <c r="GO31" s="427"/>
      <c r="GP31" s="427"/>
      <c r="GQ31" s="427"/>
      <c r="GR31" s="798">
        <f t="array" ref="GR31">IF(SUM((GQ31=$GQ$3:GQ30)*1)=0,GQ31,0)</f>
        <v>0</v>
      </c>
      <c r="GS31" s="427"/>
      <c r="GT31" s="427"/>
      <c r="GU31" s="798">
        <f t="array" ref="GU31">IF(SUM((GT31=$GT$3:GT30)*1)=0,GT31,0)</f>
        <v>0</v>
      </c>
      <c r="GV31" s="427"/>
      <c r="GW31" s="427"/>
      <c r="GX31" s="427"/>
      <c r="GY31" s="798">
        <f t="array" ref="GY31">IF(SUM((GX31=$GX$3:GX30)*1)=0,GX31,0)</f>
        <v>0</v>
      </c>
      <c r="GZ31" s="427"/>
      <c r="HA31" s="427"/>
      <c r="HB31" s="798">
        <f t="array" ref="HB31">IF(SUM((HA31=$HA$3:HA30)*1)=0,HA31,0)</f>
        <v>0</v>
      </c>
      <c r="HC31" s="427"/>
      <c r="HD31" s="427"/>
      <c r="HE31" s="769" t="str">
        <f t="shared" si="130"/>
        <v/>
      </c>
      <c r="HF31" s="768" t="str">
        <f t="shared" ref="HF31" si="348">IF(HE31&lt;0,"Invadiu REP-BA-C","")</f>
        <v/>
      </c>
      <c r="HG31" s="769" t="str">
        <f t="shared" si="131"/>
        <v/>
      </c>
      <c r="HH31" s="768" t="str">
        <f t="shared" si="55"/>
        <v/>
      </c>
      <c r="HI31" s="728" t="str">
        <f t="shared" si="132"/>
        <v/>
      </c>
      <c r="HJ31" s="768" t="str">
        <f t="shared" si="56"/>
        <v/>
      </c>
      <c r="HK31" s="728" t="str">
        <f t="shared" si="133"/>
        <v/>
      </c>
      <c r="HL31" s="768" t="str">
        <f t="shared" si="57"/>
        <v/>
      </c>
      <c r="HM31" s="769" t="str">
        <f t="shared" si="58"/>
        <v/>
      </c>
      <c r="HN31" s="768" t="str">
        <f t="shared" ref="HN31" si="349">IF(HM31&lt;0,"Invadiu REP-BA-C","")</f>
        <v/>
      </c>
      <c r="HO31" s="769" t="str">
        <f t="shared" si="60"/>
        <v/>
      </c>
      <c r="HP31" s="768" t="str">
        <f t="shared" si="61"/>
        <v/>
      </c>
      <c r="HQ31" s="728" t="str">
        <f t="shared" si="62"/>
        <v/>
      </c>
      <c r="HR31" s="768" t="str">
        <f t="shared" si="63"/>
        <v/>
      </c>
      <c r="HS31" s="728" t="str">
        <f t="shared" si="64"/>
        <v/>
      </c>
      <c r="HT31" s="768" t="str">
        <f t="shared" si="65"/>
        <v/>
      </c>
      <c r="HU31" s="769" t="str">
        <f t="shared" si="66"/>
        <v/>
      </c>
      <c r="HV31" s="768" t="str">
        <f t="shared" ref="HV31" si="350">IF(HU31&lt;0,"Invadiu REP-BA-C","")</f>
        <v/>
      </c>
      <c r="HW31" s="769" t="str">
        <f t="shared" si="68"/>
        <v/>
      </c>
      <c r="HX31" s="768" t="str">
        <f t="shared" si="69"/>
        <v/>
      </c>
      <c r="HY31" s="728" t="str">
        <f t="shared" si="70"/>
        <v/>
      </c>
      <c r="HZ31" s="768" t="str">
        <f t="shared" si="71"/>
        <v/>
      </c>
      <c r="IA31" s="728" t="str">
        <f t="shared" si="72"/>
        <v/>
      </c>
      <c r="IB31" s="768" t="str">
        <f t="shared" si="73"/>
        <v/>
      </c>
      <c r="IC31" s="769" t="str">
        <f t="shared" si="74"/>
        <v/>
      </c>
      <c r="ID31" s="768" t="str">
        <f t="shared" ref="ID31" si="351">IF(IC31&lt;0,"Invadiu REP-BA-C","")</f>
        <v/>
      </c>
      <c r="IE31" s="769" t="str">
        <f t="shared" si="76"/>
        <v/>
      </c>
      <c r="IF31" s="768" t="str">
        <f t="shared" si="77"/>
        <v/>
      </c>
      <c r="IG31" s="728" t="str">
        <f t="shared" si="78"/>
        <v/>
      </c>
      <c r="IH31" s="768" t="str">
        <f t="shared" si="79"/>
        <v/>
      </c>
      <c r="II31" s="728" t="str">
        <f t="shared" si="80"/>
        <v/>
      </c>
      <c r="IJ31" s="768" t="str">
        <f t="shared" si="81"/>
        <v/>
      </c>
      <c r="IK31" s="769" t="str">
        <f t="shared" si="82"/>
        <v/>
      </c>
      <c r="IL31" s="768" t="str">
        <f t="shared" ref="IL31" si="352">IF(IK31&lt;0,"Invadiu REP-BA-C","")</f>
        <v/>
      </c>
      <c r="IM31" s="769" t="str">
        <f t="shared" si="84"/>
        <v/>
      </c>
      <c r="IN31" s="768" t="str">
        <f t="shared" si="85"/>
        <v/>
      </c>
      <c r="IO31" s="728" t="str">
        <f t="shared" si="86"/>
        <v/>
      </c>
      <c r="IP31" s="768" t="str">
        <f t="shared" si="87"/>
        <v/>
      </c>
      <c r="IQ31" s="728" t="str">
        <f t="shared" si="88"/>
        <v/>
      </c>
      <c r="IR31" s="768" t="str">
        <f t="shared" si="89"/>
        <v/>
      </c>
      <c r="IS31" s="769" t="str">
        <f t="shared" si="90"/>
        <v/>
      </c>
      <c r="IT31" s="768" t="str">
        <f t="shared" ref="IT31" si="353">IF(IS31&lt;0,"Invadiu REP-BA-C","")</f>
        <v/>
      </c>
      <c r="IU31" s="769" t="str">
        <f t="shared" si="92"/>
        <v/>
      </c>
      <c r="IV31" s="768" t="str">
        <f t="shared" si="93"/>
        <v/>
      </c>
      <c r="IW31" s="728" t="str">
        <f t="shared" si="94"/>
        <v/>
      </c>
      <c r="IX31" s="768" t="str">
        <f t="shared" si="95"/>
        <v/>
      </c>
      <c r="IY31" s="728" t="str">
        <f t="shared" si="96"/>
        <v/>
      </c>
      <c r="IZ31" s="768" t="str">
        <f t="shared" si="97"/>
        <v/>
      </c>
      <c r="JA31" s="769" t="str">
        <f t="shared" si="98"/>
        <v/>
      </c>
      <c r="JB31" s="768" t="str">
        <f t="shared" ref="JB31" si="354">IF(JA31&lt;0,"Invadiu REP-BA-C","")</f>
        <v/>
      </c>
      <c r="JC31" s="769" t="str">
        <f t="shared" si="100"/>
        <v/>
      </c>
      <c r="JD31" s="768" t="str">
        <f t="shared" si="101"/>
        <v/>
      </c>
      <c r="JE31" s="728" t="str">
        <f t="shared" si="102"/>
        <v/>
      </c>
      <c r="JF31" s="768" t="str">
        <f t="shared" si="103"/>
        <v/>
      </c>
      <c r="JG31" s="728" t="str">
        <f t="shared" si="104"/>
        <v/>
      </c>
      <c r="JH31" s="768" t="str">
        <f t="shared" si="105"/>
        <v/>
      </c>
      <c r="JI31" s="769" t="str">
        <f t="shared" si="106"/>
        <v/>
      </c>
      <c r="JJ31" s="768" t="str">
        <f t="shared" ref="JJ31" si="355">IF(JI31&lt;0,"Invadiu REP-BA-C","")</f>
        <v/>
      </c>
      <c r="JK31" s="769" t="str">
        <f t="shared" si="108"/>
        <v/>
      </c>
      <c r="JL31" s="768" t="str">
        <f t="shared" si="109"/>
        <v/>
      </c>
      <c r="JM31" s="728" t="str">
        <f t="shared" si="110"/>
        <v/>
      </c>
      <c r="JN31" s="768" t="str">
        <f t="shared" si="111"/>
        <v/>
      </c>
      <c r="JO31" s="728" t="str">
        <f t="shared" si="112"/>
        <v/>
      </c>
      <c r="JP31" s="768" t="str">
        <f t="shared" si="113"/>
        <v/>
      </c>
      <c r="JQ31" s="769" t="str">
        <f t="shared" si="114"/>
        <v/>
      </c>
      <c r="JR31" s="768" t="str">
        <f t="shared" ref="JR31" si="356">IF(JQ31&lt;0,"Invadiu REP-BA-C","")</f>
        <v/>
      </c>
      <c r="JS31" s="769" t="str">
        <f t="shared" si="116"/>
        <v/>
      </c>
      <c r="JT31" s="768" t="str">
        <f t="shared" si="117"/>
        <v/>
      </c>
      <c r="JU31" s="728" t="str">
        <f t="shared" si="118"/>
        <v/>
      </c>
      <c r="JV31" s="768" t="str">
        <f t="shared" si="119"/>
        <v/>
      </c>
      <c r="JW31" s="728" t="str">
        <f t="shared" si="120"/>
        <v/>
      </c>
      <c r="JX31" s="768" t="str">
        <f t="shared" si="121"/>
        <v/>
      </c>
      <c r="JY31" s="768" t="str">
        <f t="shared" si="122"/>
        <v/>
      </c>
      <c r="JZ31" s="485" t="str">
        <f>IF(JY31="","",IF(AND(C31=$C$164,JY31&lt;&gt;""),Verificarcpf(D31),IF(AND(C31=$C$165,JY31&lt;&gt;""),VerificarCNPJ(D31))))</f>
        <v/>
      </c>
      <c r="KA31" s="768" t="str">
        <f t="shared" si="123"/>
        <v/>
      </c>
      <c r="KB31" s="485">
        <f t="shared" si="124"/>
        <v>0</v>
      </c>
      <c r="KC31" s="768">
        <f t="shared" si="125"/>
        <v>0</v>
      </c>
      <c r="KD31" s="485">
        <f t="shared" si="126"/>
        <v>0</v>
      </c>
      <c r="KE31" s="448"/>
      <c r="KF31" s="548">
        <f t="shared" si="127"/>
        <v>0</v>
      </c>
      <c r="KG31" s="548" t="s">
        <v>12313</v>
      </c>
      <c r="KH31" s="548"/>
      <c r="KI31" s="548"/>
      <c r="KJ31" s="548" t="str">
        <f t="shared" si="128"/>
        <v/>
      </c>
      <c r="KK31" s="548"/>
      <c r="KL31" s="548"/>
      <c r="KM31" s="548">
        <f t="array" ref="KM31">IF(SUM((KL31=$KL$3:KL30)*1)=0,KL31,0)</f>
        <v>0</v>
      </c>
      <c r="KN31" s="548"/>
      <c r="KO31" s="548"/>
      <c r="KP31" s="548"/>
      <c r="KQ31" s="548"/>
      <c r="KR31" s="548" t="str">
        <f t="shared" si="129"/>
        <v/>
      </c>
      <c r="KS31" s="548"/>
      <c r="KT31" s="548"/>
      <c r="KU31" s="548"/>
      <c r="KV31" s="548"/>
      <c r="KW31" s="548"/>
      <c r="KX31" s="548"/>
      <c r="KY31" s="548"/>
      <c r="KZ31" s="548"/>
      <c r="LA31" s="548"/>
      <c r="LB31" s="548"/>
      <c r="LC31" s="485" t="str">
        <f t="shared" si="142"/>
        <v/>
      </c>
      <c r="LD31" s="548"/>
      <c r="LE31" s="548"/>
      <c r="LF31" s="548"/>
      <c r="LG31" s="548"/>
      <c r="LH31" s="548"/>
      <c r="LI31" s="548"/>
      <c r="LJ31" s="548"/>
      <c r="LK31" s="548"/>
      <c r="LL31" s="548"/>
      <c r="LM31" s="548"/>
      <c r="LN31" s="548"/>
      <c r="LO31" s="548"/>
      <c r="LP31" s="485" t="str">
        <f t="shared" si="143"/>
        <v/>
      </c>
      <c r="LQ31" s="548"/>
      <c r="LR31" s="548"/>
      <c r="LS31" s="548"/>
      <c r="LT31" s="548"/>
      <c r="LU31" s="548"/>
      <c r="LV31" s="548"/>
      <c r="LW31" s="548"/>
      <c r="LX31" s="548"/>
      <c r="LY31" s="548"/>
      <c r="LZ31" s="548"/>
      <c r="MA31" s="548"/>
      <c r="MB31" s="548"/>
      <c r="MC31" s="485" t="str">
        <f t="shared" si="144"/>
        <v/>
      </c>
      <c r="MD31" s="548"/>
      <c r="ME31" s="548"/>
      <c r="MF31" s="548"/>
      <c r="MG31" s="548"/>
      <c r="MH31" s="548"/>
      <c r="MI31" s="548"/>
      <c r="MJ31" s="548"/>
      <c r="MK31" s="548"/>
      <c r="ML31" s="548"/>
      <c r="MM31" s="548"/>
      <c r="MN31" s="548"/>
      <c r="MO31" s="548"/>
      <c r="MP31" s="485" t="str">
        <f t="shared" si="145"/>
        <v/>
      </c>
      <c r="MQ31" s="548"/>
      <c r="MR31" s="548"/>
      <c r="MS31" s="548"/>
      <c r="MT31" s="548"/>
      <c r="MU31" s="548"/>
      <c r="MV31" s="548"/>
      <c r="MW31" s="548"/>
      <c r="MX31" s="548"/>
      <c r="MY31" s="548"/>
      <c r="MZ31" s="548"/>
      <c r="NA31" s="548"/>
      <c r="NB31" s="548"/>
      <c r="NC31" s="485" t="str">
        <f t="shared" si="146"/>
        <v/>
      </c>
      <c r="ND31" s="548"/>
      <c r="NE31" s="548"/>
      <c r="NF31" s="548"/>
      <c r="NG31" s="548"/>
      <c r="NH31" s="548"/>
      <c r="NI31" s="548"/>
      <c r="NJ31" s="548"/>
      <c r="NK31" s="548"/>
      <c r="NL31" s="548"/>
      <c r="NM31" s="548"/>
      <c r="NN31" s="548"/>
      <c r="NO31" s="548"/>
      <c r="NP31" s="485" t="str">
        <f t="shared" si="147"/>
        <v/>
      </c>
      <c r="NQ31" s="548"/>
      <c r="NR31" s="548"/>
      <c r="NS31" s="548"/>
      <c r="NT31" s="548"/>
      <c r="NU31" s="548"/>
      <c r="NV31" s="548"/>
      <c r="NW31" s="548"/>
      <c r="NX31" s="548"/>
      <c r="NY31" s="548"/>
      <c r="NZ31" s="548"/>
      <c r="OA31" s="548"/>
      <c r="OB31" s="548"/>
      <c r="OC31" s="485" t="str">
        <f t="shared" si="148"/>
        <v/>
      </c>
      <c r="OD31" s="548"/>
      <c r="OE31" s="548"/>
      <c r="OF31" s="548"/>
      <c r="OG31" s="548"/>
      <c r="OH31" s="548"/>
      <c r="OI31" s="548"/>
      <c r="OJ31" s="548"/>
      <c r="OK31" s="548"/>
      <c r="OL31" s="548"/>
      <c r="OM31" s="548"/>
      <c r="ON31" s="548"/>
      <c r="OO31" s="548"/>
      <c r="OP31" s="548"/>
      <c r="OQ31" s="548"/>
      <c r="OR31" s="548"/>
      <c r="OS31" s="548"/>
      <c r="OT31" s="548"/>
      <c r="OU31" s="548"/>
      <c r="OV31" s="548"/>
      <c r="OW31" s="548"/>
      <c r="OX31" s="548"/>
      <c r="OY31" s="548"/>
      <c r="OZ31" s="548"/>
      <c r="PA31" s="548"/>
      <c r="PB31" s="548"/>
      <c r="PC31" s="548"/>
      <c r="PD31" s="548"/>
      <c r="PE31" s="548"/>
      <c r="PF31" s="548"/>
      <c r="PG31" s="548"/>
      <c r="PH31" s="548"/>
      <c r="PI31" s="548"/>
      <c r="PJ31" s="548"/>
      <c r="PK31" s="548"/>
      <c r="PL31" s="548"/>
      <c r="PM31" s="548"/>
      <c r="PN31" s="548"/>
      <c r="PO31" s="548"/>
      <c r="PP31" s="548"/>
      <c r="PQ31" s="548"/>
      <c r="PR31" s="548"/>
      <c r="PS31" s="548"/>
      <c r="PT31" s="548"/>
      <c r="PU31" s="548"/>
      <c r="PV31" s="548"/>
      <c r="PW31" s="548"/>
      <c r="PX31" s="548"/>
      <c r="PY31" s="548"/>
      <c r="PZ31" s="548"/>
      <c r="QA31" s="548"/>
      <c r="QB31" s="548"/>
      <c r="QC31" s="548"/>
      <c r="QD31" s="548"/>
      <c r="QE31" s="548"/>
      <c r="QF31" s="548"/>
      <c r="QG31" s="548"/>
      <c r="QH31" s="548"/>
      <c r="QI31" s="548"/>
      <c r="QJ31" s="548"/>
      <c r="QK31" s="548"/>
      <c r="QL31" s="548"/>
      <c r="QM31" s="548"/>
      <c r="QN31" s="548"/>
      <c r="QO31" s="548"/>
      <c r="QP31" s="548"/>
      <c r="QQ31" s="1009"/>
      <c r="QR31" s="548"/>
      <c r="QS31" s="548"/>
      <c r="QT31" s="548"/>
      <c r="QU31" s="548"/>
      <c r="QV31" s="548"/>
      <c r="QW31" s="548"/>
      <c r="QX31" s="548"/>
      <c r="QY31" s="548"/>
      <c r="QZ31" s="548"/>
      <c r="RA31" s="548"/>
      <c r="RB31" s="548"/>
      <c r="RC31" s="548"/>
      <c r="RD31" s="548"/>
      <c r="RE31" s="548"/>
      <c r="RF31" s="548"/>
      <c r="RG31" s="548"/>
      <c r="RH31" s="548"/>
      <c r="RI31" s="548"/>
      <c r="RJ31" s="548"/>
      <c r="RK31" s="548"/>
      <c r="RL31" s="548"/>
      <c r="RM31" s="548"/>
      <c r="RN31" s="548"/>
      <c r="RO31" s="548"/>
      <c r="RP31" s="548"/>
      <c r="RQ31" s="548"/>
      <c r="RR31" s="548"/>
      <c r="RS31" s="548"/>
      <c r="RT31" s="548"/>
      <c r="RU31" s="548"/>
      <c r="RV31" s="548"/>
      <c r="RW31" s="548"/>
      <c r="RX31" s="548"/>
      <c r="RY31" s="548"/>
      <c r="RZ31" s="548"/>
      <c r="SA31" s="548"/>
      <c r="SB31" s="548"/>
      <c r="SC31" s="548"/>
      <c r="SD31" s="548"/>
      <c r="SE31" s="548"/>
      <c r="SF31" s="548"/>
      <c r="SG31" s="548"/>
      <c r="SH31" s="548"/>
      <c r="SI31" s="548"/>
      <c r="SJ31" s="548"/>
      <c r="SK31" s="548"/>
      <c r="SL31" s="548"/>
      <c r="SM31" s="548"/>
      <c r="SN31" s="548"/>
      <c r="SO31" s="548"/>
      <c r="SP31" s="548"/>
      <c r="SQ31" s="548"/>
      <c r="SR31" s="548"/>
      <c r="SS31" s="548"/>
      <c r="ST31" s="548"/>
      <c r="SU31" s="548"/>
      <c r="SV31" s="548"/>
      <c r="SW31" s="548"/>
      <c r="SX31" s="548"/>
      <c r="SY31" s="548"/>
      <c r="SZ31" s="548"/>
      <c r="TA31" s="548"/>
      <c r="TB31" s="548"/>
      <c r="TC31" s="548"/>
      <c r="TD31" s="548"/>
      <c r="TE31" s="548"/>
      <c r="TF31" s="548"/>
      <c r="TG31" s="548"/>
      <c r="TH31" s="548"/>
      <c r="TI31" s="548"/>
      <c r="TJ31" s="548"/>
      <c r="TK31" s="548"/>
      <c r="TL31" s="548"/>
      <c r="TM31" s="548"/>
      <c r="TN31" s="548"/>
      <c r="TO31" s="548"/>
      <c r="TP31" s="548"/>
      <c r="TQ31" s="548"/>
      <c r="TR31" s="548"/>
      <c r="TS31" s="548"/>
      <c r="TT31" s="548"/>
      <c r="TU31" s="548"/>
      <c r="TV31" s="548"/>
      <c r="TW31" s="548"/>
      <c r="TX31" s="548"/>
      <c r="TY31" s="548"/>
      <c r="TZ31" s="548"/>
      <c r="UA31" s="548"/>
      <c r="UB31" s="548"/>
      <c r="UC31" s="548"/>
      <c r="UD31" s="548"/>
      <c r="UE31" s="548"/>
      <c r="UF31" s="548"/>
      <c r="UG31" s="548"/>
      <c r="UH31" s="548"/>
      <c r="UI31" s="548"/>
      <c r="UJ31" s="548"/>
      <c r="UK31" s="548"/>
      <c r="UL31" s="548"/>
      <c r="UM31" s="548"/>
      <c r="UN31" s="548"/>
      <c r="UO31" s="548"/>
      <c r="UP31" s="548"/>
      <c r="UQ31" s="548"/>
      <c r="UR31" s="548"/>
      <c r="US31" s="548"/>
      <c r="UT31" s="548"/>
      <c r="UU31" s="548"/>
      <c r="UV31" s="548"/>
      <c r="UW31" s="548"/>
      <c r="UX31" s="548"/>
      <c r="UY31" s="548"/>
      <c r="UZ31" s="548"/>
      <c r="VA31" s="548"/>
      <c r="VB31" s="548"/>
      <c r="VC31" s="548"/>
      <c r="VD31" s="548"/>
      <c r="VE31" s="548"/>
      <c r="VF31" s="548"/>
      <c r="VG31" s="548"/>
      <c r="VH31" s="548"/>
      <c r="VI31" s="548"/>
      <c r="VJ31" s="548"/>
      <c r="VK31" s="548"/>
      <c r="VL31" s="548"/>
      <c r="VM31" s="548"/>
      <c r="VN31" s="548"/>
      <c r="VO31" s="548"/>
      <c r="VP31" s="548"/>
      <c r="VQ31" s="548"/>
      <c r="VR31" s="548"/>
      <c r="VS31" s="548"/>
      <c r="VT31" s="548"/>
      <c r="VU31" s="548"/>
      <c r="VV31" s="548"/>
      <c r="VW31" s="548"/>
      <c r="VX31" s="548"/>
      <c r="VY31" s="548"/>
      <c r="VZ31" s="548"/>
      <c r="WA31" s="548"/>
      <c r="WB31" s="548"/>
      <c r="WC31" s="548"/>
      <c r="WD31" s="548"/>
      <c r="WE31" s="548"/>
      <c r="WF31" s="548"/>
      <c r="WG31" s="548"/>
      <c r="WH31" s="548"/>
      <c r="WI31" s="548"/>
      <c r="WJ31" s="548"/>
      <c r="WK31" s="548"/>
      <c r="WL31" s="548"/>
      <c r="WM31" s="548"/>
      <c r="WN31" s="548"/>
      <c r="WO31" s="548"/>
      <c r="WP31" s="548"/>
      <c r="WQ31" s="548"/>
      <c r="WR31" s="548"/>
      <c r="WS31" s="548"/>
      <c r="WT31" s="548"/>
      <c r="WU31" s="548"/>
      <c r="WV31" s="548"/>
      <c r="WW31" s="548"/>
      <c r="WX31" s="548"/>
      <c r="WY31" s="548"/>
      <c r="WZ31" s="548"/>
      <c r="XA31" s="548"/>
      <c r="XB31" s="548"/>
      <c r="XC31" s="548"/>
      <c r="XD31" s="548"/>
      <c r="XE31" s="548"/>
      <c r="XF31" s="548"/>
      <c r="XG31" s="548"/>
      <c r="XH31" s="548"/>
      <c r="XI31" s="548"/>
      <c r="XJ31" s="548"/>
      <c r="XK31" s="548"/>
      <c r="XL31" s="548"/>
      <c r="XM31" s="548"/>
      <c r="XN31" s="548"/>
      <c r="XO31" s="548"/>
      <c r="XP31" s="548"/>
      <c r="XQ31" s="548"/>
      <c r="XR31" s="548"/>
      <c r="XS31" s="548"/>
      <c r="XT31" s="548"/>
      <c r="XU31" s="548"/>
      <c r="XV31" s="548"/>
      <c r="XW31" s="548"/>
      <c r="XX31" s="548"/>
      <c r="XY31" s="548"/>
      <c r="XZ31" s="548"/>
      <c r="YA31" s="548"/>
      <c r="YB31" s="548"/>
      <c r="YC31" s="548"/>
      <c r="YD31" s="548"/>
      <c r="YE31" s="548"/>
      <c r="YF31" s="548"/>
      <c r="YG31" s="548"/>
      <c r="YH31" s="548"/>
      <c r="YI31" s="548"/>
      <c r="YJ31" s="548"/>
      <c r="YK31" s="548"/>
      <c r="YL31" s="548"/>
      <c r="YM31" s="548"/>
      <c r="YN31" s="548"/>
      <c r="YO31" s="548"/>
      <c r="YP31" s="548"/>
      <c r="YQ31" s="548"/>
      <c r="YR31" s="548"/>
      <c r="YS31" s="548"/>
      <c r="YT31" s="548"/>
      <c r="YU31" s="548"/>
      <c r="YV31" s="548"/>
      <c r="YW31" s="548"/>
      <c r="YX31" s="548"/>
      <c r="YY31" s="548"/>
      <c r="YZ31" s="548"/>
      <c r="ZA31" s="548"/>
      <c r="ZB31" s="548"/>
      <c r="ZC31" s="548"/>
      <c r="ZD31" s="548"/>
      <c r="ZE31" s="548"/>
      <c r="ZF31" s="548"/>
      <c r="ZG31" s="548"/>
      <c r="ZH31" s="548"/>
      <c r="ZI31" s="548"/>
      <c r="ZJ31" s="548"/>
      <c r="ZK31" s="548"/>
      <c r="ZL31" s="548"/>
      <c r="ZM31" s="548"/>
      <c r="ZN31" s="548"/>
      <c r="ZO31" s="548"/>
      <c r="ZP31" s="548"/>
      <c r="ZQ31" s="548"/>
      <c r="ZR31" s="548"/>
      <c r="ZS31" s="548"/>
      <c r="ZT31" s="548"/>
      <c r="ZU31" s="548"/>
      <c r="ZV31" s="548"/>
      <c r="ZW31" s="548"/>
      <c r="ZX31" s="548"/>
      <c r="ZY31" s="548"/>
      <c r="ZZ31" s="548"/>
      <c r="AAA31" s="548"/>
      <c r="AAB31" s="548"/>
      <c r="AAC31" s="548"/>
      <c r="AAD31" s="548"/>
      <c r="AAE31" s="548"/>
      <c r="AAF31" s="548"/>
      <c r="AAG31" s="548"/>
      <c r="AAH31" s="548"/>
      <c r="AAI31" s="548"/>
      <c r="AAJ31" s="548"/>
      <c r="AAK31" s="548"/>
      <c r="AAL31" s="548"/>
      <c r="AAM31" s="548"/>
      <c r="AAN31" s="548"/>
      <c r="AAO31" s="548"/>
      <c r="AAP31" s="548"/>
      <c r="AAQ31" s="548"/>
      <c r="AAR31" s="548"/>
      <c r="AAS31" s="548"/>
      <c r="AAT31" s="548"/>
      <c r="AAU31" s="548"/>
      <c r="AAV31" s="548"/>
      <c r="AAW31" s="548"/>
      <c r="AAX31" s="548"/>
      <c r="AAY31" s="548"/>
      <c r="AAZ31" s="548"/>
      <c r="ABA31" s="548"/>
      <c r="ABB31" s="548"/>
      <c r="ABC31" s="548"/>
      <c r="ABD31" s="548"/>
      <c r="ABE31" s="548"/>
      <c r="ABF31" s="548"/>
      <c r="ABG31" s="548"/>
      <c r="ABH31" s="548"/>
      <c r="ABI31" s="548"/>
      <c r="ABJ31" s="548"/>
      <c r="ABK31" s="548"/>
      <c r="ABL31" s="548"/>
      <c r="ABM31" s="548"/>
      <c r="ABN31" s="548"/>
      <c r="ABO31" s="548"/>
      <c r="ABP31" s="548"/>
      <c r="ABQ31" s="548"/>
      <c r="ABR31" s="548"/>
      <c r="ABS31" s="548"/>
    </row>
    <row r="32" spans="1:747" customFormat="1" ht="15" customHeight="1" x14ac:dyDescent="0.2">
      <c r="A32" s="424" t="str">
        <f t="shared" si="149"/>
        <v/>
      </c>
      <c r="B32" s="415"/>
      <c r="C32" s="525"/>
      <c r="D32" s="750"/>
      <c r="E32" s="416" t="str">
        <f t="shared" si="0"/>
        <v/>
      </c>
      <c r="F32" s="527" t="str">
        <f t="shared" si="1"/>
        <v/>
      </c>
      <c r="G32" s="417"/>
      <c r="H32" s="583" t="str">
        <f t="shared" si="2"/>
        <v/>
      </c>
      <c r="I32" s="424"/>
      <c r="J32" s="749"/>
      <c r="K32" s="418"/>
      <c r="L32" s="419"/>
      <c r="M32" s="415"/>
      <c r="N32" s="420"/>
      <c r="O32" s="421"/>
      <c r="P32" s="561"/>
      <c r="Q32" s="422"/>
      <c r="R32" s="561" t="str">
        <f t="shared" si="3"/>
        <v/>
      </c>
      <c r="S32" s="664"/>
      <c r="T32" s="663"/>
      <c r="U32" s="580">
        <f t="shared" si="4"/>
        <v>0</v>
      </c>
      <c r="V32" s="418"/>
      <c r="W32" s="582" t="str">
        <f t="shared" si="5"/>
        <v/>
      </c>
      <c r="X32" s="479" t="str">
        <f t="shared" si="6"/>
        <v/>
      </c>
      <c r="Y32" s="582" t="str">
        <f t="shared" si="7"/>
        <v/>
      </c>
      <c r="Z32" s="317" t="str">
        <f t="shared" si="8"/>
        <v/>
      </c>
      <c r="AA32" s="317" t="str">
        <f t="shared" si="9"/>
        <v/>
      </c>
      <c r="AB32" s="317">
        <f t="shared" si="10"/>
        <v>0</v>
      </c>
      <c r="AC32" s="317" t="str">
        <f t="shared" si="11"/>
        <v/>
      </c>
      <c r="AD32" s="317"/>
      <c r="AE32" s="479"/>
      <c r="AF32" s="479"/>
      <c r="AG32" s="423"/>
      <c r="AH32" s="820"/>
      <c r="AI32" s="480"/>
      <c r="AJ32" s="660"/>
      <c r="AK32" s="524" t="str">
        <f t="shared" si="12"/>
        <v/>
      </c>
      <c r="AL32" s="731">
        <f>SUMIF($J$4:$J$144,"Volta Aulas",$S$4:$S$144)</f>
        <v>0</v>
      </c>
      <c r="AM32" s="732">
        <f>SUMIF($J$4:$J$144,"Volta Aulas",$T$4:$T$144)</f>
        <v>0</v>
      </c>
      <c r="AN32" s="426">
        <f t="shared" si="13"/>
        <v>0</v>
      </c>
      <c r="AO32" s="427" t="str">
        <f t="shared" si="37"/>
        <v/>
      </c>
      <c r="AP32" s="426" t="str">
        <f t="shared" si="14"/>
        <v/>
      </c>
      <c r="AQ32" s="426"/>
      <c r="AR32" s="426"/>
      <c r="AS32" s="428"/>
      <c r="AT32" s="429"/>
      <c r="AU32" s="501"/>
      <c r="AV32" s="431"/>
      <c r="AW32" s="432"/>
      <c r="AX32" s="430"/>
      <c r="AY32" s="431">
        <f t="shared" si="15"/>
        <v>0</v>
      </c>
      <c r="AZ32" s="426"/>
      <c r="BA32" s="435" t="str">
        <f t="shared" si="16"/>
        <v/>
      </c>
      <c r="BB32" s="435"/>
      <c r="BC32" s="426"/>
      <c r="BD32" s="426">
        <f t="array" ref="BD32">IF(SUM((BC32=$BC$3:BC31)*1)=0,BC32,0)</f>
        <v>0</v>
      </c>
      <c r="BE32" s="426"/>
      <c r="BF32" s="426"/>
      <c r="BG32" s="426">
        <f t="array" ref="BG32">IF(SUM((BF32=$BF$3:BF31)*1)=0,BF32,0)</f>
        <v>0</v>
      </c>
      <c r="BH32" s="426"/>
      <c r="BI32" s="426"/>
      <c r="BJ32" s="426"/>
      <c r="BK32" s="426"/>
      <c r="BL32" s="426"/>
      <c r="BM32" s="426"/>
      <c r="BN32" s="426"/>
      <c r="BO32" s="426"/>
      <c r="BP32" s="433">
        <f t="shared" si="17"/>
        <v>0</v>
      </c>
      <c r="BQ32" s="426"/>
      <c r="BR32" s="434"/>
      <c r="BS32" s="426"/>
      <c r="BT32" s="433"/>
      <c r="BU32" s="435"/>
      <c r="BV32" s="435" t="str">
        <f t="shared" si="18"/>
        <v/>
      </c>
      <c r="BW32" s="435" t="str">
        <f t="shared" si="38"/>
        <v/>
      </c>
      <c r="BX32" s="435"/>
      <c r="BY32" s="435"/>
      <c r="BZ32" s="435"/>
      <c r="CA32" s="435"/>
      <c r="CB32" s="435"/>
      <c r="CC32" s="435"/>
      <c r="CD32" s="435"/>
      <c r="CE32" s="435"/>
      <c r="CF32" s="435"/>
      <c r="CG32" s="435"/>
      <c r="CH32" s="435"/>
      <c r="CI32" s="435"/>
      <c r="CJ32" s="426" t="str">
        <f t="shared" si="39"/>
        <v/>
      </c>
      <c r="CK32" s="435"/>
      <c r="CL32" s="426"/>
      <c r="CM32" s="435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>
        <v>29</v>
      </c>
      <c r="CZ32" s="426"/>
      <c r="DA32" s="426"/>
      <c r="DB32" s="426"/>
      <c r="DC32" s="426" t="s">
        <v>772</v>
      </c>
      <c r="DD32" s="426" t="s">
        <v>932</v>
      </c>
      <c r="DE32" s="435" t="str">
        <f t="shared" si="40"/>
        <v/>
      </c>
      <c r="DF32" s="435" t="str">
        <f t="shared" si="41"/>
        <v/>
      </c>
      <c r="DG32" s="435" t="str">
        <f t="shared" si="42"/>
        <v/>
      </c>
      <c r="DH32" s="435" t="str">
        <f t="shared" si="43"/>
        <v/>
      </c>
      <c r="DI32" s="435" t="str">
        <f t="shared" si="44"/>
        <v/>
      </c>
      <c r="DJ32" s="435" t="str">
        <f t="shared" si="45"/>
        <v/>
      </c>
      <c r="DK32" s="435" t="str">
        <f t="shared" si="19"/>
        <v/>
      </c>
      <c r="DL32" s="435" t="str">
        <f t="shared" si="20"/>
        <v/>
      </c>
      <c r="DM32" s="435" t="str">
        <f t="shared" si="46"/>
        <v/>
      </c>
      <c r="DN32" s="435" t="str">
        <f t="shared" si="47"/>
        <v/>
      </c>
      <c r="DO32" s="435" t="str">
        <f t="shared" si="21"/>
        <v/>
      </c>
      <c r="DP32" s="435" t="str">
        <f t="shared" si="22"/>
        <v/>
      </c>
      <c r="DQ32" s="435" t="str">
        <f t="shared" si="48"/>
        <v/>
      </c>
      <c r="DR32" s="435" t="str">
        <f t="shared" si="49"/>
        <v/>
      </c>
      <c r="DS32" s="435" t="str">
        <f t="shared" si="23"/>
        <v/>
      </c>
      <c r="DT32" s="435" t="str">
        <f t="shared" si="24"/>
        <v/>
      </c>
      <c r="DU32" s="435" t="str">
        <f t="shared" si="50"/>
        <v/>
      </c>
      <c r="DV32" s="435" t="str">
        <f t="shared" si="51"/>
        <v/>
      </c>
      <c r="DW32" s="435" t="str">
        <f t="shared" si="25"/>
        <v/>
      </c>
      <c r="DX32" s="435" t="str">
        <f t="shared" si="26"/>
        <v/>
      </c>
      <c r="DY32" s="435" t="str">
        <f t="shared" si="52"/>
        <v/>
      </c>
      <c r="DZ32" s="435" t="str">
        <f t="shared" si="53"/>
        <v/>
      </c>
      <c r="EA32" s="435" t="str">
        <f t="shared" si="27"/>
        <v/>
      </c>
      <c r="EB32" s="435" t="str">
        <f t="shared" si="28"/>
        <v/>
      </c>
      <c r="EC32" s="435" t="str">
        <f t="shared" si="29"/>
        <v/>
      </c>
      <c r="ED32" s="435" t="str">
        <f t="shared" si="30"/>
        <v/>
      </c>
      <c r="EE32" s="435" t="str">
        <f t="shared" si="31"/>
        <v/>
      </c>
      <c r="EF32" s="435" t="str">
        <f t="shared" si="32"/>
        <v/>
      </c>
      <c r="EG32" s="435" t="str">
        <f t="shared" si="33"/>
        <v/>
      </c>
      <c r="EH32" s="435" t="str">
        <f t="shared" si="34"/>
        <v/>
      </c>
      <c r="EI32" s="435" t="str">
        <f t="shared" si="35"/>
        <v/>
      </c>
      <c r="EJ32" s="435" t="str">
        <f t="shared" si="36"/>
        <v/>
      </c>
      <c r="EK32" s="485"/>
      <c r="EL32" s="485"/>
      <c r="EM32" s="485"/>
      <c r="EN32" s="485"/>
      <c r="EO32" s="448"/>
      <c r="EP32" s="448"/>
      <c r="EQ32" s="448"/>
      <c r="ER32" s="448"/>
      <c r="ES32" s="448"/>
      <c r="ET32" s="435"/>
      <c r="EU32" s="435"/>
      <c r="EV32" s="435"/>
      <c r="EW32" s="435"/>
      <c r="EX32" s="426"/>
      <c r="EY32" s="426"/>
      <c r="EZ32" s="426"/>
      <c r="FA32" s="427"/>
      <c r="FB32" s="427">
        <f t="array" ref="FB32">IF(SUM((FA32=$FA$3:FA31)*1)=0,FA32,0)</f>
        <v>0</v>
      </c>
      <c r="FC32" s="427"/>
      <c r="FD32" s="427"/>
      <c r="FE32" s="427">
        <f t="array" ref="FE32">IF(SUM((FD32=$FD$3:FD31)*1)=0,FD32,0)</f>
        <v>0</v>
      </c>
      <c r="FF32" s="427"/>
      <c r="FG32" s="427"/>
      <c r="FH32" s="427"/>
      <c r="FI32" s="427">
        <f t="array" ref="FI32">IF(SUM((FH32=$FH$3:FH31)*1)=0,FH32,0)</f>
        <v>0</v>
      </c>
      <c r="FJ32" s="427"/>
      <c r="FK32" s="427"/>
      <c r="FL32" s="427">
        <f t="array" ref="FL32">IF(SUM((FK32=$FK$3:FK31)*1)=0,FK32,0)</f>
        <v>0</v>
      </c>
      <c r="FM32" s="427"/>
      <c r="FN32" s="427"/>
      <c r="FO32" s="427"/>
      <c r="FP32" s="427">
        <f t="array" ref="FP32">IF(SUM((FO32=$FO$3:FO31)*1)=0,FO32,0)</f>
        <v>0</v>
      </c>
      <c r="FQ32" s="427"/>
      <c r="FR32" s="427"/>
      <c r="FS32" s="427">
        <f t="array" ref="FS32">IF(SUM((FR32=$FR$3:FR31)*1)=0,FR32,0)</f>
        <v>0</v>
      </c>
      <c r="FT32" s="427"/>
      <c r="FU32" s="427"/>
      <c r="FV32" s="427"/>
      <c r="FW32" s="427">
        <f t="array" ref="FW32">IF(SUM((FV32=$FV$3:FV31)*1)=0,FV32,0)</f>
        <v>0</v>
      </c>
      <c r="FX32" s="427"/>
      <c r="FY32" s="427"/>
      <c r="FZ32" s="427">
        <f t="array" ref="FZ32">IF(SUM((FY32=$FY$3:FY31)*1)=0,FY32,0)</f>
        <v>0</v>
      </c>
      <c r="GA32" s="427"/>
      <c r="GB32" s="427"/>
      <c r="GC32" s="427"/>
      <c r="GD32" s="427">
        <f t="array" ref="GD32">IF(SUM((GC32=$GC$3:GC31)*1)=0,GC32,0)</f>
        <v>0</v>
      </c>
      <c r="GE32" s="427"/>
      <c r="GF32" s="427"/>
      <c r="GG32" s="427">
        <f t="array" ref="GG32">IF(SUM((GF32=$GF$3:GF31)*1)=0,GF32,0)</f>
        <v>0</v>
      </c>
      <c r="GH32" s="427"/>
      <c r="GI32" s="427"/>
      <c r="GJ32" s="427"/>
      <c r="GK32" s="798">
        <f t="array" ref="GK32">IF(SUM((GJ32=$GJ$3:GJ31)*1)=0,GJ32,0)</f>
        <v>0</v>
      </c>
      <c r="GL32" s="427"/>
      <c r="GM32" s="427"/>
      <c r="GN32" s="798">
        <f t="array" ref="GN32">IF(SUM((GM32=$GM$3:GM31)*1)=0,GM32,0)</f>
        <v>0</v>
      </c>
      <c r="GO32" s="427"/>
      <c r="GP32" s="427"/>
      <c r="GQ32" s="427"/>
      <c r="GR32" s="798">
        <f t="array" ref="GR32">IF(SUM((GQ32=$GQ$3:GQ31)*1)=0,GQ32,0)</f>
        <v>0</v>
      </c>
      <c r="GS32" s="427"/>
      <c r="GT32" s="427"/>
      <c r="GU32" s="798">
        <f t="array" ref="GU32">IF(SUM((GT32=$GT$3:GT31)*1)=0,GT32,0)</f>
        <v>0</v>
      </c>
      <c r="GV32" s="427"/>
      <c r="GW32" s="427"/>
      <c r="GX32" s="427"/>
      <c r="GY32" s="798">
        <f t="array" ref="GY32">IF(SUM((GX32=$GX$3:GX31)*1)=0,GX32,0)</f>
        <v>0</v>
      </c>
      <c r="GZ32" s="427"/>
      <c r="HA32" s="427"/>
      <c r="HB32" s="798">
        <f t="array" ref="HB32">IF(SUM((HA32=$HA$3:HA31)*1)=0,HA32,0)</f>
        <v>0</v>
      </c>
      <c r="HC32" s="427"/>
      <c r="HD32" s="427"/>
      <c r="HE32" s="769" t="str">
        <f t="shared" si="130"/>
        <v/>
      </c>
      <c r="HF32" s="768" t="str">
        <f t="shared" ref="HF32" si="357">IF(HE32&lt;0,"Invadiu REP-BA-C","")</f>
        <v/>
      </c>
      <c r="HG32" s="769" t="str">
        <f t="shared" si="131"/>
        <v/>
      </c>
      <c r="HH32" s="768" t="str">
        <f t="shared" si="55"/>
        <v/>
      </c>
      <c r="HI32" s="728" t="str">
        <f t="shared" si="132"/>
        <v/>
      </c>
      <c r="HJ32" s="768" t="str">
        <f t="shared" si="56"/>
        <v/>
      </c>
      <c r="HK32" s="728" t="str">
        <f t="shared" si="133"/>
        <v/>
      </c>
      <c r="HL32" s="768" t="str">
        <f t="shared" si="57"/>
        <v/>
      </c>
      <c r="HM32" s="769" t="str">
        <f t="shared" si="58"/>
        <v/>
      </c>
      <c r="HN32" s="768" t="str">
        <f t="shared" ref="HN32" si="358">IF(HM32&lt;0,"Invadiu REP-BA-C","")</f>
        <v/>
      </c>
      <c r="HO32" s="769" t="str">
        <f t="shared" si="60"/>
        <v/>
      </c>
      <c r="HP32" s="768" t="str">
        <f t="shared" si="61"/>
        <v/>
      </c>
      <c r="HQ32" s="728" t="str">
        <f t="shared" si="62"/>
        <v/>
      </c>
      <c r="HR32" s="768" t="str">
        <f t="shared" si="63"/>
        <v/>
      </c>
      <c r="HS32" s="728" t="str">
        <f t="shared" si="64"/>
        <v/>
      </c>
      <c r="HT32" s="768" t="str">
        <f t="shared" si="65"/>
        <v/>
      </c>
      <c r="HU32" s="769" t="str">
        <f t="shared" si="66"/>
        <v/>
      </c>
      <c r="HV32" s="768" t="str">
        <f t="shared" ref="HV32" si="359">IF(HU32&lt;0,"Invadiu REP-BA-C","")</f>
        <v/>
      </c>
      <c r="HW32" s="769" t="str">
        <f t="shared" si="68"/>
        <v/>
      </c>
      <c r="HX32" s="768" t="str">
        <f t="shared" si="69"/>
        <v/>
      </c>
      <c r="HY32" s="728" t="str">
        <f t="shared" si="70"/>
        <v/>
      </c>
      <c r="HZ32" s="768" t="str">
        <f t="shared" si="71"/>
        <v/>
      </c>
      <c r="IA32" s="728" t="str">
        <f t="shared" si="72"/>
        <v/>
      </c>
      <c r="IB32" s="768" t="str">
        <f t="shared" si="73"/>
        <v/>
      </c>
      <c r="IC32" s="769" t="str">
        <f t="shared" si="74"/>
        <v/>
      </c>
      <c r="ID32" s="768" t="str">
        <f t="shared" ref="ID32" si="360">IF(IC32&lt;0,"Invadiu REP-BA-C","")</f>
        <v/>
      </c>
      <c r="IE32" s="769" t="str">
        <f t="shared" si="76"/>
        <v/>
      </c>
      <c r="IF32" s="768" t="str">
        <f t="shared" si="77"/>
        <v/>
      </c>
      <c r="IG32" s="728" t="str">
        <f t="shared" si="78"/>
        <v/>
      </c>
      <c r="IH32" s="768" t="str">
        <f t="shared" si="79"/>
        <v/>
      </c>
      <c r="II32" s="728" t="str">
        <f t="shared" si="80"/>
        <v/>
      </c>
      <c r="IJ32" s="768" t="str">
        <f t="shared" si="81"/>
        <v/>
      </c>
      <c r="IK32" s="769" t="str">
        <f t="shared" si="82"/>
        <v/>
      </c>
      <c r="IL32" s="768" t="str">
        <f t="shared" ref="IL32" si="361">IF(IK32&lt;0,"Invadiu REP-BA-C","")</f>
        <v/>
      </c>
      <c r="IM32" s="769" t="str">
        <f t="shared" si="84"/>
        <v/>
      </c>
      <c r="IN32" s="768" t="str">
        <f t="shared" si="85"/>
        <v/>
      </c>
      <c r="IO32" s="728" t="str">
        <f t="shared" si="86"/>
        <v/>
      </c>
      <c r="IP32" s="768" t="str">
        <f t="shared" si="87"/>
        <v/>
      </c>
      <c r="IQ32" s="728" t="str">
        <f t="shared" si="88"/>
        <v/>
      </c>
      <c r="IR32" s="768" t="str">
        <f t="shared" si="89"/>
        <v/>
      </c>
      <c r="IS32" s="769" t="str">
        <f t="shared" si="90"/>
        <v/>
      </c>
      <c r="IT32" s="768" t="str">
        <f t="shared" ref="IT32" si="362">IF(IS32&lt;0,"Invadiu REP-BA-C","")</f>
        <v/>
      </c>
      <c r="IU32" s="769" t="str">
        <f t="shared" si="92"/>
        <v/>
      </c>
      <c r="IV32" s="768" t="str">
        <f t="shared" si="93"/>
        <v/>
      </c>
      <c r="IW32" s="728" t="str">
        <f t="shared" si="94"/>
        <v/>
      </c>
      <c r="IX32" s="768" t="str">
        <f t="shared" si="95"/>
        <v/>
      </c>
      <c r="IY32" s="728" t="str">
        <f t="shared" si="96"/>
        <v/>
      </c>
      <c r="IZ32" s="768" t="str">
        <f t="shared" si="97"/>
        <v/>
      </c>
      <c r="JA32" s="769" t="str">
        <f t="shared" si="98"/>
        <v/>
      </c>
      <c r="JB32" s="768" t="str">
        <f t="shared" ref="JB32" si="363">IF(JA32&lt;0,"Invadiu REP-BA-C","")</f>
        <v/>
      </c>
      <c r="JC32" s="769" t="str">
        <f t="shared" si="100"/>
        <v/>
      </c>
      <c r="JD32" s="768" t="str">
        <f t="shared" si="101"/>
        <v/>
      </c>
      <c r="JE32" s="728" t="str">
        <f t="shared" si="102"/>
        <v/>
      </c>
      <c r="JF32" s="768" t="str">
        <f t="shared" si="103"/>
        <v/>
      </c>
      <c r="JG32" s="728" t="str">
        <f t="shared" si="104"/>
        <v/>
      </c>
      <c r="JH32" s="768" t="str">
        <f t="shared" si="105"/>
        <v/>
      </c>
      <c r="JI32" s="769" t="str">
        <f t="shared" si="106"/>
        <v/>
      </c>
      <c r="JJ32" s="768" t="str">
        <f t="shared" ref="JJ32" si="364">IF(JI32&lt;0,"Invadiu REP-BA-C","")</f>
        <v/>
      </c>
      <c r="JK32" s="769" t="str">
        <f t="shared" si="108"/>
        <v/>
      </c>
      <c r="JL32" s="768" t="str">
        <f t="shared" si="109"/>
        <v/>
      </c>
      <c r="JM32" s="728" t="str">
        <f t="shared" si="110"/>
        <v/>
      </c>
      <c r="JN32" s="768" t="str">
        <f t="shared" si="111"/>
        <v/>
      </c>
      <c r="JO32" s="728" t="str">
        <f t="shared" si="112"/>
        <v/>
      </c>
      <c r="JP32" s="768" t="str">
        <f t="shared" si="113"/>
        <v/>
      </c>
      <c r="JQ32" s="769" t="str">
        <f t="shared" si="114"/>
        <v/>
      </c>
      <c r="JR32" s="768" t="str">
        <f t="shared" ref="JR32" si="365">IF(JQ32&lt;0,"Invadiu REP-BA-C","")</f>
        <v/>
      </c>
      <c r="JS32" s="769" t="str">
        <f t="shared" si="116"/>
        <v/>
      </c>
      <c r="JT32" s="768" t="str">
        <f t="shared" si="117"/>
        <v/>
      </c>
      <c r="JU32" s="728" t="str">
        <f t="shared" si="118"/>
        <v/>
      </c>
      <c r="JV32" s="768" t="str">
        <f t="shared" si="119"/>
        <v/>
      </c>
      <c r="JW32" s="728" t="str">
        <f t="shared" si="120"/>
        <v/>
      </c>
      <c r="JX32" s="768" t="str">
        <f t="shared" si="121"/>
        <v/>
      </c>
      <c r="JY32" s="768" t="str">
        <f t="shared" si="122"/>
        <v/>
      </c>
      <c r="JZ32" s="485" t="str">
        <f>IF(JY32="","",IF(AND(C32=$C$164,JY32&lt;&gt;""),Verificarcpf(D32),IF(AND(C32=$C$165,JY32&lt;&gt;""),VerificarCNPJ(D32))))</f>
        <v/>
      </c>
      <c r="KA32" s="768" t="str">
        <f t="shared" si="123"/>
        <v/>
      </c>
      <c r="KB32" s="485">
        <f t="shared" si="124"/>
        <v>0</v>
      </c>
      <c r="KC32" s="768">
        <f t="shared" si="125"/>
        <v>0</v>
      </c>
      <c r="KD32" s="485">
        <f t="shared" si="126"/>
        <v>0</v>
      </c>
      <c r="KE32" s="448"/>
      <c r="KF32" s="548">
        <f t="shared" si="127"/>
        <v>0</v>
      </c>
      <c r="KG32" s="548" t="s">
        <v>576</v>
      </c>
      <c r="KH32" s="548"/>
      <c r="KI32" s="548"/>
      <c r="KJ32" s="548" t="str">
        <f t="shared" si="128"/>
        <v/>
      </c>
      <c r="KK32" s="548"/>
      <c r="KL32" s="548"/>
      <c r="KM32" s="548">
        <f t="array" ref="KM32">IF(SUM((KL32=$KL$3:KL31)*1)=0,KL32,0)</f>
        <v>0</v>
      </c>
      <c r="KN32" s="548"/>
      <c r="KO32" s="548"/>
      <c r="KP32" s="548"/>
      <c r="KQ32" s="548"/>
      <c r="KR32" s="548" t="str">
        <f t="shared" si="129"/>
        <v/>
      </c>
      <c r="KS32" s="548"/>
      <c r="KT32" s="548"/>
      <c r="KU32" s="548"/>
      <c r="KV32" s="548"/>
      <c r="KW32" s="548"/>
      <c r="KX32" s="548"/>
      <c r="KY32" s="548"/>
      <c r="KZ32" s="548"/>
      <c r="LA32" s="548"/>
      <c r="LB32" s="548"/>
      <c r="LC32" s="485" t="str">
        <f t="shared" si="142"/>
        <v/>
      </c>
      <c r="LD32" s="548"/>
      <c r="LE32" s="548"/>
      <c r="LF32" s="548"/>
      <c r="LG32" s="548"/>
      <c r="LH32" s="548"/>
      <c r="LI32" s="548"/>
      <c r="LJ32" s="548"/>
      <c r="LK32" s="548"/>
      <c r="LL32" s="548"/>
      <c r="LM32" s="548"/>
      <c r="LN32" s="548"/>
      <c r="LO32" s="548"/>
      <c r="LP32" s="485" t="str">
        <f t="shared" si="143"/>
        <v/>
      </c>
      <c r="LQ32" s="548"/>
      <c r="LR32" s="548"/>
      <c r="LS32" s="548"/>
      <c r="LT32" s="548"/>
      <c r="LU32" s="548"/>
      <c r="LV32" s="548"/>
      <c r="LW32" s="548"/>
      <c r="LX32" s="548"/>
      <c r="LY32" s="548"/>
      <c r="LZ32" s="548"/>
      <c r="MA32" s="548"/>
      <c r="MB32" s="548"/>
      <c r="MC32" s="485" t="str">
        <f t="shared" si="144"/>
        <v/>
      </c>
      <c r="MD32" s="548"/>
      <c r="ME32" s="548"/>
      <c r="MF32" s="548"/>
      <c r="MG32" s="548"/>
      <c r="MH32" s="548"/>
      <c r="MI32" s="548"/>
      <c r="MJ32" s="548"/>
      <c r="MK32" s="548"/>
      <c r="ML32" s="548"/>
      <c r="MM32" s="548"/>
      <c r="MN32" s="548"/>
      <c r="MO32" s="548"/>
      <c r="MP32" s="485" t="str">
        <f t="shared" si="145"/>
        <v/>
      </c>
      <c r="MQ32" s="548"/>
      <c r="MR32" s="548"/>
      <c r="MS32" s="548"/>
      <c r="MT32" s="548"/>
      <c r="MU32" s="548"/>
      <c r="MV32" s="548"/>
      <c r="MW32" s="548"/>
      <c r="MX32" s="548"/>
      <c r="MY32" s="548"/>
      <c r="MZ32" s="548"/>
      <c r="NA32" s="548"/>
      <c r="NB32" s="548"/>
      <c r="NC32" s="485" t="str">
        <f t="shared" si="146"/>
        <v/>
      </c>
      <c r="ND32" s="548"/>
      <c r="NE32" s="548"/>
      <c r="NF32" s="548"/>
      <c r="NG32" s="548"/>
      <c r="NH32" s="548"/>
      <c r="NI32" s="548"/>
      <c r="NJ32" s="548"/>
      <c r="NK32" s="548"/>
      <c r="NL32" s="548"/>
      <c r="NM32" s="548"/>
      <c r="NN32" s="548"/>
      <c r="NO32" s="548"/>
      <c r="NP32" s="485" t="str">
        <f t="shared" si="147"/>
        <v/>
      </c>
      <c r="NQ32" s="548"/>
      <c r="NR32" s="548"/>
      <c r="NS32" s="548"/>
      <c r="NT32" s="548"/>
      <c r="NU32" s="548"/>
      <c r="NV32" s="548"/>
      <c r="NW32" s="548"/>
      <c r="NX32" s="548"/>
      <c r="NY32" s="548"/>
      <c r="NZ32" s="548"/>
      <c r="OA32" s="548"/>
      <c r="OB32" s="548"/>
      <c r="OC32" s="485" t="str">
        <f t="shared" si="148"/>
        <v/>
      </c>
      <c r="OD32" s="548"/>
      <c r="OE32" s="548"/>
      <c r="OF32" s="548"/>
      <c r="OG32" s="548"/>
      <c r="OH32" s="548"/>
      <c r="OI32" s="548"/>
      <c r="OJ32" s="548"/>
      <c r="OK32" s="548"/>
      <c r="OL32" s="548"/>
      <c r="OM32" s="548"/>
      <c r="ON32" s="548"/>
      <c r="OO32" s="548"/>
      <c r="OP32" s="548"/>
      <c r="OQ32" s="548"/>
      <c r="OR32" s="548"/>
      <c r="OS32" s="548"/>
      <c r="OT32" s="548"/>
      <c r="OU32" s="548"/>
      <c r="OV32" s="548"/>
      <c r="OW32" s="548"/>
      <c r="OX32" s="548"/>
      <c r="OY32" s="548"/>
      <c r="OZ32" s="548"/>
      <c r="PA32" s="548"/>
      <c r="PB32" s="548"/>
      <c r="PC32" s="548"/>
      <c r="PD32" s="548"/>
      <c r="PE32" s="548"/>
      <c r="PF32" s="548"/>
      <c r="PG32" s="548"/>
      <c r="PH32" s="548"/>
      <c r="PI32" s="548"/>
      <c r="PJ32" s="548"/>
      <c r="PK32" s="548"/>
      <c r="PL32" s="548"/>
      <c r="PM32" s="548"/>
      <c r="PN32" s="548"/>
      <c r="PO32" s="548"/>
      <c r="PP32" s="548"/>
      <c r="PQ32" s="548"/>
      <c r="PR32" s="548"/>
      <c r="PS32" s="548"/>
      <c r="PT32" s="548"/>
      <c r="PU32" s="548"/>
      <c r="PV32" s="548"/>
      <c r="PW32" s="548"/>
      <c r="PX32" s="548"/>
      <c r="PY32" s="548"/>
      <c r="PZ32" s="548"/>
      <c r="QA32" s="548"/>
      <c r="QB32" s="548"/>
      <c r="QC32" s="548"/>
      <c r="QD32" s="548"/>
      <c r="QE32" s="548"/>
      <c r="QF32" s="548"/>
      <c r="QG32" s="548"/>
      <c r="QH32" s="548"/>
      <c r="QI32" s="548"/>
      <c r="QJ32" s="548"/>
      <c r="QK32" s="548"/>
      <c r="QL32" s="548"/>
      <c r="QM32" s="548"/>
      <c r="QN32" s="548"/>
      <c r="QO32" s="548"/>
      <c r="QP32" s="548"/>
      <c r="QQ32" s="1009"/>
      <c r="QR32" s="548"/>
      <c r="QS32" s="548"/>
      <c r="QT32" s="548"/>
      <c r="QU32" s="548"/>
      <c r="QV32" s="548"/>
      <c r="QW32" s="548"/>
      <c r="QX32" s="548"/>
      <c r="QY32" s="548"/>
      <c r="QZ32" s="548"/>
      <c r="RA32" s="548"/>
      <c r="RB32" s="548"/>
      <c r="RC32" s="548"/>
      <c r="RD32" s="548"/>
      <c r="RE32" s="548"/>
      <c r="RF32" s="548"/>
      <c r="RG32" s="548"/>
      <c r="RH32" s="548"/>
      <c r="RI32" s="548"/>
      <c r="RJ32" s="548"/>
      <c r="RK32" s="548"/>
      <c r="RL32" s="548"/>
      <c r="RM32" s="548"/>
      <c r="RN32" s="548"/>
      <c r="RO32" s="548"/>
      <c r="RP32" s="548"/>
      <c r="RQ32" s="548"/>
      <c r="RR32" s="548"/>
      <c r="RS32" s="548"/>
      <c r="RT32" s="548"/>
      <c r="RU32" s="548"/>
      <c r="RV32" s="548"/>
      <c r="RW32" s="548"/>
      <c r="RX32" s="548"/>
      <c r="RY32" s="548"/>
      <c r="RZ32" s="548"/>
      <c r="SA32" s="548"/>
      <c r="SB32" s="548"/>
      <c r="SC32" s="548"/>
      <c r="SD32" s="548"/>
      <c r="SE32" s="548"/>
      <c r="SF32" s="548"/>
      <c r="SG32" s="548"/>
      <c r="SH32" s="548"/>
      <c r="SI32" s="548"/>
      <c r="SJ32" s="548"/>
      <c r="SK32" s="548"/>
      <c r="SL32" s="548"/>
      <c r="SM32" s="548"/>
      <c r="SN32" s="548"/>
      <c r="SO32" s="548"/>
      <c r="SP32" s="548"/>
      <c r="SQ32" s="548"/>
      <c r="SR32" s="548"/>
      <c r="SS32" s="548"/>
      <c r="ST32" s="548"/>
      <c r="SU32" s="548"/>
      <c r="SV32" s="548"/>
      <c r="SW32" s="548"/>
      <c r="SX32" s="548"/>
      <c r="SY32" s="548"/>
      <c r="SZ32" s="548"/>
      <c r="TA32" s="548"/>
      <c r="TB32" s="548"/>
      <c r="TC32" s="548"/>
      <c r="TD32" s="548"/>
      <c r="TE32" s="548"/>
      <c r="TF32" s="548"/>
      <c r="TG32" s="548"/>
      <c r="TH32" s="548"/>
      <c r="TI32" s="548"/>
      <c r="TJ32" s="548"/>
      <c r="TK32" s="548"/>
      <c r="TL32" s="548"/>
      <c r="TM32" s="548"/>
      <c r="TN32" s="548"/>
      <c r="TO32" s="548"/>
      <c r="TP32" s="548"/>
      <c r="TQ32" s="548"/>
      <c r="TR32" s="548"/>
      <c r="TS32" s="548"/>
      <c r="TT32" s="548"/>
      <c r="TU32" s="548"/>
      <c r="TV32" s="548"/>
      <c r="TW32" s="548"/>
      <c r="TX32" s="548"/>
      <c r="TY32" s="548"/>
      <c r="TZ32" s="548"/>
      <c r="UA32" s="548"/>
      <c r="UB32" s="548"/>
      <c r="UC32" s="548"/>
      <c r="UD32" s="548"/>
      <c r="UE32" s="548"/>
      <c r="UF32" s="548"/>
      <c r="UG32" s="548"/>
      <c r="UH32" s="548"/>
      <c r="UI32" s="548"/>
      <c r="UJ32" s="548"/>
      <c r="UK32" s="548"/>
      <c r="UL32" s="548"/>
      <c r="UM32" s="548"/>
      <c r="UN32" s="548"/>
      <c r="UO32" s="548"/>
      <c r="UP32" s="548"/>
      <c r="UQ32" s="548"/>
      <c r="UR32" s="548"/>
      <c r="US32" s="548"/>
      <c r="UT32" s="548"/>
      <c r="UU32" s="548"/>
      <c r="UV32" s="548"/>
      <c r="UW32" s="548"/>
      <c r="UX32" s="548"/>
      <c r="UY32" s="548"/>
      <c r="UZ32" s="548"/>
      <c r="VA32" s="548"/>
      <c r="VB32" s="548"/>
      <c r="VC32" s="548"/>
      <c r="VD32" s="548"/>
      <c r="VE32" s="548"/>
      <c r="VF32" s="548"/>
      <c r="VG32" s="548"/>
      <c r="VH32" s="548"/>
      <c r="VI32" s="548"/>
      <c r="VJ32" s="548"/>
      <c r="VK32" s="548"/>
      <c r="VL32" s="548"/>
      <c r="VM32" s="548"/>
      <c r="VN32" s="548"/>
      <c r="VO32" s="548"/>
      <c r="VP32" s="548"/>
      <c r="VQ32" s="548"/>
      <c r="VR32" s="548"/>
      <c r="VS32" s="548"/>
      <c r="VT32" s="548"/>
      <c r="VU32" s="548"/>
      <c r="VV32" s="548"/>
      <c r="VW32" s="548"/>
      <c r="VX32" s="548"/>
      <c r="VY32" s="548"/>
      <c r="VZ32" s="548"/>
      <c r="WA32" s="548"/>
      <c r="WB32" s="548"/>
      <c r="WC32" s="548"/>
      <c r="WD32" s="548"/>
      <c r="WE32" s="548"/>
      <c r="WF32" s="548"/>
      <c r="WG32" s="548"/>
      <c r="WH32" s="548"/>
      <c r="WI32" s="548"/>
      <c r="WJ32" s="548"/>
      <c r="WK32" s="548"/>
      <c r="WL32" s="548"/>
      <c r="WM32" s="548"/>
      <c r="WN32" s="548"/>
      <c r="WO32" s="548"/>
      <c r="WP32" s="548"/>
      <c r="WQ32" s="548"/>
      <c r="WR32" s="548"/>
      <c r="WS32" s="548"/>
      <c r="WT32" s="548"/>
      <c r="WU32" s="548"/>
      <c r="WV32" s="548"/>
      <c r="WW32" s="548"/>
      <c r="WX32" s="548"/>
      <c r="WY32" s="548"/>
      <c r="WZ32" s="548"/>
      <c r="XA32" s="548"/>
      <c r="XB32" s="548"/>
      <c r="XC32" s="548"/>
      <c r="XD32" s="548"/>
      <c r="XE32" s="548"/>
      <c r="XF32" s="548"/>
      <c r="XG32" s="548"/>
      <c r="XH32" s="548"/>
      <c r="XI32" s="548"/>
      <c r="XJ32" s="548"/>
      <c r="XK32" s="548"/>
      <c r="XL32" s="548"/>
      <c r="XM32" s="548"/>
      <c r="XN32" s="548"/>
      <c r="XO32" s="548"/>
      <c r="XP32" s="548"/>
      <c r="XQ32" s="548"/>
      <c r="XR32" s="548"/>
      <c r="XS32" s="548"/>
      <c r="XT32" s="548"/>
      <c r="XU32" s="548"/>
      <c r="XV32" s="548"/>
      <c r="XW32" s="548"/>
      <c r="XX32" s="548"/>
      <c r="XY32" s="548"/>
      <c r="XZ32" s="548"/>
      <c r="YA32" s="548"/>
      <c r="YB32" s="548"/>
      <c r="YC32" s="548"/>
      <c r="YD32" s="548"/>
      <c r="YE32" s="548"/>
      <c r="YF32" s="548"/>
      <c r="YG32" s="548"/>
      <c r="YH32" s="548"/>
      <c r="YI32" s="548"/>
      <c r="YJ32" s="548"/>
      <c r="YK32" s="548"/>
      <c r="YL32" s="548"/>
      <c r="YM32" s="548"/>
      <c r="YN32" s="548"/>
      <c r="YO32" s="548"/>
      <c r="YP32" s="548"/>
      <c r="YQ32" s="548"/>
      <c r="YR32" s="548"/>
      <c r="YS32" s="548"/>
      <c r="YT32" s="548"/>
      <c r="YU32" s="548"/>
      <c r="YV32" s="548"/>
      <c r="YW32" s="548"/>
      <c r="YX32" s="548"/>
      <c r="YY32" s="548"/>
      <c r="YZ32" s="548"/>
      <c r="ZA32" s="548"/>
      <c r="ZB32" s="548"/>
      <c r="ZC32" s="548"/>
      <c r="ZD32" s="548"/>
      <c r="ZE32" s="548"/>
      <c r="ZF32" s="548"/>
      <c r="ZG32" s="548"/>
      <c r="ZH32" s="548"/>
      <c r="ZI32" s="548"/>
      <c r="ZJ32" s="548"/>
      <c r="ZK32" s="548"/>
      <c r="ZL32" s="548"/>
      <c r="ZM32" s="548"/>
      <c r="ZN32" s="548"/>
      <c r="ZO32" s="548"/>
      <c r="ZP32" s="548"/>
      <c r="ZQ32" s="548"/>
      <c r="ZR32" s="548"/>
      <c r="ZS32" s="548"/>
      <c r="ZT32" s="548"/>
      <c r="ZU32" s="548"/>
      <c r="ZV32" s="548"/>
      <c r="ZW32" s="548"/>
      <c r="ZX32" s="548"/>
      <c r="ZY32" s="548"/>
      <c r="ZZ32" s="548"/>
      <c r="AAA32" s="548"/>
      <c r="AAB32" s="548"/>
      <c r="AAC32" s="548"/>
      <c r="AAD32" s="548"/>
      <c r="AAE32" s="548"/>
      <c r="AAF32" s="548"/>
      <c r="AAG32" s="548"/>
      <c r="AAH32" s="548"/>
      <c r="AAI32" s="548"/>
      <c r="AAJ32" s="548"/>
      <c r="AAK32" s="548"/>
      <c r="AAL32" s="548"/>
      <c r="AAM32" s="548"/>
      <c r="AAN32" s="548"/>
      <c r="AAO32" s="548"/>
      <c r="AAP32" s="548"/>
      <c r="AAQ32" s="548"/>
      <c r="AAR32" s="548"/>
      <c r="AAS32" s="548"/>
      <c r="AAT32" s="548"/>
      <c r="AAU32" s="548"/>
      <c r="AAV32" s="548"/>
      <c r="AAW32" s="548"/>
      <c r="AAX32" s="548"/>
      <c r="AAY32" s="548"/>
      <c r="AAZ32" s="548"/>
      <c r="ABA32" s="548"/>
      <c r="ABB32" s="548"/>
      <c r="ABC32" s="548"/>
      <c r="ABD32" s="548"/>
      <c r="ABE32" s="548"/>
      <c r="ABF32" s="548"/>
      <c r="ABG32" s="548"/>
      <c r="ABH32" s="548"/>
      <c r="ABI32" s="548"/>
      <c r="ABJ32" s="548"/>
      <c r="ABK32" s="548"/>
      <c r="ABL32" s="548"/>
      <c r="ABM32" s="548"/>
      <c r="ABN32" s="548"/>
      <c r="ABO32" s="548"/>
      <c r="ABP32" s="548"/>
      <c r="ABQ32" s="548"/>
      <c r="ABR32" s="548"/>
      <c r="ABS32" s="548"/>
    </row>
    <row r="33" spans="1:747" customFormat="1" ht="15" customHeight="1" x14ac:dyDescent="0.2">
      <c r="A33" s="424" t="str">
        <f t="shared" si="149"/>
        <v/>
      </c>
      <c r="B33" s="415"/>
      <c r="C33" s="525"/>
      <c r="D33" s="750"/>
      <c r="E33" s="416" t="str">
        <f t="shared" si="0"/>
        <v/>
      </c>
      <c r="F33" s="527" t="str">
        <f t="shared" si="1"/>
        <v/>
      </c>
      <c r="G33" s="417"/>
      <c r="H33" s="583" t="str">
        <f t="shared" si="2"/>
        <v/>
      </c>
      <c r="I33" s="424"/>
      <c r="J33" s="749"/>
      <c r="K33" s="418"/>
      <c r="L33" s="419"/>
      <c r="M33" s="415"/>
      <c r="N33" s="420"/>
      <c r="O33" s="421"/>
      <c r="P33" s="561"/>
      <c r="Q33" s="422"/>
      <c r="R33" s="561" t="str">
        <f t="shared" si="3"/>
        <v/>
      </c>
      <c r="S33" s="664"/>
      <c r="T33" s="663"/>
      <c r="U33" s="580">
        <f t="shared" si="4"/>
        <v>0</v>
      </c>
      <c r="V33" s="418"/>
      <c r="W33" s="582" t="str">
        <f t="shared" si="5"/>
        <v/>
      </c>
      <c r="X33" s="479" t="str">
        <f t="shared" si="6"/>
        <v/>
      </c>
      <c r="Y33" s="582" t="str">
        <f t="shared" si="7"/>
        <v/>
      </c>
      <c r="Z33" s="317" t="str">
        <f t="shared" si="8"/>
        <v/>
      </c>
      <c r="AA33" s="317" t="str">
        <f t="shared" si="9"/>
        <v/>
      </c>
      <c r="AB33" s="317">
        <f t="shared" si="10"/>
        <v>0</v>
      </c>
      <c r="AC33" s="317" t="str">
        <f t="shared" si="11"/>
        <v/>
      </c>
      <c r="AD33" s="317"/>
      <c r="AE33" s="479"/>
      <c r="AF33" s="479"/>
      <c r="AG33" s="423"/>
      <c r="AH33" s="820"/>
      <c r="AI33" s="480"/>
      <c r="AJ33" s="660"/>
      <c r="AK33" s="524" t="str">
        <f t="shared" si="12"/>
        <v/>
      </c>
      <c r="AL33" s="731">
        <f>SUMIF($J$4:$J$158,"Volta Aulas",$S$4:$S$158)</f>
        <v>0</v>
      </c>
      <c r="AM33" s="732">
        <f>SUMIF($J$4:$J$158,"Volta Aulas",$T$4:$T$158)</f>
        <v>0</v>
      </c>
      <c r="AN33" s="426">
        <f t="shared" si="13"/>
        <v>0</v>
      </c>
      <c r="AO33" s="798" t="str">
        <f t="shared" si="37"/>
        <v/>
      </c>
      <c r="AP33" s="768" t="str">
        <f t="shared" si="14"/>
        <v/>
      </c>
      <c r="AQ33" s="768"/>
      <c r="AR33" s="768"/>
      <c r="AS33" s="803"/>
      <c r="AT33" s="804"/>
      <c r="AU33" s="805"/>
      <c r="AV33" s="806"/>
      <c r="AW33" s="800"/>
      <c r="AX33" s="805"/>
      <c r="AY33" s="806">
        <f t="shared" si="15"/>
        <v>0</v>
      </c>
      <c r="AZ33" s="768"/>
      <c r="BA33" s="485" t="str">
        <f t="shared" si="16"/>
        <v/>
      </c>
      <c r="BB33" s="485"/>
      <c r="BC33" s="768"/>
      <c r="BD33" s="426">
        <f t="array" ref="BD33">IF(SUM((BC33=$BC$3:BC32)*1)=0,BC33,0)</f>
        <v>0</v>
      </c>
      <c r="BE33" s="426"/>
      <c r="BF33" s="426"/>
      <c r="BG33" s="426">
        <f t="array" ref="BG33">IF(SUM((BF33=$BF$3:BF32)*1)=0,BF33,0)</f>
        <v>0</v>
      </c>
      <c r="BH33" s="426"/>
      <c r="BI33" s="426"/>
      <c r="BJ33" s="426"/>
      <c r="BK33" s="426"/>
      <c r="BL33" s="426"/>
      <c r="BM33" s="426"/>
      <c r="BN33" s="426"/>
      <c r="BO33" s="426"/>
      <c r="BP33" s="433">
        <f t="shared" si="17"/>
        <v>0</v>
      </c>
      <c r="BQ33" s="435"/>
      <c r="BR33" s="492"/>
      <c r="BS33" s="435"/>
      <c r="BT33" s="491"/>
      <c r="BU33" s="435"/>
      <c r="BV33" s="435" t="str">
        <f t="shared" si="18"/>
        <v/>
      </c>
      <c r="BW33" s="435" t="str">
        <f t="shared" si="38"/>
        <v/>
      </c>
      <c r="BX33" s="435"/>
      <c r="BY33" s="435"/>
      <c r="BZ33" s="435"/>
      <c r="CA33" s="435"/>
      <c r="CB33" s="435"/>
      <c r="CC33" s="435"/>
      <c r="CD33" s="435"/>
      <c r="CE33" s="435"/>
      <c r="CF33" s="435"/>
      <c r="CG33" s="435"/>
      <c r="CH33" s="435"/>
      <c r="CI33" s="435"/>
      <c r="CJ33" s="426" t="str">
        <f t="shared" si="39"/>
        <v/>
      </c>
      <c r="CK33" s="435"/>
      <c r="CL33" s="426"/>
      <c r="CM33" s="435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>
        <v>30</v>
      </c>
      <c r="CZ33" s="426"/>
      <c r="DA33" s="426"/>
      <c r="DB33" s="426"/>
      <c r="DC33" s="426" t="s">
        <v>773</v>
      </c>
      <c r="DD33" s="426" t="s">
        <v>933</v>
      </c>
      <c r="DE33" s="435" t="str">
        <f t="shared" si="40"/>
        <v/>
      </c>
      <c r="DF33" s="435" t="str">
        <f t="shared" si="41"/>
        <v/>
      </c>
      <c r="DG33" s="435" t="str">
        <f t="shared" si="42"/>
        <v/>
      </c>
      <c r="DH33" s="435" t="str">
        <f t="shared" si="43"/>
        <v/>
      </c>
      <c r="DI33" s="435" t="str">
        <f t="shared" si="44"/>
        <v/>
      </c>
      <c r="DJ33" s="435" t="str">
        <f t="shared" si="45"/>
        <v/>
      </c>
      <c r="DK33" s="435" t="str">
        <f t="shared" si="19"/>
        <v/>
      </c>
      <c r="DL33" s="435" t="str">
        <f t="shared" si="20"/>
        <v/>
      </c>
      <c r="DM33" s="435" t="str">
        <f t="shared" si="46"/>
        <v/>
      </c>
      <c r="DN33" s="435" t="str">
        <f t="shared" si="47"/>
        <v/>
      </c>
      <c r="DO33" s="435" t="str">
        <f t="shared" si="21"/>
        <v/>
      </c>
      <c r="DP33" s="435" t="str">
        <f t="shared" si="22"/>
        <v/>
      </c>
      <c r="DQ33" s="435" t="str">
        <f t="shared" si="48"/>
        <v/>
      </c>
      <c r="DR33" s="435" t="str">
        <f t="shared" si="49"/>
        <v/>
      </c>
      <c r="DS33" s="435" t="str">
        <f t="shared" si="23"/>
        <v/>
      </c>
      <c r="DT33" s="435" t="str">
        <f t="shared" si="24"/>
        <v/>
      </c>
      <c r="DU33" s="435" t="str">
        <f t="shared" si="50"/>
        <v/>
      </c>
      <c r="DV33" s="435" t="str">
        <f t="shared" si="51"/>
        <v/>
      </c>
      <c r="DW33" s="435" t="str">
        <f t="shared" si="25"/>
        <v/>
      </c>
      <c r="DX33" s="435" t="str">
        <f t="shared" si="26"/>
        <v/>
      </c>
      <c r="DY33" s="435" t="str">
        <f t="shared" si="52"/>
        <v/>
      </c>
      <c r="DZ33" s="435" t="str">
        <f t="shared" si="53"/>
        <v/>
      </c>
      <c r="EA33" s="435" t="str">
        <f t="shared" si="27"/>
        <v/>
      </c>
      <c r="EB33" s="435" t="str">
        <f t="shared" si="28"/>
        <v/>
      </c>
      <c r="EC33" s="435" t="str">
        <f t="shared" si="29"/>
        <v/>
      </c>
      <c r="ED33" s="435" t="str">
        <f t="shared" si="30"/>
        <v/>
      </c>
      <c r="EE33" s="435" t="str">
        <f t="shared" si="31"/>
        <v/>
      </c>
      <c r="EF33" s="435" t="str">
        <f t="shared" si="32"/>
        <v/>
      </c>
      <c r="EG33" s="435" t="str">
        <f t="shared" si="33"/>
        <v/>
      </c>
      <c r="EH33" s="435" t="str">
        <f t="shared" si="34"/>
        <v/>
      </c>
      <c r="EI33" s="435" t="str">
        <f t="shared" si="35"/>
        <v/>
      </c>
      <c r="EJ33" s="435" t="str">
        <f t="shared" si="36"/>
        <v/>
      </c>
      <c r="EK33" s="485"/>
      <c r="EL33" s="485"/>
      <c r="EM33" s="485"/>
      <c r="EN33" s="485"/>
      <c r="EO33" s="448"/>
      <c r="EP33" s="448"/>
      <c r="EQ33" s="448"/>
      <c r="ER33" s="448"/>
      <c r="ES33" s="448"/>
      <c r="ET33" s="435"/>
      <c r="EU33" s="435"/>
      <c r="EV33" s="435"/>
      <c r="EW33" s="435"/>
      <c r="EX33" s="426"/>
      <c r="EY33" s="426"/>
      <c r="EZ33" s="426"/>
      <c r="FA33" s="427"/>
      <c r="FB33" s="427">
        <f t="array" ref="FB33">IF(SUM((FA33=$FA$3:FA32)*1)=0,FA33,0)</f>
        <v>0</v>
      </c>
      <c r="FC33" s="427"/>
      <c r="FD33" s="427"/>
      <c r="FE33" s="427">
        <f t="array" ref="FE33">IF(SUM((FD33=$FD$3:FD32)*1)=0,FD33,0)</f>
        <v>0</v>
      </c>
      <c r="FF33" s="427"/>
      <c r="FG33" s="427"/>
      <c r="FH33" s="427"/>
      <c r="FI33" s="427">
        <f t="array" ref="FI33">IF(SUM((FH33=$FH$3:FH32)*1)=0,FH33,0)</f>
        <v>0</v>
      </c>
      <c r="FJ33" s="427"/>
      <c r="FK33" s="427"/>
      <c r="FL33" s="427">
        <f t="array" ref="FL33">IF(SUM((FK33=$FK$3:FK32)*1)=0,FK33,0)</f>
        <v>0</v>
      </c>
      <c r="FM33" s="427"/>
      <c r="FN33" s="427"/>
      <c r="FO33" s="427"/>
      <c r="FP33" s="427">
        <f t="array" ref="FP33">IF(SUM((FO33=$FO$3:FO32)*1)=0,FO33,0)</f>
        <v>0</v>
      </c>
      <c r="FQ33" s="427"/>
      <c r="FR33" s="427"/>
      <c r="FS33" s="427">
        <f t="array" ref="FS33">IF(SUM((FR33=$FR$3:FR32)*1)=0,FR33,0)</f>
        <v>0</v>
      </c>
      <c r="FT33" s="427"/>
      <c r="FU33" s="427"/>
      <c r="FV33" s="427"/>
      <c r="FW33" s="427">
        <f t="array" ref="FW33">IF(SUM((FV33=$FV$3:FV32)*1)=0,FV33,0)</f>
        <v>0</v>
      </c>
      <c r="FX33" s="427"/>
      <c r="FY33" s="427"/>
      <c r="FZ33" s="427">
        <f t="array" ref="FZ33">IF(SUM((FY33=$FY$3:FY32)*1)=0,FY33,0)</f>
        <v>0</v>
      </c>
      <c r="GA33" s="427"/>
      <c r="GB33" s="427"/>
      <c r="GC33" s="427"/>
      <c r="GD33" s="427">
        <f t="array" ref="GD33">IF(SUM((GC33=$GC$3:GC32)*1)=0,GC33,0)</f>
        <v>0</v>
      </c>
      <c r="GE33" s="427"/>
      <c r="GF33" s="427"/>
      <c r="GG33" s="427">
        <f t="array" ref="GG33">IF(SUM((GF33=$GF$3:GF32)*1)=0,GF33,0)</f>
        <v>0</v>
      </c>
      <c r="GH33" s="427"/>
      <c r="GI33" s="427"/>
      <c r="GJ33" s="427"/>
      <c r="GK33" s="798">
        <f t="array" ref="GK33">IF(SUM((GJ33=$GJ$3:GJ32)*1)=0,GJ33,0)</f>
        <v>0</v>
      </c>
      <c r="GL33" s="427"/>
      <c r="GM33" s="427"/>
      <c r="GN33" s="798">
        <f t="array" ref="GN33">IF(SUM((GM33=$GM$3:GM32)*1)=0,GM33,0)</f>
        <v>0</v>
      </c>
      <c r="GO33" s="427"/>
      <c r="GP33" s="427"/>
      <c r="GQ33" s="427"/>
      <c r="GR33" s="798">
        <f t="array" ref="GR33">IF(SUM((GQ33=$GQ$3:GQ32)*1)=0,GQ33,0)</f>
        <v>0</v>
      </c>
      <c r="GS33" s="427"/>
      <c r="GT33" s="427"/>
      <c r="GU33" s="798">
        <f t="array" ref="GU33">IF(SUM((GT33=$GT$3:GT32)*1)=0,GT33,0)</f>
        <v>0</v>
      </c>
      <c r="GV33" s="427"/>
      <c r="GW33" s="427"/>
      <c r="GX33" s="427"/>
      <c r="GY33" s="798">
        <f t="array" ref="GY33">IF(SUM((GX33=$GX$3:GX32)*1)=0,GX33,0)</f>
        <v>0</v>
      </c>
      <c r="GZ33" s="427"/>
      <c r="HA33" s="427"/>
      <c r="HB33" s="798">
        <f t="array" ref="HB33">IF(SUM((HA33=$HA$3:HA32)*1)=0,HA33,0)</f>
        <v>0</v>
      </c>
      <c r="HC33" s="427"/>
      <c r="HD33" s="427"/>
      <c r="HE33" s="769" t="str">
        <f t="shared" si="130"/>
        <v/>
      </c>
      <c r="HF33" s="768" t="str">
        <f t="shared" ref="HF33" si="366">IF(HE33&lt;0,"Invadiu REP-BA-C","")</f>
        <v/>
      </c>
      <c r="HG33" s="769" t="str">
        <f t="shared" si="131"/>
        <v/>
      </c>
      <c r="HH33" s="768" t="str">
        <f t="shared" si="55"/>
        <v/>
      </c>
      <c r="HI33" s="728" t="str">
        <f t="shared" si="132"/>
        <v/>
      </c>
      <c r="HJ33" s="768" t="str">
        <f t="shared" si="56"/>
        <v/>
      </c>
      <c r="HK33" s="728" t="str">
        <f t="shared" si="133"/>
        <v/>
      </c>
      <c r="HL33" s="768" t="str">
        <f t="shared" si="57"/>
        <v/>
      </c>
      <c r="HM33" s="769" t="str">
        <f t="shared" si="58"/>
        <v/>
      </c>
      <c r="HN33" s="768" t="str">
        <f t="shared" ref="HN33" si="367">IF(HM33&lt;0,"Invadiu REP-BA-C","")</f>
        <v/>
      </c>
      <c r="HO33" s="769" t="str">
        <f t="shared" si="60"/>
        <v/>
      </c>
      <c r="HP33" s="768" t="str">
        <f t="shared" si="61"/>
        <v/>
      </c>
      <c r="HQ33" s="728" t="str">
        <f t="shared" si="62"/>
        <v/>
      </c>
      <c r="HR33" s="768" t="str">
        <f t="shared" si="63"/>
        <v/>
      </c>
      <c r="HS33" s="728" t="str">
        <f t="shared" si="64"/>
        <v/>
      </c>
      <c r="HT33" s="768" t="str">
        <f t="shared" si="65"/>
        <v/>
      </c>
      <c r="HU33" s="769" t="str">
        <f t="shared" si="66"/>
        <v/>
      </c>
      <c r="HV33" s="768" t="str">
        <f t="shared" ref="HV33" si="368">IF(HU33&lt;0,"Invadiu REP-BA-C","")</f>
        <v/>
      </c>
      <c r="HW33" s="769" t="str">
        <f t="shared" si="68"/>
        <v/>
      </c>
      <c r="HX33" s="768" t="str">
        <f t="shared" si="69"/>
        <v/>
      </c>
      <c r="HY33" s="728" t="str">
        <f t="shared" si="70"/>
        <v/>
      </c>
      <c r="HZ33" s="768" t="str">
        <f t="shared" si="71"/>
        <v/>
      </c>
      <c r="IA33" s="728" t="str">
        <f t="shared" si="72"/>
        <v/>
      </c>
      <c r="IB33" s="768" t="str">
        <f t="shared" si="73"/>
        <v/>
      </c>
      <c r="IC33" s="769" t="str">
        <f t="shared" si="74"/>
        <v/>
      </c>
      <c r="ID33" s="768" t="str">
        <f t="shared" ref="ID33" si="369">IF(IC33&lt;0,"Invadiu REP-BA-C","")</f>
        <v/>
      </c>
      <c r="IE33" s="769" t="str">
        <f t="shared" si="76"/>
        <v/>
      </c>
      <c r="IF33" s="768" t="str">
        <f t="shared" si="77"/>
        <v/>
      </c>
      <c r="IG33" s="728" t="str">
        <f t="shared" si="78"/>
        <v/>
      </c>
      <c r="IH33" s="768" t="str">
        <f t="shared" si="79"/>
        <v/>
      </c>
      <c r="II33" s="728" t="str">
        <f t="shared" si="80"/>
        <v/>
      </c>
      <c r="IJ33" s="768" t="str">
        <f t="shared" si="81"/>
        <v/>
      </c>
      <c r="IK33" s="769" t="str">
        <f t="shared" si="82"/>
        <v/>
      </c>
      <c r="IL33" s="768" t="str">
        <f t="shared" ref="IL33" si="370">IF(IK33&lt;0,"Invadiu REP-BA-C","")</f>
        <v/>
      </c>
      <c r="IM33" s="769" t="str">
        <f t="shared" si="84"/>
        <v/>
      </c>
      <c r="IN33" s="768" t="str">
        <f t="shared" si="85"/>
        <v/>
      </c>
      <c r="IO33" s="728" t="str">
        <f t="shared" si="86"/>
        <v/>
      </c>
      <c r="IP33" s="768" t="str">
        <f t="shared" si="87"/>
        <v/>
      </c>
      <c r="IQ33" s="728" t="str">
        <f t="shared" si="88"/>
        <v/>
      </c>
      <c r="IR33" s="768" t="str">
        <f t="shared" si="89"/>
        <v/>
      </c>
      <c r="IS33" s="769" t="str">
        <f t="shared" si="90"/>
        <v/>
      </c>
      <c r="IT33" s="768" t="str">
        <f t="shared" ref="IT33" si="371">IF(IS33&lt;0,"Invadiu REP-BA-C","")</f>
        <v/>
      </c>
      <c r="IU33" s="769" t="str">
        <f t="shared" si="92"/>
        <v/>
      </c>
      <c r="IV33" s="768" t="str">
        <f t="shared" si="93"/>
        <v/>
      </c>
      <c r="IW33" s="728" t="str">
        <f t="shared" si="94"/>
        <v/>
      </c>
      <c r="IX33" s="768" t="str">
        <f t="shared" si="95"/>
        <v/>
      </c>
      <c r="IY33" s="728" t="str">
        <f t="shared" si="96"/>
        <v/>
      </c>
      <c r="IZ33" s="768" t="str">
        <f t="shared" si="97"/>
        <v/>
      </c>
      <c r="JA33" s="769" t="str">
        <f t="shared" si="98"/>
        <v/>
      </c>
      <c r="JB33" s="768" t="str">
        <f t="shared" ref="JB33" si="372">IF(JA33&lt;0,"Invadiu REP-BA-C","")</f>
        <v/>
      </c>
      <c r="JC33" s="769" t="str">
        <f t="shared" si="100"/>
        <v/>
      </c>
      <c r="JD33" s="768" t="str">
        <f t="shared" si="101"/>
        <v/>
      </c>
      <c r="JE33" s="728" t="str">
        <f t="shared" si="102"/>
        <v/>
      </c>
      <c r="JF33" s="768" t="str">
        <f t="shared" si="103"/>
        <v/>
      </c>
      <c r="JG33" s="728" t="str">
        <f t="shared" si="104"/>
        <v/>
      </c>
      <c r="JH33" s="768" t="str">
        <f t="shared" si="105"/>
        <v/>
      </c>
      <c r="JI33" s="769" t="str">
        <f t="shared" si="106"/>
        <v/>
      </c>
      <c r="JJ33" s="768" t="str">
        <f t="shared" ref="JJ33" si="373">IF(JI33&lt;0,"Invadiu REP-BA-C","")</f>
        <v/>
      </c>
      <c r="JK33" s="769" t="str">
        <f t="shared" si="108"/>
        <v/>
      </c>
      <c r="JL33" s="768" t="str">
        <f t="shared" si="109"/>
        <v/>
      </c>
      <c r="JM33" s="728" t="str">
        <f t="shared" si="110"/>
        <v/>
      </c>
      <c r="JN33" s="768" t="str">
        <f t="shared" si="111"/>
        <v/>
      </c>
      <c r="JO33" s="728" t="str">
        <f t="shared" si="112"/>
        <v/>
      </c>
      <c r="JP33" s="768" t="str">
        <f t="shared" si="113"/>
        <v/>
      </c>
      <c r="JQ33" s="769" t="str">
        <f t="shared" si="114"/>
        <v/>
      </c>
      <c r="JR33" s="768" t="str">
        <f t="shared" ref="JR33" si="374">IF(JQ33&lt;0,"Invadiu REP-BA-C","")</f>
        <v/>
      </c>
      <c r="JS33" s="769" t="str">
        <f t="shared" si="116"/>
        <v/>
      </c>
      <c r="JT33" s="768" t="str">
        <f t="shared" si="117"/>
        <v/>
      </c>
      <c r="JU33" s="728" t="str">
        <f t="shared" si="118"/>
        <v/>
      </c>
      <c r="JV33" s="768" t="str">
        <f t="shared" si="119"/>
        <v/>
      </c>
      <c r="JW33" s="728" t="str">
        <f t="shared" si="120"/>
        <v/>
      </c>
      <c r="JX33" s="768" t="str">
        <f t="shared" si="121"/>
        <v/>
      </c>
      <c r="JY33" s="768" t="str">
        <f t="shared" si="122"/>
        <v/>
      </c>
      <c r="JZ33" s="485" t="str">
        <f>IF(JY33="","",IF(AND(C33=$C$164,JY33&lt;&gt;""),Verificarcpf(D33),IF(AND(C33=$C$165,JY33&lt;&gt;""),VerificarCNPJ(D33))))</f>
        <v/>
      </c>
      <c r="KA33" s="768" t="str">
        <f t="shared" si="123"/>
        <v/>
      </c>
      <c r="KB33" s="485">
        <f t="shared" si="124"/>
        <v>0</v>
      </c>
      <c r="KC33" s="768">
        <f t="shared" si="125"/>
        <v>0</v>
      </c>
      <c r="KD33" s="485">
        <f t="shared" si="126"/>
        <v>0</v>
      </c>
      <c r="KE33" s="448"/>
      <c r="KF33" s="548">
        <f t="shared" si="127"/>
        <v>0</v>
      </c>
      <c r="KG33" s="548" t="s">
        <v>577</v>
      </c>
      <c r="KH33" s="548"/>
      <c r="KI33" s="548"/>
      <c r="KJ33" s="548" t="str">
        <f t="shared" si="128"/>
        <v/>
      </c>
      <c r="KK33" s="548"/>
      <c r="KL33" s="548"/>
      <c r="KM33" s="548">
        <f t="array" ref="KM33">IF(SUM((KL33=$KL$3:KL32)*1)=0,KL33,0)</f>
        <v>0</v>
      </c>
      <c r="KN33" s="548"/>
      <c r="KO33" s="548"/>
      <c r="KP33" s="548"/>
      <c r="KQ33" s="548"/>
      <c r="KR33" s="548" t="str">
        <f t="shared" si="129"/>
        <v/>
      </c>
      <c r="KS33" s="548"/>
      <c r="KT33" s="548"/>
      <c r="KU33" s="548"/>
      <c r="KV33" s="548"/>
      <c r="KW33" s="548"/>
      <c r="KX33" s="548"/>
      <c r="KY33" s="548"/>
      <c r="KZ33" s="548"/>
      <c r="LA33" s="548"/>
      <c r="LB33" s="548"/>
      <c r="LC33" s="485" t="str">
        <f t="shared" si="142"/>
        <v/>
      </c>
      <c r="LD33" s="548"/>
      <c r="LE33" s="548"/>
      <c r="LF33" s="548"/>
      <c r="LG33" s="548"/>
      <c r="LH33" s="548"/>
      <c r="LI33" s="548"/>
      <c r="LJ33" s="548"/>
      <c r="LK33" s="548"/>
      <c r="LL33" s="548"/>
      <c r="LM33" s="548"/>
      <c r="LN33" s="548"/>
      <c r="LO33" s="548"/>
      <c r="LP33" s="485" t="str">
        <f t="shared" si="143"/>
        <v/>
      </c>
      <c r="LQ33" s="548"/>
      <c r="LR33" s="548"/>
      <c r="LS33" s="548"/>
      <c r="LT33" s="548"/>
      <c r="LU33" s="548"/>
      <c r="LV33" s="548"/>
      <c r="LW33" s="548"/>
      <c r="LX33" s="548"/>
      <c r="LY33" s="548"/>
      <c r="LZ33" s="548"/>
      <c r="MA33" s="548"/>
      <c r="MB33" s="548"/>
      <c r="MC33" s="485" t="str">
        <f t="shared" si="144"/>
        <v/>
      </c>
      <c r="MD33" s="548"/>
      <c r="ME33" s="548"/>
      <c r="MF33" s="548"/>
      <c r="MG33" s="548"/>
      <c r="MH33" s="548"/>
      <c r="MI33" s="548"/>
      <c r="MJ33" s="548"/>
      <c r="MK33" s="548"/>
      <c r="ML33" s="548"/>
      <c r="MM33" s="548"/>
      <c r="MN33" s="548"/>
      <c r="MO33" s="548"/>
      <c r="MP33" s="485" t="str">
        <f t="shared" si="145"/>
        <v/>
      </c>
      <c r="MQ33" s="548"/>
      <c r="MR33" s="548"/>
      <c r="MS33" s="548"/>
      <c r="MT33" s="548"/>
      <c r="MU33" s="548"/>
      <c r="MV33" s="548"/>
      <c r="MW33" s="548"/>
      <c r="MX33" s="548"/>
      <c r="MY33" s="548"/>
      <c r="MZ33" s="548"/>
      <c r="NA33" s="548"/>
      <c r="NB33" s="548"/>
      <c r="NC33" s="485" t="str">
        <f t="shared" si="146"/>
        <v/>
      </c>
      <c r="ND33" s="548"/>
      <c r="NE33" s="548"/>
      <c r="NF33" s="548"/>
      <c r="NG33" s="548"/>
      <c r="NH33" s="548"/>
      <c r="NI33" s="548"/>
      <c r="NJ33" s="548"/>
      <c r="NK33" s="548"/>
      <c r="NL33" s="548"/>
      <c r="NM33" s="548"/>
      <c r="NN33" s="548"/>
      <c r="NO33" s="548"/>
      <c r="NP33" s="485" t="str">
        <f t="shared" si="147"/>
        <v/>
      </c>
      <c r="NQ33" s="548"/>
      <c r="NR33" s="548"/>
      <c r="NS33" s="548"/>
      <c r="NT33" s="548"/>
      <c r="NU33" s="548"/>
      <c r="NV33" s="548"/>
      <c r="NW33" s="548"/>
      <c r="NX33" s="548"/>
      <c r="NY33" s="548"/>
      <c r="NZ33" s="548"/>
      <c r="OA33" s="548"/>
      <c r="OB33" s="548"/>
      <c r="OC33" s="485" t="str">
        <f t="shared" si="148"/>
        <v/>
      </c>
      <c r="OD33" s="548"/>
      <c r="OE33" s="548"/>
      <c r="OF33" s="548"/>
      <c r="OG33" s="548"/>
      <c r="OH33" s="548"/>
      <c r="OI33" s="548"/>
      <c r="OJ33" s="548"/>
      <c r="OK33" s="548"/>
      <c r="OL33" s="548"/>
      <c r="OM33" s="548"/>
      <c r="ON33" s="548"/>
      <c r="OO33" s="548"/>
      <c r="OP33" s="548"/>
      <c r="OQ33" s="548"/>
      <c r="OR33" s="548"/>
      <c r="OS33" s="548"/>
      <c r="OT33" s="548"/>
      <c r="OU33" s="548"/>
      <c r="OV33" s="548"/>
      <c r="OW33" s="548"/>
      <c r="OX33" s="548"/>
      <c r="OY33" s="548"/>
      <c r="OZ33" s="548"/>
      <c r="PA33" s="548"/>
      <c r="PB33" s="548"/>
      <c r="PC33" s="548"/>
      <c r="PD33" s="548"/>
      <c r="PE33" s="548"/>
      <c r="PF33" s="548"/>
      <c r="PG33" s="548"/>
      <c r="PH33" s="548"/>
      <c r="PI33" s="548"/>
      <c r="PJ33" s="548"/>
      <c r="PK33" s="548"/>
      <c r="PL33" s="548"/>
      <c r="PM33" s="548"/>
      <c r="PN33" s="548"/>
      <c r="PO33" s="548"/>
      <c r="PP33" s="548"/>
      <c r="PQ33" s="548"/>
      <c r="PR33" s="548"/>
      <c r="PS33" s="548"/>
      <c r="PT33" s="548"/>
      <c r="PU33" s="548"/>
      <c r="PV33" s="548"/>
      <c r="PW33" s="548"/>
      <c r="PX33" s="548"/>
      <c r="PY33" s="548"/>
      <c r="PZ33" s="548"/>
      <c r="QA33" s="548"/>
      <c r="QB33" s="548"/>
      <c r="QC33" s="548"/>
      <c r="QD33" s="548"/>
      <c r="QE33" s="548"/>
      <c r="QF33" s="548"/>
      <c r="QG33" s="548"/>
      <c r="QH33" s="548"/>
      <c r="QI33" s="548"/>
      <c r="QJ33" s="548"/>
      <c r="QK33" s="548"/>
      <c r="QL33" s="548"/>
      <c r="QM33" s="548"/>
      <c r="QN33" s="548"/>
      <c r="QO33" s="548"/>
      <c r="QP33" s="548"/>
      <c r="QQ33" s="1009"/>
      <c r="QR33" s="548"/>
      <c r="QS33" s="548"/>
      <c r="QT33" s="548"/>
      <c r="QU33" s="548"/>
      <c r="QV33" s="548"/>
      <c r="QW33" s="548"/>
      <c r="QX33" s="548"/>
      <c r="QY33" s="548"/>
      <c r="QZ33" s="548"/>
      <c r="RA33" s="548"/>
      <c r="RB33" s="548"/>
      <c r="RC33" s="548"/>
      <c r="RD33" s="548"/>
      <c r="RE33" s="548"/>
      <c r="RF33" s="548"/>
      <c r="RG33" s="548"/>
      <c r="RH33" s="548"/>
      <c r="RI33" s="548"/>
      <c r="RJ33" s="548"/>
      <c r="RK33" s="548"/>
      <c r="RL33" s="548"/>
      <c r="RM33" s="548"/>
      <c r="RN33" s="548"/>
      <c r="RO33" s="548"/>
      <c r="RP33" s="548"/>
      <c r="RQ33" s="548"/>
      <c r="RR33" s="548"/>
      <c r="RS33" s="548"/>
      <c r="RT33" s="548"/>
      <c r="RU33" s="548"/>
      <c r="RV33" s="548"/>
      <c r="RW33" s="548"/>
      <c r="RX33" s="548"/>
      <c r="RY33" s="548"/>
      <c r="RZ33" s="548"/>
      <c r="SA33" s="548"/>
      <c r="SB33" s="548"/>
      <c r="SC33" s="548"/>
      <c r="SD33" s="548"/>
      <c r="SE33" s="548"/>
      <c r="SF33" s="548"/>
      <c r="SG33" s="548"/>
      <c r="SH33" s="548"/>
      <c r="SI33" s="548"/>
      <c r="SJ33" s="548"/>
      <c r="SK33" s="548"/>
      <c r="SL33" s="548"/>
      <c r="SM33" s="548"/>
      <c r="SN33" s="548"/>
      <c r="SO33" s="548"/>
      <c r="SP33" s="548"/>
      <c r="SQ33" s="548"/>
      <c r="SR33" s="548"/>
      <c r="SS33" s="548"/>
      <c r="ST33" s="548"/>
      <c r="SU33" s="548"/>
      <c r="SV33" s="548"/>
      <c r="SW33" s="548"/>
      <c r="SX33" s="548"/>
      <c r="SY33" s="548"/>
      <c r="SZ33" s="548"/>
      <c r="TA33" s="548"/>
      <c r="TB33" s="548"/>
      <c r="TC33" s="548"/>
      <c r="TD33" s="548"/>
      <c r="TE33" s="548"/>
      <c r="TF33" s="548"/>
      <c r="TG33" s="548"/>
      <c r="TH33" s="548"/>
      <c r="TI33" s="548"/>
      <c r="TJ33" s="548"/>
      <c r="TK33" s="548"/>
      <c r="TL33" s="548"/>
      <c r="TM33" s="548"/>
      <c r="TN33" s="548"/>
      <c r="TO33" s="548"/>
      <c r="TP33" s="548"/>
      <c r="TQ33" s="548"/>
      <c r="TR33" s="548"/>
      <c r="TS33" s="548"/>
      <c r="TT33" s="548"/>
      <c r="TU33" s="548"/>
      <c r="TV33" s="548"/>
      <c r="TW33" s="548"/>
      <c r="TX33" s="548"/>
      <c r="TY33" s="548"/>
      <c r="TZ33" s="548"/>
      <c r="UA33" s="548"/>
      <c r="UB33" s="548"/>
      <c r="UC33" s="548"/>
      <c r="UD33" s="548"/>
      <c r="UE33" s="548"/>
      <c r="UF33" s="548"/>
      <c r="UG33" s="548"/>
      <c r="UH33" s="548"/>
      <c r="UI33" s="548"/>
      <c r="UJ33" s="548"/>
      <c r="UK33" s="548"/>
      <c r="UL33" s="548"/>
      <c r="UM33" s="548"/>
      <c r="UN33" s="548"/>
      <c r="UO33" s="548"/>
      <c r="UP33" s="548"/>
      <c r="UQ33" s="548"/>
      <c r="UR33" s="548"/>
      <c r="US33" s="548"/>
      <c r="UT33" s="548"/>
      <c r="UU33" s="548"/>
      <c r="UV33" s="548"/>
      <c r="UW33" s="548"/>
      <c r="UX33" s="548"/>
      <c r="UY33" s="548"/>
      <c r="UZ33" s="548"/>
      <c r="VA33" s="548"/>
      <c r="VB33" s="548"/>
      <c r="VC33" s="548"/>
      <c r="VD33" s="548"/>
      <c r="VE33" s="548"/>
      <c r="VF33" s="548"/>
      <c r="VG33" s="548"/>
      <c r="VH33" s="548"/>
      <c r="VI33" s="548"/>
      <c r="VJ33" s="548"/>
      <c r="VK33" s="548"/>
      <c r="VL33" s="548"/>
      <c r="VM33" s="548"/>
      <c r="VN33" s="548"/>
      <c r="VO33" s="548"/>
      <c r="VP33" s="548"/>
      <c r="VQ33" s="548"/>
      <c r="VR33" s="548"/>
      <c r="VS33" s="548"/>
      <c r="VT33" s="548"/>
      <c r="VU33" s="548"/>
      <c r="VV33" s="548"/>
      <c r="VW33" s="548"/>
      <c r="VX33" s="548"/>
      <c r="VY33" s="548"/>
      <c r="VZ33" s="548"/>
      <c r="WA33" s="548"/>
      <c r="WB33" s="548"/>
      <c r="WC33" s="548"/>
      <c r="WD33" s="548"/>
      <c r="WE33" s="548"/>
      <c r="WF33" s="548"/>
      <c r="WG33" s="548"/>
      <c r="WH33" s="548"/>
      <c r="WI33" s="548"/>
      <c r="WJ33" s="548"/>
      <c r="WK33" s="548"/>
      <c r="WL33" s="548"/>
      <c r="WM33" s="548"/>
      <c r="WN33" s="548"/>
      <c r="WO33" s="548"/>
      <c r="WP33" s="548"/>
      <c r="WQ33" s="548"/>
      <c r="WR33" s="548"/>
      <c r="WS33" s="548"/>
      <c r="WT33" s="548"/>
      <c r="WU33" s="548"/>
      <c r="WV33" s="548"/>
      <c r="WW33" s="548"/>
      <c r="WX33" s="548"/>
      <c r="WY33" s="548"/>
      <c r="WZ33" s="548"/>
      <c r="XA33" s="548"/>
      <c r="XB33" s="548"/>
      <c r="XC33" s="548"/>
      <c r="XD33" s="548"/>
      <c r="XE33" s="548"/>
      <c r="XF33" s="548"/>
      <c r="XG33" s="548"/>
      <c r="XH33" s="548"/>
      <c r="XI33" s="548"/>
      <c r="XJ33" s="548"/>
      <c r="XK33" s="548"/>
      <c r="XL33" s="548"/>
      <c r="XM33" s="548"/>
      <c r="XN33" s="548"/>
      <c r="XO33" s="548"/>
      <c r="XP33" s="548"/>
      <c r="XQ33" s="548"/>
      <c r="XR33" s="548"/>
      <c r="XS33" s="548"/>
      <c r="XT33" s="548"/>
      <c r="XU33" s="548"/>
      <c r="XV33" s="548"/>
      <c r="XW33" s="548"/>
      <c r="XX33" s="548"/>
      <c r="XY33" s="548"/>
      <c r="XZ33" s="548"/>
      <c r="YA33" s="548"/>
      <c r="YB33" s="548"/>
      <c r="YC33" s="548"/>
      <c r="YD33" s="548"/>
      <c r="YE33" s="548"/>
      <c r="YF33" s="548"/>
      <c r="YG33" s="548"/>
      <c r="YH33" s="548"/>
      <c r="YI33" s="548"/>
      <c r="YJ33" s="548"/>
      <c r="YK33" s="548"/>
      <c r="YL33" s="548"/>
      <c r="YM33" s="548"/>
      <c r="YN33" s="548"/>
      <c r="YO33" s="548"/>
      <c r="YP33" s="548"/>
      <c r="YQ33" s="548"/>
      <c r="YR33" s="548"/>
      <c r="YS33" s="548"/>
      <c r="YT33" s="548"/>
      <c r="YU33" s="548"/>
      <c r="YV33" s="548"/>
      <c r="YW33" s="548"/>
      <c r="YX33" s="548"/>
      <c r="YY33" s="548"/>
      <c r="YZ33" s="548"/>
      <c r="ZA33" s="548"/>
      <c r="ZB33" s="548"/>
      <c r="ZC33" s="548"/>
      <c r="ZD33" s="548"/>
      <c r="ZE33" s="548"/>
      <c r="ZF33" s="548"/>
      <c r="ZG33" s="548"/>
      <c r="ZH33" s="548"/>
      <c r="ZI33" s="548"/>
      <c r="ZJ33" s="548"/>
      <c r="ZK33" s="548"/>
      <c r="ZL33" s="548"/>
      <c r="ZM33" s="548"/>
      <c r="ZN33" s="548"/>
      <c r="ZO33" s="548"/>
      <c r="ZP33" s="548"/>
      <c r="ZQ33" s="548"/>
      <c r="ZR33" s="548"/>
      <c r="ZS33" s="548"/>
      <c r="ZT33" s="548"/>
      <c r="ZU33" s="548"/>
      <c r="ZV33" s="548"/>
      <c r="ZW33" s="548"/>
      <c r="ZX33" s="548"/>
      <c r="ZY33" s="548"/>
      <c r="ZZ33" s="548"/>
      <c r="AAA33" s="548"/>
      <c r="AAB33" s="548"/>
      <c r="AAC33" s="548"/>
      <c r="AAD33" s="548"/>
      <c r="AAE33" s="548"/>
      <c r="AAF33" s="548"/>
      <c r="AAG33" s="548"/>
      <c r="AAH33" s="548"/>
      <c r="AAI33" s="548"/>
      <c r="AAJ33" s="548"/>
      <c r="AAK33" s="548"/>
      <c r="AAL33" s="548"/>
      <c r="AAM33" s="548"/>
      <c r="AAN33" s="548"/>
      <c r="AAO33" s="548"/>
      <c r="AAP33" s="548"/>
      <c r="AAQ33" s="548"/>
      <c r="AAR33" s="548"/>
      <c r="AAS33" s="548"/>
      <c r="AAT33" s="548"/>
      <c r="AAU33" s="548"/>
      <c r="AAV33" s="548"/>
      <c r="AAW33" s="548"/>
      <c r="AAX33" s="548"/>
      <c r="AAY33" s="548"/>
      <c r="AAZ33" s="548"/>
      <c r="ABA33" s="548"/>
      <c r="ABB33" s="548"/>
      <c r="ABC33" s="548"/>
      <c r="ABD33" s="548"/>
      <c r="ABE33" s="548"/>
      <c r="ABF33" s="548"/>
      <c r="ABG33" s="548"/>
      <c r="ABH33" s="548"/>
      <c r="ABI33" s="548"/>
      <c r="ABJ33" s="548"/>
      <c r="ABK33" s="548"/>
      <c r="ABL33" s="548"/>
      <c r="ABM33" s="548"/>
      <c r="ABN33" s="548"/>
      <c r="ABO33" s="548"/>
      <c r="ABP33" s="548"/>
      <c r="ABQ33" s="548"/>
      <c r="ABR33" s="548"/>
      <c r="ABS33" s="548"/>
    </row>
    <row r="34" spans="1:747" customFormat="1" ht="15" customHeight="1" thickBot="1" x14ac:dyDescent="0.25">
      <c r="A34" s="424" t="str">
        <f t="shared" si="149"/>
        <v/>
      </c>
      <c r="B34" s="415"/>
      <c r="C34" s="525"/>
      <c r="D34" s="750"/>
      <c r="E34" s="416" t="str">
        <f t="shared" si="0"/>
        <v/>
      </c>
      <c r="F34" s="527" t="str">
        <f t="shared" si="1"/>
        <v/>
      </c>
      <c r="G34" s="417"/>
      <c r="H34" s="583" t="str">
        <f t="shared" si="2"/>
        <v/>
      </c>
      <c r="I34" s="424"/>
      <c r="J34" s="749"/>
      <c r="K34" s="418"/>
      <c r="L34" s="419"/>
      <c r="M34" s="415"/>
      <c r="N34" s="420"/>
      <c r="O34" s="653"/>
      <c r="P34" s="561"/>
      <c r="Q34" s="422"/>
      <c r="R34" s="561" t="str">
        <f t="shared" si="3"/>
        <v/>
      </c>
      <c r="S34" s="664"/>
      <c r="T34" s="663"/>
      <c r="U34" s="580">
        <f t="shared" si="4"/>
        <v>0</v>
      </c>
      <c r="V34" s="418"/>
      <c r="W34" s="582" t="str">
        <f t="shared" si="5"/>
        <v/>
      </c>
      <c r="X34" s="479" t="str">
        <f t="shared" si="6"/>
        <v/>
      </c>
      <c r="Y34" s="582" t="str">
        <f t="shared" si="7"/>
        <v/>
      </c>
      <c r="Z34" s="317" t="str">
        <f t="shared" si="8"/>
        <v/>
      </c>
      <c r="AA34" s="317" t="str">
        <f t="shared" si="9"/>
        <v/>
      </c>
      <c r="AB34" s="317">
        <f t="shared" si="10"/>
        <v>0</v>
      </c>
      <c r="AC34" s="317" t="str">
        <f t="shared" si="11"/>
        <v/>
      </c>
      <c r="AD34" s="317"/>
      <c r="AE34" s="479"/>
      <c r="AF34" s="479"/>
      <c r="AG34" s="423"/>
      <c r="AH34" s="820"/>
      <c r="AI34" s="480"/>
      <c r="AJ34" s="660"/>
      <c r="AK34" s="524" t="str">
        <f t="shared" si="12"/>
        <v/>
      </c>
      <c r="AL34" s="733">
        <f>SUMIF($J$4:$J$163,"Volta Aulas",$S$4:$S$163)</f>
        <v>0</v>
      </c>
      <c r="AM34" s="816">
        <f>SUMIF($J$4:$J$163,"Volta Aulas",$T$4:$T$163)</f>
        <v>0</v>
      </c>
      <c r="AN34" s="426">
        <f t="shared" si="13"/>
        <v>0</v>
      </c>
      <c r="AO34" s="427" t="str">
        <f t="shared" si="37"/>
        <v/>
      </c>
      <c r="AP34" s="426" t="str">
        <f t="shared" si="14"/>
        <v/>
      </c>
      <c r="AQ34" s="426"/>
      <c r="AR34" s="426"/>
      <c r="AS34" s="428"/>
      <c r="AT34" s="429"/>
      <c r="AU34" s="430"/>
      <c r="AV34" s="431"/>
      <c r="AW34" s="432"/>
      <c r="AX34" s="430"/>
      <c r="AY34" s="431">
        <f t="shared" si="15"/>
        <v>0</v>
      </c>
      <c r="AZ34" s="426"/>
      <c r="BA34" s="435" t="str">
        <f t="shared" si="16"/>
        <v/>
      </c>
      <c r="BB34" s="435"/>
      <c r="BC34" s="426"/>
      <c r="BD34" s="426">
        <f t="array" ref="BD34">IF(SUM((BC34=$BC$3:BC33)*1)=0,BC34,0)</f>
        <v>0</v>
      </c>
      <c r="BE34" s="426"/>
      <c r="BF34" s="426"/>
      <c r="BG34" s="426">
        <f t="array" ref="BG34">IF(SUM((BF34=$BF$3:BF33)*1)=0,BF34,0)</f>
        <v>0</v>
      </c>
      <c r="BH34" s="426"/>
      <c r="BI34" s="426"/>
      <c r="BJ34" s="426"/>
      <c r="BK34" s="426"/>
      <c r="BL34" s="426"/>
      <c r="BM34" s="426"/>
      <c r="BN34" s="426"/>
      <c r="BO34" s="426"/>
      <c r="BP34" s="433">
        <f t="shared" si="17"/>
        <v>0</v>
      </c>
      <c r="BQ34" s="426"/>
      <c r="BR34" s="434"/>
      <c r="BS34" s="426"/>
      <c r="BT34" s="433"/>
      <c r="BU34" s="435"/>
      <c r="BV34" s="435" t="str">
        <f t="shared" si="18"/>
        <v/>
      </c>
      <c r="BW34" s="435" t="str">
        <f t="shared" si="38"/>
        <v/>
      </c>
      <c r="BX34" s="435"/>
      <c r="BY34" s="435"/>
      <c r="BZ34" s="435"/>
      <c r="CA34" s="435"/>
      <c r="CB34" s="435"/>
      <c r="CC34" s="435"/>
      <c r="CD34" s="435"/>
      <c r="CE34" s="435"/>
      <c r="CF34" s="435"/>
      <c r="CG34" s="435"/>
      <c r="CH34" s="435"/>
      <c r="CI34" s="435"/>
      <c r="CJ34" s="426" t="str">
        <f t="shared" si="39"/>
        <v/>
      </c>
      <c r="CK34" s="435"/>
      <c r="CL34" s="435"/>
      <c r="CM34" s="435"/>
      <c r="CN34" s="435"/>
      <c r="CO34" s="435"/>
      <c r="CP34" s="435"/>
      <c r="CQ34" s="435"/>
      <c r="CR34" s="435"/>
      <c r="CS34" s="435"/>
      <c r="CT34" s="435"/>
      <c r="CU34" s="435"/>
      <c r="CV34" s="435"/>
      <c r="CW34" s="426"/>
      <c r="CX34" s="426"/>
      <c r="CY34" s="426">
        <v>31</v>
      </c>
      <c r="CZ34" s="426"/>
      <c r="DA34" s="426"/>
      <c r="DB34" s="426"/>
      <c r="DC34" s="426" t="s">
        <v>774</v>
      </c>
      <c r="DD34" s="426" t="s">
        <v>934</v>
      </c>
      <c r="DE34" s="435" t="str">
        <f t="shared" si="40"/>
        <v/>
      </c>
      <c r="DF34" s="435" t="str">
        <f t="shared" si="41"/>
        <v/>
      </c>
      <c r="DG34" s="435" t="str">
        <f t="shared" si="42"/>
        <v/>
      </c>
      <c r="DH34" s="435" t="str">
        <f t="shared" si="43"/>
        <v/>
      </c>
      <c r="DI34" s="435" t="str">
        <f t="shared" si="44"/>
        <v/>
      </c>
      <c r="DJ34" s="435" t="str">
        <f t="shared" si="45"/>
        <v/>
      </c>
      <c r="DK34" s="435" t="str">
        <f t="shared" si="19"/>
        <v/>
      </c>
      <c r="DL34" s="435" t="str">
        <f t="shared" si="20"/>
        <v/>
      </c>
      <c r="DM34" s="435" t="str">
        <f t="shared" si="46"/>
        <v/>
      </c>
      <c r="DN34" s="435" t="str">
        <f t="shared" si="47"/>
        <v/>
      </c>
      <c r="DO34" s="435" t="str">
        <f t="shared" si="21"/>
        <v/>
      </c>
      <c r="DP34" s="435" t="str">
        <f t="shared" si="22"/>
        <v/>
      </c>
      <c r="DQ34" s="435" t="str">
        <f t="shared" si="48"/>
        <v/>
      </c>
      <c r="DR34" s="435" t="str">
        <f t="shared" si="49"/>
        <v/>
      </c>
      <c r="DS34" s="435" t="str">
        <f t="shared" si="23"/>
        <v/>
      </c>
      <c r="DT34" s="435" t="str">
        <f t="shared" si="24"/>
        <v/>
      </c>
      <c r="DU34" s="435" t="str">
        <f t="shared" si="50"/>
        <v/>
      </c>
      <c r="DV34" s="435" t="str">
        <f t="shared" si="51"/>
        <v/>
      </c>
      <c r="DW34" s="435" t="str">
        <f t="shared" si="25"/>
        <v/>
      </c>
      <c r="DX34" s="435" t="str">
        <f t="shared" si="26"/>
        <v/>
      </c>
      <c r="DY34" s="435" t="str">
        <f t="shared" si="52"/>
        <v/>
      </c>
      <c r="DZ34" s="435" t="str">
        <f t="shared" si="53"/>
        <v/>
      </c>
      <c r="EA34" s="435" t="str">
        <f t="shared" si="27"/>
        <v/>
      </c>
      <c r="EB34" s="435" t="str">
        <f t="shared" si="28"/>
        <v/>
      </c>
      <c r="EC34" s="435" t="str">
        <f t="shared" si="29"/>
        <v/>
      </c>
      <c r="ED34" s="435" t="str">
        <f t="shared" si="30"/>
        <v/>
      </c>
      <c r="EE34" s="435" t="str">
        <f t="shared" si="31"/>
        <v/>
      </c>
      <c r="EF34" s="435" t="str">
        <f t="shared" si="32"/>
        <v/>
      </c>
      <c r="EG34" s="435" t="str">
        <f t="shared" si="33"/>
        <v/>
      </c>
      <c r="EH34" s="435" t="str">
        <f t="shared" si="34"/>
        <v/>
      </c>
      <c r="EI34" s="435" t="str">
        <f t="shared" si="35"/>
        <v/>
      </c>
      <c r="EJ34" s="435" t="str">
        <f t="shared" si="36"/>
        <v/>
      </c>
      <c r="EK34" s="485"/>
      <c r="EL34" s="485"/>
      <c r="EM34" s="485"/>
      <c r="EN34" s="485"/>
      <c r="EO34" s="448"/>
      <c r="EP34" s="448"/>
      <c r="EQ34" s="448"/>
      <c r="ER34" s="448"/>
      <c r="ES34" s="448"/>
      <c r="ET34" s="435"/>
      <c r="EU34" s="435"/>
      <c r="EV34" s="435"/>
      <c r="EW34" s="435"/>
      <c r="EX34" s="426"/>
      <c r="EY34" s="426"/>
      <c r="EZ34" s="426"/>
      <c r="FA34" s="427"/>
      <c r="FB34" s="427">
        <f t="array" ref="FB34">IF(SUM((FA34=$FA$3:FA33)*1)=0,FA34,0)</f>
        <v>0</v>
      </c>
      <c r="FC34" s="427"/>
      <c r="FD34" s="427"/>
      <c r="FE34" s="427">
        <f t="array" ref="FE34">IF(SUM((FD34=$FD$3:FD33)*1)=0,FD34,0)</f>
        <v>0</v>
      </c>
      <c r="FF34" s="427"/>
      <c r="FG34" s="427"/>
      <c r="FH34" s="427"/>
      <c r="FI34" s="427">
        <f t="array" ref="FI34">IF(SUM((FH34=$FH$3:FH33)*1)=0,FH34,0)</f>
        <v>0</v>
      </c>
      <c r="FJ34" s="427"/>
      <c r="FK34" s="427"/>
      <c r="FL34" s="427">
        <f t="array" ref="FL34">IF(SUM((FK34=$FK$3:FK33)*1)=0,FK34,0)</f>
        <v>0</v>
      </c>
      <c r="FM34" s="427"/>
      <c r="FN34" s="427"/>
      <c r="FO34" s="427"/>
      <c r="FP34" s="427">
        <f t="array" ref="FP34">IF(SUM((FO34=$FO$3:FO33)*1)=0,FO34,0)</f>
        <v>0</v>
      </c>
      <c r="FQ34" s="427"/>
      <c r="FR34" s="427"/>
      <c r="FS34" s="427">
        <f t="array" ref="FS34">IF(SUM((FR34=$FR$3:FR33)*1)=0,FR34,0)</f>
        <v>0</v>
      </c>
      <c r="FT34" s="427"/>
      <c r="FU34" s="427"/>
      <c r="FV34" s="427"/>
      <c r="FW34" s="427">
        <f t="array" ref="FW34">IF(SUM((FV34=$FV$3:FV33)*1)=0,FV34,0)</f>
        <v>0</v>
      </c>
      <c r="FX34" s="427"/>
      <c r="FY34" s="427"/>
      <c r="FZ34" s="427">
        <f t="array" ref="FZ34">IF(SUM((FY34=$FY$3:FY33)*1)=0,FY34,0)</f>
        <v>0</v>
      </c>
      <c r="GA34" s="427"/>
      <c r="GB34" s="427"/>
      <c r="GC34" s="427"/>
      <c r="GD34" s="427">
        <f t="array" ref="GD34">IF(SUM((GC34=$GC$3:GC33)*1)=0,GC34,0)</f>
        <v>0</v>
      </c>
      <c r="GE34" s="427"/>
      <c r="GF34" s="427"/>
      <c r="GG34" s="427">
        <f t="array" ref="GG34">IF(SUM((GF34=$GF$3:GF33)*1)=0,GF34,0)</f>
        <v>0</v>
      </c>
      <c r="GH34" s="427"/>
      <c r="GI34" s="427"/>
      <c r="GJ34" s="427"/>
      <c r="GK34" s="798">
        <f t="array" ref="GK34">IF(SUM((GJ34=$GJ$3:GJ33)*1)=0,GJ34,0)</f>
        <v>0</v>
      </c>
      <c r="GL34" s="427"/>
      <c r="GM34" s="427"/>
      <c r="GN34" s="798">
        <f t="array" ref="GN34">IF(SUM((GM34=$GM$3:GM33)*1)=0,GM34,0)</f>
        <v>0</v>
      </c>
      <c r="GO34" s="427"/>
      <c r="GP34" s="427"/>
      <c r="GQ34" s="427"/>
      <c r="GR34" s="798">
        <f t="array" ref="GR34">IF(SUM((GQ34=$GQ$3:GQ33)*1)=0,GQ34,0)</f>
        <v>0</v>
      </c>
      <c r="GS34" s="427"/>
      <c r="GT34" s="427"/>
      <c r="GU34" s="798">
        <f t="array" ref="GU34">IF(SUM((GT34=$GT$3:GT33)*1)=0,GT34,0)</f>
        <v>0</v>
      </c>
      <c r="GV34" s="427"/>
      <c r="GW34" s="427"/>
      <c r="GX34" s="427"/>
      <c r="GY34" s="798">
        <f t="array" ref="GY34">IF(SUM((GX34=$GX$3:GX33)*1)=0,GX34,0)</f>
        <v>0</v>
      </c>
      <c r="GZ34" s="427"/>
      <c r="HA34" s="427"/>
      <c r="HB34" s="798">
        <f t="array" ref="HB34">IF(SUM((HA34=$HA$3:HA33)*1)=0,HA34,0)</f>
        <v>0</v>
      </c>
      <c r="HC34" s="427"/>
      <c r="HD34" s="427"/>
      <c r="HE34" s="769" t="str">
        <f t="shared" si="130"/>
        <v/>
      </c>
      <c r="HF34" s="768" t="str">
        <f t="shared" ref="HF34" si="375">IF(HE34&lt;0,"Invadiu REP-BA-C","")</f>
        <v/>
      </c>
      <c r="HG34" s="769" t="str">
        <f t="shared" si="131"/>
        <v/>
      </c>
      <c r="HH34" s="768" t="str">
        <f t="shared" si="55"/>
        <v/>
      </c>
      <c r="HI34" s="728" t="str">
        <f t="shared" si="132"/>
        <v/>
      </c>
      <c r="HJ34" s="768" t="str">
        <f t="shared" si="56"/>
        <v/>
      </c>
      <c r="HK34" s="728" t="str">
        <f t="shared" si="133"/>
        <v/>
      </c>
      <c r="HL34" s="768" t="str">
        <f t="shared" si="57"/>
        <v/>
      </c>
      <c r="HM34" s="769" t="str">
        <f t="shared" si="58"/>
        <v/>
      </c>
      <c r="HN34" s="768" t="str">
        <f t="shared" ref="HN34" si="376">IF(HM34&lt;0,"Invadiu REP-BA-C","")</f>
        <v/>
      </c>
      <c r="HO34" s="769" t="str">
        <f t="shared" si="60"/>
        <v/>
      </c>
      <c r="HP34" s="768" t="str">
        <f t="shared" si="61"/>
        <v/>
      </c>
      <c r="HQ34" s="728" t="str">
        <f t="shared" si="62"/>
        <v/>
      </c>
      <c r="HR34" s="768" t="str">
        <f t="shared" si="63"/>
        <v/>
      </c>
      <c r="HS34" s="728" t="str">
        <f t="shared" si="64"/>
        <v/>
      </c>
      <c r="HT34" s="768" t="str">
        <f t="shared" si="65"/>
        <v/>
      </c>
      <c r="HU34" s="769" t="str">
        <f t="shared" si="66"/>
        <v/>
      </c>
      <c r="HV34" s="768" t="str">
        <f t="shared" ref="HV34" si="377">IF(HU34&lt;0,"Invadiu REP-BA-C","")</f>
        <v/>
      </c>
      <c r="HW34" s="769" t="str">
        <f t="shared" si="68"/>
        <v/>
      </c>
      <c r="HX34" s="768" t="str">
        <f t="shared" si="69"/>
        <v/>
      </c>
      <c r="HY34" s="728" t="str">
        <f t="shared" si="70"/>
        <v/>
      </c>
      <c r="HZ34" s="768" t="str">
        <f t="shared" si="71"/>
        <v/>
      </c>
      <c r="IA34" s="728" t="str">
        <f t="shared" si="72"/>
        <v/>
      </c>
      <c r="IB34" s="768" t="str">
        <f t="shared" si="73"/>
        <v/>
      </c>
      <c r="IC34" s="769" t="str">
        <f t="shared" si="74"/>
        <v/>
      </c>
      <c r="ID34" s="768" t="str">
        <f t="shared" ref="ID34" si="378">IF(IC34&lt;0,"Invadiu REP-BA-C","")</f>
        <v/>
      </c>
      <c r="IE34" s="769" t="str">
        <f t="shared" si="76"/>
        <v/>
      </c>
      <c r="IF34" s="768" t="str">
        <f t="shared" si="77"/>
        <v/>
      </c>
      <c r="IG34" s="728" t="str">
        <f t="shared" si="78"/>
        <v/>
      </c>
      <c r="IH34" s="768" t="str">
        <f t="shared" si="79"/>
        <v/>
      </c>
      <c r="II34" s="728" t="str">
        <f t="shared" si="80"/>
        <v/>
      </c>
      <c r="IJ34" s="768" t="str">
        <f t="shared" si="81"/>
        <v/>
      </c>
      <c r="IK34" s="769" t="str">
        <f t="shared" si="82"/>
        <v/>
      </c>
      <c r="IL34" s="768" t="str">
        <f t="shared" ref="IL34" si="379">IF(IK34&lt;0,"Invadiu REP-BA-C","")</f>
        <v/>
      </c>
      <c r="IM34" s="769" t="str">
        <f t="shared" si="84"/>
        <v/>
      </c>
      <c r="IN34" s="768" t="str">
        <f t="shared" si="85"/>
        <v/>
      </c>
      <c r="IO34" s="728" t="str">
        <f t="shared" si="86"/>
        <v/>
      </c>
      <c r="IP34" s="768" t="str">
        <f t="shared" si="87"/>
        <v/>
      </c>
      <c r="IQ34" s="728" t="str">
        <f t="shared" si="88"/>
        <v/>
      </c>
      <c r="IR34" s="768" t="str">
        <f t="shared" si="89"/>
        <v/>
      </c>
      <c r="IS34" s="769" t="str">
        <f t="shared" si="90"/>
        <v/>
      </c>
      <c r="IT34" s="768" t="str">
        <f t="shared" ref="IT34" si="380">IF(IS34&lt;0,"Invadiu REP-BA-C","")</f>
        <v/>
      </c>
      <c r="IU34" s="769" t="str">
        <f t="shared" si="92"/>
        <v/>
      </c>
      <c r="IV34" s="768" t="str">
        <f t="shared" si="93"/>
        <v/>
      </c>
      <c r="IW34" s="728" t="str">
        <f t="shared" si="94"/>
        <v/>
      </c>
      <c r="IX34" s="768" t="str">
        <f t="shared" si="95"/>
        <v/>
      </c>
      <c r="IY34" s="728" t="str">
        <f t="shared" si="96"/>
        <v/>
      </c>
      <c r="IZ34" s="768" t="str">
        <f t="shared" si="97"/>
        <v/>
      </c>
      <c r="JA34" s="769" t="str">
        <f t="shared" si="98"/>
        <v/>
      </c>
      <c r="JB34" s="768" t="str">
        <f t="shared" ref="JB34" si="381">IF(JA34&lt;0,"Invadiu REP-BA-C","")</f>
        <v/>
      </c>
      <c r="JC34" s="769" t="str">
        <f t="shared" si="100"/>
        <v/>
      </c>
      <c r="JD34" s="768" t="str">
        <f t="shared" si="101"/>
        <v/>
      </c>
      <c r="JE34" s="728" t="str">
        <f t="shared" si="102"/>
        <v/>
      </c>
      <c r="JF34" s="768" t="str">
        <f t="shared" si="103"/>
        <v/>
      </c>
      <c r="JG34" s="728" t="str">
        <f t="shared" si="104"/>
        <v/>
      </c>
      <c r="JH34" s="768" t="str">
        <f t="shared" si="105"/>
        <v/>
      </c>
      <c r="JI34" s="769" t="str">
        <f t="shared" si="106"/>
        <v/>
      </c>
      <c r="JJ34" s="768" t="str">
        <f t="shared" ref="JJ34" si="382">IF(JI34&lt;0,"Invadiu REP-BA-C","")</f>
        <v/>
      </c>
      <c r="JK34" s="769" t="str">
        <f t="shared" si="108"/>
        <v/>
      </c>
      <c r="JL34" s="768" t="str">
        <f t="shared" si="109"/>
        <v/>
      </c>
      <c r="JM34" s="728" t="str">
        <f t="shared" si="110"/>
        <v/>
      </c>
      <c r="JN34" s="768" t="str">
        <f t="shared" si="111"/>
        <v/>
      </c>
      <c r="JO34" s="728" t="str">
        <f t="shared" si="112"/>
        <v/>
      </c>
      <c r="JP34" s="768" t="str">
        <f t="shared" si="113"/>
        <v/>
      </c>
      <c r="JQ34" s="769" t="str">
        <f t="shared" si="114"/>
        <v/>
      </c>
      <c r="JR34" s="768" t="str">
        <f t="shared" ref="JR34" si="383">IF(JQ34&lt;0,"Invadiu REP-BA-C","")</f>
        <v/>
      </c>
      <c r="JS34" s="769" t="str">
        <f t="shared" si="116"/>
        <v/>
      </c>
      <c r="JT34" s="768" t="str">
        <f t="shared" si="117"/>
        <v/>
      </c>
      <c r="JU34" s="728" t="str">
        <f t="shared" si="118"/>
        <v/>
      </c>
      <c r="JV34" s="768" t="str">
        <f t="shared" si="119"/>
        <v/>
      </c>
      <c r="JW34" s="728" t="str">
        <f t="shared" si="120"/>
        <v/>
      </c>
      <c r="JX34" s="768" t="str">
        <f t="shared" si="121"/>
        <v/>
      </c>
      <c r="JY34" s="768" t="str">
        <f t="shared" si="122"/>
        <v/>
      </c>
      <c r="JZ34" s="485" t="str">
        <f>IF(JY34="","",IF(AND(C34=$C$164,JY34&lt;&gt;""),Verificarcpf(D34),IF(AND(C34=$C$165,JY34&lt;&gt;""),VerificarCNPJ(D34))))</f>
        <v/>
      </c>
      <c r="KA34" s="768" t="str">
        <f t="shared" si="123"/>
        <v/>
      </c>
      <c r="KB34" s="485">
        <f t="shared" si="124"/>
        <v>0</v>
      </c>
      <c r="KC34" s="768">
        <f t="shared" si="125"/>
        <v>0</v>
      </c>
      <c r="KD34" s="485">
        <f t="shared" si="126"/>
        <v>0</v>
      </c>
      <c r="KE34" s="448"/>
      <c r="KF34" s="548">
        <f t="shared" si="127"/>
        <v>0</v>
      </c>
      <c r="KG34" s="548" t="s">
        <v>440</v>
      </c>
      <c r="KH34" s="548"/>
      <c r="KI34" s="548"/>
      <c r="KJ34" s="548" t="str">
        <f t="shared" si="128"/>
        <v/>
      </c>
      <c r="KK34" s="548"/>
      <c r="KL34" s="548"/>
      <c r="KM34" s="548">
        <f t="array" ref="KM34">IF(SUM((KL34=$KL$3:KL33)*1)=0,KL34,0)</f>
        <v>0</v>
      </c>
      <c r="KN34" s="548"/>
      <c r="KO34" s="548"/>
      <c r="KP34" s="548"/>
      <c r="KQ34" s="548"/>
      <c r="KR34" s="548" t="str">
        <f t="shared" si="129"/>
        <v/>
      </c>
      <c r="KS34" s="548"/>
      <c r="KT34" s="548"/>
      <c r="KU34" s="548"/>
      <c r="KV34" s="548"/>
      <c r="KW34" s="548"/>
      <c r="KX34" s="548"/>
      <c r="KY34" s="548"/>
      <c r="KZ34" s="548"/>
      <c r="LA34" s="548"/>
      <c r="LB34" s="548"/>
      <c r="LC34" s="485" t="str">
        <f t="shared" si="142"/>
        <v/>
      </c>
      <c r="LD34" s="548"/>
      <c r="LE34" s="548"/>
      <c r="LF34" s="548"/>
      <c r="LG34" s="548"/>
      <c r="LH34" s="548"/>
      <c r="LI34" s="548"/>
      <c r="LJ34" s="548"/>
      <c r="LK34" s="548"/>
      <c r="LL34" s="548"/>
      <c r="LM34" s="548"/>
      <c r="LN34" s="548"/>
      <c r="LO34" s="548"/>
      <c r="LP34" s="485" t="str">
        <f t="shared" si="143"/>
        <v/>
      </c>
      <c r="LQ34" s="548"/>
      <c r="LR34" s="548"/>
      <c r="LS34" s="548"/>
      <c r="LT34" s="548"/>
      <c r="LU34" s="548"/>
      <c r="LV34" s="548"/>
      <c r="LW34" s="548"/>
      <c r="LX34" s="548"/>
      <c r="LY34" s="548"/>
      <c r="LZ34" s="548"/>
      <c r="MA34" s="548"/>
      <c r="MB34" s="548"/>
      <c r="MC34" s="485" t="str">
        <f t="shared" si="144"/>
        <v/>
      </c>
      <c r="MD34" s="548"/>
      <c r="ME34" s="548"/>
      <c r="MF34" s="548"/>
      <c r="MG34" s="548"/>
      <c r="MH34" s="548"/>
      <c r="MI34" s="548"/>
      <c r="MJ34" s="548"/>
      <c r="MK34" s="548"/>
      <c r="ML34" s="548"/>
      <c r="MM34" s="548"/>
      <c r="MN34" s="548"/>
      <c r="MO34" s="548"/>
      <c r="MP34" s="485" t="str">
        <f t="shared" si="145"/>
        <v/>
      </c>
      <c r="MQ34" s="548"/>
      <c r="MR34" s="548"/>
      <c r="MS34" s="548"/>
      <c r="MT34" s="548"/>
      <c r="MU34" s="548"/>
      <c r="MV34" s="548"/>
      <c r="MW34" s="548"/>
      <c r="MX34" s="548"/>
      <c r="MY34" s="548"/>
      <c r="MZ34" s="548"/>
      <c r="NA34" s="548"/>
      <c r="NB34" s="548"/>
      <c r="NC34" s="485" t="str">
        <f t="shared" si="146"/>
        <v/>
      </c>
      <c r="ND34" s="548"/>
      <c r="NE34" s="548"/>
      <c r="NF34" s="548"/>
      <c r="NG34" s="548"/>
      <c r="NH34" s="548"/>
      <c r="NI34" s="548"/>
      <c r="NJ34" s="548"/>
      <c r="NK34" s="548"/>
      <c r="NL34" s="548"/>
      <c r="NM34" s="548"/>
      <c r="NN34" s="548"/>
      <c r="NO34" s="548"/>
      <c r="NP34" s="485" t="str">
        <f t="shared" si="147"/>
        <v/>
      </c>
      <c r="NQ34" s="548"/>
      <c r="NR34" s="548"/>
      <c r="NS34" s="548"/>
      <c r="NT34" s="548"/>
      <c r="NU34" s="548"/>
      <c r="NV34" s="548"/>
      <c r="NW34" s="548"/>
      <c r="NX34" s="548"/>
      <c r="NY34" s="548"/>
      <c r="NZ34" s="548"/>
      <c r="OA34" s="548"/>
      <c r="OB34" s="548"/>
      <c r="OC34" s="485" t="str">
        <f t="shared" si="148"/>
        <v/>
      </c>
      <c r="OD34" s="548"/>
      <c r="OE34" s="548"/>
      <c r="OF34" s="548"/>
      <c r="OG34" s="548"/>
      <c r="OH34" s="548"/>
      <c r="OI34" s="548"/>
      <c r="OJ34" s="548"/>
      <c r="OK34" s="548"/>
      <c r="OL34" s="548"/>
      <c r="OM34" s="548"/>
      <c r="ON34" s="548"/>
      <c r="OO34" s="548"/>
      <c r="OP34" s="548"/>
      <c r="OQ34" s="548"/>
      <c r="OR34" s="548"/>
      <c r="OS34" s="548"/>
      <c r="OT34" s="548"/>
      <c r="OU34" s="548"/>
      <c r="OV34" s="548"/>
      <c r="OW34" s="548"/>
      <c r="OX34" s="548"/>
      <c r="OY34" s="548"/>
      <c r="OZ34" s="548"/>
      <c r="PA34" s="548"/>
      <c r="PB34" s="548"/>
      <c r="PC34" s="548"/>
      <c r="PD34" s="548"/>
      <c r="PE34" s="548"/>
      <c r="PF34" s="548"/>
      <c r="PG34" s="548"/>
      <c r="PH34" s="548"/>
      <c r="PI34" s="548"/>
      <c r="PJ34" s="548"/>
      <c r="PK34" s="548"/>
      <c r="PL34" s="548"/>
      <c r="PM34" s="548"/>
      <c r="PN34" s="548"/>
      <c r="PO34" s="548"/>
      <c r="PP34" s="548"/>
      <c r="PQ34" s="548"/>
      <c r="PR34" s="548"/>
      <c r="PS34" s="548"/>
      <c r="PT34" s="548"/>
      <c r="PU34" s="548"/>
      <c r="PV34" s="548"/>
      <c r="PW34" s="548"/>
      <c r="PX34" s="548"/>
      <c r="PY34" s="548"/>
      <c r="PZ34" s="548"/>
      <c r="QA34" s="548"/>
      <c r="QB34" s="548"/>
      <c r="QC34" s="548"/>
      <c r="QD34" s="548"/>
      <c r="QE34" s="548"/>
      <c r="QF34" s="548"/>
      <c r="QG34" s="548"/>
      <c r="QH34" s="548"/>
      <c r="QI34" s="548"/>
      <c r="QJ34" s="548"/>
      <c r="QK34" s="548"/>
      <c r="QL34" s="548"/>
      <c r="QM34" s="548"/>
      <c r="QN34" s="548"/>
      <c r="QO34" s="548"/>
      <c r="QP34" s="548"/>
      <c r="QQ34" s="1009"/>
      <c r="QR34" s="548"/>
      <c r="QS34" s="548"/>
      <c r="QT34" s="548"/>
      <c r="QU34" s="548"/>
      <c r="QV34" s="548"/>
      <c r="QW34" s="548"/>
      <c r="QX34" s="548"/>
      <c r="QY34" s="548"/>
      <c r="QZ34" s="548"/>
      <c r="RA34" s="548"/>
      <c r="RB34" s="548"/>
      <c r="RC34" s="548"/>
      <c r="RD34" s="548"/>
      <c r="RE34" s="548"/>
      <c r="RF34" s="548"/>
      <c r="RG34" s="548"/>
      <c r="RH34" s="548"/>
      <c r="RI34" s="548"/>
      <c r="RJ34" s="548"/>
      <c r="RK34" s="548"/>
      <c r="RL34" s="548"/>
      <c r="RM34" s="548"/>
      <c r="RN34" s="548"/>
      <c r="RO34" s="548"/>
      <c r="RP34" s="548"/>
      <c r="RQ34" s="548"/>
      <c r="RR34" s="548"/>
      <c r="RS34" s="548"/>
      <c r="RT34" s="548"/>
      <c r="RU34" s="548"/>
      <c r="RV34" s="548"/>
      <c r="RW34" s="548"/>
      <c r="RX34" s="548"/>
      <c r="RY34" s="548"/>
      <c r="RZ34" s="548"/>
      <c r="SA34" s="548"/>
      <c r="SB34" s="548"/>
      <c r="SC34" s="548"/>
      <c r="SD34" s="548"/>
      <c r="SE34" s="548"/>
      <c r="SF34" s="548"/>
      <c r="SG34" s="548"/>
      <c r="SH34" s="548"/>
      <c r="SI34" s="548"/>
      <c r="SJ34" s="548"/>
      <c r="SK34" s="548"/>
      <c r="SL34" s="548"/>
      <c r="SM34" s="548"/>
      <c r="SN34" s="548"/>
      <c r="SO34" s="548"/>
      <c r="SP34" s="548"/>
      <c r="SQ34" s="548"/>
      <c r="SR34" s="548"/>
      <c r="SS34" s="548"/>
      <c r="ST34" s="548"/>
      <c r="SU34" s="548"/>
      <c r="SV34" s="548"/>
      <c r="SW34" s="548"/>
      <c r="SX34" s="548"/>
      <c r="SY34" s="548"/>
      <c r="SZ34" s="548"/>
      <c r="TA34" s="548"/>
      <c r="TB34" s="548"/>
      <c r="TC34" s="548"/>
      <c r="TD34" s="548"/>
      <c r="TE34" s="548"/>
      <c r="TF34" s="548"/>
      <c r="TG34" s="548"/>
      <c r="TH34" s="548"/>
      <c r="TI34" s="548"/>
      <c r="TJ34" s="548"/>
      <c r="TK34" s="548"/>
      <c r="TL34" s="548"/>
      <c r="TM34" s="548"/>
      <c r="TN34" s="548"/>
      <c r="TO34" s="548"/>
      <c r="TP34" s="548"/>
      <c r="TQ34" s="548"/>
      <c r="TR34" s="548"/>
      <c r="TS34" s="548"/>
      <c r="TT34" s="548"/>
      <c r="TU34" s="548"/>
      <c r="TV34" s="548"/>
      <c r="TW34" s="548"/>
      <c r="TX34" s="548"/>
      <c r="TY34" s="548"/>
      <c r="TZ34" s="548"/>
      <c r="UA34" s="548"/>
      <c r="UB34" s="548"/>
      <c r="UC34" s="548"/>
      <c r="UD34" s="548"/>
      <c r="UE34" s="548"/>
      <c r="UF34" s="548"/>
      <c r="UG34" s="548"/>
      <c r="UH34" s="548"/>
      <c r="UI34" s="548"/>
      <c r="UJ34" s="548"/>
      <c r="UK34" s="548"/>
      <c r="UL34" s="548"/>
      <c r="UM34" s="548"/>
      <c r="UN34" s="548"/>
      <c r="UO34" s="548"/>
      <c r="UP34" s="548"/>
      <c r="UQ34" s="548"/>
      <c r="UR34" s="548"/>
      <c r="US34" s="548"/>
      <c r="UT34" s="548"/>
      <c r="UU34" s="548"/>
      <c r="UV34" s="548"/>
      <c r="UW34" s="548"/>
      <c r="UX34" s="548"/>
      <c r="UY34" s="548"/>
      <c r="UZ34" s="548"/>
      <c r="VA34" s="548"/>
      <c r="VB34" s="548"/>
      <c r="VC34" s="548"/>
      <c r="VD34" s="548"/>
      <c r="VE34" s="548"/>
      <c r="VF34" s="548"/>
      <c r="VG34" s="548"/>
      <c r="VH34" s="548"/>
      <c r="VI34" s="548"/>
      <c r="VJ34" s="548"/>
      <c r="VK34" s="548"/>
      <c r="VL34" s="548"/>
      <c r="VM34" s="548"/>
      <c r="VN34" s="548"/>
      <c r="VO34" s="548"/>
      <c r="VP34" s="548"/>
      <c r="VQ34" s="548"/>
      <c r="VR34" s="548"/>
      <c r="VS34" s="548"/>
      <c r="VT34" s="548"/>
      <c r="VU34" s="548"/>
      <c r="VV34" s="548"/>
      <c r="VW34" s="548"/>
      <c r="VX34" s="548"/>
      <c r="VY34" s="548"/>
      <c r="VZ34" s="548"/>
      <c r="WA34" s="548"/>
      <c r="WB34" s="548"/>
      <c r="WC34" s="548"/>
      <c r="WD34" s="548"/>
      <c r="WE34" s="548"/>
      <c r="WF34" s="548"/>
      <c r="WG34" s="548"/>
      <c r="WH34" s="548"/>
      <c r="WI34" s="548"/>
      <c r="WJ34" s="548"/>
      <c r="WK34" s="548"/>
      <c r="WL34" s="548"/>
      <c r="WM34" s="548"/>
      <c r="WN34" s="548"/>
      <c r="WO34" s="548"/>
      <c r="WP34" s="548"/>
      <c r="WQ34" s="548"/>
      <c r="WR34" s="548"/>
      <c r="WS34" s="548"/>
      <c r="WT34" s="548"/>
      <c r="WU34" s="548"/>
      <c r="WV34" s="548"/>
      <c r="WW34" s="548"/>
      <c r="WX34" s="548"/>
      <c r="WY34" s="548"/>
      <c r="WZ34" s="548"/>
      <c r="XA34" s="548"/>
      <c r="XB34" s="548"/>
      <c r="XC34" s="548"/>
      <c r="XD34" s="548"/>
      <c r="XE34" s="548"/>
      <c r="XF34" s="548"/>
      <c r="XG34" s="548"/>
      <c r="XH34" s="548"/>
      <c r="XI34" s="548"/>
      <c r="XJ34" s="548"/>
      <c r="XK34" s="548"/>
      <c r="XL34" s="548"/>
      <c r="XM34" s="548"/>
      <c r="XN34" s="548"/>
      <c r="XO34" s="548"/>
      <c r="XP34" s="548"/>
      <c r="XQ34" s="548"/>
      <c r="XR34" s="548"/>
      <c r="XS34" s="548"/>
      <c r="XT34" s="548"/>
      <c r="XU34" s="548"/>
      <c r="XV34" s="548"/>
      <c r="XW34" s="548"/>
      <c r="XX34" s="548"/>
      <c r="XY34" s="548"/>
      <c r="XZ34" s="548"/>
      <c r="YA34" s="548"/>
      <c r="YB34" s="548"/>
      <c r="YC34" s="548"/>
      <c r="YD34" s="548"/>
      <c r="YE34" s="548"/>
      <c r="YF34" s="548"/>
      <c r="YG34" s="548"/>
      <c r="YH34" s="548"/>
      <c r="YI34" s="548"/>
      <c r="YJ34" s="548"/>
      <c r="YK34" s="548"/>
      <c r="YL34" s="548"/>
      <c r="YM34" s="548"/>
      <c r="YN34" s="548"/>
      <c r="YO34" s="548"/>
      <c r="YP34" s="548"/>
      <c r="YQ34" s="548"/>
      <c r="YR34" s="548"/>
      <c r="YS34" s="548"/>
      <c r="YT34" s="548"/>
      <c r="YU34" s="548"/>
      <c r="YV34" s="548"/>
      <c r="YW34" s="548"/>
      <c r="YX34" s="548"/>
      <c r="YY34" s="548"/>
      <c r="YZ34" s="548"/>
      <c r="ZA34" s="548"/>
      <c r="ZB34" s="548"/>
      <c r="ZC34" s="548"/>
      <c r="ZD34" s="548"/>
      <c r="ZE34" s="548"/>
      <c r="ZF34" s="548"/>
      <c r="ZG34" s="548"/>
      <c r="ZH34" s="548"/>
      <c r="ZI34" s="548"/>
      <c r="ZJ34" s="548"/>
      <c r="ZK34" s="548"/>
      <c r="ZL34" s="548"/>
      <c r="ZM34" s="548"/>
      <c r="ZN34" s="548"/>
      <c r="ZO34" s="548"/>
      <c r="ZP34" s="548"/>
      <c r="ZQ34" s="548"/>
      <c r="ZR34" s="548"/>
      <c r="ZS34" s="548"/>
      <c r="ZT34" s="548"/>
      <c r="ZU34" s="548"/>
      <c r="ZV34" s="548"/>
      <c r="ZW34" s="548"/>
      <c r="ZX34" s="548"/>
      <c r="ZY34" s="548"/>
      <c r="ZZ34" s="548"/>
      <c r="AAA34" s="548"/>
      <c r="AAB34" s="548"/>
      <c r="AAC34" s="548"/>
      <c r="AAD34" s="548"/>
      <c r="AAE34" s="548"/>
      <c r="AAF34" s="548"/>
      <c r="AAG34" s="548"/>
      <c r="AAH34" s="548"/>
      <c r="AAI34" s="548"/>
      <c r="AAJ34" s="548"/>
      <c r="AAK34" s="548"/>
      <c r="AAL34" s="548"/>
      <c r="AAM34" s="548"/>
      <c r="AAN34" s="548"/>
      <c r="AAO34" s="548"/>
      <c r="AAP34" s="548"/>
      <c r="AAQ34" s="548"/>
      <c r="AAR34" s="548"/>
      <c r="AAS34" s="548"/>
      <c r="AAT34" s="548"/>
      <c r="AAU34" s="548"/>
      <c r="AAV34" s="548"/>
      <c r="AAW34" s="548"/>
      <c r="AAX34" s="548"/>
      <c r="AAY34" s="548"/>
      <c r="AAZ34" s="548"/>
      <c r="ABA34" s="548"/>
      <c r="ABB34" s="548"/>
      <c r="ABC34" s="548"/>
      <c r="ABD34" s="548"/>
      <c r="ABE34" s="548"/>
      <c r="ABF34" s="548"/>
      <c r="ABG34" s="548"/>
      <c r="ABH34" s="548"/>
      <c r="ABI34" s="548"/>
      <c r="ABJ34" s="548"/>
      <c r="ABK34" s="548"/>
      <c r="ABL34" s="548"/>
      <c r="ABM34" s="548"/>
      <c r="ABN34" s="548"/>
      <c r="ABO34" s="548"/>
      <c r="ABP34" s="548"/>
      <c r="ABQ34" s="548"/>
      <c r="ABR34" s="548"/>
      <c r="ABS34" s="548"/>
    </row>
    <row r="35" spans="1:747" customFormat="1" ht="15" customHeight="1" thickBot="1" x14ac:dyDescent="0.25">
      <c r="A35" s="424" t="str">
        <f t="shared" si="149"/>
        <v/>
      </c>
      <c r="B35" s="415"/>
      <c r="C35" s="525"/>
      <c r="D35" s="750"/>
      <c r="E35" s="416" t="str">
        <f t="shared" si="0"/>
        <v/>
      </c>
      <c r="F35" s="527" t="str">
        <f t="shared" si="1"/>
        <v/>
      </c>
      <c r="G35" s="417"/>
      <c r="H35" s="583" t="str">
        <f t="shared" si="2"/>
        <v/>
      </c>
      <c r="I35" s="424"/>
      <c r="J35" s="749"/>
      <c r="K35" s="418"/>
      <c r="L35" s="419"/>
      <c r="M35" s="415"/>
      <c r="N35" s="420"/>
      <c r="O35" s="421"/>
      <c r="P35" s="561"/>
      <c r="Q35" s="422"/>
      <c r="R35" s="561" t="str">
        <f t="shared" si="3"/>
        <v/>
      </c>
      <c r="S35" s="664"/>
      <c r="T35" s="663"/>
      <c r="U35" s="580">
        <f t="shared" si="4"/>
        <v>0</v>
      </c>
      <c r="V35" s="418"/>
      <c r="W35" s="582" t="str">
        <f t="shared" si="5"/>
        <v/>
      </c>
      <c r="X35" s="479" t="str">
        <f t="shared" si="6"/>
        <v/>
      </c>
      <c r="Y35" s="582" t="str">
        <f t="shared" si="7"/>
        <v/>
      </c>
      <c r="Z35" s="317" t="str">
        <f t="shared" si="8"/>
        <v/>
      </c>
      <c r="AA35" s="317" t="str">
        <f t="shared" si="9"/>
        <v/>
      </c>
      <c r="AB35" s="317">
        <f t="shared" si="10"/>
        <v>0</v>
      </c>
      <c r="AC35" s="317" t="str">
        <f t="shared" si="11"/>
        <v/>
      </c>
      <c r="AD35" s="317"/>
      <c r="AE35" s="479"/>
      <c r="AF35" s="479"/>
      <c r="AG35" s="423"/>
      <c r="AH35" s="820"/>
      <c r="AI35" s="480"/>
      <c r="AJ35" s="660"/>
      <c r="AK35" s="524" t="str">
        <f t="shared" si="12"/>
        <v/>
      </c>
      <c r="AL35" s="748" t="str">
        <f>IF(Dados!$E$3="","",($HM$2+$HO$2)-$AL$34)</f>
        <v/>
      </c>
      <c r="AM35" s="753" t="str">
        <f>IF(Dados!$E$3="","",($HQ$2+$HS$2)-$AM$34)</f>
        <v/>
      </c>
      <c r="AN35" s="426">
        <f t="shared" si="13"/>
        <v>0</v>
      </c>
      <c r="AO35" s="427" t="str">
        <f t="shared" si="37"/>
        <v/>
      </c>
      <c r="AP35" s="426" t="str">
        <f t="shared" si="14"/>
        <v/>
      </c>
      <c r="AQ35" s="426"/>
      <c r="AR35" s="426"/>
      <c r="AS35" s="428"/>
      <c r="AT35" s="429"/>
      <c r="AU35" s="430"/>
      <c r="AV35" s="431"/>
      <c r="AW35" s="432"/>
      <c r="AX35" s="430"/>
      <c r="AY35" s="431">
        <f t="shared" si="15"/>
        <v>0</v>
      </c>
      <c r="AZ35" s="426"/>
      <c r="BA35" s="435" t="str">
        <f t="shared" si="16"/>
        <v/>
      </c>
      <c r="BB35" s="435"/>
      <c r="BC35" s="426"/>
      <c r="BD35" s="426">
        <f t="array" ref="BD35">IF(SUM((BC35=$BC$3:BC34)*1)=0,BC35,0)</f>
        <v>0</v>
      </c>
      <c r="BE35" s="426"/>
      <c r="BF35" s="426"/>
      <c r="BG35" s="426">
        <f t="array" ref="BG35">IF(SUM((BF35=$BF$3:BF34)*1)=0,BF35,0)</f>
        <v>0</v>
      </c>
      <c r="BH35" s="426"/>
      <c r="BI35" s="426"/>
      <c r="BJ35" s="426"/>
      <c r="BK35" s="426"/>
      <c r="BL35" s="426"/>
      <c r="BM35" s="426"/>
      <c r="BN35" s="426"/>
      <c r="BO35" s="426"/>
      <c r="BP35" s="433">
        <f t="shared" si="17"/>
        <v>0</v>
      </c>
      <c r="BQ35" s="426"/>
      <c r="BR35" s="434"/>
      <c r="BS35" s="426"/>
      <c r="BT35" s="433"/>
      <c r="BU35" s="435"/>
      <c r="BV35" s="435" t="str">
        <f t="shared" si="18"/>
        <v/>
      </c>
      <c r="BW35" s="435" t="str">
        <f t="shared" si="38"/>
        <v/>
      </c>
      <c r="BX35" s="435"/>
      <c r="BY35" s="435"/>
      <c r="BZ35" s="435"/>
      <c r="CA35" s="435"/>
      <c r="CB35" s="435"/>
      <c r="CC35" s="435"/>
      <c r="CD35" s="435"/>
      <c r="CE35" s="435"/>
      <c r="CF35" s="435"/>
      <c r="CG35" s="435"/>
      <c r="CH35" s="435"/>
      <c r="CI35" s="435"/>
      <c r="CJ35" s="426" t="str">
        <f t="shared" si="39"/>
        <v/>
      </c>
      <c r="CK35" s="435"/>
      <c r="CL35" s="426"/>
      <c r="CM35" s="435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>
        <v>32</v>
      </c>
      <c r="CZ35" s="426"/>
      <c r="DA35" s="426"/>
      <c r="DB35" s="426"/>
      <c r="DC35" s="426" t="s">
        <v>775</v>
      </c>
      <c r="DD35" s="426" t="s">
        <v>935</v>
      </c>
      <c r="DE35" s="435" t="str">
        <f t="shared" si="40"/>
        <v/>
      </c>
      <c r="DF35" s="435" t="str">
        <f t="shared" si="41"/>
        <v/>
      </c>
      <c r="DG35" s="435" t="str">
        <f t="shared" si="42"/>
        <v/>
      </c>
      <c r="DH35" s="435" t="str">
        <f t="shared" si="43"/>
        <v/>
      </c>
      <c r="DI35" s="435" t="str">
        <f t="shared" si="44"/>
        <v/>
      </c>
      <c r="DJ35" s="435" t="str">
        <f t="shared" si="45"/>
        <v/>
      </c>
      <c r="DK35" s="435" t="str">
        <f t="shared" si="19"/>
        <v/>
      </c>
      <c r="DL35" s="435" t="str">
        <f t="shared" si="20"/>
        <v/>
      </c>
      <c r="DM35" s="435" t="str">
        <f t="shared" si="46"/>
        <v/>
      </c>
      <c r="DN35" s="435" t="str">
        <f t="shared" si="47"/>
        <v/>
      </c>
      <c r="DO35" s="435" t="str">
        <f t="shared" si="21"/>
        <v/>
      </c>
      <c r="DP35" s="435" t="str">
        <f t="shared" si="22"/>
        <v/>
      </c>
      <c r="DQ35" s="435" t="str">
        <f t="shared" si="48"/>
        <v/>
      </c>
      <c r="DR35" s="435" t="str">
        <f t="shared" si="49"/>
        <v/>
      </c>
      <c r="DS35" s="435" t="str">
        <f t="shared" si="23"/>
        <v/>
      </c>
      <c r="DT35" s="435" t="str">
        <f t="shared" si="24"/>
        <v/>
      </c>
      <c r="DU35" s="435" t="str">
        <f t="shared" si="50"/>
        <v/>
      </c>
      <c r="DV35" s="435" t="str">
        <f t="shared" si="51"/>
        <v/>
      </c>
      <c r="DW35" s="435" t="str">
        <f t="shared" si="25"/>
        <v/>
      </c>
      <c r="DX35" s="435" t="str">
        <f t="shared" si="26"/>
        <v/>
      </c>
      <c r="DY35" s="435" t="str">
        <f t="shared" si="52"/>
        <v/>
      </c>
      <c r="DZ35" s="435" t="str">
        <f t="shared" si="53"/>
        <v/>
      </c>
      <c r="EA35" s="435" t="str">
        <f t="shared" si="27"/>
        <v/>
      </c>
      <c r="EB35" s="435" t="str">
        <f t="shared" si="28"/>
        <v/>
      </c>
      <c r="EC35" s="435" t="str">
        <f t="shared" si="29"/>
        <v/>
      </c>
      <c r="ED35" s="435" t="str">
        <f t="shared" si="30"/>
        <v/>
      </c>
      <c r="EE35" s="435" t="str">
        <f t="shared" si="31"/>
        <v/>
      </c>
      <c r="EF35" s="435" t="str">
        <f t="shared" si="32"/>
        <v/>
      </c>
      <c r="EG35" s="435" t="str">
        <f t="shared" si="33"/>
        <v/>
      </c>
      <c r="EH35" s="435" t="str">
        <f t="shared" si="34"/>
        <v/>
      </c>
      <c r="EI35" s="435" t="str">
        <f t="shared" si="35"/>
        <v/>
      </c>
      <c r="EJ35" s="435" t="str">
        <f t="shared" si="36"/>
        <v/>
      </c>
      <c r="EK35" s="485"/>
      <c r="EL35" s="485"/>
      <c r="EM35" s="485"/>
      <c r="EN35" s="485"/>
      <c r="EO35" s="448"/>
      <c r="EP35" s="448"/>
      <c r="EQ35" s="448"/>
      <c r="ER35" s="448"/>
      <c r="ES35" s="448"/>
      <c r="ET35" s="435"/>
      <c r="EU35" s="435"/>
      <c r="EV35" s="435"/>
      <c r="EW35" s="435"/>
      <c r="EX35" s="426"/>
      <c r="EY35" s="426"/>
      <c r="EZ35" s="426"/>
      <c r="FA35" s="427"/>
      <c r="FB35" s="427">
        <f t="array" ref="FB35">IF(SUM((FA35=$FA$3:FA34)*1)=0,FA35,0)</f>
        <v>0</v>
      </c>
      <c r="FC35" s="427"/>
      <c r="FD35" s="427"/>
      <c r="FE35" s="427">
        <f t="array" ref="FE35">IF(SUM((FD35=$FD$3:FD34)*1)=0,FD35,0)</f>
        <v>0</v>
      </c>
      <c r="FF35" s="427"/>
      <c r="FG35" s="427"/>
      <c r="FH35" s="427"/>
      <c r="FI35" s="427">
        <f t="array" ref="FI35">IF(SUM((FH35=$FH$3:FH34)*1)=0,FH35,0)</f>
        <v>0</v>
      </c>
      <c r="FJ35" s="427"/>
      <c r="FK35" s="427"/>
      <c r="FL35" s="427">
        <f t="array" ref="FL35">IF(SUM((FK35=$FK$3:FK34)*1)=0,FK35,0)</f>
        <v>0</v>
      </c>
      <c r="FM35" s="427"/>
      <c r="FN35" s="427"/>
      <c r="FO35" s="427"/>
      <c r="FP35" s="427">
        <f t="array" ref="FP35">IF(SUM((FO35=$FO$3:FO34)*1)=0,FO35,0)</f>
        <v>0</v>
      </c>
      <c r="FQ35" s="427"/>
      <c r="FR35" s="427"/>
      <c r="FS35" s="427">
        <f t="array" ref="FS35">IF(SUM((FR35=$FR$3:FR34)*1)=0,FR35,0)</f>
        <v>0</v>
      </c>
      <c r="FT35" s="427"/>
      <c r="FU35" s="427"/>
      <c r="FV35" s="427"/>
      <c r="FW35" s="427">
        <f t="array" ref="FW35">IF(SUM((FV35=$FV$3:FV34)*1)=0,FV35,0)</f>
        <v>0</v>
      </c>
      <c r="FX35" s="427"/>
      <c r="FY35" s="427"/>
      <c r="FZ35" s="427">
        <f t="array" ref="FZ35">IF(SUM((FY35=$FY$3:FY34)*1)=0,FY35,0)</f>
        <v>0</v>
      </c>
      <c r="GA35" s="427"/>
      <c r="GB35" s="427"/>
      <c r="GC35" s="427"/>
      <c r="GD35" s="427">
        <f t="array" ref="GD35">IF(SUM((GC35=$GC$3:GC34)*1)=0,GC35,0)</f>
        <v>0</v>
      </c>
      <c r="GE35" s="427"/>
      <c r="GF35" s="427"/>
      <c r="GG35" s="427">
        <f t="array" ref="GG35">IF(SUM((GF35=$GF$3:GF34)*1)=0,GF35,0)</f>
        <v>0</v>
      </c>
      <c r="GH35" s="427"/>
      <c r="GI35" s="427"/>
      <c r="GJ35" s="427"/>
      <c r="GK35" s="798">
        <f t="array" ref="GK35">IF(SUM((GJ35=$GJ$3:GJ34)*1)=0,GJ35,0)</f>
        <v>0</v>
      </c>
      <c r="GL35" s="427"/>
      <c r="GM35" s="427"/>
      <c r="GN35" s="798">
        <f t="array" ref="GN35">IF(SUM((GM35=$GM$3:GM34)*1)=0,GM35,0)</f>
        <v>0</v>
      </c>
      <c r="GO35" s="427"/>
      <c r="GP35" s="427"/>
      <c r="GQ35" s="427"/>
      <c r="GR35" s="798">
        <f t="array" ref="GR35">IF(SUM((GQ35=$GQ$3:GQ34)*1)=0,GQ35,0)</f>
        <v>0</v>
      </c>
      <c r="GS35" s="427"/>
      <c r="GT35" s="427"/>
      <c r="GU35" s="798">
        <f t="array" ref="GU35">IF(SUM((GT35=$GT$3:GT34)*1)=0,GT35,0)</f>
        <v>0</v>
      </c>
      <c r="GV35" s="427"/>
      <c r="GW35" s="427"/>
      <c r="GX35" s="427"/>
      <c r="GY35" s="798">
        <f t="array" ref="GY35">IF(SUM((GX35=$GX$3:GX34)*1)=0,GX35,0)</f>
        <v>0</v>
      </c>
      <c r="GZ35" s="427"/>
      <c r="HA35" s="427"/>
      <c r="HB35" s="798">
        <f t="array" ref="HB35">IF(SUM((HA35=$HA$3:HA34)*1)=0,HA35,0)</f>
        <v>0</v>
      </c>
      <c r="HC35" s="427"/>
      <c r="HD35" s="427"/>
      <c r="HE35" s="769" t="str">
        <f t="shared" si="130"/>
        <v/>
      </c>
      <c r="HF35" s="768" t="str">
        <f t="shared" ref="HF35" si="384">IF(HE35&lt;0,"Invadiu REP-BA-C","")</f>
        <v/>
      </c>
      <c r="HG35" s="769" t="str">
        <f t="shared" si="131"/>
        <v/>
      </c>
      <c r="HH35" s="768" t="str">
        <f t="shared" si="55"/>
        <v/>
      </c>
      <c r="HI35" s="728" t="str">
        <f t="shared" si="132"/>
        <v/>
      </c>
      <c r="HJ35" s="768" t="str">
        <f t="shared" si="56"/>
        <v/>
      </c>
      <c r="HK35" s="728" t="str">
        <f t="shared" si="133"/>
        <v/>
      </c>
      <c r="HL35" s="768" t="str">
        <f t="shared" si="57"/>
        <v/>
      </c>
      <c r="HM35" s="769" t="str">
        <f t="shared" si="58"/>
        <v/>
      </c>
      <c r="HN35" s="768" t="str">
        <f t="shared" ref="HN35" si="385">IF(HM35&lt;0,"Invadiu REP-BA-C","")</f>
        <v/>
      </c>
      <c r="HO35" s="769" t="str">
        <f t="shared" si="60"/>
        <v/>
      </c>
      <c r="HP35" s="768" t="str">
        <f t="shared" si="61"/>
        <v/>
      </c>
      <c r="HQ35" s="728" t="str">
        <f t="shared" si="62"/>
        <v/>
      </c>
      <c r="HR35" s="768" t="str">
        <f t="shared" si="63"/>
        <v/>
      </c>
      <c r="HS35" s="728" t="str">
        <f t="shared" si="64"/>
        <v/>
      </c>
      <c r="HT35" s="768" t="str">
        <f t="shared" si="65"/>
        <v/>
      </c>
      <c r="HU35" s="769" t="str">
        <f t="shared" si="66"/>
        <v/>
      </c>
      <c r="HV35" s="768" t="str">
        <f t="shared" ref="HV35" si="386">IF(HU35&lt;0,"Invadiu REP-BA-C","")</f>
        <v/>
      </c>
      <c r="HW35" s="769" t="str">
        <f t="shared" si="68"/>
        <v/>
      </c>
      <c r="HX35" s="768" t="str">
        <f t="shared" si="69"/>
        <v/>
      </c>
      <c r="HY35" s="728" t="str">
        <f t="shared" si="70"/>
        <v/>
      </c>
      <c r="HZ35" s="768" t="str">
        <f t="shared" si="71"/>
        <v/>
      </c>
      <c r="IA35" s="728" t="str">
        <f t="shared" si="72"/>
        <v/>
      </c>
      <c r="IB35" s="768" t="str">
        <f t="shared" si="73"/>
        <v/>
      </c>
      <c r="IC35" s="769" t="str">
        <f t="shared" si="74"/>
        <v/>
      </c>
      <c r="ID35" s="768" t="str">
        <f t="shared" ref="ID35" si="387">IF(IC35&lt;0,"Invadiu REP-BA-C","")</f>
        <v/>
      </c>
      <c r="IE35" s="769" t="str">
        <f t="shared" si="76"/>
        <v/>
      </c>
      <c r="IF35" s="768" t="str">
        <f t="shared" si="77"/>
        <v/>
      </c>
      <c r="IG35" s="728" t="str">
        <f t="shared" si="78"/>
        <v/>
      </c>
      <c r="IH35" s="768" t="str">
        <f t="shared" si="79"/>
        <v/>
      </c>
      <c r="II35" s="728" t="str">
        <f t="shared" si="80"/>
        <v/>
      </c>
      <c r="IJ35" s="768" t="str">
        <f t="shared" si="81"/>
        <v/>
      </c>
      <c r="IK35" s="769" t="str">
        <f t="shared" si="82"/>
        <v/>
      </c>
      <c r="IL35" s="768" t="str">
        <f t="shared" ref="IL35" si="388">IF(IK35&lt;0,"Invadiu REP-BA-C","")</f>
        <v/>
      </c>
      <c r="IM35" s="769" t="str">
        <f t="shared" si="84"/>
        <v/>
      </c>
      <c r="IN35" s="768" t="str">
        <f t="shared" si="85"/>
        <v/>
      </c>
      <c r="IO35" s="728" t="str">
        <f t="shared" si="86"/>
        <v/>
      </c>
      <c r="IP35" s="768" t="str">
        <f t="shared" si="87"/>
        <v/>
      </c>
      <c r="IQ35" s="728" t="str">
        <f t="shared" si="88"/>
        <v/>
      </c>
      <c r="IR35" s="768" t="str">
        <f t="shared" si="89"/>
        <v/>
      </c>
      <c r="IS35" s="769" t="str">
        <f t="shared" si="90"/>
        <v/>
      </c>
      <c r="IT35" s="768" t="str">
        <f t="shared" ref="IT35" si="389">IF(IS35&lt;0,"Invadiu REP-BA-C","")</f>
        <v/>
      </c>
      <c r="IU35" s="769" t="str">
        <f t="shared" si="92"/>
        <v/>
      </c>
      <c r="IV35" s="768" t="str">
        <f t="shared" si="93"/>
        <v/>
      </c>
      <c r="IW35" s="728" t="str">
        <f t="shared" si="94"/>
        <v/>
      </c>
      <c r="IX35" s="768" t="str">
        <f t="shared" si="95"/>
        <v/>
      </c>
      <c r="IY35" s="728" t="str">
        <f t="shared" si="96"/>
        <v/>
      </c>
      <c r="IZ35" s="768" t="str">
        <f t="shared" si="97"/>
        <v/>
      </c>
      <c r="JA35" s="769" t="str">
        <f t="shared" si="98"/>
        <v/>
      </c>
      <c r="JB35" s="768" t="str">
        <f t="shared" ref="JB35" si="390">IF(JA35&lt;0,"Invadiu REP-BA-C","")</f>
        <v/>
      </c>
      <c r="JC35" s="769" t="str">
        <f t="shared" si="100"/>
        <v/>
      </c>
      <c r="JD35" s="768" t="str">
        <f t="shared" si="101"/>
        <v/>
      </c>
      <c r="JE35" s="728" t="str">
        <f t="shared" si="102"/>
        <v/>
      </c>
      <c r="JF35" s="768" t="str">
        <f t="shared" si="103"/>
        <v/>
      </c>
      <c r="JG35" s="728" t="str">
        <f t="shared" si="104"/>
        <v/>
      </c>
      <c r="JH35" s="768" t="str">
        <f t="shared" si="105"/>
        <v/>
      </c>
      <c r="JI35" s="769" t="str">
        <f t="shared" si="106"/>
        <v/>
      </c>
      <c r="JJ35" s="768" t="str">
        <f t="shared" ref="JJ35" si="391">IF(JI35&lt;0,"Invadiu REP-BA-C","")</f>
        <v/>
      </c>
      <c r="JK35" s="769" t="str">
        <f t="shared" si="108"/>
        <v/>
      </c>
      <c r="JL35" s="768" t="str">
        <f t="shared" si="109"/>
        <v/>
      </c>
      <c r="JM35" s="728" t="str">
        <f t="shared" si="110"/>
        <v/>
      </c>
      <c r="JN35" s="768" t="str">
        <f t="shared" si="111"/>
        <v/>
      </c>
      <c r="JO35" s="728" t="str">
        <f t="shared" si="112"/>
        <v/>
      </c>
      <c r="JP35" s="768" t="str">
        <f t="shared" si="113"/>
        <v/>
      </c>
      <c r="JQ35" s="769" t="str">
        <f t="shared" si="114"/>
        <v/>
      </c>
      <c r="JR35" s="768" t="str">
        <f t="shared" ref="JR35" si="392">IF(JQ35&lt;0,"Invadiu REP-BA-C","")</f>
        <v/>
      </c>
      <c r="JS35" s="769" t="str">
        <f t="shared" si="116"/>
        <v/>
      </c>
      <c r="JT35" s="768" t="str">
        <f t="shared" si="117"/>
        <v/>
      </c>
      <c r="JU35" s="728" t="str">
        <f t="shared" si="118"/>
        <v/>
      </c>
      <c r="JV35" s="768" t="str">
        <f t="shared" si="119"/>
        <v/>
      </c>
      <c r="JW35" s="728" t="str">
        <f t="shared" si="120"/>
        <v/>
      </c>
      <c r="JX35" s="768" t="str">
        <f t="shared" si="121"/>
        <v/>
      </c>
      <c r="JY35" s="768" t="str">
        <f t="shared" si="122"/>
        <v/>
      </c>
      <c r="JZ35" s="485" t="str">
        <f>IF(JY35="","",IF(AND(C35=$C$164,JY35&lt;&gt;""),Verificarcpf(D35),IF(AND(C35=$C$165,JY35&lt;&gt;""),VerificarCNPJ(D35))))</f>
        <v/>
      </c>
      <c r="KA35" s="768" t="str">
        <f t="shared" si="123"/>
        <v/>
      </c>
      <c r="KB35" s="485">
        <f t="shared" si="124"/>
        <v>0</v>
      </c>
      <c r="KC35" s="768">
        <f t="shared" si="125"/>
        <v>0</v>
      </c>
      <c r="KD35" s="485">
        <f t="shared" si="126"/>
        <v>0</v>
      </c>
      <c r="KE35" s="448"/>
      <c r="KF35" s="548"/>
      <c r="KG35" s="548"/>
      <c r="KH35" s="548"/>
      <c r="KI35" s="548"/>
      <c r="KJ35" s="548" t="str">
        <f t="shared" si="128"/>
        <v/>
      </c>
      <c r="KK35" s="548"/>
      <c r="KL35" s="548"/>
      <c r="KM35" s="548">
        <f t="array" ref="KM35">IF(SUM((KL35=$KL$3:KL34)*1)=0,KL35,0)</f>
        <v>0</v>
      </c>
      <c r="KN35" s="548"/>
      <c r="KO35" s="548"/>
      <c r="KP35" s="548"/>
      <c r="KQ35" s="548"/>
      <c r="KR35" s="548" t="str">
        <f t="shared" si="129"/>
        <v/>
      </c>
      <c r="KS35" s="548"/>
      <c r="KT35" s="548"/>
      <c r="KU35" s="548"/>
      <c r="KV35" s="548"/>
      <c r="KW35" s="548"/>
      <c r="KX35" s="548"/>
      <c r="KY35" s="548"/>
      <c r="KZ35" s="548"/>
      <c r="LA35" s="548"/>
      <c r="LB35" s="548"/>
      <c r="LC35" s="485" t="str">
        <f t="shared" si="142"/>
        <v/>
      </c>
      <c r="LD35" s="548"/>
      <c r="LE35" s="548"/>
      <c r="LF35" s="548"/>
      <c r="LG35" s="548"/>
      <c r="LH35" s="548"/>
      <c r="LI35" s="548"/>
      <c r="LJ35" s="548"/>
      <c r="LK35" s="548"/>
      <c r="LL35" s="548"/>
      <c r="LM35" s="548"/>
      <c r="LN35" s="548"/>
      <c r="LO35" s="548"/>
      <c r="LP35" s="485" t="str">
        <f t="shared" si="143"/>
        <v/>
      </c>
      <c r="LQ35" s="548"/>
      <c r="LR35" s="548"/>
      <c r="LS35" s="548"/>
      <c r="LT35" s="548"/>
      <c r="LU35" s="548"/>
      <c r="LV35" s="548"/>
      <c r="LW35" s="548"/>
      <c r="LX35" s="548"/>
      <c r="LY35" s="548"/>
      <c r="LZ35" s="548"/>
      <c r="MA35" s="548"/>
      <c r="MB35" s="548"/>
      <c r="MC35" s="485" t="str">
        <f t="shared" si="144"/>
        <v/>
      </c>
      <c r="MD35" s="548"/>
      <c r="ME35" s="548"/>
      <c r="MF35" s="548"/>
      <c r="MG35" s="548"/>
      <c r="MH35" s="548"/>
      <c r="MI35" s="548"/>
      <c r="MJ35" s="548"/>
      <c r="MK35" s="548"/>
      <c r="ML35" s="548"/>
      <c r="MM35" s="548"/>
      <c r="MN35" s="548"/>
      <c r="MO35" s="548"/>
      <c r="MP35" s="485" t="str">
        <f t="shared" si="145"/>
        <v/>
      </c>
      <c r="MQ35" s="548"/>
      <c r="MR35" s="548"/>
      <c r="MS35" s="548"/>
      <c r="MT35" s="548"/>
      <c r="MU35" s="548"/>
      <c r="MV35" s="548"/>
      <c r="MW35" s="548"/>
      <c r="MX35" s="548"/>
      <c r="MY35" s="548"/>
      <c r="MZ35" s="548"/>
      <c r="NA35" s="548"/>
      <c r="NB35" s="548"/>
      <c r="NC35" s="485" t="str">
        <f t="shared" si="146"/>
        <v/>
      </c>
      <c r="ND35" s="548"/>
      <c r="NE35" s="548"/>
      <c r="NF35" s="548"/>
      <c r="NG35" s="548"/>
      <c r="NH35" s="548"/>
      <c r="NI35" s="548"/>
      <c r="NJ35" s="548"/>
      <c r="NK35" s="548"/>
      <c r="NL35" s="548"/>
      <c r="NM35" s="548"/>
      <c r="NN35" s="548"/>
      <c r="NO35" s="548"/>
      <c r="NP35" s="485" t="str">
        <f t="shared" si="147"/>
        <v/>
      </c>
      <c r="NQ35" s="548"/>
      <c r="NR35" s="548"/>
      <c r="NS35" s="548"/>
      <c r="NT35" s="548"/>
      <c r="NU35" s="548"/>
      <c r="NV35" s="548"/>
      <c r="NW35" s="548"/>
      <c r="NX35" s="548"/>
      <c r="NY35" s="548"/>
      <c r="NZ35" s="548"/>
      <c r="OA35" s="548"/>
      <c r="OB35" s="548"/>
      <c r="OC35" s="485" t="str">
        <f t="shared" si="148"/>
        <v/>
      </c>
      <c r="OD35" s="548"/>
      <c r="OE35" s="548"/>
      <c r="OF35" s="548"/>
      <c r="OG35" s="548"/>
      <c r="OH35" s="548"/>
      <c r="OI35" s="548"/>
      <c r="OJ35" s="548"/>
      <c r="OK35" s="548"/>
      <c r="OL35" s="548"/>
      <c r="OM35" s="548"/>
      <c r="ON35" s="548"/>
      <c r="OO35" s="548"/>
      <c r="OP35" s="548"/>
      <c r="OQ35" s="548"/>
      <c r="OR35" s="548"/>
      <c r="OS35" s="548"/>
      <c r="OT35" s="548"/>
      <c r="OU35" s="548"/>
      <c r="OV35" s="548"/>
      <c r="OW35" s="548"/>
      <c r="OX35" s="548"/>
      <c r="OY35" s="548"/>
      <c r="OZ35" s="548"/>
      <c r="PA35" s="548"/>
      <c r="PB35" s="548"/>
      <c r="PC35" s="548"/>
      <c r="PD35" s="548"/>
      <c r="PE35" s="548"/>
      <c r="PF35" s="548"/>
      <c r="PG35" s="548"/>
      <c r="PH35" s="548"/>
      <c r="PI35" s="548"/>
      <c r="PJ35" s="548"/>
      <c r="PK35" s="548"/>
      <c r="PL35" s="548"/>
      <c r="PM35" s="548"/>
      <c r="PN35" s="548"/>
      <c r="PO35" s="548"/>
      <c r="PP35" s="548"/>
      <c r="PQ35" s="548"/>
      <c r="PR35" s="548"/>
      <c r="PS35" s="548"/>
      <c r="PT35" s="548"/>
      <c r="PU35" s="548"/>
      <c r="PV35" s="548"/>
      <c r="PW35" s="548"/>
      <c r="PX35" s="548"/>
      <c r="PY35" s="548"/>
      <c r="PZ35" s="548"/>
      <c r="QA35" s="548"/>
      <c r="QB35" s="548"/>
      <c r="QC35" s="548"/>
      <c r="QD35" s="548"/>
      <c r="QE35" s="548"/>
      <c r="QF35" s="548"/>
      <c r="QG35" s="548"/>
      <c r="QH35" s="548"/>
      <c r="QI35" s="548"/>
      <c r="QJ35" s="548"/>
      <c r="QK35" s="548"/>
      <c r="QL35" s="548"/>
      <c r="QM35" s="548"/>
      <c r="QN35" s="548"/>
      <c r="QO35" s="548"/>
      <c r="QP35" s="548"/>
      <c r="QQ35" s="1009"/>
      <c r="QR35" s="548"/>
      <c r="QS35" s="548"/>
      <c r="QT35" s="548"/>
      <c r="QU35" s="548"/>
      <c r="QV35" s="548"/>
      <c r="QW35" s="548"/>
      <c r="QX35" s="548"/>
      <c r="QY35" s="548"/>
      <c r="QZ35" s="548"/>
      <c r="RA35" s="548"/>
      <c r="RB35" s="548"/>
      <c r="RC35" s="548"/>
      <c r="RD35" s="548"/>
      <c r="RE35" s="548"/>
      <c r="RF35" s="548"/>
      <c r="RG35" s="548"/>
      <c r="RH35" s="548"/>
      <c r="RI35" s="548"/>
      <c r="RJ35" s="548"/>
      <c r="RK35" s="548"/>
      <c r="RL35" s="548"/>
      <c r="RM35" s="548"/>
      <c r="RN35" s="548"/>
      <c r="RO35" s="548"/>
      <c r="RP35" s="548"/>
      <c r="RQ35" s="548"/>
      <c r="RR35" s="548"/>
      <c r="RS35" s="548"/>
      <c r="RT35" s="548"/>
      <c r="RU35" s="548"/>
      <c r="RV35" s="548"/>
      <c r="RW35" s="548"/>
      <c r="RX35" s="548"/>
      <c r="RY35" s="548"/>
      <c r="RZ35" s="548"/>
      <c r="SA35" s="548"/>
      <c r="SB35" s="548"/>
      <c r="SC35" s="548"/>
      <c r="SD35" s="548"/>
      <c r="SE35" s="548"/>
      <c r="SF35" s="548"/>
      <c r="SG35" s="548"/>
      <c r="SH35" s="548"/>
      <c r="SI35" s="548"/>
      <c r="SJ35" s="548"/>
      <c r="SK35" s="548"/>
      <c r="SL35" s="548"/>
      <c r="SM35" s="548"/>
      <c r="SN35" s="548"/>
      <c r="SO35" s="548"/>
      <c r="SP35" s="548"/>
      <c r="SQ35" s="548"/>
      <c r="SR35" s="548"/>
      <c r="SS35" s="548"/>
      <c r="ST35" s="548"/>
      <c r="SU35" s="548"/>
      <c r="SV35" s="548"/>
      <c r="SW35" s="548"/>
      <c r="SX35" s="548"/>
      <c r="SY35" s="548"/>
      <c r="SZ35" s="548"/>
      <c r="TA35" s="548"/>
      <c r="TB35" s="548"/>
      <c r="TC35" s="548"/>
      <c r="TD35" s="548"/>
      <c r="TE35" s="548"/>
      <c r="TF35" s="548"/>
      <c r="TG35" s="548"/>
      <c r="TH35" s="548"/>
      <c r="TI35" s="548"/>
      <c r="TJ35" s="548"/>
      <c r="TK35" s="548"/>
      <c r="TL35" s="548"/>
      <c r="TM35" s="548"/>
      <c r="TN35" s="548"/>
      <c r="TO35" s="548"/>
      <c r="TP35" s="548"/>
      <c r="TQ35" s="548"/>
      <c r="TR35" s="548"/>
      <c r="TS35" s="548"/>
      <c r="TT35" s="548"/>
      <c r="TU35" s="548"/>
      <c r="TV35" s="548"/>
      <c r="TW35" s="548"/>
      <c r="TX35" s="548"/>
      <c r="TY35" s="548"/>
      <c r="TZ35" s="548"/>
      <c r="UA35" s="548"/>
      <c r="UB35" s="548"/>
      <c r="UC35" s="548"/>
      <c r="UD35" s="548"/>
      <c r="UE35" s="548"/>
      <c r="UF35" s="548"/>
      <c r="UG35" s="548"/>
      <c r="UH35" s="548"/>
      <c r="UI35" s="548"/>
      <c r="UJ35" s="548"/>
      <c r="UK35" s="548"/>
      <c r="UL35" s="548"/>
      <c r="UM35" s="548"/>
      <c r="UN35" s="548"/>
      <c r="UO35" s="548"/>
      <c r="UP35" s="548"/>
      <c r="UQ35" s="548"/>
      <c r="UR35" s="548"/>
      <c r="US35" s="548"/>
      <c r="UT35" s="548"/>
      <c r="UU35" s="548"/>
      <c r="UV35" s="548"/>
      <c r="UW35" s="548"/>
      <c r="UX35" s="548"/>
      <c r="UY35" s="548"/>
      <c r="UZ35" s="548"/>
      <c r="VA35" s="548"/>
      <c r="VB35" s="548"/>
      <c r="VC35" s="548"/>
      <c r="VD35" s="548"/>
      <c r="VE35" s="548"/>
      <c r="VF35" s="548"/>
      <c r="VG35" s="548"/>
      <c r="VH35" s="548"/>
      <c r="VI35" s="548"/>
      <c r="VJ35" s="548"/>
      <c r="VK35" s="548"/>
      <c r="VL35" s="548"/>
      <c r="VM35" s="548"/>
      <c r="VN35" s="548"/>
      <c r="VO35" s="548"/>
      <c r="VP35" s="548"/>
      <c r="VQ35" s="548"/>
      <c r="VR35" s="548"/>
      <c r="VS35" s="548"/>
      <c r="VT35" s="548"/>
      <c r="VU35" s="548"/>
      <c r="VV35" s="548"/>
      <c r="VW35" s="548"/>
      <c r="VX35" s="548"/>
      <c r="VY35" s="548"/>
      <c r="VZ35" s="548"/>
      <c r="WA35" s="548"/>
      <c r="WB35" s="548"/>
      <c r="WC35" s="548"/>
      <c r="WD35" s="548"/>
      <c r="WE35" s="548"/>
      <c r="WF35" s="548"/>
      <c r="WG35" s="548"/>
      <c r="WH35" s="548"/>
      <c r="WI35" s="548"/>
      <c r="WJ35" s="548"/>
      <c r="WK35" s="548"/>
      <c r="WL35" s="548"/>
      <c r="WM35" s="548"/>
      <c r="WN35" s="548"/>
      <c r="WO35" s="548"/>
      <c r="WP35" s="548"/>
      <c r="WQ35" s="548"/>
      <c r="WR35" s="548"/>
      <c r="WS35" s="548"/>
      <c r="WT35" s="548"/>
      <c r="WU35" s="548"/>
      <c r="WV35" s="548"/>
      <c r="WW35" s="548"/>
      <c r="WX35" s="548"/>
      <c r="WY35" s="548"/>
      <c r="WZ35" s="548"/>
      <c r="XA35" s="548"/>
      <c r="XB35" s="548"/>
      <c r="XC35" s="548"/>
      <c r="XD35" s="548"/>
      <c r="XE35" s="548"/>
      <c r="XF35" s="548"/>
      <c r="XG35" s="548"/>
      <c r="XH35" s="548"/>
      <c r="XI35" s="548"/>
      <c r="XJ35" s="548"/>
      <c r="XK35" s="548"/>
      <c r="XL35" s="548"/>
      <c r="XM35" s="548"/>
      <c r="XN35" s="548"/>
      <c r="XO35" s="548"/>
      <c r="XP35" s="548"/>
      <c r="XQ35" s="548"/>
      <c r="XR35" s="548"/>
      <c r="XS35" s="548"/>
      <c r="XT35" s="548"/>
      <c r="XU35" s="548"/>
      <c r="XV35" s="548"/>
      <c r="XW35" s="548"/>
      <c r="XX35" s="548"/>
      <c r="XY35" s="548"/>
      <c r="XZ35" s="548"/>
      <c r="YA35" s="548"/>
      <c r="YB35" s="548"/>
      <c r="YC35" s="548"/>
      <c r="YD35" s="548"/>
      <c r="YE35" s="548"/>
      <c r="YF35" s="548"/>
      <c r="YG35" s="548"/>
      <c r="YH35" s="548"/>
      <c r="YI35" s="548"/>
      <c r="YJ35" s="548"/>
      <c r="YK35" s="548"/>
      <c r="YL35" s="548"/>
      <c r="YM35" s="548"/>
      <c r="YN35" s="548"/>
      <c r="YO35" s="548"/>
      <c r="YP35" s="548"/>
      <c r="YQ35" s="548"/>
      <c r="YR35" s="548"/>
      <c r="YS35" s="548"/>
      <c r="YT35" s="548"/>
      <c r="YU35" s="548"/>
      <c r="YV35" s="548"/>
      <c r="YW35" s="548"/>
      <c r="YX35" s="548"/>
      <c r="YY35" s="548"/>
      <c r="YZ35" s="548"/>
      <c r="ZA35" s="548"/>
      <c r="ZB35" s="548"/>
      <c r="ZC35" s="548"/>
      <c r="ZD35" s="548"/>
      <c r="ZE35" s="548"/>
      <c r="ZF35" s="548"/>
      <c r="ZG35" s="548"/>
      <c r="ZH35" s="548"/>
      <c r="ZI35" s="548"/>
      <c r="ZJ35" s="548"/>
      <c r="ZK35" s="548"/>
      <c r="ZL35" s="548"/>
      <c r="ZM35" s="548"/>
      <c r="ZN35" s="548"/>
      <c r="ZO35" s="548"/>
      <c r="ZP35" s="548"/>
      <c r="ZQ35" s="548"/>
      <c r="ZR35" s="548"/>
      <c r="ZS35" s="548"/>
      <c r="ZT35" s="548"/>
      <c r="ZU35" s="548"/>
      <c r="ZV35" s="548"/>
      <c r="ZW35" s="548"/>
      <c r="ZX35" s="548"/>
      <c r="ZY35" s="548"/>
      <c r="ZZ35" s="548"/>
      <c r="AAA35" s="548"/>
      <c r="AAB35" s="548"/>
      <c r="AAC35" s="548"/>
      <c r="AAD35" s="548"/>
      <c r="AAE35" s="548"/>
      <c r="AAF35" s="548"/>
      <c r="AAG35" s="548"/>
      <c r="AAH35" s="548"/>
      <c r="AAI35" s="548"/>
      <c r="AAJ35" s="548"/>
      <c r="AAK35" s="548"/>
      <c r="AAL35" s="548"/>
      <c r="AAM35" s="548"/>
      <c r="AAN35" s="548"/>
      <c r="AAO35" s="548"/>
      <c r="AAP35" s="548"/>
      <c r="AAQ35" s="548"/>
      <c r="AAR35" s="548"/>
      <c r="AAS35" s="548"/>
      <c r="AAT35" s="548"/>
      <c r="AAU35" s="548"/>
      <c r="AAV35" s="548"/>
      <c r="AAW35" s="548"/>
      <c r="AAX35" s="548"/>
      <c r="AAY35" s="548"/>
      <c r="AAZ35" s="548"/>
      <c r="ABA35" s="548"/>
      <c r="ABB35" s="548"/>
      <c r="ABC35" s="548"/>
      <c r="ABD35" s="548"/>
      <c r="ABE35" s="548"/>
      <c r="ABF35" s="548"/>
      <c r="ABG35" s="548"/>
      <c r="ABH35" s="548"/>
      <c r="ABI35" s="548"/>
      <c r="ABJ35" s="548"/>
      <c r="ABK35" s="548"/>
      <c r="ABL35" s="548"/>
      <c r="ABM35" s="548"/>
      <c r="ABN35" s="548"/>
      <c r="ABO35" s="548"/>
      <c r="ABP35" s="548"/>
      <c r="ABQ35" s="548"/>
      <c r="ABR35" s="548"/>
      <c r="ABS35" s="548"/>
    </row>
    <row r="36" spans="1:747" customFormat="1" ht="15" customHeight="1" thickBot="1" x14ac:dyDescent="0.25">
      <c r="A36" s="424" t="str">
        <f t="shared" si="149"/>
        <v/>
      </c>
      <c r="B36" s="415"/>
      <c r="C36" s="525"/>
      <c r="D36" s="750"/>
      <c r="E36" s="416" t="str">
        <f t="shared" ref="E36:E67" si="393">IF(G36="","",IF(G36=$G$206,"",IF(OR(G36=$G$202,G36=$G$210,G36=$G$213),$E$201,$E$202)))</f>
        <v/>
      </c>
      <c r="F36" s="527" t="str">
        <f t="shared" ref="F36:F67" si="394">IF(G36="","",IF(OR(G36=$G$201,G36=$G$202,G36=$G$203,G36=$G$204,G36=$G$206,G36=$G$210,G36=$G$211,G36=$G$212,G36=$G$213),"",IF(OR(G36=$G$205,G36=$G$209,G36=$G$214,G36=$G$216,G36=$G$217),$F$202,IF(OR(G36=$G$207,G36=$G$208,G36=$G$215),$F$201))))</f>
        <v/>
      </c>
      <c r="G36" s="417"/>
      <c r="H36" s="583" t="str">
        <f t="shared" ref="H36:H67" si="395">IF(AND(E36="",F36="",G36=""),"",IF(AND(E36="",F36="",G36=$G$226),$M$164,IF(AND(E36&lt;&gt;"",F36="",G36&lt;&gt;""),E36&amp;" - "&amp;G36&amp;" - "&amp;M36,IF(AND(E36&lt;&gt;"",F36&lt;&gt;"",G36=""),E36&amp;" - "&amp;F36&amp;" - "&amp;M36,IF(AND(E36&lt;&gt;"",F36&lt;&gt;"",G36&lt;&gt;""),E36&amp;" - "&amp;F36&amp;" - "&amp;G36&amp;" - "&amp;M36)))))</f>
        <v/>
      </c>
      <c r="I36" s="424"/>
      <c r="J36" s="749"/>
      <c r="K36" s="418"/>
      <c r="L36" s="419"/>
      <c r="M36" s="415"/>
      <c r="N36" s="420"/>
      <c r="O36" s="653"/>
      <c r="P36" s="561"/>
      <c r="Q36" s="422"/>
      <c r="R36" s="561" t="str">
        <f t="shared" ref="R36:R67" si="396">IF(P36="","",P36)</f>
        <v/>
      </c>
      <c r="S36" s="664"/>
      <c r="T36" s="663"/>
      <c r="U36" s="580">
        <f t="shared" ref="U36:U67" si="397">IFERROR(IF(S36+T36=0,0,1),$KG$11)</f>
        <v>0</v>
      </c>
      <c r="V36" s="418"/>
      <c r="W36" s="582" t="str">
        <f t="shared" ref="W36:W67" si="398">IF($S36="","",IF($S36&gt;=0.01,$DC36))</f>
        <v/>
      </c>
      <c r="X36" s="479" t="str">
        <f t="shared" ref="X36:X67" si="399">TRIM(IF(W36="","",H36&amp;" - "&amp;M36))</f>
        <v/>
      </c>
      <c r="Y36" s="582" t="str">
        <f t="shared" ref="Y36:Y67" si="400">IF($T36="","",IF($T36&gt;=0.01,$DD36))</f>
        <v/>
      </c>
      <c r="Z36" s="317" t="str">
        <f t="shared" ref="Z36:Z67" si="401">TRIM(IF(Y36="","",H36&amp;" - "&amp;M36))</f>
        <v/>
      </c>
      <c r="AA36" s="317" t="str">
        <f t="shared" ref="AA36:AA67" si="402">IF(V36=$V$164,T36,"")</f>
        <v/>
      </c>
      <c r="AB36" s="317">
        <f t="shared" ref="AB36:AB67" si="403">IF(AA36=0,S36,S36+T36)</f>
        <v>0</v>
      </c>
      <c r="AC36" s="317" t="str">
        <f t="shared" ref="AC36:AC67" si="404">IF(V36="","",IF(V36=$V$165,"",IF(AND(V36=$V$164,S36&gt;0,T36&gt;0),$U$164,IF(AND(V36=$V$164,S36&gt;0,T36=""),$S$164,IF(AND(V36=$V$164,S36="",T36&gt;0),$T$164)))))</f>
        <v/>
      </c>
      <c r="AD36" s="317"/>
      <c r="AE36" s="479"/>
      <c r="AF36" s="479"/>
      <c r="AG36" s="423"/>
      <c r="AH36" s="820"/>
      <c r="AI36" s="480"/>
      <c r="AJ36" s="660"/>
      <c r="AK36" s="524" t="str">
        <f t="shared" ref="AK36:AK67" si="405">IF(AND(KJ36="",KK36=""),"",IF(AND(KJ36=$KJ$3,KK36=$KK$3),$KF$2,IF(AND(KJ36&lt;&gt;$KJ$3,KK36&lt;&gt;$KK$3),KJ36&amp;" - "&amp;KK36,IF(AND(KJ36=$KJ$3,KK36&lt;&gt;$KK$3),KK36,IF(AND(KJ36&lt;&gt;$KJ$3,KK36=$KK$3),KJ36)))))</f>
        <v/>
      </c>
      <c r="AL36" s="1910" t="s">
        <v>727</v>
      </c>
      <c r="AM36" s="1911"/>
      <c r="AN36" s="426">
        <f t="shared" ref="AN36:AN67" si="406">IF(AO36&lt;&gt;"",1,0)</f>
        <v>0</v>
      </c>
      <c r="AO36" s="427" t="str">
        <f t="shared" ref="AO36:AO67" si="407">IF(AP36&lt;&gt;"",ROW(AP36)-3,"")</f>
        <v/>
      </c>
      <c r="AP36" s="426" t="str">
        <f t="shared" ref="AP36:AP67" si="408">IF(AQ36="Recibo","R",IF(AQ36="Cupom Fisc.","CF",IF(AQ36="N.F. Serv.","NFS",IF(AQ36="Nota Fiscal","NF",""))))</f>
        <v/>
      </c>
      <c r="AQ36" s="426"/>
      <c r="AR36" s="426"/>
      <c r="AS36" s="428"/>
      <c r="AT36" s="429"/>
      <c r="AU36" s="430"/>
      <c r="AV36" s="431"/>
      <c r="AW36" s="432"/>
      <c r="AX36" s="430"/>
      <c r="AY36" s="431">
        <f t="shared" ref="AY36:AY67" si="409">(AV36*AW36)</f>
        <v>0</v>
      </c>
      <c r="AZ36" s="426"/>
      <c r="BA36" s="435" t="str">
        <f t="shared" ref="BA36:BA67" si="410">TRIM(M36)</f>
        <v/>
      </c>
      <c r="BB36" s="435"/>
      <c r="BC36" s="426"/>
      <c r="BD36" s="426">
        <f t="array" ref="BD36">IF(SUM((BC36=$BC$3:BC35)*1)=0,BC36,0)</f>
        <v>0</v>
      </c>
      <c r="BE36" s="426"/>
      <c r="BF36" s="426"/>
      <c r="BG36" s="426">
        <f t="array" ref="BG36">IF(SUM((BF36=$BF$3:BF35)*1)=0,BF36,0)</f>
        <v>0</v>
      </c>
      <c r="BH36" s="426"/>
      <c r="BI36" s="426"/>
      <c r="BJ36" s="426"/>
      <c r="BK36" s="426"/>
      <c r="BL36" s="426"/>
      <c r="BM36" s="426"/>
      <c r="BN36" s="426"/>
      <c r="BO36" s="426"/>
      <c r="BP36" s="433">
        <f t="shared" ref="BP36:BP67" si="411">IF(S36="",T36,S36)</f>
        <v>0</v>
      </c>
      <c r="BQ36" s="426"/>
      <c r="BR36" s="434"/>
      <c r="BS36" s="426"/>
      <c r="BT36" s="433"/>
      <c r="BU36" s="435"/>
      <c r="BV36" s="435" t="str">
        <f t="shared" ref="BV36:BV67" si="412">TRIM(IF($J36="","",B36))</f>
        <v/>
      </c>
      <c r="BW36" s="435" t="str">
        <f t="shared" si="38"/>
        <v/>
      </c>
      <c r="BX36" s="435"/>
      <c r="BY36" s="435"/>
      <c r="BZ36" s="435"/>
      <c r="CA36" s="435"/>
      <c r="CB36" s="435"/>
      <c r="CC36" s="435"/>
      <c r="CD36" s="435"/>
      <c r="CE36" s="435"/>
      <c r="CF36" s="435"/>
      <c r="CG36" s="435"/>
      <c r="CH36" s="435"/>
      <c r="CI36" s="435"/>
      <c r="CJ36" s="426" t="str">
        <f t="shared" si="39"/>
        <v/>
      </c>
      <c r="CK36" s="435"/>
      <c r="CL36" s="426"/>
      <c r="CM36" s="435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>
        <v>33</v>
      </c>
      <c r="CZ36" s="426"/>
      <c r="DA36" s="426"/>
      <c r="DB36" s="426"/>
      <c r="DC36" s="426" t="s">
        <v>776</v>
      </c>
      <c r="DD36" s="426" t="s">
        <v>936</v>
      </c>
      <c r="DE36" s="435" t="str">
        <f t="shared" si="40"/>
        <v/>
      </c>
      <c r="DF36" s="435" t="str">
        <f t="shared" si="41"/>
        <v/>
      </c>
      <c r="DG36" s="435" t="str">
        <f t="shared" si="42"/>
        <v/>
      </c>
      <c r="DH36" s="435" t="str">
        <f t="shared" si="43"/>
        <v/>
      </c>
      <c r="DI36" s="435" t="str">
        <f t="shared" si="44"/>
        <v/>
      </c>
      <c r="DJ36" s="435" t="str">
        <f t="shared" si="45"/>
        <v/>
      </c>
      <c r="DK36" s="435" t="str">
        <f t="shared" ref="DK36:DK67" si="413">IF(AND($E36="capital",$J36="Volta Aulas",$T36="",$S36&gt;0),$S36,IF(AND($E36="capital",$J36="Volta Aulas",$T36&gt;=0,$S36&gt;0),$S36,IF(AND($E36="capital",$J36="Volta Aulas",$T36&lt;=0,$S36&gt;0),$S36,"")))</f>
        <v/>
      </c>
      <c r="DL36" s="435" t="str">
        <f t="shared" ref="DL36:DL67" si="414">IF(AND($E36="custeio",$J36="Volta Aulas",$S36="",$T36&gt;0),$T36,IF(AND($E36="custeio",$J36="Volta Aulas",$S36&gt;=0,$T36&gt;0),$T36,IF(AND($E36="custeio",$J36="Volta Aulas",$S36&lt;=0,$T36&gt;0),$T36,"")))</f>
        <v/>
      </c>
      <c r="DM36" s="435" t="str">
        <f t="shared" si="46"/>
        <v/>
      </c>
      <c r="DN36" s="435" t="str">
        <f t="shared" si="47"/>
        <v/>
      </c>
      <c r="DO36" s="435" t="str">
        <f t="shared" ref="DO36:DO67" si="415">IF(AND($E36="capital",$J36="Futuro",$T36="",$S36&gt;0),$S36,IF(AND($E36="capital",$J36="Futuro",$T36&gt;=0,$S36&gt;0),$S36,IF(AND($E36="capital",$J36="Futuro",$T36&lt;=0,$S36&gt;0),$S36,"")))</f>
        <v/>
      </c>
      <c r="DP36" s="435" t="str">
        <f t="shared" ref="DP36:DP67" si="416">IF(AND($E36="custeio",$J36="Futuro",$S36="",$T36&gt;0),$T36,IF(AND($E36="custeio",$J36="Futuro",$S36&gt;=0,$T36&gt;0),$T36,IF(AND($E36="custeio",$J36="Futuro",$S36&lt;=0,$T36&gt;0),$T36,"")))</f>
        <v/>
      </c>
      <c r="DQ36" s="435" t="str">
        <f t="shared" si="48"/>
        <v/>
      </c>
      <c r="DR36" s="435" t="str">
        <f t="shared" si="49"/>
        <v/>
      </c>
      <c r="DS36" s="435" t="str">
        <f t="shared" ref="DS36:DS67" si="417">IF(AND($E36="capital",$J36="Rolê",$T36="",$S36&gt;0),$S36,IF(AND($E36="capital",$J36="Rolê",$T36&gt;=0,$S36&gt;0),$S36,IF(AND($E36="capital",$J36="Rolê",$T36&lt;=0,$S36&gt;0),$S36,"")))</f>
        <v/>
      </c>
      <c r="DT36" s="435" t="str">
        <f t="shared" ref="DT36:DT67" si="418">IF(AND($E36="custeio",$J36="Rolê",$S36="",$T36&gt;0),$T36,IF(AND($E36="custeio",$J36="Rolê",$S36&gt;=0,$T36&gt;0),$T36,IF(AND($E36="custeio",$J36="Rolê",$S36&lt;=0,$T36&gt;0),$T36,"")))</f>
        <v/>
      </c>
      <c r="DU36" s="435" t="str">
        <f t="shared" si="50"/>
        <v/>
      </c>
      <c r="DV36" s="435" t="str">
        <f t="shared" si="51"/>
        <v/>
      </c>
      <c r="DW36" s="435" t="str">
        <f t="shared" ref="DW36:DW67" si="419">IF(AND($E36="capital",$J36="Imprensa",$T36="",$S36&gt;0),$S36,IF(AND($E36="capital",$J36="Imprensa",$T36&gt;=0,$S36&gt;0),$S36,IF(AND($E36="capital",$J36="Imprensa",$T36&lt;=0,$S36&gt;0),$S36,"")))</f>
        <v/>
      </c>
      <c r="DX36" s="435" t="str">
        <f t="shared" ref="DX36:DX67" si="420">IF(AND($E36="custeio",$J36="Imprensa",$S36="",$T36&gt;0),$T36,IF(AND($E36="custeio",$J36="Imprensa",$S36&gt;=0,$T36&gt;0),$T36,IF(AND($E36="custeio",$J36="Imprensa",$S36&lt;=0,$T36&gt;0),$T36,"")))</f>
        <v/>
      </c>
      <c r="DY36" s="435" t="str">
        <f t="shared" si="52"/>
        <v/>
      </c>
      <c r="DZ36" s="435" t="str">
        <f t="shared" si="53"/>
        <v/>
      </c>
      <c r="EA36" s="435" t="str">
        <f t="shared" ref="EA36:EA67" si="421">IF(AND($E36="capital",$J36="Grêmio",$T36="",$S36&gt;0),$S36,IF(AND($E36="capital",$J36="Grêmio",$T36&gt;=0,$S36&gt;0),$S36,IF(AND($E36="capital",$J36="Grêmio",$T36&lt;=0,$S36&gt;0),$S36,"")))</f>
        <v/>
      </c>
      <c r="EB36" s="435" t="str">
        <f t="shared" ref="EB36:EB67" si="422">IF(AND($E36="custeio",$J36="Grêmio",$S36="",$T36&gt;0),$T36,IF(AND($E36="custeio",$J36="Grêmio",$S36&gt;=0,$T36&gt;0),$T36,IF(AND($E36="custeio",$J36="Grêmio",$S36&lt;=0,$T36&gt;0),$T36,"")))</f>
        <v/>
      </c>
      <c r="EC36" s="435" t="str">
        <f t="shared" ref="EC36:EC67" si="423">IF(AND($E36="Capital",$J36="Formação",$S36&gt;=0.01),$EA$2,"")</f>
        <v/>
      </c>
      <c r="ED36" s="435" t="str">
        <f t="shared" ref="ED36:ED67" si="424">IF(AND($E36="Custeio",$J36="Formação",$T36&gt;=0.01),$EA$3,"")</f>
        <v/>
      </c>
      <c r="EE36" s="435" t="str">
        <f t="shared" ref="EE36:EE67" si="425">IF(AND($E36="capital",$J36="Formação",$T36="",$S36&gt;0),$S36,IF(AND($E36="capital",$J36="Formação",$T36&gt;=0,$S36&gt;0),$S36,IF(AND($E36="capital",$J36="Formação",$T36&lt;=0,$S36&gt;0),$S36,"")))</f>
        <v/>
      </c>
      <c r="EF36" s="435" t="str">
        <f t="shared" ref="EF36:EF67" si="426">IF(AND($E36="custeio",$J36="Formação",$S36="",$T36&gt;0),$T36,IF(AND($E36="custeio",$J36="Formação",$S36&gt;=0,$T36&gt;0),$T36,IF(AND($E36="custeio",$J36="Formação",$S36&lt;=0,$T36&gt;0),$T36,"")))</f>
        <v/>
      </c>
      <c r="EG36" s="435" t="str">
        <f t="shared" ref="EG36:EG67" si="427">IF(AND($E36="Capital",$J36="Mais Escola",$S36&gt;=0.01),$EA$2,"")</f>
        <v/>
      </c>
      <c r="EH36" s="435" t="str">
        <f t="shared" ref="EH36:EH67" si="428">IF(AND($E36="Custeio",$J36="Mais Escola",$T36&gt;=0.01),$EA$3,"")</f>
        <v/>
      </c>
      <c r="EI36" s="435" t="str">
        <f t="shared" ref="EI36:EI67" si="429">IF(AND($E36="capital",$J36="Mais Escola",$T36="",$S36&gt;0),$S36,IF(AND($E36="capital",$J36="Mais Escola",$T36&gt;=0,$S36&gt;0),$S36,IF(AND($E36="capital",$J36="Mais Escola",$T36&lt;=0,$S36&gt;0),$S36,"")))</f>
        <v/>
      </c>
      <c r="EJ36" s="435" t="str">
        <f t="shared" ref="EJ36:EJ67" si="430">IF(AND($E36="custeio",$J36="Mais Escola",$S36="",$T36&gt;0),$T36,IF(AND($E36="custeio",$J36="Mais Escola",$S36&gt;=0,$T36&gt;0),$T36,IF(AND($E36="custeio",$J36="Mais Escola",$S36&lt;=0,$T36&gt;0),$T36,"")))</f>
        <v/>
      </c>
      <c r="EK36" s="485"/>
      <c r="EL36" s="485"/>
      <c r="EM36" s="485"/>
      <c r="EN36" s="485"/>
      <c r="EO36" s="448"/>
      <c r="EP36" s="448"/>
      <c r="EQ36" s="448"/>
      <c r="ER36" s="448"/>
      <c r="ES36" s="448"/>
      <c r="ET36" s="435"/>
      <c r="EU36" s="435"/>
      <c r="EV36" s="435"/>
      <c r="EW36" s="435"/>
      <c r="EX36" s="426"/>
      <c r="EY36" s="426"/>
      <c r="EZ36" s="426"/>
      <c r="FA36" s="427"/>
      <c r="FB36" s="427">
        <f t="array" ref="FB36">IF(SUM((FA36=$FA$3:FA35)*1)=0,FA36,0)</f>
        <v>0</v>
      </c>
      <c r="FC36" s="427"/>
      <c r="FD36" s="427"/>
      <c r="FE36" s="427">
        <f t="array" ref="FE36">IF(SUM((FD36=$FD$3:FD35)*1)=0,FD36,0)</f>
        <v>0</v>
      </c>
      <c r="FF36" s="427"/>
      <c r="FG36" s="427"/>
      <c r="FH36" s="427"/>
      <c r="FI36" s="427">
        <f t="array" ref="FI36">IF(SUM((FH36=$FH$3:FH35)*1)=0,FH36,0)</f>
        <v>0</v>
      </c>
      <c r="FJ36" s="427"/>
      <c r="FK36" s="427"/>
      <c r="FL36" s="427">
        <f t="array" ref="FL36">IF(SUM((FK36=$FK$3:FK35)*1)=0,FK36,0)</f>
        <v>0</v>
      </c>
      <c r="FM36" s="427"/>
      <c r="FN36" s="427"/>
      <c r="FO36" s="427"/>
      <c r="FP36" s="427">
        <f t="array" ref="FP36">IF(SUM((FO36=$FO$3:FO35)*1)=0,FO36,0)</f>
        <v>0</v>
      </c>
      <c r="FQ36" s="427"/>
      <c r="FR36" s="427"/>
      <c r="FS36" s="427">
        <f t="array" ref="FS36">IF(SUM((FR36=$FR$3:FR35)*1)=0,FR36,0)</f>
        <v>0</v>
      </c>
      <c r="FT36" s="427"/>
      <c r="FU36" s="427"/>
      <c r="FV36" s="427"/>
      <c r="FW36" s="427">
        <f t="array" ref="FW36">IF(SUM((FV36=$FV$3:FV35)*1)=0,FV36,0)</f>
        <v>0</v>
      </c>
      <c r="FX36" s="427"/>
      <c r="FY36" s="427"/>
      <c r="FZ36" s="427">
        <f t="array" ref="FZ36">IF(SUM((FY36=$FY$3:FY35)*1)=0,FY36,0)</f>
        <v>0</v>
      </c>
      <c r="GA36" s="427"/>
      <c r="GB36" s="427"/>
      <c r="GC36" s="427"/>
      <c r="GD36" s="427">
        <f t="array" ref="GD36">IF(SUM((GC36=$GC$3:GC35)*1)=0,GC36,0)</f>
        <v>0</v>
      </c>
      <c r="GE36" s="427"/>
      <c r="GF36" s="427"/>
      <c r="GG36" s="427">
        <f t="array" ref="GG36">IF(SUM((GF36=$GF$3:GF35)*1)=0,GF36,0)</f>
        <v>0</v>
      </c>
      <c r="GH36" s="427"/>
      <c r="GI36" s="427"/>
      <c r="GJ36" s="427"/>
      <c r="GK36" s="798">
        <f t="array" ref="GK36">IF(SUM((GJ36=$GJ$3:GJ35)*1)=0,GJ36,0)</f>
        <v>0</v>
      </c>
      <c r="GL36" s="427"/>
      <c r="GM36" s="427"/>
      <c r="GN36" s="798">
        <f t="array" ref="GN36">IF(SUM((GM36=$GM$3:GM35)*1)=0,GM36,0)</f>
        <v>0</v>
      </c>
      <c r="GO36" s="427"/>
      <c r="GP36" s="427"/>
      <c r="GQ36" s="427"/>
      <c r="GR36" s="798">
        <f t="array" ref="GR36">IF(SUM((GQ36=$GQ$3:GQ35)*1)=0,GQ36,0)</f>
        <v>0</v>
      </c>
      <c r="GS36" s="427"/>
      <c r="GT36" s="427"/>
      <c r="GU36" s="798">
        <f t="array" ref="GU36">IF(SUM((GT36=$GT$3:GT35)*1)=0,GT36,0)</f>
        <v>0</v>
      </c>
      <c r="GV36" s="427"/>
      <c r="GW36" s="427"/>
      <c r="GX36" s="427"/>
      <c r="GY36" s="798">
        <f t="array" ref="GY36">IF(SUM((GX36=$GX$3:GX35)*1)=0,GX36,0)</f>
        <v>0</v>
      </c>
      <c r="GZ36" s="427"/>
      <c r="HA36" s="427"/>
      <c r="HB36" s="798">
        <f t="array" ref="HB36">IF(SUM((HA36=$HA$3:HA35)*1)=0,HA36,0)</f>
        <v>0</v>
      </c>
      <c r="HC36" s="427"/>
      <c r="HD36" s="427"/>
      <c r="HE36" s="769" t="str">
        <f t="shared" si="130"/>
        <v/>
      </c>
      <c r="HF36" s="768" t="str">
        <f t="shared" ref="HF36" si="431">IF(HE36&lt;0,"Invadiu REP-BA-C","")</f>
        <v/>
      </c>
      <c r="HG36" s="769" t="str">
        <f t="shared" si="131"/>
        <v/>
      </c>
      <c r="HH36" s="768" t="str">
        <f t="shared" si="55"/>
        <v/>
      </c>
      <c r="HI36" s="728" t="str">
        <f t="shared" si="132"/>
        <v/>
      </c>
      <c r="HJ36" s="768" t="str">
        <f t="shared" si="56"/>
        <v/>
      </c>
      <c r="HK36" s="728" t="str">
        <f t="shared" si="133"/>
        <v/>
      </c>
      <c r="HL36" s="768" t="str">
        <f t="shared" si="57"/>
        <v/>
      </c>
      <c r="HM36" s="769" t="str">
        <f t="shared" si="58"/>
        <v/>
      </c>
      <c r="HN36" s="768" t="str">
        <f t="shared" ref="HN36" si="432">IF(HM36&lt;0,"Invadiu REP-BA-C","")</f>
        <v/>
      </c>
      <c r="HO36" s="769" t="str">
        <f t="shared" si="60"/>
        <v/>
      </c>
      <c r="HP36" s="768" t="str">
        <f t="shared" si="61"/>
        <v/>
      </c>
      <c r="HQ36" s="728" t="str">
        <f t="shared" si="62"/>
        <v/>
      </c>
      <c r="HR36" s="768" t="str">
        <f t="shared" si="63"/>
        <v/>
      </c>
      <c r="HS36" s="728" t="str">
        <f t="shared" si="64"/>
        <v/>
      </c>
      <c r="HT36" s="768" t="str">
        <f t="shared" si="65"/>
        <v/>
      </c>
      <c r="HU36" s="769" t="str">
        <f t="shared" si="66"/>
        <v/>
      </c>
      <c r="HV36" s="768" t="str">
        <f t="shared" ref="HV36" si="433">IF(HU36&lt;0,"Invadiu REP-BA-C","")</f>
        <v/>
      </c>
      <c r="HW36" s="769" t="str">
        <f t="shared" si="68"/>
        <v/>
      </c>
      <c r="HX36" s="768" t="str">
        <f t="shared" si="69"/>
        <v/>
      </c>
      <c r="HY36" s="728" t="str">
        <f t="shared" si="70"/>
        <v/>
      </c>
      <c r="HZ36" s="768" t="str">
        <f t="shared" si="71"/>
        <v/>
      </c>
      <c r="IA36" s="728" t="str">
        <f t="shared" si="72"/>
        <v/>
      </c>
      <c r="IB36" s="768" t="str">
        <f t="shared" si="73"/>
        <v/>
      </c>
      <c r="IC36" s="769" t="str">
        <f t="shared" si="74"/>
        <v/>
      </c>
      <c r="ID36" s="768" t="str">
        <f t="shared" ref="ID36" si="434">IF(IC36&lt;0,"Invadiu REP-BA-C","")</f>
        <v/>
      </c>
      <c r="IE36" s="769" t="str">
        <f t="shared" si="76"/>
        <v/>
      </c>
      <c r="IF36" s="768" t="str">
        <f t="shared" si="77"/>
        <v/>
      </c>
      <c r="IG36" s="728" t="str">
        <f t="shared" si="78"/>
        <v/>
      </c>
      <c r="IH36" s="768" t="str">
        <f t="shared" si="79"/>
        <v/>
      </c>
      <c r="II36" s="728" t="str">
        <f t="shared" si="80"/>
        <v/>
      </c>
      <c r="IJ36" s="768" t="str">
        <f t="shared" si="81"/>
        <v/>
      </c>
      <c r="IK36" s="769" t="str">
        <f t="shared" si="82"/>
        <v/>
      </c>
      <c r="IL36" s="768" t="str">
        <f t="shared" ref="IL36" si="435">IF(IK36&lt;0,"Invadiu REP-BA-C","")</f>
        <v/>
      </c>
      <c r="IM36" s="769" t="str">
        <f t="shared" si="84"/>
        <v/>
      </c>
      <c r="IN36" s="768" t="str">
        <f t="shared" si="85"/>
        <v/>
      </c>
      <c r="IO36" s="728" t="str">
        <f t="shared" si="86"/>
        <v/>
      </c>
      <c r="IP36" s="768" t="str">
        <f t="shared" si="87"/>
        <v/>
      </c>
      <c r="IQ36" s="728" t="str">
        <f t="shared" si="88"/>
        <v/>
      </c>
      <c r="IR36" s="768" t="str">
        <f t="shared" si="89"/>
        <v/>
      </c>
      <c r="IS36" s="769" t="str">
        <f t="shared" si="90"/>
        <v/>
      </c>
      <c r="IT36" s="768" t="str">
        <f t="shared" ref="IT36" si="436">IF(IS36&lt;0,"Invadiu REP-BA-C","")</f>
        <v/>
      </c>
      <c r="IU36" s="769" t="str">
        <f t="shared" si="92"/>
        <v/>
      </c>
      <c r="IV36" s="768" t="str">
        <f t="shared" si="93"/>
        <v/>
      </c>
      <c r="IW36" s="728" t="str">
        <f t="shared" si="94"/>
        <v/>
      </c>
      <c r="IX36" s="768" t="str">
        <f t="shared" si="95"/>
        <v/>
      </c>
      <c r="IY36" s="728" t="str">
        <f t="shared" si="96"/>
        <v/>
      </c>
      <c r="IZ36" s="768" t="str">
        <f t="shared" si="97"/>
        <v/>
      </c>
      <c r="JA36" s="769" t="str">
        <f t="shared" si="98"/>
        <v/>
      </c>
      <c r="JB36" s="768" t="str">
        <f t="shared" ref="JB36" si="437">IF(JA36&lt;0,"Invadiu REP-BA-C","")</f>
        <v/>
      </c>
      <c r="JC36" s="769" t="str">
        <f t="shared" si="100"/>
        <v/>
      </c>
      <c r="JD36" s="768" t="str">
        <f t="shared" si="101"/>
        <v/>
      </c>
      <c r="JE36" s="728" t="str">
        <f t="shared" si="102"/>
        <v/>
      </c>
      <c r="JF36" s="768" t="str">
        <f t="shared" si="103"/>
        <v/>
      </c>
      <c r="JG36" s="728" t="str">
        <f t="shared" si="104"/>
        <v/>
      </c>
      <c r="JH36" s="768" t="str">
        <f t="shared" si="105"/>
        <v/>
      </c>
      <c r="JI36" s="769" t="str">
        <f t="shared" si="106"/>
        <v/>
      </c>
      <c r="JJ36" s="768" t="str">
        <f t="shared" ref="JJ36" si="438">IF(JI36&lt;0,"Invadiu REP-BA-C","")</f>
        <v/>
      </c>
      <c r="JK36" s="769" t="str">
        <f t="shared" si="108"/>
        <v/>
      </c>
      <c r="JL36" s="768" t="str">
        <f t="shared" si="109"/>
        <v/>
      </c>
      <c r="JM36" s="728" t="str">
        <f t="shared" si="110"/>
        <v/>
      </c>
      <c r="JN36" s="768" t="str">
        <f t="shared" si="111"/>
        <v/>
      </c>
      <c r="JO36" s="728" t="str">
        <f t="shared" si="112"/>
        <v/>
      </c>
      <c r="JP36" s="768" t="str">
        <f t="shared" si="113"/>
        <v/>
      </c>
      <c r="JQ36" s="769" t="str">
        <f t="shared" si="114"/>
        <v/>
      </c>
      <c r="JR36" s="768" t="str">
        <f t="shared" ref="JR36" si="439">IF(JQ36&lt;0,"Invadiu REP-BA-C","")</f>
        <v/>
      </c>
      <c r="JS36" s="769" t="str">
        <f t="shared" si="116"/>
        <v/>
      </c>
      <c r="JT36" s="768" t="str">
        <f t="shared" si="117"/>
        <v/>
      </c>
      <c r="JU36" s="728" t="str">
        <f t="shared" si="118"/>
        <v/>
      </c>
      <c r="JV36" s="768" t="str">
        <f t="shared" si="119"/>
        <v/>
      </c>
      <c r="JW36" s="728" t="str">
        <f t="shared" si="120"/>
        <v/>
      </c>
      <c r="JX36" s="768" t="str">
        <f t="shared" si="121"/>
        <v/>
      </c>
      <c r="JY36" s="768" t="str">
        <f t="shared" si="122"/>
        <v/>
      </c>
      <c r="JZ36" s="485" t="str">
        <f>IF(JY36="","",IF(AND(C36=$C$164,JY36&lt;&gt;""),Verificarcpf(D36),IF(AND(C36=$C$165,JY36&lt;&gt;""),VerificarCNPJ(D36))))</f>
        <v/>
      </c>
      <c r="KA36" s="768" t="str">
        <f t="shared" si="123"/>
        <v/>
      </c>
      <c r="KB36" s="485">
        <f t="shared" si="124"/>
        <v>0</v>
      </c>
      <c r="KC36" s="768">
        <f t="shared" si="125"/>
        <v>0</v>
      </c>
      <c r="KD36" s="485">
        <f t="shared" si="126"/>
        <v>0</v>
      </c>
      <c r="KE36" s="448"/>
      <c r="KF36" s="548"/>
      <c r="KG36" s="548"/>
      <c r="KH36" s="548"/>
      <c r="KI36" s="548"/>
      <c r="KJ36" s="548" t="str">
        <f t="shared" si="128"/>
        <v/>
      </c>
      <c r="KK36" s="548"/>
      <c r="KL36" s="548"/>
      <c r="KM36" s="548">
        <f t="array" ref="KM36">IF(SUM((KL36=$KL$3:KL35)*1)=0,KL36,0)</f>
        <v>0</v>
      </c>
      <c r="KN36" s="548"/>
      <c r="KO36" s="548"/>
      <c r="KP36" s="548"/>
      <c r="KQ36" s="548"/>
      <c r="KR36" s="548" t="str">
        <f t="shared" si="129"/>
        <v/>
      </c>
      <c r="KS36" s="548"/>
      <c r="KT36" s="548"/>
      <c r="KU36" s="548"/>
      <c r="KV36" s="548"/>
      <c r="KW36" s="548"/>
      <c r="KX36" s="548"/>
      <c r="KY36" s="548"/>
      <c r="KZ36" s="548"/>
      <c r="LA36" s="548"/>
      <c r="LB36" s="548"/>
      <c r="LC36" s="485" t="str">
        <f t="shared" si="142"/>
        <v/>
      </c>
      <c r="LD36" s="548"/>
      <c r="LE36" s="548"/>
      <c r="LF36" s="548"/>
      <c r="LG36" s="548"/>
      <c r="LH36" s="548"/>
      <c r="LI36" s="548"/>
      <c r="LJ36" s="548"/>
      <c r="LK36" s="548"/>
      <c r="LL36" s="548"/>
      <c r="LM36" s="548"/>
      <c r="LN36" s="548"/>
      <c r="LO36" s="548"/>
      <c r="LP36" s="485" t="str">
        <f t="shared" si="143"/>
        <v/>
      </c>
      <c r="LQ36" s="548"/>
      <c r="LR36" s="548"/>
      <c r="LS36" s="548"/>
      <c r="LT36" s="548"/>
      <c r="LU36" s="548"/>
      <c r="LV36" s="548"/>
      <c r="LW36" s="548"/>
      <c r="LX36" s="548"/>
      <c r="LY36" s="548"/>
      <c r="LZ36" s="548"/>
      <c r="MA36" s="548"/>
      <c r="MB36" s="548"/>
      <c r="MC36" s="485" t="str">
        <f t="shared" si="144"/>
        <v/>
      </c>
      <c r="MD36" s="548"/>
      <c r="ME36" s="548"/>
      <c r="MF36" s="548"/>
      <c r="MG36" s="548"/>
      <c r="MH36" s="548"/>
      <c r="MI36" s="548"/>
      <c r="MJ36" s="548"/>
      <c r="MK36" s="548"/>
      <c r="ML36" s="548"/>
      <c r="MM36" s="548"/>
      <c r="MN36" s="548"/>
      <c r="MO36" s="548"/>
      <c r="MP36" s="485" t="str">
        <f t="shared" si="145"/>
        <v/>
      </c>
      <c r="MQ36" s="548"/>
      <c r="MR36" s="548"/>
      <c r="MS36" s="548"/>
      <c r="MT36" s="548"/>
      <c r="MU36" s="548"/>
      <c r="MV36" s="548"/>
      <c r="MW36" s="548"/>
      <c r="MX36" s="548"/>
      <c r="MY36" s="548"/>
      <c r="MZ36" s="548"/>
      <c r="NA36" s="548"/>
      <c r="NB36" s="548"/>
      <c r="NC36" s="485" t="str">
        <f t="shared" si="146"/>
        <v/>
      </c>
      <c r="ND36" s="548"/>
      <c r="NE36" s="548"/>
      <c r="NF36" s="548"/>
      <c r="NG36" s="548"/>
      <c r="NH36" s="548"/>
      <c r="NI36" s="548"/>
      <c r="NJ36" s="548"/>
      <c r="NK36" s="548"/>
      <c r="NL36" s="548"/>
      <c r="NM36" s="548"/>
      <c r="NN36" s="548"/>
      <c r="NO36" s="548"/>
      <c r="NP36" s="485" t="str">
        <f t="shared" si="147"/>
        <v/>
      </c>
      <c r="NQ36" s="548"/>
      <c r="NR36" s="548"/>
      <c r="NS36" s="548"/>
      <c r="NT36" s="548"/>
      <c r="NU36" s="548"/>
      <c r="NV36" s="548"/>
      <c r="NW36" s="548"/>
      <c r="NX36" s="548"/>
      <c r="NY36" s="548"/>
      <c r="NZ36" s="548"/>
      <c r="OA36" s="548"/>
      <c r="OB36" s="548"/>
      <c r="OC36" s="485" t="str">
        <f t="shared" si="148"/>
        <v/>
      </c>
      <c r="OD36" s="548"/>
      <c r="OE36" s="548"/>
      <c r="OF36" s="548"/>
      <c r="OG36" s="548"/>
      <c r="OH36" s="548"/>
      <c r="OI36" s="548"/>
      <c r="OJ36" s="548"/>
      <c r="OK36" s="548"/>
      <c r="OL36" s="548"/>
      <c r="OM36" s="548"/>
      <c r="ON36" s="548"/>
      <c r="OO36" s="548"/>
      <c r="OP36" s="548"/>
      <c r="OQ36" s="548"/>
      <c r="OR36" s="548"/>
      <c r="OS36" s="548"/>
      <c r="OT36" s="548"/>
      <c r="OU36" s="548"/>
      <c r="OV36" s="548"/>
      <c r="OW36" s="548"/>
      <c r="OX36" s="548"/>
      <c r="OY36" s="548"/>
      <c r="OZ36" s="548"/>
      <c r="PA36" s="548"/>
      <c r="PB36" s="548"/>
      <c r="PC36" s="548"/>
      <c r="PD36" s="548"/>
      <c r="PE36" s="548"/>
      <c r="PF36" s="548"/>
      <c r="PG36" s="548"/>
      <c r="PH36" s="548"/>
      <c r="PI36" s="548"/>
      <c r="PJ36" s="548"/>
      <c r="PK36" s="548"/>
      <c r="PL36" s="548"/>
      <c r="PM36" s="548"/>
      <c r="PN36" s="548"/>
      <c r="PO36" s="548"/>
      <c r="PP36" s="548"/>
      <c r="PQ36" s="548"/>
      <c r="PR36" s="548"/>
      <c r="PS36" s="548"/>
      <c r="PT36" s="548"/>
      <c r="PU36" s="548"/>
      <c r="PV36" s="548"/>
      <c r="PW36" s="548"/>
      <c r="PX36" s="548"/>
      <c r="PY36" s="548"/>
      <c r="PZ36" s="548"/>
      <c r="QA36" s="548"/>
      <c r="QB36" s="548"/>
      <c r="QC36" s="548"/>
      <c r="QD36" s="548"/>
      <c r="QE36" s="548"/>
      <c r="QF36" s="548"/>
      <c r="QG36" s="548"/>
      <c r="QH36" s="548"/>
      <c r="QI36" s="548"/>
      <c r="QJ36" s="548"/>
      <c r="QK36" s="548"/>
      <c r="QL36" s="548"/>
      <c r="QM36" s="548"/>
      <c r="QN36" s="548"/>
      <c r="QO36" s="548"/>
      <c r="QP36" s="548"/>
      <c r="QQ36" s="1009"/>
      <c r="QR36" s="548"/>
      <c r="QS36" s="548"/>
      <c r="QT36" s="548"/>
      <c r="QU36" s="548"/>
      <c r="QV36" s="548"/>
      <c r="QW36" s="548"/>
      <c r="QX36" s="548"/>
      <c r="QY36" s="548"/>
      <c r="QZ36" s="548"/>
      <c r="RA36" s="548"/>
      <c r="RB36" s="548"/>
      <c r="RC36" s="548"/>
      <c r="RD36" s="548"/>
      <c r="RE36" s="548"/>
      <c r="RF36" s="548"/>
      <c r="RG36" s="548"/>
      <c r="RH36" s="548"/>
      <c r="RI36" s="548"/>
      <c r="RJ36" s="548"/>
      <c r="RK36" s="548"/>
      <c r="RL36" s="548"/>
      <c r="RM36" s="548"/>
      <c r="RN36" s="548"/>
      <c r="RO36" s="548"/>
      <c r="RP36" s="548"/>
      <c r="RQ36" s="548"/>
      <c r="RR36" s="548"/>
      <c r="RS36" s="548"/>
      <c r="RT36" s="548"/>
      <c r="RU36" s="548"/>
      <c r="RV36" s="548"/>
      <c r="RW36" s="548"/>
      <c r="RX36" s="548"/>
      <c r="RY36" s="548"/>
      <c r="RZ36" s="548"/>
      <c r="SA36" s="548"/>
      <c r="SB36" s="548"/>
      <c r="SC36" s="548"/>
      <c r="SD36" s="548"/>
      <c r="SE36" s="548"/>
      <c r="SF36" s="548"/>
      <c r="SG36" s="548"/>
      <c r="SH36" s="548"/>
      <c r="SI36" s="548"/>
      <c r="SJ36" s="548"/>
      <c r="SK36" s="548"/>
      <c r="SL36" s="548"/>
      <c r="SM36" s="548"/>
      <c r="SN36" s="548"/>
      <c r="SO36" s="548"/>
      <c r="SP36" s="548"/>
      <c r="SQ36" s="548"/>
      <c r="SR36" s="548"/>
      <c r="SS36" s="548"/>
      <c r="ST36" s="548"/>
      <c r="SU36" s="548"/>
      <c r="SV36" s="548"/>
      <c r="SW36" s="548"/>
      <c r="SX36" s="548"/>
      <c r="SY36" s="548"/>
      <c r="SZ36" s="548"/>
      <c r="TA36" s="548"/>
      <c r="TB36" s="548"/>
      <c r="TC36" s="548"/>
      <c r="TD36" s="548"/>
      <c r="TE36" s="548"/>
      <c r="TF36" s="548"/>
      <c r="TG36" s="548"/>
      <c r="TH36" s="548"/>
      <c r="TI36" s="548"/>
      <c r="TJ36" s="548"/>
      <c r="TK36" s="548"/>
      <c r="TL36" s="548"/>
      <c r="TM36" s="548"/>
      <c r="TN36" s="548"/>
      <c r="TO36" s="548"/>
      <c r="TP36" s="548"/>
      <c r="TQ36" s="548"/>
      <c r="TR36" s="548"/>
      <c r="TS36" s="548"/>
      <c r="TT36" s="548"/>
      <c r="TU36" s="548"/>
      <c r="TV36" s="548"/>
      <c r="TW36" s="548"/>
      <c r="TX36" s="548"/>
      <c r="TY36" s="548"/>
      <c r="TZ36" s="548"/>
      <c r="UA36" s="548"/>
      <c r="UB36" s="548"/>
      <c r="UC36" s="548"/>
      <c r="UD36" s="548"/>
      <c r="UE36" s="548"/>
      <c r="UF36" s="548"/>
      <c r="UG36" s="548"/>
      <c r="UH36" s="548"/>
      <c r="UI36" s="548"/>
      <c r="UJ36" s="548"/>
      <c r="UK36" s="548"/>
      <c r="UL36" s="548"/>
      <c r="UM36" s="548"/>
      <c r="UN36" s="548"/>
      <c r="UO36" s="548"/>
      <c r="UP36" s="548"/>
      <c r="UQ36" s="548"/>
      <c r="UR36" s="548"/>
      <c r="US36" s="548"/>
      <c r="UT36" s="548"/>
      <c r="UU36" s="548"/>
      <c r="UV36" s="548"/>
      <c r="UW36" s="548"/>
      <c r="UX36" s="548"/>
      <c r="UY36" s="548"/>
      <c r="UZ36" s="548"/>
      <c r="VA36" s="548"/>
      <c r="VB36" s="548"/>
      <c r="VC36" s="548"/>
      <c r="VD36" s="548"/>
      <c r="VE36" s="548"/>
      <c r="VF36" s="548"/>
      <c r="VG36" s="548"/>
      <c r="VH36" s="548"/>
      <c r="VI36" s="548"/>
      <c r="VJ36" s="548"/>
      <c r="VK36" s="548"/>
      <c r="VL36" s="548"/>
      <c r="VM36" s="548"/>
      <c r="VN36" s="548"/>
      <c r="VO36" s="548"/>
      <c r="VP36" s="548"/>
      <c r="VQ36" s="548"/>
      <c r="VR36" s="548"/>
      <c r="VS36" s="548"/>
      <c r="VT36" s="548"/>
      <c r="VU36" s="548"/>
      <c r="VV36" s="548"/>
      <c r="VW36" s="548"/>
      <c r="VX36" s="548"/>
      <c r="VY36" s="548"/>
      <c r="VZ36" s="548"/>
      <c r="WA36" s="548"/>
      <c r="WB36" s="548"/>
      <c r="WC36" s="548"/>
      <c r="WD36" s="548"/>
      <c r="WE36" s="548"/>
      <c r="WF36" s="548"/>
      <c r="WG36" s="548"/>
      <c r="WH36" s="548"/>
      <c r="WI36" s="548"/>
      <c r="WJ36" s="548"/>
      <c r="WK36" s="548"/>
      <c r="WL36" s="548"/>
      <c r="WM36" s="548"/>
      <c r="WN36" s="548"/>
      <c r="WO36" s="548"/>
      <c r="WP36" s="548"/>
      <c r="WQ36" s="548"/>
      <c r="WR36" s="548"/>
      <c r="WS36" s="548"/>
      <c r="WT36" s="548"/>
      <c r="WU36" s="548"/>
      <c r="WV36" s="548"/>
      <c r="WW36" s="548"/>
      <c r="WX36" s="548"/>
      <c r="WY36" s="548"/>
      <c r="WZ36" s="548"/>
      <c r="XA36" s="548"/>
      <c r="XB36" s="548"/>
      <c r="XC36" s="548"/>
      <c r="XD36" s="548"/>
      <c r="XE36" s="548"/>
      <c r="XF36" s="548"/>
      <c r="XG36" s="548"/>
      <c r="XH36" s="548"/>
      <c r="XI36" s="548"/>
      <c r="XJ36" s="548"/>
      <c r="XK36" s="548"/>
      <c r="XL36" s="548"/>
      <c r="XM36" s="548"/>
      <c r="XN36" s="548"/>
      <c r="XO36" s="548"/>
      <c r="XP36" s="548"/>
      <c r="XQ36" s="548"/>
      <c r="XR36" s="548"/>
      <c r="XS36" s="548"/>
      <c r="XT36" s="548"/>
      <c r="XU36" s="548"/>
      <c r="XV36" s="548"/>
      <c r="XW36" s="548"/>
      <c r="XX36" s="548"/>
      <c r="XY36" s="548"/>
      <c r="XZ36" s="548"/>
      <c r="YA36" s="548"/>
      <c r="YB36" s="548"/>
      <c r="YC36" s="548"/>
      <c r="YD36" s="548"/>
      <c r="YE36" s="548"/>
      <c r="YF36" s="548"/>
      <c r="YG36" s="548"/>
      <c r="YH36" s="548"/>
      <c r="YI36" s="548"/>
      <c r="YJ36" s="548"/>
      <c r="YK36" s="548"/>
      <c r="YL36" s="548"/>
      <c r="YM36" s="548"/>
      <c r="YN36" s="548"/>
      <c r="YO36" s="548"/>
      <c r="YP36" s="548"/>
      <c r="YQ36" s="548"/>
      <c r="YR36" s="548"/>
      <c r="YS36" s="548"/>
      <c r="YT36" s="548"/>
      <c r="YU36" s="548"/>
      <c r="YV36" s="548"/>
      <c r="YW36" s="548"/>
      <c r="YX36" s="548"/>
      <c r="YY36" s="548"/>
      <c r="YZ36" s="548"/>
      <c r="ZA36" s="548"/>
      <c r="ZB36" s="548"/>
      <c r="ZC36" s="548"/>
      <c r="ZD36" s="548"/>
      <c r="ZE36" s="548"/>
      <c r="ZF36" s="548"/>
      <c r="ZG36" s="548"/>
      <c r="ZH36" s="548"/>
      <c r="ZI36" s="548"/>
      <c r="ZJ36" s="548"/>
      <c r="ZK36" s="548"/>
      <c r="ZL36" s="548"/>
      <c r="ZM36" s="548"/>
      <c r="ZN36" s="548"/>
      <c r="ZO36" s="548"/>
      <c r="ZP36" s="548"/>
      <c r="ZQ36" s="548"/>
      <c r="ZR36" s="548"/>
      <c r="ZS36" s="548"/>
      <c r="ZT36" s="548"/>
      <c r="ZU36" s="548"/>
      <c r="ZV36" s="548"/>
      <c r="ZW36" s="548"/>
      <c r="ZX36" s="548"/>
      <c r="ZY36" s="548"/>
      <c r="ZZ36" s="548"/>
      <c r="AAA36" s="548"/>
      <c r="AAB36" s="548"/>
      <c r="AAC36" s="548"/>
      <c r="AAD36" s="548"/>
      <c r="AAE36" s="548"/>
      <c r="AAF36" s="548"/>
      <c r="AAG36" s="548"/>
      <c r="AAH36" s="548"/>
      <c r="AAI36" s="548"/>
      <c r="AAJ36" s="548"/>
      <c r="AAK36" s="548"/>
      <c r="AAL36" s="548"/>
      <c r="AAM36" s="548"/>
      <c r="AAN36" s="548"/>
      <c r="AAO36" s="548"/>
      <c r="AAP36" s="548"/>
      <c r="AAQ36" s="548"/>
      <c r="AAR36" s="548"/>
      <c r="AAS36" s="548"/>
      <c r="AAT36" s="548"/>
      <c r="AAU36" s="548"/>
      <c r="AAV36" s="548"/>
      <c r="AAW36" s="548"/>
      <c r="AAX36" s="548"/>
      <c r="AAY36" s="548"/>
      <c r="AAZ36" s="548"/>
      <c r="ABA36" s="548"/>
      <c r="ABB36" s="548"/>
      <c r="ABC36" s="548"/>
      <c r="ABD36" s="548"/>
      <c r="ABE36" s="548"/>
      <c r="ABF36" s="548"/>
      <c r="ABG36" s="548"/>
      <c r="ABH36" s="548"/>
      <c r="ABI36" s="548"/>
      <c r="ABJ36" s="548"/>
      <c r="ABK36" s="548"/>
      <c r="ABL36" s="548"/>
      <c r="ABM36" s="548"/>
      <c r="ABN36" s="548"/>
      <c r="ABO36" s="548"/>
      <c r="ABP36" s="548"/>
      <c r="ABQ36" s="548"/>
      <c r="ABR36" s="548"/>
      <c r="ABS36" s="548"/>
    </row>
    <row r="37" spans="1:747" customFormat="1" ht="15" customHeight="1" x14ac:dyDescent="0.2">
      <c r="A37" s="424" t="str">
        <f t="shared" si="149"/>
        <v/>
      </c>
      <c r="B37" s="415"/>
      <c r="C37" s="525"/>
      <c r="D37" s="750"/>
      <c r="E37" s="416" t="str">
        <f t="shared" si="393"/>
        <v/>
      </c>
      <c r="F37" s="527" t="str">
        <f t="shared" si="394"/>
        <v/>
      </c>
      <c r="G37" s="417"/>
      <c r="H37" s="583" t="str">
        <f t="shared" si="395"/>
        <v/>
      </c>
      <c r="I37" s="424"/>
      <c r="J37" s="749"/>
      <c r="K37" s="418"/>
      <c r="L37" s="419"/>
      <c r="M37" s="415"/>
      <c r="N37" s="420"/>
      <c r="O37" s="653"/>
      <c r="P37" s="561"/>
      <c r="Q37" s="422"/>
      <c r="R37" s="561" t="str">
        <f t="shared" si="396"/>
        <v/>
      </c>
      <c r="S37" s="664"/>
      <c r="T37" s="663"/>
      <c r="U37" s="580">
        <f t="shared" si="397"/>
        <v>0</v>
      </c>
      <c r="V37" s="418"/>
      <c r="W37" s="582" t="str">
        <f t="shared" si="398"/>
        <v/>
      </c>
      <c r="X37" s="479" t="str">
        <f t="shared" si="399"/>
        <v/>
      </c>
      <c r="Y37" s="582" t="str">
        <f t="shared" si="400"/>
        <v/>
      </c>
      <c r="Z37" s="317" t="str">
        <f t="shared" si="401"/>
        <v/>
      </c>
      <c r="AA37" s="317" t="str">
        <f t="shared" si="402"/>
        <v/>
      </c>
      <c r="AB37" s="317">
        <f t="shared" si="403"/>
        <v>0</v>
      </c>
      <c r="AC37" s="317" t="str">
        <f t="shared" si="404"/>
        <v/>
      </c>
      <c r="AD37" s="317"/>
      <c r="AE37" s="479"/>
      <c r="AF37" s="479"/>
      <c r="AG37" s="423"/>
      <c r="AH37" s="820"/>
      <c r="AI37" s="480"/>
      <c r="AJ37" s="660"/>
      <c r="AK37" s="524" t="str">
        <f t="shared" si="405"/>
        <v/>
      </c>
      <c r="AL37" s="719" t="str">
        <f>$AL$5</f>
        <v>itens de Despesas</v>
      </c>
      <c r="AM37" s="719" t="str">
        <f>$AM$5</f>
        <v>total pag. Mod. 2</v>
      </c>
      <c r="AN37" s="426">
        <f t="shared" si="406"/>
        <v>0</v>
      </c>
      <c r="AO37" s="427" t="str">
        <f t="shared" si="407"/>
        <v/>
      </c>
      <c r="AP37" s="426" t="str">
        <f t="shared" si="408"/>
        <v/>
      </c>
      <c r="AQ37" s="426"/>
      <c r="AR37" s="426"/>
      <c r="AS37" s="428"/>
      <c r="AT37" s="429"/>
      <c r="AU37" s="430"/>
      <c r="AV37" s="431"/>
      <c r="AW37" s="432"/>
      <c r="AX37" s="430"/>
      <c r="AY37" s="431">
        <f t="shared" si="409"/>
        <v>0</v>
      </c>
      <c r="AZ37" s="426"/>
      <c r="BA37" s="435" t="str">
        <f t="shared" si="410"/>
        <v/>
      </c>
      <c r="BB37" s="435"/>
      <c r="BC37" s="426"/>
      <c r="BD37" s="426">
        <f t="array" ref="BD37">IF(SUM((BC37=$BC$3:BC36)*1)=0,BC37,0)</f>
        <v>0</v>
      </c>
      <c r="BE37" s="426"/>
      <c r="BF37" s="426"/>
      <c r="BG37" s="426">
        <f t="array" ref="BG37">IF(SUM((BF37=$BF$3:BF36)*1)=0,BF37,0)</f>
        <v>0</v>
      </c>
      <c r="BH37" s="426"/>
      <c r="BI37" s="426"/>
      <c r="BJ37" s="426"/>
      <c r="BK37" s="426"/>
      <c r="BL37" s="426"/>
      <c r="BM37" s="426"/>
      <c r="BN37" s="426"/>
      <c r="BO37" s="426"/>
      <c r="BP37" s="433">
        <f t="shared" si="411"/>
        <v>0</v>
      </c>
      <c r="BQ37" s="435"/>
      <c r="BR37" s="492"/>
      <c r="BS37" s="435"/>
      <c r="BT37" s="491"/>
      <c r="BU37" s="435"/>
      <c r="BV37" s="435" t="str">
        <f t="shared" si="412"/>
        <v/>
      </c>
      <c r="BW37" s="435" t="str">
        <f t="shared" si="38"/>
        <v/>
      </c>
      <c r="BX37" s="435"/>
      <c r="BY37" s="435"/>
      <c r="BZ37" s="435"/>
      <c r="CA37" s="435"/>
      <c r="CB37" s="435"/>
      <c r="CC37" s="435"/>
      <c r="CD37" s="435"/>
      <c r="CE37" s="435"/>
      <c r="CF37" s="435"/>
      <c r="CG37" s="435"/>
      <c r="CH37" s="435"/>
      <c r="CI37" s="435"/>
      <c r="CJ37" s="426" t="str">
        <f t="shared" si="39"/>
        <v/>
      </c>
      <c r="CK37" s="435"/>
      <c r="CL37" s="426"/>
      <c r="CM37" s="435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>
        <v>34</v>
      </c>
      <c r="CZ37" s="426"/>
      <c r="DA37" s="426"/>
      <c r="DB37" s="426"/>
      <c r="DC37" s="426" t="s">
        <v>777</v>
      </c>
      <c r="DD37" s="426" t="s">
        <v>937</v>
      </c>
      <c r="DE37" s="435" t="str">
        <f t="shared" si="40"/>
        <v/>
      </c>
      <c r="DF37" s="435" t="str">
        <f t="shared" si="41"/>
        <v/>
      </c>
      <c r="DG37" s="435" t="str">
        <f t="shared" si="42"/>
        <v/>
      </c>
      <c r="DH37" s="435" t="str">
        <f t="shared" si="43"/>
        <v/>
      </c>
      <c r="DI37" s="435" t="str">
        <f t="shared" si="44"/>
        <v/>
      </c>
      <c r="DJ37" s="435" t="str">
        <f t="shared" si="45"/>
        <v/>
      </c>
      <c r="DK37" s="435" t="str">
        <f t="shared" si="413"/>
        <v/>
      </c>
      <c r="DL37" s="435" t="str">
        <f t="shared" si="414"/>
        <v/>
      </c>
      <c r="DM37" s="435" t="str">
        <f t="shared" si="46"/>
        <v/>
      </c>
      <c r="DN37" s="435" t="str">
        <f t="shared" si="47"/>
        <v/>
      </c>
      <c r="DO37" s="435" t="str">
        <f t="shared" si="415"/>
        <v/>
      </c>
      <c r="DP37" s="435" t="str">
        <f t="shared" si="416"/>
        <v/>
      </c>
      <c r="DQ37" s="435" t="str">
        <f t="shared" si="48"/>
        <v/>
      </c>
      <c r="DR37" s="435" t="str">
        <f t="shared" si="49"/>
        <v/>
      </c>
      <c r="DS37" s="435" t="str">
        <f t="shared" si="417"/>
        <v/>
      </c>
      <c r="DT37" s="435" t="str">
        <f t="shared" si="418"/>
        <v/>
      </c>
      <c r="DU37" s="435" t="str">
        <f t="shared" si="50"/>
        <v/>
      </c>
      <c r="DV37" s="435" t="str">
        <f t="shared" si="51"/>
        <v/>
      </c>
      <c r="DW37" s="435" t="str">
        <f t="shared" si="419"/>
        <v/>
      </c>
      <c r="DX37" s="435" t="str">
        <f t="shared" si="420"/>
        <v/>
      </c>
      <c r="DY37" s="435" t="str">
        <f t="shared" si="52"/>
        <v/>
      </c>
      <c r="DZ37" s="435" t="str">
        <f t="shared" si="53"/>
        <v/>
      </c>
      <c r="EA37" s="435" t="str">
        <f t="shared" si="421"/>
        <v/>
      </c>
      <c r="EB37" s="435" t="str">
        <f t="shared" si="422"/>
        <v/>
      </c>
      <c r="EC37" s="435" t="str">
        <f t="shared" si="423"/>
        <v/>
      </c>
      <c r="ED37" s="435" t="str">
        <f t="shared" si="424"/>
        <v/>
      </c>
      <c r="EE37" s="435" t="str">
        <f t="shared" si="425"/>
        <v/>
      </c>
      <c r="EF37" s="435" t="str">
        <f t="shared" si="426"/>
        <v/>
      </c>
      <c r="EG37" s="435" t="str">
        <f t="shared" si="427"/>
        <v/>
      </c>
      <c r="EH37" s="435" t="str">
        <f t="shared" si="428"/>
        <v/>
      </c>
      <c r="EI37" s="435" t="str">
        <f t="shared" si="429"/>
        <v/>
      </c>
      <c r="EJ37" s="435" t="str">
        <f t="shared" si="430"/>
        <v/>
      </c>
      <c r="EK37" s="485"/>
      <c r="EL37" s="485"/>
      <c r="EM37" s="485"/>
      <c r="EN37" s="485"/>
      <c r="EO37" s="448"/>
      <c r="EP37" s="448"/>
      <c r="EQ37" s="448"/>
      <c r="ER37" s="448"/>
      <c r="ES37" s="448"/>
      <c r="ET37" s="435"/>
      <c r="EU37" s="435"/>
      <c r="EV37" s="435"/>
      <c r="EW37" s="435"/>
      <c r="EX37" s="426"/>
      <c r="EY37" s="426"/>
      <c r="EZ37" s="426"/>
      <c r="FA37" s="427"/>
      <c r="FB37" s="427">
        <f t="array" ref="FB37">IF(SUM((FA37=$FA$3:FA36)*1)=0,FA37,0)</f>
        <v>0</v>
      </c>
      <c r="FC37" s="427"/>
      <c r="FD37" s="427"/>
      <c r="FE37" s="427">
        <f t="array" ref="FE37">IF(SUM((FD37=$FD$3:FD36)*1)=0,FD37,0)</f>
        <v>0</v>
      </c>
      <c r="FF37" s="427"/>
      <c r="FG37" s="427"/>
      <c r="FH37" s="427"/>
      <c r="FI37" s="427">
        <f t="array" ref="FI37">IF(SUM((FH37=$FH$3:FH36)*1)=0,FH37,0)</f>
        <v>0</v>
      </c>
      <c r="FJ37" s="427"/>
      <c r="FK37" s="427"/>
      <c r="FL37" s="427">
        <f t="array" ref="FL37">IF(SUM((FK37=$FK$3:FK36)*1)=0,FK37,0)</f>
        <v>0</v>
      </c>
      <c r="FM37" s="427"/>
      <c r="FN37" s="427"/>
      <c r="FO37" s="427"/>
      <c r="FP37" s="427">
        <f t="array" ref="FP37">IF(SUM((FO37=$FO$3:FO36)*1)=0,FO37,0)</f>
        <v>0</v>
      </c>
      <c r="FQ37" s="427"/>
      <c r="FR37" s="427"/>
      <c r="FS37" s="427">
        <f t="array" ref="FS37">IF(SUM((FR37=$FR$3:FR36)*1)=0,FR37,0)</f>
        <v>0</v>
      </c>
      <c r="FT37" s="427"/>
      <c r="FU37" s="427"/>
      <c r="FV37" s="427"/>
      <c r="FW37" s="427">
        <f t="array" ref="FW37">IF(SUM((FV37=$FV$3:FV36)*1)=0,FV37,0)</f>
        <v>0</v>
      </c>
      <c r="FX37" s="427"/>
      <c r="FY37" s="427"/>
      <c r="FZ37" s="427">
        <f t="array" ref="FZ37">IF(SUM((FY37=$FY$3:FY36)*1)=0,FY37,0)</f>
        <v>0</v>
      </c>
      <c r="GA37" s="427"/>
      <c r="GB37" s="427"/>
      <c r="GC37" s="427"/>
      <c r="GD37" s="427">
        <f t="array" ref="GD37">IF(SUM((GC37=$GC$3:GC36)*1)=0,GC37,0)</f>
        <v>0</v>
      </c>
      <c r="GE37" s="427"/>
      <c r="GF37" s="427"/>
      <c r="GG37" s="427">
        <f t="array" ref="GG37">IF(SUM((GF37=$GF$3:GF36)*1)=0,GF37,0)</f>
        <v>0</v>
      </c>
      <c r="GH37" s="427"/>
      <c r="GI37" s="427"/>
      <c r="GJ37" s="427"/>
      <c r="GK37" s="798">
        <f t="array" ref="GK37">IF(SUM((GJ37=$GJ$3:GJ36)*1)=0,GJ37,0)</f>
        <v>0</v>
      </c>
      <c r="GL37" s="427"/>
      <c r="GM37" s="427"/>
      <c r="GN37" s="798">
        <f t="array" ref="GN37">IF(SUM((GM37=$GM$3:GM36)*1)=0,GM37,0)</f>
        <v>0</v>
      </c>
      <c r="GO37" s="427"/>
      <c r="GP37" s="427"/>
      <c r="GQ37" s="427"/>
      <c r="GR37" s="798">
        <f t="array" ref="GR37">IF(SUM((GQ37=$GQ$3:GQ36)*1)=0,GQ37,0)</f>
        <v>0</v>
      </c>
      <c r="GS37" s="427"/>
      <c r="GT37" s="427"/>
      <c r="GU37" s="798">
        <f t="array" ref="GU37">IF(SUM((GT37=$GT$3:GT36)*1)=0,GT37,0)</f>
        <v>0</v>
      </c>
      <c r="GV37" s="427"/>
      <c r="GW37" s="427"/>
      <c r="GX37" s="427"/>
      <c r="GY37" s="798">
        <f t="array" ref="GY37">IF(SUM((GX37=$GX$3:GX36)*1)=0,GX37,0)</f>
        <v>0</v>
      </c>
      <c r="GZ37" s="427"/>
      <c r="HA37" s="427"/>
      <c r="HB37" s="798">
        <f t="array" ref="HB37">IF(SUM((HA37=$HA$3:HA36)*1)=0,HA37,0)</f>
        <v>0</v>
      </c>
      <c r="HC37" s="427"/>
      <c r="HD37" s="427"/>
      <c r="HE37" s="769" t="str">
        <f t="shared" si="130"/>
        <v/>
      </c>
      <c r="HF37" s="768" t="str">
        <f t="shared" ref="HF37" si="440">IF(HE37&lt;0,"Invadiu REP-BA-C","")</f>
        <v/>
      </c>
      <c r="HG37" s="769" t="str">
        <f t="shared" si="131"/>
        <v/>
      </c>
      <c r="HH37" s="768" t="str">
        <f t="shared" si="55"/>
        <v/>
      </c>
      <c r="HI37" s="728" t="str">
        <f t="shared" si="132"/>
        <v/>
      </c>
      <c r="HJ37" s="768" t="str">
        <f t="shared" si="56"/>
        <v/>
      </c>
      <c r="HK37" s="728" t="str">
        <f t="shared" si="133"/>
        <v/>
      </c>
      <c r="HL37" s="768" t="str">
        <f t="shared" si="57"/>
        <v/>
      </c>
      <c r="HM37" s="769" t="str">
        <f t="shared" ref="HM37:HM68" si="441">IFERROR(IF($A37="","",IF(HM$2=0,0,IF(AND($J37="Volta Aulas",$P37&lt;&gt;"",$R37&lt;$P$164,$S37&lt;&gt;""),(HM36-$S37),HM36))),"")</f>
        <v/>
      </c>
      <c r="HN37" s="768" t="str">
        <f t="shared" ref="HN37" si="442">IF(HM37&lt;0,"Invadiu REP-BA-C","")</f>
        <v/>
      </c>
      <c r="HO37" s="769" t="str">
        <f t="shared" ref="HO37:HO68" si="443">IFERROR(IF($A37="","",IF(HO$2=0,0,IF(AND($J37="Volta Aulas",$R37&lt;$P$164),HO36,IF(AND($J37="Volta Aulas",$R37&gt;=$P$164,HM37&lt;=0),(HO36-$S37),HO36)))),"")</f>
        <v/>
      </c>
      <c r="HP37" s="768" t="str">
        <f t="shared" si="61"/>
        <v/>
      </c>
      <c r="HQ37" s="728" t="str">
        <f t="shared" ref="HQ37:HQ68" si="444">IFERROR(IF($A37="","",IF(HQ$2=0,0,IF(AND($J37="Volta Aulas",$R37&lt;&gt;"",$T37&lt;&gt;""),(HQ36-$T37),HQ36))),"")</f>
        <v/>
      </c>
      <c r="HR37" s="768" t="str">
        <f t="shared" si="63"/>
        <v/>
      </c>
      <c r="HS37" s="728" t="str">
        <f t="shared" ref="HS37:HS68" si="445">IFERROR(IF($A37="","",IF(HS$2=0,0,IF(AND($J37="Volta Aulas",$R37&lt;$P$165),HS36,IF(AND($J37="Volta Aulas",$R37&gt;=$P$165,HQ37&lt;=0),(HS36-$T37),HS36)))),"")</f>
        <v/>
      </c>
      <c r="HT37" s="768" t="str">
        <f t="shared" si="65"/>
        <v/>
      </c>
      <c r="HU37" s="769" t="str">
        <f t="shared" ref="HU37:HU68" si="446">IFERROR(IF($A37="","",IF(HU$2=0,0,IF(AND($J37="Futuro",$P37&lt;&gt;"",$R37&lt;$P$164,$S37&lt;&gt;""),(HU36-$S37),HU36))),"")</f>
        <v/>
      </c>
      <c r="HV37" s="768" t="str">
        <f t="shared" ref="HV37" si="447">IF(HU37&lt;0,"Invadiu REP-BA-C","")</f>
        <v/>
      </c>
      <c r="HW37" s="769" t="str">
        <f t="shared" ref="HW37:HW68" si="448">IFERROR(IF($A37="","",IF(HW$2=0,0,IF(AND($J37="Futuro",$R37&lt;$P$164),HW36,IF(AND($J37="Futuro",$R37&gt;=$P$164,HU37&lt;=0),(HW36-$S37),HW36)))),"")</f>
        <v/>
      </c>
      <c r="HX37" s="768" t="str">
        <f t="shared" si="69"/>
        <v/>
      </c>
      <c r="HY37" s="728" t="str">
        <f t="shared" ref="HY37:HY68" si="449">IFERROR(IF($A37="","",IF(HY$2=0,0,IF(AND($J37="Futuro",$R37&lt;&gt;"",$T37&lt;&gt;""),(HY36-$T37),HY36))),"")</f>
        <v/>
      </c>
      <c r="HZ37" s="768" t="str">
        <f t="shared" si="71"/>
        <v/>
      </c>
      <c r="IA37" s="728" t="str">
        <f t="shared" ref="IA37:IA68" si="450">IFERROR(IF($A37="","",IF(IA$2=0,0,IF(AND($J37="Futuro",$R37&lt;$P$165),IA36,IF(AND($J37="Futuro",$R37&gt;=$P$165,HY37&lt;=0),(IA36-$T37),IA36)))),"")</f>
        <v/>
      </c>
      <c r="IB37" s="768" t="str">
        <f t="shared" si="73"/>
        <v/>
      </c>
      <c r="IC37" s="769" t="str">
        <f t="shared" ref="IC37:IC68" si="451">IFERROR(IF($A37="","",IF(IC$2=0,0,IF(AND($J37="Rolê",$P37&lt;&gt;"",$R37&lt;$P$164,$S37&lt;&gt;""),(IC36-$S37),IC36))),"")</f>
        <v/>
      </c>
      <c r="ID37" s="768" t="str">
        <f t="shared" ref="ID37" si="452">IF(IC37&lt;0,"Invadiu REP-BA-C","")</f>
        <v/>
      </c>
      <c r="IE37" s="769" t="str">
        <f t="shared" ref="IE37:IE68" si="453">IFERROR(IF($A37="","",IF(IE$2=0,0,IF(AND($J37="Rolê",$R37&lt;$P$164),IE36,IF(AND($J37="Rolê",$R37&gt;=$P$164,IC37&lt;=0),(IE36-$S37),IE36)))),"")</f>
        <v/>
      </c>
      <c r="IF37" s="768" t="str">
        <f t="shared" si="77"/>
        <v/>
      </c>
      <c r="IG37" s="728" t="str">
        <f t="shared" ref="IG37:IG68" si="454">IFERROR(IF($A37="","",IF(IG$2=0,0,IF(AND($J37="Rolê",$R37&lt;&gt;"",$T37&lt;&gt;""),(IG36-$T37),IG36))),"")</f>
        <v/>
      </c>
      <c r="IH37" s="768" t="str">
        <f t="shared" si="79"/>
        <v/>
      </c>
      <c r="II37" s="728" t="str">
        <f t="shared" ref="II37:II68" si="455">IFERROR(IF($A37="","",IF(II$2=0,0,IF(AND($J37="Rolê",$R37&lt;$P$165),II36,IF(AND($J37="Rolê",$R37&gt;=$P$165,IG37&lt;=0),(II36-$T37),II36)))),"")</f>
        <v/>
      </c>
      <c r="IJ37" s="768" t="str">
        <f t="shared" si="81"/>
        <v/>
      </c>
      <c r="IK37" s="769" t="str">
        <f t="shared" ref="IK37:IK68" si="456">IFERROR(IF($A37="","",IF(IK$2=0,0,IF(AND($J37="Imprensa",$P37&lt;&gt;"",$R37&lt;$P$164,$S37&lt;&gt;""),(IK36-$S37),IK36))),"")</f>
        <v/>
      </c>
      <c r="IL37" s="768" t="str">
        <f t="shared" ref="IL37" si="457">IF(IK37&lt;0,"Invadiu REP-BA-C","")</f>
        <v/>
      </c>
      <c r="IM37" s="769" t="str">
        <f t="shared" ref="IM37:IM68" si="458">IFERROR(IF($A37="","",IF(IM$2=0,0,IF(AND($J37="Imprensa",$R37&lt;$P$164),IM36,IF(AND($J37="Imprensa",$R37&gt;=$P$164,IK37&lt;=0),(IM36-$S37),IM36)))),"")</f>
        <v/>
      </c>
      <c r="IN37" s="768" t="str">
        <f t="shared" si="85"/>
        <v/>
      </c>
      <c r="IO37" s="728" t="str">
        <f t="shared" ref="IO37:IO68" si="459">IFERROR(IF($A37="","",IF(IO$2=0,0,IF(AND($J37="Imprensa",$R37&lt;&gt;"",$T37&lt;&gt;""),(IO36-$T37),IO36))),"")</f>
        <v/>
      </c>
      <c r="IP37" s="768" t="str">
        <f t="shared" si="87"/>
        <v/>
      </c>
      <c r="IQ37" s="728" t="str">
        <f t="shared" ref="IQ37:IQ68" si="460">IFERROR(IF($A37="","",IF(IQ$2=0,0,IF(AND($J37="Imprensa",$R37&lt;$P$165),IQ36,IF(AND($J37="Imprensa",$R37&gt;=$P$165,IO37&lt;=0),(IQ36-$T37),IQ36)))),"")</f>
        <v/>
      </c>
      <c r="IR37" s="768" t="str">
        <f t="shared" si="89"/>
        <v/>
      </c>
      <c r="IS37" s="769" t="str">
        <f t="shared" ref="IS37:IS68" si="461">IFERROR(IF($A37="","",IF(IS$2=0,0,IF(AND($J37="Grêmio",$P37&lt;&gt;"",$R37&lt;$P$164,$S37&lt;&gt;""),(IS36-$S37),IS36))),"")</f>
        <v/>
      </c>
      <c r="IT37" s="768" t="str">
        <f t="shared" ref="IT37" si="462">IF(IS37&lt;0,"Invadiu REP-BA-C","")</f>
        <v/>
      </c>
      <c r="IU37" s="769" t="str">
        <f t="shared" ref="IU37:IU68" si="463">IFERROR(IF($A37="","",IF(IU$2=0,0,IF(AND($J37="Grêmio",$R37&lt;$P$164),IU36,IF(AND($J37="Grêmio",$R37&gt;=$P$164,IS37&lt;=0),(IU36-$S37),IU36)))),"")</f>
        <v/>
      </c>
      <c r="IV37" s="768" t="str">
        <f t="shared" si="93"/>
        <v/>
      </c>
      <c r="IW37" s="728" t="str">
        <f t="shared" ref="IW37:IW68" si="464">IFERROR(IF($A37="","",IF(IW$2=0,0,IF(AND($J37="Grêmio",$R37&lt;&gt;"",$T37&lt;&gt;""),(IW36-$T37),IW36))),"")</f>
        <v/>
      </c>
      <c r="IX37" s="768" t="str">
        <f t="shared" si="95"/>
        <v/>
      </c>
      <c r="IY37" s="728" t="str">
        <f t="shared" ref="IY37:IY68" si="465">IFERROR(IF($A37="","",IF(IY$2=0,0,IF(AND($J37="Grêmio",$R37&lt;$P$165),IY36,IF(AND($J37="Grêmio",$R37&gt;=$P$165,IW37&lt;=0),(IY36-$T37),IY36)))),"")</f>
        <v/>
      </c>
      <c r="IZ37" s="768" t="str">
        <f t="shared" si="97"/>
        <v/>
      </c>
      <c r="JA37" s="769" t="str">
        <f t="shared" ref="JA37:JA68" si="466">IFERROR(IF($A37="","",IF(JA$2=0,0,IF(AND($J37="Formação",$P37&lt;&gt;"",$R37&lt;$P$164,$S37&lt;&gt;""),(JA36-$S37),JA36))),"")</f>
        <v/>
      </c>
      <c r="JB37" s="768" t="str">
        <f t="shared" ref="JB37" si="467">IF(JA37&lt;0,"Invadiu REP-BA-C","")</f>
        <v/>
      </c>
      <c r="JC37" s="769" t="str">
        <f t="shared" ref="JC37:JC68" si="468">IFERROR(IF($A37="","",IF(JC$2=0,0,IF(AND($J37="Formação",$R37&lt;$P$164),JC36,IF(AND($J37="Formação",$R37&gt;=$P$164,JA37&lt;=0),(JC36-$S37),JC36)))),"")</f>
        <v/>
      </c>
      <c r="JD37" s="768" t="str">
        <f t="shared" si="101"/>
        <v/>
      </c>
      <c r="JE37" s="728" t="str">
        <f t="shared" ref="JE37:JE68" si="469">IFERROR(IF($A37="","",IF(JE$2=0,0,IF(AND($J37="Formação",$R37&lt;&gt;"",$T37&lt;&gt;""),(JE36-$T37),JE36))),"")</f>
        <v/>
      </c>
      <c r="JF37" s="768" t="str">
        <f t="shared" si="103"/>
        <v/>
      </c>
      <c r="JG37" s="728" t="str">
        <f t="shared" ref="JG37:JG68" si="470">IFERROR(IF($A37="","",IF(JG$2=0,0,IF(AND($J37="Formação",$R37&lt;$P$165),JG36,IF(AND($J37="Formação",$R37&gt;=$P$165,JE37&lt;=0),(JG36-$T37),JG36)))),"")</f>
        <v/>
      </c>
      <c r="JH37" s="768" t="str">
        <f t="shared" si="105"/>
        <v/>
      </c>
      <c r="JI37" s="769" t="str">
        <f t="shared" ref="JI37:JI68" si="471">IFERROR(IF($A37="","",IF(JI$2=0,0,IF(AND($J37="Mais Escola",$P37&lt;&gt;"",$R37&lt;$P$164,$S37&lt;&gt;""),(JI36-$S37),JI36))),"")</f>
        <v/>
      </c>
      <c r="JJ37" s="768" t="str">
        <f t="shared" ref="JJ37" si="472">IF(JI37&lt;0,"Invadiu REP-BA-C","")</f>
        <v/>
      </c>
      <c r="JK37" s="769" t="str">
        <f t="shared" ref="JK37:JK68" si="473">IFERROR(IF($A37="","",IF(JK$2=0,0,IF(AND($J37="Mais Escola",$R37&lt;$P$164),JK36,IF(AND($J37="Mais Escola",$R37&gt;=$P$164,JI37&lt;=0),(JK36-$S37),JK36)))),"")</f>
        <v/>
      </c>
      <c r="JL37" s="768" t="str">
        <f t="shared" si="109"/>
        <v/>
      </c>
      <c r="JM37" s="728" t="str">
        <f t="shared" ref="JM37:JM68" si="474">IFERROR(IF($A37="","",IF(JM$2=0,0,IF(AND($J37="Mais Escola",$R37&lt;&gt;"",$T37&lt;&gt;""),(JM36-$T37),JM36))),"")</f>
        <v/>
      </c>
      <c r="JN37" s="768" t="str">
        <f t="shared" si="111"/>
        <v/>
      </c>
      <c r="JO37" s="728" t="str">
        <f t="shared" ref="JO37:JO68" si="475">IFERROR(IF($A37="","",IF(JO$2=0,0,IF(AND($J37="Mais Escola",$R37&lt;$P$165),JO36,IF(AND($J37="Mais Escola",$R37&gt;=$P$165,JM37&lt;=0),(JO36-$T37),JO36)))),"")</f>
        <v/>
      </c>
      <c r="JP37" s="768" t="str">
        <f t="shared" si="113"/>
        <v/>
      </c>
      <c r="JQ37" s="769" t="str">
        <f t="shared" ref="JQ37:JQ68" si="476">IFERROR(IF($A37="","",IF(JQ$2=0,0,IF(AND($J37="Livre Aplic.",$P37&lt;&gt;"",$R37&lt;$P$164,$S37&lt;&gt;""),(JQ36-$S37),JQ36))),"")</f>
        <v/>
      </c>
      <c r="JR37" s="768" t="str">
        <f t="shared" ref="JR37" si="477">IF(JQ37&lt;0,"Invadiu REP-BA-C","")</f>
        <v/>
      </c>
      <c r="JS37" s="769" t="str">
        <f t="shared" ref="JS37:JS68" si="478">IFERROR(IF($A37="","",IF(JS$2=0,0,IF(AND($J37="Livre Aplic.",$R37&lt;$P$164),JS36,IF(AND($J37="Livre Aplic.",$R37&gt;=$P$164,JQ37&lt;=0),(JS36-$S37),JS36)))),"")</f>
        <v/>
      </c>
      <c r="JT37" s="768" t="str">
        <f t="shared" si="117"/>
        <v/>
      </c>
      <c r="JU37" s="728" t="str">
        <f t="shared" ref="JU37:JU68" si="479">IFERROR(IF($A37="","",IF(JU$2=0,0,IF(AND($J37="Livre Aplic.",$R37&lt;&gt;"",$T37&lt;&gt;""),(JU36-$T37),JU36))),"")</f>
        <v/>
      </c>
      <c r="JV37" s="768" t="str">
        <f t="shared" si="119"/>
        <v/>
      </c>
      <c r="JW37" s="728" t="str">
        <f t="shared" ref="JW37:JW68" si="480">IFERROR(IF($A37="","",IF(JW$2=0,0,IF(AND($J37="Livre Aplic.",$R37&lt;$P$165),JW36,IF(AND($J37="Livre Aplic.",$R37&gt;=$P$165,JU37&lt;=0),(JW36-$T37),JW36)))),"")</f>
        <v/>
      </c>
      <c r="JX37" s="768" t="str">
        <f t="shared" si="121"/>
        <v/>
      </c>
      <c r="JY37" s="768" t="str">
        <f t="shared" si="122"/>
        <v/>
      </c>
      <c r="JZ37" s="485" t="str">
        <f>IF(JY37="","",IF(AND(C37=$C$164,JY37&lt;&gt;""),Verificarcpf(D37),IF(AND(C37=$C$165,JY37&lt;&gt;""),VerificarCNPJ(D37))))</f>
        <v/>
      </c>
      <c r="KA37" s="768" t="str">
        <f t="shared" si="123"/>
        <v/>
      </c>
      <c r="KB37" s="485">
        <f t="shared" si="124"/>
        <v>0</v>
      </c>
      <c r="KC37" s="768">
        <f t="shared" si="125"/>
        <v>0</v>
      </c>
      <c r="KD37" s="485">
        <f t="shared" si="126"/>
        <v>0</v>
      </c>
      <c r="KE37" s="448"/>
      <c r="KF37" s="548"/>
      <c r="KG37" s="548"/>
      <c r="KH37" s="548"/>
      <c r="KI37" s="548"/>
      <c r="KJ37" s="548" t="str">
        <f t="shared" si="128"/>
        <v/>
      </c>
      <c r="KK37" s="548"/>
      <c r="KL37" s="548"/>
      <c r="KM37" s="548">
        <f t="array" ref="KM37">IF(SUM((KL37=$KL$3:KL36)*1)=0,KL37,0)</f>
        <v>0</v>
      </c>
      <c r="KN37" s="548"/>
      <c r="KO37" s="548"/>
      <c r="KP37" s="548"/>
      <c r="KQ37" s="548"/>
      <c r="KR37" s="548" t="str">
        <f t="shared" si="129"/>
        <v/>
      </c>
      <c r="KS37" s="548"/>
      <c r="KT37" s="548"/>
      <c r="KU37" s="548"/>
      <c r="KV37" s="548"/>
      <c r="KW37" s="548"/>
      <c r="KX37" s="548"/>
      <c r="KY37" s="548"/>
      <c r="KZ37" s="548"/>
      <c r="LA37" s="548"/>
      <c r="LB37" s="548"/>
      <c r="LC37" s="485" t="str">
        <f t="shared" si="142"/>
        <v/>
      </c>
      <c r="LD37" s="548"/>
      <c r="LE37" s="548"/>
      <c r="LF37" s="548"/>
      <c r="LG37" s="548"/>
      <c r="LH37" s="548"/>
      <c r="LI37" s="548"/>
      <c r="LJ37" s="548"/>
      <c r="LK37" s="548"/>
      <c r="LL37" s="548"/>
      <c r="LM37" s="548"/>
      <c r="LN37" s="548"/>
      <c r="LO37" s="548"/>
      <c r="LP37" s="485" t="str">
        <f t="shared" si="143"/>
        <v/>
      </c>
      <c r="LQ37" s="548"/>
      <c r="LR37" s="548"/>
      <c r="LS37" s="548"/>
      <c r="LT37" s="548"/>
      <c r="LU37" s="548"/>
      <c r="LV37" s="548"/>
      <c r="LW37" s="548"/>
      <c r="LX37" s="548"/>
      <c r="LY37" s="548"/>
      <c r="LZ37" s="548"/>
      <c r="MA37" s="548"/>
      <c r="MB37" s="548"/>
      <c r="MC37" s="485" t="str">
        <f t="shared" si="144"/>
        <v/>
      </c>
      <c r="MD37" s="548"/>
      <c r="ME37" s="548"/>
      <c r="MF37" s="548"/>
      <c r="MG37" s="548"/>
      <c r="MH37" s="548"/>
      <c r="MI37" s="548"/>
      <c r="MJ37" s="548"/>
      <c r="MK37" s="548"/>
      <c r="ML37" s="548"/>
      <c r="MM37" s="548"/>
      <c r="MN37" s="548"/>
      <c r="MO37" s="548"/>
      <c r="MP37" s="485" t="str">
        <f t="shared" si="145"/>
        <v/>
      </c>
      <c r="MQ37" s="548"/>
      <c r="MR37" s="548"/>
      <c r="MS37" s="548"/>
      <c r="MT37" s="548"/>
      <c r="MU37" s="548"/>
      <c r="MV37" s="548"/>
      <c r="MW37" s="548"/>
      <c r="MX37" s="548"/>
      <c r="MY37" s="548"/>
      <c r="MZ37" s="548"/>
      <c r="NA37" s="548"/>
      <c r="NB37" s="548"/>
      <c r="NC37" s="485" t="str">
        <f t="shared" si="146"/>
        <v/>
      </c>
      <c r="ND37" s="548"/>
      <c r="NE37" s="548"/>
      <c r="NF37" s="548"/>
      <c r="NG37" s="548"/>
      <c r="NH37" s="548"/>
      <c r="NI37" s="548"/>
      <c r="NJ37" s="548"/>
      <c r="NK37" s="548"/>
      <c r="NL37" s="548"/>
      <c r="NM37" s="548"/>
      <c r="NN37" s="548"/>
      <c r="NO37" s="548"/>
      <c r="NP37" s="485" t="str">
        <f t="shared" si="147"/>
        <v/>
      </c>
      <c r="NQ37" s="548"/>
      <c r="NR37" s="548"/>
      <c r="NS37" s="548"/>
      <c r="NT37" s="548"/>
      <c r="NU37" s="548"/>
      <c r="NV37" s="548"/>
      <c r="NW37" s="548"/>
      <c r="NX37" s="548"/>
      <c r="NY37" s="548"/>
      <c r="NZ37" s="548"/>
      <c r="OA37" s="548"/>
      <c r="OB37" s="548"/>
      <c r="OC37" s="485" t="str">
        <f t="shared" si="148"/>
        <v/>
      </c>
      <c r="OD37" s="548"/>
      <c r="OE37" s="548"/>
      <c r="OF37" s="548"/>
      <c r="OG37" s="548"/>
      <c r="OH37" s="548"/>
      <c r="OI37" s="548"/>
      <c r="OJ37" s="548"/>
      <c r="OK37" s="548"/>
      <c r="OL37" s="548"/>
      <c r="OM37" s="548"/>
      <c r="ON37" s="548"/>
      <c r="OO37" s="548"/>
      <c r="OP37" s="548"/>
      <c r="OQ37" s="548"/>
      <c r="OR37" s="548"/>
      <c r="OS37" s="548"/>
      <c r="OT37" s="548"/>
      <c r="OU37" s="548"/>
      <c r="OV37" s="548"/>
      <c r="OW37" s="548"/>
      <c r="OX37" s="548"/>
      <c r="OY37" s="548"/>
      <c r="OZ37" s="548"/>
      <c r="PA37" s="548"/>
      <c r="PB37" s="548"/>
      <c r="PC37" s="548"/>
      <c r="PD37" s="548"/>
      <c r="PE37" s="548"/>
      <c r="PF37" s="548"/>
      <c r="PG37" s="548"/>
      <c r="PH37" s="548"/>
      <c r="PI37" s="548"/>
      <c r="PJ37" s="548"/>
      <c r="PK37" s="548"/>
      <c r="PL37" s="548"/>
      <c r="PM37" s="548"/>
      <c r="PN37" s="548"/>
      <c r="PO37" s="548"/>
      <c r="PP37" s="548"/>
      <c r="PQ37" s="548"/>
      <c r="PR37" s="548"/>
      <c r="PS37" s="548"/>
      <c r="PT37" s="548"/>
      <c r="PU37" s="548"/>
      <c r="PV37" s="548"/>
      <c r="PW37" s="548"/>
      <c r="PX37" s="548"/>
      <c r="PY37" s="548"/>
      <c r="PZ37" s="548"/>
      <c r="QA37" s="548"/>
      <c r="QB37" s="548"/>
      <c r="QC37" s="548"/>
      <c r="QD37" s="548"/>
      <c r="QE37" s="548"/>
      <c r="QF37" s="548"/>
      <c r="QG37" s="548"/>
      <c r="QH37" s="548"/>
      <c r="QI37" s="548"/>
      <c r="QJ37" s="548"/>
      <c r="QK37" s="548"/>
      <c r="QL37" s="548"/>
      <c r="QM37" s="548"/>
      <c r="QN37" s="548"/>
      <c r="QO37" s="548"/>
      <c r="QP37" s="548"/>
      <c r="QQ37" s="1009"/>
      <c r="QR37" s="548"/>
      <c r="QS37" s="548"/>
      <c r="QT37" s="548"/>
      <c r="QU37" s="548"/>
      <c r="QV37" s="548"/>
      <c r="QW37" s="548"/>
      <c r="QX37" s="548"/>
      <c r="QY37" s="548"/>
      <c r="QZ37" s="548"/>
      <c r="RA37" s="548"/>
      <c r="RB37" s="548"/>
      <c r="RC37" s="548"/>
      <c r="RD37" s="548"/>
      <c r="RE37" s="548"/>
      <c r="RF37" s="548"/>
      <c r="RG37" s="548"/>
      <c r="RH37" s="548"/>
      <c r="RI37" s="548"/>
      <c r="RJ37" s="548"/>
      <c r="RK37" s="548"/>
      <c r="RL37" s="548"/>
      <c r="RM37" s="548"/>
      <c r="RN37" s="548"/>
      <c r="RO37" s="548"/>
      <c r="RP37" s="548"/>
      <c r="RQ37" s="548"/>
      <c r="RR37" s="548"/>
      <c r="RS37" s="548"/>
      <c r="RT37" s="548"/>
      <c r="RU37" s="548"/>
      <c r="RV37" s="548"/>
      <c r="RW37" s="548"/>
      <c r="RX37" s="548"/>
      <c r="RY37" s="548"/>
      <c r="RZ37" s="548"/>
      <c r="SA37" s="548"/>
      <c r="SB37" s="548"/>
      <c r="SC37" s="548"/>
      <c r="SD37" s="548"/>
      <c r="SE37" s="548"/>
      <c r="SF37" s="548"/>
      <c r="SG37" s="548"/>
      <c r="SH37" s="548"/>
      <c r="SI37" s="548"/>
      <c r="SJ37" s="548"/>
      <c r="SK37" s="548"/>
      <c r="SL37" s="548"/>
      <c r="SM37" s="548"/>
      <c r="SN37" s="548"/>
      <c r="SO37" s="548"/>
      <c r="SP37" s="548"/>
      <c r="SQ37" s="548"/>
      <c r="SR37" s="548"/>
      <c r="SS37" s="548"/>
      <c r="ST37" s="548"/>
      <c r="SU37" s="548"/>
      <c r="SV37" s="548"/>
      <c r="SW37" s="548"/>
      <c r="SX37" s="548"/>
      <c r="SY37" s="548"/>
      <c r="SZ37" s="548"/>
      <c r="TA37" s="548"/>
      <c r="TB37" s="548"/>
      <c r="TC37" s="548"/>
      <c r="TD37" s="548"/>
      <c r="TE37" s="548"/>
      <c r="TF37" s="548"/>
      <c r="TG37" s="548"/>
      <c r="TH37" s="548"/>
      <c r="TI37" s="548"/>
      <c r="TJ37" s="548"/>
      <c r="TK37" s="548"/>
      <c r="TL37" s="548"/>
      <c r="TM37" s="548"/>
      <c r="TN37" s="548"/>
      <c r="TO37" s="548"/>
      <c r="TP37" s="548"/>
      <c r="TQ37" s="548"/>
      <c r="TR37" s="548"/>
      <c r="TS37" s="548"/>
      <c r="TT37" s="548"/>
      <c r="TU37" s="548"/>
      <c r="TV37" s="548"/>
      <c r="TW37" s="548"/>
      <c r="TX37" s="548"/>
      <c r="TY37" s="548"/>
      <c r="TZ37" s="548"/>
      <c r="UA37" s="548"/>
      <c r="UB37" s="548"/>
      <c r="UC37" s="548"/>
      <c r="UD37" s="548"/>
      <c r="UE37" s="548"/>
      <c r="UF37" s="548"/>
      <c r="UG37" s="548"/>
      <c r="UH37" s="548"/>
      <c r="UI37" s="548"/>
      <c r="UJ37" s="548"/>
      <c r="UK37" s="548"/>
      <c r="UL37" s="548"/>
      <c r="UM37" s="548"/>
      <c r="UN37" s="548"/>
      <c r="UO37" s="548"/>
      <c r="UP37" s="548"/>
      <c r="UQ37" s="548"/>
      <c r="UR37" s="548"/>
      <c r="US37" s="548"/>
      <c r="UT37" s="548"/>
      <c r="UU37" s="548"/>
      <c r="UV37" s="548"/>
      <c r="UW37" s="548"/>
      <c r="UX37" s="548"/>
      <c r="UY37" s="548"/>
      <c r="UZ37" s="548"/>
      <c r="VA37" s="548"/>
      <c r="VB37" s="548"/>
      <c r="VC37" s="548"/>
      <c r="VD37" s="548"/>
      <c r="VE37" s="548"/>
      <c r="VF37" s="548"/>
      <c r="VG37" s="548"/>
      <c r="VH37" s="548"/>
      <c r="VI37" s="548"/>
      <c r="VJ37" s="548"/>
      <c r="VK37" s="548"/>
      <c r="VL37" s="548"/>
      <c r="VM37" s="548"/>
      <c r="VN37" s="548"/>
      <c r="VO37" s="548"/>
      <c r="VP37" s="548"/>
      <c r="VQ37" s="548"/>
      <c r="VR37" s="548"/>
      <c r="VS37" s="548"/>
      <c r="VT37" s="548"/>
      <c r="VU37" s="548"/>
      <c r="VV37" s="548"/>
      <c r="VW37" s="548"/>
      <c r="VX37" s="548"/>
      <c r="VY37" s="548"/>
      <c r="VZ37" s="548"/>
      <c r="WA37" s="548"/>
      <c r="WB37" s="548"/>
      <c r="WC37" s="548"/>
      <c r="WD37" s="548"/>
      <c r="WE37" s="548"/>
      <c r="WF37" s="548"/>
      <c r="WG37" s="548"/>
      <c r="WH37" s="548"/>
      <c r="WI37" s="548"/>
      <c r="WJ37" s="548"/>
      <c r="WK37" s="548"/>
      <c r="WL37" s="548"/>
      <c r="WM37" s="548"/>
      <c r="WN37" s="548"/>
      <c r="WO37" s="548"/>
      <c r="WP37" s="548"/>
      <c r="WQ37" s="548"/>
      <c r="WR37" s="548"/>
      <c r="WS37" s="548"/>
      <c r="WT37" s="548"/>
      <c r="WU37" s="548"/>
      <c r="WV37" s="548"/>
      <c r="WW37" s="548"/>
      <c r="WX37" s="548"/>
      <c r="WY37" s="548"/>
      <c r="WZ37" s="548"/>
      <c r="XA37" s="548"/>
      <c r="XB37" s="548"/>
      <c r="XC37" s="548"/>
      <c r="XD37" s="548"/>
      <c r="XE37" s="548"/>
      <c r="XF37" s="548"/>
      <c r="XG37" s="548"/>
      <c r="XH37" s="548"/>
      <c r="XI37" s="548"/>
      <c r="XJ37" s="548"/>
      <c r="XK37" s="548"/>
      <c r="XL37" s="548"/>
      <c r="XM37" s="548"/>
      <c r="XN37" s="548"/>
      <c r="XO37" s="548"/>
      <c r="XP37" s="548"/>
      <c r="XQ37" s="548"/>
      <c r="XR37" s="548"/>
      <c r="XS37" s="548"/>
      <c r="XT37" s="548"/>
      <c r="XU37" s="548"/>
      <c r="XV37" s="548"/>
      <c r="XW37" s="548"/>
      <c r="XX37" s="548"/>
      <c r="XY37" s="548"/>
      <c r="XZ37" s="548"/>
      <c r="YA37" s="548"/>
      <c r="YB37" s="548"/>
      <c r="YC37" s="548"/>
      <c r="YD37" s="548"/>
      <c r="YE37" s="548"/>
      <c r="YF37" s="548"/>
      <c r="YG37" s="548"/>
      <c r="YH37" s="548"/>
      <c r="YI37" s="548"/>
      <c r="YJ37" s="548"/>
      <c r="YK37" s="548"/>
      <c r="YL37" s="548"/>
      <c r="YM37" s="548"/>
      <c r="YN37" s="548"/>
      <c r="YO37" s="548"/>
      <c r="YP37" s="548"/>
      <c r="YQ37" s="548"/>
      <c r="YR37" s="548"/>
      <c r="YS37" s="548"/>
      <c r="YT37" s="548"/>
      <c r="YU37" s="548"/>
      <c r="YV37" s="548"/>
      <c r="YW37" s="548"/>
      <c r="YX37" s="548"/>
      <c r="YY37" s="548"/>
      <c r="YZ37" s="548"/>
      <c r="ZA37" s="548"/>
      <c r="ZB37" s="548"/>
      <c r="ZC37" s="548"/>
      <c r="ZD37" s="548"/>
      <c r="ZE37" s="548"/>
      <c r="ZF37" s="548"/>
      <c r="ZG37" s="548"/>
      <c r="ZH37" s="548"/>
      <c r="ZI37" s="548"/>
      <c r="ZJ37" s="548"/>
      <c r="ZK37" s="548"/>
      <c r="ZL37" s="548"/>
      <c r="ZM37" s="548"/>
      <c r="ZN37" s="548"/>
      <c r="ZO37" s="548"/>
      <c r="ZP37" s="548"/>
      <c r="ZQ37" s="548"/>
      <c r="ZR37" s="548"/>
      <c r="ZS37" s="548"/>
      <c r="ZT37" s="548"/>
      <c r="ZU37" s="548"/>
      <c r="ZV37" s="548"/>
      <c r="ZW37" s="548"/>
      <c r="ZX37" s="548"/>
      <c r="ZY37" s="548"/>
      <c r="ZZ37" s="548"/>
      <c r="AAA37" s="548"/>
      <c r="AAB37" s="548"/>
      <c r="AAC37" s="548"/>
      <c r="AAD37" s="548"/>
      <c r="AAE37" s="548"/>
      <c r="AAF37" s="548"/>
      <c r="AAG37" s="548"/>
      <c r="AAH37" s="548"/>
      <c r="AAI37" s="548"/>
      <c r="AAJ37" s="548"/>
      <c r="AAK37" s="548"/>
      <c r="AAL37" s="548"/>
      <c r="AAM37" s="548"/>
      <c r="AAN37" s="548"/>
      <c r="AAO37" s="548"/>
      <c r="AAP37" s="548"/>
      <c r="AAQ37" s="548"/>
      <c r="AAR37" s="548"/>
      <c r="AAS37" s="548"/>
      <c r="AAT37" s="548"/>
      <c r="AAU37" s="548"/>
      <c r="AAV37" s="548"/>
      <c r="AAW37" s="548"/>
      <c r="AAX37" s="548"/>
      <c r="AAY37" s="548"/>
      <c r="AAZ37" s="548"/>
      <c r="ABA37" s="548"/>
      <c r="ABB37" s="548"/>
      <c r="ABC37" s="548"/>
      <c r="ABD37" s="548"/>
      <c r="ABE37" s="548"/>
      <c r="ABF37" s="548"/>
      <c r="ABG37" s="548"/>
      <c r="ABH37" s="548"/>
      <c r="ABI37" s="548"/>
      <c r="ABJ37" s="548"/>
      <c r="ABK37" s="548"/>
      <c r="ABL37" s="548"/>
      <c r="ABM37" s="548"/>
      <c r="ABN37" s="548"/>
      <c r="ABO37" s="548"/>
      <c r="ABP37" s="548"/>
      <c r="ABQ37" s="548"/>
      <c r="ABR37" s="548"/>
      <c r="ABS37" s="548"/>
    </row>
    <row r="38" spans="1:747" customFormat="1" ht="15" customHeight="1" thickBot="1" x14ac:dyDescent="0.25">
      <c r="A38" s="424" t="str">
        <f t="shared" si="149"/>
        <v/>
      </c>
      <c r="B38" s="415"/>
      <c r="C38" s="525"/>
      <c r="D38" s="750"/>
      <c r="E38" s="416" t="str">
        <f t="shared" si="393"/>
        <v/>
      </c>
      <c r="F38" s="527" t="str">
        <f t="shared" si="394"/>
        <v/>
      </c>
      <c r="G38" s="417"/>
      <c r="H38" s="583" t="str">
        <f t="shared" si="395"/>
        <v/>
      </c>
      <c r="I38" s="424"/>
      <c r="J38" s="749"/>
      <c r="K38" s="418"/>
      <c r="L38" s="419"/>
      <c r="M38" s="523"/>
      <c r="N38" s="420"/>
      <c r="O38" s="653"/>
      <c r="P38" s="561"/>
      <c r="Q38" s="422"/>
      <c r="R38" s="561" t="str">
        <f t="shared" si="396"/>
        <v/>
      </c>
      <c r="S38" s="664"/>
      <c r="T38" s="663"/>
      <c r="U38" s="580">
        <f t="shared" si="397"/>
        <v>0</v>
      </c>
      <c r="V38" s="418"/>
      <c r="W38" s="582" t="str">
        <f t="shared" si="398"/>
        <v/>
      </c>
      <c r="X38" s="479" t="str">
        <f t="shared" si="399"/>
        <v/>
      </c>
      <c r="Y38" s="582" t="str">
        <f t="shared" si="400"/>
        <v/>
      </c>
      <c r="Z38" s="317" t="str">
        <f t="shared" si="401"/>
        <v/>
      </c>
      <c r="AA38" s="317" t="str">
        <f t="shared" si="402"/>
        <v/>
      </c>
      <c r="AB38" s="317">
        <f t="shared" si="403"/>
        <v>0</v>
      </c>
      <c r="AC38" s="317" t="str">
        <f t="shared" si="404"/>
        <v/>
      </c>
      <c r="AD38" s="317"/>
      <c r="AE38" s="479"/>
      <c r="AF38" s="479"/>
      <c r="AG38" s="423"/>
      <c r="AH38" s="820"/>
      <c r="AI38" s="480"/>
      <c r="AJ38" s="660"/>
      <c r="AK38" s="524" t="str">
        <f t="shared" si="405"/>
        <v/>
      </c>
      <c r="AL38" s="507">
        <f>COUNTIF($J$4:$J$163,"Futuro")</f>
        <v>0</v>
      </c>
      <c r="AM38" s="507">
        <f>IF(AL38&lt;=15,1,IF(AND(AL38&gt;15,AL38&lt;=29),2,IF(AND(AL38&gt;29,AL38&lt;=43),3,IF(AND(AL38&gt;43,AL38&lt;=57),4,IF(AND(AL38&gt;57,AL38&lt;=71),5,IF(AND(AL38&gt;71,AL38&lt;=85),6,IF(AND(AL38&gt;85,AL38&lt;=99),7,IF(AND(AL38&gt;99,AL38&lt;=113),8,IF(AND(AL38&gt;113,AL38&lt;=127),9,IF(AND(AL38&gt;127,AL38&lt;=141),10,IF(AND(AL38&gt;141,AL38&lt;=155),11,IF(AND(AL38&gt;155,AL38&lt;=160),12,$AN$1))))))))))))</f>
        <v>1</v>
      </c>
      <c r="AN38" s="426">
        <f t="shared" si="406"/>
        <v>0</v>
      </c>
      <c r="AO38" s="427" t="str">
        <f t="shared" si="407"/>
        <v/>
      </c>
      <c r="AP38" s="426" t="str">
        <f t="shared" si="408"/>
        <v/>
      </c>
      <c r="AQ38" s="426"/>
      <c r="AR38" s="426"/>
      <c r="AS38" s="428"/>
      <c r="AT38" s="429"/>
      <c r="AU38" s="430"/>
      <c r="AV38" s="431"/>
      <c r="AW38" s="432"/>
      <c r="AX38" s="430"/>
      <c r="AY38" s="431">
        <f t="shared" si="409"/>
        <v>0</v>
      </c>
      <c r="AZ38" s="426"/>
      <c r="BA38" s="435" t="str">
        <f t="shared" si="410"/>
        <v/>
      </c>
      <c r="BB38" s="435"/>
      <c r="BC38" s="426"/>
      <c r="BD38" s="426">
        <f t="array" ref="BD38">IF(SUM((BC38=$BC$3:BC37)*1)=0,BC38,0)</f>
        <v>0</v>
      </c>
      <c r="BE38" s="426"/>
      <c r="BF38" s="426"/>
      <c r="BG38" s="426">
        <f t="array" ref="BG38">IF(SUM((BF38=$BF$3:BF37)*1)=0,BF38,0)</f>
        <v>0</v>
      </c>
      <c r="BH38" s="426"/>
      <c r="BI38" s="426"/>
      <c r="BJ38" s="426"/>
      <c r="BK38" s="426"/>
      <c r="BL38" s="426"/>
      <c r="BM38" s="426"/>
      <c r="BN38" s="426"/>
      <c r="BO38" s="426"/>
      <c r="BP38" s="433">
        <f t="shared" si="411"/>
        <v>0</v>
      </c>
      <c r="BQ38" s="426"/>
      <c r="BR38" s="434"/>
      <c r="BS38" s="426"/>
      <c r="BT38" s="433"/>
      <c r="BU38" s="435"/>
      <c r="BV38" s="435" t="str">
        <f t="shared" si="412"/>
        <v/>
      </c>
      <c r="BW38" s="435" t="str">
        <f t="shared" si="38"/>
        <v/>
      </c>
      <c r="BX38" s="435"/>
      <c r="BY38" s="435"/>
      <c r="BZ38" s="435"/>
      <c r="CA38" s="435"/>
      <c r="CB38" s="435"/>
      <c r="CC38" s="435"/>
      <c r="CD38" s="435"/>
      <c r="CE38" s="435"/>
      <c r="CF38" s="435"/>
      <c r="CG38" s="435"/>
      <c r="CH38" s="435"/>
      <c r="CI38" s="435"/>
      <c r="CJ38" s="426" t="str">
        <f t="shared" si="39"/>
        <v/>
      </c>
      <c r="CK38" s="435"/>
      <c r="CL38" s="426"/>
      <c r="CM38" s="435"/>
      <c r="CN38" s="426"/>
      <c r="CO38" s="426"/>
      <c r="CP38" s="426"/>
      <c r="CQ38" s="426"/>
      <c r="CR38" s="426"/>
      <c r="CS38" s="426"/>
      <c r="CT38" s="426"/>
      <c r="CU38" s="426"/>
      <c r="CV38" s="426"/>
      <c r="CW38" s="426"/>
      <c r="CX38" s="426"/>
      <c r="CY38" s="426">
        <v>35</v>
      </c>
      <c r="CZ38" s="426"/>
      <c r="DA38" s="426"/>
      <c r="DB38" s="426"/>
      <c r="DC38" s="426" t="s">
        <v>778</v>
      </c>
      <c r="DD38" s="426" t="s">
        <v>938</v>
      </c>
      <c r="DE38" s="435" t="str">
        <f t="shared" si="40"/>
        <v/>
      </c>
      <c r="DF38" s="435" t="str">
        <f t="shared" si="41"/>
        <v/>
      </c>
      <c r="DG38" s="435" t="str">
        <f t="shared" si="42"/>
        <v/>
      </c>
      <c r="DH38" s="435" t="str">
        <f t="shared" si="43"/>
        <v/>
      </c>
      <c r="DI38" s="435" t="str">
        <f t="shared" si="44"/>
        <v/>
      </c>
      <c r="DJ38" s="435" t="str">
        <f t="shared" si="45"/>
        <v/>
      </c>
      <c r="DK38" s="435" t="str">
        <f t="shared" si="413"/>
        <v/>
      </c>
      <c r="DL38" s="435" t="str">
        <f t="shared" si="414"/>
        <v/>
      </c>
      <c r="DM38" s="435" t="str">
        <f t="shared" si="46"/>
        <v/>
      </c>
      <c r="DN38" s="435" t="str">
        <f t="shared" si="47"/>
        <v/>
      </c>
      <c r="DO38" s="435" t="str">
        <f t="shared" si="415"/>
        <v/>
      </c>
      <c r="DP38" s="435" t="str">
        <f t="shared" si="416"/>
        <v/>
      </c>
      <c r="DQ38" s="435" t="str">
        <f t="shared" si="48"/>
        <v/>
      </c>
      <c r="DR38" s="435" t="str">
        <f t="shared" si="49"/>
        <v/>
      </c>
      <c r="DS38" s="435" t="str">
        <f t="shared" si="417"/>
        <v/>
      </c>
      <c r="DT38" s="435" t="str">
        <f t="shared" si="418"/>
        <v/>
      </c>
      <c r="DU38" s="435" t="str">
        <f t="shared" si="50"/>
        <v/>
      </c>
      <c r="DV38" s="435" t="str">
        <f t="shared" si="51"/>
        <v/>
      </c>
      <c r="DW38" s="435" t="str">
        <f t="shared" si="419"/>
        <v/>
      </c>
      <c r="DX38" s="435" t="str">
        <f t="shared" si="420"/>
        <v/>
      </c>
      <c r="DY38" s="435" t="str">
        <f t="shared" si="52"/>
        <v/>
      </c>
      <c r="DZ38" s="435" t="str">
        <f t="shared" si="53"/>
        <v/>
      </c>
      <c r="EA38" s="435" t="str">
        <f t="shared" si="421"/>
        <v/>
      </c>
      <c r="EB38" s="435" t="str">
        <f t="shared" si="422"/>
        <v/>
      </c>
      <c r="EC38" s="435" t="str">
        <f t="shared" si="423"/>
        <v/>
      </c>
      <c r="ED38" s="435" t="str">
        <f t="shared" si="424"/>
        <v/>
      </c>
      <c r="EE38" s="435" t="str">
        <f t="shared" si="425"/>
        <v/>
      </c>
      <c r="EF38" s="435" t="str">
        <f t="shared" si="426"/>
        <v/>
      </c>
      <c r="EG38" s="435" t="str">
        <f t="shared" si="427"/>
        <v/>
      </c>
      <c r="EH38" s="435" t="str">
        <f t="shared" si="428"/>
        <v/>
      </c>
      <c r="EI38" s="435" t="str">
        <f t="shared" si="429"/>
        <v/>
      </c>
      <c r="EJ38" s="435" t="str">
        <f t="shared" si="430"/>
        <v/>
      </c>
      <c r="EK38" s="485"/>
      <c r="EL38" s="485"/>
      <c r="EM38" s="485"/>
      <c r="EN38" s="485"/>
      <c r="EO38" s="448"/>
      <c r="EP38" s="448"/>
      <c r="EQ38" s="448"/>
      <c r="ER38" s="448"/>
      <c r="ES38" s="448"/>
      <c r="ET38" s="435"/>
      <c r="EU38" s="435"/>
      <c r="EV38" s="435"/>
      <c r="EW38" s="435"/>
      <c r="EX38" s="426"/>
      <c r="EY38" s="426"/>
      <c r="EZ38" s="426"/>
      <c r="FA38" s="427"/>
      <c r="FB38" s="427">
        <f t="array" ref="FB38">IF(SUM((FA38=$FA$3:FA37)*1)=0,FA38,0)</f>
        <v>0</v>
      </c>
      <c r="FC38" s="427"/>
      <c r="FD38" s="427"/>
      <c r="FE38" s="427">
        <f t="array" ref="FE38">IF(SUM((FD38=$FD$3:FD37)*1)=0,FD38,0)</f>
        <v>0</v>
      </c>
      <c r="FF38" s="427"/>
      <c r="FG38" s="427"/>
      <c r="FH38" s="427"/>
      <c r="FI38" s="427">
        <f t="array" ref="FI38">IF(SUM((FH38=$FH$3:FH37)*1)=0,FH38,0)</f>
        <v>0</v>
      </c>
      <c r="FJ38" s="427"/>
      <c r="FK38" s="427"/>
      <c r="FL38" s="427">
        <f t="array" ref="FL38">IF(SUM((FK38=$FK$3:FK37)*1)=0,FK38,0)</f>
        <v>0</v>
      </c>
      <c r="FM38" s="427"/>
      <c r="FN38" s="427"/>
      <c r="FO38" s="427"/>
      <c r="FP38" s="427">
        <f t="array" ref="FP38">IF(SUM((FO38=$FO$3:FO37)*1)=0,FO38,0)</f>
        <v>0</v>
      </c>
      <c r="FQ38" s="427"/>
      <c r="FR38" s="427"/>
      <c r="FS38" s="427">
        <f t="array" ref="FS38">IF(SUM((FR38=$FR$3:FR37)*1)=0,FR38,0)</f>
        <v>0</v>
      </c>
      <c r="FT38" s="427"/>
      <c r="FU38" s="427"/>
      <c r="FV38" s="427"/>
      <c r="FW38" s="427">
        <f t="array" ref="FW38">IF(SUM((FV38=$FV$3:FV37)*1)=0,FV38,0)</f>
        <v>0</v>
      </c>
      <c r="FX38" s="427"/>
      <c r="FY38" s="427"/>
      <c r="FZ38" s="427">
        <f t="array" ref="FZ38">IF(SUM((FY38=$FY$3:FY37)*1)=0,FY38,0)</f>
        <v>0</v>
      </c>
      <c r="GA38" s="427"/>
      <c r="GB38" s="427"/>
      <c r="GC38" s="427"/>
      <c r="GD38" s="427">
        <f t="array" ref="GD38">IF(SUM((GC38=$GC$3:GC37)*1)=0,GC38,0)</f>
        <v>0</v>
      </c>
      <c r="GE38" s="427"/>
      <c r="GF38" s="427"/>
      <c r="GG38" s="427">
        <f t="array" ref="GG38">IF(SUM((GF38=$GF$3:GF37)*1)=0,GF38,0)</f>
        <v>0</v>
      </c>
      <c r="GH38" s="427"/>
      <c r="GI38" s="427"/>
      <c r="GJ38" s="427"/>
      <c r="GK38" s="798">
        <f t="array" ref="GK38">IF(SUM((GJ38=$GJ$3:GJ37)*1)=0,GJ38,0)</f>
        <v>0</v>
      </c>
      <c r="GL38" s="427"/>
      <c r="GM38" s="427"/>
      <c r="GN38" s="798">
        <f t="array" ref="GN38">IF(SUM((GM38=$GM$3:GM37)*1)=0,GM38,0)</f>
        <v>0</v>
      </c>
      <c r="GO38" s="427"/>
      <c r="GP38" s="427"/>
      <c r="GQ38" s="427"/>
      <c r="GR38" s="798">
        <f t="array" ref="GR38">IF(SUM((GQ38=$GQ$3:GQ37)*1)=0,GQ38,0)</f>
        <v>0</v>
      </c>
      <c r="GS38" s="427"/>
      <c r="GT38" s="427"/>
      <c r="GU38" s="798">
        <f t="array" ref="GU38">IF(SUM((GT38=$GT$3:GT37)*1)=0,GT38,0)</f>
        <v>0</v>
      </c>
      <c r="GV38" s="427"/>
      <c r="GW38" s="427"/>
      <c r="GX38" s="427"/>
      <c r="GY38" s="798">
        <f t="array" ref="GY38">IF(SUM((GX38=$GX$3:GX37)*1)=0,GX38,0)</f>
        <v>0</v>
      </c>
      <c r="GZ38" s="427"/>
      <c r="HA38" s="427"/>
      <c r="HB38" s="798">
        <f t="array" ref="HB38">IF(SUM((HA38=$HA$3:HA37)*1)=0,HA38,0)</f>
        <v>0</v>
      </c>
      <c r="HC38" s="427"/>
      <c r="HD38" s="427"/>
      <c r="HE38" s="769" t="str">
        <f t="shared" si="130"/>
        <v/>
      </c>
      <c r="HF38" s="768" t="str">
        <f t="shared" ref="HF38" si="481">IF(HE38&lt;0,"Invadiu REP-BA-C","")</f>
        <v/>
      </c>
      <c r="HG38" s="769" t="str">
        <f t="shared" si="131"/>
        <v/>
      </c>
      <c r="HH38" s="768" t="str">
        <f t="shared" si="55"/>
        <v/>
      </c>
      <c r="HI38" s="728" t="str">
        <f t="shared" si="132"/>
        <v/>
      </c>
      <c r="HJ38" s="768" t="str">
        <f t="shared" si="56"/>
        <v/>
      </c>
      <c r="HK38" s="728" t="str">
        <f t="shared" si="133"/>
        <v/>
      </c>
      <c r="HL38" s="768" t="str">
        <f t="shared" si="57"/>
        <v/>
      </c>
      <c r="HM38" s="769" t="str">
        <f t="shared" si="441"/>
        <v/>
      </c>
      <c r="HN38" s="768" t="str">
        <f t="shared" ref="HN38" si="482">IF(HM38&lt;0,"Invadiu REP-BA-C","")</f>
        <v/>
      </c>
      <c r="HO38" s="769" t="str">
        <f t="shared" si="443"/>
        <v/>
      </c>
      <c r="HP38" s="768" t="str">
        <f t="shared" si="61"/>
        <v/>
      </c>
      <c r="HQ38" s="728" t="str">
        <f t="shared" si="444"/>
        <v/>
      </c>
      <c r="HR38" s="768" t="str">
        <f t="shared" si="63"/>
        <v/>
      </c>
      <c r="HS38" s="728" t="str">
        <f t="shared" si="445"/>
        <v/>
      </c>
      <c r="HT38" s="768" t="str">
        <f t="shared" si="65"/>
        <v/>
      </c>
      <c r="HU38" s="769" t="str">
        <f t="shared" si="446"/>
        <v/>
      </c>
      <c r="HV38" s="768" t="str">
        <f t="shared" ref="HV38" si="483">IF(HU38&lt;0,"Invadiu REP-BA-C","")</f>
        <v/>
      </c>
      <c r="HW38" s="769" t="str">
        <f t="shared" si="448"/>
        <v/>
      </c>
      <c r="HX38" s="768" t="str">
        <f t="shared" si="69"/>
        <v/>
      </c>
      <c r="HY38" s="728" t="str">
        <f t="shared" si="449"/>
        <v/>
      </c>
      <c r="HZ38" s="768" t="str">
        <f t="shared" si="71"/>
        <v/>
      </c>
      <c r="IA38" s="728" t="str">
        <f t="shared" si="450"/>
        <v/>
      </c>
      <c r="IB38" s="768" t="str">
        <f t="shared" si="73"/>
        <v/>
      </c>
      <c r="IC38" s="769" t="str">
        <f t="shared" si="451"/>
        <v/>
      </c>
      <c r="ID38" s="768" t="str">
        <f t="shared" ref="ID38" si="484">IF(IC38&lt;0,"Invadiu REP-BA-C","")</f>
        <v/>
      </c>
      <c r="IE38" s="769" t="str">
        <f t="shared" si="453"/>
        <v/>
      </c>
      <c r="IF38" s="768" t="str">
        <f t="shared" si="77"/>
        <v/>
      </c>
      <c r="IG38" s="728" t="str">
        <f t="shared" si="454"/>
        <v/>
      </c>
      <c r="IH38" s="768" t="str">
        <f t="shared" si="79"/>
        <v/>
      </c>
      <c r="II38" s="728" t="str">
        <f t="shared" si="455"/>
        <v/>
      </c>
      <c r="IJ38" s="768" t="str">
        <f t="shared" si="81"/>
        <v/>
      </c>
      <c r="IK38" s="769" t="str">
        <f t="shared" si="456"/>
        <v/>
      </c>
      <c r="IL38" s="768" t="str">
        <f t="shared" ref="IL38" si="485">IF(IK38&lt;0,"Invadiu REP-BA-C","")</f>
        <v/>
      </c>
      <c r="IM38" s="769" t="str">
        <f t="shared" si="458"/>
        <v/>
      </c>
      <c r="IN38" s="768" t="str">
        <f t="shared" si="85"/>
        <v/>
      </c>
      <c r="IO38" s="728" t="str">
        <f t="shared" si="459"/>
        <v/>
      </c>
      <c r="IP38" s="768" t="str">
        <f t="shared" si="87"/>
        <v/>
      </c>
      <c r="IQ38" s="728" t="str">
        <f t="shared" si="460"/>
        <v/>
      </c>
      <c r="IR38" s="768" t="str">
        <f t="shared" si="89"/>
        <v/>
      </c>
      <c r="IS38" s="769" t="str">
        <f t="shared" si="461"/>
        <v/>
      </c>
      <c r="IT38" s="768" t="str">
        <f t="shared" ref="IT38" si="486">IF(IS38&lt;0,"Invadiu REP-BA-C","")</f>
        <v/>
      </c>
      <c r="IU38" s="769" t="str">
        <f t="shared" si="463"/>
        <v/>
      </c>
      <c r="IV38" s="768" t="str">
        <f t="shared" si="93"/>
        <v/>
      </c>
      <c r="IW38" s="728" t="str">
        <f t="shared" si="464"/>
        <v/>
      </c>
      <c r="IX38" s="768" t="str">
        <f t="shared" si="95"/>
        <v/>
      </c>
      <c r="IY38" s="728" t="str">
        <f t="shared" si="465"/>
        <v/>
      </c>
      <c r="IZ38" s="768" t="str">
        <f t="shared" si="97"/>
        <v/>
      </c>
      <c r="JA38" s="769" t="str">
        <f t="shared" si="466"/>
        <v/>
      </c>
      <c r="JB38" s="768" t="str">
        <f t="shared" ref="JB38" si="487">IF(JA38&lt;0,"Invadiu REP-BA-C","")</f>
        <v/>
      </c>
      <c r="JC38" s="769" t="str">
        <f t="shared" si="468"/>
        <v/>
      </c>
      <c r="JD38" s="768" t="str">
        <f t="shared" si="101"/>
        <v/>
      </c>
      <c r="JE38" s="728" t="str">
        <f t="shared" si="469"/>
        <v/>
      </c>
      <c r="JF38" s="768" t="str">
        <f t="shared" si="103"/>
        <v/>
      </c>
      <c r="JG38" s="728" t="str">
        <f t="shared" si="470"/>
        <v/>
      </c>
      <c r="JH38" s="768" t="str">
        <f t="shared" si="105"/>
        <v/>
      </c>
      <c r="JI38" s="769" t="str">
        <f t="shared" si="471"/>
        <v/>
      </c>
      <c r="JJ38" s="768" t="str">
        <f t="shared" ref="JJ38" si="488">IF(JI38&lt;0,"Invadiu REP-BA-C","")</f>
        <v/>
      </c>
      <c r="JK38" s="769" t="str">
        <f t="shared" si="473"/>
        <v/>
      </c>
      <c r="JL38" s="768" t="str">
        <f t="shared" si="109"/>
        <v/>
      </c>
      <c r="JM38" s="728" t="str">
        <f t="shared" si="474"/>
        <v/>
      </c>
      <c r="JN38" s="768" t="str">
        <f t="shared" si="111"/>
        <v/>
      </c>
      <c r="JO38" s="728" t="str">
        <f t="shared" si="475"/>
        <v/>
      </c>
      <c r="JP38" s="768" t="str">
        <f t="shared" si="113"/>
        <v/>
      </c>
      <c r="JQ38" s="769" t="str">
        <f t="shared" si="476"/>
        <v/>
      </c>
      <c r="JR38" s="768" t="str">
        <f t="shared" ref="JR38" si="489">IF(JQ38&lt;0,"Invadiu REP-BA-C","")</f>
        <v/>
      </c>
      <c r="JS38" s="769" t="str">
        <f t="shared" si="478"/>
        <v/>
      </c>
      <c r="JT38" s="768" t="str">
        <f t="shared" si="117"/>
        <v/>
      </c>
      <c r="JU38" s="728" t="str">
        <f t="shared" si="479"/>
        <v/>
      </c>
      <c r="JV38" s="768" t="str">
        <f t="shared" si="119"/>
        <v/>
      </c>
      <c r="JW38" s="728" t="str">
        <f t="shared" si="480"/>
        <v/>
      </c>
      <c r="JX38" s="768" t="str">
        <f t="shared" si="121"/>
        <v/>
      </c>
      <c r="JY38" s="768" t="str">
        <f t="shared" si="122"/>
        <v/>
      </c>
      <c r="JZ38" s="485" t="str">
        <f>IF(JY38="","",IF(AND(C38=$C$164,JY38&lt;&gt;""),Verificarcpf(D38),IF(AND(C38=$C$165,JY38&lt;&gt;""),VerificarCNPJ(D38))))</f>
        <v/>
      </c>
      <c r="KA38" s="768" t="str">
        <f t="shared" si="123"/>
        <v/>
      </c>
      <c r="KB38" s="485">
        <f t="shared" si="124"/>
        <v>0</v>
      </c>
      <c r="KC38" s="768">
        <f t="shared" si="125"/>
        <v>0</v>
      </c>
      <c r="KD38" s="485">
        <f t="shared" si="126"/>
        <v>0</v>
      </c>
      <c r="KE38" s="448"/>
      <c r="KF38" s="548"/>
      <c r="KG38" s="548"/>
      <c r="KH38" s="548"/>
      <c r="KI38" s="548"/>
      <c r="KJ38" s="548" t="str">
        <f t="shared" si="128"/>
        <v/>
      </c>
      <c r="KK38" s="548"/>
      <c r="KL38" s="548"/>
      <c r="KM38" s="548">
        <f t="array" ref="KM38">IF(SUM((KL38=$KL$3:KL37)*1)=0,KL38,0)</f>
        <v>0</v>
      </c>
      <c r="KN38" s="548"/>
      <c r="KO38" s="548"/>
      <c r="KP38" s="548"/>
      <c r="KQ38" s="548"/>
      <c r="KR38" s="548" t="str">
        <f t="shared" si="129"/>
        <v/>
      </c>
      <c r="KS38" s="548"/>
      <c r="KT38" s="548"/>
      <c r="KU38" s="548"/>
      <c r="KV38" s="548"/>
      <c r="KW38" s="548"/>
      <c r="KX38" s="548"/>
      <c r="KY38" s="548"/>
      <c r="KZ38" s="548"/>
      <c r="LA38" s="548"/>
      <c r="LB38" s="548"/>
      <c r="LC38" s="485" t="str">
        <f t="shared" si="142"/>
        <v/>
      </c>
      <c r="LD38" s="548"/>
      <c r="LE38" s="548"/>
      <c r="LF38" s="548"/>
      <c r="LG38" s="548"/>
      <c r="LH38" s="548"/>
      <c r="LI38" s="548"/>
      <c r="LJ38" s="548"/>
      <c r="LK38" s="548"/>
      <c r="LL38" s="548"/>
      <c r="LM38" s="548"/>
      <c r="LN38" s="548"/>
      <c r="LO38" s="548"/>
      <c r="LP38" s="485" t="str">
        <f t="shared" si="143"/>
        <v/>
      </c>
      <c r="LQ38" s="548"/>
      <c r="LR38" s="548"/>
      <c r="LS38" s="548"/>
      <c r="LT38" s="548"/>
      <c r="LU38" s="548"/>
      <c r="LV38" s="548"/>
      <c r="LW38" s="548"/>
      <c r="LX38" s="548"/>
      <c r="LY38" s="548"/>
      <c r="LZ38" s="548"/>
      <c r="MA38" s="548"/>
      <c r="MB38" s="548"/>
      <c r="MC38" s="485" t="str">
        <f t="shared" si="144"/>
        <v/>
      </c>
      <c r="MD38" s="548"/>
      <c r="ME38" s="548"/>
      <c r="MF38" s="548"/>
      <c r="MG38" s="548"/>
      <c r="MH38" s="548"/>
      <c r="MI38" s="548"/>
      <c r="MJ38" s="548"/>
      <c r="MK38" s="548"/>
      <c r="ML38" s="548"/>
      <c r="MM38" s="548"/>
      <c r="MN38" s="548"/>
      <c r="MO38" s="548"/>
      <c r="MP38" s="485" t="str">
        <f t="shared" si="145"/>
        <v/>
      </c>
      <c r="MQ38" s="548"/>
      <c r="MR38" s="548"/>
      <c r="MS38" s="548"/>
      <c r="MT38" s="548"/>
      <c r="MU38" s="548"/>
      <c r="MV38" s="548"/>
      <c r="MW38" s="548"/>
      <c r="MX38" s="548"/>
      <c r="MY38" s="548"/>
      <c r="MZ38" s="548"/>
      <c r="NA38" s="548"/>
      <c r="NB38" s="548"/>
      <c r="NC38" s="485" t="str">
        <f t="shared" si="146"/>
        <v/>
      </c>
      <c r="ND38" s="548"/>
      <c r="NE38" s="548"/>
      <c r="NF38" s="548"/>
      <c r="NG38" s="548"/>
      <c r="NH38" s="548"/>
      <c r="NI38" s="548"/>
      <c r="NJ38" s="548"/>
      <c r="NK38" s="548"/>
      <c r="NL38" s="548"/>
      <c r="NM38" s="548"/>
      <c r="NN38" s="548"/>
      <c r="NO38" s="548"/>
      <c r="NP38" s="485" t="str">
        <f t="shared" si="147"/>
        <v/>
      </c>
      <c r="NQ38" s="548"/>
      <c r="NR38" s="548"/>
      <c r="NS38" s="548"/>
      <c r="NT38" s="548"/>
      <c r="NU38" s="548"/>
      <c r="NV38" s="548"/>
      <c r="NW38" s="548"/>
      <c r="NX38" s="548"/>
      <c r="NY38" s="548"/>
      <c r="NZ38" s="548"/>
      <c r="OA38" s="548"/>
      <c r="OB38" s="548"/>
      <c r="OC38" s="485" t="str">
        <f t="shared" si="148"/>
        <v/>
      </c>
      <c r="OD38" s="548"/>
      <c r="OE38" s="548"/>
      <c r="OF38" s="548"/>
      <c r="OG38" s="548"/>
      <c r="OH38" s="548"/>
      <c r="OI38" s="548"/>
      <c r="OJ38" s="548"/>
      <c r="OK38" s="548"/>
      <c r="OL38" s="548"/>
      <c r="OM38" s="548"/>
      <c r="ON38" s="548"/>
      <c r="OO38" s="548"/>
      <c r="OP38" s="548"/>
      <c r="OQ38" s="548"/>
      <c r="OR38" s="548"/>
      <c r="OS38" s="548"/>
      <c r="OT38" s="548"/>
      <c r="OU38" s="548"/>
      <c r="OV38" s="548"/>
      <c r="OW38" s="548"/>
      <c r="OX38" s="548"/>
      <c r="OY38" s="548"/>
      <c r="OZ38" s="548"/>
      <c r="PA38" s="548"/>
      <c r="PB38" s="548"/>
      <c r="PC38" s="548"/>
      <c r="PD38" s="548"/>
      <c r="PE38" s="548"/>
      <c r="PF38" s="548"/>
      <c r="PG38" s="548"/>
      <c r="PH38" s="548"/>
      <c r="PI38" s="548"/>
      <c r="PJ38" s="548"/>
      <c r="PK38" s="548"/>
      <c r="PL38" s="548"/>
      <c r="PM38" s="548"/>
      <c r="PN38" s="548"/>
      <c r="PO38" s="548"/>
      <c r="PP38" s="548"/>
      <c r="PQ38" s="548"/>
      <c r="PR38" s="548"/>
      <c r="PS38" s="548"/>
      <c r="PT38" s="548"/>
      <c r="PU38" s="548"/>
      <c r="PV38" s="548"/>
      <c r="PW38" s="548"/>
      <c r="PX38" s="548"/>
      <c r="PY38" s="548"/>
      <c r="PZ38" s="548"/>
      <c r="QA38" s="548"/>
      <c r="QB38" s="548"/>
      <c r="QC38" s="548"/>
      <c r="QD38" s="548"/>
      <c r="QE38" s="548"/>
      <c r="QF38" s="548"/>
      <c r="QG38" s="548"/>
      <c r="QH38" s="548"/>
      <c r="QI38" s="548"/>
      <c r="QJ38" s="548"/>
      <c r="QK38" s="548"/>
      <c r="QL38" s="548"/>
      <c r="QM38" s="548"/>
      <c r="QN38" s="548"/>
      <c r="QO38" s="548"/>
      <c r="QP38" s="548"/>
      <c r="QQ38" s="1009"/>
      <c r="QR38" s="548"/>
      <c r="QS38" s="548"/>
      <c r="QT38" s="548"/>
      <c r="QU38" s="548"/>
      <c r="QV38" s="548"/>
      <c r="QW38" s="548"/>
      <c r="QX38" s="548"/>
      <c r="QY38" s="548"/>
      <c r="QZ38" s="548"/>
      <c r="RA38" s="548"/>
      <c r="RB38" s="548"/>
      <c r="RC38" s="548"/>
      <c r="RD38" s="548"/>
      <c r="RE38" s="548"/>
      <c r="RF38" s="548"/>
      <c r="RG38" s="548"/>
      <c r="RH38" s="548"/>
      <c r="RI38" s="548"/>
      <c r="RJ38" s="548"/>
      <c r="RK38" s="548"/>
      <c r="RL38" s="548"/>
      <c r="RM38" s="548"/>
      <c r="RN38" s="548"/>
      <c r="RO38" s="548"/>
      <c r="RP38" s="548"/>
      <c r="RQ38" s="548"/>
      <c r="RR38" s="548"/>
      <c r="RS38" s="548"/>
      <c r="RT38" s="548"/>
      <c r="RU38" s="548"/>
      <c r="RV38" s="548"/>
      <c r="RW38" s="548"/>
      <c r="RX38" s="548"/>
      <c r="RY38" s="548"/>
      <c r="RZ38" s="548"/>
      <c r="SA38" s="548"/>
      <c r="SB38" s="548"/>
      <c r="SC38" s="548"/>
      <c r="SD38" s="548"/>
      <c r="SE38" s="548"/>
      <c r="SF38" s="548"/>
      <c r="SG38" s="548"/>
      <c r="SH38" s="548"/>
      <c r="SI38" s="548"/>
      <c r="SJ38" s="548"/>
      <c r="SK38" s="548"/>
      <c r="SL38" s="548"/>
      <c r="SM38" s="548"/>
      <c r="SN38" s="548"/>
      <c r="SO38" s="548"/>
      <c r="SP38" s="548"/>
      <c r="SQ38" s="548"/>
      <c r="SR38" s="548"/>
      <c r="SS38" s="548"/>
      <c r="ST38" s="548"/>
      <c r="SU38" s="548"/>
      <c r="SV38" s="548"/>
      <c r="SW38" s="548"/>
      <c r="SX38" s="548"/>
      <c r="SY38" s="548"/>
      <c r="SZ38" s="548"/>
      <c r="TA38" s="548"/>
      <c r="TB38" s="548"/>
      <c r="TC38" s="548"/>
      <c r="TD38" s="548"/>
      <c r="TE38" s="548"/>
      <c r="TF38" s="548"/>
      <c r="TG38" s="548"/>
      <c r="TH38" s="548"/>
      <c r="TI38" s="548"/>
      <c r="TJ38" s="548"/>
      <c r="TK38" s="548"/>
      <c r="TL38" s="548"/>
      <c r="TM38" s="548"/>
      <c r="TN38" s="548"/>
      <c r="TO38" s="548"/>
      <c r="TP38" s="548"/>
      <c r="TQ38" s="548"/>
      <c r="TR38" s="548"/>
      <c r="TS38" s="548"/>
      <c r="TT38" s="548"/>
      <c r="TU38" s="548"/>
      <c r="TV38" s="548"/>
      <c r="TW38" s="548"/>
      <c r="TX38" s="548"/>
      <c r="TY38" s="548"/>
      <c r="TZ38" s="548"/>
      <c r="UA38" s="548"/>
      <c r="UB38" s="548"/>
      <c r="UC38" s="548"/>
      <c r="UD38" s="548"/>
      <c r="UE38" s="548"/>
      <c r="UF38" s="548"/>
      <c r="UG38" s="548"/>
      <c r="UH38" s="548"/>
      <c r="UI38" s="548"/>
      <c r="UJ38" s="548"/>
      <c r="UK38" s="548"/>
      <c r="UL38" s="548"/>
      <c r="UM38" s="548"/>
      <c r="UN38" s="548"/>
      <c r="UO38" s="548"/>
      <c r="UP38" s="548"/>
      <c r="UQ38" s="548"/>
      <c r="UR38" s="548"/>
      <c r="US38" s="548"/>
      <c r="UT38" s="548"/>
      <c r="UU38" s="548"/>
      <c r="UV38" s="548"/>
      <c r="UW38" s="548"/>
      <c r="UX38" s="548"/>
      <c r="UY38" s="548"/>
      <c r="UZ38" s="548"/>
      <c r="VA38" s="548"/>
      <c r="VB38" s="548"/>
      <c r="VC38" s="548"/>
      <c r="VD38" s="548"/>
      <c r="VE38" s="548"/>
      <c r="VF38" s="548"/>
      <c r="VG38" s="548"/>
      <c r="VH38" s="548"/>
      <c r="VI38" s="548"/>
      <c r="VJ38" s="548"/>
      <c r="VK38" s="548"/>
      <c r="VL38" s="548"/>
      <c r="VM38" s="548"/>
      <c r="VN38" s="548"/>
      <c r="VO38" s="548"/>
      <c r="VP38" s="548"/>
      <c r="VQ38" s="548"/>
      <c r="VR38" s="548"/>
      <c r="VS38" s="548"/>
      <c r="VT38" s="548"/>
      <c r="VU38" s="548"/>
      <c r="VV38" s="548"/>
      <c r="VW38" s="548"/>
      <c r="VX38" s="548"/>
      <c r="VY38" s="548"/>
      <c r="VZ38" s="548"/>
      <c r="WA38" s="548"/>
      <c r="WB38" s="548"/>
      <c r="WC38" s="548"/>
      <c r="WD38" s="548"/>
      <c r="WE38" s="548"/>
      <c r="WF38" s="548"/>
      <c r="WG38" s="548"/>
      <c r="WH38" s="548"/>
      <c r="WI38" s="548"/>
      <c r="WJ38" s="548"/>
      <c r="WK38" s="548"/>
      <c r="WL38" s="548"/>
      <c r="WM38" s="548"/>
      <c r="WN38" s="548"/>
      <c r="WO38" s="548"/>
      <c r="WP38" s="548"/>
      <c r="WQ38" s="548"/>
      <c r="WR38" s="548"/>
      <c r="WS38" s="548"/>
      <c r="WT38" s="548"/>
      <c r="WU38" s="548"/>
      <c r="WV38" s="548"/>
      <c r="WW38" s="548"/>
      <c r="WX38" s="548"/>
      <c r="WY38" s="548"/>
      <c r="WZ38" s="548"/>
      <c r="XA38" s="548"/>
      <c r="XB38" s="548"/>
      <c r="XC38" s="548"/>
      <c r="XD38" s="548"/>
      <c r="XE38" s="548"/>
      <c r="XF38" s="548"/>
      <c r="XG38" s="548"/>
      <c r="XH38" s="548"/>
      <c r="XI38" s="548"/>
      <c r="XJ38" s="548"/>
      <c r="XK38" s="548"/>
      <c r="XL38" s="548"/>
      <c r="XM38" s="548"/>
      <c r="XN38" s="548"/>
      <c r="XO38" s="548"/>
      <c r="XP38" s="548"/>
      <c r="XQ38" s="548"/>
      <c r="XR38" s="548"/>
      <c r="XS38" s="548"/>
      <c r="XT38" s="548"/>
      <c r="XU38" s="548"/>
      <c r="XV38" s="548"/>
      <c r="XW38" s="548"/>
      <c r="XX38" s="548"/>
      <c r="XY38" s="548"/>
      <c r="XZ38" s="548"/>
      <c r="YA38" s="548"/>
      <c r="YB38" s="548"/>
      <c r="YC38" s="548"/>
      <c r="YD38" s="548"/>
      <c r="YE38" s="548"/>
      <c r="YF38" s="548"/>
      <c r="YG38" s="548"/>
      <c r="YH38" s="548"/>
      <c r="YI38" s="548"/>
      <c r="YJ38" s="548"/>
      <c r="YK38" s="548"/>
      <c r="YL38" s="548"/>
      <c r="YM38" s="548"/>
      <c r="YN38" s="548"/>
      <c r="YO38" s="548"/>
      <c r="YP38" s="548"/>
      <c r="YQ38" s="548"/>
      <c r="YR38" s="548"/>
      <c r="YS38" s="548"/>
      <c r="YT38" s="548"/>
      <c r="YU38" s="548"/>
      <c r="YV38" s="548"/>
      <c r="YW38" s="548"/>
      <c r="YX38" s="548"/>
      <c r="YY38" s="548"/>
      <c r="YZ38" s="548"/>
      <c r="ZA38" s="548"/>
      <c r="ZB38" s="548"/>
      <c r="ZC38" s="548"/>
      <c r="ZD38" s="548"/>
      <c r="ZE38" s="548"/>
      <c r="ZF38" s="548"/>
      <c r="ZG38" s="548"/>
      <c r="ZH38" s="548"/>
      <c r="ZI38" s="548"/>
      <c r="ZJ38" s="548"/>
      <c r="ZK38" s="548"/>
      <c r="ZL38" s="548"/>
      <c r="ZM38" s="548"/>
      <c r="ZN38" s="548"/>
      <c r="ZO38" s="548"/>
      <c r="ZP38" s="548"/>
      <c r="ZQ38" s="548"/>
      <c r="ZR38" s="548"/>
      <c r="ZS38" s="548"/>
      <c r="ZT38" s="548"/>
      <c r="ZU38" s="548"/>
      <c r="ZV38" s="548"/>
      <c r="ZW38" s="548"/>
      <c r="ZX38" s="548"/>
      <c r="ZY38" s="548"/>
      <c r="ZZ38" s="548"/>
      <c r="AAA38" s="548"/>
      <c r="AAB38" s="548"/>
      <c r="AAC38" s="548"/>
      <c r="AAD38" s="548"/>
      <c r="AAE38" s="548"/>
      <c r="AAF38" s="548"/>
      <c r="AAG38" s="548"/>
      <c r="AAH38" s="548"/>
      <c r="AAI38" s="548"/>
      <c r="AAJ38" s="548"/>
      <c r="AAK38" s="548"/>
      <c r="AAL38" s="548"/>
      <c r="AAM38" s="548"/>
      <c r="AAN38" s="548"/>
      <c r="AAO38" s="548"/>
      <c r="AAP38" s="548"/>
      <c r="AAQ38" s="548"/>
      <c r="AAR38" s="548"/>
      <c r="AAS38" s="548"/>
      <c r="AAT38" s="548"/>
      <c r="AAU38" s="548"/>
      <c r="AAV38" s="548"/>
      <c r="AAW38" s="548"/>
      <c r="AAX38" s="548"/>
      <c r="AAY38" s="548"/>
      <c r="AAZ38" s="548"/>
      <c r="ABA38" s="548"/>
      <c r="ABB38" s="548"/>
      <c r="ABC38" s="548"/>
      <c r="ABD38" s="548"/>
      <c r="ABE38" s="548"/>
      <c r="ABF38" s="548"/>
      <c r="ABG38" s="548"/>
      <c r="ABH38" s="548"/>
      <c r="ABI38" s="548"/>
      <c r="ABJ38" s="548"/>
      <c r="ABK38" s="548"/>
      <c r="ABL38" s="548"/>
      <c r="ABM38" s="548"/>
      <c r="ABN38" s="548"/>
      <c r="ABO38" s="548"/>
      <c r="ABP38" s="548"/>
      <c r="ABQ38" s="548"/>
      <c r="ABR38" s="548"/>
      <c r="ABS38" s="548"/>
    </row>
    <row r="39" spans="1:747" customFormat="1" ht="15" customHeight="1" x14ac:dyDescent="0.2">
      <c r="A39" s="424" t="str">
        <f t="shared" si="149"/>
        <v/>
      </c>
      <c r="B39" s="415"/>
      <c r="C39" s="525"/>
      <c r="D39" s="750"/>
      <c r="E39" s="416" t="str">
        <f t="shared" si="393"/>
        <v/>
      </c>
      <c r="F39" s="527" t="str">
        <f t="shared" si="394"/>
        <v/>
      </c>
      <c r="G39" s="417"/>
      <c r="H39" s="583" t="str">
        <f t="shared" si="395"/>
        <v/>
      </c>
      <c r="I39" s="424"/>
      <c r="J39" s="749"/>
      <c r="K39" s="418"/>
      <c r="L39" s="419"/>
      <c r="M39" s="415"/>
      <c r="N39" s="420"/>
      <c r="O39" s="653"/>
      <c r="P39" s="561"/>
      <c r="Q39" s="422"/>
      <c r="R39" s="561" t="str">
        <f t="shared" si="396"/>
        <v/>
      </c>
      <c r="S39" s="664"/>
      <c r="T39" s="663"/>
      <c r="U39" s="580">
        <f t="shared" si="397"/>
        <v>0</v>
      </c>
      <c r="V39" s="418"/>
      <c r="W39" s="582" t="str">
        <f t="shared" si="398"/>
        <v/>
      </c>
      <c r="X39" s="479" t="str">
        <f t="shared" si="399"/>
        <v/>
      </c>
      <c r="Y39" s="582" t="str">
        <f t="shared" si="400"/>
        <v/>
      </c>
      <c r="Z39" s="317" t="str">
        <f t="shared" si="401"/>
        <v/>
      </c>
      <c r="AA39" s="317" t="str">
        <f t="shared" si="402"/>
        <v/>
      </c>
      <c r="AB39" s="317">
        <f t="shared" si="403"/>
        <v>0</v>
      </c>
      <c r="AC39" s="317" t="str">
        <f t="shared" si="404"/>
        <v/>
      </c>
      <c r="AD39" s="317"/>
      <c r="AE39" s="479"/>
      <c r="AF39" s="479"/>
      <c r="AG39" s="423"/>
      <c r="AH39" s="820"/>
      <c r="AI39" s="480"/>
      <c r="AJ39" s="660"/>
      <c r="AK39" s="524" t="str">
        <f t="shared" si="405"/>
        <v/>
      </c>
      <c r="AL39" s="729">
        <f>SUMIF($J$4:$J$18,"Futuro",$S$4:$S$18)</f>
        <v>0</v>
      </c>
      <c r="AM39" s="730">
        <f>SUMIF($J$4:$J$18,"Futuro",$T$4:$T$18)</f>
        <v>0</v>
      </c>
      <c r="AN39" s="426">
        <f t="shared" si="406"/>
        <v>0</v>
      </c>
      <c r="AO39" s="427" t="str">
        <f t="shared" si="407"/>
        <v/>
      </c>
      <c r="AP39" s="426" t="str">
        <f t="shared" si="408"/>
        <v/>
      </c>
      <c r="AQ39" s="426"/>
      <c r="AR39" s="426"/>
      <c r="AS39" s="428"/>
      <c r="AT39" s="429"/>
      <c r="AU39" s="430"/>
      <c r="AV39" s="431"/>
      <c r="AW39" s="432"/>
      <c r="AX39" s="430"/>
      <c r="AY39" s="431">
        <f t="shared" si="409"/>
        <v>0</v>
      </c>
      <c r="AZ39" s="426"/>
      <c r="BA39" s="435" t="str">
        <f t="shared" si="410"/>
        <v/>
      </c>
      <c r="BB39" s="435"/>
      <c r="BC39" s="426"/>
      <c r="BD39" s="426">
        <f t="array" ref="BD39">IF(SUM((BC39=$BC$3:BC38)*1)=0,BC39,0)</f>
        <v>0</v>
      </c>
      <c r="BE39" s="426"/>
      <c r="BF39" s="426"/>
      <c r="BG39" s="426">
        <f t="array" ref="BG39">IF(SUM((BF39=$BF$3:BF38)*1)=0,BF39,0)</f>
        <v>0</v>
      </c>
      <c r="BH39" s="426"/>
      <c r="BI39" s="426"/>
      <c r="BJ39" s="426"/>
      <c r="BK39" s="426"/>
      <c r="BL39" s="426"/>
      <c r="BM39" s="426"/>
      <c r="BN39" s="426"/>
      <c r="BO39" s="426"/>
      <c r="BP39" s="433">
        <f t="shared" si="411"/>
        <v>0</v>
      </c>
      <c r="BQ39" s="426"/>
      <c r="BR39" s="434"/>
      <c r="BS39" s="426"/>
      <c r="BT39" s="433"/>
      <c r="BU39" s="435"/>
      <c r="BV39" s="435" t="str">
        <f t="shared" si="412"/>
        <v/>
      </c>
      <c r="BW39" s="435" t="str">
        <f t="shared" si="38"/>
        <v/>
      </c>
      <c r="BX39" s="435"/>
      <c r="BY39" s="435"/>
      <c r="BZ39" s="435"/>
      <c r="CA39" s="435"/>
      <c r="CB39" s="435"/>
      <c r="CC39" s="435"/>
      <c r="CD39" s="435"/>
      <c r="CE39" s="435"/>
      <c r="CF39" s="435"/>
      <c r="CG39" s="435"/>
      <c r="CH39" s="435"/>
      <c r="CI39" s="435"/>
      <c r="CJ39" s="426" t="str">
        <f t="shared" si="39"/>
        <v/>
      </c>
      <c r="CK39" s="435"/>
      <c r="CL39" s="426"/>
      <c r="CM39" s="435"/>
      <c r="CN39" s="426"/>
      <c r="CO39" s="426"/>
      <c r="CP39" s="426"/>
      <c r="CQ39" s="426"/>
      <c r="CR39" s="426"/>
      <c r="CS39" s="426"/>
      <c r="CT39" s="426"/>
      <c r="CU39" s="426"/>
      <c r="CV39" s="426"/>
      <c r="CW39" s="426"/>
      <c r="CX39" s="426"/>
      <c r="CY39" s="426">
        <v>36</v>
      </c>
      <c r="CZ39" s="426"/>
      <c r="DA39" s="426"/>
      <c r="DB39" s="426"/>
      <c r="DC39" s="426" t="s">
        <v>779</v>
      </c>
      <c r="DD39" s="426" t="s">
        <v>939</v>
      </c>
      <c r="DE39" s="435" t="str">
        <f t="shared" si="40"/>
        <v/>
      </c>
      <c r="DF39" s="435" t="str">
        <f t="shared" si="41"/>
        <v/>
      </c>
      <c r="DG39" s="435" t="str">
        <f t="shared" si="42"/>
        <v/>
      </c>
      <c r="DH39" s="435" t="str">
        <f t="shared" si="43"/>
        <v/>
      </c>
      <c r="DI39" s="435" t="str">
        <f t="shared" si="44"/>
        <v/>
      </c>
      <c r="DJ39" s="435" t="str">
        <f t="shared" si="45"/>
        <v/>
      </c>
      <c r="DK39" s="435" t="str">
        <f t="shared" si="413"/>
        <v/>
      </c>
      <c r="DL39" s="435" t="str">
        <f t="shared" si="414"/>
        <v/>
      </c>
      <c r="DM39" s="435" t="str">
        <f t="shared" si="46"/>
        <v/>
      </c>
      <c r="DN39" s="435" t="str">
        <f t="shared" si="47"/>
        <v/>
      </c>
      <c r="DO39" s="435" t="str">
        <f t="shared" si="415"/>
        <v/>
      </c>
      <c r="DP39" s="435" t="str">
        <f t="shared" si="416"/>
        <v/>
      </c>
      <c r="DQ39" s="435" t="str">
        <f t="shared" si="48"/>
        <v/>
      </c>
      <c r="DR39" s="435" t="str">
        <f t="shared" si="49"/>
        <v/>
      </c>
      <c r="DS39" s="435" t="str">
        <f t="shared" si="417"/>
        <v/>
      </c>
      <c r="DT39" s="435" t="str">
        <f t="shared" si="418"/>
        <v/>
      </c>
      <c r="DU39" s="435" t="str">
        <f t="shared" si="50"/>
        <v/>
      </c>
      <c r="DV39" s="435" t="str">
        <f t="shared" si="51"/>
        <v/>
      </c>
      <c r="DW39" s="435" t="str">
        <f t="shared" si="419"/>
        <v/>
      </c>
      <c r="DX39" s="435" t="str">
        <f t="shared" si="420"/>
        <v/>
      </c>
      <c r="DY39" s="435" t="str">
        <f t="shared" si="52"/>
        <v/>
      </c>
      <c r="DZ39" s="435" t="str">
        <f t="shared" si="53"/>
        <v/>
      </c>
      <c r="EA39" s="435" t="str">
        <f t="shared" si="421"/>
        <v/>
      </c>
      <c r="EB39" s="435" t="str">
        <f t="shared" si="422"/>
        <v/>
      </c>
      <c r="EC39" s="435" t="str">
        <f t="shared" si="423"/>
        <v/>
      </c>
      <c r="ED39" s="435" t="str">
        <f t="shared" si="424"/>
        <v/>
      </c>
      <c r="EE39" s="435" t="str">
        <f t="shared" si="425"/>
        <v/>
      </c>
      <c r="EF39" s="435" t="str">
        <f t="shared" si="426"/>
        <v/>
      </c>
      <c r="EG39" s="435" t="str">
        <f t="shared" si="427"/>
        <v/>
      </c>
      <c r="EH39" s="435" t="str">
        <f t="shared" si="428"/>
        <v/>
      </c>
      <c r="EI39" s="435" t="str">
        <f t="shared" si="429"/>
        <v/>
      </c>
      <c r="EJ39" s="435" t="str">
        <f t="shared" si="430"/>
        <v/>
      </c>
      <c r="EK39" s="485"/>
      <c r="EL39" s="485"/>
      <c r="EM39" s="485"/>
      <c r="EN39" s="485"/>
      <c r="EO39" s="448"/>
      <c r="EP39" s="448"/>
      <c r="EQ39" s="448"/>
      <c r="ER39" s="448"/>
      <c r="ES39" s="448"/>
      <c r="ET39" s="435"/>
      <c r="EU39" s="435"/>
      <c r="EV39" s="435"/>
      <c r="EW39" s="435"/>
      <c r="EX39" s="426"/>
      <c r="EY39" s="426"/>
      <c r="EZ39" s="426"/>
      <c r="FA39" s="427"/>
      <c r="FB39" s="427">
        <f t="array" ref="FB39">IF(SUM((FA39=$FA$3:FA38)*1)=0,FA39,0)</f>
        <v>0</v>
      </c>
      <c r="FC39" s="427"/>
      <c r="FD39" s="427"/>
      <c r="FE39" s="427">
        <f t="array" ref="FE39">IF(SUM((FD39=$FD$3:FD38)*1)=0,FD39,0)</f>
        <v>0</v>
      </c>
      <c r="FF39" s="427"/>
      <c r="FG39" s="427"/>
      <c r="FH39" s="427"/>
      <c r="FI39" s="427">
        <f t="array" ref="FI39">IF(SUM((FH39=$FH$3:FH38)*1)=0,FH39,0)</f>
        <v>0</v>
      </c>
      <c r="FJ39" s="427"/>
      <c r="FK39" s="427"/>
      <c r="FL39" s="427">
        <f t="array" ref="FL39">IF(SUM((FK39=$FK$3:FK38)*1)=0,FK39,0)</f>
        <v>0</v>
      </c>
      <c r="FM39" s="427"/>
      <c r="FN39" s="427"/>
      <c r="FO39" s="427"/>
      <c r="FP39" s="427">
        <f t="array" ref="FP39">IF(SUM((FO39=$FO$3:FO38)*1)=0,FO39,0)</f>
        <v>0</v>
      </c>
      <c r="FQ39" s="427"/>
      <c r="FR39" s="427"/>
      <c r="FS39" s="427">
        <f t="array" ref="FS39">IF(SUM((FR39=$FR$3:FR38)*1)=0,FR39,0)</f>
        <v>0</v>
      </c>
      <c r="FT39" s="427"/>
      <c r="FU39" s="427"/>
      <c r="FV39" s="427"/>
      <c r="FW39" s="427">
        <f t="array" ref="FW39">IF(SUM((FV39=$FV$3:FV38)*1)=0,FV39,0)</f>
        <v>0</v>
      </c>
      <c r="FX39" s="427"/>
      <c r="FY39" s="427"/>
      <c r="FZ39" s="427">
        <f t="array" ref="FZ39">IF(SUM((FY39=$FY$3:FY38)*1)=0,FY39,0)</f>
        <v>0</v>
      </c>
      <c r="GA39" s="427"/>
      <c r="GB39" s="427"/>
      <c r="GC39" s="427"/>
      <c r="GD39" s="427">
        <f t="array" ref="GD39">IF(SUM((GC39=$GC$3:GC38)*1)=0,GC39,0)</f>
        <v>0</v>
      </c>
      <c r="GE39" s="427"/>
      <c r="GF39" s="427"/>
      <c r="GG39" s="427">
        <f t="array" ref="GG39">IF(SUM((GF39=$GF$3:GF38)*1)=0,GF39,0)</f>
        <v>0</v>
      </c>
      <c r="GH39" s="427"/>
      <c r="GI39" s="427"/>
      <c r="GJ39" s="427"/>
      <c r="GK39" s="798">
        <f t="array" ref="GK39">IF(SUM((GJ39=$GJ$3:GJ38)*1)=0,GJ39,0)</f>
        <v>0</v>
      </c>
      <c r="GL39" s="427"/>
      <c r="GM39" s="427"/>
      <c r="GN39" s="798">
        <f t="array" ref="GN39">IF(SUM((GM39=$GM$3:GM38)*1)=0,GM39,0)</f>
        <v>0</v>
      </c>
      <c r="GO39" s="427"/>
      <c r="GP39" s="427"/>
      <c r="GQ39" s="427"/>
      <c r="GR39" s="798">
        <f t="array" ref="GR39">IF(SUM((GQ39=$GQ$3:GQ38)*1)=0,GQ39,0)</f>
        <v>0</v>
      </c>
      <c r="GS39" s="427"/>
      <c r="GT39" s="427"/>
      <c r="GU39" s="798">
        <f t="array" ref="GU39">IF(SUM((GT39=$GT$3:GT38)*1)=0,GT39,0)</f>
        <v>0</v>
      </c>
      <c r="GV39" s="427"/>
      <c r="GW39" s="427"/>
      <c r="GX39" s="427"/>
      <c r="GY39" s="798">
        <f t="array" ref="GY39">IF(SUM((GX39=$GX$3:GX38)*1)=0,GX39,0)</f>
        <v>0</v>
      </c>
      <c r="GZ39" s="427"/>
      <c r="HA39" s="427"/>
      <c r="HB39" s="798">
        <f t="array" ref="HB39">IF(SUM((HA39=$HA$3:HA38)*1)=0,HA39,0)</f>
        <v>0</v>
      </c>
      <c r="HC39" s="427"/>
      <c r="HD39" s="427"/>
      <c r="HE39" s="769" t="str">
        <f t="shared" si="130"/>
        <v/>
      </c>
      <c r="HF39" s="768" t="str">
        <f t="shared" ref="HF39" si="490">IF(HE39&lt;0,"Invadiu REP-BA-C","")</f>
        <v/>
      </c>
      <c r="HG39" s="769" t="str">
        <f t="shared" si="131"/>
        <v/>
      </c>
      <c r="HH39" s="768" t="str">
        <f t="shared" si="55"/>
        <v/>
      </c>
      <c r="HI39" s="728" t="str">
        <f t="shared" si="132"/>
        <v/>
      </c>
      <c r="HJ39" s="768" t="str">
        <f t="shared" si="56"/>
        <v/>
      </c>
      <c r="HK39" s="728" t="str">
        <f t="shared" si="133"/>
        <v/>
      </c>
      <c r="HL39" s="768" t="str">
        <f t="shared" si="57"/>
        <v/>
      </c>
      <c r="HM39" s="769" t="str">
        <f t="shared" si="441"/>
        <v/>
      </c>
      <c r="HN39" s="768" t="str">
        <f t="shared" ref="HN39" si="491">IF(HM39&lt;0,"Invadiu REP-BA-C","")</f>
        <v/>
      </c>
      <c r="HO39" s="769" t="str">
        <f t="shared" si="443"/>
        <v/>
      </c>
      <c r="HP39" s="768" t="str">
        <f t="shared" si="61"/>
        <v/>
      </c>
      <c r="HQ39" s="728" t="str">
        <f t="shared" si="444"/>
        <v/>
      </c>
      <c r="HR39" s="768" t="str">
        <f t="shared" si="63"/>
        <v/>
      </c>
      <c r="HS39" s="728" t="str">
        <f t="shared" si="445"/>
        <v/>
      </c>
      <c r="HT39" s="768" t="str">
        <f t="shared" si="65"/>
        <v/>
      </c>
      <c r="HU39" s="769" t="str">
        <f t="shared" si="446"/>
        <v/>
      </c>
      <c r="HV39" s="768" t="str">
        <f t="shared" ref="HV39" si="492">IF(HU39&lt;0,"Invadiu REP-BA-C","")</f>
        <v/>
      </c>
      <c r="HW39" s="769" t="str">
        <f t="shared" si="448"/>
        <v/>
      </c>
      <c r="HX39" s="768" t="str">
        <f t="shared" si="69"/>
        <v/>
      </c>
      <c r="HY39" s="728" t="str">
        <f t="shared" si="449"/>
        <v/>
      </c>
      <c r="HZ39" s="768" t="str">
        <f t="shared" si="71"/>
        <v/>
      </c>
      <c r="IA39" s="728" t="str">
        <f t="shared" si="450"/>
        <v/>
      </c>
      <c r="IB39" s="768" t="str">
        <f t="shared" si="73"/>
        <v/>
      </c>
      <c r="IC39" s="769" t="str">
        <f t="shared" si="451"/>
        <v/>
      </c>
      <c r="ID39" s="768" t="str">
        <f t="shared" ref="ID39" si="493">IF(IC39&lt;0,"Invadiu REP-BA-C","")</f>
        <v/>
      </c>
      <c r="IE39" s="769" t="str">
        <f t="shared" si="453"/>
        <v/>
      </c>
      <c r="IF39" s="768" t="str">
        <f t="shared" si="77"/>
        <v/>
      </c>
      <c r="IG39" s="728" t="str">
        <f t="shared" si="454"/>
        <v/>
      </c>
      <c r="IH39" s="768" t="str">
        <f t="shared" si="79"/>
        <v/>
      </c>
      <c r="II39" s="728" t="str">
        <f t="shared" si="455"/>
        <v/>
      </c>
      <c r="IJ39" s="768" t="str">
        <f t="shared" si="81"/>
        <v/>
      </c>
      <c r="IK39" s="769" t="str">
        <f t="shared" si="456"/>
        <v/>
      </c>
      <c r="IL39" s="768" t="str">
        <f t="shared" ref="IL39" si="494">IF(IK39&lt;0,"Invadiu REP-BA-C","")</f>
        <v/>
      </c>
      <c r="IM39" s="769" t="str">
        <f t="shared" si="458"/>
        <v/>
      </c>
      <c r="IN39" s="768" t="str">
        <f t="shared" si="85"/>
        <v/>
      </c>
      <c r="IO39" s="728" t="str">
        <f t="shared" si="459"/>
        <v/>
      </c>
      <c r="IP39" s="768" t="str">
        <f t="shared" si="87"/>
        <v/>
      </c>
      <c r="IQ39" s="728" t="str">
        <f t="shared" si="460"/>
        <v/>
      </c>
      <c r="IR39" s="768" t="str">
        <f t="shared" si="89"/>
        <v/>
      </c>
      <c r="IS39" s="769" t="str">
        <f t="shared" si="461"/>
        <v/>
      </c>
      <c r="IT39" s="768" t="str">
        <f t="shared" ref="IT39" si="495">IF(IS39&lt;0,"Invadiu REP-BA-C","")</f>
        <v/>
      </c>
      <c r="IU39" s="769" t="str">
        <f t="shared" si="463"/>
        <v/>
      </c>
      <c r="IV39" s="768" t="str">
        <f t="shared" si="93"/>
        <v/>
      </c>
      <c r="IW39" s="728" t="str">
        <f t="shared" si="464"/>
        <v/>
      </c>
      <c r="IX39" s="768" t="str">
        <f t="shared" si="95"/>
        <v/>
      </c>
      <c r="IY39" s="728" t="str">
        <f t="shared" si="465"/>
        <v/>
      </c>
      <c r="IZ39" s="768" t="str">
        <f t="shared" si="97"/>
        <v/>
      </c>
      <c r="JA39" s="769" t="str">
        <f t="shared" si="466"/>
        <v/>
      </c>
      <c r="JB39" s="768" t="str">
        <f t="shared" ref="JB39" si="496">IF(JA39&lt;0,"Invadiu REP-BA-C","")</f>
        <v/>
      </c>
      <c r="JC39" s="769" t="str">
        <f t="shared" si="468"/>
        <v/>
      </c>
      <c r="JD39" s="768" t="str">
        <f t="shared" si="101"/>
        <v/>
      </c>
      <c r="JE39" s="728" t="str">
        <f t="shared" si="469"/>
        <v/>
      </c>
      <c r="JF39" s="768" t="str">
        <f t="shared" si="103"/>
        <v/>
      </c>
      <c r="JG39" s="728" t="str">
        <f t="shared" si="470"/>
        <v/>
      </c>
      <c r="JH39" s="768" t="str">
        <f t="shared" si="105"/>
        <v/>
      </c>
      <c r="JI39" s="769" t="str">
        <f t="shared" si="471"/>
        <v/>
      </c>
      <c r="JJ39" s="768" t="str">
        <f t="shared" ref="JJ39" si="497">IF(JI39&lt;0,"Invadiu REP-BA-C","")</f>
        <v/>
      </c>
      <c r="JK39" s="769" t="str">
        <f t="shared" si="473"/>
        <v/>
      </c>
      <c r="JL39" s="768" t="str">
        <f t="shared" si="109"/>
        <v/>
      </c>
      <c r="JM39" s="728" t="str">
        <f t="shared" si="474"/>
        <v/>
      </c>
      <c r="JN39" s="768" t="str">
        <f t="shared" si="111"/>
        <v/>
      </c>
      <c r="JO39" s="728" t="str">
        <f t="shared" si="475"/>
        <v/>
      </c>
      <c r="JP39" s="768" t="str">
        <f t="shared" si="113"/>
        <v/>
      </c>
      <c r="JQ39" s="769" t="str">
        <f t="shared" si="476"/>
        <v/>
      </c>
      <c r="JR39" s="768" t="str">
        <f t="shared" ref="JR39" si="498">IF(JQ39&lt;0,"Invadiu REP-BA-C","")</f>
        <v/>
      </c>
      <c r="JS39" s="769" t="str">
        <f t="shared" si="478"/>
        <v/>
      </c>
      <c r="JT39" s="768" t="str">
        <f t="shared" si="117"/>
        <v/>
      </c>
      <c r="JU39" s="728" t="str">
        <f t="shared" si="479"/>
        <v/>
      </c>
      <c r="JV39" s="768" t="str">
        <f t="shared" si="119"/>
        <v/>
      </c>
      <c r="JW39" s="728" t="str">
        <f t="shared" si="480"/>
        <v/>
      </c>
      <c r="JX39" s="768" t="str">
        <f t="shared" si="121"/>
        <v/>
      </c>
      <c r="JY39" s="768" t="str">
        <f t="shared" si="122"/>
        <v/>
      </c>
      <c r="JZ39" s="485" t="str">
        <f>IF(JY39="","",IF(AND(C39=$C$164,JY39&lt;&gt;""),Verificarcpf(D39),IF(AND(C39=$C$165,JY39&lt;&gt;""),VerificarCNPJ(D39))))</f>
        <v/>
      </c>
      <c r="KA39" s="768" t="str">
        <f t="shared" si="123"/>
        <v/>
      </c>
      <c r="KB39" s="485">
        <f t="shared" si="124"/>
        <v>0</v>
      </c>
      <c r="KC39" s="768">
        <f t="shared" si="125"/>
        <v>0</v>
      </c>
      <c r="KD39" s="485">
        <f t="shared" si="126"/>
        <v>0</v>
      </c>
      <c r="KE39" s="448"/>
      <c r="KF39" s="548"/>
      <c r="KG39" s="548"/>
      <c r="KH39" s="548"/>
      <c r="KI39" s="548"/>
      <c r="KJ39" s="548" t="str">
        <f t="shared" si="128"/>
        <v/>
      </c>
      <c r="KK39" s="548"/>
      <c r="KL39" s="548"/>
      <c r="KM39" s="548">
        <f t="array" ref="KM39">IF(SUM((KL39=$KL$3:KL38)*1)=0,KL39,0)</f>
        <v>0</v>
      </c>
      <c r="KN39" s="548"/>
      <c r="KO39" s="548"/>
      <c r="KP39" s="548"/>
      <c r="KQ39" s="548"/>
      <c r="KR39" s="548" t="str">
        <f t="shared" si="129"/>
        <v/>
      </c>
      <c r="KS39" s="548"/>
      <c r="KT39" s="548"/>
      <c r="KU39" s="548"/>
      <c r="KV39" s="548"/>
      <c r="KW39" s="548"/>
      <c r="KX39" s="548"/>
      <c r="KY39" s="548"/>
      <c r="KZ39" s="548"/>
      <c r="LA39" s="548"/>
      <c r="LB39" s="548"/>
      <c r="LC39" s="485" t="str">
        <f t="shared" si="142"/>
        <v/>
      </c>
      <c r="LD39" s="548"/>
      <c r="LE39" s="548"/>
      <c r="LF39" s="548"/>
      <c r="LG39" s="548"/>
      <c r="LH39" s="548"/>
      <c r="LI39" s="548"/>
      <c r="LJ39" s="548"/>
      <c r="LK39" s="548"/>
      <c r="LL39" s="548"/>
      <c r="LM39" s="548"/>
      <c r="LN39" s="548"/>
      <c r="LO39" s="548"/>
      <c r="LP39" s="485" t="str">
        <f t="shared" si="143"/>
        <v/>
      </c>
      <c r="LQ39" s="548"/>
      <c r="LR39" s="548"/>
      <c r="LS39" s="548"/>
      <c r="LT39" s="548"/>
      <c r="LU39" s="548"/>
      <c r="LV39" s="548"/>
      <c r="LW39" s="548"/>
      <c r="LX39" s="548"/>
      <c r="LY39" s="548"/>
      <c r="LZ39" s="548"/>
      <c r="MA39" s="548"/>
      <c r="MB39" s="548"/>
      <c r="MC39" s="485" t="str">
        <f t="shared" si="144"/>
        <v/>
      </c>
      <c r="MD39" s="548"/>
      <c r="ME39" s="548"/>
      <c r="MF39" s="548"/>
      <c r="MG39" s="548"/>
      <c r="MH39" s="548"/>
      <c r="MI39" s="548"/>
      <c r="MJ39" s="548"/>
      <c r="MK39" s="548"/>
      <c r="ML39" s="548"/>
      <c r="MM39" s="548"/>
      <c r="MN39" s="548"/>
      <c r="MO39" s="548"/>
      <c r="MP39" s="485" t="str">
        <f t="shared" si="145"/>
        <v/>
      </c>
      <c r="MQ39" s="548"/>
      <c r="MR39" s="548"/>
      <c r="MS39" s="548"/>
      <c r="MT39" s="548"/>
      <c r="MU39" s="548"/>
      <c r="MV39" s="548"/>
      <c r="MW39" s="548"/>
      <c r="MX39" s="548"/>
      <c r="MY39" s="548"/>
      <c r="MZ39" s="548"/>
      <c r="NA39" s="548"/>
      <c r="NB39" s="548"/>
      <c r="NC39" s="485" t="str">
        <f t="shared" si="146"/>
        <v/>
      </c>
      <c r="ND39" s="548"/>
      <c r="NE39" s="548"/>
      <c r="NF39" s="548"/>
      <c r="NG39" s="548"/>
      <c r="NH39" s="548"/>
      <c r="NI39" s="548"/>
      <c r="NJ39" s="548"/>
      <c r="NK39" s="548"/>
      <c r="NL39" s="548"/>
      <c r="NM39" s="548"/>
      <c r="NN39" s="548"/>
      <c r="NO39" s="548"/>
      <c r="NP39" s="485" t="str">
        <f t="shared" si="147"/>
        <v/>
      </c>
      <c r="NQ39" s="548"/>
      <c r="NR39" s="548"/>
      <c r="NS39" s="548"/>
      <c r="NT39" s="548"/>
      <c r="NU39" s="548"/>
      <c r="NV39" s="548"/>
      <c r="NW39" s="548"/>
      <c r="NX39" s="548"/>
      <c r="NY39" s="548"/>
      <c r="NZ39" s="548"/>
      <c r="OA39" s="548"/>
      <c r="OB39" s="548"/>
      <c r="OC39" s="485" t="str">
        <f t="shared" si="148"/>
        <v/>
      </c>
      <c r="OD39" s="548"/>
      <c r="OE39" s="548"/>
      <c r="OF39" s="548"/>
      <c r="OG39" s="548"/>
      <c r="OH39" s="548"/>
      <c r="OI39" s="548"/>
      <c r="OJ39" s="548"/>
      <c r="OK39" s="548"/>
      <c r="OL39" s="548"/>
      <c r="OM39" s="548"/>
      <c r="ON39" s="548"/>
      <c r="OO39" s="548"/>
      <c r="OP39" s="548"/>
      <c r="OQ39" s="548"/>
      <c r="OR39" s="548"/>
      <c r="OS39" s="548"/>
      <c r="OT39" s="548"/>
      <c r="OU39" s="548"/>
      <c r="OV39" s="548"/>
      <c r="OW39" s="548"/>
      <c r="OX39" s="548"/>
      <c r="OY39" s="548"/>
      <c r="OZ39" s="548"/>
      <c r="PA39" s="548"/>
      <c r="PB39" s="548"/>
      <c r="PC39" s="548"/>
      <c r="PD39" s="548"/>
      <c r="PE39" s="548"/>
      <c r="PF39" s="548"/>
      <c r="PG39" s="548"/>
      <c r="PH39" s="548"/>
      <c r="PI39" s="548"/>
      <c r="PJ39" s="548"/>
      <c r="PK39" s="548"/>
      <c r="PL39" s="548"/>
      <c r="PM39" s="548"/>
      <c r="PN39" s="548"/>
      <c r="PO39" s="548"/>
      <c r="PP39" s="548"/>
      <c r="PQ39" s="548"/>
      <c r="PR39" s="548"/>
      <c r="PS39" s="548"/>
      <c r="PT39" s="548"/>
      <c r="PU39" s="548"/>
      <c r="PV39" s="548"/>
      <c r="PW39" s="548"/>
      <c r="PX39" s="548"/>
      <c r="PY39" s="548"/>
      <c r="PZ39" s="548"/>
      <c r="QA39" s="548"/>
      <c r="QB39" s="548"/>
      <c r="QC39" s="548"/>
      <c r="QD39" s="548"/>
      <c r="QE39" s="548"/>
      <c r="QF39" s="548"/>
      <c r="QG39" s="548"/>
      <c r="QH39" s="548"/>
      <c r="QI39" s="548"/>
      <c r="QJ39" s="548"/>
      <c r="QK39" s="548"/>
      <c r="QL39" s="548"/>
      <c r="QM39" s="548"/>
      <c r="QN39" s="548"/>
      <c r="QO39" s="548"/>
      <c r="QP39" s="548"/>
      <c r="QQ39" s="1009"/>
      <c r="QR39" s="548"/>
      <c r="QS39" s="548"/>
      <c r="QT39" s="548"/>
      <c r="QU39" s="548"/>
      <c r="QV39" s="548"/>
      <c r="QW39" s="548"/>
      <c r="QX39" s="548"/>
      <c r="QY39" s="548"/>
      <c r="QZ39" s="548"/>
      <c r="RA39" s="548"/>
      <c r="RB39" s="548"/>
      <c r="RC39" s="548"/>
      <c r="RD39" s="548"/>
      <c r="RE39" s="548"/>
      <c r="RF39" s="548"/>
      <c r="RG39" s="548"/>
      <c r="RH39" s="548"/>
      <c r="RI39" s="548"/>
      <c r="RJ39" s="548"/>
      <c r="RK39" s="548"/>
      <c r="RL39" s="548"/>
      <c r="RM39" s="548"/>
      <c r="RN39" s="548"/>
      <c r="RO39" s="548"/>
      <c r="RP39" s="548"/>
      <c r="RQ39" s="548"/>
      <c r="RR39" s="548"/>
      <c r="RS39" s="548"/>
      <c r="RT39" s="548"/>
      <c r="RU39" s="548"/>
      <c r="RV39" s="548"/>
      <c r="RW39" s="548"/>
      <c r="RX39" s="548"/>
      <c r="RY39" s="548"/>
      <c r="RZ39" s="548"/>
      <c r="SA39" s="548"/>
      <c r="SB39" s="548"/>
      <c r="SC39" s="548"/>
      <c r="SD39" s="548"/>
      <c r="SE39" s="548"/>
      <c r="SF39" s="548"/>
      <c r="SG39" s="548"/>
      <c r="SH39" s="548"/>
      <c r="SI39" s="548"/>
      <c r="SJ39" s="548"/>
      <c r="SK39" s="548"/>
      <c r="SL39" s="548"/>
      <c r="SM39" s="548"/>
      <c r="SN39" s="548"/>
      <c r="SO39" s="548"/>
      <c r="SP39" s="548"/>
      <c r="SQ39" s="548"/>
      <c r="SR39" s="548"/>
      <c r="SS39" s="548"/>
      <c r="ST39" s="548"/>
      <c r="SU39" s="548"/>
      <c r="SV39" s="548"/>
      <c r="SW39" s="548"/>
      <c r="SX39" s="548"/>
      <c r="SY39" s="548"/>
      <c r="SZ39" s="548"/>
      <c r="TA39" s="548"/>
      <c r="TB39" s="548"/>
      <c r="TC39" s="548"/>
      <c r="TD39" s="548"/>
      <c r="TE39" s="548"/>
      <c r="TF39" s="548"/>
      <c r="TG39" s="548"/>
      <c r="TH39" s="548"/>
      <c r="TI39" s="548"/>
      <c r="TJ39" s="548"/>
      <c r="TK39" s="548"/>
      <c r="TL39" s="548"/>
      <c r="TM39" s="548"/>
      <c r="TN39" s="548"/>
      <c r="TO39" s="548"/>
      <c r="TP39" s="548"/>
      <c r="TQ39" s="548"/>
      <c r="TR39" s="548"/>
      <c r="TS39" s="548"/>
      <c r="TT39" s="548"/>
      <c r="TU39" s="548"/>
      <c r="TV39" s="548"/>
      <c r="TW39" s="548"/>
      <c r="TX39" s="548"/>
      <c r="TY39" s="548"/>
      <c r="TZ39" s="548"/>
      <c r="UA39" s="548"/>
      <c r="UB39" s="548"/>
      <c r="UC39" s="548"/>
      <c r="UD39" s="548"/>
      <c r="UE39" s="548"/>
      <c r="UF39" s="548"/>
      <c r="UG39" s="548"/>
      <c r="UH39" s="548"/>
      <c r="UI39" s="548"/>
      <c r="UJ39" s="548"/>
      <c r="UK39" s="548"/>
      <c r="UL39" s="548"/>
      <c r="UM39" s="548"/>
      <c r="UN39" s="548"/>
      <c r="UO39" s="548"/>
      <c r="UP39" s="548"/>
      <c r="UQ39" s="548"/>
      <c r="UR39" s="548"/>
      <c r="US39" s="548"/>
      <c r="UT39" s="548"/>
      <c r="UU39" s="548"/>
      <c r="UV39" s="548"/>
      <c r="UW39" s="548"/>
      <c r="UX39" s="548"/>
      <c r="UY39" s="548"/>
      <c r="UZ39" s="548"/>
      <c r="VA39" s="548"/>
      <c r="VB39" s="548"/>
      <c r="VC39" s="548"/>
      <c r="VD39" s="548"/>
      <c r="VE39" s="548"/>
      <c r="VF39" s="548"/>
      <c r="VG39" s="548"/>
      <c r="VH39" s="548"/>
      <c r="VI39" s="548"/>
      <c r="VJ39" s="548"/>
      <c r="VK39" s="548"/>
      <c r="VL39" s="548"/>
      <c r="VM39" s="548"/>
      <c r="VN39" s="548"/>
      <c r="VO39" s="548"/>
      <c r="VP39" s="548"/>
      <c r="VQ39" s="548"/>
      <c r="VR39" s="548"/>
      <c r="VS39" s="548"/>
      <c r="VT39" s="548"/>
      <c r="VU39" s="548"/>
      <c r="VV39" s="548"/>
      <c r="VW39" s="548"/>
      <c r="VX39" s="548"/>
      <c r="VY39" s="548"/>
      <c r="VZ39" s="548"/>
      <c r="WA39" s="548"/>
      <c r="WB39" s="548"/>
      <c r="WC39" s="548"/>
      <c r="WD39" s="548"/>
      <c r="WE39" s="548"/>
      <c r="WF39" s="548"/>
      <c r="WG39" s="548"/>
      <c r="WH39" s="548"/>
      <c r="WI39" s="548"/>
      <c r="WJ39" s="548"/>
      <c r="WK39" s="548"/>
      <c r="WL39" s="548"/>
      <c r="WM39" s="548"/>
      <c r="WN39" s="548"/>
      <c r="WO39" s="548"/>
      <c r="WP39" s="548"/>
      <c r="WQ39" s="548"/>
      <c r="WR39" s="548"/>
      <c r="WS39" s="548"/>
      <c r="WT39" s="548"/>
      <c r="WU39" s="548"/>
      <c r="WV39" s="548"/>
      <c r="WW39" s="548"/>
      <c r="WX39" s="548"/>
      <c r="WY39" s="548"/>
      <c r="WZ39" s="548"/>
      <c r="XA39" s="548"/>
      <c r="XB39" s="548"/>
      <c r="XC39" s="548"/>
      <c r="XD39" s="548"/>
      <c r="XE39" s="548"/>
      <c r="XF39" s="548"/>
      <c r="XG39" s="548"/>
      <c r="XH39" s="548"/>
      <c r="XI39" s="548"/>
      <c r="XJ39" s="548"/>
      <c r="XK39" s="548"/>
      <c r="XL39" s="548"/>
      <c r="XM39" s="548"/>
      <c r="XN39" s="548"/>
      <c r="XO39" s="548"/>
      <c r="XP39" s="548"/>
      <c r="XQ39" s="548"/>
      <c r="XR39" s="548"/>
      <c r="XS39" s="548"/>
      <c r="XT39" s="548"/>
      <c r="XU39" s="548"/>
      <c r="XV39" s="548"/>
      <c r="XW39" s="548"/>
      <c r="XX39" s="548"/>
      <c r="XY39" s="548"/>
      <c r="XZ39" s="548"/>
      <c r="YA39" s="548"/>
      <c r="YB39" s="548"/>
      <c r="YC39" s="548"/>
      <c r="YD39" s="548"/>
      <c r="YE39" s="548"/>
      <c r="YF39" s="548"/>
      <c r="YG39" s="548"/>
      <c r="YH39" s="548"/>
      <c r="YI39" s="548"/>
      <c r="YJ39" s="548"/>
      <c r="YK39" s="548"/>
      <c r="YL39" s="548"/>
      <c r="YM39" s="548"/>
      <c r="YN39" s="548"/>
      <c r="YO39" s="548"/>
      <c r="YP39" s="548"/>
      <c r="YQ39" s="548"/>
      <c r="YR39" s="548"/>
      <c r="YS39" s="548"/>
      <c r="YT39" s="548"/>
      <c r="YU39" s="548"/>
      <c r="YV39" s="548"/>
      <c r="YW39" s="548"/>
      <c r="YX39" s="548"/>
      <c r="YY39" s="548"/>
      <c r="YZ39" s="548"/>
      <c r="ZA39" s="548"/>
      <c r="ZB39" s="548"/>
      <c r="ZC39" s="548"/>
      <c r="ZD39" s="548"/>
      <c r="ZE39" s="548"/>
      <c r="ZF39" s="548"/>
      <c r="ZG39" s="548"/>
      <c r="ZH39" s="548"/>
      <c r="ZI39" s="548"/>
      <c r="ZJ39" s="548"/>
      <c r="ZK39" s="548"/>
      <c r="ZL39" s="548"/>
      <c r="ZM39" s="548"/>
      <c r="ZN39" s="548"/>
      <c r="ZO39" s="548"/>
      <c r="ZP39" s="548"/>
      <c r="ZQ39" s="548"/>
      <c r="ZR39" s="548"/>
      <c r="ZS39" s="548"/>
      <c r="ZT39" s="548"/>
      <c r="ZU39" s="548"/>
      <c r="ZV39" s="548"/>
      <c r="ZW39" s="548"/>
      <c r="ZX39" s="548"/>
      <c r="ZY39" s="548"/>
      <c r="ZZ39" s="548"/>
      <c r="AAA39" s="548"/>
      <c r="AAB39" s="548"/>
      <c r="AAC39" s="548"/>
      <c r="AAD39" s="548"/>
      <c r="AAE39" s="548"/>
      <c r="AAF39" s="548"/>
      <c r="AAG39" s="548"/>
      <c r="AAH39" s="548"/>
      <c r="AAI39" s="548"/>
      <c r="AAJ39" s="548"/>
      <c r="AAK39" s="548"/>
      <c r="AAL39" s="548"/>
      <c r="AAM39" s="548"/>
      <c r="AAN39" s="548"/>
      <c r="AAO39" s="548"/>
      <c r="AAP39" s="548"/>
      <c r="AAQ39" s="548"/>
      <c r="AAR39" s="548"/>
      <c r="AAS39" s="548"/>
      <c r="AAT39" s="548"/>
      <c r="AAU39" s="548"/>
      <c r="AAV39" s="548"/>
      <c r="AAW39" s="548"/>
      <c r="AAX39" s="548"/>
      <c r="AAY39" s="548"/>
      <c r="AAZ39" s="548"/>
      <c r="ABA39" s="548"/>
      <c r="ABB39" s="548"/>
      <c r="ABC39" s="548"/>
      <c r="ABD39" s="548"/>
      <c r="ABE39" s="548"/>
      <c r="ABF39" s="548"/>
      <c r="ABG39" s="548"/>
      <c r="ABH39" s="548"/>
      <c r="ABI39" s="548"/>
      <c r="ABJ39" s="548"/>
      <c r="ABK39" s="548"/>
      <c r="ABL39" s="548"/>
      <c r="ABM39" s="548"/>
      <c r="ABN39" s="548"/>
      <c r="ABO39" s="548"/>
      <c r="ABP39" s="548"/>
      <c r="ABQ39" s="548"/>
      <c r="ABR39" s="548"/>
      <c r="ABS39" s="548"/>
    </row>
    <row r="40" spans="1:747" customFormat="1" ht="15" customHeight="1" x14ac:dyDescent="0.2">
      <c r="A40" s="424" t="str">
        <f t="shared" si="149"/>
        <v/>
      </c>
      <c r="B40" s="415"/>
      <c r="C40" s="525"/>
      <c r="D40" s="750"/>
      <c r="E40" s="416" t="str">
        <f t="shared" si="393"/>
        <v/>
      </c>
      <c r="F40" s="527" t="str">
        <f t="shared" si="394"/>
        <v/>
      </c>
      <c r="G40" s="417"/>
      <c r="H40" s="583" t="str">
        <f t="shared" si="395"/>
        <v/>
      </c>
      <c r="I40" s="424"/>
      <c r="J40" s="749"/>
      <c r="K40" s="418"/>
      <c r="L40" s="419"/>
      <c r="M40" s="415"/>
      <c r="N40" s="420"/>
      <c r="O40" s="653"/>
      <c r="P40" s="561"/>
      <c r="Q40" s="422"/>
      <c r="R40" s="561" t="str">
        <f t="shared" si="396"/>
        <v/>
      </c>
      <c r="S40" s="664"/>
      <c r="T40" s="663"/>
      <c r="U40" s="580">
        <f t="shared" si="397"/>
        <v>0</v>
      </c>
      <c r="V40" s="418"/>
      <c r="W40" s="582" t="str">
        <f t="shared" si="398"/>
        <v/>
      </c>
      <c r="X40" s="317" t="str">
        <f t="shared" si="399"/>
        <v/>
      </c>
      <c r="Y40" s="582" t="str">
        <f t="shared" si="400"/>
        <v/>
      </c>
      <c r="Z40" s="317" t="str">
        <f t="shared" si="401"/>
        <v/>
      </c>
      <c r="AA40" s="317" t="str">
        <f t="shared" si="402"/>
        <v/>
      </c>
      <c r="AB40" s="317">
        <f t="shared" si="403"/>
        <v>0</v>
      </c>
      <c r="AC40" s="317" t="str">
        <f t="shared" si="404"/>
        <v/>
      </c>
      <c r="AD40" s="317"/>
      <c r="AE40" s="479"/>
      <c r="AF40" s="479"/>
      <c r="AG40" s="423"/>
      <c r="AH40" s="820"/>
      <c r="AI40" s="480"/>
      <c r="AJ40" s="660"/>
      <c r="AK40" s="524" t="str">
        <f t="shared" si="405"/>
        <v/>
      </c>
      <c r="AL40" s="731">
        <f>SUMIF($J$4:$J$32,"Futuro",$S$4:$S$32)</f>
        <v>0</v>
      </c>
      <c r="AM40" s="732">
        <f>SUMIF($J$4:$J$32,"Futuro",$T$4:$T$32)</f>
        <v>0</v>
      </c>
      <c r="AN40" s="426">
        <f t="shared" si="406"/>
        <v>0</v>
      </c>
      <c r="AO40" s="427" t="str">
        <f t="shared" si="407"/>
        <v/>
      </c>
      <c r="AP40" s="426" t="str">
        <f t="shared" si="408"/>
        <v/>
      </c>
      <c r="AQ40" s="426"/>
      <c r="AR40" s="426"/>
      <c r="AS40" s="428"/>
      <c r="AT40" s="429"/>
      <c r="AU40" s="430"/>
      <c r="AV40" s="431"/>
      <c r="AW40" s="432"/>
      <c r="AX40" s="430"/>
      <c r="AY40" s="431">
        <f t="shared" si="409"/>
        <v>0</v>
      </c>
      <c r="AZ40" s="426"/>
      <c r="BA40" s="435" t="str">
        <f t="shared" si="410"/>
        <v/>
      </c>
      <c r="BB40" s="435"/>
      <c r="BC40" s="426"/>
      <c r="BD40" s="426">
        <f t="array" ref="BD40">IF(SUM((BC40=$BC$3:BC39)*1)=0,BC40,0)</f>
        <v>0</v>
      </c>
      <c r="BE40" s="426"/>
      <c r="BF40" s="426"/>
      <c r="BG40" s="426">
        <f t="array" ref="BG40">IF(SUM((BF40=$BF$3:BF39)*1)=0,BF40,0)</f>
        <v>0</v>
      </c>
      <c r="BH40" s="426"/>
      <c r="BI40" s="426"/>
      <c r="BJ40" s="426"/>
      <c r="BK40" s="426"/>
      <c r="BL40" s="426"/>
      <c r="BM40" s="426"/>
      <c r="BN40" s="426"/>
      <c r="BO40" s="426"/>
      <c r="BP40" s="433">
        <f t="shared" si="411"/>
        <v>0</v>
      </c>
      <c r="BQ40" s="426"/>
      <c r="BR40" s="434"/>
      <c r="BS40" s="426"/>
      <c r="BT40" s="433"/>
      <c r="BU40" s="435"/>
      <c r="BV40" s="435" t="str">
        <f t="shared" si="412"/>
        <v/>
      </c>
      <c r="BW40" s="435" t="str">
        <f t="shared" si="38"/>
        <v/>
      </c>
      <c r="BX40" s="435"/>
      <c r="BY40" s="435"/>
      <c r="BZ40" s="435"/>
      <c r="CA40" s="435"/>
      <c r="CB40" s="435"/>
      <c r="CC40" s="435"/>
      <c r="CD40" s="435"/>
      <c r="CE40" s="435"/>
      <c r="CF40" s="435"/>
      <c r="CG40" s="435"/>
      <c r="CH40" s="435"/>
      <c r="CI40" s="435"/>
      <c r="CJ40" s="426" t="str">
        <f t="shared" si="39"/>
        <v/>
      </c>
      <c r="CK40" s="435"/>
      <c r="CL40" s="426"/>
      <c r="CM40" s="435"/>
      <c r="CN40" s="426"/>
      <c r="CO40" s="426"/>
      <c r="CP40" s="426"/>
      <c r="CQ40" s="426"/>
      <c r="CR40" s="426"/>
      <c r="CS40" s="426"/>
      <c r="CT40" s="426"/>
      <c r="CU40" s="426"/>
      <c r="CV40" s="426"/>
      <c r="CW40" s="426"/>
      <c r="CX40" s="426"/>
      <c r="CY40" s="426">
        <v>37</v>
      </c>
      <c r="CZ40" s="426"/>
      <c r="DA40" s="426"/>
      <c r="DB40" s="426"/>
      <c r="DC40" s="426" t="s">
        <v>780</v>
      </c>
      <c r="DD40" s="426" t="s">
        <v>940</v>
      </c>
      <c r="DE40" s="435" t="str">
        <f t="shared" si="40"/>
        <v/>
      </c>
      <c r="DF40" s="435" t="str">
        <f t="shared" si="41"/>
        <v/>
      </c>
      <c r="DG40" s="435" t="str">
        <f t="shared" si="42"/>
        <v/>
      </c>
      <c r="DH40" s="435" t="str">
        <f t="shared" si="43"/>
        <v/>
      </c>
      <c r="DI40" s="435" t="str">
        <f t="shared" si="44"/>
        <v/>
      </c>
      <c r="DJ40" s="435" t="str">
        <f t="shared" si="45"/>
        <v/>
      </c>
      <c r="DK40" s="435" t="str">
        <f t="shared" si="413"/>
        <v/>
      </c>
      <c r="DL40" s="435" t="str">
        <f t="shared" si="414"/>
        <v/>
      </c>
      <c r="DM40" s="435" t="str">
        <f t="shared" si="46"/>
        <v/>
      </c>
      <c r="DN40" s="435" t="str">
        <f t="shared" si="47"/>
        <v/>
      </c>
      <c r="DO40" s="435" t="str">
        <f t="shared" si="415"/>
        <v/>
      </c>
      <c r="DP40" s="435" t="str">
        <f t="shared" si="416"/>
        <v/>
      </c>
      <c r="DQ40" s="435" t="str">
        <f t="shared" si="48"/>
        <v/>
      </c>
      <c r="DR40" s="435" t="str">
        <f t="shared" si="49"/>
        <v/>
      </c>
      <c r="DS40" s="435" t="str">
        <f t="shared" si="417"/>
        <v/>
      </c>
      <c r="DT40" s="435" t="str">
        <f t="shared" si="418"/>
        <v/>
      </c>
      <c r="DU40" s="435" t="str">
        <f t="shared" si="50"/>
        <v/>
      </c>
      <c r="DV40" s="435" t="str">
        <f t="shared" si="51"/>
        <v/>
      </c>
      <c r="DW40" s="435" t="str">
        <f t="shared" si="419"/>
        <v/>
      </c>
      <c r="DX40" s="435" t="str">
        <f t="shared" si="420"/>
        <v/>
      </c>
      <c r="DY40" s="435" t="str">
        <f t="shared" si="52"/>
        <v/>
      </c>
      <c r="DZ40" s="435" t="str">
        <f t="shared" si="53"/>
        <v/>
      </c>
      <c r="EA40" s="435" t="str">
        <f t="shared" si="421"/>
        <v/>
      </c>
      <c r="EB40" s="435" t="str">
        <f t="shared" si="422"/>
        <v/>
      </c>
      <c r="EC40" s="435" t="str">
        <f t="shared" si="423"/>
        <v/>
      </c>
      <c r="ED40" s="435" t="str">
        <f t="shared" si="424"/>
        <v/>
      </c>
      <c r="EE40" s="435" t="str">
        <f t="shared" si="425"/>
        <v/>
      </c>
      <c r="EF40" s="435" t="str">
        <f t="shared" si="426"/>
        <v/>
      </c>
      <c r="EG40" s="435" t="str">
        <f t="shared" si="427"/>
        <v/>
      </c>
      <c r="EH40" s="435" t="str">
        <f t="shared" si="428"/>
        <v/>
      </c>
      <c r="EI40" s="435" t="str">
        <f t="shared" si="429"/>
        <v/>
      </c>
      <c r="EJ40" s="435" t="str">
        <f t="shared" si="430"/>
        <v/>
      </c>
      <c r="EK40" s="485"/>
      <c r="EL40" s="485"/>
      <c r="EM40" s="485"/>
      <c r="EN40" s="485"/>
      <c r="EO40" s="448"/>
      <c r="EP40" s="448"/>
      <c r="EQ40" s="448"/>
      <c r="ER40" s="448"/>
      <c r="ES40" s="448"/>
      <c r="ET40" s="435"/>
      <c r="EU40" s="435"/>
      <c r="EV40" s="435"/>
      <c r="EW40" s="435"/>
      <c r="EX40" s="426"/>
      <c r="EY40" s="426"/>
      <c r="EZ40" s="426"/>
      <c r="FA40" s="427"/>
      <c r="FB40" s="427">
        <f t="array" ref="FB40">IF(SUM((FA40=$FA$3:FA39)*1)=0,FA40,0)</f>
        <v>0</v>
      </c>
      <c r="FC40" s="427"/>
      <c r="FD40" s="427"/>
      <c r="FE40" s="427">
        <f t="array" ref="FE40">IF(SUM((FD40=$FD$3:FD39)*1)=0,FD40,0)</f>
        <v>0</v>
      </c>
      <c r="FF40" s="427"/>
      <c r="FG40" s="427"/>
      <c r="FH40" s="427"/>
      <c r="FI40" s="427">
        <f t="array" ref="FI40">IF(SUM((FH40=$FH$3:FH39)*1)=0,FH40,0)</f>
        <v>0</v>
      </c>
      <c r="FJ40" s="427"/>
      <c r="FK40" s="427"/>
      <c r="FL40" s="427">
        <f t="array" ref="FL40">IF(SUM((FK40=$FK$3:FK39)*1)=0,FK40,0)</f>
        <v>0</v>
      </c>
      <c r="FM40" s="427"/>
      <c r="FN40" s="427"/>
      <c r="FO40" s="427"/>
      <c r="FP40" s="427">
        <f t="array" ref="FP40">IF(SUM((FO40=$FO$3:FO39)*1)=0,FO40,0)</f>
        <v>0</v>
      </c>
      <c r="FQ40" s="427"/>
      <c r="FR40" s="427"/>
      <c r="FS40" s="427">
        <f t="array" ref="FS40">IF(SUM((FR40=$FR$3:FR39)*1)=0,FR40,0)</f>
        <v>0</v>
      </c>
      <c r="FT40" s="427"/>
      <c r="FU40" s="427"/>
      <c r="FV40" s="427"/>
      <c r="FW40" s="427">
        <f t="array" ref="FW40">IF(SUM((FV40=$FV$3:FV39)*1)=0,FV40,0)</f>
        <v>0</v>
      </c>
      <c r="FX40" s="427"/>
      <c r="FY40" s="427"/>
      <c r="FZ40" s="427">
        <f t="array" ref="FZ40">IF(SUM((FY40=$FY$3:FY39)*1)=0,FY40,0)</f>
        <v>0</v>
      </c>
      <c r="GA40" s="427"/>
      <c r="GB40" s="427"/>
      <c r="GC40" s="427"/>
      <c r="GD40" s="427">
        <f t="array" ref="GD40">IF(SUM((GC40=$GC$3:GC39)*1)=0,GC40,0)</f>
        <v>0</v>
      </c>
      <c r="GE40" s="427"/>
      <c r="GF40" s="427"/>
      <c r="GG40" s="427">
        <f t="array" ref="GG40">IF(SUM((GF40=$GF$3:GF39)*1)=0,GF40,0)</f>
        <v>0</v>
      </c>
      <c r="GH40" s="427"/>
      <c r="GI40" s="427"/>
      <c r="GJ40" s="427"/>
      <c r="GK40" s="798">
        <f t="array" ref="GK40">IF(SUM((GJ40=$GJ$3:GJ39)*1)=0,GJ40,0)</f>
        <v>0</v>
      </c>
      <c r="GL40" s="427"/>
      <c r="GM40" s="427"/>
      <c r="GN40" s="798">
        <f t="array" ref="GN40">IF(SUM((GM40=$GM$3:GM39)*1)=0,GM40,0)</f>
        <v>0</v>
      </c>
      <c r="GO40" s="427"/>
      <c r="GP40" s="427"/>
      <c r="GQ40" s="427"/>
      <c r="GR40" s="798">
        <f t="array" ref="GR40">IF(SUM((GQ40=$GQ$3:GQ39)*1)=0,GQ40,0)</f>
        <v>0</v>
      </c>
      <c r="GS40" s="427"/>
      <c r="GT40" s="427"/>
      <c r="GU40" s="798">
        <f t="array" ref="GU40">IF(SUM((GT40=$GT$3:GT39)*1)=0,GT40,0)</f>
        <v>0</v>
      </c>
      <c r="GV40" s="427"/>
      <c r="GW40" s="427"/>
      <c r="GX40" s="427"/>
      <c r="GY40" s="798">
        <f t="array" ref="GY40">IF(SUM((GX40=$GX$3:GX39)*1)=0,GX40,0)</f>
        <v>0</v>
      </c>
      <c r="GZ40" s="427"/>
      <c r="HA40" s="427"/>
      <c r="HB40" s="798">
        <f t="array" ref="HB40">IF(SUM((HA40=$HA$3:HA39)*1)=0,HA40,0)</f>
        <v>0</v>
      </c>
      <c r="HC40" s="427"/>
      <c r="HD40" s="427"/>
      <c r="HE40" s="769" t="str">
        <f t="shared" si="130"/>
        <v/>
      </c>
      <c r="HF40" s="768" t="str">
        <f t="shared" ref="HF40" si="499">IF(HE40&lt;0,"Invadiu REP-BA-C","")</f>
        <v/>
      </c>
      <c r="HG40" s="769" t="str">
        <f t="shared" si="131"/>
        <v/>
      </c>
      <c r="HH40" s="768" t="str">
        <f t="shared" si="55"/>
        <v/>
      </c>
      <c r="HI40" s="728" t="str">
        <f t="shared" si="132"/>
        <v/>
      </c>
      <c r="HJ40" s="768" t="str">
        <f t="shared" si="56"/>
        <v/>
      </c>
      <c r="HK40" s="728" t="str">
        <f t="shared" si="133"/>
        <v/>
      </c>
      <c r="HL40" s="768" t="str">
        <f t="shared" si="57"/>
        <v/>
      </c>
      <c r="HM40" s="769" t="str">
        <f t="shared" si="441"/>
        <v/>
      </c>
      <c r="HN40" s="768" t="str">
        <f t="shared" ref="HN40" si="500">IF(HM40&lt;0,"Invadiu REP-BA-C","")</f>
        <v/>
      </c>
      <c r="HO40" s="769" t="str">
        <f t="shared" si="443"/>
        <v/>
      </c>
      <c r="HP40" s="768" t="str">
        <f t="shared" si="61"/>
        <v/>
      </c>
      <c r="HQ40" s="728" t="str">
        <f t="shared" si="444"/>
        <v/>
      </c>
      <c r="HR40" s="768" t="str">
        <f t="shared" si="63"/>
        <v/>
      </c>
      <c r="HS40" s="728" t="str">
        <f t="shared" si="445"/>
        <v/>
      </c>
      <c r="HT40" s="768" t="str">
        <f t="shared" si="65"/>
        <v/>
      </c>
      <c r="HU40" s="769" t="str">
        <f t="shared" si="446"/>
        <v/>
      </c>
      <c r="HV40" s="768" t="str">
        <f t="shared" ref="HV40" si="501">IF(HU40&lt;0,"Invadiu REP-BA-C","")</f>
        <v/>
      </c>
      <c r="HW40" s="769" t="str">
        <f t="shared" si="448"/>
        <v/>
      </c>
      <c r="HX40" s="768" t="str">
        <f t="shared" si="69"/>
        <v/>
      </c>
      <c r="HY40" s="728" t="str">
        <f t="shared" si="449"/>
        <v/>
      </c>
      <c r="HZ40" s="768" t="str">
        <f t="shared" si="71"/>
        <v/>
      </c>
      <c r="IA40" s="728" t="str">
        <f t="shared" si="450"/>
        <v/>
      </c>
      <c r="IB40" s="768" t="str">
        <f t="shared" si="73"/>
        <v/>
      </c>
      <c r="IC40" s="769" t="str">
        <f t="shared" si="451"/>
        <v/>
      </c>
      <c r="ID40" s="768" t="str">
        <f t="shared" ref="ID40" si="502">IF(IC40&lt;0,"Invadiu REP-BA-C","")</f>
        <v/>
      </c>
      <c r="IE40" s="769" t="str">
        <f t="shared" si="453"/>
        <v/>
      </c>
      <c r="IF40" s="768" t="str">
        <f t="shared" si="77"/>
        <v/>
      </c>
      <c r="IG40" s="728" t="str">
        <f t="shared" si="454"/>
        <v/>
      </c>
      <c r="IH40" s="768" t="str">
        <f t="shared" si="79"/>
        <v/>
      </c>
      <c r="II40" s="728" t="str">
        <f t="shared" si="455"/>
        <v/>
      </c>
      <c r="IJ40" s="768" t="str">
        <f t="shared" si="81"/>
        <v/>
      </c>
      <c r="IK40" s="769" t="str">
        <f t="shared" si="456"/>
        <v/>
      </c>
      <c r="IL40" s="768" t="str">
        <f t="shared" ref="IL40" si="503">IF(IK40&lt;0,"Invadiu REP-BA-C","")</f>
        <v/>
      </c>
      <c r="IM40" s="769" t="str">
        <f t="shared" si="458"/>
        <v/>
      </c>
      <c r="IN40" s="768" t="str">
        <f t="shared" si="85"/>
        <v/>
      </c>
      <c r="IO40" s="728" t="str">
        <f t="shared" si="459"/>
        <v/>
      </c>
      <c r="IP40" s="768" t="str">
        <f t="shared" si="87"/>
        <v/>
      </c>
      <c r="IQ40" s="728" t="str">
        <f t="shared" si="460"/>
        <v/>
      </c>
      <c r="IR40" s="768" t="str">
        <f t="shared" si="89"/>
        <v/>
      </c>
      <c r="IS40" s="769" t="str">
        <f t="shared" si="461"/>
        <v/>
      </c>
      <c r="IT40" s="768" t="str">
        <f t="shared" ref="IT40" si="504">IF(IS40&lt;0,"Invadiu REP-BA-C","")</f>
        <v/>
      </c>
      <c r="IU40" s="769" t="str">
        <f t="shared" si="463"/>
        <v/>
      </c>
      <c r="IV40" s="768" t="str">
        <f t="shared" si="93"/>
        <v/>
      </c>
      <c r="IW40" s="728" t="str">
        <f t="shared" si="464"/>
        <v/>
      </c>
      <c r="IX40" s="768" t="str">
        <f t="shared" si="95"/>
        <v/>
      </c>
      <c r="IY40" s="728" t="str">
        <f t="shared" si="465"/>
        <v/>
      </c>
      <c r="IZ40" s="768" t="str">
        <f t="shared" si="97"/>
        <v/>
      </c>
      <c r="JA40" s="769" t="str">
        <f t="shared" si="466"/>
        <v/>
      </c>
      <c r="JB40" s="768" t="str">
        <f t="shared" ref="JB40" si="505">IF(JA40&lt;0,"Invadiu REP-BA-C","")</f>
        <v/>
      </c>
      <c r="JC40" s="769" t="str">
        <f t="shared" si="468"/>
        <v/>
      </c>
      <c r="JD40" s="768" t="str">
        <f t="shared" si="101"/>
        <v/>
      </c>
      <c r="JE40" s="728" t="str">
        <f t="shared" si="469"/>
        <v/>
      </c>
      <c r="JF40" s="768" t="str">
        <f t="shared" si="103"/>
        <v/>
      </c>
      <c r="JG40" s="728" t="str">
        <f t="shared" si="470"/>
        <v/>
      </c>
      <c r="JH40" s="768" t="str">
        <f t="shared" si="105"/>
        <v/>
      </c>
      <c r="JI40" s="769" t="str">
        <f t="shared" si="471"/>
        <v/>
      </c>
      <c r="JJ40" s="768" t="str">
        <f t="shared" ref="JJ40" si="506">IF(JI40&lt;0,"Invadiu REP-BA-C","")</f>
        <v/>
      </c>
      <c r="JK40" s="769" t="str">
        <f t="shared" si="473"/>
        <v/>
      </c>
      <c r="JL40" s="768" t="str">
        <f t="shared" si="109"/>
        <v/>
      </c>
      <c r="JM40" s="728" t="str">
        <f t="shared" si="474"/>
        <v/>
      </c>
      <c r="JN40" s="768" t="str">
        <f t="shared" si="111"/>
        <v/>
      </c>
      <c r="JO40" s="728" t="str">
        <f t="shared" si="475"/>
        <v/>
      </c>
      <c r="JP40" s="768" t="str">
        <f t="shared" si="113"/>
        <v/>
      </c>
      <c r="JQ40" s="769" t="str">
        <f t="shared" si="476"/>
        <v/>
      </c>
      <c r="JR40" s="768" t="str">
        <f t="shared" ref="JR40" si="507">IF(JQ40&lt;0,"Invadiu REP-BA-C","")</f>
        <v/>
      </c>
      <c r="JS40" s="769" t="str">
        <f t="shared" si="478"/>
        <v/>
      </c>
      <c r="JT40" s="768" t="str">
        <f t="shared" si="117"/>
        <v/>
      </c>
      <c r="JU40" s="728" t="str">
        <f t="shared" si="479"/>
        <v/>
      </c>
      <c r="JV40" s="768" t="str">
        <f t="shared" si="119"/>
        <v/>
      </c>
      <c r="JW40" s="728" t="str">
        <f t="shared" si="480"/>
        <v/>
      </c>
      <c r="JX40" s="768" t="str">
        <f t="shared" si="121"/>
        <v/>
      </c>
      <c r="JY40" s="768" t="str">
        <f t="shared" si="122"/>
        <v/>
      </c>
      <c r="JZ40" s="485" t="str">
        <f>IF(JY40="","",IF(AND(C40=$C$164,JY40&lt;&gt;""),Verificarcpf(D40),IF(AND(C40=$C$165,JY40&lt;&gt;""),VerificarCNPJ(D40))))</f>
        <v/>
      </c>
      <c r="KA40" s="768" t="str">
        <f t="shared" si="123"/>
        <v/>
      </c>
      <c r="KB40" s="485">
        <f t="shared" si="124"/>
        <v>0</v>
      </c>
      <c r="KC40" s="768">
        <f t="shared" si="125"/>
        <v>0</v>
      </c>
      <c r="KD40" s="485">
        <f t="shared" si="126"/>
        <v>0</v>
      </c>
      <c r="KE40" s="448"/>
      <c r="KF40" s="548"/>
      <c r="KG40" s="548"/>
      <c r="KH40" s="548"/>
      <c r="KI40" s="548"/>
      <c r="KJ40" s="548" t="str">
        <f t="shared" si="128"/>
        <v/>
      </c>
      <c r="KK40" s="548"/>
      <c r="KL40" s="548"/>
      <c r="KM40" s="548">
        <f t="array" ref="KM40">IF(SUM((KL40=$KL$3:KL39)*1)=0,KL40,0)</f>
        <v>0</v>
      </c>
      <c r="KN40" s="548"/>
      <c r="KO40" s="548"/>
      <c r="KP40" s="548"/>
      <c r="KQ40" s="548"/>
      <c r="KR40" s="548" t="str">
        <f t="shared" si="129"/>
        <v/>
      </c>
      <c r="KS40" s="548"/>
      <c r="KT40" s="548"/>
      <c r="KU40" s="548"/>
      <c r="KV40" s="548"/>
      <c r="KW40" s="548"/>
      <c r="KX40" s="548"/>
      <c r="KY40" s="548"/>
      <c r="KZ40" s="548"/>
      <c r="LA40" s="548"/>
      <c r="LB40" s="548"/>
      <c r="LC40" s="485" t="str">
        <f t="shared" si="142"/>
        <v/>
      </c>
      <c r="LD40" s="548"/>
      <c r="LE40" s="548"/>
      <c r="LF40" s="548"/>
      <c r="LG40" s="548"/>
      <c r="LH40" s="548"/>
      <c r="LI40" s="548"/>
      <c r="LJ40" s="548"/>
      <c r="LK40" s="548"/>
      <c r="LL40" s="548"/>
      <c r="LM40" s="548"/>
      <c r="LN40" s="548"/>
      <c r="LO40" s="548"/>
      <c r="LP40" s="485" t="str">
        <f t="shared" si="143"/>
        <v/>
      </c>
      <c r="LQ40" s="548"/>
      <c r="LR40" s="548"/>
      <c r="LS40" s="548"/>
      <c r="LT40" s="548"/>
      <c r="LU40" s="548"/>
      <c r="LV40" s="548"/>
      <c r="LW40" s="548"/>
      <c r="LX40" s="548"/>
      <c r="LY40" s="548"/>
      <c r="LZ40" s="548"/>
      <c r="MA40" s="548"/>
      <c r="MB40" s="548"/>
      <c r="MC40" s="485" t="str">
        <f t="shared" si="144"/>
        <v/>
      </c>
      <c r="MD40" s="548"/>
      <c r="ME40" s="548"/>
      <c r="MF40" s="548"/>
      <c r="MG40" s="548"/>
      <c r="MH40" s="548"/>
      <c r="MI40" s="548"/>
      <c r="MJ40" s="548"/>
      <c r="MK40" s="548"/>
      <c r="ML40" s="548"/>
      <c r="MM40" s="548"/>
      <c r="MN40" s="548"/>
      <c r="MO40" s="548"/>
      <c r="MP40" s="485" t="str">
        <f t="shared" si="145"/>
        <v/>
      </c>
      <c r="MQ40" s="548"/>
      <c r="MR40" s="548"/>
      <c r="MS40" s="548"/>
      <c r="MT40" s="548"/>
      <c r="MU40" s="548"/>
      <c r="MV40" s="548"/>
      <c r="MW40" s="548"/>
      <c r="MX40" s="548"/>
      <c r="MY40" s="548"/>
      <c r="MZ40" s="548"/>
      <c r="NA40" s="548"/>
      <c r="NB40" s="548"/>
      <c r="NC40" s="485" t="str">
        <f t="shared" si="146"/>
        <v/>
      </c>
      <c r="ND40" s="548"/>
      <c r="NE40" s="548"/>
      <c r="NF40" s="548"/>
      <c r="NG40" s="548"/>
      <c r="NH40" s="548"/>
      <c r="NI40" s="548"/>
      <c r="NJ40" s="548"/>
      <c r="NK40" s="548"/>
      <c r="NL40" s="548"/>
      <c r="NM40" s="548"/>
      <c r="NN40" s="548"/>
      <c r="NO40" s="548"/>
      <c r="NP40" s="485" t="str">
        <f t="shared" si="147"/>
        <v/>
      </c>
      <c r="NQ40" s="548"/>
      <c r="NR40" s="548"/>
      <c r="NS40" s="548"/>
      <c r="NT40" s="548"/>
      <c r="NU40" s="548"/>
      <c r="NV40" s="548"/>
      <c r="NW40" s="548"/>
      <c r="NX40" s="548"/>
      <c r="NY40" s="548"/>
      <c r="NZ40" s="548"/>
      <c r="OA40" s="548"/>
      <c r="OB40" s="548"/>
      <c r="OC40" s="485" t="str">
        <f t="shared" si="148"/>
        <v/>
      </c>
      <c r="OD40" s="548"/>
      <c r="OE40" s="548"/>
      <c r="OF40" s="548"/>
      <c r="OG40" s="548"/>
      <c r="OH40" s="548"/>
      <c r="OI40" s="548"/>
      <c r="OJ40" s="548"/>
      <c r="OK40" s="548"/>
      <c r="OL40" s="548"/>
      <c r="OM40" s="548"/>
      <c r="ON40" s="548"/>
      <c r="OO40" s="548"/>
      <c r="OP40" s="548"/>
      <c r="OQ40" s="548"/>
      <c r="OR40" s="548"/>
      <c r="OS40" s="548"/>
      <c r="OT40" s="548"/>
      <c r="OU40" s="548"/>
      <c r="OV40" s="548"/>
      <c r="OW40" s="548"/>
      <c r="OX40" s="548"/>
      <c r="OY40" s="548"/>
      <c r="OZ40" s="548"/>
      <c r="PA40" s="548"/>
      <c r="PB40" s="548"/>
      <c r="PC40" s="548"/>
      <c r="PD40" s="548"/>
      <c r="PE40" s="548"/>
      <c r="PF40" s="548"/>
      <c r="PG40" s="548"/>
      <c r="PH40" s="548"/>
      <c r="PI40" s="548"/>
      <c r="PJ40" s="548"/>
      <c r="PK40" s="548"/>
      <c r="PL40" s="548"/>
      <c r="PM40" s="548"/>
      <c r="PN40" s="548"/>
      <c r="PO40" s="548"/>
      <c r="PP40" s="548"/>
      <c r="PQ40" s="548"/>
      <c r="PR40" s="548"/>
      <c r="PS40" s="548"/>
      <c r="PT40" s="548"/>
      <c r="PU40" s="548"/>
      <c r="PV40" s="548"/>
      <c r="PW40" s="548"/>
      <c r="PX40" s="548"/>
      <c r="PY40" s="548"/>
      <c r="PZ40" s="548"/>
      <c r="QA40" s="548"/>
      <c r="QB40" s="548"/>
      <c r="QC40" s="548"/>
      <c r="QD40" s="548"/>
      <c r="QE40" s="548"/>
      <c r="QF40" s="548"/>
      <c r="QG40" s="548"/>
      <c r="QH40" s="548"/>
      <c r="QI40" s="548"/>
      <c r="QJ40" s="548"/>
      <c r="QK40" s="548"/>
      <c r="QL40" s="548"/>
      <c r="QM40" s="548"/>
      <c r="QN40" s="548"/>
      <c r="QO40" s="548"/>
      <c r="QP40" s="548"/>
      <c r="QQ40" s="1009"/>
      <c r="QR40" s="548"/>
      <c r="QS40" s="548"/>
      <c r="QT40" s="548"/>
      <c r="QU40" s="548"/>
      <c r="QV40" s="548"/>
      <c r="QW40" s="548"/>
      <c r="QX40" s="548"/>
      <c r="QY40" s="548"/>
      <c r="QZ40" s="548"/>
      <c r="RA40" s="548"/>
      <c r="RB40" s="548"/>
      <c r="RC40" s="548"/>
      <c r="RD40" s="548"/>
      <c r="RE40" s="548"/>
      <c r="RF40" s="548"/>
      <c r="RG40" s="548"/>
      <c r="RH40" s="548"/>
      <c r="RI40" s="548"/>
      <c r="RJ40" s="548"/>
      <c r="RK40" s="548"/>
      <c r="RL40" s="548"/>
      <c r="RM40" s="548"/>
      <c r="RN40" s="548"/>
      <c r="RO40" s="548"/>
      <c r="RP40" s="548"/>
      <c r="RQ40" s="548"/>
      <c r="RR40" s="548"/>
      <c r="RS40" s="548"/>
      <c r="RT40" s="548"/>
      <c r="RU40" s="548"/>
      <c r="RV40" s="548"/>
      <c r="RW40" s="548"/>
      <c r="RX40" s="548"/>
      <c r="RY40" s="548"/>
      <c r="RZ40" s="548"/>
      <c r="SA40" s="548"/>
      <c r="SB40" s="548"/>
      <c r="SC40" s="548"/>
      <c r="SD40" s="548"/>
      <c r="SE40" s="548"/>
      <c r="SF40" s="548"/>
      <c r="SG40" s="548"/>
      <c r="SH40" s="548"/>
      <c r="SI40" s="548"/>
      <c r="SJ40" s="548"/>
      <c r="SK40" s="548"/>
      <c r="SL40" s="548"/>
      <c r="SM40" s="548"/>
      <c r="SN40" s="548"/>
      <c r="SO40" s="548"/>
      <c r="SP40" s="548"/>
      <c r="SQ40" s="548"/>
      <c r="SR40" s="548"/>
      <c r="SS40" s="548"/>
      <c r="ST40" s="548"/>
      <c r="SU40" s="548"/>
      <c r="SV40" s="548"/>
      <c r="SW40" s="548"/>
      <c r="SX40" s="548"/>
      <c r="SY40" s="548"/>
      <c r="SZ40" s="548"/>
      <c r="TA40" s="548"/>
      <c r="TB40" s="548"/>
      <c r="TC40" s="548"/>
      <c r="TD40" s="548"/>
      <c r="TE40" s="548"/>
      <c r="TF40" s="548"/>
      <c r="TG40" s="548"/>
      <c r="TH40" s="548"/>
      <c r="TI40" s="548"/>
      <c r="TJ40" s="548"/>
      <c r="TK40" s="548"/>
      <c r="TL40" s="548"/>
      <c r="TM40" s="548"/>
      <c r="TN40" s="548"/>
      <c r="TO40" s="548"/>
      <c r="TP40" s="548"/>
      <c r="TQ40" s="548"/>
      <c r="TR40" s="548"/>
      <c r="TS40" s="548"/>
      <c r="TT40" s="548"/>
      <c r="TU40" s="548"/>
      <c r="TV40" s="548"/>
      <c r="TW40" s="548"/>
      <c r="TX40" s="548"/>
      <c r="TY40" s="548"/>
      <c r="TZ40" s="548"/>
      <c r="UA40" s="548"/>
      <c r="UB40" s="548"/>
      <c r="UC40" s="548"/>
      <c r="UD40" s="548"/>
      <c r="UE40" s="548"/>
      <c r="UF40" s="548"/>
      <c r="UG40" s="548"/>
      <c r="UH40" s="548"/>
      <c r="UI40" s="548"/>
      <c r="UJ40" s="548"/>
      <c r="UK40" s="548"/>
      <c r="UL40" s="548"/>
      <c r="UM40" s="548"/>
      <c r="UN40" s="548"/>
      <c r="UO40" s="548"/>
      <c r="UP40" s="548"/>
      <c r="UQ40" s="548"/>
      <c r="UR40" s="548"/>
      <c r="US40" s="548"/>
      <c r="UT40" s="548"/>
      <c r="UU40" s="548"/>
      <c r="UV40" s="548"/>
      <c r="UW40" s="548"/>
      <c r="UX40" s="548"/>
      <c r="UY40" s="548"/>
      <c r="UZ40" s="548"/>
      <c r="VA40" s="548"/>
      <c r="VB40" s="548"/>
      <c r="VC40" s="548"/>
      <c r="VD40" s="548"/>
      <c r="VE40" s="548"/>
      <c r="VF40" s="548"/>
      <c r="VG40" s="548"/>
      <c r="VH40" s="548"/>
      <c r="VI40" s="548"/>
      <c r="VJ40" s="548"/>
      <c r="VK40" s="548"/>
      <c r="VL40" s="548"/>
      <c r="VM40" s="548"/>
      <c r="VN40" s="548"/>
      <c r="VO40" s="548"/>
      <c r="VP40" s="548"/>
      <c r="VQ40" s="548"/>
      <c r="VR40" s="548"/>
      <c r="VS40" s="548"/>
      <c r="VT40" s="548"/>
      <c r="VU40" s="548"/>
      <c r="VV40" s="548"/>
      <c r="VW40" s="548"/>
      <c r="VX40" s="548"/>
      <c r="VY40" s="548"/>
      <c r="VZ40" s="548"/>
      <c r="WA40" s="548"/>
      <c r="WB40" s="548"/>
      <c r="WC40" s="548"/>
      <c r="WD40" s="548"/>
      <c r="WE40" s="548"/>
      <c r="WF40" s="548"/>
      <c r="WG40" s="548"/>
      <c r="WH40" s="548"/>
      <c r="WI40" s="548"/>
      <c r="WJ40" s="548"/>
      <c r="WK40" s="548"/>
      <c r="WL40" s="548"/>
      <c r="WM40" s="548"/>
      <c r="WN40" s="548"/>
      <c r="WO40" s="548"/>
      <c r="WP40" s="548"/>
      <c r="WQ40" s="548"/>
      <c r="WR40" s="548"/>
      <c r="WS40" s="548"/>
      <c r="WT40" s="548"/>
      <c r="WU40" s="548"/>
      <c r="WV40" s="548"/>
      <c r="WW40" s="548"/>
      <c r="WX40" s="548"/>
      <c r="WY40" s="548"/>
      <c r="WZ40" s="548"/>
      <c r="XA40" s="548"/>
      <c r="XB40" s="548"/>
      <c r="XC40" s="548"/>
      <c r="XD40" s="548"/>
      <c r="XE40" s="548"/>
      <c r="XF40" s="548"/>
      <c r="XG40" s="548"/>
      <c r="XH40" s="548"/>
      <c r="XI40" s="548"/>
      <c r="XJ40" s="548"/>
      <c r="XK40" s="548"/>
      <c r="XL40" s="548"/>
      <c r="XM40" s="548"/>
      <c r="XN40" s="548"/>
      <c r="XO40" s="548"/>
      <c r="XP40" s="548"/>
      <c r="XQ40" s="548"/>
      <c r="XR40" s="548"/>
      <c r="XS40" s="548"/>
      <c r="XT40" s="548"/>
      <c r="XU40" s="548"/>
      <c r="XV40" s="548"/>
      <c r="XW40" s="548"/>
      <c r="XX40" s="548"/>
      <c r="XY40" s="548"/>
      <c r="XZ40" s="548"/>
      <c r="YA40" s="548"/>
      <c r="YB40" s="548"/>
      <c r="YC40" s="548"/>
      <c r="YD40" s="548"/>
      <c r="YE40" s="548"/>
      <c r="YF40" s="548"/>
      <c r="YG40" s="548"/>
      <c r="YH40" s="548"/>
      <c r="YI40" s="548"/>
      <c r="YJ40" s="548"/>
      <c r="YK40" s="548"/>
      <c r="YL40" s="548"/>
      <c r="YM40" s="548"/>
      <c r="YN40" s="548"/>
      <c r="YO40" s="548"/>
      <c r="YP40" s="548"/>
      <c r="YQ40" s="548"/>
      <c r="YR40" s="548"/>
      <c r="YS40" s="548"/>
      <c r="YT40" s="548"/>
      <c r="YU40" s="548"/>
      <c r="YV40" s="548"/>
      <c r="YW40" s="548"/>
      <c r="YX40" s="548"/>
      <c r="YY40" s="548"/>
      <c r="YZ40" s="548"/>
      <c r="ZA40" s="548"/>
      <c r="ZB40" s="548"/>
      <c r="ZC40" s="548"/>
      <c r="ZD40" s="548"/>
      <c r="ZE40" s="548"/>
      <c r="ZF40" s="548"/>
      <c r="ZG40" s="548"/>
      <c r="ZH40" s="548"/>
      <c r="ZI40" s="548"/>
      <c r="ZJ40" s="548"/>
      <c r="ZK40" s="548"/>
      <c r="ZL40" s="548"/>
      <c r="ZM40" s="548"/>
      <c r="ZN40" s="548"/>
      <c r="ZO40" s="548"/>
      <c r="ZP40" s="548"/>
      <c r="ZQ40" s="548"/>
      <c r="ZR40" s="548"/>
      <c r="ZS40" s="548"/>
      <c r="ZT40" s="548"/>
      <c r="ZU40" s="548"/>
      <c r="ZV40" s="548"/>
      <c r="ZW40" s="548"/>
      <c r="ZX40" s="548"/>
      <c r="ZY40" s="548"/>
      <c r="ZZ40" s="548"/>
      <c r="AAA40" s="548"/>
      <c r="AAB40" s="548"/>
      <c r="AAC40" s="548"/>
      <c r="AAD40" s="548"/>
      <c r="AAE40" s="548"/>
      <c r="AAF40" s="548"/>
      <c r="AAG40" s="548"/>
      <c r="AAH40" s="548"/>
      <c r="AAI40" s="548"/>
      <c r="AAJ40" s="548"/>
      <c r="AAK40" s="548"/>
      <c r="AAL40" s="548"/>
      <c r="AAM40" s="548"/>
      <c r="AAN40" s="548"/>
      <c r="AAO40" s="548"/>
      <c r="AAP40" s="548"/>
      <c r="AAQ40" s="548"/>
      <c r="AAR40" s="548"/>
      <c r="AAS40" s="548"/>
      <c r="AAT40" s="548"/>
      <c r="AAU40" s="548"/>
      <c r="AAV40" s="548"/>
      <c r="AAW40" s="548"/>
      <c r="AAX40" s="548"/>
      <c r="AAY40" s="548"/>
      <c r="AAZ40" s="548"/>
      <c r="ABA40" s="548"/>
      <c r="ABB40" s="548"/>
      <c r="ABC40" s="548"/>
      <c r="ABD40" s="548"/>
      <c r="ABE40" s="548"/>
      <c r="ABF40" s="548"/>
      <c r="ABG40" s="548"/>
      <c r="ABH40" s="548"/>
      <c r="ABI40" s="548"/>
      <c r="ABJ40" s="548"/>
      <c r="ABK40" s="548"/>
      <c r="ABL40" s="548"/>
      <c r="ABM40" s="548"/>
      <c r="ABN40" s="548"/>
      <c r="ABO40" s="548"/>
      <c r="ABP40" s="548"/>
      <c r="ABQ40" s="548"/>
      <c r="ABR40" s="548"/>
      <c r="ABS40" s="548"/>
    </row>
    <row r="41" spans="1:747" customFormat="1" ht="15" customHeight="1" x14ac:dyDescent="0.2">
      <c r="A41" s="424" t="str">
        <f t="shared" si="149"/>
        <v/>
      </c>
      <c r="B41" s="415"/>
      <c r="C41" s="525"/>
      <c r="D41" s="750"/>
      <c r="E41" s="416" t="str">
        <f t="shared" si="393"/>
        <v/>
      </c>
      <c r="F41" s="527" t="str">
        <f t="shared" si="394"/>
        <v/>
      </c>
      <c r="G41" s="417"/>
      <c r="H41" s="583" t="str">
        <f t="shared" si="395"/>
        <v/>
      </c>
      <c r="I41" s="424"/>
      <c r="J41" s="749"/>
      <c r="K41" s="418"/>
      <c r="L41" s="419"/>
      <c r="M41" s="415"/>
      <c r="N41" s="420"/>
      <c r="O41" s="653"/>
      <c r="P41" s="561"/>
      <c r="Q41" s="422"/>
      <c r="R41" s="561" t="str">
        <f t="shared" si="396"/>
        <v/>
      </c>
      <c r="S41" s="664"/>
      <c r="T41" s="663"/>
      <c r="U41" s="580">
        <f t="shared" si="397"/>
        <v>0</v>
      </c>
      <c r="V41" s="418"/>
      <c r="W41" s="582" t="str">
        <f t="shared" si="398"/>
        <v/>
      </c>
      <c r="X41" s="479" t="str">
        <f t="shared" si="399"/>
        <v/>
      </c>
      <c r="Y41" s="582" t="str">
        <f t="shared" si="400"/>
        <v/>
      </c>
      <c r="Z41" s="317" t="str">
        <f t="shared" si="401"/>
        <v/>
      </c>
      <c r="AA41" s="317" t="str">
        <f t="shared" si="402"/>
        <v/>
      </c>
      <c r="AB41" s="317">
        <f t="shared" si="403"/>
        <v>0</v>
      </c>
      <c r="AC41" s="317" t="str">
        <f t="shared" si="404"/>
        <v/>
      </c>
      <c r="AD41" s="317"/>
      <c r="AE41" s="479"/>
      <c r="AF41" s="479"/>
      <c r="AG41" s="423"/>
      <c r="AH41" s="820"/>
      <c r="AI41" s="480"/>
      <c r="AJ41" s="660"/>
      <c r="AK41" s="524" t="str">
        <f t="shared" si="405"/>
        <v/>
      </c>
      <c r="AL41" s="731">
        <f>SUMIF($J$4:$J$46,"Futuro",$S$4:$S$46)</f>
        <v>0</v>
      </c>
      <c r="AM41" s="732">
        <f>SUMIF($J$4:$J$46,"Futuro",$T$4:$T$46)</f>
        <v>0</v>
      </c>
      <c r="AN41" s="426">
        <f t="shared" si="406"/>
        <v>0</v>
      </c>
      <c r="AO41" s="427" t="str">
        <f t="shared" si="407"/>
        <v/>
      </c>
      <c r="AP41" s="426" t="str">
        <f t="shared" si="408"/>
        <v/>
      </c>
      <c r="AQ41" s="426"/>
      <c r="AR41" s="426"/>
      <c r="AS41" s="428"/>
      <c r="AT41" s="429"/>
      <c r="AU41" s="430"/>
      <c r="AV41" s="431"/>
      <c r="AW41" s="432"/>
      <c r="AX41" s="430"/>
      <c r="AY41" s="431">
        <f t="shared" si="409"/>
        <v>0</v>
      </c>
      <c r="AZ41" s="426"/>
      <c r="BA41" s="435" t="str">
        <f t="shared" si="410"/>
        <v/>
      </c>
      <c r="BB41" s="435"/>
      <c r="BC41" s="426"/>
      <c r="BD41" s="426">
        <f t="array" ref="BD41">IF(SUM((BC41=$BC$3:BC40)*1)=0,BC41,0)</f>
        <v>0</v>
      </c>
      <c r="BE41" s="426"/>
      <c r="BF41" s="426"/>
      <c r="BG41" s="426">
        <f t="array" ref="BG41">IF(SUM((BF41=$BF$3:BF40)*1)=0,BF41,0)</f>
        <v>0</v>
      </c>
      <c r="BH41" s="426"/>
      <c r="BI41" s="426"/>
      <c r="BJ41" s="426"/>
      <c r="BK41" s="426"/>
      <c r="BL41" s="426"/>
      <c r="BM41" s="426"/>
      <c r="BN41" s="426"/>
      <c r="BO41" s="426"/>
      <c r="BP41" s="433">
        <f t="shared" si="411"/>
        <v>0</v>
      </c>
      <c r="BQ41" s="435"/>
      <c r="BR41" s="492"/>
      <c r="BS41" s="435"/>
      <c r="BT41" s="491"/>
      <c r="BU41" s="435"/>
      <c r="BV41" s="435" t="str">
        <f t="shared" si="412"/>
        <v/>
      </c>
      <c r="BW41" s="435" t="str">
        <f t="shared" si="38"/>
        <v/>
      </c>
      <c r="BX41" s="435"/>
      <c r="BY41" s="435"/>
      <c r="BZ41" s="435"/>
      <c r="CA41" s="435"/>
      <c r="CB41" s="435"/>
      <c r="CC41" s="435"/>
      <c r="CD41" s="435"/>
      <c r="CE41" s="435"/>
      <c r="CF41" s="435"/>
      <c r="CG41" s="435"/>
      <c r="CH41" s="435"/>
      <c r="CI41" s="435"/>
      <c r="CJ41" s="426" t="str">
        <f t="shared" si="39"/>
        <v/>
      </c>
      <c r="CK41" s="435"/>
      <c r="CL41" s="426"/>
      <c r="CM41" s="435"/>
      <c r="CN41" s="426"/>
      <c r="CO41" s="426"/>
      <c r="CP41" s="426"/>
      <c r="CQ41" s="426"/>
      <c r="CR41" s="426"/>
      <c r="CS41" s="426"/>
      <c r="CT41" s="426"/>
      <c r="CU41" s="426"/>
      <c r="CV41" s="426"/>
      <c r="CW41" s="426"/>
      <c r="CX41" s="426"/>
      <c r="CY41" s="426">
        <v>38</v>
      </c>
      <c r="CZ41" s="426"/>
      <c r="DA41" s="426"/>
      <c r="DB41" s="426"/>
      <c r="DC41" s="426" t="s">
        <v>781</v>
      </c>
      <c r="DD41" s="426" t="s">
        <v>941</v>
      </c>
      <c r="DE41" s="435" t="str">
        <f t="shared" si="40"/>
        <v/>
      </c>
      <c r="DF41" s="435" t="str">
        <f t="shared" si="41"/>
        <v/>
      </c>
      <c r="DG41" s="435" t="str">
        <f t="shared" si="42"/>
        <v/>
      </c>
      <c r="DH41" s="435" t="str">
        <f t="shared" si="43"/>
        <v/>
      </c>
      <c r="DI41" s="435" t="str">
        <f t="shared" si="44"/>
        <v/>
      </c>
      <c r="DJ41" s="435" t="str">
        <f t="shared" si="45"/>
        <v/>
      </c>
      <c r="DK41" s="435" t="str">
        <f t="shared" si="413"/>
        <v/>
      </c>
      <c r="DL41" s="435" t="str">
        <f t="shared" si="414"/>
        <v/>
      </c>
      <c r="DM41" s="435" t="str">
        <f t="shared" si="46"/>
        <v/>
      </c>
      <c r="DN41" s="435" t="str">
        <f t="shared" si="47"/>
        <v/>
      </c>
      <c r="DO41" s="435" t="str">
        <f t="shared" si="415"/>
        <v/>
      </c>
      <c r="DP41" s="435" t="str">
        <f t="shared" si="416"/>
        <v/>
      </c>
      <c r="DQ41" s="435" t="str">
        <f t="shared" si="48"/>
        <v/>
      </c>
      <c r="DR41" s="435" t="str">
        <f t="shared" si="49"/>
        <v/>
      </c>
      <c r="DS41" s="435" t="str">
        <f t="shared" si="417"/>
        <v/>
      </c>
      <c r="DT41" s="435" t="str">
        <f t="shared" si="418"/>
        <v/>
      </c>
      <c r="DU41" s="435" t="str">
        <f t="shared" si="50"/>
        <v/>
      </c>
      <c r="DV41" s="435" t="str">
        <f t="shared" si="51"/>
        <v/>
      </c>
      <c r="DW41" s="435" t="str">
        <f t="shared" si="419"/>
        <v/>
      </c>
      <c r="DX41" s="435" t="str">
        <f t="shared" si="420"/>
        <v/>
      </c>
      <c r="DY41" s="435" t="str">
        <f t="shared" si="52"/>
        <v/>
      </c>
      <c r="DZ41" s="435" t="str">
        <f t="shared" si="53"/>
        <v/>
      </c>
      <c r="EA41" s="435" t="str">
        <f t="shared" si="421"/>
        <v/>
      </c>
      <c r="EB41" s="435" t="str">
        <f t="shared" si="422"/>
        <v/>
      </c>
      <c r="EC41" s="435" t="str">
        <f t="shared" si="423"/>
        <v/>
      </c>
      <c r="ED41" s="435" t="str">
        <f t="shared" si="424"/>
        <v/>
      </c>
      <c r="EE41" s="435" t="str">
        <f t="shared" si="425"/>
        <v/>
      </c>
      <c r="EF41" s="435" t="str">
        <f t="shared" si="426"/>
        <v/>
      </c>
      <c r="EG41" s="435" t="str">
        <f t="shared" si="427"/>
        <v/>
      </c>
      <c r="EH41" s="435" t="str">
        <f t="shared" si="428"/>
        <v/>
      </c>
      <c r="EI41" s="435" t="str">
        <f t="shared" si="429"/>
        <v/>
      </c>
      <c r="EJ41" s="435" t="str">
        <f t="shared" si="430"/>
        <v/>
      </c>
      <c r="EK41" s="485"/>
      <c r="EL41" s="485"/>
      <c r="EM41" s="485"/>
      <c r="EN41" s="485"/>
      <c r="EO41" s="448"/>
      <c r="EP41" s="448"/>
      <c r="EQ41" s="448"/>
      <c r="ER41" s="448"/>
      <c r="ES41" s="448"/>
      <c r="ET41" s="435"/>
      <c r="EU41" s="435"/>
      <c r="EV41" s="435"/>
      <c r="EW41" s="435"/>
      <c r="EX41" s="426"/>
      <c r="EY41" s="426"/>
      <c r="EZ41" s="426"/>
      <c r="FA41" s="427"/>
      <c r="FB41" s="427">
        <f t="array" ref="FB41">IF(SUM((FA41=$FA$3:FA40)*1)=0,FA41,0)</f>
        <v>0</v>
      </c>
      <c r="FC41" s="427"/>
      <c r="FD41" s="427"/>
      <c r="FE41" s="427">
        <f t="array" ref="FE41">IF(SUM((FD41=$FD$3:FD40)*1)=0,FD41,0)</f>
        <v>0</v>
      </c>
      <c r="FF41" s="427"/>
      <c r="FG41" s="427"/>
      <c r="FH41" s="427"/>
      <c r="FI41" s="427">
        <f t="array" ref="FI41">IF(SUM((FH41=$FH$3:FH40)*1)=0,FH41,0)</f>
        <v>0</v>
      </c>
      <c r="FJ41" s="427"/>
      <c r="FK41" s="427"/>
      <c r="FL41" s="427">
        <f t="array" ref="FL41">IF(SUM((FK41=$FK$3:FK40)*1)=0,FK41,0)</f>
        <v>0</v>
      </c>
      <c r="FM41" s="427"/>
      <c r="FN41" s="427"/>
      <c r="FO41" s="427"/>
      <c r="FP41" s="427">
        <f t="array" ref="FP41">IF(SUM((FO41=$FO$3:FO40)*1)=0,FO41,0)</f>
        <v>0</v>
      </c>
      <c r="FQ41" s="427"/>
      <c r="FR41" s="427"/>
      <c r="FS41" s="427">
        <f t="array" ref="FS41">IF(SUM((FR41=$FR$3:FR40)*1)=0,FR41,0)</f>
        <v>0</v>
      </c>
      <c r="FT41" s="427"/>
      <c r="FU41" s="427"/>
      <c r="FV41" s="427"/>
      <c r="FW41" s="427">
        <f t="array" ref="FW41">IF(SUM((FV41=$FV$3:FV40)*1)=0,FV41,0)</f>
        <v>0</v>
      </c>
      <c r="FX41" s="427"/>
      <c r="FY41" s="427"/>
      <c r="FZ41" s="427">
        <f t="array" ref="FZ41">IF(SUM((FY41=$FY$3:FY40)*1)=0,FY41,0)</f>
        <v>0</v>
      </c>
      <c r="GA41" s="427"/>
      <c r="GB41" s="427"/>
      <c r="GC41" s="427"/>
      <c r="GD41" s="427">
        <f t="array" ref="GD41">IF(SUM((GC41=$GC$3:GC40)*1)=0,GC41,0)</f>
        <v>0</v>
      </c>
      <c r="GE41" s="427"/>
      <c r="GF41" s="427"/>
      <c r="GG41" s="427">
        <f t="array" ref="GG41">IF(SUM((GF41=$GF$3:GF40)*1)=0,GF41,0)</f>
        <v>0</v>
      </c>
      <c r="GH41" s="427"/>
      <c r="GI41" s="427"/>
      <c r="GJ41" s="427"/>
      <c r="GK41" s="798">
        <f t="array" ref="GK41">IF(SUM((GJ41=$GJ$3:GJ40)*1)=0,GJ41,0)</f>
        <v>0</v>
      </c>
      <c r="GL41" s="427"/>
      <c r="GM41" s="427"/>
      <c r="GN41" s="798">
        <f t="array" ref="GN41">IF(SUM((GM41=$GM$3:GM40)*1)=0,GM41,0)</f>
        <v>0</v>
      </c>
      <c r="GO41" s="427"/>
      <c r="GP41" s="427"/>
      <c r="GQ41" s="427"/>
      <c r="GR41" s="798">
        <f t="array" ref="GR41">IF(SUM((GQ41=$GQ$3:GQ40)*1)=0,GQ41,0)</f>
        <v>0</v>
      </c>
      <c r="GS41" s="427"/>
      <c r="GT41" s="427"/>
      <c r="GU41" s="798">
        <f t="array" ref="GU41">IF(SUM((GT41=$GT$3:GT40)*1)=0,GT41,0)</f>
        <v>0</v>
      </c>
      <c r="GV41" s="427"/>
      <c r="GW41" s="427"/>
      <c r="GX41" s="427"/>
      <c r="GY41" s="798">
        <f t="array" ref="GY41">IF(SUM((GX41=$GX$3:GX40)*1)=0,GX41,0)</f>
        <v>0</v>
      </c>
      <c r="GZ41" s="427"/>
      <c r="HA41" s="427"/>
      <c r="HB41" s="798">
        <f t="array" ref="HB41">IF(SUM((HA41=$HA$3:HA40)*1)=0,HA41,0)</f>
        <v>0</v>
      </c>
      <c r="HC41" s="427"/>
      <c r="HD41" s="427"/>
      <c r="HE41" s="769" t="str">
        <f t="shared" si="130"/>
        <v/>
      </c>
      <c r="HF41" s="768" t="str">
        <f t="shared" ref="HF41" si="508">IF(HE41&lt;0,"Invadiu REP-BA-C","")</f>
        <v/>
      </c>
      <c r="HG41" s="769" t="str">
        <f t="shared" si="131"/>
        <v/>
      </c>
      <c r="HH41" s="768" t="str">
        <f t="shared" si="55"/>
        <v/>
      </c>
      <c r="HI41" s="728" t="str">
        <f t="shared" si="132"/>
        <v/>
      </c>
      <c r="HJ41" s="768" t="str">
        <f t="shared" si="56"/>
        <v/>
      </c>
      <c r="HK41" s="728" t="str">
        <f t="shared" si="133"/>
        <v/>
      </c>
      <c r="HL41" s="768" t="str">
        <f t="shared" si="57"/>
        <v/>
      </c>
      <c r="HM41" s="769" t="str">
        <f t="shared" si="441"/>
        <v/>
      </c>
      <c r="HN41" s="768" t="str">
        <f t="shared" ref="HN41" si="509">IF(HM41&lt;0,"Invadiu REP-BA-C","")</f>
        <v/>
      </c>
      <c r="HO41" s="769" t="str">
        <f t="shared" si="443"/>
        <v/>
      </c>
      <c r="HP41" s="768" t="str">
        <f t="shared" si="61"/>
        <v/>
      </c>
      <c r="HQ41" s="728" t="str">
        <f t="shared" si="444"/>
        <v/>
      </c>
      <c r="HR41" s="768" t="str">
        <f t="shared" si="63"/>
        <v/>
      </c>
      <c r="HS41" s="728" t="str">
        <f t="shared" si="445"/>
        <v/>
      </c>
      <c r="HT41" s="768" t="str">
        <f t="shared" si="65"/>
        <v/>
      </c>
      <c r="HU41" s="769" t="str">
        <f t="shared" si="446"/>
        <v/>
      </c>
      <c r="HV41" s="768" t="str">
        <f t="shared" ref="HV41" si="510">IF(HU41&lt;0,"Invadiu REP-BA-C","")</f>
        <v/>
      </c>
      <c r="HW41" s="769" t="str">
        <f t="shared" si="448"/>
        <v/>
      </c>
      <c r="HX41" s="768" t="str">
        <f t="shared" si="69"/>
        <v/>
      </c>
      <c r="HY41" s="728" t="str">
        <f t="shared" si="449"/>
        <v/>
      </c>
      <c r="HZ41" s="768" t="str">
        <f t="shared" si="71"/>
        <v/>
      </c>
      <c r="IA41" s="728" t="str">
        <f t="shared" si="450"/>
        <v/>
      </c>
      <c r="IB41" s="768" t="str">
        <f t="shared" si="73"/>
        <v/>
      </c>
      <c r="IC41" s="769" t="str">
        <f t="shared" si="451"/>
        <v/>
      </c>
      <c r="ID41" s="768" t="str">
        <f t="shared" ref="ID41" si="511">IF(IC41&lt;0,"Invadiu REP-BA-C","")</f>
        <v/>
      </c>
      <c r="IE41" s="769" t="str">
        <f t="shared" si="453"/>
        <v/>
      </c>
      <c r="IF41" s="768" t="str">
        <f t="shared" si="77"/>
        <v/>
      </c>
      <c r="IG41" s="728" t="str">
        <f t="shared" si="454"/>
        <v/>
      </c>
      <c r="IH41" s="768" t="str">
        <f t="shared" si="79"/>
        <v/>
      </c>
      <c r="II41" s="728" t="str">
        <f t="shared" si="455"/>
        <v/>
      </c>
      <c r="IJ41" s="768" t="str">
        <f t="shared" si="81"/>
        <v/>
      </c>
      <c r="IK41" s="769" t="str">
        <f t="shared" si="456"/>
        <v/>
      </c>
      <c r="IL41" s="768" t="str">
        <f t="shared" ref="IL41" si="512">IF(IK41&lt;0,"Invadiu REP-BA-C","")</f>
        <v/>
      </c>
      <c r="IM41" s="769" t="str">
        <f t="shared" si="458"/>
        <v/>
      </c>
      <c r="IN41" s="768" t="str">
        <f t="shared" si="85"/>
        <v/>
      </c>
      <c r="IO41" s="728" t="str">
        <f t="shared" si="459"/>
        <v/>
      </c>
      <c r="IP41" s="768" t="str">
        <f t="shared" si="87"/>
        <v/>
      </c>
      <c r="IQ41" s="728" t="str">
        <f t="shared" si="460"/>
        <v/>
      </c>
      <c r="IR41" s="768" t="str">
        <f t="shared" si="89"/>
        <v/>
      </c>
      <c r="IS41" s="769" t="str">
        <f t="shared" si="461"/>
        <v/>
      </c>
      <c r="IT41" s="768" t="str">
        <f t="shared" ref="IT41" si="513">IF(IS41&lt;0,"Invadiu REP-BA-C","")</f>
        <v/>
      </c>
      <c r="IU41" s="769" t="str">
        <f t="shared" si="463"/>
        <v/>
      </c>
      <c r="IV41" s="768" t="str">
        <f t="shared" si="93"/>
        <v/>
      </c>
      <c r="IW41" s="728" t="str">
        <f t="shared" si="464"/>
        <v/>
      </c>
      <c r="IX41" s="768" t="str">
        <f t="shared" si="95"/>
        <v/>
      </c>
      <c r="IY41" s="728" t="str">
        <f t="shared" si="465"/>
        <v/>
      </c>
      <c r="IZ41" s="768" t="str">
        <f t="shared" si="97"/>
        <v/>
      </c>
      <c r="JA41" s="769" t="str">
        <f t="shared" si="466"/>
        <v/>
      </c>
      <c r="JB41" s="768" t="str">
        <f t="shared" ref="JB41" si="514">IF(JA41&lt;0,"Invadiu REP-BA-C","")</f>
        <v/>
      </c>
      <c r="JC41" s="769" t="str">
        <f t="shared" si="468"/>
        <v/>
      </c>
      <c r="JD41" s="768" t="str">
        <f t="shared" si="101"/>
        <v/>
      </c>
      <c r="JE41" s="728" t="str">
        <f t="shared" si="469"/>
        <v/>
      </c>
      <c r="JF41" s="768" t="str">
        <f t="shared" si="103"/>
        <v/>
      </c>
      <c r="JG41" s="728" t="str">
        <f t="shared" si="470"/>
        <v/>
      </c>
      <c r="JH41" s="768" t="str">
        <f t="shared" si="105"/>
        <v/>
      </c>
      <c r="JI41" s="769" t="str">
        <f t="shared" si="471"/>
        <v/>
      </c>
      <c r="JJ41" s="768" t="str">
        <f t="shared" ref="JJ41" si="515">IF(JI41&lt;0,"Invadiu REP-BA-C","")</f>
        <v/>
      </c>
      <c r="JK41" s="769" t="str">
        <f t="shared" si="473"/>
        <v/>
      </c>
      <c r="JL41" s="768" t="str">
        <f t="shared" si="109"/>
        <v/>
      </c>
      <c r="JM41" s="728" t="str">
        <f t="shared" si="474"/>
        <v/>
      </c>
      <c r="JN41" s="768" t="str">
        <f t="shared" si="111"/>
        <v/>
      </c>
      <c r="JO41" s="728" t="str">
        <f t="shared" si="475"/>
        <v/>
      </c>
      <c r="JP41" s="768" t="str">
        <f t="shared" si="113"/>
        <v/>
      </c>
      <c r="JQ41" s="769" t="str">
        <f t="shared" si="476"/>
        <v/>
      </c>
      <c r="JR41" s="768" t="str">
        <f t="shared" ref="JR41" si="516">IF(JQ41&lt;0,"Invadiu REP-BA-C","")</f>
        <v/>
      </c>
      <c r="JS41" s="769" t="str">
        <f t="shared" si="478"/>
        <v/>
      </c>
      <c r="JT41" s="768" t="str">
        <f t="shared" si="117"/>
        <v/>
      </c>
      <c r="JU41" s="728" t="str">
        <f t="shared" si="479"/>
        <v/>
      </c>
      <c r="JV41" s="768" t="str">
        <f t="shared" si="119"/>
        <v/>
      </c>
      <c r="JW41" s="728" t="str">
        <f t="shared" si="480"/>
        <v/>
      </c>
      <c r="JX41" s="768" t="str">
        <f t="shared" si="121"/>
        <v/>
      </c>
      <c r="JY41" s="768" t="str">
        <f t="shared" si="122"/>
        <v/>
      </c>
      <c r="JZ41" s="485" t="str">
        <f>IF(JY41="","",IF(AND(C41=$C$164,JY41&lt;&gt;""),Verificarcpf(D41),IF(AND(C41=$C$165,JY41&lt;&gt;""),VerificarCNPJ(D41))))</f>
        <v/>
      </c>
      <c r="KA41" s="768" t="str">
        <f t="shared" si="123"/>
        <v/>
      </c>
      <c r="KB41" s="485">
        <f t="shared" si="124"/>
        <v>0</v>
      </c>
      <c r="KC41" s="768">
        <f t="shared" si="125"/>
        <v>0</v>
      </c>
      <c r="KD41" s="485">
        <f t="shared" si="126"/>
        <v>0</v>
      </c>
      <c r="KE41" s="448"/>
      <c r="KF41" s="548"/>
      <c r="KG41" s="548"/>
      <c r="KH41" s="548"/>
      <c r="KI41" s="548"/>
      <c r="KJ41" s="548" t="str">
        <f t="shared" si="128"/>
        <v/>
      </c>
      <c r="KK41" s="548"/>
      <c r="KL41" s="548"/>
      <c r="KM41" s="548">
        <f t="array" ref="KM41">IF(SUM((KL41=$KL$3:KL40)*1)=0,KL41,0)</f>
        <v>0</v>
      </c>
      <c r="KN41" s="548"/>
      <c r="KO41" s="548"/>
      <c r="KP41" s="548"/>
      <c r="KQ41" s="548"/>
      <c r="KR41" s="548" t="str">
        <f t="shared" si="129"/>
        <v/>
      </c>
      <c r="KS41" s="548"/>
      <c r="KT41" s="548"/>
      <c r="KU41" s="548"/>
      <c r="KV41" s="548"/>
      <c r="KW41" s="548"/>
      <c r="KX41" s="548"/>
      <c r="KY41" s="548"/>
      <c r="KZ41" s="548"/>
      <c r="LA41" s="548"/>
      <c r="LB41" s="548"/>
      <c r="LC41" s="485" t="str">
        <f t="shared" si="142"/>
        <v/>
      </c>
      <c r="LD41" s="548"/>
      <c r="LE41" s="548"/>
      <c r="LF41" s="548"/>
      <c r="LG41" s="548"/>
      <c r="LH41" s="548"/>
      <c r="LI41" s="548"/>
      <c r="LJ41" s="548"/>
      <c r="LK41" s="548"/>
      <c r="LL41" s="548"/>
      <c r="LM41" s="548"/>
      <c r="LN41" s="548"/>
      <c r="LO41" s="548"/>
      <c r="LP41" s="485" t="str">
        <f t="shared" si="143"/>
        <v/>
      </c>
      <c r="LQ41" s="548"/>
      <c r="LR41" s="548"/>
      <c r="LS41" s="548"/>
      <c r="LT41" s="548"/>
      <c r="LU41" s="548"/>
      <c r="LV41" s="548"/>
      <c r="LW41" s="548"/>
      <c r="LX41" s="548"/>
      <c r="LY41" s="548"/>
      <c r="LZ41" s="548"/>
      <c r="MA41" s="548"/>
      <c r="MB41" s="548"/>
      <c r="MC41" s="485" t="str">
        <f t="shared" si="144"/>
        <v/>
      </c>
      <c r="MD41" s="548"/>
      <c r="ME41" s="548"/>
      <c r="MF41" s="548"/>
      <c r="MG41" s="548"/>
      <c r="MH41" s="548"/>
      <c r="MI41" s="548"/>
      <c r="MJ41" s="548"/>
      <c r="MK41" s="548"/>
      <c r="ML41" s="548"/>
      <c r="MM41" s="548"/>
      <c r="MN41" s="548"/>
      <c r="MO41" s="548"/>
      <c r="MP41" s="485" t="str">
        <f t="shared" si="145"/>
        <v/>
      </c>
      <c r="MQ41" s="548"/>
      <c r="MR41" s="548"/>
      <c r="MS41" s="548"/>
      <c r="MT41" s="548"/>
      <c r="MU41" s="548"/>
      <c r="MV41" s="548"/>
      <c r="MW41" s="548"/>
      <c r="MX41" s="548"/>
      <c r="MY41" s="548"/>
      <c r="MZ41" s="548"/>
      <c r="NA41" s="548"/>
      <c r="NB41" s="548"/>
      <c r="NC41" s="485" t="str">
        <f t="shared" si="146"/>
        <v/>
      </c>
      <c r="ND41" s="548"/>
      <c r="NE41" s="548"/>
      <c r="NF41" s="548"/>
      <c r="NG41" s="548"/>
      <c r="NH41" s="548"/>
      <c r="NI41" s="548"/>
      <c r="NJ41" s="548"/>
      <c r="NK41" s="548"/>
      <c r="NL41" s="548"/>
      <c r="NM41" s="548"/>
      <c r="NN41" s="548"/>
      <c r="NO41" s="548"/>
      <c r="NP41" s="485" t="str">
        <f t="shared" si="147"/>
        <v/>
      </c>
      <c r="NQ41" s="548"/>
      <c r="NR41" s="548"/>
      <c r="NS41" s="548"/>
      <c r="NT41" s="548"/>
      <c r="NU41" s="548"/>
      <c r="NV41" s="548"/>
      <c r="NW41" s="548"/>
      <c r="NX41" s="548"/>
      <c r="NY41" s="548"/>
      <c r="NZ41" s="548"/>
      <c r="OA41" s="548"/>
      <c r="OB41" s="548"/>
      <c r="OC41" s="485" t="str">
        <f t="shared" si="148"/>
        <v/>
      </c>
      <c r="OD41" s="548"/>
      <c r="OE41" s="548"/>
      <c r="OF41" s="548"/>
      <c r="OG41" s="548"/>
      <c r="OH41" s="548"/>
      <c r="OI41" s="548"/>
      <c r="OJ41" s="548"/>
      <c r="OK41" s="548"/>
      <c r="OL41" s="548"/>
      <c r="OM41" s="548"/>
      <c r="ON41" s="548"/>
      <c r="OO41" s="548"/>
      <c r="OP41" s="548"/>
      <c r="OQ41" s="548"/>
      <c r="OR41" s="548"/>
      <c r="OS41" s="548"/>
      <c r="OT41" s="548"/>
      <c r="OU41" s="548"/>
      <c r="OV41" s="548"/>
      <c r="OW41" s="548"/>
      <c r="OX41" s="548"/>
      <c r="OY41" s="548"/>
      <c r="OZ41" s="548"/>
      <c r="PA41" s="548"/>
      <c r="PB41" s="548"/>
      <c r="PC41" s="548"/>
      <c r="PD41" s="548"/>
      <c r="PE41" s="548"/>
      <c r="PF41" s="548"/>
      <c r="PG41" s="548"/>
      <c r="PH41" s="548"/>
      <c r="PI41" s="548"/>
      <c r="PJ41" s="548"/>
      <c r="PK41" s="548"/>
      <c r="PL41" s="548"/>
      <c r="PM41" s="548"/>
      <c r="PN41" s="548"/>
      <c r="PO41" s="548"/>
      <c r="PP41" s="548"/>
      <c r="PQ41" s="548"/>
      <c r="PR41" s="548"/>
      <c r="PS41" s="548"/>
      <c r="PT41" s="548"/>
      <c r="PU41" s="548"/>
      <c r="PV41" s="548"/>
      <c r="PW41" s="548"/>
      <c r="PX41" s="548"/>
      <c r="PY41" s="548"/>
      <c r="PZ41" s="548"/>
      <c r="QA41" s="548"/>
      <c r="QB41" s="548"/>
      <c r="QC41" s="548"/>
      <c r="QD41" s="548"/>
      <c r="QE41" s="548"/>
      <c r="QF41" s="548"/>
      <c r="QG41" s="548"/>
      <c r="QH41" s="548"/>
      <c r="QI41" s="548"/>
      <c r="QJ41" s="548"/>
      <c r="QK41" s="548"/>
      <c r="QL41" s="548"/>
      <c r="QM41" s="548"/>
      <c r="QN41" s="548"/>
      <c r="QO41" s="548"/>
      <c r="QP41" s="548"/>
      <c r="QQ41" s="1009"/>
      <c r="QR41" s="548"/>
      <c r="QS41" s="548"/>
      <c r="QT41" s="548"/>
      <c r="QU41" s="548"/>
      <c r="QV41" s="548"/>
      <c r="QW41" s="548"/>
      <c r="QX41" s="548"/>
      <c r="QY41" s="548"/>
      <c r="QZ41" s="548"/>
      <c r="RA41" s="548"/>
      <c r="RB41" s="548"/>
      <c r="RC41" s="548"/>
      <c r="RD41" s="548"/>
      <c r="RE41" s="548"/>
      <c r="RF41" s="548"/>
      <c r="RG41" s="548"/>
      <c r="RH41" s="548"/>
      <c r="RI41" s="548"/>
      <c r="RJ41" s="548"/>
      <c r="RK41" s="548"/>
      <c r="RL41" s="548"/>
      <c r="RM41" s="548"/>
      <c r="RN41" s="548"/>
      <c r="RO41" s="548"/>
      <c r="RP41" s="548"/>
      <c r="RQ41" s="548"/>
      <c r="RR41" s="548"/>
      <c r="RS41" s="548"/>
      <c r="RT41" s="548"/>
      <c r="RU41" s="548"/>
      <c r="RV41" s="548"/>
      <c r="RW41" s="548"/>
      <c r="RX41" s="548"/>
      <c r="RY41" s="548"/>
      <c r="RZ41" s="548"/>
      <c r="SA41" s="548"/>
      <c r="SB41" s="548"/>
      <c r="SC41" s="548"/>
      <c r="SD41" s="548"/>
      <c r="SE41" s="548"/>
      <c r="SF41" s="548"/>
      <c r="SG41" s="548"/>
      <c r="SH41" s="548"/>
      <c r="SI41" s="548"/>
      <c r="SJ41" s="548"/>
      <c r="SK41" s="548"/>
      <c r="SL41" s="548"/>
      <c r="SM41" s="548"/>
      <c r="SN41" s="548"/>
      <c r="SO41" s="548"/>
      <c r="SP41" s="548"/>
      <c r="SQ41" s="548"/>
      <c r="SR41" s="548"/>
      <c r="SS41" s="548"/>
      <c r="ST41" s="548"/>
      <c r="SU41" s="548"/>
      <c r="SV41" s="548"/>
      <c r="SW41" s="548"/>
      <c r="SX41" s="548"/>
      <c r="SY41" s="548"/>
      <c r="SZ41" s="548"/>
      <c r="TA41" s="548"/>
      <c r="TB41" s="548"/>
      <c r="TC41" s="548"/>
      <c r="TD41" s="548"/>
      <c r="TE41" s="548"/>
      <c r="TF41" s="548"/>
      <c r="TG41" s="548"/>
      <c r="TH41" s="548"/>
      <c r="TI41" s="548"/>
      <c r="TJ41" s="548"/>
      <c r="TK41" s="548"/>
      <c r="TL41" s="548"/>
      <c r="TM41" s="548"/>
      <c r="TN41" s="548"/>
      <c r="TO41" s="548"/>
      <c r="TP41" s="548"/>
      <c r="TQ41" s="548"/>
      <c r="TR41" s="548"/>
      <c r="TS41" s="548"/>
      <c r="TT41" s="548"/>
      <c r="TU41" s="548"/>
      <c r="TV41" s="548"/>
      <c r="TW41" s="548"/>
      <c r="TX41" s="548"/>
      <c r="TY41" s="548"/>
      <c r="TZ41" s="548"/>
      <c r="UA41" s="548"/>
      <c r="UB41" s="548"/>
      <c r="UC41" s="548"/>
      <c r="UD41" s="548"/>
      <c r="UE41" s="548"/>
      <c r="UF41" s="548"/>
      <c r="UG41" s="548"/>
      <c r="UH41" s="548"/>
      <c r="UI41" s="548"/>
      <c r="UJ41" s="548"/>
      <c r="UK41" s="548"/>
      <c r="UL41" s="548"/>
      <c r="UM41" s="548"/>
      <c r="UN41" s="548"/>
      <c r="UO41" s="548"/>
      <c r="UP41" s="548"/>
      <c r="UQ41" s="548"/>
      <c r="UR41" s="548"/>
      <c r="US41" s="548"/>
      <c r="UT41" s="548"/>
      <c r="UU41" s="548"/>
      <c r="UV41" s="548"/>
      <c r="UW41" s="548"/>
      <c r="UX41" s="548"/>
      <c r="UY41" s="548"/>
      <c r="UZ41" s="548"/>
      <c r="VA41" s="548"/>
      <c r="VB41" s="548"/>
      <c r="VC41" s="548"/>
      <c r="VD41" s="548"/>
      <c r="VE41" s="548"/>
      <c r="VF41" s="548"/>
      <c r="VG41" s="548"/>
      <c r="VH41" s="548"/>
      <c r="VI41" s="548"/>
      <c r="VJ41" s="548"/>
      <c r="VK41" s="548"/>
      <c r="VL41" s="548"/>
      <c r="VM41" s="548"/>
      <c r="VN41" s="548"/>
      <c r="VO41" s="548"/>
      <c r="VP41" s="548"/>
      <c r="VQ41" s="548"/>
      <c r="VR41" s="548"/>
      <c r="VS41" s="548"/>
      <c r="VT41" s="548"/>
      <c r="VU41" s="548"/>
      <c r="VV41" s="548"/>
      <c r="VW41" s="548"/>
      <c r="VX41" s="548"/>
      <c r="VY41" s="548"/>
      <c r="VZ41" s="548"/>
      <c r="WA41" s="548"/>
      <c r="WB41" s="548"/>
      <c r="WC41" s="548"/>
      <c r="WD41" s="548"/>
      <c r="WE41" s="548"/>
      <c r="WF41" s="548"/>
      <c r="WG41" s="548"/>
      <c r="WH41" s="548"/>
      <c r="WI41" s="548"/>
      <c r="WJ41" s="548"/>
      <c r="WK41" s="548"/>
      <c r="WL41" s="548"/>
      <c r="WM41" s="548"/>
      <c r="WN41" s="548"/>
      <c r="WO41" s="548"/>
      <c r="WP41" s="548"/>
      <c r="WQ41" s="548"/>
      <c r="WR41" s="548"/>
      <c r="WS41" s="548"/>
      <c r="WT41" s="548"/>
      <c r="WU41" s="548"/>
      <c r="WV41" s="548"/>
      <c r="WW41" s="548"/>
      <c r="WX41" s="548"/>
      <c r="WY41" s="548"/>
      <c r="WZ41" s="548"/>
      <c r="XA41" s="548"/>
      <c r="XB41" s="548"/>
      <c r="XC41" s="548"/>
      <c r="XD41" s="548"/>
      <c r="XE41" s="548"/>
      <c r="XF41" s="548"/>
      <c r="XG41" s="548"/>
      <c r="XH41" s="548"/>
      <c r="XI41" s="548"/>
      <c r="XJ41" s="548"/>
      <c r="XK41" s="548"/>
      <c r="XL41" s="548"/>
      <c r="XM41" s="548"/>
      <c r="XN41" s="548"/>
      <c r="XO41" s="548"/>
      <c r="XP41" s="548"/>
      <c r="XQ41" s="548"/>
      <c r="XR41" s="548"/>
      <c r="XS41" s="548"/>
      <c r="XT41" s="548"/>
      <c r="XU41" s="548"/>
      <c r="XV41" s="548"/>
      <c r="XW41" s="548"/>
      <c r="XX41" s="548"/>
      <c r="XY41" s="548"/>
      <c r="XZ41" s="548"/>
      <c r="YA41" s="548"/>
      <c r="YB41" s="548"/>
      <c r="YC41" s="548"/>
      <c r="YD41" s="548"/>
      <c r="YE41" s="548"/>
      <c r="YF41" s="548"/>
      <c r="YG41" s="548"/>
      <c r="YH41" s="548"/>
      <c r="YI41" s="548"/>
      <c r="YJ41" s="548"/>
      <c r="YK41" s="548"/>
      <c r="YL41" s="548"/>
      <c r="YM41" s="548"/>
      <c r="YN41" s="548"/>
      <c r="YO41" s="548"/>
      <c r="YP41" s="548"/>
      <c r="YQ41" s="548"/>
      <c r="YR41" s="548"/>
      <c r="YS41" s="548"/>
      <c r="YT41" s="548"/>
      <c r="YU41" s="548"/>
      <c r="YV41" s="548"/>
      <c r="YW41" s="548"/>
      <c r="YX41" s="548"/>
      <c r="YY41" s="548"/>
      <c r="YZ41" s="548"/>
      <c r="ZA41" s="548"/>
      <c r="ZB41" s="548"/>
      <c r="ZC41" s="548"/>
      <c r="ZD41" s="548"/>
      <c r="ZE41" s="548"/>
      <c r="ZF41" s="548"/>
      <c r="ZG41" s="548"/>
      <c r="ZH41" s="548"/>
      <c r="ZI41" s="548"/>
      <c r="ZJ41" s="548"/>
      <c r="ZK41" s="548"/>
      <c r="ZL41" s="548"/>
      <c r="ZM41" s="548"/>
      <c r="ZN41" s="548"/>
      <c r="ZO41" s="548"/>
      <c r="ZP41" s="548"/>
      <c r="ZQ41" s="548"/>
      <c r="ZR41" s="548"/>
      <c r="ZS41" s="548"/>
      <c r="ZT41" s="548"/>
      <c r="ZU41" s="548"/>
      <c r="ZV41" s="548"/>
      <c r="ZW41" s="548"/>
      <c r="ZX41" s="548"/>
      <c r="ZY41" s="548"/>
      <c r="ZZ41" s="548"/>
      <c r="AAA41" s="548"/>
      <c r="AAB41" s="548"/>
      <c r="AAC41" s="548"/>
      <c r="AAD41" s="548"/>
      <c r="AAE41" s="548"/>
      <c r="AAF41" s="548"/>
      <c r="AAG41" s="548"/>
      <c r="AAH41" s="548"/>
      <c r="AAI41" s="548"/>
      <c r="AAJ41" s="548"/>
      <c r="AAK41" s="548"/>
      <c r="AAL41" s="548"/>
      <c r="AAM41" s="548"/>
      <c r="AAN41" s="548"/>
      <c r="AAO41" s="548"/>
      <c r="AAP41" s="548"/>
      <c r="AAQ41" s="548"/>
      <c r="AAR41" s="548"/>
      <c r="AAS41" s="548"/>
      <c r="AAT41" s="548"/>
      <c r="AAU41" s="548"/>
      <c r="AAV41" s="548"/>
      <c r="AAW41" s="548"/>
      <c r="AAX41" s="548"/>
      <c r="AAY41" s="548"/>
      <c r="AAZ41" s="548"/>
      <c r="ABA41" s="548"/>
      <c r="ABB41" s="548"/>
      <c r="ABC41" s="548"/>
      <c r="ABD41" s="548"/>
      <c r="ABE41" s="548"/>
      <c r="ABF41" s="548"/>
      <c r="ABG41" s="548"/>
      <c r="ABH41" s="548"/>
      <c r="ABI41" s="548"/>
      <c r="ABJ41" s="548"/>
      <c r="ABK41" s="548"/>
      <c r="ABL41" s="548"/>
      <c r="ABM41" s="548"/>
      <c r="ABN41" s="548"/>
      <c r="ABO41" s="548"/>
      <c r="ABP41" s="548"/>
      <c r="ABQ41" s="548"/>
      <c r="ABR41" s="548"/>
      <c r="ABS41" s="548"/>
    </row>
    <row r="42" spans="1:747" customFormat="1" ht="15" customHeight="1" x14ac:dyDescent="0.2">
      <c r="A42" s="424" t="str">
        <f t="shared" si="149"/>
        <v/>
      </c>
      <c r="B42" s="415"/>
      <c r="C42" s="525"/>
      <c r="D42" s="750"/>
      <c r="E42" s="416" t="str">
        <f t="shared" si="393"/>
        <v/>
      </c>
      <c r="F42" s="527" t="str">
        <f t="shared" si="394"/>
        <v/>
      </c>
      <c r="G42" s="417"/>
      <c r="H42" s="583" t="str">
        <f t="shared" si="395"/>
        <v/>
      </c>
      <c r="I42" s="424"/>
      <c r="J42" s="749"/>
      <c r="K42" s="418"/>
      <c r="L42" s="419"/>
      <c r="M42" s="415"/>
      <c r="N42" s="420"/>
      <c r="O42" s="653"/>
      <c r="P42" s="561"/>
      <c r="Q42" s="422"/>
      <c r="R42" s="561" t="str">
        <f t="shared" si="396"/>
        <v/>
      </c>
      <c r="S42" s="664"/>
      <c r="T42" s="663"/>
      <c r="U42" s="580">
        <f t="shared" si="397"/>
        <v>0</v>
      </c>
      <c r="V42" s="418"/>
      <c r="W42" s="582" t="str">
        <f t="shared" si="398"/>
        <v/>
      </c>
      <c r="X42" s="479" t="str">
        <f t="shared" si="399"/>
        <v/>
      </c>
      <c r="Y42" s="582" t="str">
        <f t="shared" si="400"/>
        <v/>
      </c>
      <c r="Z42" s="317" t="str">
        <f t="shared" si="401"/>
        <v/>
      </c>
      <c r="AA42" s="317" t="str">
        <f t="shared" si="402"/>
        <v/>
      </c>
      <c r="AB42" s="317">
        <f t="shared" si="403"/>
        <v>0</v>
      </c>
      <c r="AC42" s="317" t="str">
        <f t="shared" si="404"/>
        <v/>
      </c>
      <c r="AD42" s="317"/>
      <c r="AE42" s="479"/>
      <c r="AF42" s="479"/>
      <c r="AG42" s="423"/>
      <c r="AH42" s="820"/>
      <c r="AI42" s="480"/>
      <c r="AJ42" s="660"/>
      <c r="AK42" s="524" t="str">
        <f t="shared" si="405"/>
        <v/>
      </c>
      <c r="AL42" s="731">
        <f>SUMIF($J$4:$J$60,"Futuro",$S$4:$S$60)</f>
        <v>0</v>
      </c>
      <c r="AM42" s="732">
        <f>SUMIF($J$4:$J$60,"Futuro",$T$4:$T$60)</f>
        <v>0</v>
      </c>
      <c r="AN42" s="426">
        <f t="shared" si="406"/>
        <v>0</v>
      </c>
      <c r="AO42" s="427" t="str">
        <f t="shared" si="407"/>
        <v/>
      </c>
      <c r="AP42" s="426" t="str">
        <f t="shared" si="408"/>
        <v/>
      </c>
      <c r="AQ42" s="426"/>
      <c r="AR42" s="426"/>
      <c r="AS42" s="428"/>
      <c r="AT42" s="429"/>
      <c r="AU42" s="430"/>
      <c r="AV42" s="431"/>
      <c r="AW42" s="432"/>
      <c r="AX42" s="430"/>
      <c r="AY42" s="431">
        <f t="shared" si="409"/>
        <v>0</v>
      </c>
      <c r="AZ42" s="426"/>
      <c r="BA42" s="435" t="str">
        <f t="shared" si="410"/>
        <v/>
      </c>
      <c r="BB42" s="435"/>
      <c r="BC42" s="426"/>
      <c r="BD42" s="426">
        <f t="array" ref="BD42">IF(SUM((BC42=$BC$3:BC41)*1)=0,BC42,0)</f>
        <v>0</v>
      </c>
      <c r="BE42" s="426"/>
      <c r="BF42" s="426"/>
      <c r="BG42" s="426">
        <f t="array" ref="BG42">IF(SUM((BF42=$BF$3:BF41)*1)=0,BF42,0)</f>
        <v>0</v>
      </c>
      <c r="BH42" s="426"/>
      <c r="BI42" s="426"/>
      <c r="BJ42" s="426"/>
      <c r="BK42" s="426"/>
      <c r="BL42" s="426"/>
      <c r="BM42" s="426"/>
      <c r="BN42" s="426"/>
      <c r="BO42" s="426"/>
      <c r="BP42" s="433">
        <f t="shared" si="411"/>
        <v>0</v>
      </c>
      <c r="BQ42" s="426"/>
      <c r="BR42" s="434"/>
      <c r="BS42" s="426"/>
      <c r="BT42" s="433"/>
      <c r="BU42" s="435"/>
      <c r="BV42" s="435" t="str">
        <f t="shared" si="412"/>
        <v/>
      </c>
      <c r="BW42" s="435" t="str">
        <f t="shared" si="38"/>
        <v/>
      </c>
      <c r="BX42" s="435"/>
      <c r="BY42" s="435"/>
      <c r="BZ42" s="435"/>
      <c r="CA42" s="435"/>
      <c r="CB42" s="435"/>
      <c r="CC42" s="435"/>
      <c r="CD42" s="435"/>
      <c r="CE42" s="435"/>
      <c r="CF42" s="435"/>
      <c r="CG42" s="435"/>
      <c r="CH42" s="435"/>
      <c r="CI42" s="435"/>
      <c r="CJ42" s="426" t="str">
        <f t="shared" si="39"/>
        <v/>
      </c>
      <c r="CK42" s="435"/>
      <c r="CL42" s="426"/>
      <c r="CM42" s="435"/>
      <c r="CN42" s="426"/>
      <c r="CO42" s="426"/>
      <c r="CP42" s="426"/>
      <c r="CQ42" s="426"/>
      <c r="CR42" s="426"/>
      <c r="CS42" s="426"/>
      <c r="CT42" s="426"/>
      <c r="CU42" s="426"/>
      <c r="CV42" s="426"/>
      <c r="CW42" s="426"/>
      <c r="CX42" s="426"/>
      <c r="CY42" s="426">
        <v>39</v>
      </c>
      <c r="CZ42" s="426"/>
      <c r="DA42" s="426"/>
      <c r="DB42" s="426"/>
      <c r="DC42" s="426" t="s">
        <v>782</v>
      </c>
      <c r="DD42" s="426" t="s">
        <v>942</v>
      </c>
      <c r="DE42" s="435" t="str">
        <f t="shared" si="40"/>
        <v/>
      </c>
      <c r="DF42" s="435" t="str">
        <f t="shared" si="41"/>
        <v/>
      </c>
      <c r="DG42" s="435" t="str">
        <f t="shared" si="42"/>
        <v/>
      </c>
      <c r="DH42" s="435" t="str">
        <f t="shared" si="43"/>
        <v/>
      </c>
      <c r="DI42" s="435" t="str">
        <f t="shared" si="44"/>
        <v/>
      </c>
      <c r="DJ42" s="435" t="str">
        <f t="shared" si="45"/>
        <v/>
      </c>
      <c r="DK42" s="435" t="str">
        <f t="shared" si="413"/>
        <v/>
      </c>
      <c r="DL42" s="435" t="str">
        <f t="shared" si="414"/>
        <v/>
      </c>
      <c r="DM42" s="435" t="str">
        <f t="shared" si="46"/>
        <v/>
      </c>
      <c r="DN42" s="435" t="str">
        <f t="shared" si="47"/>
        <v/>
      </c>
      <c r="DO42" s="435" t="str">
        <f t="shared" si="415"/>
        <v/>
      </c>
      <c r="DP42" s="435" t="str">
        <f t="shared" si="416"/>
        <v/>
      </c>
      <c r="DQ42" s="435" t="str">
        <f t="shared" si="48"/>
        <v/>
      </c>
      <c r="DR42" s="435" t="str">
        <f t="shared" si="49"/>
        <v/>
      </c>
      <c r="DS42" s="435" t="str">
        <f t="shared" si="417"/>
        <v/>
      </c>
      <c r="DT42" s="435" t="str">
        <f t="shared" si="418"/>
        <v/>
      </c>
      <c r="DU42" s="435" t="str">
        <f t="shared" si="50"/>
        <v/>
      </c>
      <c r="DV42" s="435" t="str">
        <f t="shared" si="51"/>
        <v/>
      </c>
      <c r="DW42" s="435" t="str">
        <f t="shared" si="419"/>
        <v/>
      </c>
      <c r="DX42" s="435" t="str">
        <f t="shared" si="420"/>
        <v/>
      </c>
      <c r="DY42" s="435" t="str">
        <f t="shared" si="52"/>
        <v/>
      </c>
      <c r="DZ42" s="435" t="str">
        <f t="shared" si="53"/>
        <v/>
      </c>
      <c r="EA42" s="435" t="str">
        <f t="shared" si="421"/>
        <v/>
      </c>
      <c r="EB42" s="435" t="str">
        <f t="shared" si="422"/>
        <v/>
      </c>
      <c r="EC42" s="435" t="str">
        <f t="shared" si="423"/>
        <v/>
      </c>
      <c r="ED42" s="435" t="str">
        <f t="shared" si="424"/>
        <v/>
      </c>
      <c r="EE42" s="435" t="str">
        <f t="shared" si="425"/>
        <v/>
      </c>
      <c r="EF42" s="435" t="str">
        <f t="shared" si="426"/>
        <v/>
      </c>
      <c r="EG42" s="435" t="str">
        <f t="shared" si="427"/>
        <v/>
      </c>
      <c r="EH42" s="435" t="str">
        <f t="shared" si="428"/>
        <v/>
      </c>
      <c r="EI42" s="435" t="str">
        <f t="shared" si="429"/>
        <v/>
      </c>
      <c r="EJ42" s="435" t="str">
        <f t="shared" si="430"/>
        <v/>
      </c>
      <c r="EK42" s="485"/>
      <c r="EL42" s="485"/>
      <c r="EM42" s="485"/>
      <c r="EN42" s="485"/>
      <c r="EO42" s="448"/>
      <c r="EP42" s="448"/>
      <c r="EQ42" s="448"/>
      <c r="ER42" s="448"/>
      <c r="ES42" s="448"/>
      <c r="ET42" s="435"/>
      <c r="EU42" s="435"/>
      <c r="EV42" s="435"/>
      <c r="EW42" s="435"/>
      <c r="EX42" s="426"/>
      <c r="EY42" s="426"/>
      <c r="EZ42" s="426"/>
      <c r="FA42" s="427"/>
      <c r="FB42" s="427">
        <f t="array" ref="FB42">IF(SUM((FA42=$FA$3:FA41)*1)=0,FA42,0)</f>
        <v>0</v>
      </c>
      <c r="FC42" s="427"/>
      <c r="FD42" s="427"/>
      <c r="FE42" s="427">
        <f t="array" ref="FE42">IF(SUM((FD42=$FD$3:FD41)*1)=0,FD42,0)</f>
        <v>0</v>
      </c>
      <c r="FF42" s="427"/>
      <c r="FG42" s="427"/>
      <c r="FH42" s="427"/>
      <c r="FI42" s="427">
        <f t="array" ref="FI42">IF(SUM((FH42=$FH$3:FH41)*1)=0,FH42,0)</f>
        <v>0</v>
      </c>
      <c r="FJ42" s="427"/>
      <c r="FK42" s="427"/>
      <c r="FL42" s="427">
        <f t="array" ref="FL42">IF(SUM((FK42=$FK$3:FK41)*1)=0,FK42,0)</f>
        <v>0</v>
      </c>
      <c r="FM42" s="427"/>
      <c r="FN42" s="427"/>
      <c r="FO42" s="427"/>
      <c r="FP42" s="427">
        <f t="array" ref="FP42">IF(SUM((FO42=$FO$3:FO41)*1)=0,FO42,0)</f>
        <v>0</v>
      </c>
      <c r="FQ42" s="427"/>
      <c r="FR42" s="427"/>
      <c r="FS42" s="427">
        <f t="array" ref="FS42">IF(SUM((FR42=$FR$3:FR41)*1)=0,FR42,0)</f>
        <v>0</v>
      </c>
      <c r="FT42" s="427"/>
      <c r="FU42" s="427"/>
      <c r="FV42" s="427"/>
      <c r="FW42" s="427">
        <f t="array" ref="FW42">IF(SUM((FV42=$FV$3:FV41)*1)=0,FV42,0)</f>
        <v>0</v>
      </c>
      <c r="FX42" s="427"/>
      <c r="FY42" s="427"/>
      <c r="FZ42" s="427">
        <f t="array" ref="FZ42">IF(SUM((FY42=$FY$3:FY41)*1)=0,FY42,0)</f>
        <v>0</v>
      </c>
      <c r="GA42" s="427"/>
      <c r="GB42" s="427"/>
      <c r="GC42" s="427"/>
      <c r="GD42" s="427">
        <f t="array" ref="GD42">IF(SUM((GC42=$GC$3:GC41)*1)=0,GC42,0)</f>
        <v>0</v>
      </c>
      <c r="GE42" s="427"/>
      <c r="GF42" s="427"/>
      <c r="GG42" s="427">
        <f t="array" ref="GG42">IF(SUM((GF42=$GF$3:GF41)*1)=0,GF42,0)</f>
        <v>0</v>
      </c>
      <c r="GH42" s="427"/>
      <c r="GI42" s="427"/>
      <c r="GJ42" s="427"/>
      <c r="GK42" s="798">
        <f t="array" ref="GK42">IF(SUM((GJ42=$GJ$3:GJ41)*1)=0,GJ42,0)</f>
        <v>0</v>
      </c>
      <c r="GL42" s="427"/>
      <c r="GM42" s="427"/>
      <c r="GN42" s="798">
        <f t="array" ref="GN42">IF(SUM((GM42=$GM$3:GM41)*1)=0,GM42,0)</f>
        <v>0</v>
      </c>
      <c r="GO42" s="427"/>
      <c r="GP42" s="427"/>
      <c r="GQ42" s="427"/>
      <c r="GR42" s="798">
        <f t="array" ref="GR42">IF(SUM((GQ42=$GQ$3:GQ41)*1)=0,GQ42,0)</f>
        <v>0</v>
      </c>
      <c r="GS42" s="427"/>
      <c r="GT42" s="427"/>
      <c r="GU42" s="798">
        <f t="array" ref="GU42">IF(SUM((GT42=$GT$3:GT41)*1)=0,GT42,0)</f>
        <v>0</v>
      </c>
      <c r="GV42" s="427"/>
      <c r="GW42" s="427"/>
      <c r="GX42" s="427"/>
      <c r="GY42" s="798">
        <f t="array" ref="GY42">IF(SUM((GX42=$GX$3:GX41)*1)=0,GX42,0)</f>
        <v>0</v>
      </c>
      <c r="GZ42" s="427"/>
      <c r="HA42" s="427"/>
      <c r="HB42" s="798">
        <f t="array" ref="HB42">IF(SUM((HA42=$HA$3:HA41)*1)=0,HA42,0)</f>
        <v>0</v>
      </c>
      <c r="HC42" s="427"/>
      <c r="HD42" s="427"/>
      <c r="HE42" s="769" t="str">
        <f t="shared" si="130"/>
        <v/>
      </c>
      <c r="HF42" s="768" t="str">
        <f t="shared" ref="HF42" si="517">IF(HE42&lt;0,"Invadiu REP-BA-C","")</f>
        <v/>
      </c>
      <c r="HG42" s="769" t="str">
        <f t="shared" si="131"/>
        <v/>
      </c>
      <c r="HH42" s="768" t="str">
        <f t="shared" si="55"/>
        <v/>
      </c>
      <c r="HI42" s="728" t="str">
        <f t="shared" si="132"/>
        <v/>
      </c>
      <c r="HJ42" s="768" t="str">
        <f t="shared" si="56"/>
        <v/>
      </c>
      <c r="HK42" s="728" t="str">
        <f t="shared" si="133"/>
        <v/>
      </c>
      <c r="HL42" s="768" t="str">
        <f t="shared" si="57"/>
        <v/>
      </c>
      <c r="HM42" s="769" t="str">
        <f t="shared" si="441"/>
        <v/>
      </c>
      <c r="HN42" s="768" t="str">
        <f t="shared" ref="HN42" si="518">IF(HM42&lt;0,"Invadiu REP-BA-C","")</f>
        <v/>
      </c>
      <c r="HO42" s="769" t="str">
        <f t="shared" si="443"/>
        <v/>
      </c>
      <c r="HP42" s="768" t="str">
        <f t="shared" si="61"/>
        <v/>
      </c>
      <c r="HQ42" s="728" t="str">
        <f t="shared" si="444"/>
        <v/>
      </c>
      <c r="HR42" s="768" t="str">
        <f t="shared" si="63"/>
        <v/>
      </c>
      <c r="HS42" s="728" t="str">
        <f t="shared" si="445"/>
        <v/>
      </c>
      <c r="HT42" s="768" t="str">
        <f t="shared" si="65"/>
        <v/>
      </c>
      <c r="HU42" s="769" t="str">
        <f t="shared" si="446"/>
        <v/>
      </c>
      <c r="HV42" s="768" t="str">
        <f t="shared" ref="HV42" si="519">IF(HU42&lt;0,"Invadiu REP-BA-C","")</f>
        <v/>
      </c>
      <c r="HW42" s="769" t="str">
        <f t="shared" si="448"/>
        <v/>
      </c>
      <c r="HX42" s="768" t="str">
        <f t="shared" si="69"/>
        <v/>
      </c>
      <c r="HY42" s="728" t="str">
        <f t="shared" si="449"/>
        <v/>
      </c>
      <c r="HZ42" s="768" t="str">
        <f t="shared" si="71"/>
        <v/>
      </c>
      <c r="IA42" s="728" t="str">
        <f t="shared" si="450"/>
        <v/>
      </c>
      <c r="IB42" s="768" t="str">
        <f t="shared" si="73"/>
        <v/>
      </c>
      <c r="IC42" s="769" t="str">
        <f t="shared" si="451"/>
        <v/>
      </c>
      <c r="ID42" s="768" t="str">
        <f t="shared" ref="ID42" si="520">IF(IC42&lt;0,"Invadiu REP-BA-C","")</f>
        <v/>
      </c>
      <c r="IE42" s="769" t="str">
        <f t="shared" si="453"/>
        <v/>
      </c>
      <c r="IF42" s="768" t="str">
        <f t="shared" si="77"/>
        <v/>
      </c>
      <c r="IG42" s="728" t="str">
        <f t="shared" si="454"/>
        <v/>
      </c>
      <c r="IH42" s="768" t="str">
        <f t="shared" si="79"/>
        <v/>
      </c>
      <c r="II42" s="728" t="str">
        <f t="shared" si="455"/>
        <v/>
      </c>
      <c r="IJ42" s="768" t="str">
        <f t="shared" si="81"/>
        <v/>
      </c>
      <c r="IK42" s="769" t="str">
        <f t="shared" si="456"/>
        <v/>
      </c>
      <c r="IL42" s="768" t="str">
        <f t="shared" ref="IL42" si="521">IF(IK42&lt;0,"Invadiu REP-BA-C","")</f>
        <v/>
      </c>
      <c r="IM42" s="769" t="str">
        <f t="shared" si="458"/>
        <v/>
      </c>
      <c r="IN42" s="768" t="str">
        <f t="shared" si="85"/>
        <v/>
      </c>
      <c r="IO42" s="728" t="str">
        <f t="shared" si="459"/>
        <v/>
      </c>
      <c r="IP42" s="768" t="str">
        <f t="shared" si="87"/>
        <v/>
      </c>
      <c r="IQ42" s="728" t="str">
        <f t="shared" si="460"/>
        <v/>
      </c>
      <c r="IR42" s="768" t="str">
        <f t="shared" si="89"/>
        <v/>
      </c>
      <c r="IS42" s="769" t="str">
        <f t="shared" si="461"/>
        <v/>
      </c>
      <c r="IT42" s="768" t="str">
        <f t="shared" ref="IT42" si="522">IF(IS42&lt;0,"Invadiu REP-BA-C","")</f>
        <v/>
      </c>
      <c r="IU42" s="769" t="str">
        <f t="shared" si="463"/>
        <v/>
      </c>
      <c r="IV42" s="768" t="str">
        <f t="shared" si="93"/>
        <v/>
      </c>
      <c r="IW42" s="728" t="str">
        <f t="shared" si="464"/>
        <v/>
      </c>
      <c r="IX42" s="768" t="str">
        <f t="shared" si="95"/>
        <v/>
      </c>
      <c r="IY42" s="728" t="str">
        <f t="shared" si="465"/>
        <v/>
      </c>
      <c r="IZ42" s="768" t="str">
        <f t="shared" si="97"/>
        <v/>
      </c>
      <c r="JA42" s="769" t="str">
        <f t="shared" si="466"/>
        <v/>
      </c>
      <c r="JB42" s="768" t="str">
        <f t="shared" ref="JB42" si="523">IF(JA42&lt;0,"Invadiu REP-BA-C","")</f>
        <v/>
      </c>
      <c r="JC42" s="769" t="str">
        <f t="shared" si="468"/>
        <v/>
      </c>
      <c r="JD42" s="768" t="str">
        <f t="shared" si="101"/>
        <v/>
      </c>
      <c r="JE42" s="728" t="str">
        <f t="shared" si="469"/>
        <v/>
      </c>
      <c r="JF42" s="768" t="str">
        <f t="shared" si="103"/>
        <v/>
      </c>
      <c r="JG42" s="728" t="str">
        <f t="shared" si="470"/>
        <v/>
      </c>
      <c r="JH42" s="768" t="str">
        <f t="shared" si="105"/>
        <v/>
      </c>
      <c r="JI42" s="769" t="str">
        <f t="shared" si="471"/>
        <v/>
      </c>
      <c r="JJ42" s="768" t="str">
        <f t="shared" ref="JJ42" si="524">IF(JI42&lt;0,"Invadiu REP-BA-C","")</f>
        <v/>
      </c>
      <c r="JK42" s="769" t="str">
        <f t="shared" si="473"/>
        <v/>
      </c>
      <c r="JL42" s="768" t="str">
        <f t="shared" si="109"/>
        <v/>
      </c>
      <c r="JM42" s="728" t="str">
        <f t="shared" si="474"/>
        <v/>
      </c>
      <c r="JN42" s="768" t="str">
        <f t="shared" si="111"/>
        <v/>
      </c>
      <c r="JO42" s="728" t="str">
        <f t="shared" si="475"/>
        <v/>
      </c>
      <c r="JP42" s="768" t="str">
        <f t="shared" si="113"/>
        <v/>
      </c>
      <c r="JQ42" s="769" t="str">
        <f t="shared" si="476"/>
        <v/>
      </c>
      <c r="JR42" s="768" t="str">
        <f t="shared" ref="JR42" si="525">IF(JQ42&lt;0,"Invadiu REP-BA-C","")</f>
        <v/>
      </c>
      <c r="JS42" s="769" t="str">
        <f t="shared" si="478"/>
        <v/>
      </c>
      <c r="JT42" s="768" t="str">
        <f t="shared" si="117"/>
        <v/>
      </c>
      <c r="JU42" s="728" t="str">
        <f t="shared" si="479"/>
        <v/>
      </c>
      <c r="JV42" s="768" t="str">
        <f t="shared" si="119"/>
        <v/>
      </c>
      <c r="JW42" s="728" t="str">
        <f t="shared" si="480"/>
        <v/>
      </c>
      <c r="JX42" s="768" t="str">
        <f t="shared" si="121"/>
        <v/>
      </c>
      <c r="JY42" s="768" t="str">
        <f t="shared" si="122"/>
        <v/>
      </c>
      <c r="JZ42" s="485" t="str">
        <f>IF(JY42="","",IF(AND(C42=$C$164,JY42&lt;&gt;""),Verificarcpf(D42),IF(AND(C42=$C$165,JY42&lt;&gt;""),VerificarCNPJ(D42))))</f>
        <v/>
      </c>
      <c r="KA42" s="768" t="str">
        <f t="shared" si="123"/>
        <v/>
      </c>
      <c r="KB42" s="485">
        <f t="shared" si="124"/>
        <v>0</v>
      </c>
      <c r="KC42" s="768">
        <f t="shared" si="125"/>
        <v>0</v>
      </c>
      <c r="KD42" s="485">
        <f t="shared" si="126"/>
        <v>0</v>
      </c>
      <c r="KE42" s="448"/>
      <c r="KF42" s="548"/>
      <c r="KG42" s="548"/>
      <c r="KH42" s="548"/>
      <c r="KI42" s="548"/>
      <c r="KJ42" s="548" t="str">
        <f t="shared" si="128"/>
        <v/>
      </c>
      <c r="KK42" s="548"/>
      <c r="KL42" s="548"/>
      <c r="KM42" s="548">
        <f t="array" ref="KM42">IF(SUM((KL42=$KL$3:KL41)*1)=0,KL42,0)</f>
        <v>0</v>
      </c>
      <c r="KN42" s="548"/>
      <c r="KO42" s="548"/>
      <c r="KP42" s="548"/>
      <c r="KQ42" s="548"/>
      <c r="KR42" s="548" t="str">
        <f t="shared" si="129"/>
        <v/>
      </c>
      <c r="KS42" s="548"/>
      <c r="KT42" s="548"/>
      <c r="KU42" s="548"/>
      <c r="KV42" s="548"/>
      <c r="KW42" s="548"/>
      <c r="KX42" s="548"/>
      <c r="KY42" s="548"/>
      <c r="KZ42" s="548"/>
      <c r="LA42" s="548"/>
      <c r="LB42" s="548"/>
      <c r="LC42" s="485" t="str">
        <f t="shared" si="142"/>
        <v/>
      </c>
      <c r="LD42" s="548"/>
      <c r="LE42" s="548"/>
      <c r="LF42" s="548"/>
      <c r="LG42" s="548"/>
      <c r="LH42" s="548"/>
      <c r="LI42" s="548"/>
      <c r="LJ42" s="548"/>
      <c r="LK42" s="548"/>
      <c r="LL42" s="548"/>
      <c r="LM42" s="548"/>
      <c r="LN42" s="548"/>
      <c r="LO42" s="548"/>
      <c r="LP42" s="485" t="str">
        <f t="shared" si="143"/>
        <v/>
      </c>
      <c r="LQ42" s="548"/>
      <c r="LR42" s="548"/>
      <c r="LS42" s="548"/>
      <c r="LT42" s="548"/>
      <c r="LU42" s="548"/>
      <c r="LV42" s="548"/>
      <c r="LW42" s="548"/>
      <c r="LX42" s="548"/>
      <c r="LY42" s="548"/>
      <c r="LZ42" s="548"/>
      <c r="MA42" s="548"/>
      <c r="MB42" s="548"/>
      <c r="MC42" s="485" t="str">
        <f t="shared" si="144"/>
        <v/>
      </c>
      <c r="MD42" s="548"/>
      <c r="ME42" s="548"/>
      <c r="MF42" s="548"/>
      <c r="MG42" s="548"/>
      <c r="MH42" s="548"/>
      <c r="MI42" s="548"/>
      <c r="MJ42" s="548"/>
      <c r="MK42" s="548"/>
      <c r="ML42" s="548"/>
      <c r="MM42" s="548"/>
      <c r="MN42" s="548"/>
      <c r="MO42" s="548"/>
      <c r="MP42" s="485" t="str">
        <f t="shared" si="145"/>
        <v/>
      </c>
      <c r="MQ42" s="548"/>
      <c r="MR42" s="548"/>
      <c r="MS42" s="548"/>
      <c r="MT42" s="548"/>
      <c r="MU42" s="548"/>
      <c r="MV42" s="548"/>
      <c r="MW42" s="548"/>
      <c r="MX42" s="548"/>
      <c r="MY42" s="548"/>
      <c r="MZ42" s="548"/>
      <c r="NA42" s="548"/>
      <c r="NB42" s="548"/>
      <c r="NC42" s="485" t="str">
        <f t="shared" si="146"/>
        <v/>
      </c>
      <c r="ND42" s="548"/>
      <c r="NE42" s="548"/>
      <c r="NF42" s="548"/>
      <c r="NG42" s="548"/>
      <c r="NH42" s="548"/>
      <c r="NI42" s="548"/>
      <c r="NJ42" s="548"/>
      <c r="NK42" s="548"/>
      <c r="NL42" s="548"/>
      <c r="NM42" s="548"/>
      <c r="NN42" s="548"/>
      <c r="NO42" s="548"/>
      <c r="NP42" s="485" t="str">
        <f t="shared" si="147"/>
        <v/>
      </c>
      <c r="NQ42" s="548"/>
      <c r="NR42" s="548"/>
      <c r="NS42" s="548"/>
      <c r="NT42" s="548"/>
      <c r="NU42" s="548"/>
      <c r="NV42" s="548"/>
      <c r="NW42" s="548"/>
      <c r="NX42" s="548"/>
      <c r="NY42" s="548"/>
      <c r="NZ42" s="548"/>
      <c r="OA42" s="548"/>
      <c r="OB42" s="548"/>
      <c r="OC42" s="485" t="str">
        <f t="shared" si="148"/>
        <v/>
      </c>
      <c r="OD42" s="548"/>
      <c r="OE42" s="548"/>
      <c r="OF42" s="548"/>
      <c r="OG42" s="548"/>
      <c r="OH42" s="548"/>
      <c r="OI42" s="548"/>
      <c r="OJ42" s="548"/>
      <c r="OK42" s="548"/>
      <c r="OL42" s="548"/>
      <c r="OM42" s="548"/>
      <c r="ON42" s="548"/>
      <c r="OO42" s="548"/>
      <c r="OP42" s="548"/>
      <c r="OQ42" s="548"/>
      <c r="OR42" s="548"/>
      <c r="OS42" s="548"/>
      <c r="OT42" s="548"/>
      <c r="OU42" s="548"/>
      <c r="OV42" s="548"/>
      <c r="OW42" s="548"/>
      <c r="OX42" s="548"/>
      <c r="OY42" s="548"/>
      <c r="OZ42" s="548"/>
      <c r="PA42" s="548"/>
      <c r="PB42" s="548"/>
      <c r="PC42" s="548"/>
      <c r="PD42" s="548"/>
      <c r="PE42" s="548"/>
      <c r="PF42" s="548"/>
      <c r="PG42" s="548"/>
      <c r="PH42" s="548"/>
      <c r="PI42" s="548"/>
      <c r="PJ42" s="548"/>
      <c r="PK42" s="548"/>
      <c r="PL42" s="548"/>
      <c r="PM42" s="548"/>
      <c r="PN42" s="548"/>
      <c r="PO42" s="548"/>
      <c r="PP42" s="548"/>
      <c r="PQ42" s="548"/>
      <c r="PR42" s="548"/>
      <c r="PS42" s="548"/>
      <c r="PT42" s="548"/>
      <c r="PU42" s="548"/>
      <c r="PV42" s="548"/>
      <c r="PW42" s="548"/>
      <c r="PX42" s="548"/>
      <c r="PY42" s="548"/>
      <c r="PZ42" s="548"/>
      <c r="QA42" s="548"/>
      <c r="QB42" s="548"/>
      <c r="QC42" s="548"/>
      <c r="QD42" s="548"/>
      <c r="QE42" s="548"/>
      <c r="QF42" s="548"/>
      <c r="QG42" s="548"/>
      <c r="QH42" s="548"/>
      <c r="QI42" s="548"/>
      <c r="QJ42" s="548"/>
      <c r="QK42" s="548"/>
      <c r="QL42" s="548"/>
      <c r="QM42" s="548"/>
      <c r="QN42" s="548"/>
      <c r="QO42" s="548"/>
      <c r="QP42" s="548"/>
      <c r="QQ42" s="1009"/>
      <c r="QR42" s="548"/>
      <c r="QS42" s="548"/>
      <c r="QT42" s="548"/>
      <c r="QU42" s="548"/>
      <c r="QV42" s="548"/>
      <c r="QW42" s="548"/>
      <c r="QX42" s="548"/>
      <c r="QY42" s="548"/>
      <c r="QZ42" s="548"/>
      <c r="RA42" s="548"/>
      <c r="RB42" s="548"/>
      <c r="RC42" s="548"/>
      <c r="RD42" s="548"/>
      <c r="RE42" s="548"/>
      <c r="RF42" s="548"/>
      <c r="RG42" s="548"/>
      <c r="RH42" s="548"/>
      <c r="RI42" s="548"/>
      <c r="RJ42" s="548"/>
      <c r="RK42" s="548"/>
      <c r="RL42" s="548"/>
      <c r="RM42" s="548"/>
      <c r="RN42" s="548"/>
      <c r="RO42" s="548"/>
      <c r="RP42" s="548"/>
      <c r="RQ42" s="548"/>
      <c r="RR42" s="548"/>
      <c r="RS42" s="548"/>
      <c r="RT42" s="548"/>
      <c r="RU42" s="548"/>
      <c r="RV42" s="548"/>
      <c r="RW42" s="548"/>
      <c r="RX42" s="548"/>
      <c r="RY42" s="548"/>
      <c r="RZ42" s="548"/>
      <c r="SA42" s="548"/>
      <c r="SB42" s="548"/>
      <c r="SC42" s="548"/>
      <c r="SD42" s="548"/>
      <c r="SE42" s="548"/>
      <c r="SF42" s="548"/>
      <c r="SG42" s="548"/>
      <c r="SH42" s="548"/>
      <c r="SI42" s="548"/>
      <c r="SJ42" s="548"/>
      <c r="SK42" s="548"/>
      <c r="SL42" s="548"/>
      <c r="SM42" s="548"/>
      <c r="SN42" s="548"/>
      <c r="SO42" s="548"/>
      <c r="SP42" s="548"/>
      <c r="SQ42" s="548"/>
      <c r="SR42" s="548"/>
      <c r="SS42" s="548"/>
      <c r="ST42" s="548"/>
      <c r="SU42" s="548"/>
      <c r="SV42" s="548"/>
      <c r="SW42" s="548"/>
      <c r="SX42" s="548"/>
      <c r="SY42" s="548"/>
      <c r="SZ42" s="548"/>
      <c r="TA42" s="548"/>
      <c r="TB42" s="548"/>
      <c r="TC42" s="548"/>
      <c r="TD42" s="548"/>
      <c r="TE42" s="548"/>
      <c r="TF42" s="548"/>
      <c r="TG42" s="548"/>
      <c r="TH42" s="548"/>
      <c r="TI42" s="548"/>
      <c r="TJ42" s="548"/>
      <c r="TK42" s="548"/>
      <c r="TL42" s="548"/>
      <c r="TM42" s="548"/>
      <c r="TN42" s="548"/>
      <c r="TO42" s="548"/>
      <c r="TP42" s="548"/>
      <c r="TQ42" s="548"/>
      <c r="TR42" s="548"/>
      <c r="TS42" s="548"/>
      <c r="TT42" s="548"/>
      <c r="TU42" s="548"/>
      <c r="TV42" s="548"/>
      <c r="TW42" s="548"/>
      <c r="TX42" s="548"/>
      <c r="TY42" s="548"/>
      <c r="TZ42" s="548"/>
      <c r="UA42" s="548"/>
      <c r="UB42" s="548"/>
      <c r="UC42" s="548"/>
      <c r="UD42" s="548"/>
      <c r="UE42" s="548"/>
      <c r="UF42" s="548"/>
      <c r="UG42" s="548"/>
      <c r="UH42" s="548"/>
      <c r="UI42" s="548"/>
      <c r="UJ42" s="548"/>
      <c r="UK42" s="548"/>
      <c r="UL42" s="548"/>
      <c r="UM42" s="548"/>
      <c r="UN42" s="548"/>
      <c r="UO42" s="548"/>
      <c r="UP42" s="548"/>
      <c r="UQ42" s="548"/>
      <c r="UR42" s="548"/>
      <c r="US42" s="548"/>
      <c r="UT42" s="548"/>
      <c r="UU42" s="548"/>
      <c r="UV42" s="548"/>
      <c r="UW42" s="548"/>
      <c r="UX42" s="548"/>
      <c r="UY42" s="548"/>
      <c r="UZ42" s="548"/>
      <c r="VA42" s="548"/>
      <c r="VB42" s="548"/>
      <c r="VC42" s="548"/>
      <c r="VD42" s="548"/>
      <c r="VE42" s="548"/>
      <c r="VF42" s="548"/>
      <c r="VG42" s="548"/>
      <c r="VH42" s="548"/>
      <c r="VI42" s="548"/>
      <c r="VJ42" s="548"/>
      <c r="VK42" s="548"/>
      <c r="VL42" s="548"/>
      <c r="VM42" s="548"/>
      <c r="VN42" s="548"/>
      <c r="VO42" s="548"/>
      <c r="VP42" s="548"/>
      <c r="VQ42" s="548"/>
      <c r="VR42" s="548"/>
      <c r="VS42" s="548"/>
      <c r="VT42" s="548"/>
      <c r="VU42" s="548"/>
      <c r="VV42" s="548"/>
      <c r="VW42" s="548"/>
      <c r="VX42" s="548"/>
      <c r="VY42" s="548"/>
      <c r="VZ42" s="548"/>
      <c r="WA42" s="548"/>
      <c r="WB42" s="548"/>
      <c r="WC42" s="548"/>
      <c r="WD42" s="548"/>
      <c r="WE42" s="548"/>
      <c r="WF42" s="548"/>
      <c r="WG42" s="548"/>
      <c r="WH42" s="548"/>
      <c r="WI42" s="548"/>
      <c r="WJ42" s="548"/>
      <c r="WK42" s="548"/>
      <c r="WL42" s="548"/>
      <c r="WM42" s="548"/>
      <c r="WN42" s="548"/>
      <c r="WO42" s="548"/>
      <c r="WP42" s="548"/>
      <c r="WQ42" s="548"/>
      <c r="WR42" s="548"/>
      <c r="WS42" s="548"/>
      <c r="WT42" s="548"/>
      <c r="WU42" s="548"/>
      <c r="WV42" s="548"/>
      <c r="WW42" s="548"/>
      <c r="WX42" s="548"/>
      <c r="WY42" s="548"/>
      <c r="WZ42" s="548"/>
      <c r="XA42" s="548"/>
      <c r="XB42" s="548"/>
      <c r="XC42" s="548"/>
      <c r="XD42" s="548"/>
      <c r="XE42" s="548"/>
      <c r="XF42" s="548"/>
      <c r="XG42" s="548"/>
      <c r="XH42" s="548"/>
      <c r="XI42" s="548"/>
      <c r="XJ42" s="548"/>
      <c r="XK42" s="548"/>
      <c r="XL42" s="548"/>
      <c r="XM42" s="548"/>
      <c r="XN42" s="548"/>
      <c r="XO42" s="548"/>
      <c r="XP42" s="548"/>
      <c r="XQ42" s="548"/>
      <c r="XR42" s="548"/>
      <c r="XS42" s="548"/>
      <c r="XT42" s="548"/>
      <c r="XU42" s="548"/>
      <c r="XV42" s="548"/>
      <c r="XW42" s="548"/>
      <c r="XX42" s="548"/>
      <c r="XY42" s="548"/>
      <c r="XZ42" s="548"/>
      <c r="YA42" s="548"/>
      <c r="YB42" s="548"/>
      <c r="YC42" s="548"/>
      <c r="YD42" s="548"/>
      <c r="YE42" s="548"/>
      <c r="YF42" s="548"/>
      <c r="YG42" s="548"/>
      <c r="YH42" s="548"/>
      <c r="YI42" s="548"/>
      <c r="YJ42" s="548"/>
      <c r="YK42" s="548"/>
      <c r="YL42" s="548"/>
      <c r="YM42" s="548"/>
      <c r="YN42" s="548"/>
      <c r="YO42" s="548"/>
      <c r="YP42" s="548"/>
      <c r="YQ42" s="548"/>
      <c r="YR42" s="548"/>
      <c r="YS42" s="548"/>
      <c r="YT42" s="548"/>
      <c r="YU42" s="548"/>
      <c r="YV42" s="548"/>
      <c r="YW42" s="548"/>
      <c r="YX42" s="548"/>
      <c r="YY42" s="548"/>
      <c r="YZ42" s="548"/>
      <c r="ZA42" s="548"/>
      <c r="ZB42" s="548"/>
      <c r="ZC42" s="548"/>
      <c r="ZD42" s="548"/>
      <c r="ZE42" s="548"/>
      <c r="ZF42" s="548"/>
      <c r="ZG42" s="548"/>
      <c r="ZH42" s="548"/>
      <c r="ZI42" s="548"/>
      <c r="ZJ42" s="548"/>
      <c r="ZK42" s="548"/>
      <c r="ZL42" s="548"/>
      <c r="ZM42" s="548"/>
      <c r="ZN42" s="548"/>
      <c r="ZO42" s="548"/>
      <c r="ZP42" s="548"/>
      <c r="ZQ42" s="548"/>
      <c r="ZR42" s="548"/>
      <c r="ZS42" s="548"/>
      <c r="ZT42" s="548"/>
      <c r="ZU42" s="548"/>
      <c r="ZV42" s="548"/>
      <c r="ZW42" s="548"/>
      <c r="ZX42" s="548"/>
      <c r="ZY42" s="548"/>
      <c r="ZZ42" s="548"/>
      <c r="AAA42" s="548"/>
      <c r="AAB42" s="548"/>
      <c r="AAC42" s="548"/>
      <c r="AAD42" s="548"/>
      <c r="AAE42" s="548"/>
      <c r="AAF42" s="548"/>
      <c r="AAG42" s="548"/>
      <c r="AAH42" s="548"/>
      <c r="AAI42" s="548"/>
      <c r="AAJ42" s="548"/>
      <c r="AAK42" s="548"/>
      <c r="AAL42" s="548"/>
      <c r="AAM42" s="548"/>
      <c r="AAN42" s="548"/>
      <c r="AAO42" s="548"/>
      <c r="AAP42" s="548"/>
      <c r="AAQ42" s="548"/>
      <c r="AAR42" s="548"/>
      <c r="AAS42" s="548"/>
      <c r="AAT42" s="548"/>
      <c r="AAU42" s="548"/>
      <c r="AAV42" s="548"/>
      <c r="AAW42" s="548"/>
      <c r="AAX42" s="548"/>
      <c r="AAY42" s="548"/>
      <c r="AAZ42" s="548"/>
      <c r="ABA42" s="548"/>
      <c r="ABB42" s="548"/>
      <c r="ABC42" s="548"/>
      <c r="ABD42" s="548"/>
      <c r="ABE42" s="548"/>
      <c r="ABF42" s="548"/>
      <c r="ABG42" s="548"/>
      <c r="ABH42" s="548"/>
      <c r="ABI42" s="548"/>
      <c r="ABJ42" s="548"/>
      <c r="ABK42" s="548"/>
      <c r="ABL42" s="548"/>
      <c r="ABM42" s="548"/>
      <c r="ABN42" s="548"/>
      <c r="ABO42" s="548"/>
      <c r="ABP42" s="548"/>
      <c r="ABQ42" s="548"/>
      <c r="ABR42" s="548"/>
      <c r="ABS42" s="548"/>
    </row>
    <row r="43" spans="1:747" customFormat="1" ht="15" customHeight="1" x14ac:dyDescent="0.2">
      <c r="A43" s="424" t="str">
        <f t="shared" si="149"/>
        <v/>
      </c>
      <c r="B43" s="415"/>
      <c r="C43" s="525"/>
      <c r="D43" s="750"/>
      <c r="E43" s="416" t="str">
        <f t="shared" si="393"/>
        <v/>
      </c>
      <c r="F43" s="527" t="str">
        <f t="shared" si="394"/>
        <v/>
      </c>
      <c r="G43" s="417"/>
      <c r="H43" s="583" t="str">
        <f t="shared" si="395"/>
        <v/>
      </c>
      <c r="I43" s="424"/>
      <c r="J43" s="749"/>
      <c r="K43" s="418"/>
      <c r="L43" s="419"/>
      <c r="M43" s="415"/>
      <c r="N43" s="420"/>
      <c r="O43" s="653"/>
      <c r="P43" s="561"/>
      <c r="Q43" s="422"/>
      <c r="R43" s="561" t="str">
        <f t="shared" si="396"/>
        <v/>
      </c>
      <c r="S43" s="664"/>
      <c r="T43" s="663"/>
      <c r="U43" s="580">
        <f t="shared" si="397"/>
        <v>0</v>
      </c>
      <c r="V43" s="418"/>
      <c r="W43" s="582" t="str">
        <f t="shared" si="398"/>
        <v/>
      </c>
      <c r="X43" s="479" t="str">
        <f t="shared" si="399"/>
        <v/>
      </c>
      <c r="Y43" s="582" t="str">
        <f t="shared" si="400"/>
        <v/>
      </c>
      <c r="Z43" s="317" t="str">
        <f t="shared" si="401"/>
        <v/>
      </c>
      <c r="AA43" s="317" t="str">
        <f t="shared" si="402"/>
        <v/>
      </c>
      <c r="AB43" s="317">
        <f t="shared" si="403"/>
        <v>0</v>
      </c>
      <c r="AC43" s="317" t="str">
        <f t="shared" si="404"/>
        <v/>
      </c>
      <c r="AD43" s="317"/>
      <c r="AE43" s="479"/>
      <c r="AF43" s="479"/>
      <c r="AG43" s="423"/>
      <c r="AH43" s="820"/>
      <c r="AI43" s="480"/>
      <c r="AJ43" s="660"/>
      <c r="AK43" s="524" t="str">
        <f t="shared" si="405"/>
        <v/>
      </c>
      <c r="AL43" s="731">
        <f>SUMIF($J$4:$J$74,"Futuro",$S$4:$S$74)</f>
        <v>0</v>
      </c>
      <c r="AM43" s="732">
        <f>SUMIF($J$4:$J$74,"Futuro",$T$4:$T$74)</f>
        <v>0</v>
      </c>
      <c r="AN43" s="426">
        <f t="shared" si="406"/>
        <v>0</v>
      </c>
      <c r="AO43" s="427" t="str">
        <f t="shared" si="407"/>
        <v/>
      </c>
      <c r="AP43" s="426" t="str">
        <f t="shared" si="408"/>
        <v/>
      </c>
      <c r="AQ43" s="426"/>
      <c r="AR43" s="426"/>
      <c r="AS43" s="428"/>
      <c r="AT43" s="429"/>
      <c r="AU43" s="430"/>
      <c r="AV43" s="431"/>
      <c r="AW43" s="432"/>
      <c r="AX43" s="430"/>
      <c r="AY43" s="431">
        <f t="shared" si="409"/>
        <v>0</v>
      </c>
      <c r="AZ43" s="426"/>
      <c r="BA43" s="435" t="str">
        <f t="shared" si="410"/>
        <v/>
      </c>
      <c r="BB43" s="435"/>
      <c r="BC43" s="426"/>
      <c r="BD43" s="426">
        <f t="array" ref="BD43">IF(SUM((BC43=$BC$3:BC42)*1)=0,BC43,0)</f>
        <v>0</v>
      </c>
      <c r="BE43" s="426"/>
      <c r="BF43" s="426"/>
      <c r="BG43" s="426">
        <f t="array" ref="BG43">IF(SUM((BF43=$BF$3:BF42)*1)=0,BF43,0)</f>
        <v>0</v>
      </c>
      <c r="BH43" s="426"/>
      <c r="BI43" s="426"/>
      <c r="BJ43" s="426"/>
      <c r="BK43" s="426"/>
      <c r="BL43" s="426"/>
      <c r="BM43" s="426"/>
      <c r="BN43" s="426"/>
      <c r="BO43" s="426"/>
      <c r="BP43" s="433">
        <f t="shared" si="411"/>
        <v>0</v>
      </c>
      <c r="BQ43" s="426"/>
      <c r="BR43" s="434"/>
      <c r="BS43" s="426"/>
      <c r="BT43" s="433"/>
      <c r="BU43" s="435"/>
      <c r="BV43" s="435" t="str">
        <f t="shared" si="412"/>
        <v/>
      </c>
      <c r="BW43" s="435" t="str">
        <f t="shared" si="38"/>
        <v/>
      </c>
      <c r="BX43" s="435"/>
      <c r="BY43" s="435"/>
      <c r="BZ43" s="435"/>
      <c r="CA43" s="435"/>
      <c r="CB43" s="435"/>
      <c r="CC43" s="435"/>
      <c r="CD43" s="435"/>
      <c r="CE43" s="435"/>
      <c r="CF43" s="435"/>
      <c r="CG43" s="435"/>
      <c r="CH43" s="435"/>
      <c r="CI43" s="435"/>
      <c r="CJ43" s="426" t="str">
        <f t="shared" si="39"/>
        <v/>
      </c>
      <c r="CK43" s="435"/>
      <c r="CL43" s="426"/>
      <c r="CM43" s="435"/>
      <c r="CN43" s="426"/>
      <c r="CO43" s="426"/>
      <c r="CP43" s="426"/>
      <c r="CQ43" s="426"/>
      <c r="CR43" s="426"/>
      <c r="CS43" s="426"/>
      <c r="CT43" s="426"/>
      <c r="CU43" s="426"/>
      <c r="CV43" s="426"/>
      <c r="CW43" s="426"/>
      <c r="CX43" s="426"/>
      <c r="CY43" s="426">
        <v>40</v>
      </c>
      <c r="CZ43" s="426"/>
      <c r="DA43" s="426"/>
      <c r="DB43" s="426"/>
      <c r="DC43" s="426" t="s">
        <v>783</v>
      </c>
      <c r="DD43" s="426" t="s">
        <v>943</v>
      </c>
      <c r="DE43" s="435" t="str">
        <f t="shared" si="40"/>
        <v/>
      </c>
      <c r="DF43" s="435" t="str">
        <f t="shared" si="41"/>
        <v/>
      </c>
      <c r="DG43" s="435" t="str">
        <f t="shared" si="42"/>
        <v/>
      </c>
      <c r="DH43" s="435" t="str">
        <f t="shared" si="43"/>
        <v/>
      </c>
      <c r="DI43" s="435" t="str">
        <f t="shared" si="44"/>
        <v/>
      </c>
      <c r="DJ43" s="435" t="str">
        <f t="shared" si="45"/>
        <v/>
      </c>
      <c r="DK43" s="435" t="str">
        <f t="shared" si="413"/>
        <v/>
      </c>
      <c r="DL43" s="435" t="str">
        <f t="shared" si="414"/>
        <v/>
      </c>
      <c r="DM43" s="435" t="str">
        <f t="shared" si="46"/>
        <v/>
      </c>
      <c r="DN43" s="435" t="str">
        <f t="shared" si="47"/>
        <v/>
      </c>
      <c r="DO43" s="435" t="str">
        <f t="shared" si="415"/>
        <v/>
      </c>
      <c r="DP43" s="435" t="str">
        <f t="shared" si="416"/>
        <v/>
      </c>
      <c r="DQ43" s="435" t="str">
        <f t="shared" si="48"/>
        <v/>
      </c>
      <c r="DR43" s="435" t="str">
        <f t="shared" si="49"/>
        <v/>
      </c>
      <c r="DS43" s="435" t="str">
        <f t="shared" si="417"/>
        <v/>
      </c>
      <c r="DT43" s="435" t="str">
        <f t="shared" si="418"/>
        <v/>
      </c>
      <c r="DU43" s="435" t="str">
        <f t="shared" si="50"/>
        <v/>
      </c>
      <c r="DV43" s="435" t="str">
        <f t="shared" si="51"/>
        <v/>
      </c>
      <c r="DW43" s="435" t="str">
        <f t="shared" si="419"/>
        <v/>
      </c>
      <c r="DX43" s="435" t="str">
        <f t="shared" si="420"/>
        <v/>
      </c>
      <c r="DY43" s="435" t="str">
        <f t="shared" si="52"/>
        <v/>
      </c>
      <c r="DZ43" s="435" t="str">
        <f t="shared" si="53"/>
        <v/>
      </c>
      <c r="EA43" s="435" t="str">
        <f t="shared" si="421"/>
        <v/>
      </c>
      <c r="EB43" s="435" t="str">
        <f t="shared" si="422"/>
        <v/>
      </c>
      <c r="EC43" s="435" t="str">
        <f t="shared" si="423"/>
        <v/>
      </c>
      <c r="ED43" s="435" t="str">
        <f t="shared" si="424"/>
        <v/>
      </c>
      <c r="EE43" s="435" t="str">
        <f t="shared" si="425"/>
        <v/>
      </c>
      <c r="EF43" s="435" t="str">
        <f t="shared" si="426"/>
        <v/>
      </c>
      <c r="EG43" s="435" t="str">
        <f t="shared" si="427"/>
        <v/>
      </c>
      <c r="EH43" s="435" t="str">
        <f t="shared" si="428"/>
        <v/>
      </c>
      <c r="EI43" s="435" t="str">
        <f t="shared" si="429"/>
        <v/>
      </c>
      <c r="EJ43" s="435" t="str">
        <f t="shared" si="430"/>
        <v/>
      </c>
      <c r="EK43" s="485"/>
      <c r="EL43" s="485"/>
      <c r="EM43" s="485"/>
      <c r="EN43" s="485"/>
      <c r="EO43" s="448"/>
      <c r="EP43" s="448"/>
      <c r="EQ43" s="448"/>
      <c r="ER43" s="448"/>
      <c r="ES43" s="448"/>
      <c r="ET43" s="435"/>
      <c r="EU43" s="435"/>
      <c r="EV43" s="435"/>
      <c r="EW43" s="435"/>
      <c r="EX43" s="426"/>
      <c r="EY43" s="426"/>
      <c r="EZ43" s="426"/>
      <c r="FA43" s="427"/>
      <c r="FB43" s="427">
        <f t="array" ref="FB43">IF(SUM((FA43=$FA$3:FA42)*1)=0,FA43,0)</f>
        <v>0</v>
      </c>
      <c r="FC43" s="427"/>
      <c r="FD43" s="427"/>
      <c r="FE43" s="427">
        <f t="array" ref="FE43">IF(SUM((FD43=$FD$3:FD42)*1)=0,FD43,0)</f>
        <v>0</v>
      </c>
      <c r="FF43" s="427"/>
      <c r="FG43" s="427"/>
      <c r="FH43" s="427"/>
      <c r="FI43" s="427">
        <f t="array" ref="FI43">IF(SUM((FH43=$FH$3:FH42)*1)=0,FH43,0)</f>
        <v>0</v>
      </c>
      <c r="FJ43" s="427"/>
      <c r="FK43" s="427"/>
      <c r="FL43" s="427">
        <f t="array" ref="FL43">IF(SUM((FK43=$FK$3:FK42)*1)=0,FK43,0)</f>
        <v>0</v>
      </c>
      <c r="FM43" s="427"/>
      <c r="FN43" s="427"/>
      <c r="FO43" s="427"/>
      <c r="FP43" s="427">
        <f t="array" ref="FP43">IF(SUM((FO43=$FO$3:FO42)*1)=0,FO43,0)</f>
        <v>0</v>
      </c>
      <c r="FQ43" s="427"/>
      <c r="FR43" s="427"/>
      <c r="FS43" s="427">
        <f t="array" ref="FS43">IF(SUM((FR43=$FR$3:FR42)*1)=0,FR43,0)</f>
        <v>0</v>
      </c>
      <c r="FT43" s="427"/>
      <c r="FU43" s="427"/>
      <c r="FV43" s="427"/>
      <c r="FW43" s="427">
        <f t="array" ref="FW43">IF(SUM((FV43=$FV$3:FV42)*1)=0,FV43,0)</f>
        <v>0</v>
      </c>
      <c r="FX43" s="427"/>
      <c r="FY43" s="427"/>
      <c r="FZ43" s="427">
        <f t="array" ref="FZ43">IF(SUM((FY43=$FY$3:FY42)*1)=0,FY43,0)</f>
        <v>0</v>
      </c>
      <c r="GA43" s="427"/>
      <c r="GB43" s="427"/>
      <c r="GC43" s="427"/>
      <c r="GD43" s="427">
        <f t="array" ref="GD43">IF(SUM((GC43=$GC$3:GC42)*1)=0,GC43,0)</f>
        <v>0</v>
      </c>
      <c r="GE43" s="427"/>
      <c r="GF43" s="427"/>
      <c r="GG43" s="427">
        <f t="array" ref="GG43">IF(SUM((GF43=$GF$3:GF42)*1)=0,GF43,0)</f>
        <v>0</v>
      </c>
      <c r="GH43" s="427"/>
      <c r="GI43" s="427"/>
      <c r="GJ43" s="427"/>
      <c r="GK43" s="798">
        <f t="array" ref="GK43">IF(SUM((GJ43=$GJ$3:GJ42)*1)=0,GJ43,0)</f>
        <v>0</v>
      </c>
      <c r="GL43" s="427"/>
      <c r="GM43" s="427"/>
      <c r="GN43" s="798">
        <f t="array" ref="GN43">IF(SUM((GM43=$GM$3:GM42)*1)=0,GM43,0)</f>
        <v>0</v>
      </c>
      <c r="GO43" s="427"/>
      <c r="GP43" s="427"/>
      <c r="GQ43" s="427"/>
      <c r="GR43" s="798">
        <f t="array" ref="GR43">IF(SUM((GQ43=$GQ$3:GQ42)*1)=0,GQ43,0)</f>
        <v>0</v>
      </c>
      <c r="GS43" s="427"/>
      <c r="GT43" s="427"/>
      <c r="GU43" s="798">
        <f t="array" ref="GU43">IF(SUM((GT43=$GT$3:GT42)*1)=0,GT43,0)</f>
        <v>0</v>
      </c>
      <c r="GV43" s="427"/>
      <c r="GW43" s="427"/>
      <c r="GX43" s="427"/>
      <c r="GY43" s="798">
        <f t="array" ref="GY43">IF(SUM((GX43=$GX$3:GX42)*1)=0,GX43,0)</f>
        <v>0</v>
      </c>
      <c r="GZ43" s="427"/>
      <c r="HA43" s="427"/>
      <c r="HB43" s="798">
        <f t="array" ref="HB43">IF(SUM((HA43=$HA$3:HA42)*1)=0,HA43,0)</f>
        <v>0</v>
      </c>
      <c r="HC43" s="427"/>
      <c r="HD43" s="427"/>
      <c r="HE43" s="769" t="str">
        <f t="shared" si="130"/>
        <v/>
      </c>
      <c r="HF43" s="768" t="str">
        <f t="shared" ref="HF43" si="526">IF(HE43&lt;0,"Invadiu REP-BA-C","")</f>
        <v/>
      </c>
      <c r="HG43" s="769" t="str">
        <f t="shared" si="131"/>
        <v/>
      </c>
      <c r="HH43" s="768" t="str">
        <f t="shared" si="55"/>
        <v/>
      </c>
      <c r="HI43" s="728" t="str">
        <f t="shared" si="132"/>
        <v/>
      </c>
      <c r="HJ43" s="768" t="str">
        <f t="shared" si="56"/>
        <v/>
      </c>
      <c r="HK43" s="728" t="str">
        <f t="shared" si="133"/>
        <v/>
      </c>
      <c r="HL43" s="768" t="str">
        <f t="shared" si="57"/>
        <v/>
      </c>
      <c r="HM43" s="769" t="str">
        <f t="shared" si="441"/>
        <v/>
      </c>
      <c r="HN43" s="768" t="str">
        <f t="shared" ref="HN43" si="527">IF(HM43&lt;0,"Invadiu REP-BA-C","")</f>
        <v/>
      </c>
      <c r="HO43" s="769" t="str">
        <f t="shared" si="443"/>
        <v/>
      </c>
      <c r="HP43" s="768" t="str">
        <f t="shared" si="61"/>
        <v/>
      </c>
      <c r="HQ43" s="728" t="str">
        <f t="shared" si="444"/>
        <v/>
      </c>
      <c r="HR43" s="768" t="str">
        <f t="shared" si="63"/>
        <v/>
      </c>
      <c r="HS43" s="728" t="str">
        <f t="shared" si="445"/>
        <v/>
      </c>
      <c r="HT43" s="768" t="str">
        <f t="shared" si="65"/>
        <v/>
      </c>
      <c r="HU43" s="769" t="str">
        <f t="shared" si="446"/>
        <v/>
      </c>
      <c r="HV43" s="768" t="str">
        <f t="shared" ref="HV43" si="528">IF(HU43&lt;0,"Invadiu REP-BA-C","")</f>
        <v/>
      </c>
      <c r="HW43" s="769" t="str">
        <f t="shared" si="448"/>
        <v/>
      </c>
      <c r="HX43" s="768" t="str">
        <f t="shared" si="69"/>
        <v/>
      </c>
      <c r="HY43" s="728" t="str">
        <f t="shared" si="449"/>
        <v/>
      </c>
      <c r="HZ43" s="768" t="str">
        <f t="shared" si="71"/>
        <v/>
      </c>
      <c r="IA43" s="728" t="str">
        <f t="shared" si="450"/>
        <v/>
      </c>
      <c r="IB43" s="768" t="str">
        <f t="shared" si="73"/>
        <v/>
      </c>
      <c r="IC43" s="769" t="str">
        <f t="shared" si="451"/>
        <v/>
      </c>
      <c r="ID43" s="768" t="str">
        <f t="shared" ref="ID43" si="529">IF(IC43&lt;0,"Invadiu REP-BA-C","")</f>
        <v/>
      </c>
      <c r="IE43" s="769" t="str">
        <f t="shared" si="453"/>
        <v/>
      </c>
      <c r="IF43" s="768" t="str">
        <f t="shared" si="77"/>
        <v/>
      </c>
      <c r="IG43" s="728" t="str">
        <f t="shared" si="454"/>
        <v/>
      </c>
      <c r="IH43" s="768" t="str">
        <f t="shared" si="79"/>
        <v/>
      </c>
      <c r="II43" s="728" t="str">
        <f t="shared" si="455"/>
        <v/>
      </c>
      <c r="IJ43" s="768" t="str">
        <f t="shared" si="81"/>
        <v/>
      </c>
      <c r="IK43" s="769" t="str">
        <f t="shared" si="456"/>
        <v/>
      </c>
      <c r="IL43" s="768" t="str">
        <f t="shared" ref="IL43" si="530">IF(IK43&lt;0,"Invadiu REP-BA-C","")</f>
        <v/>
      </c>
      <c r="IM43" s="769" t="str">
        <f t="shared" si="458"/>
        <v/>
      </c>
      <c r="IN43" s="768" t="str">
        <f t="shared" si="85"/>
        <v/>
      </c>
      <c r="IO43" s="728" t="str">
        <f t="shared" si="459"/>
        <v/>
      </c>
      <c r="IP43" s="768" t="str">
        <f t="shared" si="87"/>
        <v/>
      </c>
      <c r="IQ43" s="728" t="str">
        <f t="shared" si="460"/>
        <v/>
      </c>
      <c r="IR43" s="768" t="str">
        <f t="shared" si="89"/>
        <v/>
      </c>
      <c r="IS43" s="769" t="str">
        <f t="shared" si="461"/>
        <v/>
      </c>
      <c r="IT43" s="768" t="str">
        <f t="shared" ref="IT43" si="531">IF(IS43&lt;0,"Invadiu REP-BA-C","")</f>
        <v/>
      </c>
      <c r="IU43" s="769" t="str">
        <f t="shared" si="463"/>
        <v/>
      </c>
      <c r="IV43" s="768" t="str">
        <f t="shared" si="93"/>
        <v/>
      </c>
      <c r="IW43" s="728" t="str">
        <f t="shared" si="464"/>
        <v/>
      </c>
      <c r="IX43" s="768" t="str">
        <f t="shared" si="95"/>
        <v/>
      </c>
      <c r="IY43" s="728" t="str">
        <f t="shared" si="465"/>
        <v/>
      </c>
      <c r="IZ43" s="768" t="str">
        <f t="shared" si="97"/>
        <v/>
      </c>
      <c r="JA43" s="769" t="str">
        <f t="shared" si="466"/>
        <v/>
      </c>
      <c r="JB43" s="768" t="str">
        <f t="shared" ref="JB43" si="532">IF(JA43&lt;0,"Invadiu REP-BA-C","")</f>
        <v/>
      </c>
      <c r="JC43" s="769" t="str">
        <f t="shared" si="468"/>
        <v/>
      </c>
      <c r="JD43" s="768" t="str">
        <f t="shared" si="101"/>
        <v/>
      </c>
      <c r="JE43" s="728" t="str">
        <f t="shared" si="469"/>
        <v/>
      </c>
      <c r="JF43" s="768" t="str">
        <f t="shared" si="103"/>
        <v/>
      </c>
      <c r="JG43" s="728" t="str">
        <f t="shared" si="470"/>
        <v/>
      </c>
      <c r="JH43" s="768" t="str">
        <f t="shared" si="105"/>
        <v/>
      </c>
      <c r="JI43" s="769" t="str">
        <f t="shared" si="471"/>
        <v/>
      </c>
      <c r="JJ43" s="768" t="str">
        <f t="shared" ref="JJ43" si="533">IF(JI43&lt;0,"Invadiu REP-BA-C","")</f>
        <v/>
      </c>
      <c r="JK43" s="769" t="str">
        <f t="shared" si="473"/>
        <v/>
      </c>
      <c r="JL43" s="768" t="str">
        <f t="shared" si="109"/>
        <v/>
      </c>
      <c r="JM43" s="728" t="str">
        <f t="shared" si="474"/>
        <v/>
      </c>
      <c r="JN43" s="768" t="str">
        <f t="shared" si="111"/>
        <v/>
      </c>
      <c r="JO43" s="728" t="str">
        <f t="shared" si="475"/>
        <v/>
      </c>
      <c r="JP43" s="768" t="str">
        <f t="shared" si="113"/>
        <v/>
      </c>
      <c r="JQ43" s="769" t="str">
        <f t="shared" si="476"/>
        <v/>
      </c>
      <c r="JR43" s="768" t="str">
        <f t="shared" ref="JR43" si="534">IF(JQ43&lt;0,"Invadiu REP-BA-C","")</f>
        <v/>
      </c>
      <c r="JS43" s="769" t="str">
        <f t="shared" si="478"/>
        <v/>
      </c>
      <c r="JT43" s="768" t="str">
        <f t="shared" si="117"/>
        <v/>
      </c>
      <c r="JU43" s="728" t="str">
        <f t="shared" si="479"/>
        <v/>
      </c>
      <c r="JV43" s="768" t="str">
        <f t="shared" si="119"/>
        <v/>
      </c>
      <c r="JW43" s="728" t="str">
        <f t="shared" si="480"/>
        <v/>
      </c>
      <c r="JX43" s="768" t="str">
        <f t="shared" si="121"/>
        <v/>
      </c>
      <c r="JY43" s="768" t="str">
        <f t="shared" si="122"/>
        <v/>
      </c>
      <c r="JZ43" s="485" t="str">
        <f>IF(JY43="","",IF(AND(C43=$C$164,JY43&lt;&gt;""),Verificarcpf(D43),IF(AND(C43=$C$165,JY43&lt;&gt;""),VerificarCNPJ(D43))))</f>
        <v/>
      </c>
      <c r="KA43" s="768" t="str">
        <f t="shared" si="123"/>
        <v/>
      </c>
      <c r="KB43" s="485">
        <f t="shared" si="124"/>
        <v>0</v>
      </c>
      <c r="KC43" s="768">
        <f t="shared" si="125"/>
        <v>0</v>
      </c>
      <c r="KD43" s="485">
        <f t="shared" si="126"/>
        <v>0</v>
      </c>
      <c r="KE43" s="448"/>
      <c r="KF43" s="548"/>
      <c r="KG43" s="548"/>
      <c r="KH43" s="548"/>
      <c r="KI43" s="548"/>
      <c r="KJ43" s="548" t="str">
        <f t="shared" si="128"/>
        <v/>
      </c>
      <c r="KK43" s="548"/>
      <c r="KL43" s="548"/>
      <c r="KM43" s="548">
        <f t="array" ref="KM43">IF(SUM((KL43=$KL$3:KL42)*1)=0,KL43,0)</f>
        <v>0</v>
      </c>
      <c r="KN43" s="548"/>
      <c r="KO43" s="548"/>
      <c r="KP43" s="548"/>
      <c r="KQ43" s="548"/>
      <c r="KR43" s="548" t="str">
        <f t="shared" si="129"/>
        <v/>
      </c>
      <c r="KS43" s="548"/>
      <c r="KT43" s="548"/>
      <c r="KU43" s="548"/>
      <c r="KV43" s="548"/>
      <c r="KW43" s="548"/>
      <c r="KX43" s="548"/>
      <c r="KY43" s="548"/>
      <c r="KZ43" s="548"/>
      <c r="LA43" s="548"/>
      <c r="LB43" s="548"/>
      <c r="LC43" s="485" t="str">
        <f t="shared" si="142"/>
        <v/>
      </c>
      <c r="LD43" s="548"/>
      <c r="LE43" s="548"/>
      <c r="LF43" s="548"/>
      <c r="LG43" s="548"/>
      <c r="LH43" s="548"/>
      <c r="LI43" s="548"/>
      <c r="LJ43" s="548"/>
      <c r="LK43" s="548"/>
      <c r="LL43" s="548"/>
      <c r="LM43" s="548"/>
      <c r="LN43" s="548"/>
      <c r="LO43" s="548"/>
      <c r="LP43" s="485" t="str">
        <f t="shared" si="143"/>
        <v/>
      </c>
      <c r="LQ43" s="548"/>
      <c r="LR43" s="548"/>
      <c r="LS43" s="548"/>
      <c r="LT43" s="548"/>
      <c r="LU43" s="548"/>
      <c r="LV43" s="548"/>
      <c r="LW43" s="548"/>
      <c r="LX43" s="548"/>
      <c r="LY43" s="548"/>
      <c r="LZ43" s="548"/>
      <c r="MA43" s="548"/>
      <c r="MB43" s="548"/>
      <c r="MC43" s="485" t="str">
        <f t="shared" si="144"/>
        <v/>
      </c>
      <c r="MD43" s="548"/>
      <c r="ME43" s="548"/>
      <c r="MF43" s="548"/>
      <c r="MG43" s="548"/>
      <c r="MH43" s="548"/>
      <c r="MI43" s="548"/>
      <c r="MJ43" s="548"/>
      <c r="MK43" s="548"/>
      <c r="ML43" s="548"/>
      <c r="MM43" s="548"/>
      <c r="MN43" s="548"/>
      <c r="MO43" s="548"/>
      <c r="MP43" s="485" t="str">
        <f t="shared" si="145"/>
        <v/>
      </c>
      <c r="MQ43" s="548"/>
      <c r="MR43" s="548"/>
      <c r="MS43" s="548"/>
      <c r="MT43" s="548"/>
      <c r="MU43" s="548"/>
      <c r="MV43" s="548"/>
      <c r="MW43" s="548"/>
      <c r="MX43" s="548"/>
      <c r="MY43" s="548"/>
      <c r="MZ43" s="548"/>
      <c r="NA43" s="548"/>
      <c r="NB43" s="548"/>
      <c r="NC43" s="485" t="str">
        <f t="shared" si="146"/>
        <v/>
      </c>
      <c r="ND43" s="548"/>
      <c r="NE43" s="548"/>
      <c r="NF43" s="548"/>
      <c r="NG43" s="548"/>
      <c r="NH43" s="548"/>
      <c r="NI43" s="548"/>
      <c r="NJ43" s="548"/>
      <c r="NK43" s="548"/>
      <c r="NL43" s="548"/>
      <c r="NM43" s="548"/>
      <c r="NN43" s="548"/>
      <c r="NO43" s="548"/>
      <c r="NP43" s="485" t="str">
        <f t="shared" si="147"/>
        <v/>
      </c>
      <c r="NQ43" s="548"/>
      <c r="NR43" s="548"/>
      <c r="NS43" s="548"/>
      <c r="NT43" s="548"/>
      <c r="NU43" s="548"/>
      <c r="NV43" s="548"/>
      <c r="NW43" s="548"/>
      <c r="NX43" s="548"/>
      <c r="NY43" s="548"/>
      <c r="NZ43" s="548"/>
      <c r="OA43" s="548"/>
      <c r="OB43" s="548"/>
      <c r="OC43" s="485" t="str">
        <f t="shared" si="148"/>
        <v/>
      </c>
      <c r="OD43" s="548"/>
      <c r="OE43" s="548"/>
      <c r="OF43" s="548"/>
      <c r="OG43" s="548"/>
      <c r="OH43" s="548"/>
      <c r="OI43" s="548"/>
      <c r="OJ43" s="548"/>
      <c r="OK43" s="548"/>
      <c r="OL43" s="548"/>
      <c r="OM43" s="548"/>
      <c r="ON43" s="548"/>
      <c r="OO43" s="548"/>
      <c r="OP43" s="548"/>
      <c r="OQ43" s="548"/>
      <c r="OR43" s="548"/>
      <c r="OS43" s="548"/>
      <c r="OT43" s="548"/>
      <c r="OU43" s="548"/>
      <c r="OV43" s="548"/>
      <c r="OW43" s="548"/>
      <c r="OX43" s="548"/>
      <c r="OY43" s="548"/>
      <c r="OZ43" s="548"/>
      <c r="PA43" s="548"/>
      <c r="PB43" s="548"/>
      <c r="PC43" s="548"/>
      <c r="PD43" s="548"/>
      <c r="PE43" s="548"/>
      <c r="PF43" s="548"/>
      <c r="PG43" s="548"/>
      <c r="PH43" s="548"/>
      <c r="PI43" s="548"/>
      <c r="PJ43" s="548"/>
      <c r="PK43" s="548"/>
      <c r="PL43" s="548"/>
      <c r="PM43" s="548"/>
      <c r="PN43" s="548"/>
      <c r="PO43" s="548"/>
      <c r="PP43" s="548"/>
      <c r="PQ43" s="548"/>
      <c r="PR43" s="548"/>
      <c r="PS43" s="548"/>
      <c r="PT43" s="548"/>
      <c r="PU43" s="548"/>
      <c r="PV43" s="548"/>
      <c r="PW43" s="548"/>
      <c r="PX43" s="548"/>
      <c r="PY43" s="548"/>
      <c r="PZ43" s="548"/>
      <c r="QA43" s="548"/>
      <c r="QB43" s="548"/>
      <c r="QC43" s="548"/>
      <c r="QD43" s="548"/>
      <c r="QE43" s="548"/>
      <c r="QF43" s="548"/>
      <c r="QG43" s="548"/>
      <c r="QH43" s="548"/>
      <c r="QI43" s="548"/>
      <c r="QJ43" s="548"/>
      <c r="QK43" s="548"/>
      <c r="QL43" s="548"/>
      <c r="QM43" s="548"/>
      <c r="QN43" s="548"/>
      <c r="QO43" s="548"/>
      <c r="QP43" s="548"/>
      <c r="QQ43" s="1009"/>
      <c r="QR43" s="548"/>
      <c r="QS43" s="548"/>
      <c r="QT43" s="548"/>
      <c r="QU43" s="548"/>
      <c r="QV43" s="548"/>
      <c r="QW43" s="548"/>
      <c r="QX43" s="548"/>
      <c r="QY43" s="548"/>
      <c r="QZ43" s="548"/>
      <c r="RA43" s="548"/>
      <c r="RB43" s="548"/>
      <c r="RC43" s="548"/>
      <c r="RD43" s="548"/>
      <c r="RE43" s="548"/>
      <c r="RF43" s="548"/>
      <c r="RG43" s="548"/>
      <c r="RH43" s="548"/>
      <c r="RI43" s="548"/>
      <c r="RJ43" s="548"/>
      <c r="RK43" s="548"/>
      <c r="RL43" s="548"/>
      <c r="RM43" s="548"/>
      <c r="RN43" s="548"/>
      <c r="RO43" s="548"/>
      <c r="RP43" s="548"/>
      <c r="RQ43" s="548"/>
      <c r="RR43" s="548"/>
      <c r="RS43" s="548"/>
      <c r="RT43" s="548"/>
      <c r="RU43" s="548"/>
      <c r="RV43" s="548"/>
      <c r="RW43" s="548"/>
      <c r="RX43" s="548"/>
      <c r="RY43" s="548"/>
      <c r="RZ43" s="548"/>
      <c r="SA43" s="548"/>
      <c r="SB43" s="548"/>
      <c r="SC43" s="548"/>
      <c r="SD43" s="548"/>
      <c r="SE43" s="548"/>
      <c r="SF43" s="548"/>
      <c r="SG43" s="548"/>
      <c r="SH43" s="548"/>
      <c r="SI43" s="548"/>
      <c r="SJ43" s="548"/>
      <c r="SK43" s="548"/>
      <c r="SL43" s="548"/>
      <c r="SM43" s="548"/>
      <c r="SN43" s="548"/>
      <c r="SO43" s="548"/>
      <c r="SP43" s="548"/>
      <c r="SQ43" s="548"/>
      <c r="SR43" s="548"/>
      <c r="SS43" s="548"/>
      <c r="ST43" s="548"/>
      <c r="SU43" s="548"/>
      <c r="SV43" s="548"/>
      <c r="SW43" s="548"/>
      <c r="SX43" s="548"/>
      <c r="SY43" s="548"/>
      <c r="SZ43" s="548"/>
      <c r="TA43" s="548"/>
      <c r="TB43" s="548"/>
      <c r="TC43" s="548"/>
      <c r="TD43" s="548"/>
      <c r="TE43" s="548"/>
      <c r="TF43" s="548"/>
      <c r="TG43" s="548"/>
      <c r="TH43" s="548"/>
      <c r="TI43" s="548"/>
      <c r="TJ43" s="548"/>
      <c r="TK43" s="548"/>
      <c r="TL43" s="548"/>
      <c r="TM43" s="548"/>
      <c r="TN43" s="548"/>
      <c r="TO43" s="548"/>
      <c r="TP43" s="548"/>
      <c r="TQ43" s="548"/>
      <c r="TR43" s="548"/>
      <c r="TS43" s="548"/>
      <c r="TT43" s="548"/>
      <c r="TU43" s="548"/>
      <c r="TV43" s="548"/>
      <c r="TW43" s="548"/>
      <c r="TX43" s="548"/>
      <c r="TY43" s="548"/>
      <c r="TZ43" s="548"/>
      <c r="UA43" s="548"/>
      <c r="UB43" s="548"/>
      <c r="UC43" s="548"/>
      <c r="UD43" s="548"/>
      <c r="UE43" s="548"/>
      <c r="UF43" s="548"/>
      <c r="UG43" s="548"/>
      <c r="UH43" s="548"/>
      <c r="UI43" s="548"/>
      <c r="UJ43" s="548"/>
      <c r="UK43" s="548"/>
      <c r="UL43" s="548"/>
      <c r="UM43" s="548"/>
      <c r="UN43" s="548"/>
      <c r="UO43" s="548"/>
      <c r="UP43" s="548"/>
      <c r="UQ43" s="548"/>
      <c r="UR43" s="548"/>
      <c r="US43" s="548"/>
      <c r="UT43" s="548"/>
      <c r="UU43" s="548"/>
      <c r="UV43" s="548"/>
      <c r="UW43" s="548"/>
      <c r="UX43" s="548"/>
      <c r="UY43" s="548"/>
      <c r="UZ43" s="548"/>
      <c r="VA43" s="548"/>
      <c r="VB43" s="548"/>
      <c r="VC43" s="548"/>
      <c r="VD43" s="548"/>
      <c r="VE43" s="548"/>
      <c r="VF43" s="548"/>
      <c r="VG43" s="548"/>
      <c r="VH43" s="548"/>
      <c r="VI43" s="548"/>
      <c r="VJ43" s="548"/>
      <c r="VK43" s="548"/>
      <c r="VL43" s="548"/>
      <c r="VM43" s="548"/>
      <c r="VN43" s="548"/>
      <c r="VO43" s="548"/>
      <c r="VP43" s="548"/>
      <c r="VQ43" s="548"/>
      <c r="VR43" s="548"/>
      <c r="VS43" s="548"/>
      <c r="VT43" s="548"/>
      <c r="VU43" s="548"/>
      <c r="VV43" s="548"/>
      <c r="VW43" s="548"/>
      <c r="VX43" s="548"/>
      <c r="VY43" s="548"/>
      <c r="VZ43" s="548"/>
      <c r="WA43" s="548"/>
      <c r="WB43" s="548"/>
      <c r="WC43" s="548"/>
      <c r="WD43" s="548"/>
      <c r="WE43" s="548"/>
      <c r="WF43" s="548"/>
      <c r="WG43" s="548"/>
      <c r="WH43" s="548"/>
      <c r="WI43" s="548"/>
      <c r="WJ43" s="548"/>
      <c r="WK43" s="548"/>
      <c r="WL43" s="548"/>
      <c r="WM43" s="548"/>
      <c r="WN43" s="548"/>
      <c r="WO43" s="548"/>
      <c r="WP43" s="548"/>
      <c r="WQ43" s="548"/>
      <c r="WR43" s="548"/>
      <c r="WS43" s="548"/>
      <c r="WT43" s="548"/>
      <c r="WU43" s="548"/>
      <c r="WV43" s="548"/>
      <c r="WW43" s="548"/>
      <c r="WX43" s="548"/>
      <c r="WY43" s="548"/>
      <c r="WZ43" s="548"/>
      <c r="XA43" s="548"/>
      <c r="XB43" s="548"/>
      <c r="XC43" s="548"/>
      <c r="XD43" s="548"/>
      <c r="XE43" s="548"/>
      <c r="XF43" s="548"/>
      <c r="XG43" s="548"/>
      <c r="XH43" s="548"/>
      <c r="XI43" s="548"/>
      <c r="XJ43" s="548"/>
      <c r="XK43" s="548"/>
      <c r="XL43" s="548"/>
      <c r="XM43" s="548"/>
      <c r="XN43" s="548"/>
      <c r="XO43" s="548"/>
      <c r="XP43" s="548"/>
      <c r="XQ43" s="548"/>
      <c r="XR43" s="548"/>
      <c r="XS43" s="548"/>
      <c r="XT43" s="548"/>
      <c r="XU43" s="548"/>
      <c r="XV43" s="548"/>
      <c r="XW43" s="548"/>
      <c r="XX43" s="548"/>
      <c r="XY43" s="548"/>
      <c r="XZ43" s="548"/>
      <c r="YA43" s="548"/>
      <c r="YB43" s="548"/>
      <c r="YC43" s="548"/>
      <c r="YD43" s="548"/>
      <c r="YE43" s="548"/>
      <c r="YF43" s="548"/>
      <c r="YG43" s="548"/>
      <c r="YH43" s="548"/>
      <c r="YI43" s="548"/>
      <c r="YJ43" s="548"/>
      <c r="YK43" s="548"/>
      <c r="YL43" s="548"/>
      <c r="YM43" s="548"/>
      <c r="YN43" s="548"/>
      <c r="YO43" s="548"/>
      <c r="YP43" s="548"/>
      <c r="YQ43" s="548"/>
      <c r="YR43" s="548"/>
      <c r="YS43" s="548"/>
      <c r="YT43" s="548"/>
      <c r="YU43" s="548"/>
      <c r="YV43" s="548"/>
      <c r="YW43" s="548"/>
      <c r="YX43" s="548"/>
      <c r="YY43" s="548"/>
      <c r="YZ43" s="548"/>
      <c r="ZA43" s="548"/>
      <c r="ZB43" s="548"/>
      <c r="ZC43" s="548"/>
      <c r="ZD43" s="548"/>
      <c r="ZE43" s="548"/>
      <c r="ZF43" s="548"/>
      <c r="ZG43" s="548"/>
      <c r="ZH43" s="548"/>
      <c r="ZI43" s="548"/>
      <c r="ZJ43" s="548"/>
      <c r="ZK43" s="548"/>
      <c r="ZL43" s="548"/>
      <c r="ZM43" s="548"/>
      <c r="ZN43" s="548"/>
      <c r="ZO43" s="548"/>
      <c r="ZP43" s="548"/>
      <c r="ZQ43" s="548"/>
      <c r="ZR43" s="548"/>
      <c r="ZS43" s="548"/>
      <c r="ZT43" s="548"/>
      <c r="ZU43" s="548"/>
      <c r="ZV43" s="548"/>
      <c r="ZW43" s="548"/>
      <c r="ZX43" s="548"/>
      <c r="ZY43" s="548"/>
      <c r="ZZ43" s="548"/>
      <c r="AAA43" s="548"/>
      <c r="AAB43" s="548"/>
      <c r="AAC43" s="548"/>
      <c r="AAD43" s="548"/>
      <c r="AAE43" s="548"/>
      <c r="AAF43" s="548"/>
      <c r="AAG43" s="548"/>
      <c r="AAH43" s="548"/>
      <c r="AAI43" s="548"/>
      <c r="AAJ43" s="548"/>
      <c r="AAK43" s="548"/>
      <c r="AAL43" s="548"/>
      <c r="AAM43" s="548"/>
      <c r="AAN43" s="548"/>
      <c r="AAO43" s="548"/>
      <c r="AAP43" s="548"/>
      <c r="AAQ43" s="548"/>
      <c r="AAR43" s="548"/>
      <c r="AAS43" s="548"/>
      <c r="AAT43" s="548"/>
      <c r="AAU43" s="548"/>
      <c r="AAV43" s="548"/>
      <c r="AAW43" s="548"/>
      <c r="AAX43" s="548"/>
      <c r="AAY43" s="548"/>
      <c r="AAZ43" s="548"/>
      <c r="ABA43" s="548"/>
      <c r="ABB43" s="548"/>
      <c r="ABC43" s="548"/>
      <c r="ABD43" s="548"/>
      <c r="ABE43" s="548"/>
      <c r="ABF43" s="548"/>
      <c r="ABG43" s="548"/>
      <c r="ABH43" s="548"/>
      <c r="ABI43" s="548"/>
      <c r="ABJ43" s="548"/>
      <c r="ABK43" s="548"/>
      <c r="ABL43" s="548"/>
      <c r="ABM43" s="548"/>
      <c r="ABN43" s="548"/>
      <c r="ABO43" s="548"/>
      <c r="ABP43" s="548"/>
      <c r="ABQ43" s="548"/>
      <c r="ABR43" s="548"/>
      <c r="ABS43" s="548"/>
    </row>
    <row r="44" spans="1:747" customFormat="1" ht="15" customHeight="1" x14ac:dyDescent="0.2">
      <c r="A44" s="424" t="str">
        <f t="shared" si="149"/>
        <v/>
      </c>
      <c r="B44" s="415"/>
      <c r="C44" s="525"/>
      <c r="D44" s="750"/>
      <c r="E44" s="416" t="str">
        <f t="shared" si="393"/>
        <v/>
      </c>
      <c r="F44" s="527" t="str">
        <f t="shared" si="394"/>
        <v/>
      </c>
      <c r="G44" s="417"/>
      <c r="H44" s="583" t="str">
        <f t="shared" si="395"/>
        <v/>
      </c>
      <c r="I44" s="424"/>
      <c r="J44" s="419"/>
      <c r="K44" s="418"/>
      <c r="L44" s="419"/>
      <c r="M44" s="415"/>
      <c r="N44" s="420"/>
      <c r="O44" s="421"/>
      <c r="P44" s="561"/>
      <c r="Q44" s="422"/>
      <c r="R44" s="561" t="str">
        <f t="shared" si="396"/>
        <v/>
      </c>
      <c r="S44" s="664"/>
      <c r="T44" s="663"/>
      <c r="U44" s="580">
        <f t="shared" si="397"/>
        <v>0</v>
      </c>
      <c r="V44" s="418"/>
      <c r="W44" s="582" t="str">
        <f t="shared" si="398"/>
        <v/>
      </c>
      <c r="X44" s="479" t="str">
        <f t="shared" si="399"/>
        <v/>
      </c>
      <c r="Y44" s="582" t="str">
        <f t="shared" si="400"/>
        <v/>
      </c>
      <c r="Z44" s="317" t="str">
        <f t="shared" si="401"/>
        <v/>
      </c>
      <c r="AA44" s="317" t="str">
        <f t="shared" si="402"/>
        <v/>
      </c>
      <c r="AB44" s="317">
        <f t="shared" si="403"/>
        <v>0</v>
      </c>
      <c r="AC44" s="317" t="str">
        <f t="shared" si="404"/>
        <v/>
      </c>
      <c r="AD44" s="479"/>
      <c r="AE44" s="479"/>
      <c r="AF44" s="479"/>
      <c r="AG44" s="423"/>
      <c r="AH44" s="820"/>
      <c r="AI44" s="480"/>
      <c r="AJ44" s="660"/>
      <c r="AK44" s="524" t="str">
        <f t="shared" si="405"/>
        <v/>
      </c>
      <c r="AL44" s="731">
        <f>SUMIF($J$4:$J$88,"Futuro",$S$4:$S$88)</f>
        <v>0</v>
      </c>
      <c r="AM44" s="732">
        <f>SUMIF($J$4:$J$88,"Futuro",$T$4:$T$88)</f>
        <v>0</v>
      </c>
      <c r="AN44" s="426">
        <f t="shared" si="406"/>
        <v>0</v>
      </c>
      <c r="AO44" s="427" t="str">
        <f t="shared" si="407"/>
        <v/>
      </c>
      <c r="AP44" s="426" t="str">
        <f t="shared" si="408"/>
        <v/>
      </c>
      <c r="AQ44" s="426"/>
      <c r="AR44" s="426"/>
      <c r="AS44" s="428"/>
      <c r="AT44" s="429"/>
      <c r="AU44" s="430"/>
      <c r="AV44" s="431"/>
      <c r="AW44" s="432"/>
      <c r="AX44" s="430"/>
      <c r="AY44" s="431">
        <f t="shared" si="409"/>
        <v>0</v>
      </c>
      <c r="AZ44" s="426"/>
      <c r="BA44" s="435" t="str">
        <f t="shared" si="410"/>
        <v/>
      </c>
      <c r="BB44" s="435"/>
      <c r="BC44" s="426"/>
      <c r="BD44" s="426">
        <f t="array" ref="BD44">IF(SUM((BC44=$BC$3:BC43)*1)=0,BC44,0)</f>
        <v>0</v>
      </c>
      <c r="BE44" s="426"/>
      <c r="BF44" s="426"/>
      <c r="BG44" s="426">
        <f t="array" ref="BG44">IF(SUM((BF44=$BF$3:BF43)*1)=0,BF44,0)</f>
        <v>0</v>
      </c>
      <c r="BH44" s="426"/>
      <c r="BI44" s="426"/>
      <c r="BJ44" s="426"/>
      <c r="BK44" s="426"/>
      <c r="BL44" s="426"/>
      <c r="BM44" s="426"/>
      <c r="BN44" s="426"/>
      <c r="BO44" s="426"/>
      <c r="BP44" s="433">
        <f t="shared" si="411"/>
        <v>0</v>
      </c>
      <c r="BQ44" s="426"/>
      <c r="BR44" s="434"/>
      <c r="BS44" s="426"/>
      <c r="BT44" s="433"/>
      <c r="BU44" s="435"/>
      <c r="BV44" s="435" t="str">
        <f t="shared" si="412"/>
        <v/>
      </c>
      <c r="BW44" s="435" t="str">
        <f t="shared" si="38"/>
        <v/>
      </c>
      <c r="BX44" s="435"/>
      <c r="BY44" s="435"/>
      <c r="BZ44" s="435"/>
      <c r="CA44" s="435"/>
      <c r="CB44" s="435"/>
      <c r="CC44" s="435"/>
      <c r="CD44" s="435"/>
      <c r="CE44" s="435"/>
      <c r="CF44" s="435"/>
      <c r="CG44" s="435"/>
      <c r="CH44" s="435"/>
      <c r="CI44" s="435"/>
      <c r="CJ44" s="426" t="str">
        <f t="shared" si="39"/>
        <v/>
      </c>
      <c r="CK44" s="435"/>
      <c r="CL44" s="435"/>
      <c r="CM44" s="435"/>
      <c r="CN44" s="435"/>
      <c r="CO44" s="435"/>
      <c r="CP44" s="435"/>
      <c r="CQ44" s="435"/>
      <c r="CR44" s="435"/>
      <c r="CS44" s="435"/>
      <c r="CT44" s="435"/>
      <c r="CU44" s="435"/>
      <c r="CV44" s="435"/>
      <c r="CW44" s="426"/>
      <c r="CX44" s="426"/>
      <c r="CY44" s="426">
        <v>41</v>
      </c>
      <c r="CZ44" s="426"/>
      <c r="DA44" s="426"/>
      <c r="DB44" s="426"/>
      <c r="DC44" s="426" t="s">
        <v>784</v>
      </c>
      <c r="DD44" s="426" t="s">
        <v>944</v>
      </c>
      <c r="DE44" s="435" t="str">
        <f t="shared" si="40"/>
        <v/>
      </c>
      <c r="DF44" s="435" t="str">
        <f t="shared" si="41"/>
        <v/>
      </c>
      <c r="DG44" s="435" t="str">
        <f t="shared" si="42"/>
        <v/>
      </c>
      <c r="DH44" s="435" t="str">
        <f t="shared" si="43"/>
        <v/>
      </c>
      <c r="DI44" s="435" t="str">
        <f t="shared" si="44"/>
        <v/>
      </c>
      <c r="DJ44" s="435" t="str">
        <f t="shared" si="45"/>
        <v/>
      </c>
      <c r="DK44" s="435" t="str">
        <f t="shared" si="413"/>
        <v/>
      </c>
      <c r="DL44" s="435" t="str">
        <f t="shared" si="414"/>
        <v/>
      </c>
      <c r="DM44" s="435" t="str">
        <f t="shared" si="46"/>
        <v/>
      </c>
      <c r="DN44" s="435" t="str">
        <f t="shared" si="47"/>
        <v/>
      </c>
      <c r="DO44" s="435" t="str">
        <f t="shared" si="415"/>
        <v/>
      </c>
      <c r="DP44" s="435" t="str">
        <f t="shared" si="416"/>
        <v/>
      </c>
      <c r="DQ44" s="435" t="str">
        <f t="shared" si="48"/>
        <v/>
      </c>
      <c r="DR44" s="435" t="str">
        <f t="shared" si="49"/>
        <v/>
      </c>
      <c r="DS44" s="435" t="str">
        <f t="shared" si="417"/>
        <v/>
      </c>
      <c r="DT44" s="435" t="str">
        <f t="shared" si="418"/>
        <v/>
      </c>
      <c r="DU44" s="435" t="str">
        <f t="shared" si="50"/>
        <v/>
      </c>
      <c r="DV44" s="435" t="str">
        <f t="shared" si="51"/>
        <v/>
      </c>
      <c r="DW44" s="435" t="str">
        <f t="shared" si="419"/>
        <v/>
      </c>
      <c r="DX44" s="435" t="str">
        <f t="shared" si="420"/>
        <v/>
      </c>
      <c r="DY44" s="435" t="str">
        <f t="shared" si="52"/>
        <v/>
      </c>
      <c r="DZ44" s="435" t="str">
        <f t="shared" si="53"/>
        <v/>
      </c>
      <c r="EA44" s="435" t="str">
        <f t="shared" si="421"/>
        <v/>
      </c>
      <c r="EB44" s="435" t="str">
        <f t="shared" si="422"/>
        <v/>
      </c>
      <c r="EC44" s="435" t="str">
        <f t="shared" si="423"/>
        <v/>
      </c>
      <c r="ED44" s="435" t="str">
        <f t="shared" si="424"/>
        <v/>
      </c>
      <c r="EE44" s="435" t="str">
        <f t="shared" si="425"/>
        <v/>
      </c>
      <c r="EF44" s="435" t="str">
        <f t="shared" si="426"/>
        <v/>
      </c>
      <c r="EG44" s="435" t="str">
        <f t="shared" si="427"/>
        <v/>
      </c>
      <c r="EH44" s="435" t="str">
        <f t="shared" si="428"/>
        <v/>
      </c>
      <c r="EI44" s="435" t="str">
        <f t="shared" si="429"/>
        <v/>
      </c>
      <c r="EJ44" s="435" t="str">
        <f t="shared" si="430"/>
        <v/>
      </c>
      <c r="EK44" s="485"/>
      <c r="EL44" s="485"/>
      <c r="EM44" s="485"/>
      <c r="EN44" s="485"/>
      <c r="EO44" s="448"/>
      <c r="EP44" s="448"/>
      <c r="EQ44" s="448"/>
      <c r="ER44" s="448"/>
      <c r="ES44" s="448"/>
      <c r="ET44" s="435"/>
      <c r="EU44" s="435"/>
      <c r="EV44" s="435"/>
      <c r="EW44" s="435"/>
      <c r="EX44" s="426"/>
      <c r="EY44" s="426"/>
      <c r="EZ44" s="426"/>
      <c r="FA44" s="427"/>
      <c r="FB44" s="427">
        <f t="array" ref="FB44">IF(SUM((FA44=$FA$3:FA43)*1)=0,FA44,0)</f>
        <v>0</v>
      </c>
      <c r="FC44" s="427"/>
      <c r="FD44" s="427"/>
      <c r="FE44" s="427">
        <f t="array" ref="FE44">IF(SUM((FD44=$FD$3:FD43)*1)=0,FD44,0)</f>
        <v>0</v>
      </c>
      <c r="FF44" s="427"/>
      <c r="FG44" s="427"/>
      <c r="FH44" s="427"/>
      <c r="FI44" s="427">
        <f t="array" ref="FI44">IF(SUM((FH44=$FH$3:FH43)*1)=0,FH44,0)</f>
        <v>0</v>
      </c>
      <c r="FJ44" s="427"/>
      <c r="FK44" s="427"/>
      <c r="FL44" s="427">
        <f t="array" ref="FL44">IF(SUM((FK44=$FK$3:FK43)*1)=0,FK44,0)</f>
        <v>0</v>
      </c>
      <c r="FM44" s="427"/>
      <c r="FN44" s="427"/>
      <c r="FO44" s="427"/>
      <c r="FP44" s="427">
        <f t="array" ref="FP44">IF(SUM((FO44=$FO$3:FO43)*1)=0,FO44,0)</f>
        <v>0</v>
      </c>
      <c r="FQ44" s="427"/>
      <c r="FR44" s="427"/>
      <c r="FS44" s="427">
        <f t="array" ref="FS44">IF(SUM((FR44=$FR$3:FR43)*1)=0,FR44,0)</f>
        <v>0</v>
      </c>
      <c r="FT44" s="427"/>
      <c r="FU44" s="427"/>
      <c r="FV44" s="427"/>
      <c r="FW44" s="427">
        <f t="array" ref="FW44">IF(SUM((FV44=$FV$3:FV43)*1)=0,FV44,0)</f>
        <v>0</v>
      </c>
      <c r="FX44" s="427"/>
      <c r="FY44" s="427"/>
      <c r="FZ44" s="427">
        <f t="array" ref="FZ44">IF(SUM((FY44=$FY$3:FY43)*1)=0,FY44,0)</f>
        <v>0</v>
      </c>
      <c r="GA44" s="427"/>
      <c r="GB44" s="427"/>
      <c r="GC44" s="427"/>
      <c r="GD44" s="427">
        <f t="array" ref="GD44">IF(SUM((GC44=$GC$3:GC43)*1)=0,GC44,0)</f>
        <v>0</v>
      </c>
      <c r="GE44" s="427"/>
      <c r="GF44" s="427"/>
      <c r="GG44" s="427">
        <f t="array" ref="GG44">IF(SUM((GF44=$GF$3:GF43)*1)=0,GF44,0)</f>
        <v>0</v>
      </c>
      <c r="GH44" s="427"/>
      <c r="GI44" s="427"/>
      <c r="GJ44" s="427"/>
      <c r="GK44" s="798">
        <f t="array" ref="GK44">IF(SUM((GJ44=$GJ$3:GJ43)*1)=0,GJ44,0)</f>
        <v>0</v>
      </c>
      <c r="GL44" s="427"/>
      <c r="GM44" s="427"/>
      <c r="GN44" s="798">
        <f t="array" ref="GN44">IF(SUM((GM44=$GM$3:GM43)*1)=0,GM44,0)</f>
        <v>0</v>
      </c>
      <c r="GO44" s="427"/>
      <c r="GP44" s="427"/>
      <c r="GQ44" s="427"/>
      <c r="GR44" s="798">
        <f t="array" ref="GR44">IF(SUM((GQ44=$GQ$3:GQ43)*1)=0,GQ44,0)</f>
        <v>0</v>
      </c>
      <c r="GS44" s="427"/>
      <c r="GT44" s="427"/>
      <c r="GU44" s="798">
        <f t="array" ref="GU44">IF(SUM((GT44=$GT$3:GT43)*1)=0,GT44,0)</f>
        <v>0</v>
      </c>
      <c r="GV44" s="427"/>
      <c r="GW44" s="427"/>
      <c r="GX44" s="427"/>
      <c r="GY44" s="798">
        <f t="array" ref="GY44">IF(SUM((GX44=$GX$3:GX43)*1)=0,GX44,0)</f>
        <v>0</v>
      </c>
      <c r="GZ44" s="427"/>
      <c r="HA44" s="427"/>
      <c r="HB44" s="798">
        <f t="array" ref="HB44">IF(SUM((HA44=$HA$3:HA43)*1)=0,HA44,0)</f>
        <v>0</v>
      </c>
      <c r="HC44" s="427"/>
      <c r="HD44" s="427"/>
      <c r="HE44" s="769" t="str">
        <f t="shared" si="130"/>
        <v/>
      </c>
      <c r="HF44" s="768" t="str">
        <f t="shared" ref="HF44" si="535">IF(HE44&lt;0,"Invadiu REP-BA-C","")</f>
        <v/>
      </c>
      <c r="HG44" s="769" t="str">
        <f t="shared" si="131"/>
        <v/>
      </c>
      <c r="HH44" s="768" t="str">
        <f t="shared" si="55"/>
        <v/>
      </c>
      <c r="HI44" s="728" t="str">
        <f t="shared" si="132"/>
        <v/>
      </c>
      <c r="HJ44" s="768" t="str">
        <f t="shared" si="56"/>
        <v/>
      </c>
      <c r="HK44" s="728" t="str">
        <f t="shared" si="133"/>
        <v/>
      </c>
      <c r="HL44" s="768" t="str">
        <f t="shared" si="57"/>
        <v/>
      </c>
      <c r="HM44" s="769" t="str">
        <f t="shared" si="441"/>
        <v/>
      </c>
      <c r="HN44" s="768" t="str">
        <f t="shared" ref="HN44" si="536">IF(HM44&lt;0,"Invadiu REP-BA-C","")</f>
        <v/>
      </c>
      <c r="HO44" s="769" t="str">
        <f t="shared" si="443"/>
        <v/>
      </c>
      <c r="HP44" s="768" t="str">
        <f t="shared" si="61"/>
        <v/>
      </c>
      <c r="HQ44" s="728" t="str">
        <f t="shared" si="444"/>
        <v/>
      </c>
      <c r="HR44" s="768" t="str">
        <f t="shared" si="63"/>
        <v/>
      </c>
      <c r="HS44" s="728" t="str">
        <f t="shared" si="445"/>
        <v/>
      </c>
      <c r="HT44" s="768" t="str">
        <f t="shared" si="65"/>
        <v/>
      </c>
      <c r="HU44" s="769" t="str">
        <f t="shared" si="446"/>
        <v/>
      </c>
      <c r="HV44" s="768" t="str">
        <f t="shared" ref="HV44" si="537">IF(HU44&lt;0,"Invadiu REP-BA-C","")</f>
        <v/>
      </c>
      <c r="HW44" s="769" t="str">
        <f t="shared" si="448"/>
        <v/>
      </c>
      <c r="HX44" s="768" t="str">
        <f t="shared" si="69"/>
        <v/>
      </c>
      <c r="HY44" s="728" t="str">
        <f t="shared" si="449"/>
        <v/>
      </c>
      <c r="HZ44" s="768" t="str">
        <f t="shared" si="71"/>
        <v/>
      </c>
      <c r="IA44" s="728" t="str">
        <f t="shared" si="450"/>
        <v/>
      </c>
      <c r="IB44" s="768" t="str">
        <f t="shared" si="73"/>
        <v/>
      </c>
      <c r="IC44" s="769" t="str">
        <f t="shared" si="451"/>
        <v/>
      </c>
      <c r="ID44" s="768" t="str">
        <f t="shared" ref="ID44" si="538">IF(IC44&lt;0,"Invadiu REP-BA-C","")</f>
        <v/>
      </c>
      <c r="IE44" s="769" t="str">
        <f t="shared" si="453"/>
        <v/>
      </c>
      <c r="IF44" s="768" t="str">
        <f t="shared" si="77"/>
        <v/>
      </c>
      <c r="IG44" s="728" t="str">
        <f t="shared" si="454"/>
        <v/>
      </c>
      <c r="IH44" s="768" t="str">
        <f t="shared" si="79"/>
        <v/>
      </c>
      <c r="II44" s="728" t="str">
        <f t="shared" si="455"/>
        <v/>
      </c>
      <c r="IJ44" s="768" t="str">
        <f t="shared" si="81"/>
        <v/>
      </c>
      <c r="IK44" s="769" t="str">
        <f t="shared" si="456"/>
        <v/>
      </c>
      <c r="IL44" s="768" t="str">
        <f t="shared" ref="IL44" si="539">IF(IK44&lt;0,"Invadiu REP-BA-C","")</f>
        <v/>
      </c>
      <c r="IM44" s="769" t="str">
        <f t="shared" si="458"/>
        <v/>
      </c>
      <c r="IN44" s="768" t="str">
        <f t="shared" si="85"/>
        <v/>
      </c>
      <c r="IO44" s="728" t="str">
        <f t="shared" si="459"/>
        <v/>
      </c>
      <c r="IP44" s="768" t="str">
        <f t="shared" si="87"/>
        <v/>
      </c>
      <c r="IQ44" s="728" t="str">
        <f t="shared" si="460"/>
        <v/>
      </c>
      <c r="IR44" s="768" t="str">
        <f t="shared" si="89"/>
        <v/>
      </c>
      <c r="IS44" s="769" t="str">
        <f t="shared" si="461"/>
        <v/>
      </c>
      <c r="IT44" s="768" t="str">
        <f t="shared" ref="IT44" si="540">IF(IS44&lt;0,"Invadiu REP-BA-C","")</f>
        <v/>
      </c>
      <c r="IU44" s="769" t="str">
        <f t="shared" si="463"/>
        <v/>
      </c>
      <c r="IV44" s="768" t="str">
        <f t="shared" si="93"/>
        <v/>
      </c>
      <c r="IW44" s="728" t="str">
        <f t="shared" si="464"/>
        <v/>
      </c>
      <c r="IX44" s="768" t="str">
        <f t="shared" si="95"/>
        <v/>
      </c>
      <c r="IY44" s="728" t="str">
        <f t="shared" si="465"/>
        <v/>
      </c>
      <c r="IZ44" s="768" t="str">
        <f t="shared" si="97"/>
        <v/>
      </c>
      <c r="JA44" s="769" t="str">
        <f t="shared" si="466"/>
        <v/>
      </c>
      <c r="JB44" s="768" t="str">
        <f t="shared" ref="JB44" si="541">IF(JA44&lt;0,"Invadiu REP-BA-C","")</f>
        <v/>
      </c>
      <c r="JC44" s="769" t="str">
        <f t="shared" si="468"/>
        <v/>
      </c>
      <c r="JD44" s="768" t="str">
        <f t="shared" si="101"/>
        <v/>
      </c>
      <c r="JE44" s="728" t="str">
        <f t="shared" si="469"/>
        <v/>
      </c>
      <c r="JF44" s="768" t="str">
        <f t="shared" si="103"/>
        <v/>
      </c>
      <c r="JG44" s="728" t="str">
        <f t="shared" si="470"/>
        <v/>
      </c>
      <c r="JH44" s="768" t="str">
        <f t="shared" si="105"/>
        <v/>
      </c>
      <c r="JI44" s="769" t="str">
        <f t="shared" si="471"/>
        <v/>
      </c>
      <c r="JJ44" s="768" t="str">
        <f t="shared" ref="JJ44" si="542">IF(JI44&lt;0,"Invadiu REP-BA-C","")</f>
        <v/>
      </c>
      <c r="JK44" s="769" t="str">
        <f t="shared" si="473"/>
        <v/>
      </c>
      <c r="JL44" s="768" t="str">
        <f t="shared" si="109"/>
        <v/>
      </c>
      <c r="JM44" s="728" t="str">
        <f t="shared" si="474"/>
        <v/>
      </c>
      <c r="JN44" s="768" t="str">
        <f t="shared" si="111"/>
        <v/>
      </c>
      <c r="JO44" s="728" t="str">
        <f t="shared" si="475"/>
        <v/>
      </c>
      <c r="JP44" s="768" t="str">
        <f t="shared" si="113"/>
        <v/>
      </c>
      <c r="JQ44" s="769" t="str">
        <f t="shared" si="476"/>
        <v/>
      </c>
      <c r="JR44" s="768" t="str">
        <f t="shared" ref="JR44" si="543">IF(JQ44&lt;0,"Invadiu REP-BA-C","")</f>
        <v/>
      </c>
      <c r="JS44" s="769" t="str">
        <f t="shared" si="478"/>
        <v/>
      </c>
      <c r="JT44" s="768" t="str">
        <f t="shared" si="117"/>
        <v/>
      </c>
      <c r="JU44" s="728" t="str">
        <f t="shared" si="479"/>
        <v/>
      </c>
      <c r="JV44" s="768" t="str">
        <f t="shared" si="119"/>
        <v/>
      </c>
      <c r="JW44" s="728" t="str">
        <f t="shared" si="480"/>
        <v/>
      </c>
      <c r="JX44" s="768" t="str">
        <f t="shared" si="121"/>
        <v/>
      </c>
      <c r="JY44" s="768" t="str">
        <f t="shared" si="122"/>
        <v/>
      </c>
      <c r="JZ44" s="485" t="str">
        <f>IF(JY44="","",IF(AND(C44=$C$164,JY44&lt;&gt;""),Verificarcpf(D44),IF(AND(C44=$C$165,JY44&lt;&gt;""),VerificarCNPJ(D44))))</f>
        <v/>
      </c>
      <c r="KA44" s="768" t="str">
        <f t="shared" si="123"/>
        <v/>
      </c>
      <c r="KB44" s="485">
        <f t="shared" si="124"/>
        <v>0</v>
      </c>
      <c r="KC44" s="768">
        <f t="shared" si="125"/>
        <v>0</v>
      </c>
      <c r="KD44" s="485">
        <f t="shared" si="126"/>
        <v>0</v>
      </c>
      <c r="KE44" s="448"/>
      <c r="KF44" s="548"/>
      <c r="KG44" s="548"/>
      <c r="KH44" s="548"/>
      <c r="KI44" s="548"/>
      <c r="KJ44" s="548" t="str">
        <f t="shared" si="128"/>
        <v/>
      </c>
      <c r="KK44" s="548"/>
      <c r="KL44" s="548"/>
      <c r="KM44" s="548">
        <f t="array" ref="KM44">IF(SUM((KL44=$KL$3:KL43)*1)=0,KL44,0)</f>
        <v>0</v>
      </c>
      <c r="KN44" s="548"/>
      <c r="KO44" s="548"/>
      <c r="KP44" s="548"/>
      <c r="KQ44" s="548"/>
      <c r="KR44" s="548" t="str">
        <f t="shared" si="129"/>
        <v/>
      </c>
      <c r="KS44" s="548"/>
      <c r="KT44" s="548"/>
      <c r="KU44" s="548"/>
      <c r="KV44" s="548"/>
      <c r="KW44" s="548"/>
      <c r="KX44" s="548"/>
      <c r="KY44" s="548"/>
      <c r="KZ44" s="548"/>
      <c r="LA44" s="548"/>
      <c r="LB44" s="548"/>
      <c r="LC44" s="485" t="str">
        <f t="shared" si="142"/>
        <v/>
      </c>
      <c r="LD44" s="548"/>
      <c r="LE44" s="548"/>
      <c r="LF44" s="548"/>
      <c r="LG44" s="548"/>
      <c r="LH44" s="548"/>
      <c r="LI44" s="548"/>
      <c r="LJ44" s="548"/>
      <c r="LK44" s="548"/>
      <c r="LL44" s="548"/>
      <c r="LM44" s="548"/>
      <c r="LN44" s="548"/>
      <c r="LO44" s="548"/>
      <c r="LP44" s="485" t="str">
        <f t="shared" si="143"/>
        <v/>
      </c>
      <c r="LQ44" s="548"/>
      <c r="LR44" s="548"/>
      <c r="LS44" s="548"/>
      <c r="LT44" s="548"/>
      <c r="LU44" s="548"/>
      <c r="LV44" s="548"/>
      <c r="LW44" s="548"/>
      <c r="LX44" s="548"/>
      <c r="LY44" s="548"/>
      <c r="LZ44" s="548"/>
      <c r="MA44" s="548"/>
      <c r="MB44" s="548"/>
      <c r="MC44" s="485" t="str">
        <f t="shared" si="144"/>
        <v/>
      </c>
      <c r="MD44" s="548"/>
      <c r="ME44" s="548"/>
      <c r="MF44" s="548"/>
      <c r="MG44" s="548"/>
      <c r="MH44" s="548"/>
      <c r="MI44" s="548"/>
      <c r="MJ44" s="548"/>
      <c r="MK44" s="548"/>
      <c r="ML44" s="548"/>
      <c r="MM44" s="548"/>
      <c r="MN44" s="548"/>
      <c r="MO44" s="548"/>
      <c r="MP44" s="485" t="str">
        <f t="shared" si="145"/>
        <v/>
      </c>
      <c r="MQ44" s="548"/>
      <c r="MR44" s="548"/>
      <c r="MS44" s="548"/>
      <c r="MT44" s="548"/>
      <c r="MU44" s="548"/>
      <c r="MV44" s="548"/>
      <c r="MW44" s="548"/>
      <c r="MX44" s="548"/>
      <c r="MY44" s="548"/>
      <c r="MZ44" s="548"/>
      <c r="NA44" s="548"/>
      <c r="NB44" s="548"/>
      <c r="NC44" s="485" t="str">
        <f t="shared" si="146"/>
        <v/>
      </c>
      <c r="ND44" s="548"/>
      <c r="NE44" s="548"/>
      <c r="NF44" s="548"/>
      <c r="NG44" s="548"/>
      <c r="NH44" s="548"/>
      <c r="NI44" s="548"/>
      <c r="NJ44" s="548"/>
      <c r="NK44" s="548"/>
      <c r="NL44" s="548"/>
      <c r="NM44" s="548"/>
      <c r="NN44" s="548"/>
      <c r="NO44" s="548"/>
      <c r="NP44" s="485" t="str">
        <f t="shared" si="147"/>
        <v/>
      </c>
      <c r="NQ44" s="548"/>
      <c r="NR44" s="548"/>
      <c r="NS44" s="548"/>
      <c r="NT44" s="548"/>
      <c r="NU44" s="548"/>
      <c r="NV44" s="548"/>
      <c r="NW44" s="548"/>
      <c r="NX44" s="548"/>
      <c r="NY44" s="548"/>
      <c r="NZ44" s="548"/>
      <c r="OA44" s="548"/>
      <c r="OB44" s="548"/>
      <c r="OC44" s="485" t="str">
        <f t="shared" si="148"/>
        <v/>
      </c>
      <c r="OD44" s="548"/>
      <c r="OE44" s="548"/>
      <c r="OF44" s="548"/>
      <c r="OG44" s="548"/>
      <c r="OH44" s="548"/>
      <c r="OI44" s="548"/>
      <c r="OJ44" s="548"/>
      <c r="OK44" s="548"/>
      <c r="OL44" s="548"/>
      <c r="OM44" s="548"/>
      <c r="ON44" s="548"/>
      <c r="OO44" s="548"/>
      <c r="OP44" s="548"/>
      <c r="OQ44" s="548"/>
      <c r="OR44" s="548"/>
      <c r="OS44" s="548"/>
      <c r="OT44" s="548"/>
      <c r="OU44" s="548"/>
      <c r="OV44" s="548"/>
      <c r="OW44" s="548"/>
      <c r="OX44" s="548"/>
      <c r="OY44" s="548"/>
      <c r="OZ44" s="548"/>
      <c r="PA44" s="548"/>
      <c r="PB44" s="548"/>
      <c r="PC44" s="548"/>
      <c r="PD44" s="548"/>
      <c r="PE44" s="548"/>
      <c r="PF44" s="548"/>
      <c r="PG44" s="548"/>
      <c r="PH44" s="548"/>
      <c r="PI44" s="548"/>
      <c r="PJ44" s="548"/>
      <c r="PK44" s="548"/>
      <c r="PL44" s="548"/>
      <c r="PM44" s="548"/>
      <c r="PN44" s="548"/>
      <c r="PO44" s="548"/>
      <c r="PP44" s="548"/>
      <c r="PQ44" s="548"/>
      <c r="PR44" s="548"/>
      <c r="PS44" s="548"/>
      <c r="PT44" s="548"/>
      <c r="PU44" s="548"/>
      <c r="PV44" s="548"/>
      <c r="PW44" s="548"/>
      <c r="PX44" s="548"/>
      <c r="PY44" s="548"/>
      <c r="PZ44" s="548"/>
      <c r="QA44" s="548"/>
      <c r="QB44" s="548"/>
      <c r="QC44" s="548"/>
      <c r="QD44" s="548"/>
      <c r="QE44" s="548"/>
      <c r="QF44" s="548"/>
      <c r="QG44" s="548"/>
      <c r="QH44" s="548"/>
      <c r="QI44" s="548"/>
      <c r="QJ44" s="548"/>
      <c r="QK44" s="548"/>
      <c r="QL44" s="548"/>
      <c r="QM44" s="548"/>
      <c r="QN44" s="548"/>
      <c r="QO44" s="548"/>
      <c r="QP44" s="548"/>
      <c r="QQ44" s="1009"/>
      <c r="QR44" s="548"/>
      <c r="QS44" s="548"/>
      <c r="QT44" s="548"/>
      <c r="QU44" s="548"/>
      <c r="QV44" s="548"/>
      <c r="QW44" s="548"/>
      <c r="QX44" s="548"/>
      <c r="QY44" s="548"/>
      <c r="QZ44" s="548"/>
      <c r="RA44" s="548"/>
      <c r="RB44" s="548"/>
      <c r="RC44" s="548"/>
      <c r="RD44" s="548"/>
      <c r="RE44" s="548"/>
      <c r="RF44" s="548"/>
      <c r="RG44" s="548"/>
      <c r="RH44" s="548"/>
      <c r="RI44" s="548"/>
      <c r="RJ44" s="548"/>
      <c r="RK44" s="548"/>
      <c r="RL44" s="548"/>
      <c r="RM44" s="548"/>
      <c r="RN44" s="548"/>
      <c r="RO44" s="548"/>
      <c r="RP44" s="548"/>
      <c r="RQ44" s="548"/>
      <c r="RR44" s="548"/>
      <c r="RS44" s="548"/>
      <c r="RT44" s="548"/>
      <c r="RU44" s="548"/>
      <c r="RV44" s="548"/>
      <c r="RW44" s="548"/>
      <c r="RX44" s="548"/>
      <c r="RY44" s="548"/>
      <c r="RZ44" s="548"/>
      <c r="SA44" s="548"/>
      <c r="SB44" s="548"/>
      <c r="SC44" s="548"/>
      <c r="SD44" s="548"/>
      <c r="SE44" s="548"/>
      <c r="SF44" s="548"/>
      <c r="SG44" s="548"/>
      <c r="SH44" s="548"/>
      <c r="SI44" s="548"/>
      <c r="SJ44" s="548"/>
      <c r="SK44" s="548"/>
      <c r="SL44" s="548"/>
      <c r="SM44" s="548"/>
      <c r="SN44" s="548"/>
      <c r="SO44" s="548"/>
      <c r="SP44" s="548"/>
      <c r="SQ44" s="548"/>
      <c r="SR44" s="548"/>
      <c r="SS44" s="548"/>
      <c r="ST44" s="548"/>
      <c r="SU44" s="548"/>
      <c r="SV44" s="548"/>
      <c r="SW44" s="548"/>
      <c r="SX44" s="548"/>
      <c r="SY44" s="548"/>
      <c r="SZ44" s="548"/>
      <c r="TA44" s="548"/>
      <c r="TB44" s="548"/>
      <c r="TC44" s="548"/>
      <c r="TD44" s="548"/>
      <c r="TE44" s="548"/>
      <c r="TF44" s="548"/>
      <c r="TG44" s="548"/>
      <c r="TH44" s="548"/>
      <c r="TI44" s="548"/>
      <c r="TJ44" s="548"/>
      <c r="TK44" s="548"/>
      <c r="TL44" s="548"/>
      <c r="TM44" s="548"/>
      <c r="TN44" s="548"/>
      <c r="TO44" s="548"/>
      <c r="TP44" s="548"/>
      <c r="TQ44" s="548"/>
      <c r="TR44" s="548"/>
      <c r="TS44" s="548"/>
      <c r="TT44" s="548"/>
      <c r="TU44" s="548"/>
      <c r="TV44" s="548"/>
      <c r="TW44" s="548"/>
      <c r="TX44" s="548"/>
      <c r="TY44" s="548"/>
      <c r="TZ44" s="548"/>
      <c r="UA44" s="548"/>
      <c r="UB44" s="548"/>
      <c r="UC44" s="548"/>
      <c r="UD44" s="548"/>
      <c r="UE44" s="548"/>
      <c r="UF44" s="548"/>
      <c r="UG44" s="548"/>
      <c r="UH44" s="548"/>
      <c r="UI44" s="548"/>
      <c r="UJ44" s="548"/>
      <c r="UK44" s="548"/>
      <c r="UL44" s="548"/>
      <c r="UM44" s="548"/>
      <c r="UN44" s="548"/>
      <c r="UO44" s="548"/>
      <c r="UP44" s="548"/>
      <c r="UQ44" s="548"/>
      <c r="UR44" s="548"/>
      <c r="US44" s="548"/>
      <c r="UT44" s="548"/>
      <c r="UU44" s="548"/>
      <c r="UV44" s="548"/>
      <c r="UW44" s="548"/>
      <c r="UX44" s="548"/>
      <c r="UY44" s="548"/>
      <c r="UZ44" s="548"/>
      <c r="VA44" s="548"/>
      <c r="VB44" s="548"/>
      <c r="VC44" s="548"/>
      <c r="VD44" s="548"/>
      <c r="VE44" s="548"/>
      <c r="VF44" s="548"/>
      <c r="VG44" s="548"/>
      <c r="VH44" s="548"/>
      <c r="VI44" s="548"/>
      <c r="VJ44" s="548"/>
      <c r="VK44" s="548"/>
      <c r="VL44" s="548"/>
      <c r="VM44" s="548"/>
      <c r="VN44" s="548"/>
      <c r="VO44" s="548"/>
      <c r="VP44" s="548"/>
      <c r="VQ44" s="548"/>
      <c r="VR44" s="548"/>
      <c r="VS44" s="548"/>
      <c r="VT44" s="548"/>
      <c r="VU44" s="548"/>
      <c r="VV44" s="548"/>
      <c r="VW44" s="548"/>
      <c r="VX44" s="548"/>
      <c r="VY44" s="548"/>
      <c r="VZ44" s="548"/>
      <c r="WA44" s="548"/>
      <c r="WB44" s="548"/>
      <c r="WC44" s="548"/>
      <c r="WD44" s="548"/>
      <c r="WE44" s="548"/>
      <c r="WF44" s="548"/>
      <c r="WG44" s="548"/>
      <c r="WH44" s="548"/>
      <c r="WI44" s="548"/>
      <c r="WJ44" s="548"/>
      <c r="WK44" s="548"/>
      <c r="WL44" s="548"/>
      <c r="WM44" s="548"/>
      <c r="WN44" s="548"/>
      <c r="WO44" s="548"/>
      <c r="WP44" s="548"/>
      <c r="WQ44" s="548"/>
      <c r="WR44" s="548"/>
      <c r="WS44" s="548"/>
      <c r="WT44" s="548"/>
      <c r="WU44" s="548"/>
      <c r="WV44" s="548"/>
      <c r="WW44" s="548"/>
      <c r="WX44" s="548"/>
      <c r="WY44" s="548"/>
      <c r="WZ44" s="548"/>
      <c r="XA44" s="548"/>
      <c r="XB44" s="548"/>
      <c r="XC44" s="548"/>
      <c r="XD44" s="548"/>
      <c r="XE44" s="548"/>
      <c r="XF44" s="548"/>
      <c r="XG44" s="548"/>
      <c r="XH44" s="548"/>
      <c r="XI44" s="548"/>
      <c r="XJ44" s="548"/>
      <c r="XK44" s="548"/>
      <c r="XL44" s="548"/>
      <c r="XM44" s="548"/>
      <c r="XN44" s="548"/>
      <c r="XO44" s="548"/>
      <c r="XP44" s="548"/>
      <c r="XQ44" s="548"/>
      <c r="XR44" s="548"/>
      <c r="XS44" s="548"/>
      <c r="XT44" s="548"/>
      <c r="XU44" s="548"/>
      <c r="XV44" s="548"/>
      <c r="XW44" s="548"/>
      <c r="XX44" s="548"/>
      <c r="XY44" s="548"/>
      <c r="XZ44" s="548"/>
      <c r="YA44" s="548"/>
      <c r="YB44" s="548"/>
      <c r="YC44" s="548"/>
      <c r="YD44" s="548"/>
      <c r="YE44" s="548"/>
      <c r="YF44" s="548"/>
      <c r="YG44" s="548"/>
      <c r="YH44" s="548"/>
      <c r="YI44" s="548"/>
      <c r="YJ44" s="548"/>
      <c r="YK44" s="548"/>
      <c r="YL44" s="548"/>
      <c r="YM44" s="548"/>
      <c r="YN44" s="548"/>
      <c r="YO44" s="548"/>
      <c r="YP44" s="548"/>
      <c r="YQ44" s="548"/>
      <c r="YR44" s="548"/>
      <c r="YS44" s="548"/>
      <c r="YT44" s="548"/>
      <c r="YU44" s="548"/>
      <c r="YV44" s="548"/>
      <c r="YW44" s="548"/>
      <c r="YX44" s="548"/>
      <c r="YY44" s="548"/>
      <c r="YZ44" s="548"/>
      <c r="ZA44" s="548"/>
      <c r="ZB44" s="548"/>
      <c r="ZC44" s="548"/>
      <c r="ZD44" s="548"/>
      <c r="ZE44" s="548"/>
      <c r="ZF44" s="548"/>
      <c r="ZG44" s="548"/>
      <c r="ZH44" s="548"/>
      <c r="ZI44" s="548"/>
      <c r="ZJ44" s="548"/>
      <c r="ZK44" s="548"/>
      <c r="ZL44" s="548"/>
      <c r="ZM44" s="548"/>
      <c r="ZN44" s="548"/>
      <c r="ZO44" s="548"/>
      <c r="ZP44" s="548"/>
      <c r="ZQ44" s="548"/>
      <c r="ZR44" s="548"/>
      <c r="ZS44" s="548"/>
      <c r="ZT44" s="548"/>
      <c r="ZU44" s="548"/>
      <c r="ZV44" s="548"/>
      <c r="ZW44" s="548"/>
      <c r="ZX44" s="548"/>
      <c r="ZY44" s="548"/>
      <c r="ZZ44" s="548"/>
      <c r="AAA44" s="548"/>
      <c r="AAB44" s="548"/>
      <c r="AAC44" s="548"/>
      <c r="AAD44" s="548"/>
      <c r="AAE44" s="548"/>
      <c r="AAF44" s="548"/>
      <c r="AAG44" s="548"/>
      <c r="AAH44" s="548"/>
      <c r="AAI44" s="548"/>
      <c r="AAJ44" s="548"/>
      <c r="AAK44" s="548"/>
      <c r="AAL44" s="548"/>
      <c r="AAM44" s="548"/>
      <c r="AAN44" s="548"/>
      <c r="AAO44" s="548"/>
      <c r="AAP44" s="548"/>
      <c r="AAQ44" s="548"/>
      <c r="AAR44" s="548"/>
      <c r="AAS44" s="548"/>
      <c r="AAT44" s="548"/>
      <c r="AAU44" s="548"/>
      <c r="AAV44" s="548"/>
      <c r="AAW44" s="548"/>
      <c r="AAX44" s="548"/>
      <c r="AAY44" s="548"/>
      <c r="AAZ44" s="548"/>
      <c r="ABA44" s="548"/>
      <c r="ABB44" s="548"/>
      <c r="ABC44" s="548"/>
      <c r="ABD44" s="548"/>
      <c r="ABE44" s="548"/>
      <c r="ABF44" s="548"/>
      <c r="ABG44" s="548"/>
      <c r="ABH44" s="548"/>
      <c r="ABI44" s="548"/>
      <c r="ABJ44" s="548"/>
      <c r="ABK44" s="548"/>
      <c r="ABL44" s="548"/>
      <c r="ABM44" s="548"/>
      <c r="ABN44" s="548"/>
      <c r="ABO44" s="548"/>
      <c r="ABP44" s="548"/>
      <c r="ABQ44" s="548"/>
      <c r="ABR44" s="548"/>
      <c r="ABS44" s="548"/>
    </row>
    <row r="45" spans="1:747" customFormat="1" ht="15" customHeight="1" x14ac:dyDescent="0.2">
      <c r="A45" s="424" t="str">
        <f t="shared" si="149"/>
        <v/>
      </c>
      <c r="B45" s="415"/>
      <c r="C45" s="525"/>
      <c r="D45" s="750"/>
      <c r="E45" s="416" t="str">
        <f t="shared" si="393"/>
        <v/>
      </c>
      <c r="F45" s="527" t="str">
        <f t="shared" si="394"/>
        <v/>
      </c>
      <c r="G45" s="417"/>
      <c r="H45" s="583" t="str">
        <f t="shared" si="395"/>
        <v/>
      </c>
      <c r="I45" s="424"/>
      <c r="J45" s="419"/>
      <c r="K45" s="418"/>
      <c r="L45" s="419"/>
      <c r="M45" s="415"/>
      <c r="N45" s="420"/>
      <c r="O45" s="421"/>
      <c r="P45" s="561"/>
      <c r="Q45" s="422"/>
      <c r="R45" s="561" t="str">
        <f t="shared" si="396"/>
        <v/>
      </c>
      <c r="S45" s="664"/>
      <c r="T45" s="663"/>
      <c r="U45" s="580">
        <f t="shared" si="397"/>
        <v>0</v>
      </c>
      <c r="V45" s="418"/>
      <c r="W45" s="582" t="str">
        <f t="shared" si="398"/>
        <v/>
      </c>
      <c r="X45" s="479" t="str">
        <f t="shared" si="399"/>
        <v/>
      </c>
      <c r="Y45" s="582" t="str">
        <f t="shared" si="400"/>
        <v/>
      </c>
      <c r="Z45" s="317" t="str">
        <f t="shared" si="401"/>
        <v/>
      </c>
      <c r="AA45" s="317" t="str">
        <f t="shared" si="402"/>
        <v/>
      </c>
      <c r="AB45" s="317">
        <f t="shared" si="403"/>
        <v>0</v>
      </c>
      <c r="AC45" s="317" t="str">
        <f t="shared" si="404"/>
        <v/>
      </c>
      <c r="AD45" s="479"/>
      <c r="AE45" s="479"/>
      <c r="AF45" s="479"/>
      <c r="AG45" s="423"/>
      <c r="AH45" s="820"/>
      <c r="AI45" s="480"/>
      <c r="AJ45" s="660"/>
      <c r="AK45" s="524" t="str">
        <f t="shared" si="405"/>
        <v/>
      </c>
      <c r="AL45" s="731">
        <f>SUMIF($J$4:$J$102,"Futuro",$S$4:$S$102)</f>
        <v>0</v>
      </c>
      <c r="AM45" s="732">
        <f>SUMIF($J$4:$J$102,"Futuro",$T$4:$T$102)</f>
        <v>0</v>
      </c>
      <c r="AN45" s="426">
        <f t="shared" si="406"/>
        <v>0</v>
      </c>
      <c r="AO45" s="427" t="str">
        <f t="shared" si="407"/>
        <v/>
      </c>
      <c r="AP45" s="426" t="str">
        <f t="shared" si="408"/>
        <v/>
      </c>
      <c r="AQ45" s="426"/>
      <c r="AR45" s="426"/>
      <c r="AS45" s="428"/>
      <c r="AT45" s="429"/>
      <c r="AU45" s="430"/>
      <c r="AV45" s="431"/>
      <c r="AW45" s="432"/>
      <c r="AX45" s="430"/>
      <c r="AY45" s="431">
        <f t="shared" si="409"/>
        <v>0</v>
      </c>
      <c r="AZ45" s="426"/>
      <c r="BA45" s="435" t="str">
        <f t="shared" si="410"/>
        <v/>
      </c>
      <c r="BB45" s="435"/>
      <c r="BC45" s="426"/>
      <c r="BD45" s="426">
        <f t="array" ref="BD45">IF(SUM((BC45=$BC$3:BC44)*1)=0,BC45,0)</f>
        <v>0</v>
      </c>
      <c r="BE45" s="426"/>
      <c r="BF45" s="426"/>
      <c r="BG45" s="426">
        <f t="array" ref="BG45">IF(SUM((BF45=$BF$3:BF44)*1)=0,BF45,0)</f>
        <v>0</v>
      </c>
      <c r="BH45" s="426"/>
      <c r="BI45" s="426"/>
      <c r="BJ45" s="426"/>
      <c r="BK45" s="426"/>
      <c r="BL45" s="426"/>
      <c r="BM45" s="426"/>
      <c r="BN45" s="426"/>
      <c r="BO45" s="426"/>
      <c r="BP45" s="433">
        <f t="shared" si="411"/>
        <v>0</v>
      </c>
      <c r="BQ45" s="426"/>
      <c r="BR45" s="434"/>
      <c r="BS45" s="426"/>
      <c r="BT45" s="433"/>
      <c r="BU45" s="435"/>
      <c r="BV45" s="435" t="str">
        <f t="shared" si="412"/>
        <v/>
      </c>
      <c r="BW45" s="435" t="str">
        <f t="shared" si="38"/>
        <v/>
      </c>
      <c r="BX45" s="435"/>
      <c r="BY45" s="435"/>
      <c r="BZ45" s="435"/>
      <c r="CA45" s="435"/>
      <c r="CB45" s="435"/>
      <c r="CC45" s="435"/>
      <c r="CD45" s="435"/>
      <c r="CE45" s="435"/>
      <c r="CF45" s="435"/>
      <c r="CG45" s="435"/>
      <c r="CH45" s="435"/>
      <c r="CI45" s="435"/>
      <c r="CJ45" s="426" t="str">
        <f t="shared" si="39"/>
        <v/>
      </c>
      <c r="CK45" s="435"/>
      <c r="CL45" s="426"/>
      <c r="CM45" s="435"/>
      <c r="CN45" s="426"/>
      <c r="CO45" s="426"/>
      <c r="CP45" s="426"/>
      <c r="CQ45" s="426"/>
      <c r="CR45" s="426"/>
      <c r="CS45" s="426"/>
      <c r="CT45" s="426"/>
      <c r="CU45" s="426"/>
      <c r="CV45" s="426"/>
      <c r="CW45" s="426"/>
      <c r="CX45" s="426"/>
      <c r="CY45" s="426">
        <v>42</v>
      </c>
      <c r="CZ45" s="426"/>
      <c r="DA45" s="426"/>
      <c r="DB45" s="426"/>
      <c r="DC45" s="426" t="s">
        <v>785</v>
      </c>
      <c r="DD45" s="426" t="s">
        <v>945</v>
      </c>
      <c r="DE45" s="435" t="str">
        <f t="shared" si="40"/>
        <v/>
      </c>
      <c r="DF45" s="435" t="str">
        <f t="shared" si="41"/>
        <v/>
      </c>
      <c r="DG45" s="435" t="str">
        <f t="shared" si="42"/>
        <v/>
      </c>
      <c r="DH45" s="435" t="str">
        <f t="shared" si="43"/>
        <v/>
      </c>
      <c r="DI45" s="435" t="str">
        <f t="shared" si="44"/>
        <v/>
      </c>
      <c r="DJ45" s="435" t="str">
        <f t="shared" si="45"/>
        <v/>
      </c>
      <c r="DK45" s="435" t="str">
        <f t="shared" si="413"/>
        <v/>
      </c>
      <c r="DL45" s="435" t="str">
        <f t="shared" si="414"/>
        <v/>
      </c>
      <c r="DM45" s="435" t="str">
        <f t="shared" si="46"/>
        <v/>
      </c>
      <c r="DN45" s="435" t="str">
        <f t="shared" si="47"/>
        <v/>
      </c>
      <c r="DO45" s="435" t="str">
        <f t="shared" si="415"/>
        <v/>
      </c>
      <c r="DP45" s="435" t="str">
        <f t="shared" si="416"/>
        <v/>
      </c>
      <c r="DQ45" s="435" t="str">
        <f t="shared" si="48"/>
        <v/>
      </c>
      <c r="DR45" s="435" t="str">
        <f t="shared" si="49"/>
        <v/>
      </c>
      <c r="DS45" s="435" t="str">
        <f t="shared" si="417"/>
        <v/>
      </c>
      <c r="DT45" s="435" t="str">
        <f t="shared" si="418"/>
        <v/>
      </c>
      <c r="DU45" s="435" t="str">
        <f t="shared" si="50"/>
        <v/>
      </c>
      <c r="DV45" s="435" t="str">
        <f t="shared" si="51"/>
        <v/>
      </c>
      <c r="DW45" s="435" t="str">
        <f t="shared" si="419"/>
        <v/>
      </c>
      <c r="DX45" s="435" t="str">
        <f t="shared" si="420"/>
        <v/>
      </c>
      <c r="DY45" s="435" t="str">
        <f t="shared" si="52"/>
        <v/>
      </c>
      <c r="DZ45" s="435" t="str">
        <f t="shared" si="53"/>
        <v/>
      </c>
      <c r="EA45" s="435" t="str">
        <f t="shared" si="421"/>
        <v/>
      </c>
      <c r="EB45" s="435" t="str">
        <f t="shared" si="422"/>
        <v/>
      </c>
      <c r="EC45" s="435" t="str">
        <f t="shared" si="423"/>
        <v/>
      </c>
      <c r="ED45" s="435" t="str">
        <f t="shared" si="424"/>
        <v/>
      </c>
      <c r="EE45" s="435" t="str">
        <f t="shared" si="425"/>
        <v/>
      </c>
      <c r="EF45" s="435" t="str">
        <f t="shared" si="426"/>
        <v/>
      </c>
      <c r="EG45" s="435" t="str">
        <f t="shared" si="427"/>
        <v/>
      </c>
      <c r="EH45" s="435" t="str">
        <f t="shared" si="428"/>
        <v/>
      </c>
      <c r="EI45" s="435" t="str">
        <f t="shared" si="429"/>
        <v/>
      </c>
      <c r="EJ45" s="435" t="str">
        <f t="shared" si="430"/>
        <v/>
      </c>
      <c r="EK45" s="485"/>
      <c r="EL45" s="485"/>
      <c r="EM45" s="485"/>
      <c r="EN45" s="485"/>
      <c r="EO45" s="448"/>
      <c r="EP45" s="448"/>
      <c r="EQ45" s="448"/>
      <c r="ER45" s="448"/>
      <c r="ES45" s="448"/>
      <c r="ET45" s="435"/>
      <c r="EU45" s="435"/>
      <c r="EV45" s="435"/>
      <c r="EW45" s="435"/>
      <c r="EX45" s="426"/>
      <c r="EY45" s="426"/>
      <c r="EZ45" s="426"/>
      <c r="FA45" s="427"/>
      <c r="FB45" s="427">
        <f t="array" ref="FB45">IF(SUM((FA45=$FA$3:FA44)*1)=0,FA45,0)</f>
        <v>0</v>
      </c>
      <c r="FC45" s="427"/>
      <c r="FD45" s="427"/>
      <c r="FE45" s="427">
        <f t="array" ref="FE45">IF(SUM((FD45=$FD$3:FD44)*1)=0,FD45,0)</f>
        <v>0</v>
      </c>
      <c r="FF45" s="427"/>
      <c r="FG45" s="427"/>
      <c r="FH45" s="427"/>
      <c r="FI45" s="427">
        <f t="array" ref="FI45">IF(SUM((FH45=$FH$3:FH44)*1)=0,FH45,0)</f>
        <v>0</v>
      </c>
      <c r="FJ45" s="427"/>
      <c r="FK45" s="427"/>
      <c r="FL45" s="427">
        <f t="array" ref="FL45">IF(SUM((FK45=$FK$3:FK44)*1)=0,FK45,0)</f>
        <v>0</v>
      </c>
      <c r="FM45" s="427"/>
      <c r="FN45" s="427"/>
      <c r="FO45" s="427"/>
      <c r="FP45" s="427">
        <f t="array" ref="FP45">IF(SUM((FO45=$FO$3:FO44)*1)=0,FO45,0)</f>
        <v>0</v>
      </c>
      <c r="FQ45" s="427"/>
      <c r="FR45" s="427"/>
      <c r="FS45" s="427">
        <f t="array" ref="FS45">IF(SUM((FR45=$FR$3:FR44)*1)=0,FR45,0)</f>
        <v>0</v>
      </c>
      <c r="FT45" s="427"/>
      <c r="FU45" s="427"/>
      <c r="FV45" s="427"/>
      <c r="FW45" s="427">
        <f t="array" ref="FW45">IF(SUM((FV45=$FV$3:FV44)*1)=0,FV45,0)</f>
        <v>0</v>
      </c>
      <c r="FX45" s="427"/>
      <c r="FY45" s="427"/>
      <c r="FZ45" s="427">
        <f t="array" ref="FZ45">IF(SUM((FY45=$FY$3:FY44)*1)=0,FY45,0)</f>
        <v>0</v>
      </c>
      <c r="GA45" s="427"/>
      <c r="GB45" s="427"/>
      <c r="GC45" s="427"/>
      <c r="GD45" s="427">
        <f t="array" ref="GD45">IF(SUM((GC45=$GC$3:GC44)*1)=0,GC45,0)</f>
        <v>0</v>
      </c>
      <c r="GE45" s="427"/>
      <c r="GF45" s="427"/>
      <c r="GG45" s="427">
        <f t="array" ref="GG45">IF(SUM((GF45=$GF$3:GF44)*1)=0,GF45,0)</f>
        <v>0</v>
      </c>
      <c r="GH45" s="427"/>
      <c r="GI45" s="427"/>
      <c r="GJ45" s="427"/>
      <c r="GK45" s="798">
        <f t="array" ref="GK45">IF(SUM((GJ45=$GJ$3:GJ44)*1)=0,GJ45,0)</f>
        <v>0</v>
      </c>
      <c r="GL45" s="427"/>
      <c r="GM45" s="427"/>
      <c r="GN45" s="798">
        <f t="array" ref="GN45">IF(SUM((GM45=$GM$3:GM44)*1)=0,GM45,0)</f>
        <v>0</v>
      </c>
      <c r="GO45" s="427"/>
      <c r="GP45" s="427"/>
      <c r="GQ45" s="427"/>
      <c r="GR45" s="798">
        <f t="array" ref="GR45">IF(SUM((GQ45=$GQ$3:GQ44)*1)=0,GQ45,0)</f>
        <v>0</v>
      </c>
      <c r="GS45" s="427"/>
      <c r="GT45" s="427"/>
      <c r="GU45" s="798">
        <f t="array" ref="GU45">IF(SUM((GT45=$GT$3:GT44)*1)=0,GT45,0)</f>
        <v>0</v>
      </c>
      <c r="GV45" s="427"/>
      <c r="GW45" s="427"/>
      <c r="GX45" s="427"/>
      <c r="GY45" s="798">
        <f t="array" ref="GY45">IF(SUM((GX45=$GX$3:GX44)*1)=0,GX45,0)</f>
        <v>0</v>
      </c>
      <c r="GZ45" s="427"/>
      <c r="HA45" s="427"/>
      <c r="HB45" s="798">
        <f t="array" ref="HB45">IF(SUM((HA45=$HA$3:HA44)*1)=0,HA45,0)</f>
        <v>0</v>
      </c>
      <c r="HC45" s="427"/>
      <c r="HD45" s="427"/>
      <c r="HE45" s="769" t="str">
        <f t="shared" si="130"/>
        <v/>
      </c>
      <c r="HF45" s="768" t="str">
        <f t="shared" ref="HF45" si="544">IF(HE45&lt;0,"Invadiu REP-BA-C","")</f>
        <v/>
      </c>
      <c r="HG45" s="769" t="str">
        <f t="shared" si="131"/>
        <v/>
      </c>
      <c r="HH45" s="768" t="str">
        <f t="shared" si="55"/>
        <v/>
      </c>
      <c r="HI45" s="728" t="str">
        <f t="shared" si="132"/>
        <v/>
      </c>
      <c r="HJ45" s="768" t="str">
        <f t="shared" si="56"/>
        <v/>
      </c>
      <c r="HK45" s="728" t="str">
        <f t="shared" si="133"/>
        <v/>
      </c>
      <c r="HL45" s="768" t="str">
        <f t="shared" si="57"/>
        <v/>
      </c>
      <c r="HM45" s="769" t="str">
        <f t="shared" si="441"/>
        <v/>
      </c>
      <c r="HN45" s="768" t="str">
        <f t="shared" ref="HN45" si="545">IF(HM45&lt;0,"Invadiu REP-BA-C","")</f>
        <v/>
      </c>
      <c r="HO45" s="769" t="str">
        <f t="shared" si="443"/>
        <v/>
      </c>
      <c r="HP45" s="768" t="str">
        <f t="shared" si="61"/>
        <v/>
      </c>
      <c r="HQ45" s="728" t="str">
        <f t="shared" si="444"/>
        <v/>
      </c>
      <c r="HR45" s="768" t="str">
        <f t="shared" si="63"/>
        <v/>
      </c>
      <c r="HS45" s="728" t="str">
        <f t="shared" si="445"/>
        <v/>
      </c>
      <c r="HT45" s="768" t="str">
        <f t="shared" si="65"/>
        <v/>
      </c>
      <c r="HU45" s="769" t="str">
        <f t="shared" si="446"/>
        <v/>
      </c>
      <c r="HV45" s="768" t="str">
        <f t="shared" ref="HV45" si="546">IF(HU45&lt;0,"Invadiu REP-BA-C","")</f>
        <v/>
      </c>
      <c r="HW45" s="769" t="str">
        <f t="shared" si="448"/>
        <v/>
      </c>
      <c r="HX45" s="768" t="str">
        <f t="shared" si="69"/>
        <v/>
      </c>
      <c r="HY45" s="728" t="str">
        <f t="shared" si="449"/>
        <v/>
      </c>
      <c r="HZ45" s="768" t="str">
        <f t="shared" si="71"/>
        <v/>
      </c>
      <c r="IA45" s="728" t="str">
        <f t="shared" si="450"/>
        <v/>
      </c>
      <c r="IB45" s="768" t="str">
        <f t="shared" si="73"/>
        <v/>
      </c>
      <c r="IC45" s="769" t="str">
        <f t="shared" si="451"/>
        <v/>
      </c>
      <c r="ID45" s="768" t="str">
        <f t="shared" ref="ID45" si="547">IF(IC45&lt;0,"Invadiu REP-BA-C","")</f>
        <v/>
      </c>
      <c r="IE45" s="769" t="str">
        <f t="shared" si="453"/>
        <v/>
      </c>
      <c r="IF45" s="768" t="str">
        <f t="shared" si="77"/>
        <v/>
      </c>
      <c r="IG45" s="728" t="str">
        <f t="shared" si="454"/>
        <v/>
      </c>
      <c r="IH45" s="768" t="str">
        <f t="shared" si="79"/>
        <v/>
      </c>
      <c r="II45" s="728" t="str">
        <f t="shared" si="455"/>
        <v/>
      </c>
      <c r="IJ45" s="768" t="str">
        <f t="shared" si="81"/>
        <v/>
      </c>
      <c r="IK45" s="769" t="str">
        <f t="shared" si="456"/>
        <v/>
      </c>
      <c r="IL45" s="768" t="str">
        <f t="shared" ref="IL45" si="548">IF(IK45&lt;0,"Invadiu REP-BA-C","")</f>
        <v/>
      </c>
      <c r="IM45" s="769" t="str">
        <f t="shared" si="458"/>
        <v/>
      </c>
      <c r="IN45" s="768" t="str">
        <f t="shared" si="85"/>
        <v/>
      </c>
      <c r="IO45" s="728" t="str">
        <f t="shared" si="459"/>
        <v/>
      </c>
      <c r="IP45" s="768" t="str">
        <f t="shared" si="87"/>
        <v/>
      </c>
      <c r="IQ45" s="728" t="str">
        <f t="shared" si="460"/>
        <v/>
      </c>
      <c r="IR45" s="768" t="str">
        <f t="shared" si="89"/>
        <v/>
      </c>
      <c r="IS45" s="769" t="str">
        <f t="shared" si="461"/>
        <v/>
      </c>
      <c r="IT45" s="768" t="str">
        <f t="shared" ref="IT45" si="549">IF(IS45&lt;0,"Invadiu REP-BA-C","")</f>
        <v/>
      </c>
      <c r="IU45" s="769" t="str">
        <f t="shared" si="463"/>
        <v/>
      </c>
      <c r="IV45" s="768" t="str">
        <f t="shared" si="93"/>
        <v/>
      </c>
      <c r="IW45" s="728" t="str">
        <f t="shared" si="464"/>
        <v/>
      </c>
      <c r="IX45" s="768" t="str">
        <f t="shared" si="95"/>
        <v/>
      </c>
      <c r="IY45" s="728" t="str">
        <f t="shared" si="465"/>
        <v/>
      </c>
      <c r="IZ45" s="768" t="str">
        <f t="shared" si="97"/>
        <v/>
      </c>
      <c r="JA45" s="769" t="str">
        <f t="shared" si="466"/>
        <v/>
      </c>
      <c r="JB45" s="768" t="str">
        <f t="shared" ref="JB45" si="550">IF(JA45&lt;0,"Invadiu REP-BA-C","")</f>
        <v/>
      </c>
      <c r="JC45" s="769" t="str">
        <f t="shared" si="468"/>
        <v/>
      </c>
      <c r="JD45" s="768" t="str">
        <f t="shared" si="101"/>
        <v/>
      </c>
      <c r="JE45" s="728" t="str">
        <f t="shared" si="469"/>
        <v/>
      </c>
      <c r="JF45" s="768" t="str">
        <f t="shared" si="103"/>
        <v/>
      </c>
      <c r="JG45" s="728" t="str">
        <f t="shared" si="470"/>
        <v/>
      </c>
      <c r="JH45" s="768" t="str">
        <f t="shared" si="105"/>
        <v/>
      </c>
      <c r="JI45" s="769" t="str">
        <f t="shared" si="471"/>
        <v/>
      </c>
      <c r="JJ45" s="768" t="str">
        <f t="shared" ref="JJ45" si="551">IF(JI45&lt;0,"Invadiu REP-BA-C","")</f>
        <v/>
      </c>
      <c r="JK45" s="769" t="str">
        <f t="shared" si="473"/>
        <v/>
      </c>
      <c r="JL45" s="768" t="str">
        <f t="shared" si="109"/>
        <v/>
      </c>
      <c r="JM45" s="728" t="str">
        <f t="shared" si="474"/>
        <v/>
      </c>
      <c r="JN45" s="768" t="str">
        <f t="shared" si="111"/>
        <v/>
      </c>
      <c r="JO45" s="728" t="str">
        <f t="shared" si="475"/>
        <v/>
      </c>
      <c r="JP45" s="768" t="str">
        <f t="shared" si="113"/>
        <v/>
      </c>
      <c r="JQ45" s="769" t="str">
        <f t="shared" si="476"/>
        <v/>
      </c>
      <c r="JR45" s="768" t="str">
        <f t="shared" ref="JR45" si="552">IF(JQ45&lt;0,"Invadiu REP-BA-C","")</f>
        <v/>
      </c>
      <c r="JS45" s="769" t="str">
        <f t="shared" si="478"/>
        <v/>
      </c>
      <c r="JT45" s="768" t="str">
        <f t="shared" si="117"/>
        <v/>
      </c>
      <c r="JU45" s="728" t="str">
        <f t="shared" si="479"/>
        <v/>
      </c>
      <c r="JV45" s="768" t="str">
        <f t="shared" si="119"/>
        <v/>
      </c>
      <c r="JW45" s="728" t="str">
        <f t="shared" si="480"/>
        <v/>
      </c>
      <c r="JX45" s="768" t="str">
        <f t="shared" si="121"/>
        <v/>
      </c>
      <c r="JY45" s="768" t="str">
        <f t="shared" si="122"/>
        <v/>
      </c>
      <c r="JZ45" s="485" t="str">
        <f>IF(JY45="","",IF(AND(C45=$C$164,JY45&lt;&gt;""),Verificarcpf(D45),IF(AND(C45=$C$165,JY45&lt;&gt;""),VerificarCNPJ(D45))))</f>
        <v/>
      </c>
      <c r="KA45" s="768" t="str">
        <f t="shared" si="123"/>
        <v/>
      </c>
      <c r="KB45" s="485">
        <f t="shared" si="124"/>
        <v>0</v>
      </c>
      <c r="KC45" s="768">
        <f t="shared" si="125"/>
        <v>0</v>
      </c>
      <c r="KD45" s="485">
        <f t="shared" si="126"/>
        <v>0</v>
      </c>
      <c r="KE45" s="448"/>
      <c r="KF45" s="548"/>
      <c r="KG45" s="548"/>
      <c r="KH45" s="548"/>
      <c r="KI45" s="548"/>
      <c r="KJ45" s="548" t="str">
        <f t="shared" si="128"/>
        <v/>
      </c>
      <c r="KK45" s="548"/>
      <c r="KL45" s="548"/>
      <c r="KM45" s="548">
        <f t="array" ref="KM45">IF(SUM((KL45=$KL$3:KL44)*1)=0,KL45,0)</f>
        <v>0</v>
      </c>
      <c r="KN45" s="548"/>
      <c r="KO45" s="548"/>
      <c r="KP45" s="548"/>
      <c r="KQ45" s="548"/>
      <c r="KR45" s="548" t="str">
        <f t="shared" si="129"/>
        <v/>
      </c>
      <c r="KS45" s="548"/>
      <c r="KT45" s="548"/>
      <c r="KU45" s="548"/>
      <c r="KV45" s="548"/>
      <c r="KW45" s="548"/>
      <c r="KX45" s="548"/>
      <c r="KY45" s="548"/>
      <c r="KZ45" s="548"/>
      <c r="LA45" s="548"/>
      <c r="LB45" s="548"/>
      <c r="LC45" s="485" t="str">
        <f t="shared" si="142"/>
        <v/>
      </c>
      <c r="LD45" s="548"/>
      <c r="LE45" s="548"/>
      <c r="LF45" s="548"/>
      <c r="LG45" s="548"/>
      <c r="LH45" s="548"/>
      <c r="LI45" s="548"/>
      <c r="LJ45" s="548"/>
      <c r="LK45" s="548"/>
      <c r="LL45" s="548"/>
      <c r="LM45" s="548"/>
      <c r="LN45" s="548"/>
      <c r="LO45" s="548"/>
      <c r="LP45" s="485" t="str">
        <f t="shared" si="143"/>
        <v/>
      </c>
      <c r="LQ45" s="548"/>
      <c r="LR45" s="548"/>
      <c r="LS45" s="548"/>
      <c r="LT45" s="548"/>
      <c r="LU45" s="548"/>
      <c r="LV45" s="548"/>
      <c r="LW45" s="548"/>
      <c r="LX45" s="548"/>
      <c r="LY45" s="548"/>
      <c r="LZ45" s="548"/>
      <c r="MA45" s="548"/>
      <c r="MB45" s="548"/>
      <c r="MC45" s="485" t="str">
        <f t="shared" si="144"/>
        <v/>
      </c>
      <c r="MD45" s="548"/>
      <c r="ME45" s="548"/>
      <c r="MF45" s="548"/>
      <c r="MG45" s="548"/>
      <c r="MH45" s="548"/>
      <c r="MI45" s="548"/>
      <c r="MJ45" s="548"/>
      <c r="MK45" s="548"/>
      <c r="ML45" s="548"/>
      <c r="MM45" s="548"/>
      <c r="MN45" s="548"/>
      <c r="MO45" s="548"/>
      <c r="MP45" s="485" t="str">
        <f t="shared" si="145"/>
        <v/>
      </c>
      <c r="MQ45" s="548"/>
      <c r="MR45" s="548"/>
      <c r="MS45" s="548"/>
      <c r="MT45" s="548"/>
      <c r="MU45" s="548"/>
      <c r="MV45" s="548"/>
      <c r="MW45" s="548"/>
      <c r="MX45" s="548"/>
      <c r="MY45" s="548"/>
      <c r="MZ45" s="548"/>
      <c r="NA45" s="548"/>
      <c r="NB45" s="548"/>
      <c r="NC45" s="485" t="str">
        <f t="shared" si="146"/>
        <v/>
      </c>
      <c r="ND45" s="548"/>
      <c r="NE45" s="548"/>
      <c r="NF45" s="548"/>
      <c r="NG45" s="548"/>
      <c r="NH45" s="548"/>
      <c r="NI45" s="548"/>
      <c r="NJ45" s="548"/>
      <c r="NK45" s="548"/>
      <c r="NL45" s="548"/>
      <c r="NM45" s="548"/>
      <c r="NN45" s="548"/>
      <c r="NO45" s="548"/>
      <c r="NP45" s="485" t="str">
        <f t="shared" si="147"/>
        <v/>
      </c>
      <c r="NQ45" s="548"/>
      <c r="NR45" s="548"/>
      <c r="NS45" s="548"/>
      <c r="NT45" s="548"/>
      <c r="NU45" s="548"/>
      <c r="NV45" s="548"/>
      <c r="NW45" s="548"/>
      <c r="NX45" s="548"/>
      <c r="NY45" s="548"/>
      <c r="NZ45" s="548"/>
      <c r="OA45" s="548"/>
      <c r="OB45" s="548"/>
      <c r="OC45" s="485" t="str">
        <f t="shared" si="148"/>
        <v/>
      </c>
      <c r="OD45" s="548"/>
      <c r="OE45" s="548"/>
      <c r="OF45" s="548"/>
      <c r="OG45" s="548"/>
      <c r="OH45" s="548"/>
      <c r="OI45" s="548"/>
      <c r="OJ45" s="548"/>
      <c r="OK45" s="548"/>
      <c r="OL45" s="548"/>
      <c r="OM45" s="548"/>
      <c r="ON45" s="548"/>
      <c r="OO45" s="548"/>
      <c r="OP45" s="548"/>
      <c r="OQ45" s="548"/>
      <c r="OR45" s="548"/>
      <c r="OS45" s="548"/>
      <c r="OT45" s="548"/>
      <c r="OU45" s="548"/>
      <c r="OV45" s="548"/>
      <c r="OW45" s="548"/>
      <c r="OX45" s="548"/>
      <c r="OY45" s="548"/>
      <c r="OZ45" s="548"/>
      <c r="PA45" s="548"/>
      <c r="PB45" s="548"/>
      <c r="PC45" s="548"/>
      <c r="PD45" s="548"/>
      <c r="PE45" s="548"/>
      <c r="PF45" s="548"/>
      <c r="PG45" s="548"/>
      <c r="PH45" s="548"/>
      <c r="PI45" s="548"/>
      <c r="PJ45" s="548"/>
      <c r="PK45" s="548"/>
      <c r="PL45" s="548"/>
      <c r="PM45" s="548"/>
      <c r="PN45" s="548"/>
      <c r="PO45" s="548"/>
      <c r="PP45" s="548"/>
      <c r="PQ45" s="548"/>
      <c r="PR45" s="548"/>
      <c r="PS45" s="548"/>
      <c r="PT45" s="548"/>
      <c r="PU45" s="548"/>
      <c r="PV45" s="548"/>
      <c r="PW45" s="548"/>
      <c r="PX45" s="548"/>
      <c r="PY45" s="548"/>
      <c r="PZ45" s="548"/>
      <c r="QA45" s="548"/>
      <c r="QB45" s="548"/>
      <c r="QC45" s="548"/>
      <c r="QD45" s="548"/>
      <c r="QE45" s="548"/>
      <c r="QF45" s="548"/>
      <c r="QG45" s="548"/>
      <c r="QH45" s="548"/>
      <c r="QI45" s="548"/>
      <c r="QJ45" s="548"/>
      <c r="QK45" s="548"/>
      <c r="QL45" s="548"/>
      <c r="QM45" s="548"/>
      <c r="QN45" s="548"/>
      <c r="QO45" s="548"/>
      <c r="QP45" s="548"/>
      <c r="QQ45" s="1009"/>
      <c r="QR45" s="548"/>
      <c r="QS45" s="548"/>
      <c r="QT45" s="548"/>
      <c r="QU45" s="548"/>
      <c r="QV45" s="548"/>
      <c r="QW45" s="548"/>
      <c r="QX45" s="548"/>
      <c r="QY45" s="548"/>
      <c r="QZ45" s="548"/>
      <c r="RA45" s="548"/>
      <c r="RB45" s="548"/>
      <c r="RC45" s="548"/>
      <c r="RD45" s="548"/>
      <c r="RE45" s="548"/>
      <c r="RF45" s="548"/>
      <c r="RG45" s="548"/>
      <c r="RH45" s="548"/>
      <c r="RI45" s="548"/>
      <c r="RJ45" s="548"/>
      <c r="RK45" s="548"/>
      <c r="RL45" s="548"/>
      <c r="RM45" s="548"/>
      <c r="RN45" s="548"/>
      <c r="RO45" s="548"/>
      <c r="RP45" s="548"/>
      <c r="RQ45" s="548"/>
      <c r="RR45" s="548"/>
      <c r="RS45" s="548"/>
      <c r="RT45" s="548"/>
      <c r="RU45" s="548"/>
      <c r="RV45" s="548"/>
      <c r="RW45" s="548"/>
      <c r="RX45" s="548"/>
      <c r="RY45" s="548"/>
      <c r="RZ45" s="548"/>
      <c r="SA45" s="548"/>
      <c r="SB45" s="548"/>
      <c r="SC45" s="548"/>
      <c r="SD45" s="548"/>
      <c r="SE45" s="548"/>
      <c r="SF45" s="548"/>
      <c r="SG45" s="548"/>
      <c r="SH45" s="548"/>
      <c r="SI45" s="548"/>
      <c r="SJ45" s="548"/>
      <c r="SK45" s="548"/>
      <c r="SL45" s="548"/>
      <c r="SM45" s="548"/>
      <c r="SN45" s="548"/>
      <c r="SO45" s="548"/>
      <c r="SP45" s="548"/>
      <c r="SQ45" s="548"/>
      <c r="SR45" s="548"/>
      <c r="SS45" s="548"/>
      <c r="ST45" s="548"/>
      <c r="SU45" s="548"/>
      <c r="SV45" s="548"/>
      <c r="SW45" s="548"/>
      <c r="SX45" s="548"/>
      <c r="SY45" s="548"/>
      <c r="SZ45" s="548"/>
      <c r="TA45" s="548"/>
      <c r="TB45" s="548"/>
      <c r="TC45" s="548"/>
      <c r="TD45" s="548"/>
      <c r="TE45" s="548"/>
      <c r="TF45" s="548"/>
      <c r="TG45" s="548"/>
      <c r="TH45" s="548"/>
      <c r="TI45" s="548"/>
      <c r="TJ45" s="548"/>
      <c r="TK45" s="548"/>
      <c r="TL45" s="548"/>
      <c r="TM45" s="548"/>
      <c r="TN45" s="548"/>
      <c r="TO45" s="548"/>
      <c r="TP45" s="548"/>
      <c r="TQ45" s="548"/>
      <c r="TR45" s="548"/>
      <c r="TS45" s="548"/>
      <c r="TT45" s="548"/>
      <c r="TU45" s="548"/>
      <c r="TV45" s="548"/>
      <c r="TW45" s="548"/>
      <c r="TX45" s="548"/>
      <c r="TY45" s="548"/>
      <c r="TZ45" s="548"/>
      <c r="UA45" s="548"/>
      <c r="UB45" s="548"/>
      <c r="UC45" s="548"/>
      <c r="UD45" s="548"/>
      <c r="UE45" s="548"/>
      <c r="UF45" s="548"/>
      <c r="UG45" s="548"/>
      <c r="UH45" s="548"/>
      <c r="UI45" s="548"/>
      <c r="UJ45" s="548"/>
      <c r="UK45" s="548"/>
      <c r="UL45" s="548"/>
      <c r="UM45" s="548"/>
      <c r="UN45" s="548"/>
      <c r="UO45" s="548"/>
      <c r="UP45" s="548"/>
      <c r="UQ45" s="548"/>
      <c r="UR45" s="548"/>
      <c r="US45" s="548"/>
      <c r="UT45" s="548"/>
      <c r="UU45" s="548"/>
      <c r="UV45" s="548"/>
      <c r="UW45" s="548"/>
      <c r="UX45" s="548"/>
      <c r="UY45" s="548"/>
      <c r="UZ45" s="548"/>
      <c r="VA45" s="548"/>
      <c r="VB45" s="548"/>
      <c r="VC45" s="548"/>
      <c r="VD45" s="548"/>
      <c r="VE45" s="548"/>
      <c r="VF45" s="548"/>
      <c r="VG45" s="548"/>
      <c r="VH45" s="548"/>
      <c r="VI45" s="548"/>
      <c r="VJ45" s="548"/>
      <c r="VK45" s="548"/>
      <c r="VL45" s="548"/>
      <c r="VM45" s="548"/>
      <c r="VN45" s="548"/>
      <c r="VO45" s="548"/>
      <c r="VP45" s="548"/>
      <c r="VQ45" s="548"/>
      <c r="VR45" s="548"/>
      <c r="VS45" s="548"/>
      <c r="VT45" s="548"/>
      <c r="VU45" s="548"/>
      <c r="VV45" s="548"/>
      <c r="VW45" s="548"/>
      <c r="VX45" s="548"/>
      <c r="VY45" s="548"/>
      <c r="VZ45" s="548"/>
      <c r="WA45" s="548"/>
      <c r="WB45" s="548"/>
      <c r="WC45" s="548"/>
      <c r="WD45" s="548"/>
      <c r="WE45" s="548"/>
      <c r="WF45" s="548"/>
      <c r="WG45" s="548"/>
      <c r="WH45" s="548"/>
      <c r="WI45" s="548"/>
      <c r="WJ45" s="548"/>
      <c r="WK45" s="548"/>
      <c r="WL45" s="548"/>
      <c r="WM45" s="548"/>
      <c r="WN45" s="548"/>
      <c r="WO45" s="548"/>
      <c r="WP45" s="548"/>
      <c r="WQ45" s="548"/>
      <c r="WR45" s="548"/>
      <c r="WS45" s="548"/>
      <c r="WT45" s="548"/>
      <c r="WU45" s="548"/>
      <c r="WV45" s="548"/>
      <c r="WW45" s="548"/>
      <c r="WX45" s="548"/>
      <c r="WY45" s="548"/>
      <c r="WZ45" s="548"/>
      <c r="XA45" s="548"/>
      <c r="XB45" s="548"/>
      <c r="XC45" s="548"/>
      <c r="XD45" s="548"/>
      <c r="XE45" s="548"/>
      <c r="XF45" s="548"/>
      <c r="XG45" s="548"/>
      <c r="XH45" s="548"/>
      <c r="XI45" s="548"/>
      <c r="XJ45" s="548"/>
      <c r="XK45" s="548"/>
      <c r="XL45" s="548"/>
      <c r="XM45" s="548"/>
      <c r="XN45" s="548"/>
      <c r="XO45" s="548"/>
      <c r="XP45" s="548"/>
      <c r="XQ45" s="548"/>
      <c r="XR45" s="548"/>
      <c r="XS45" s="548"/>
      <c r="XT45" s="548"/>
      <c r="XU45" s="548"/>
      <c r="XV45" s="548"/>
      <c r="XW45" s="548"/>
      <c r="XX45" s="548"/>
      <c r="XY45" s="548"/>
      <c r="XZ45" s="548"/>
      <c r="YA45" s="548"/>
      <c r="YB45" s="548"/>
      <c r="YC45" s="548"/>
      <c r="YD45" s="548"/>
      <c r="YE45" s="548"/>
      <c r="YF45" s="548"/>
      <c r="YG45" s="548"/>
      <c r="YH45" s="548"/>
      <c r="YI45" s="548"/>
      <c r="YJ45" s="548"/>
      <c r="YK45" s="548"/>
      <c r="YL45" s="548"/>
      <c r="YM45" s="548"/>
      <c r="YN45" s="548"/>
      <c r="YO45" s="548"/>
      <c r="YP45" s="548"/>
      <c r="YQ45" s="548"/>
      <c r="YR45" s="548"/>
      <c r="YS45" s="548"/>
      <c r="YT45" s="548"/>
      <c r="YU45" s="548"/>
      <c r="YV45" s="548"/>
      <c r="YW45" s="548"/>
      <c r="YX45" s="548"/>
      <c r="YY45" s="548"/>
      <c r="YZ45" s="548"/>
      <c r="ZA45" s="548"/>
      <c r="ZB45" s="548"/>
      <c r="ZC45" s="548"/>
      <c r="ZD45" s="548"/>
      <c r="ZE45" s="548"/>
      <c r="ZF45" s="548"/>
      <c r="ZG45" s="548"/>
      <c r="ZH45" s="548"/>
      <c r="ZI45" s="548"/>
      <c r="ZJ45" s="548"/>
      <c r="ZK45" s="548"/>
      <c r="ZL45" s="548"/>
      <c r="ZM45" s="548"/>
      <c r="ZN45" s="548"/>
      <c r="ZO45" s="548"/>
      <c r="ZP45" s="548"/>
      <c r="ZQ45" s="548"/>
      <c r="ZR45" s="548"/>
      <c r="ZS45" s="548"/>
      <c r="ZT45" s="548"/>
      <c r="ZU45" s="548"/>
      <c r="ZV45" s="548"/>
      <c r="ZW45" s="548"/>
      <c r="ZX45" s="548"/>
      <c r="ZY45" s="548"/>
      <c r="ZZ45" s="548"/>
      <c r="AAA45" s="548"/>
      <c r="AAB45" s="548"/>
      <c r="AAC45" s="548"/>
      <c r="AAD45" s="548"/>
      <c r="AAE45" s="548"/>
      <c r="AAF45" s="548"/>
      <c r="AAG45" s="548"/>
      <c r="AAH45" s="548"/>
      <c r="AAI45" s="548"/>
      <c r="AAJ45" s="548"/>
      <c r="AAK45" s="548"/>
      <c r="AAL45" s="548"/>
      <c r="AAM45" s="548"/>
      <c r="AAN45" s="548"/>
      <c r="AAO45" s="548"/>
      <c r="AAP45" s="548"/>
      <c r="AAQ45" s="548"/>
      <c r="AAR45" s="548"/>
      <c r="AAS45" s="548"/>
      <c r="AAT45" s="548"/>
      <c r="AAU45" s="548"/>
      <c r="AAV45" s="548"/>
      <c r="AAW45" s="548"/>
      <c r="AAX45" s="548"/>
      <c r="AAY45" s="548"/>
      <c r="AAZ45" s="548"/>
      <c r="ABA45" s="548"/>
      <c r="ABB45" s="548"/>
      <c r="ABC45" s="548"/>
      <c r="ABD45" s="548"/>
      <c r="ABE45" s="548"/>
      <c r="ABF45" s="548"/>
      <c r="ABG45" s="548"/>
      <c r="ABH45" s="548"/>
      <c r="ABI45" s="548"/>
      <c r="ABJ45" s="548"/>
      <c r="ABK45" s="548"/>
      <c r="ABL45" s="548"/>
      <c r="ABM45" s="548"/>
      <c r="ABN45" s="548"/>
      <c r="ABO45" s="548"/>
      <c r="ABP45" s="548"/>
      <c r="ABQ45" s="548"/>
      <c r="ABR45" s="548"/>
      <c r="ABS45" s="548"/>
    </row>
    <row r="46" spans="1:747" customFormat="1" ht="15" customHeight="1" x14ac:dyDescent="0.2">
      <c r="A46" s="424" t="str">
        <f t="shared" si="149"/>
        <v/>
      </c>
      <c r="B46" s="415"/>
      <c r="C46" s="525"/>
      <c r="D46" s="750"/>
      <c r="E46" s="416" t="str">
        <f t="shared" si="393"/>
        <v/>
      </c>
      <c r="F46" s="527" t="str">
        <f t="shared" si="394"/>
        <v/>
      </c>
      <c r="G46" s="417"/>
      <c r="H46" s="583" t="str">
        <f t="shared" si="395"/>
        <v/>
      </c>
      <c r="I46" s="424"/>
      <c r="J46" s="419"/>
      <c r="K46" s="418"/>
      <c r="L46" s="419"/>
      <c r="M46" s="415"/>
      <c r="N46" s="420"/>
      <c r="O46" s="421"/>
      <c r="P46" s="561"/>
      <c r="Q46" s="422"/>
      <c r="R46" s="561" t="str">
        <f t="shared" si="396"/>
        <v/>
      </c>
      <c r="S46" s="664"/>
      <c r="T46" s="663"/>
      <c r="U46" s="580">
        <f t="shared" si="397"/>
        <v>0</v>
      </c>
      <c r="V46" s="418"/>
      <c r="W46" s="582" t="str">
        <f t="shared" si="398"/>
        <v/>
      </c>
      <c r="X46" s="479" t="str">
        <f t="shared" si="399"/>
        <v/>
      </c>
      <c r="Y46" s="582" t="str">
        <f t="shared" si="400"/>
        <v/>
      </c>
      <c r="Z46" s="317" t="str">
        <f t="shared" si="401"/>
        <v/>
      </c>
      <c r="AA46" s="317" t="str">
        <f t="shared" si="402"/>
        <v/>
      </c>
      <c r="AB46" s="317">
        <f t="shared" si="403"/>
        <v>0</v>
      </c>
      <c r="AC46" s="317" t="str">
        <f t="shared" si="404"/>
        <v/>
      </c>
      <c r="AD46" s="479"/>
      <c r="AE46" s="479"/>
      <c r="AF46" s="479"/>
      <c r="AG46" s="423"/>
      <c r="AH46" s="820"/>
      <c r="AI46" s="480"/>
      <c r="AJ46" s="660"/>
      <c r="AK46" s="524" t="str">
        <f t="shared" si="405"/>
        <v/>
      </c>
      <c r="AL46" s="731">
        <f>SUMIF($J$4:$J$116,"Futuro",$S$4:$S$116)</f>
        <v>0</v>
      </c>
      <c r="AM46" s="732">
        <f>SUMIF($J$4:$J$116,"Futuro",$T$4:$T$116)</f>
        <v>0</v>
      </c>
      <c r="AN46" s="426">
        <f t="shared" si="406"/>
        <v>0</v>
      </c>
      <c r="AO46" s="427" t="str">
        <f t="shared" si="407"/>
        <v/>
      </c>
      <c r="AP46" s="426" t="str">
        <f t="shared" si="408"/>
        <v/>
      </c>
      <c r="AQ46" s="426"/>
      <c r="AR46" s="426"/>
      <c r="AS46" s="428"/>
      <c r="AT46" s="429"/>
      <c r="AU46" s="430"/>
      <c r="AV46" s="431"/>
      <c r="AW46" s="432"/>
      <c r="AX46" s="430"/>
      <c r="AY46" s="431">
        <f t="shared" si="409"/>
        <v>0</v>
      </c>
      <c r="AZ46" s="426"/>
      <c r="BA46" s="435" t="str">
        <f t="shared" si="410"/>
        <v/>
      </c>
      <c r="BB46" s="435"/>
      <c r="BC46" s="426"/>
      <c r="BD46" s="426">
        <f t="array" ref="BD46">IF(SUM((BC46=$BC$3:BC45)*1)=0,BC46,0)</f>
        <v>0</v>
      </c>
      <c r="BE46" s="426"/>
      <c r="BF46" s="426"/>
      <c r="BG46" s="426">
        <f t="array" ref="BG46">IF(SUM((BF46=$BF$3:BF45)*1)=0,BF46,0)</f>
        <v>0</v>
      </c>
      <c r="BH46" s="426"/>
      <c r="BI46" s="426"/>
      <c r="BJ46" s="426"/>
      <c r="BK46" s="426"/>
      <c r="BL46" s="426"/>
      <c r="BM46" s="426"/>
      <c r="BN46" s="426"/>
      <c r="BO46" s="426"/>
      <c r="BP46" s="433">
        <f t="shared" si="411"/>
        <v>0</v>
      </c>
      <c r="BQ46" s="426"/>
      <c r="BR46" s="434"/>
      <c r="BS46" s="426"/>
      <c r="BT46" s="433"/>
      <c r="BU46" s="435"/>
      <c r="BV46" s="435" t="str">
        <f t="shared" si="412"/>
        <v/>
      </c>
      <c r="BW46" s="435" t="str">
        <f t="shared" si="38"/>
        <v/>
      </c>
      <c r="BX46" s="435"/>
      <c r="BY46" s="435"/>
      <c r="BZ46" s="435"/>
      <c r="CA46" s="435"/>
      <c r="CB46" s="435"/>
      <c r="CC46" s="435"/>
      <c r="CD46" s="435"/>
      <c r="CE46" s="435"/>
      <c r="CF46" s="435"/>
      <c r="CG46" s="435"/>
      <c r="CH46" s="435"/>
      <c r="CI46" s="435"/>
      <c r="CJ46" s="426" t="str">
        <f t="shared" si="39"/>
        <v/>
      </c>
      <c r="CK46" s="435"/>
      <c r="CL46" s="426"/>
      <c r="CM46" s="435"/>
      <c r="CN46" s="426"/>
      <c r="CO46" s="426"/>
      <c r="CP46" s="426"/>
      <c r="CQ46" s="426"/>
      <c r="CR46" s="426"/>
      <c r="CS46" s="426"/>
      <c r="CT46" s="426"/>
      <c r="CU46" s="426"/>
      <c r="CV46" s="426"/>
      <c r="CW46" s="426"/>
      <c r="CX46" s="426"/>
      <c r="CY46" s="426">
        <v>43</v>
      </c>
      <c r="CZ46" s="426"/>
      <c r="DA46" s="426"/>
      <c r="DB46" s="426"/>
      <c r="DC46" s="426" t="s">
        <v>786</v>
      </c>
      <c r="DD46" s="426" t="s">
        <v>946</v>
      </c>
      <c r="DE46" s="435" t="str">
        <f t="shared" si="40"/>
        <v/>
      </c>
      <c r="DF46" s="435" t="str">
        <f t="shared" si="41"/>
        <v/>
      </c>
      <c r="DG46" s="435" t="str">
        <f t="shared" si="42"/>
        <v/>
      </c>
      <c r="DH46" s="435" t="str">
        <f t="shared" si="43"/>
        <v/>
      </c>
      <c r="DI46" s="435" t="str">
        <f t="shared" si="44"/>
        <v/>
      </c>
      <c r="DJ46" s="435" t="str">
        <f t="shared" si="45"/>
        <v/>
      </c>
      <c r="DK46" s="435" t="str">
        <f t="shared" si="413"/>
        <v/>
      </c>
      <c r="DL46" s="435" t="str">
        <f t="shared" si="414"/>
        <v/>
      </c>
      <c r="DM46" s="435" t="str">
        <f t="shared" si="46"/>
        <v/>
      </c>
      <c r="DN46" s="435" t="str">
        <f t="shared" si="47"/>
        <v/>
      </c>
      <c r="DO46" s="435" t="str">
        <f t="shared" si="415"/>
        <v/>
      </c>
      <c r="DP46" s="435" t="str">
        <f t="shared" si="416"/>
        <v/>
      </c>
      <c r="DQ46" s="435" t="str">
        <f t="shared" si="48"/>
        <v/>
      </c>
      <c r="DR46" s="435" t="str">
        <f t="shared" si="49"/>
        <v/>
      </c>
      <c r="DS46" s="435" t="str">
        <f t="shared" si="417"/>
        <v/>
      </c>
      <c r="DT46" s="435" t="str">
        <f t="shared" si="418"/>
        <v/>
      </c>
      <c r="DU46" s="435" t="str">
        <f t="shared" si="50"/>
        <v/>
      </c>
      <c r="DV46" s="435" t="str">
        <f t="shared" si="51"/>
        <v/>
      </c>
      <c r="DW46" s="435" t="str">
        <f t="shared" si="419"/>
        <v/>
      </c>
      <c r="DX46" s="435" t="str">
        <f t="shared" si="420"/>
        <v/>
      </c>
      <c r="DY46" s="435" t="str">
        <f t="shared" si="52"/>
        <v/>
      </c>
      <c r="DZ46" s="435" t="str">
        <f t="shared" si="53"/>
        <v/>
      </c>
      <c r="EA46" s="435" t="str">
        <f t="shared" si="421"/>
        <v/>
      </c>
      <c r="EB46" s="435" t="str">
        <f t="shared" si="422"/>
        <v/>
      </c>
      <c r="EC46" s="435" t="str">
        <f t="shared" si="423"/>
        <v/>
      </c>
      <c r="ED46" s="435" t="str">
        <f t="shared" si="424"/>
        <v/>
      </c>
      <c r="EE46" s="435" t="str">
        <f t="shared" si="425"/>
        <v/>
      </c>
      <c r="EF46" s="435" t="str">
        <f t="shared" si="426"/>
        <v/>
      </c>
      <c r="EG46" s="435" t="str">
        <f t="shared" si="427"/>
        <v/>
      </c>
      <c r="EH46" s="435" t="str">
        <f t="shared" si="428"/>
        <v/>
      </c>
      <c r="EI46" s="435" t="str">
        <f t="shared" si="429"/>
        <v/>
      </c>
      <c r="EJ46" s="435" t="str">
        <f t="shared" si="430"/>
        <v/>
      </c>
      <c r="EK46" s="485"/>
      <c r="EL46" s="485"/>
      <c r="EM46" s="485"/>
      <c r="EN46" s="485"/>
      <c r="EO46" s="448"/>
      <c r="EP46" s="448"/>
      <c r="EQ46" s="448"/>
      <c r="ER46" s="448"/>
      <c r="ES46" s="448"/>
      <c r="ET46" s="435"/>
      <c r="EU46" s="435"/>
      <c r="EV46" s="435"/>
      <c r="EW46" s="435"/>
      <c r="EX46" s="426"/>
      <c r="EY46" s="426"/>
      <c r="EZ46" s="426"/>
      <c r="FA46" s="427"/>
      <c r="FB46" s="427">
        <f t="array" ref="FB46">IF(SUM((FA46=$FA$3:FA45)*1)=0,FA46,0)</f>
        <v>0</v>
      </c>
      <c r="FC46" s="427"/>
      <c r="FD46" s="427"/>
      <c r="FE46" s="427">
        <f t="array" ref="FE46">IF(SUM((FD46=$FD$3:FD45)*1)=0,FD46,0)</f>
        <v>0</v>
      </c>
      <c r="FF46" s="427"/>
      <c r="FG46" s="427"/>
      <c r="FH46" s="427"/>
      <c r="FI46" s="427">
        <f t="array" ref="FI46">IF(SUM((FH46=$FH$3:FH45)*1)=0,FH46,0)</f>
        <v>0</v>
      </c>
      <c r="FJ46" s="427"/>
      <c r="FK46" s="427"/>
      <c r="FL46" s="427">
        <f t="array" ref="FL46">IF(SUM((FK46=$FK$3:FK45)*1)=0,FK46,0)</f>
        <v>0</v>
      </c>
      <c r="FM46" s="427"/>
      <c r="FN46" s="427"/>
      <c r="FO46" s="427"/>
      <c r="FP46" s="427">
        <f t="array" ref="FP46">IF(SUM((FO46=$FO$3:FO45)*1)=0,FO46,0)</f>
        <v>0</v>
      </c>
      <c r="FQ46" s="427"/>
      <c r="FR46" s="427"/>
      <c r="FS46" s="427">
        <f t="array" ref="FS46">IF(SUM((FR46=$FR$3:FR45)*1)=0,FR46,0)</f>
        <v>0</v>
      </c>
      <c r="FT46" s="427"/>
      <c r="FU46" s="427"/>
      <c r="FV46" s="427"/>
      <c r="FW46" s="427">
        <f t="array" ref="FW46">IF(SUM((FV46=$FV$3:FV45)*1)=0,FV46,0)</f>
        <v>0</v>
      </c>
      <c r="FX46" s="427"/>
      <c r="FY46" s="427"/>
      <c r="FZ46" s="427">
        <f t="array" ref="FZ46">IF(SUM((FY46=$FY$3:FY45)*1)=0,FY46,0)</f>
        <v>0</v>
      </c>
      <c r="GA46" s="427"/>
      <c r="GB46" s="427"/>
      <c r="GC46" s="427"/>
      <c r="GD46" s="427">
        <f t="array" ref="GD46">IF(SUM((GC46=$GC$3:GC45)*1)=0,GC46,0)</f>
        <v>0</v>
      </c>
      <c r="GE46" s="427"/>
      <c r="GF46" s="427"/>
      <c r="GG46" s="427">
        <f t="array" ref="GG46">IF(SUM((GF46=$GF$3:GF45)*1)=0,GF46,0)</f>
        <v>0</v>
      </c>
      <c r="GH46" s="427"/>
      <c r="GI46" s="427"/>
      <c r="GJ46" s="427"/>
      <c r="GK46" s="798">
        <f t="array" ref="GK46">IF(SUM((GJ46=$GJ$3:GJ45)*1)=0,GJ46,0)</f>
        <v>0</v>
      </c>
      <c r="GL46" s="427"/>
      <c r="GM46" s="427"/>
      <c r="GN46" s="798">
        <f t="array" ref="GN46">IF(SUM((GM46=$GM$3:GM45)*1)=0,GM46,0)</f>
        <v>0</v>
      </c>
      <c r="GO46" s="427"/>
      <c r="GP46" s="427"/>
      <c r="GQ46" s="427"/>
      <c r="GR46" s="798">
        <f t="array" ref="GR46">IF(SUM((GQ46=$GQ$3:GQ45)*1)=0,GQ46,0)</f>
        <v>0</v>
      </c>
      <c r="GS46" s="427"/>
      <c r="GT46" s="427"/>
      <c r="GU46" s="798">
        <f t="array" ref="GU46">IF(SUM((GT46=$GT$3:GT45)*1)=0,GT46,0)</f>
        <v>0</v>
      </c>
      <c r="GV46" s="427"/>
      <c r="GW46" s="427"/>
      <c r="GX46" s="427"/>
      <c r="GY46" s="798">
        <f t="array" ref="GY46">IF(SUM((GX46=$GX$3:GX45)*1)=0,GX46,0)</f>
        <v>0</v>
      </c>
      <c r="GZ46" s="427"/>
      <c r="HA46" s="427"/>
      <c r="HB46" s="798">
        <f t="array" ref="HB46">IF(SUM((HA46=$HA$3:HA45)*1)=0,HA46,0)</f>
        <v>0</v>
      </c>
      <c r="HC46" s="427"/>
      <c r="HD46" s="427"/>
      <c r="HE46" s="769" t="str">
        <f t="shared" si="130"/>
        <v/>
      </c>
      <c r="HF46" s="768" t="str">
        <f t="shared" ref="HF46" si="553">IF(HE46&lt;0,"Invadiu REP-BA-C","")</f>
        <v/>
      </c>
      <c r="HG46" s="769" t="str">
        <f t="shared" si="131"/>
        <v/>
      </c>
      <c r="HH46" s="768" t="str">
        <f t="shared" si="55"/>
        <v/>
      </c>
      <c r="HI46" s="728" t="str">
        <f t="shared" si="132"/>
        <v/>
      </c>
      <c r="HJ46" s="768" t="str">
        <f t="shared" si="56"/>
        <v/>
      </c>
      <c r="HK46" s="728" t="str">
        <f t="shared" si="133"/>
        <v/>
      </c>
      <c r="HL46" s="768" t="str">
        <f t="shared" si="57"/>
        <v/>
      </c>
      <c r="HM46" s="769" t="str">
        <f t="shared" si="441"/>
        <v/>
      </c>
      <c r="HN46" s="768" t="str">
        <f t="shared" ref="HN46" si="554">IF(HM46&lt;0,"Invadiu REP-BA-C","")</f>
        <v/>
      </c>
      <c r="HO46" s="769" t="str">
        <f t="shared" si="443"/>
        <v/>
      </c>
      <c r="HP46" s="768" t="str">
        <f t="shared" si="61"/>
        <v/>
      </c>
      <c r="HQ46" s="728" t="str">
        <f t="shared" si="444"/>
        <v/>
      </c>
      <c r="HR46" s="768" t="str">
        <f t="shared" si="63"/>
        <v/>
      </c>
      <c r="HS46" s="728" t="str">
        <f t="shared" si="445"/>
        <v/>
      </c>
      <c r="HT46" s="768" t="str">
        <f t="shared" si="65"/>
        <v/>
      </c>
      <c r="HU46" s="769" t="str">
        <f t="shared" si="446"/>
        <v/>
      </c>
      <c r="HV46" s="768" t="str">
        <f t="shared" ref="HV46" si="555">IF(HU46&lt;0,"Invadiu REP-BA-C","")</f>
        <v/>
      </c>
      <c r="HW46" s="769" t="str">
        <f t="shared" si="448"/>
        <v/>
      </c>
      <c r="HX46" s="768" t="str">
        <f t="shared" si="69"/>
        <v/>
      </c>
      <c r="HY46" s="728" t="str">
        <f t="shared" si="449"/>
        <v/>
      </c>
      <c r="HZ46" s="768" t="str">
        <f t="shared" si="71"/>
        <v/>
      </c>
      <c r="IA46" s="728" t="str">
        <f t="shared" si="450"/>
        <v/>
      </c>
      <c r="IB46" s="768" t="str">
        <f t="shared" si="73"/>
        <v/>
      </c>
      <c r="IC46" s="769" t="str">
        <f t="shared" si="451"/>
        <v/>
      </c>
      <c r="ID46" s="768" t="str">
        <f t="shared" ref="ID46" si="556">IF(IC46&lt;0,"Invadiu REP-BA-C","")</f>
        <v/>
      </c>
      <c r="IE46" s="769" t="str">
        <f t="shared" si="453"/>
        <v/>
      </c>
      <c r="IF46" s="768" t="str">
        <f t="shared" si="77"/>
        <v/>
      </c>
      <c r="IG46" s="728" t="str">
        <f t="shared" si="454"/>
        <v/>
      </c>
      <c r="IH46" s="768" t="str">
        <f t="shared" si="79"/>
        <v/>
      </c>
      <c r="II46" s="728" t="str">
        <f t="shared" si="455"/>
        <v/>
      </c>
      <c r="IJ46" s="768" t="str">
        <f t="shared" si="81"/>
        <v/>
      </c>
      <c r="IK46" s="769" t="str">
        <f t="shared" si="456"/>
        <v/>
      </c>
      <c r="IL46" s="768" t="str">
        <f t="shared" ref="IL46" si="557">IF(IK46&lt;0,"Invadiu REP-BA-C","")</f>
        <v/>
      </c>
      <c r="IM46" s="769" t="str">
        <f t="shared" si="458"/>
        <v/>
      </c>
      <c r="IN46" s="768" t="str">
        <f t="shared" si="85"/>
        <v/>
      </c>
      <c r="IO46" s="728" t="str">
        <f t="shared" si="459"/>
        <v/>
      </c>
      <c r="IP46" s="768" t="str">
        <f t="shared" si="87"/>
        <v/>
      </c>
      <c r="IQ46" s="728" t="str">
        <f t="shared" si="460"/>
        <v/>
      </c>
      <c r="IR46" s="768" t="str">
        <f t="shared" si="89"/>
        <v/>
      </c>
      <c r="IS46" s="769" t="str">
        <f t="shared" si="461"/>
        <v/>
      </c>
      <c r="IT46" s="768" t="str">
        <f t="shared" ref="IT46" si="558">IF(IS46&lt;0,"Invadiu REP-BA-C","")</f>
        <v/>
      </c>
      <c r="IU46" s="769" t="str">
        <f t="shared" si="463"/>
        <v/>
      </c>
      <c r="IV46" s="768" t="str">
        <f t="shared" si="93"/>
        <v/>
      </c>
      <c r="IW46" s="728" t="str">
        <f t="shared" si="464"/>
        <v/>
      </c>
      <c r="IX46" s="768" t="str">
        <f t="shared" si="95"/>
        <v/>
      </c>
      <c r="IY46" s="728" t="str">
        <f t="shared" si="465"/>
        <v/>
      </c>
      <c r="IZ46" s="768" t="str">
        <f t="shared" si="97"/>
        <v/>
      </c>
      <c r="JA46" s="769" t="str">
        <f t="shared" si="466"/>
        <v/>
      </c>
      <c r="JB46" s="768" t="str">
        <f t="shared" ref="JB46" si="559">IF(JA46&lt;0,"Invadiu REP-BA-C","")</f>
        <v/>
      </c>
      <c r="JC46" s="769" t="str">
        <f t="shared" si="468"/>
        <v/>
      </c>
      <c r="JD46" s="768" t="str">
        <f t="shared" si="101"/>
        <v/>
      </c>
      <c r="JE46" s="728" t="str">
        <f t="shared" si="469"/>
        <v/>
      </c>
      <c r="JF46" s="768" t="str">
        <f t="shared" si="103"/>
        <v/>
      </c>
      <c r="JG46" s="728" t="str">
        <f t="shared" si="470"/>
        <v/>
      </c>
      <c r="JH46" s="768" t="str">
        <f t="shared" si="105"/>
        <v/>
      </c>
      <c r="JI46" s="769" t="str">
        <f t="shared" si="471"/>
        <v/>
      </c>
      <c r="JJ46" s="768" t="str">
        <f t="shared" ref="JJ46" si="560">IF(JI46&lt;0,"Invadiu REP-BA-C","")</f>
        <v/>
      </c>
      <c r="JK46" s="769" t="str">
        <f t="shared" si="473"/>
        <v/>
      </c>
      <c r="JL46" s="768" t="str">
        <f t="shared" si="109"/>
        <v/>
      </c>
      <c r="JM46" s="728" t="str">
        <f t="shared" si="474"/>
        <v/>
      </c>
      <c r="JN46" s="768" t="str">
        <f t="shared" si="111"/>
        <v/>
      </c>
      <c r="JO46" s="728" t="str">
        <f t="shared" si="475"/>
        <v/>
      </c>
      <c r="JP46" s="768" t="str">
        <f t="shared" si="113"/>
        <v/>
      </c>
      <c r="JQ46" s="769" t="str">
        <f t="shared" si="476"/>
        <v/>
      </c>
      <c r="JR46" s="768" t="str">
        <f t="shared" ref="JR46" si="561">IF(JQ46&lt;0,"Invadiu REP-BA-C","")</f>
        <v/>
      </c>
      <c r="JS46" s="769" t="str">
        <f t="shared" si="478"/>
        <v/>
      </c>
      <c r="JT46" s="768" t="str">
        <f t="shared" si="117"/>
        <v/>
      </c>
      <c r="JU46" s="728" t="str">
        <f t="shared" si="479"/>
        <v/>
      </c>
      <c r="JV46" s="768" t="str">
        <f t="shared" si="119"/>
        <v/>
      </c>
      <c r="JW46" s="728" t="str">
        <f t="shared" si="480"/>
        <v/>
      </c>
      <c r="JX46" s="768" t="str">
        <f t="shared" si="121"/>
        <v/>
      </c>
      <c r="JY46" s="768" t="str">
        <f t="shared" si="122"/>
        <v/>
      </c>
      <c r="JZ46" s="485" t="str">
        <f>IF(JY46="","",IF(AND(C46=$C$164,JY46&lt;&gt;""),Verificarcpf(D46),IF(AND(C46=$C$165,JY46&lt;&gt;""),VerificarCNPJ(D46))))</f>
        <v/>
      </c>
      <c r="KA46" s="768" t="str">
        <f t="shared" si="123"/>
        <v/>
      </c>
      <c r="KB46" s="485">
        <f t="shared" si="124"/>
        <v>0</v>
      </c>
      <c r="KC46" s="768">
        <f t="shared" si="125"/>
        <v>0</v>
      </c>
      <c r="KD46" s="485">
        <f t="shared" si="126"/>
        <v>0</v>
      </c>
      <c r="KE46" s="448"/>
      <c r="KF46" s="548"/>
      <c r="KG46" s="548"/>
      <c r="KH46" s="548"/>
      <c r="KI46" s="548"/>
      <c r="KJ46" s="548" t="str">
        <f t="shared" si="128"/>
        <v/>
      </c>
      <c r="KK46" s="548"/>
      <c r="KL46" s="548"/>
      <c r="KM46" s="548">
        <f t="array" ref="KM46">IF(SUM((KL46=$KL$3:KL45)*1)=0,KL46,0)</f>
        <v>0</v>
      </c>
      <c r="KN46" s="548"/>
      <c r="KO46" s="548"/>
      <c r="KP46" s="548"/>
      <c r="KQ46" s="548"/>
      <c r="KR46" s="548" t="str">
        <f t="shared" si="129"/>
        <v/>
      </c>
      <c r="KS46" s="548"/>
      <c r="KT46" s="548"/>
      <c r="KU46" s="548"/>
      <c r="KV46" s="548"/>
      <c r="KW46" s="548"/>
      <c r="KX46" s="548"/>
      <c r="KY46" s="548"/>
      <c r="KZ46" s="548"/>
      <c r="LA46" s="548"/>
      <c r="LB46" s="548"/>
      <c r="LC46" s="485" t="str">
        <f t="shared" si="142"/>
        <v/>
      </c>
      <c r="LD46" s="548"/>
      <c r="LE46" s="548"/>
      <c r="LF46" s="548"/>
      <c r="LG46" s="548"/>
      <c r="LH46" s="548"/>
      <c r="LI46" s="548"/>
      <c r="LJ46" s="548"/>
      <c r="LK46" s="548"/>
      <c r="LL46" s="548"/>
      <c r="LM46" s="548"/>
      <c r="LN46" s="548"/>
      <c r="LO46" s="548"/>
      <c r="LP46" s="485" t="str">
        <f t="shared" si="143"/>
        <v/>
      </c>
      <c r="LQ46" s="548"/>
      <c r="LR46" s="548"/>
      <c r="LS46" s="548"/>
      <c r="LT46" s="548"/>
      <c r="LU46" s="548"/>
      <c r="LV46" s="548"/>
      <c r="LW46" s="548"/>
      <c r="LX46" s="548"/>
      <c r="LY46" s="548"/>
      <c r="LZ46" s="548"/>
      <c r="MA46" s="548"/>
      <c r="MB46" s="548"/>
      <c r="MC46" s="485" t="str">
        <f t="shared" si="144"/>
        <v/>
      </c>
      <c r="MD46" s="548"/>
      <c r="ME46" s="548"/>
      <c r="MF46" s="548"/>
      <c r="MG46" s="548"/>
      <c r="MH46" s="548"/>
      <c r="MI46" s="548"/>
      <c r="MJ46" s="548"/>
      <c r="MK46" s="548"/>
      <c r="ML46" s="548"/>
      <c r="MM46" s="548"/>
      <c r="MN46" s="548"/>
      <c r="MO46" s="548"/>
      <c r="MP46" s="485" t="str">
        <f t="shared" si="145"/>
        <v/>
      </c>
      <c r="MQ46" s="548"/>
      <c r="MR46" s="548"/>
      <c r="MS46" s="548"/>
      <c r="MT46" s="548"/>
      <c r="MU46" s="548"/>
      <c r="MV46" s="548"/>
      <c r="MW46" s="548"/>
      <c r="MX46" s="548"/>
      <c r="MY46" s="548"/>
      <c r="MZ46" s="548"/>
      <c r="NA46" s="548"/>
      <c r="NB46" s="548"/>
      <c r="NC46" s="485" t="str">
        <f t="shared" si="146"/>
        <v/>
      </c>
      <c r="ND46" s="548"/>
      <c r="NE46" s="548"/>
      <c r="NF46" s="548"/>
      <c r="NG46" s="548"/>
      <c r="NH46" s="548"/>
      <c r="NI46" s="548"/>
      <c r="NJ46" s="548"/>
      <c r="NK46" s="548"/>
      <c r="NL46" s="548"/>
      <c r="NM46" s="548"/>
      <c r="NN46" s="548"/>
      <c r="NO46" s="548"/>
      <c r="NP46" s="485" t="str">
        <f t="shared" si="147"/>
        <v/>
      </c>
      <c r="NQ46" s="548"/>
      <c r="NR46" s="548"/>
      <c r="NS46" s="548"/>
      <c r="NT46" s="548"/>
      <c r="NU46" s="548"/>
      <c r="NV46" s="548"/>
      <c r="NW46" s="548"/>
      <c r="NX46" s="548"/>
      <c r="NY46" s="548"/>
      <c r="NZ46" s="548"/>
      <c r="OA46" s="548"/>
      <c r="OB46" s="548"/>
      <c r="OC46" s="485" t="str">
        <f t="shared" si="148"/>
        <v/>
      </c>
      <c r="OD46" s="548"/>
      <c r="OE46" s="548"/>
      <c r="OF46" s="548"/>
      <c r="OG46" s="548"/>
      <c r="OH46" s="548"/>
      <c r="OI46" s="548"/>
      <c r="OJ46" s="548"/>
      <c r="OK46" s="548"/>
      <c r="OL46" s="548"/>
      <c r="OM46" s="548"/>
      <c r="ON46" s="548"/>
      <c r="OO46" s="548"/>
      <c r="OP46" s="548"/>
      <c r="OQ46" s="548"/>
      <c r="OR46" s="548"/>
      <c r="OS46" s="548"/>
      <c r="OT46" s="548"/>
      <c r="OU46" s="548"/>
      <c r="OV46" s="548"/>
      <c r="OW46" s="548"/>
      <c r="OX46" s="548"/>
      <c r="OY46" s="548"/>
      <c r="OZ46" s="548"/>
      <c r="PA46" s="548"/>
      <c r="PB46" s="548"/>
      <c r="PC46" s="548"/>
      <c r="PD46" s="548"/>
      <c r="PE46" s="548"/>
      <c r="PF46" s="548"/>
      <c r="PG46" s="548"/>
      <c r="PH46" s="548"/>
      <c r="PI46" s="548"/>
      <c r="PJ46" s="548"/>
      <c r="PK46" s="548"/>
      <c r="PL46" s="548"/>
      <c r="PM46" s="548"/>
      <c r="PN46" s="548"/>
      <c r="PO46" s="548"/>
      <c r="PP46" s="548"/>
      <c r="PQ46" s="548"/>
      <c r="PR46" s="548"/>
      <c r="PS46" s="548"/>
      <c r="PT46" s="548"/>
      <c r="PU46" s="548"/>
      <c r="PV46" s="548"/>
      <c r="PW46" s="548"/>
      <c r="PX46" s="548"/>
      <c r="PY46" s="548"/>
      <c r="PZ46" s="548"/>
      <c r="QA46" s="548"/>
      <c r="QB46" s="548"/>
      <c r="QC46" s="548"/>
      <c r="QD46" s="548"/>
      <c r="QE46" s="548"/>
      <c r="QF46" s="548"/>
      <c r="QG46" s="548"/>
      <c r="QH46" s="548"/>
      <c r="QI46" s="548"/>
      <c r="QJ46" s="548"/>
      <c r="QK46" s="548"/>
      <c r="QL46" s="548"/>
      <c r="QM46" s="548"/>
      <c r="QN46" s="548"/>
      <c r="QO46" s="548"/>
      <c r="QP46" s="548"/>
      <c r="QQ46" s="1009"/>
      <c r="QR46" s="548"/>
      <c r="QS46" s="548"/>
      <c r="QT46" s="548"/>
      <c r="QU46" s="548"/>
      <c r="QV46" s="548"/>
      <c r="QW46" s="548"/>
      <c r="QX46" s="548"/>
      <c r="QY46" s="548"/>
      <c r="QZ46" s="548"/>
      <c r="RA46" s="548"/>
      <c r="RB46" s="548"/>
      <c r="RC46" s="548"/>
      <c r="RD46" s="548"/>
      <c r="RE46" s="548"/>
      <c r="RF46" s="548"/>
      <c r="RG46" s="548"/>
      <c r="RH46" s="548"/>
      <c r="RI46" s="548"/>
      <c r="RJ46" s="548"/>
      <c r="RK46" s="548"/>
      <c r="RL46" s="548"/>
      <c r="RM46" s="548"/>
      <c r="RN46" s="548"/>
      <c r="RO46" s="548"/>
      <c r="RP46" s="548"/>
      <c r="RQ46" s="548"/>
      <c r="RR46" s="548"/>
      <c r="RS46" s="548"/>
      <c r="RT46" s="548"/>
      <c r="RU46" s="548"/>
      <c r="RV46" s="548"/>
      <c r="RW46" s="548"/>
      <c r="RX46" s="548"/>
      <c r="RY46" s="548"/>
      <c r="RZ46" s="548"/>
      <c r="SA46" s="548"/>
      <c r="SB46" s="548"/>
      <c r="SC46" s="548"/>
      <c r="SD46" s="548"/>
      <c r="SE46" s="548"/>
      <c r="SF46" s="548"/>
      <c r="SG46" s="548"/>
      <c r="SH46" s="548"/>
      <c r="SI46" s="548"/>
      <c r="SJ46" s="548"/>
      <c r="SK46" s="548"/>
      <c r="SL46" s="548"/>
      <c r="SM46" s="548"/>
      <c r="SN46" s="548"/>
      <c r="SO46" s="548"/>
      <c r="SP46" s="548"/>
      <c r="SQ46" s="548"/>
      <c r="SR46" s="548"/>
      <c r="SS46" s="548"/>
      <c r="ST46" s="548"/>
      <c r="SU46" s="548"/>
      <c r="SV46" s="548"/>
      <c r="SW46" s="548"/>
      <c r="SX46" s="548"/>
      <c r="SY46" s="548"/>
      <c r="SZ46" s="548"/>
      <c r="TA46" s="548"/>
      <c r="TB46" s="548"/>
      <c r="TC46" s="548"/>
      <c r="TD46" s="548"/>
      <c r="TE46" s="548"/>
      <c r="TF46" s="548"/>
      <c r="TG46" s="548"/>
      <c r="TH46" s="548"/>
      <c r="TI46" s="548"/>
      <c r="TJ46" s="548"/>
      <c r="TK46" s="548"/>
      <c r="TL46" s="548"/>
      <c r="TM46" s="548"/>
      <c r="TN46" s="548"/>
      <c r="TO46" s="548"/>
      <c r="TP46" s="548"/>
      <c r="TQ46" s="548"/>
      <c r="TR46" s="548"/>
      <c r="TS46" s="548"/>
      <c r="TT46" s="548"/>
      <c r="TU46" s="548"/>
      <c r="TV46" s="548"/>
      <c r="TW46" s="548"/>
      <c r="TX46" s="548"/>
      <c r="TY46" s="548"/>
      <c r="TZ46" s="548"/>
      <c r="UA46" s="548"/>
      <c r="UB46" s="548"/>
      <c r="UC46" s="548"/>
      <c r="UD46" s="548"/>
      <c r="UE46" s="548"/>
      <c r="UF46" s="548"/>
      <c r="UG46" s="548"/>
      <c r="UH46" s="548"/>
      <c r="UI46" s="548"/>
      <c r="UJ46" s="548"/>
      <c r="UK46" s="548"/>
      <c r="UL46" s="548"/>
      <c r="UM46" s="548"/>
      <c r="UN46" s="548"/>
      <c r="UO46" s="548"/>
      <c r="UP46" s="548"/>
      <c r="UQ46" s="548"/>
      <c r="UR46" s="548"/>
      <c r="US46" s="548"/>
      <c r="UT46" s="548"/>
      <c r="UU46" s="548"/>
      <c r="UV46" s="548"/>
      <c r="UW46" s="548"/>
      <c r="UX46" s="548"/>
      <c r="UY46" s="548"/>
      <c r="UZ46" s="548"/>
      <c r="VA46" s="548"/>
      <c r="VB46" s="548"/>
      <c r="VC46" s="548"/>
      <c r="VD46" s="548"/>
      <c r="VE46" s="548"/>
      <c r="VF46" s="548"/>
      <c r="VG46" s="548"/>
      <c r="VH46" s="548"/>
      <c r="VI46" s="548"/>
      <c r="VJ46" s="548"/>
      <c r="VK46" s="548"/>
      <c r="VL46" s="548"/>
      <c r="VM46" s="548"/>
      <c r="VN46" s="548"/>
      <c r="VO46" s="548"/>
      <c r="VP46" s="548"/>
      <c r="VQ46" s="548"/>
      <c r="VR46" s="548"/>
      <c r="VS46" s="548"/>
      <c r="VT46" s="548"/>
      <c r="VU46" s="548"/>
      <c r="VV46" s="548"/>
      <c r="VW46" s="548"/>
      <c r="VX46" s="548"/>
      <c r="VY46" s="548"/>
      <c r="VZ46" s="548"/>
      <c r="WA46" s="548"/>
      <c r="WB46" s="548"/>
      <c r="WC46" s="548"/>
      <c r="WD46" s="548"/>
      <c r="WE46" s="548"/>
      <c r="WF46" s="548"/>
      <c r="WG46" s="548"/>
      <c r="WH46" s="548"/>
      <c r="WI46" s="548"/>
      <c r="WJ46" s="548"/>
      <c r="WK46" s="548"/>
      <c r="WL46" s="548"/>
      <c r="WM46" s="548"/>
      <c r="WN46" s="548"/>
      <c r="WO46" s="548"/>
      <c r="WP46" s="548"/>
      <c r="WQ46" s="548"/>
      <c r="WR46" s="548"/>
      <c r="WS46" s="548"/>
      <c r="WT46" s="548"/>
      <c r="WU46" s="548"/>
      <c r="WV46" s="548"/>
      <c r="WW46" s="548"/>
      <c r="WX46" s="548"/>
      <c r="WY46" s="548"/>
      <c r="WZ46" s="548"/>
      <c r="XA46" s="548"/>
      <c r="XB46" s="548"/>
      <c r="XC46" s="548"/>
      <c r="XD46" s="548"/>
      <c r="XE46" s="548"/>
      <c r="XF46" s="548"/>
      <c r="XG46" s="548"/>
      <c r="XH46" s="548"/>
      <c r="XI46" s="548"/>
      <c r="XJ46" s="548"/>
      <c r="XK46" s="548"/>
      <c r="XL46" s="548"/>
      <c r="XM46" s="548"/>
      <c r="XN46" s="548"/>
      <c r="XO46" s="548"/>
      <c r="XP46" s="548"/>
      <c r="XQ46" s="548"/>
      <c r="XR46" s="548"/>
      <c r="XS46" s="548"/>
      <c r="XT46" s="548"/>
      <c r="XU46" s="548"/>
      <c r="XV46" s="548"/>
      <c r="XW46" s="548"/>
      <c r="XX46" s="548"/>
      <c r="XY46" s="548"/>
      <c r="XZ46" s="548"/>
      <c r="YA46" s="548"/>
      <c r="YB46" s="548"/>
      <c r="YC46" s="548"/>
      <c r="YD46" s="548"/>
      <c r="YE46" s="548"/>
      <c r="YF46" s="548"/>
      <c r="YG46" s="548"/>
      <c r="YH46" s="548"/>
      <c r="YI46" s="548"/>
      <c r="YJ46" s="548"/>
      <c r="YK46" s="548"/>
      <c r="YL46" s="548"/>
      <c r="YM46" s="548"/>
      <c r="YN46" s="548"/>
      <c r="YO46" s="548"/>
      <c r="YP46" s="548"/>
      <c r="YQ46" s="548"/>
      <c r="YR46" s="548"/>
      <c r="YS46" s="548"/>
      <c r="YT46" s="548"/>
      <c r="YU46" s="548"/>
      <c r="YV46" s="548"/>
      <c r="YW46" s="548"/>
      <c r="YX46" s="548"/>
      <c r="YY46" s="548"/>
      <c r="YZ46" s="548"/>
      <c r="ZA46" s="548"/>
      <c r="ZB46" s="548"/>
      <c r="ZC46" s="548"/>
      <c r="ZD46" s="548"/>
      <c r="ZE46" s="548"/>
      <c r="ZF46" s="548"/>
      <c r="ZG46" s="548"/>
      <c r="ZH46" s="548"/>
      <c r="ZI46" s="548"/>
      <c r="ZJ46" s="548"/>
      <c r="ZK46" s="548"/>
      <c r="ZL46" s="548"/>
      <c r="ZM46" s="548"/>
      <c r="ZN46" s="548"/>
      <c r="ZO46" s="548"/>
      <c r="ZP46" s="548"/>
      <c r="ZQ46" s="548"/>
      <c r="ZR46" s="548"/>
      <c r="ZS46" s="548"/>
      <c r="ZT46" s="548"/>
      <c r="ZU46" s="548"/>
      <c r="ZV46" s="548"/>
      <c r="ZW46" s="548"/>
      <c r="ZX46" s="548"/>
      <c r="ZY46" s="548"/>
      <c r="ZZ46" s="548"/>
      <c r="AAA46" s="548"/>
      <c r="AAB46" s="548"/>
      <c r="AAC46" s="548"/>
      <c r="AAD46" s="548"/>
      <c r="AAE46" s="548"/>
      <c r="AAF46" s="548"/>
      <c r="AAG46" s="548"/>
      <c r="AAH46" s="548"/>
      <c r="AAI46" s="548"/>
      <c r="AAJ46" s="548"/>
      <c r="AAK46" s="548"/>
      <c r="AAL46" s="548"/>
      <c r="AAM46" s="548"/>
      <c r="AAN46" s="548"/>
      <c r="AAO46" s="548"/>
      <c r="AAP46" s="548"/>
      <c r="AAQ46" s="548"/>
      <c r="AAR46" s="548"/>
      <c r="AAS46" s="548"/>
      <c r="AAT46" s="548"/>
      <c r="AAU46" s="548"/>
      <c r="AAV46" s="548"/>
      <c r="AAW46" s="548"/>
      <c r="AAX46" s="548"/>
      <c r="AAY46" s="548"/>
      <c r="AAZ46" s="548"/>
      <c r="ABA46" s="548"/>
      <c r="ABB46" s="548"/>
      <c r="ABC46" s="548"/>
      <c r="ABD46" s="548"/>
      <c r="ABE46" s="548"/>
      <c r="ABF46" s="548"/>
      <c r="ABG46" s="548"/>
      <c r="ABH46" s="548"/>
      <c r="ABI46" s="548"/>
      <c r="ABJ46" s="548"/>
      <c r="ABK46" s="548"/>
      <c r="ABL46" s="548"/>
      <c r="ABM46" s="548"/>
      <c r="ABN46" s="548"/>
      <c r="ABO46" s="548"/>
      <c r="ABP46" s="548"/>
      <c r="ABQ46" s="548"/>
      <c r="ABR46" s="548"/>
      <c r="ABS46" s="548"/>
    </row>
    <row r="47" spans="1:747" customFormat="1" ht="15" customHeight="1" x14ac:dyDescent="0.2">
      <c r="A47" s="424" t="str">
        <f t="shared" si="149"/>
        <v/>
      </c>
      <c r="B47" s="415"/>
      <c r="C47" s="525"/>
      <c r="D47" s="750"/>
      <c r="E47" s="416" t="str">
        <f t="shared" si="393"/>
        <v/>
      </c>
      <c r="F47" s="527" t="str">
        <f t="shared" si="394"/>
        <v/>
      </c>
      <c r="G47" s="417"/>
      <c r="H47" s="583" t="str">
        <f t="shared" si="395"/>
        <v/>
      </c>
      <c r="I47" s="607"/>
      <c r="J47" s="438"/>
      <c r="K47" s="437"/>
      <c r="L47" s="438"/>
      <c r="M47" s="415"/>
      <c r="N47" s="420"/>
      <c r="O47" s="421"/>
      <c r="P47" s="561"/>
      <c r="Q47" s="422"/>
      <c r="R47" s="561" t="str">
        <f t="shared" si="396"/>
        <v/>
      </c>
      <c r="S47" s="664"/>
      <c r="T47" s="663"/>
      <c r="U47" s="580">
        <f t="shared" si="397"/>
        <v>0</v>
      </c>
      <c r="V47" s="418"/>
      <c r="W47" s="582" t="str">
        <f t="shared" si="398"/>
        <v/>
      </c>
      <c r="X47" s="479" t="str">
        <f t="shared" si="399"/>
        <v/>
      </c>
      <c r="Y47" s="582" t="str">
        <f t="shared" si="400"/>
        <v/>
      </c>
      <c r="Z47" s="317" t="str">
        <f t="shared" si="401"/>
        <v/>
      </c>
      <c r="AA47" s="317" t="str">
        <f t="shared" si="402"/>
        <v/>
      </c>
      <c r="AB47" s="317">
        <f t="shared" si="403"/>
        <v>0</v>
      </c>
      <c r="AC47" s="317" t="str">
        <f t="shared" si="404"/>
        <v/>
      </c>
      <c r="AD47" s="479"/>
      <c r="AE47" s="479"/>
      <c r="AF47" s="479"/>
      <c r="AG47" s="423"/>
      <c r="AH47" s="820"/>
      <c r="AI47" s="480"/>
      <c r="AJ47" s="660"/>
      <c r="AK47" s="524" t="str">
        <f t="shared" si="405"/>
        <v/>
      </c>
      <c r="AL47" s="731">
        <f>SUMIF($J$4:$J$130,"Futuro",$S$4:$S$130)</f>
        <v>0</v>
      </c>
      <c r="AM47" s="732">
        <f>SUMIF($J$4:$J$130,"Futuro",$T$4:$T$130)</f>
        <v>0</v>
      </c>
      <c r="AN47" s="426">
        <f t="shared" si="406"/>
        <v>0</v>
      </c>
      <c r="AO47" s="427" t="str">
        <f t="shared" si="407"/>
        <v/>
      </c>
      <c r="AP47" s="426" t="str">
        <f t="shared" si="408"/>
        <v/>
      </c>
      <c r="AQ47" s="426"/>
      <c r="AR47" s="426"/>
      <c r="AS47" s="428"/>
      <c r="AT47" s="429"/>
      <c r="AU47" s="430"/>
      <c r="AV47" s="431"/>
      <c r="AW47" s="432"/>
      <c r="AX47" s="430"/>
      <c r="AY47" s="431">
        <f t="shared" si="409"/>
        <v>0</v>
      </c>
      <c r="AZ47" s="426"/>
      <c r="BA47" s="435" t="str">
        <f t="shared" si="410"/>
        <v/>
      </c>
      <c r="BB47" s="435"/>
      <c r="BC47" s="426"/>
      <c r="BD47" s="426">
        <f t="array" ref="BD47">IF(SUM((BC47=$BC$3:BC46)*1)=0,BC47,0)</f>
        <v>0</v>
      </c>
      <c r="BE47" s="426"/>
      <c r="BF47" s="426"/>
      <c r="BG47" s="426">
        <f t="array" ref="BG47">IF(SUM((BF47=$BF$3:BF46)*1)=0,BF47,0)</f>
        <v>0</v>
      </c>
      <c r="BH47" s="426"/>
      <c r="BI47" s="426"/>
      <c r="BJ47" s="426"/>
      <c r="BK47" s="426"/>
      <c r="BL47" s="426"/>
      <c r="BM47" s="426"/>
      <c r="BN47" s="426"/>
      <c r="BO47" s="426"/>
      <c r="BP47" s="433">
        <f t="shared" si="411"/>
        <v>0</v>
      </c>
      <c r="BQ47" s="426"/>
      <c r="BR47" s="434"/>
      <c r="BS47" s="426"/>
      <c r="BT47" s="433"/>
      <c r="BU47" s="435"/>
      <c r="BV47" s="435" t="str">
        <f t="shared" si="412"/>
        <v/>
      </c>
      <c r="BW47" s="435" t="str">
        <f t="shared" si="38"/>
        <v/>
      </c>
      <c r="BX47" s="435"/>
      <c r="BY47" s="435"/>
      <c r="BZ47" s="435"/>
      <c r="CA47" s="435"/>
      <c r="CB47" s="435"/>
      <c r="CC47" s="435"/>
      <c r="CD47" s="435"/>
      <c r="CE47" s="435"/>
      <c r="CF47" s="435"/>
      <c r="CG47" s="435"/>
      <c r="CH47" s="435"/>
      <c r="CI47" s="435"/>
      <c r="CJ47" s="426" t="str">
        <f t="shared" si="39"/>
        <v/>
      </c>
      <c r="CK47" s="435"/>
      <c r="CL47" s="426"/>
      <c r="CM47" s="435"/>
      <c r="CN47" s="426"/>
      <c r="CO47" s="426"/>
      <c r="CP47" s="426"/>
      <c r="CQ47" s="426"/>
      <c r="CR47" s="426"/>
      <c r="CS47" s="426"/>
      <c r="CT47" s="426"/>
      <c r="CU47" s="426"/>
      <c r="CV47" s="426"/>
      <c r="CW47" s="426"/>
      <c r="CX47" s="426"/>
      <c r="CY47" s="426">
        <v>44</v>
      </c>
      <c r="CZ47" s="426"/>
      <c r="DA47" s="426"/>
      <c r="DB47" s="426"/>
      <c r="DC47" s="426" t="s">
        <v>787</v>
      </c>
      <c r="DD47" s="426" t="s">
        <v>947</v>
      </c>
      <c r="DE47" s="435" t="str">
        <f t="shared" si="40"/>
        <v/>
      </c>
      <c r="DF47" s="435" t="str">
        <f t="shared" si="41"/>
        <v/>
      </c>
      <c r="DG47" s="435" t="str">
        <f t="shared" si="42"/>
        <v/>
      </c>
      <c r="DH47" s="435" t="str">
        <f t="shared" si="43"/>
        <v/>
      </c>
      <c r="DI47" s="435" t="str">
        <f t="shared" si="44"/>
        <v/>
      </c>
      <c r="DJ47" s="435" t="str">
        <f t="shared" si="45"/>
        <v/>
      </c>
      <c r="DK47" s="435" t="str">
        <f t="shared" si="413"/>
        <v/>
      </c>
      <c r="DL47" s="435" t="str">
        <f t="shared" si="414"/>
        <v/>
      </c>
      <c r="DM47" s="435" t="str">
        <f t="shared" si="46"/>
        <v/>
      </c>
      <c r="DN47" s="435" t="str">
        <f t="shared" si="47"/>
        <v/>
      </c>
      <c r="DO47" s="435" t="str">
        <f t="shared" si="415"/>
        <v/>
      </c>
      <c r="DP47" s="435" t="str">
        <f t="shared" si="416"/>
        <v/>
      </c>
      <c r="DQ47" s="435" t="str">
        <f t="shared" si="48"/>
        <v/>
      </c>
      <c r="DR47" s="435" t="str">
        <f t="shared" si="49"/>
        <v/>
      </c>
      <c r="DS47" s="435" t="str">
        <f t="shared" si="417"/>
        <v/>
      </c>
      <c r="DT47" s="435" t="str">
        <f t="shared" si="418"/>
        <v/>
      </c>
      <c r="DU47" s="435" t="str">
        <f t="shared" si="50"/>
        <v/>
      </c>
      <c r="DV47" s="435" t="str">
        <f t="shared" si="51"/>
        <v/>
      </c>
      <c r="DW47" s="435" t="str">
        <f t="shared" si="419"/>
        <v/>
      </c>
      <c r="DX47" s="435" t="str">
        <f t="shared" si="420"/>
        <v/>
      </c>
      <c r="DY47" s="435" t="str">
        <f t="shared" si="52"/>
        <v/>
      </c>
      <c r="DZ47" s="435" t="str">
        <f t="shared" si="53"/>
        <v/>
      </c>
      <c r="EA47" s="435" t="str">
        <f t="shared" si="421"/>
        <v/>
      </c>
      <c r="EB47" s="435" t="str">
        <f t="shared" si="422"/>
        <v/>
      </c>
      <c r="EC47" s="435" t="str">
        <f t="shared" si="423"/>
        <v/>
      </c>
      <c r="ED47" s="435" t="str">
        <f t="shared" si="424"/>
        <v/>
      </c>
      <c r="EE47" s="435" t="str">
        <f t="shared" si="425"/>
        <v/>
      </c>
      <c r="EF47" s="435" t="str">
        <f t="shared" si="426"/>
        <v/>
      </c>
      <c r="EG47" s="435" t="str">
        <f t="shared" si="427"/>
        <v/>
      </c>
      <c r="EH47" s="435" t="str">
        <f t="shared" si="428"/>
        <v/>
      </c>
      <c r="EI47" s="435" t="str">
        <f t="shared" si="429"/>
        <v/>
      </c>
      <c r="EJ47" s="435" t="str">
        <f t="shared" si="430"/>
        <v/>
      </c>
      <c r="EK47" s="485"/>
      <c r="EL47" s="485"/>
      <c r="EM47" s="485"/>
      <c r="EN47" s="485"/>
      <c r="EO47" s="448"/>
      <c r="EP47" s="448"/>
      <c r="EQ47" s="448"/>
      <c r="ER47" s="448"/>
      <c r="ES47" s="448"/>
      <c r="ET47" s="435"/>
      <c r="EU47" s="435"/>
      <c r="EV47" s="435"/>
      <c r="EW47" s="435"/>
      <c r="EX47" s="426"/>
      <c r="EY47" s="426"/>
      <c r="EZ47" s="426"/>
      <c r="FA47" s="427"/>
      <c r="FB47" s="427">
        <f t="array" ref="FB47">IF(SUM((FA47=$FA$3:FA46)*1)=0,FA47,0)</f>
        <v>0</v>
      </c>
      <c r="FC47" s="427"/>
      <c r="FD47" s="427"/>
      <c r="FE47" s="427">
        <f t="array" ref="FE47">IF(SUM((FD47=$FD$3:FD46)*1)=0,FD47,0)</f>
        <v>0</v>
      </c>
      <c r="FF47" s="427"/>
      <c r="FG47" s="427"/>
      <c r="FH47" s="427"/>
      <c r="FI47" s="427">
        <f t="array" ref="FI47">IF(SUM((FH47=$FH$3:FH46)*1)=0,FH47,0)</f>
        <v>0</v>
      </c>
      <c r="FJ47" s="427"/>
      <c r="FK47" s="427"/>
      <c r="FL47" s="427">
        <f t="array" ref="FL47">IF(SUM((FK47=$FK$3:FK46)*1)=0,FK47,0)</f>
        <v>0</v>
      </c>
      <c r="FM47" s="427"/>
      <c r="FN47" s="427"/>
      <c r="FO47" s="427"/>
      <c r="FP47" s="427">
        <f t="array" ref="FP47">IF(SUM((FO47=$FO$3:FO46)*1)=0,FO47,0)</f>
        <v>0</v>
      </c>
      <c r="FQ47" s="427"/>
      <c r="FR47" s="427"/>
      <c r="FS47" s="427">
        <f t="array" ref="FS47">IF(SUM((FR47=$FR$3:FR46)*1)=0,FR47,0)</f>
        <v>0</v>
      </c>
      <c r="FT47" s="427"/>
      <c r="FU47" s="427"/>
      <c r="FV47" s="427"/>
      <c r="FW47" s="427">
        <f t="array" ref="FW47">IF(SUM((FV47=$FV$3:FV46)*1)=0,FV47,0)</f>
        <v>0</v>
      </c>
      <c r="FX47" s="427"/>
      <c r="FY47" s="427"/>
      <c r="FZ47" s="427">
        <f t="array" ref="FZ47">IF(SUM((FY47=$FY$3:FY46)*1)=0,FY47,0)</f>
        <v>0</v>
      </c>
      <c r="GA47" s="427"/>
      <c r="GB47" s="427"/>
      <c r="GC47" s="427"/>
      <c r="GD47" s="427">
        <f t="array" ref="GD47">IF(SUM((GC47=$GC$3:GC46)*1)=0,GC47,0)</f>
        <v>0</v>
      </c>
      <c r="GE47" s="427"/>
      <c r="GF47" s="427"/>
      <c r="GG47" s="427">
        <f t="array" ref="GG47">IF(SUM((GF47=$GF$3:GF46)*1)=0,GF47,0)</f>
        <v>0</v>
      </c>
      <c r="GH47" s="427"/>
      <c r="GI47" s="427"/>
      <c r="GJ47" s="427"/>
      <c r="GK47" s="798">
        <f t="array" ref="GK47">IF(SUM((GJ47=$GJ$3:GJ46)*1)=0,GJ47,0)</f>
        <v>0</v>
      </c>
      <c r="GL47" s="427"/>
      <c r="GM47" s="427"/>
      <c r="GN47" s="798">
        <f t="array" ref="GN47">IF(SUM((GM47=$GM$3:GM46)*1)=0,GM47,0)</f>
        <v>0</v>
      </c>
      <c r="GO47" s="427"/>
      <c r="GP47" s="427"/>
      <c r="GQ47" s="427"/>
      <c r="GR47" s="798">
        <f t="array" ref="GR47">IF(SUM((GQ47=$GQ$3:GQ46)*1)=0,GQ47,0)</f>
        <v>0</v>
      </c>
      <c r="GS47" s="427"/>
      <c r="GT47" s="427"/>
      <c r="GU47" s="798">
        <f t="array" ref="GU47">IF(SUM((GT47=$GT$3:GT46)*1)=0,GT47,0)</f>
        <v>0</v>
      </c>
      <c r="GV47" s="427"/>
      <c r="GW47" s="427"/>
      <c r="GX47" s="427"/>
      <c r="GY47" s="798">
        <f t="array" ref="GY47">IF(SUM((GX47=$GX$3:GX46)*1)=0,GX47,0)</f>
        <v>0</v>
      </c>
      <c r="GZ47" s="427"/>
      <c r="HA47" s="427"/>
      <c r="HB47" s="798">
        <f t="array" ref="HB47">IF(SUM((HA47=$HA$3:HA46)*1)=0,HA47,0)</f>
        <v>0</v>
      </c>
      <c r="HC47" s="427"/>
      <c r="HD47" s="427"/>
      <c r="HE47" s="769" t="str">
        <f t="shared" si="130"/>
        <v/>
      </c>
      <c r="HF47" s="768" t="str">
        <f t="shared" ref="HF47" si="562">IF(HE47&lt;0,"Invadiu REP-BA-C","")</f>
        <v/>
      </c>
      <c r="HG47" s="769" t="str">
        <f t="shared" si="131"/>
        <v/>
      </c>
      <c r="HH47" s="768" t="str">
        <f t="shared" si="55"/>
        <v/>
      </c>
      <c r="HI47" s="728" t="str">
        <f t="shared" si="132"/>
        <v/>
      </c>
      <c r="HJ47" s="768" t="str">
        <f t="shared" si="56"/>
        <v/>
      </c>
      <c r="HK47" s="728" t="str">
        <f t="shared" si="133"/>
        <v/>
      </c>
      <c r="HL47" s="768" t="str">
        <f t="shared" si="57"/>
        <v/>
      </c>
      <c r="HM47" s="769" t="str">
        <f t="shared" si="441"/>
        <v/>
      </c>
      <c r="HN47" s="768" t="str">
        <f t="shared" ref="HN47" si="563">IF(HM47&lt;0,"Invadiu REP-BA-C","")</f>
        <v/>
      </c>
      <c r="HO47" s="769" t="str">
        <f t="shared" si="443"/>
        <v/>
      </c>
      <c r="HP47" s="768" t="str">
        <f t="shared" si="61"/>
        <v/>
      </c>
      <c r="HQ47" s="728" t="str">
        <f t="shared" si="444"/>
        <v/>
      </c>
      <c r="HR47" s="768" t="str">
        <f t="shared" si="63"/>
        <v/>
      </c>
      <c r="HS47" s="728" t="str">
        <f t="shared" si="445"/>
        <v/>
      </c>
      <c r="HT47" s="768" t="str">
        <f t="shared" si="65"/>
        <v/>
      </c>
      <c r="HU47" s="769" t="str">
        <f t="shared" si="446"/>
        <v/>
      </c>
      <c r="HV47" s="768" t="str">
        <f t="shared" ref="HV47" si="564">IF(HU47&lt;0,"Invadiu REP-BA-C","")</f>
        <v/>
      </c>
      <c r="HW47" s="769" t="str">
        <f t="shared" si="448"/>
        <v/>
      </c>
      <c r="HX47" s="768" t="str">
        <f t="shared" si="69"/>
        <v/>
      </c>
      <c r="HY47" s="728" t="str">
        <f t="shared" si="449"/>
        <v/>
      </c>
      <c r="HZ47" s="768" t="str">
        <f t="shared" si="71"/>
        <v/>
      </c>
      <c r="IA47" s="728" t="str">
        <f t="shared" si="450"/>
        <v/>
      </c>
      <c r="IB47" s="768" t="str">
        <f t="shared" si="73"/>
        <v/>
      </c>
      <c r="IC47" s="769" t="str">
        <f t="shared" si="451"/>
        <v/>
      </c>
      <c r="ID47" s="768" t="str">
        <f t="shared" ref="ID47" si="565">IF(IC47&lt;0,"Invadiu REP-BA-C","")</f>
        <v/>
      </c>
      <c r="IE47" s="769" t="str">
        <f t="shared" si="453"/>
        <v/>
      </c>
      <c r="IF47" s="768" t="str">
        <f t="shared" si="77"/>
        <v/>
      </c>
      <c r="IG47" s="728" t="str">
        <f t="shared" si="454"/>
        <v/>
      </c>
      <c r="IH47" s="768" t="str">
        <f t="shared" si="79"/>
        <v/>
      </c>
      <c r="II47" s="728" t="str">
        <f t="shared" si="455"/>
        <v/>
      </c>
      <c r="IJ47" s="768" t="str">
        <f t="shared" si="81"/>
        <v/>
      </c>
      <c r="IK47" s="769" t="str">
        <f t="shared" si="456"/>
        <v/>
      </c>
      <c r="IL47" s="768" t="str">
        <f t="shared" ref="IL47" si="566">IF(IK47&lt;0,"Invadiu REP-BA-C","")</f>
        <v/>
      </c>
      <c r="IM47" s="769" t="str">
        <f t="shared" si="458"/>
        <v/>
      </c>
      <c r="IN47" s="768" t="str">
        <f t="shared" si="85"/>
        <v/>
      </c>
      <c r="IO47" s="728" t="str">
        <f t="shared" si="459"/>
        <v/>
      </c>
      <c r="IP47" s="768" t="str">
        <f t="shared" si="87"/>
        <v/>
      </c>
      <c r="IQ47" s="728" t="str">
        <f t="shared" si="460"/>
        <v/>
      </c>
      <c r="IR47" s="768" t="str">
        <f t="shared" si="89"/>
        <v/>
      </c>
      <c r="IS47" s="769" t="str">
        <f t="shared" si="461"/>
        <v/>
      </c>
      <c r="IT47" s="768" t="str">
        <f t="shared" ref="IT47" si="567">IF(IS47&lt;0,"Invadiu REP-BA-C","")</f>
        <v/>
      </c>
      <c r="IU47" s="769" t="str">
        <f t="shared" si="463"/>
        <v/>
      </c>
      <c r="IV47" s="768" t="str">
        <f t="shared" si="93"/>
        <v/>
      </c>
      <c r="IW47" s="728" t="str">
        <f t="shared" si="464"/>
        <v/>
      </c>
      <c r="IX47" s="768" t="str">
        <f t="shared" si="95"/>
        <v/>
      </c>
      <c r="IY47" s="728" t="str">
        <f t="shared" si="465"/>
        <v/>
      </c>
      <c r="IZ47" s="768" t="str">
        <f t="shared" si="97"/>
        <v/>
      </c>
      <c r="JA47" s="769" t="str">
        <f t="shared" si="466"/>
        <v/>
      </c>
      <c r="JB47" s="768" t="str">
        <f t="shared" ref="JB47" si="568">IF(JA47&lt;0,"Invadiu REP-BA-C","")</f>
        <v/>
      </c>
      <c r="JC47" s="769" t="str">
        <f t="shared" si="468"/>
        <v/>
      </c>
      <c r="JD47" s="768" t="str">
        <f t="shared" si="101"/>
        <v/>
      </c>
      <c r="JE47" s="728" t="str">
        <f t="shared" si="469"/>
        <v/>
      </c>
      <c r="JF47" s="768" t="str">
        <f t="shared" si="103"/>
        <v/>
      </c>
      <c r="JG47" s="728" t="str">
        <f t="shared" si="470"/>
        <v/>
      </c>
      <c r="JH47" s="768" t="str">
        <f t="shared" si="105"/>
        <v/>
      </c>
      <c r="JI47" s="769" t="str">
        <f t="shared" si="471"/>
        <v/>
      </c>
      <c r="JJ47" s="768" t="str">
        <f t="shared" ref="JJ47" si="569">IF(JI47&lt;0,"Invadiu REP-BA-C","")</f>
        <v/>
      </c>
      <c r="JK47" s="769" t="str">
        <f t="shared" si="473"/>
        <v/>
      </c>
      <c r="JL47" s="768" t="str">
        <f t="shared" si="109"/>
        <v/>
      </c>
      <c r="JM47" s="728" t="str">
        <f t="shared" si="474"/>
        <v/>
      </c>
      <c r="JN47" s="768" t="str">
        <f t="shared" si="111"/>
        <v/>
      </c>
      <c r="JO47" s="728" t="str">
        <f t="shared" si="475"/>
        <v/>
      </c>
      <c r="JP47" s="768" t="str">
        <f t="shared" si="113"/>
        <v/>
      </c>
      <c r="JQ47" s="769" t="str">
        <f t="shared" si="476"/>
        <v/>
      </c>
      <c r="JR47" s="768" t="str">
        <f t="shared" ref="JR47" si="570">IF(JQ47&lt;0,"Invadiu REP-BA-C","")</f>
        <v/>
      </c>
      <c r="JS47" s="769" t="str">
        <f t="shared" si="478"/>
        <v/>
      </c>
      <c r="JT47" s="768" t="str">
        <f t="shared" si="117"/>
        <v/>
      </c>
      <c r="JU47" s="728" t="str">
        <f t="shared" si="479"/>
        <v/>
      </c>
      <c r="JV47" s="768" t="str">
        <f t="shared" si="119"/>
        <v/>
      </c>
      <c r="JW47" s="728" t="str">
        <f t="shared" si="480"/>
        <v/>
      </c>
      <c r="JX47" s="768" t="str">
        <f t="shared" si="121"/>
        <v/>
      </c>
      <c r="JY47" s="768" t="str">
        <f t="shared" si="122"/>
        <v/>
      </c>
      <c r="JZ47" s="485" t="str">
        <f>IF(JY47="","",IF(AND(C47=$C$164,JY47&lt;&gt;""),Verificarcpf(D47),IF(AND(C47=$C$165,JY47&lt;&gt;""),VerificarCNPJ(D47))))</f>
        <v/>
      </c>
      <c r="KA47" s="768" t="str">
        <f t="shared" si="123"/>
        <v/>
      </c>
      <c r="KB47" s="485">
        <f t="shared" si="124"/>
        <v>0</v>
      </c>
      <c r="KC47" s="768">
        <f t="shared" si="125"/>
        <v>0</v>
      </c>
      <c r="KD47" s="485">
        <f t="shared" si="126"/>
        <v>0</v>
      </c>
      <c r="KE47" s="448"/>
      <c r="KF47" s="548"/>
      <c r="KG47" s="548"/>
      <c r="KH47" s="548"/>
      <c r="KI47" s="548"/>
      <c r="KJ47" s="548" t="str">
        <f t="shared" si="128"/>
        <v/>
      </c>
      <c r="KK47" s="548"/>
      <c r="KL47" s="548"/>
      <c r="KM47" s="548">
        <f t="array" ref="KM47">IF(SUM((KL47=$KL$3:KL46)*1)=0,KL47,0)</f>
        <v>0</v>
      </c>
      <c r="KN47" s="548"/>
      <c r="KO47" s="548"/>
      <c r="KP47" s="548"/>
      <c r="KQ47" s="548"/>
      <c r="KR47" s="548" t="str">
        <f t="shared" si="129"/>
        <v/>
      </c>
      <c r="KS47" s="548"/>
      <c r="KT47" s="548"/>
      <c r="KU47" s="548"/>
      <c r="KV47" s="548"/>
      <c r="KW47" s="548"/>
      <c r="KX47" s="548"/>
      <c r="KY47" s="548"/>
      <c r="KZ47" s="548"/>
      <c r="LA47" s="548"/>
      <c r="LB47" s="548"/>
      <c r="LC47" s="485" t="str">
        <f t="shared" si="142"/>
        <v/>
      </c>
      <c r="LD47" s="548"/>
      <c r="LE47" s="548"/>
      <c r="LF47" s="548"/>
      <c r="LG47" s="548"/>
      <c r="LH47" s="548"/>
      <c r="LI47" s="548"/>
      <c r="LJ47" s="548"/>
      <c r="LK47" s="548"/>
      <c r="LL47" s="548"/>
      <c r="LM47" s="548"/>
      <c r="LN47" s="548"/>
      <c r="LO47" s="548"/>
      <c r="LP47" s="485" t="str">
        <f t="shared" si="143"/>
        <v/>
      </c>
      <c r="LQ47" s="548"/>
      <c r="LR47" s="548"/>
      <c r="LS47" s="548"/>
      <c r="LT47" s="548"/>
      <c r="LU47" s="548"/>
      <c r="LV47" s="548"/>
      <c r="LW47" s="548"/>
      <c r="LX47" s="548"/>
      <c r="LY47" s="548"/>
      <c r="LZ47" s="548"/>
      <c r="MA47" s="548"/>
      <c r="MB47" s="548"/>
      <c r="MC47" s="485" t="str">
        <f t="shared" si="144"/>
        <v/>
      </c>
      <c r="MD47" s="548"/>
      <c r="ME47" s="548"/>
      <c r="MF47" s="548"/>
      <c r="MG47" s="548"/>
      <c r="MH47" s="548"/>
      <c r="MI47" s="548"/>
      <c r="MJ47" s="548"/>
      <c r="MK47" s="548"/>
      <c r="ML47" s="548"/>
      <c r="MM47" s="548"/>
      <c r="MN47" s="548"/>
      <c r="MO47" s="548"/>
      <c r="MP47" s="485" t="str">
        <f t="shared" si="145"/>
        <v/>
      </c>
      <c r="MQ47" s="548"/>
      <c r="MR47" s="548"/>
      <c r="MS47" s="548"/>
      <c r="MT47" s="548"/>
      <c r="MU47" s="548"/>
      <c r="MV47" s="548"/>
      <c r="MW47" s="548"/>
      <c r="MX47" s="548"/>
      <c r="MY47" s="548"/>
      <c r="MZ47" s="548"/>
      <c r="NA47" s="548"/>
      <c r="NB47" s="548"/>
      <c r="NC47" s="485" t="str">
        <f t="shared" si="146"/>
        <v/>
      </c>
      <c r="ND47" s="548"/>
      <c r="NE47" s="548"/>
      <c r="NF47" s="548"/>
      <c r="NG47" s="548"/>
      <c r="NH47" s="548"/>
      <c r="NI47" s="548"/>
      <c r="NJ47" s="548"/>
      <c r="NK47" s="548"/>
      <c r="NL47" s="548"/>
      <c r="NM47" s="548"/>
      <c r="NN47" s="548"/>
      <c r="NO47" s="548"/>
      <c r="NP47" s="485" t="str">
        <f t="shared" si="147"/>
        <v/>
      </c>
      <c r="NQ47" s="548"/>
      <c r="NR47" s="548"/>
      <c r="NS47" s="548"/>
      <c r="NT47" s="548"/>
      <c r="NU47" s="548"/>
      <c r="NV47" s="548"/>
      <c r="NW47" s="548"/>
      <c r="NX47" s="548"/>
      <c r="NY47" s="548"/>
      <c r="NZ47" s="548"/>
      <c r="OA47" s="548"/>
      <c r="OB47" s="548"/>
      <c r="OC47" s="485" t="str">
        <f t="shared" si="148"/>
        <v/>
      </c>
      <c r="OD47" s="548"/>
      <c r="OE47" s="548"/>
      <c r="OF47" s="548"/>
      <c r="OG47" s="548"/>
      <c r="OH47" s="548"/>
      <c r="OI47" s="548"/>
      <c r="OJ47" s="548"/>
      <c r="OK47" s="548"/>
      <c r="OL47" s="548"/>
      <c r="OM47" s="548"/>
      <c r="ON47" s="548"/>
      <c r="OO47" s="548"/>
      <c r="OP47" s="548"/>
      <c r="OQ47" s="548"/>
      <c r="OR47" s="548"/>
      <c r="OS47" s="548"/>
      <c r="OT47" s="548"/>
      <c r="OU47" s="548"/>
      <c r="OV47" s="548"/>
      <c r="OW47" s="548"/>
      <c r="OX47" s="548"/>
      <c r="OY47" s="548"/>
      <c r="OZ47" s="548"/>
      <c r="PA47" s="548"/>
      <c r="PB47" s="548"/>
      <c r="PC47" s="548"/>
      <c r="PD47" s="548"/>
      <c r="PE47" s="548"/>
      <c r="PF47" s="548"/>
      <c r="PG47" s="548"/>
      <c r="PH47" s="548"/>
      <c r="PI47" s="548"/>
      <c r="PJ47" s="548"/>
      <c r="PK47" s="548"/>
      <c r="PL47" s="548"/>
      <c r="PM47" s="548"/>
      <c r="PN47" s="548"/>
      <c r="PO47" s="548"/>
      <c r="PP47" s="548"/>
      <c r="PQ47" s="548"/>
      <c r="PR47" s="548"/>
      <c r="PS47" s="548"/>
      <c r="PT47" s="548"/>
      <c r="PU47" s="548"/>
      <c r="PV47" s="548"/>
      <c r="PW47" s="548"/>
      <c r="PX47" s="548"/>
      <c r="PY47" s="548"/>
      <c r="PZ47" s="548"/>
      <c r="QA47" s="548"/>
      <c r="QB47" s="548"/>
      <c r="QC47" s="548"/>
      <c r="QD47" s="548"/>
      <c r="QE47" s="548"/>
      <c r="QF47" s="548"/>
      <c r="QG47" s="548"/>
      <c r="QH47" s="548"/>
      <c r="QI47" s="548"/>
      <c r="QJ47" s="548"/>
      <c r="QK47" s="548"/>
      <c r="QL47" s="548"/>
      <c r="QM47" s="548"/>
      <c r="QN47" s="548"/>
      <c r="QO47" s="548"/>
      <c r="QP47" s="548"/>
      <c r="QQ47" s="1009"/>
      <c r="QR47" s="548"/>
      <c r="QS47" s="548"/>
      <c r="QT47" s="548"/>
      <c r="QU47" s="548"/>
      <c r="QV47" s="548"/>
      <c r="QW47" s="548"/>
      <c r="QX47" s="548"/>
      <c r="QY47" s="548"/>
      <c r="QZ47" s="548"/>
      <c r="RA47" s="548"/>
      <c r="RB47" s="548"/>
      <c r="RC47" s="548"/>
      <c r="RD47" s="548"/>
      <c r="RE47" s="548"/>
      <c r="RF47" s="548"/>
      <c r="RG47" s="548"/>
      <c r="RH47" s="548"/>
      <c r="RI47" s="548"/>
      <c r="RJ47" s="548"/>
      <c r="RK47" s="548"/>
      <c r="RL47" s="548"/>
      <c r="RM47" s="548"/>
      <c r="RN47" s="548"/>
      <c r="RO47" s="548"/>
      <c r="RP47" s="548"/>
      <c r="RQ47" s="548"/>
      <c r="RR47" s="548"/>
      <c r="RS47" s="548"/>
      <c r="RT47" s="548"/>
      <c r="RU47" s="548"/>
      <c r="RV47" s="548"/>
      <c r="RW47" s="548"/>
      <c r="RX47" s="548"/>
      <c r="RY47" s="548"/>
      <c r="RZ47" s="548"/>
      <c r="SA47" s="548"/>
      <c r="SB47" s="548"/>
      <c r="SC47" s="548"/>
      <c r="SD47" s="548"/>
      <c r="SE47" s="548"/>
      <c r="SF47" s="548"/>
      <c r="SG47" s="548"/>
      <c r="SH47" s="548"/>
      <c r="SI47" s="548"/>
      <c r="SJ47" s="548"/>
      <c r="SK47" s="548"/>
      <c r="SL47" s="548"/>
      <c r="SM47" s="548"/>
      <c r="SN47" s="548"/>
      <c r="SO47" s="548"/>
      <c r="SP47" s="548"/>
      <c r="SQ47" s="548"/>
      <c r="SR47" s="548"/>
      <c r="SS47" s="548"/>
      <c r="ST47" s="548"/>
      <c r="SU47" s="548"/>
      <c r="SV47" s="548"/>
      <c r="SW47" s="548"/>
      <c r="SX47" s="548"/>
      <c r="SY47" s="548"/>
      <c r="SZ47" s="548"/>
      <c r="TA47" s="548"/>
      <c r="TB47" s="548"/>
      <c r="TC47" s="548"/>
      <c r="TD47" s="548"/>
      <c r="TE47" s="548"/>
      <c r="TF47" s="548"/>
      <c r="TG47" s="548"/>
      <c r="TH47" s="548"/>
      <c r="TI47" s="548"/>
      <c r="TJ47" s="548"/>
      <c r="TK47" s="548"/>
      <c r="TL47" s="548"/>
      <c r="TM47" s="548"/>
      <c r="TN47" s="548"/>
      <c r="TO47" s="548"/>
      <c r="TP47" s="548"/>
      <c r="TQ47" s="548"/>
      <c r="TR47" s="548"/>
      <c r="TS47" s="548"/>
      <c r="TT47" s="548"/>
      <c r="TU47" s="548"/>
      <c r="TV47" s="548"/>
      <c r="TW47" s="548"/>
      <c r="TX47" s="548"/>
      <c r="TY47" s="548"/>
      <c r="TZ47" s="548"/>
      <c r="UA47" s="548"/>
      <c r="UB47" s="548"/>
      <c r="UC47" s="548"/>
      <c r="UD47" s="548"/>
      <c r="UE47" s="548"/>
      <c r="UF47" s="548"/>
      <c r="UG47" s="548"/>
      <c r="UH47" s="548"/>
      <c r="UI47" s="548"/>
      <c r="UJ47" s="548"/>
      <c r="UK47" s="548"/>
      <c r="UL47" s="548"/>
      <c r="UM47" s="548"/>
      <c r="UN47" s="548"/>
      <c r="UO47" s="548"/>
      <c r="UP47" s="548"/>
      <c r="UQ47" s="548"/>
      <c r="UR47" s="548"/>
      <c r="US47" s="548"/>
      <c r="UT47" s="548"/>
      <c r="UU47" s="548"/>
      <c r="UV47" s="548"/>
      <c r="UW47" s="548"/>
      <c r="UX47" s="548"/>
      <c r="UY47" s="548"/>
      <c r="UZ47" s="548"/>
      <c r="VA47" s="548"/>
      <c r="VB47" s="548"/>
      <c r="VC47" s="548"/>
      <c r="VD47" s="548"/>
      <c r="VE47" s="548"/>
      <c r="VF47" s="548"/>
      <c r="VG47" s="548"/>
      <c r="VH47" s="548"/>
      <c r="VI47" s="548"/>
      <c r="VJ47" s="548"/>
      <c r="VK47" s="548"/>
      <c r="VL47" s="548"/>
      <c r="VM47" s="548"/>
      <c r="VN47" s="548"/>
      <c r="VO47" s="548"/>
      <c r="VP47" s="548"/>
      <c r="VQ47" s="548"/>
      <c r="VR47" s="548"/>
      <c r="VS47" s="548"/>
      <c r="VT47" s="548"/>
      <c r="VU47" s="548"/>
      <c r="VV47" s="548"/>
      <c r="VW47" s="548"/>
      <c r="VX47" s="548"/>
      <c r="VY47" s="548"/>
      <c r="VZ47" s="548"/>
      <c r="WA47" s="548"/>
      <c r="WB47" s="548"/>
      <c r="WC47" s="548"/>
      <c r="WD47" s="548"/>
      <c r="WE47" s="548"/>
      <c r="WF47" s="548"/>
      <c r="WG47" s="548"/>
      <c r="WH47" s="548"/>
      <c r="WI47" s="548"/>
      <c r="WJ47" s="548"/>
      <c r="WK47" s="548"/>
      <c r="WL47" s="548"/>
      <c r="WM47" s="548"/>
      <c r="WN47" s="548"/>
      <c r="WO47" s="548"/>
      <c r="WP47" s="548"/>
      <c r="WQ47" s="548"/>
      <c r="WR47" s="548"/>
      <c r="WS47" s="548"/>
      <c r="WT47" s="548"/>
      <c r="WU47" s="548"/>
      <c r="WV47" s="548"/>
      <c r="WW47" s="548"/>
      <c r="WX47" s="548"/>
      <c r="WY47" s="548"/>
      <c r="WZ47" s="548"/>
      <c r="XA47" s="548"/>
      <c r="XB47" s="548"/>
      <c r="XC47" s="548"/>
      <c r="XD47" s="548"/>
      <c r="XE47" s="548"/>
      <c r="XF47" s="548"/>
      <c r="XG47" s="548"/>
      <c r="XH47" s="548"/>
      <c r="XI47" s="548"/>
      <c r="XJ47" s="548"/>
      <c r="XK47" s="548"/>
      <c r="XL47" s="548"/>
      <c r="XM47" s="548"/>
      <c r="XN47" s="548"/>
      <c r="XO47" s="548"/>
      <c r="XP47" s="548"/>
      <c r="XQ47" s="548"/>
      <c r="XR47" s="548"/>
      <c r="XS47" s="548"/>
      <c r="XT47" s="548"/>
      <c r="XU47" s="548"/>
      <c r="XV47" s="548"/>
      <c r="XW47" s="548"/>
      <c r="XX47" s="548"/>
      <c r="XY47" s="548"/>
      <c r="XZ47" s="548"/>
      <c r="YA47" s="548"/>
      <c r="YB47" s="548"/>
      <c r="YC47" s="548"/>
      <c r="YD47" s="548"/>
      <c r="YE47" s="548"/>
      <c r="YF47" s="548"/>
      <c r="YG47" s="548"/>
      <c r="YH47" s="548"/>
      <c r="YI47" s="548"/>
      <c r="YJ47" s="548"/>
      <c r="YK47" s="548"/>
      <c r="YL47" s="548"/>
      <c r="YM47" s="548"/>
      <c r="YN47" s="548"/>
      <c r="YO47" s="548"/>
      <c r="YP47" s="548"/>
      <c r="YQ47" s="548"/>
      <c r="YR47" s="548"/>
      <c r="YS47" s="548"/>
      <c r="YT47" s="548"/>
      <c r="YU47" s="548"/>
      <c r="YV47" s="548"/>
      <c r="YW47" s="548"/>
      <c r="YX47" s="548"/>
      <c r="YY47" s="548"/>
      <c r="YZ47" s="548"/>
      <c r="ZA47" s="548"/>
      <c r="ZB47" s="548"/>
      <c r="ZC47" s="548"/>
      <c r="ZD47" s="548"/>
      <c r="ZE47" s="548"/>
      <c r="ZF47" s="548"/>
      <c r="ZG47" s="548"/>
      <c r="ZH47" s="548"/>
      <c r="ZI47" s="548"/>
      <c r="ZJ47" s="548"/>
      <c r="ZK47" s="548"/>
      <c r="ZL47" s="548"/>
      <c r="ZM47" s="548"/>
      <c r="ZN47" s="548"/>
      <c r="ZO47" s="548"/>
      <c r="ZP47" s="548"/>
      <c r="ZQ47" s="548"/>
      <c r="ZR47" s="548"/>
      <c r="ZS47" s="548"/>
      <c r="ZT47" s="548"/>
      <c r="ZU47" s="548"/>
      <c r="ZV47" s="548"/>
      <c r="ZW47" s="548"/>
      <c r="ZX47" s="548"/>
      <c r="ZY47" s="548"/>
      <c r="ZZ47" s="548"/>
      <c r="AAA47" s="548"/>
      <c r="AAB47" s="548"/>
      <c r="AAC47" s="548"/>
      <c r="AAD47" s="548"/>
      <c r="AAE47" s="548"/>
      <c r="AAF47" s="548"/>
      <c r="AAG47" s="548"/>
      <c r="AAH47" s="548"/>
      <c r="AAI47" s="548"/>
      <c r="AAJ47" s="548"/>
      <c r="AAK47" s="548"/>
      <c r="AAL47" s="548"/>
      <c r="AAM47" s="548"/>
      <c r="AAN47" s="548"/>
      <c r="AAO47" s="548"/>
      <c r="AAP47" s="548"/>
      <c r="AAQ47" s="548"/>
      <c r="AAR47" s="548"/>
      <c r="AAS47" s="548"/>
      <c r="AAT47" s="548"/>
      <c r="AAU47" s="548"/>
      <c r="AAV47" s="548"/>
      <c r="AAW47" s="548"/>
      <c r="AAX47" s="548"/>
      <c r="AAY47" s="548"/>
      <c r="AAZ47" s="548"/>
      <c r="ABA47" s="548"/>
      <c r="ABB47" s="548"/>
      <c r="ABC47" s="548"/>
      <c r="ABD47" s="548"/>
      <c r="ABE47" s="548"/>
      <c r="ABF47" s="548"/>
      <c r="ABG47" s="548"/>
      <c r="ABH47" s="548"/>
      <c r="ABI47" s="548"/>
      <c r="ABJ47" s="548"/>
      <c r="ABK47" s="548"/>
      <c r="ABL47" s="548"/>
      <c r="ABM47" s="548"/>
      <c r="ABN47" s="548"/>
      <c r="ABO47" s="548"/>
      <c r="ABP47" s="548"/>
      <c r="ABQ47" s="548"/>
      <c r="ABR47" s="548"/>
      <c r="ABS47" s="548"/>
    </row>
    <row r="48" spans="1:747" customFormat="1" ht="15" customHeight="1" x14ac:dyDescent="0.2">
      <c r="A48" s="424" t="str">
        <f t="shared" si="149"/>
        <v/>
      </c>
      <c r="B48" s="415"/>
      <c r="C48" s="525"/>
      <c r="D48" s="750"/>
      <c r="E48" s="416" t="str">
        <f t="shared" si="393"/>
        <v/>
      </c>
      <c r="F48" s="527" t="str">
        <f t="shared" si="394"/>
        <v/>
      </c>
      <c r="G48" s="417"/>
      <c r="H48" s="583" t="str">
        <f t="shared" si="395"/>
        <v/>
      </c>
      <c r="I48" s="424"/>
      <c r="J48" s="419"/>
      <c r="K48" s="418"/>
      <c r="L48" s="419"/>
      <c r="M48" s="415"/>
      <c r="N48" s="420"/>
      <c r="O48" s="421"/>
      <c r="P48" s="561"/>
      <c r="Q48" s="422"/>
      <c r="R48" s="561" t="str">
        <f t="shared" si="396"/>
        <v/>
      </c>
      <c r="S48" s="664"/>
      <c r="T48" s="663"/>
      <c r="U48" s="580">
        <f t="shared" si="397"/>
        <v>0</v>
      </c>
      <c r="V48" s="418"/>
      <c r="W48" s="582" t="str">
        <f t="shared" si="398"/>
        <v/>
      </c>
      <c r="X48" s="479" t="str">
        <f t="shared" si="399"/>
        <v/>
      </c>
      <c r="Y48" s="582" t="str">
        <f t="shared" si="400"/>
        <v/>
      </c>
      <c r="Z48" s="317" t="str">
        <f t="shared" si="401"/>
        <v/>
      </c>
      <c r="AA48" s="317" t="str">
        <f t="shared" si="402"/>
        <v/>
      </c>
      <c r="AB48" s="317">
        <f t="shared" si="403"/>
        <v>0</v>
      </c>
      <c r="AC48" s="317" t="str">
        <f t="shared" si="404"/>
        <v/>
      </c>
      <c r="AD48" s="479"/>
      <c r="AE48" s="479"/>
      <c r="AF48" s="479"/>
      <c r="AG48" s="423"/>
      <c r="AH48" s="820"/>
      <c r="AI48" s="480"/>
      <c r="AJ48" s="660"/>
      <c r="AK48" s="524" t="str">
        <f t="shared" si="405"/>
        <v/>
      </c>
      <c r="AL48" s="731">
        <f>SUMIF($J$4:$J$144,"Futuro",$S$4:$S$144)</f>
        <v>0</v>
      </c>
      <c r="AM48" s="732">
        <f>SUMIF($J$4:$J$144,"Futuro",$T$4:$T$144)</f>
        <v>0</v>
      </c>
      <c r="AN48" s="426">
        <f t="shared" si="406"/>
        <v>0</v>
      </c>
      <c r="AO48" s="427" t="str">
        <f t="shared" si="407"/>
        <v/>
      </c>
      <c r="AP48" s="426" t="str">
        <f t="shared" si="408"/>
        <v/>
      </c>
      <c r="AQ48" s="426"/>
      <c r="AR48" s="426"/>
      <c r="AS48" s="428"/>
      <c r="AT48" s="429"/>
      <c r="AU48" s="430"/>
      <c r="AV48" s="431"/>
      <c r="AW48" s="432"/>
      <c r="AX48" s="430"/>
      <c r="AY48" s="431">
        <f t="shared" si="409"/>
        <v>0</v>
      </c>
      <c r="AZ48" s="426"/>
      <c r="BA48" s="435" t="str">
        <f t="shared" si="410"/>
        <v/>
      </c>
      <c r="BB48" s="435"/>
      <c r="BC48" s="426"/>
      <c r="BD48" s="426">
        <f t="array" ref="BD48">IF(SUM((BC48=$BC$3:BC47)*1)=0,BC48,0)</f>
        <v>0</v>
      </c>
      <c r="BE48" s="426"/>
      <c r="BF48" s="426"/>
      <c r="BG48" s="426">
        <f t="array" ref="BG48">IF(SUM((BF48=$BF$3:BF47)*1)=0,BF48,0)</f>
        <v>0</v>
      </c>
      <c r="BH48" s="426"/>
      <c r="BI48" s="426"/>
      <c r="BJ48" s="426"/>
      <c r="BK48" s="426"/>
      <c r="BL48" s="426"/>
      <c r="BM48" s="426"/>
      <c r="BN48" s="426"/>
      <c r="BO48" s="426"/>
      <c r="BP48" s="433">
        <f t="shared" si="411"/>
        <v>0</v>
      </c>
      <c r="BQ48" s="426"/>
      <c r="BR48" s="434"/>
      <c r="BS48" s="426"/>
      <c r="BT48" s="433"/>
      <c r="BU48" s="435"/>
      <c r="BV48" s="435" t="str">
        <f t="shared" si="412"/>
        <v/>
      </c>
      <c r="BW48" s="435" t="str">
        <f t="shared" si="38"/>
        <v/>
      </c>
      <c r="BX48" s="435"/>
      <c r="BY48" s="435"/>
      <c r="BZ48" s="435"/>
      <c r="CA48" s="435"/>
      <c r="CB48" s="435"/>
      <c r="CC48" s="435"/>
      <c r="CD48" s="435"/>
      <c r="CE48" s="435"/>
      <c r="CF48" s="435"/>
      <c r="CG48" s="435"/>
      <c r="CH48" s="435"/>
      <c r="CI48" s="435"/>
      <c r="CJ48" s="426" t="str">
        <f t="shared" si="39"/>
        <v/>
      </c>
      <c r="CK48" s="435"/>
      <c r="CL48" s="426"/>
      <c r="CM48" s="435"/>
      <c r="CN48" s="426"/>
      <c r="CO48" s="426"/>
      <c r="CP48" s="426"/>
      <c r="CQ48" s="426"/>
      <c r="CR48" s="426"/>
      <c r="CS48" s="426"/>
      <c r="CT48" s="426"/>
      <c r="CU48" s="426"/>
      <c r="CV48" s="426"/>
      <c r="CW48" s="426"/>
      <c r="CX48" s="426"/>
      <c r="CY48" s="426">
        <v>45</v>
      </c>
      <c r="CZ48" s="426"/>
      <c r="DA48" s="426"/>
      <c r="DB48" s="426"/>
      <c r="DC48" s="426" t="s">
        <v>788</v>
      </c>
      <c r="DD48" s="426" t="s">
        <v>948</v>
      </c>
      <c r="DE48" s="435" t="str">
        <f t="shared" si="40"/>
        <v/>
      </c>
      <c r="DF48" s="435" t="str">
        <f t="shared" si="41"/>
        <v/>
      </c>
      <c r="DG48" s="435" t="str">
        <f t="shared" si="42"/>
        <v/>
      </c>
      <c r="DH48" s="435" t="str">
        <f t="shared" si="43"/>
        <v/>
      </c>
      <c r="DI48" s="435" t="str">
        <f t="shared" si="44"/>
        <v/>
      </c>
      <c r="DJ48" s="435" t="str">
        <f t="shared" si="45"/>
        <v/>
      </c>
      <c r="DK48" s="435" t="str">
        <f t="shared" si="413"/>
        <v/>
      </c>
      <c r="DL48" s="435" t="str">
        <f t="shared" si="414"/>
        <v/>
      </c>
      <c r="DM48" s="435" t="str">
        <f t="shared" si="46"/>
        <v/>
      </c>
      <c r="DN48" s="435" t="str">
        <f t="shared" si="47"/>
        <v/>
      </c>
      <c r="DO48" s="435" t="str">
        <f t="shared" si="415"/>
        <v/>
      </c>
      <c r="DP48" s="435" t="str">
        <f t="shared" si="416"/>
        <v/>
      </c>
      <c r="DQ48" s="435" t="str">
        <f t="shared" si="48"/>
        <v/>
      </c>
      <c r="DR48" s="435" t="str">
        <f t="shared" si="49"/>
        <v/>
      </c>
      <c r="DS48" s="435" t="str">
        <f t="shared" si="417"/>
        <v/>
      </c>
      <c r="DT48" s="435" t="str">
        <f t="shared" si="418"/>
        <v/>
      </c>
      <c r="DU48" s="435" t="str">
        <f t="shared" si="50"/>
        <v/>
      </c>
      <c r="DV48" s="435" t="str">
        <f t="shared" si="51"/>
        <v/>
      </c>
      <c r="DW48" s="435" t="str">
        <f t="shared" si="419"/>
        <v/>
      </c>
      <c r="DX48" s="435" t="str">
        <f t="shared" si="420"/>
        <v/>
      </c>
      <c r="DY48" s="435" t="str">
        <f t="shared" si="52"/>
        <v/>
      </c>
      <c r="DZ48" s="435" t="str">
        <f t="shared" si="53"/>
        <v/>
      </c>
      <c r="EA48" s="435" t="str">
        <f t="shared" si="421"/>
        <v/>
      </c>
      <c r="EB48" s="435" t="str">
        <f t="shared" si="422"/>
        <v/>
      </c>
      <c r="EC48" s="435" t="str">
        <f t="shared" si="423"/>
        <v/>
      </c>
      <c r="ED48" s="435" t="str">
        <f t="shared" si="424"/>
        <v/>
      </c>
      <c r="EE48" s="435" t="str">
        <f t="shared" si="425"/>
        <v/>
      </c>
      <c r="EF48" s="435" t="str">
        <f t="shared" si="426"/>
        <v/>
      </c>
      <c r="EG48" s="435" t="str">
        <f t="shared" si="427"/>
        <v/>
      </c>
      <c r="EH48" s="435" t="str">
        <f t="shared" si="428"/>
        <v/>
      </c>
      <c r="EI48" s="435" t="str">
        <f t="shared" si="429"/>
        <v/>
      </c>
      <c r="EJ48" s="435" t="str">
        <f t="shared" si="430"/>
        <v/>
      </c>
      <c r="EK48" s="485"/>
      <c r="EL48" s="485"/>
      <c r="EM48" s="485"/>
      <c r="EN48" s="485"/>
      <c r="EO48" s="448"/>
      <c r="EP48" s="448"/>
      <c r="EQ48" s="448"/>
      <c r="ER48" s="448"/>
      <c r="ES48" s="448"/>
      <c r="ET48" s="435"/>
      <c r="EU48" s="435"/>
      <c r="EV48" s="435"/>
      <c r="EW48" s="435"/>
      <c r="EX48" s="426"/>
      <c r="EY48" s="426"/>
      <c r="EZ48" s="426"/>
      <c r="FA48" s="427"/>
      <c r="FB48" s="427">
        <f t="array" ref="FB48">IF(SUM((FA48=$FA$3:FA47)*1)=0,FA48,0)</f>
        <v>0</v>
      </c>
      <c r="FC48" s="427"/>
      <c r="FD48" s="427"/>
      <c r="FE48" s="427">
        <f t="array" ref="FE48">IF(SUM((FD48=$FD$3:FD47)*1)=0,FD48,0)</f>
        <v>0</v>
      </c>
      <c r="FF48" s="427"/>
      <c r="FG48" s="427"/>
      <c r="FH48" s="427"/>
      <c r="FI48" s="427">
        <f t="array" ref="FI48">IF(SUM((FH48=$FH$3:FH47)*1)=0,FH48,0)</f>
        <v>0</v>
      </c>
      <c r="FJ48" s="427"/>
      <c r="FK48" s="427"/>
      <c r="FL48" s="427">
        <f t="array" ref="FL48">IF(SUM((FK48=$FK$3:FK47)*1)=0,FK48,0)</f>
        <v>0</v>
      </c>
      <c r="FM48" s="427"/>
      <c r="FN48" s="427"/>
      <c r="FO48" s="427"/>
      <c r="FP48" s="427">
        <f t="array" ref="FP48">IF(SUM((FO48=$FO$3:FO47)*1)=0,FO48,0)</f>
        <v>0</v>
      </c>
      <c r="FQ48" s="427"/>
      <c r="FR48" s="427"/>
      <c r="FS48" s="427">
        <f t="array" ref="FS48">IF(SUM((FR48=$FR$3:FR47)*1)=0,FR48,0)</f>
        <v>0</v>
      </c>
      <c r="FT48" s="427"/>
      <c r="FU48" s="427"/>
      <c r="FV48" s="427"/>
      <c r="FW48" s="427">
        <f t="array" ref="FW48">IF(SUM((FV48=$FV$3:FV47)*1)=0,FV48,0)</f>
        <v>0</v>
      </c>
      <c r="FX48" s="427"/>
      <c r="FY48" s="427"/>
      <c r="FZ48" s="427">
        <f t="array" ref="FZ48">IF(SUM((FY48=$FY$3:FY47)*1)=0,FY48,0)</f>
        <v>0</v>
      </c>
      <c r="GA48" s="427"/>
      <c r="GB48" s="427"/>
      <c r="GC48" s="427"/>
      <c r="GD48" s="427">
        <f t="array" ref="GD48">IF(SUM((GC48=$GC$3:GC47)*1)=0,GC48,0)</f>
        <v>0</v>
      </c>
      <c r="GE48" s="427"/>
      <c r="GF48" s="427"/>
      <c r="GG48" s="427">
        <f t="array" ref="GG48">IF(SUM((GF48=$GF$3:GF47)*1)=0,GF48,0)</f>
        <v>0</v>
      </c>
      <c r="GH48" s="427"/>
      <c r="GI48" s="427"/>
      <c r="GJ48" s="427"/>
      <c r="GK48" s="798">
        <f t="array" ref="GK48">IF(SUM((GJ48=$GJ$3:GJ47)*1)=0,GJ48,0)</f>
        <v>0</v>
      </c>
      <c r="GL48" s="427"/>
      <c r="GM48" s="427"/>
      <c r="GN48" s="798">
        <f t="array" ref="GN48">IF(SUM((GM48=$GM$3:GM47)*1)=0,GM48,0)</f>
        <v>0</v>
      </c>
      <c r="GO48" s="427"/>
      <c r="GP48" s="427"/>
      <c r="GQ48" s="427"/>
      <c r="GR48" s="798">
        <f t="array" ref="GR48">IF(SUM((GQ48=$GQ$3:GQ47)*1)=0,GQ48,0)</f>
        <v>0</v>
      </c>
      <c r="GS48" s="427"/>
      <c r="GT48" s="427"/>
      <c r="GU48" s="798">
        <f t="array" ref="GU48">IF(SUM((GT48=$GT$3:GT47)*1)=0,GT48,0)</f>
        <v>0</v>
      </c>
      <c r="GV48" s="427"/>
      <c r="GW48" s="427"/>
      <c r="GX48" s="427"/>
      <c r="GY48" s="798">
        <f t="array" ref="GY48">IF(SUM((GX48=$GX$3:GX47)*1)=0,GX48,0)</f>
        <v>0</v>
      </c>
      <c r="GZ48" s="427"/>
      <c r="HA48" s="427"/>
      <c r="HB48" s="798">
        <f t="array" ref="HB48">IF(SUM((HA48=$HA$3:HA47)*1)=0,HA48,0)</f>
        <v>0</v>
      </c>
      <c r="HC48" s="427"/>
      <c r="HD48" s="427"/>
      <c r="HE48" s="769" t="str">
        <f t="shared" si="130"/>
        <v/>
      </c>
      <c r="HF48" s="768" t="str">
        <f t="shared" ref="HF48" si="571">IF(HE48&lt;0,"Invadiu REP-BA-C","")</f>
        <v/>
      </c>
      <c r="HG48" s="769" t="str">
        <f t="shared" si="131"/>
        <v/>
      </c>
      <c r="HH48" s="768" t="str">
        <f t="shared" si="55"/>
        <v/>
      </c>
      <c r="HI48" s="728" t="str">
        <f t="shared" si="132"/>
        <v/>
      </c>
      <c r="HJ48" s="768" t="str">
        <f t="shared" si="56"/>
        <v/>
      </c>
      <c r="HK48" s="728" t="str">
        <f t="shared" si="133"/>
        <v/>
      </c>
      <c r="HL48" s="768" t="str">
        <f t="shared" si="57"/>
        <v/>
      </c>
      <c r="HM48" s="769" t="str">
        <f t="shared" si="441"/>
        <v/>
      </c>
      <c r="HN48" s="768" t="str">
        <f t="shared" ref="HN48" si="572">IF(HM48&lt;0,"Invadiu REP-BA-C","")</f>
        <v/>
      </c>
      <c r="HO48" s="769" t="str">
        <f t="shared" si="443"/>
        <v/>
      </c>
      <c r="HP48" s="768" t="str">
        <f t="shared" si="61"/>
        <v/>
      </c>
      <c r="HQ48" s="728" t="str">
        <f t="shared" si="444"/>
        <v/>
      </c>
      <c r="HR48" s="768" t="str">
        <f t="shared" si="63"/>
        <v/>
      </c>
      <c r="HS48" s="728" t="str">
        <f t="shared" si="445"/>
        <v/>
      </c>
      <c r="HT48" s="768" t="str">
        <f t="shared" si="65"/>
        <v/>
      </c>
      <c r="HU48" s="769" t="str">
        <f t="shared" si="446"/>
        <v/>
      </c>
      <c r="HV48" s="768" t="str">
        <f t="shared" ref="HV48" si="573">IF(HU48&lt;0,"Invadiu REP-BA-C","")</f>
        <v/>
      </c>
      <c r="HW48" s="769" t="str">
        <f t="shared" si="448"/>
        <v/>
      </c>
      <c r="HX48" s="768" t="str">
        <f t="shared" si="69"/>
        <v/>
      </c>
      <c r="HY48" s="728" t="str">
        <f t="shared" si="449"/>
        <v/>
      </c>
      <c r="HZ48" s="768" t="str">
        <f t="shared" si="71"/>
        <v/>
      </c>
      <c r="IA48" s="728" t="str">
        <f t="shared" si="450"/>
        <v/>
      </c>
      <c r="IB48" s="768" t="str">
        <f t="shared" si="73"/>
        <v/>
      </c>
      <c r="IC48" s="769" t="str">
        <f t="shared" si="451"/>
        <v/>
      </c>
      <c r="ID48" s="768" t="str">
        <f t="shared" ref="ID48" si="574">IF(IC48&lt;0,"Invadiu REP-BA-C","")</f>
        <v/>
      </c>
      <c r="IE48" s="769" t="str">
        <f t="shared" si="453"/>
        <v/>
      </c>
      <c r="IF48" s="768" t="str">
        <f t="shared" si="77"/>
        <v/>
      </c>
      <c r="IG48" s="728" t="str">
        <f t="shared" si="454"/>
        <v/>
      </c>
      <c r="IH48" s="768" t="str">
        <f t="shared" si="79"/>
        <v/>
      </c>
      <c r="II48" s="728" t="str">
        <f t="shared" si="455"/>
        <v/>
      </c>
      <c r="IJ48" s="768" t="str">
        <f t="shared" si="81"/>
        <v/>
      </c>
      <c r="IK48" s="769" t="str">
        <f t="shared" si="456"/>
        <v/>
      </c>
      <c r="IL48" s="768" t="str">
        <f t="shared" ref="IL48" si="575">IF(IK48&lt;0,"Invadiu REP-BA-C","")</f>
        <v/>
      </c>
      <c r="IM48" s="769" t="str">
        <f t="shared" si="458"/>
        <v/>
      </c>
      <c r="IN48" s="768" t="str">
        <f t="shared" si="85"/>
        <v/>
      </c>
      <c r="IO48" s="728" t="str">
        <f t="shared" si="459"/>
        <v/>
      </c>
      <c r="IP48" s="768" t="str">
        <f t="shared" si="87"/>
        <v/>
      </c>
      <c r="IQ48" s="728" t="str">
        <f t="shared" si="460"/>
        <v/>
      </c>
      <c r="IR48" s="768" t="str">
        <f t="shared" si="89"/>
        <v/>
      </c>
      <c r="IS48" s="769" t="str">
        <f t="shared" si="461"/>
        <v/>
      </c>
      <c r="IT48" s="768" t="str">
        <f t="shared" ref="IT48" si="576">IF(IS48&lt;0,"Invadiu REP-BA-C","")</f>
        <v/>
      </c>
      <c r="IU48" s="769" t="str">
        <f t="shared" si="463"/>
        <v/>
      </c>
      <c r="IV48" s="768" t="str">
        <f t="shared" si="93"/>
        <v/>
      </c>
      <c r="IW48" s="728" t="str">
        <f t="shared" si="464"/>
        <v/>
      </c>
      <c r="IX48" s="768" t="str">
        <f t="shared" si="95"/>
        <v/>
      </c>
      <c r="IY48" s="728" t="str">
        <f t="shared" si="465"/>
        <v/>
      </c>
      <c r="IZ48" s="768" t="str">
        <f t="shared" si="97"/>
        <v/>
      </c>
      <c r="JA48" s="769" t="str">
        <f t="shared" si="466"/>
        <v/>
      </c>
      <c r="JB48" s="768" t="str">
        <f t="shared" ref="JB48" si="577">IF(JA48&lt;0,"Invadiu REP-BA-C","")</f>
        <v/>
      </c>
      <c r="JC48" s="769" t="str">
        <f t="shared" si="468"/>
        <v/>
      </c>
      <c r="JD48" s="768" t="str">
        <f t="shared" si="101"/>
        <v/>
      </c>
      <c r="JE48" s="728" t="str">
        <f t="shared" si="469"/>
        <v/>
      </c>
      <c r="JF48" s="768" t="str">
        <f t="shared" si="103"/>
        <v/>
      </c>
      <c r="JG48" s="728" t="str">
        <f t="shared" si="470"/>
        <v/>
      </c>
      <c r="JH48" s="768" t="str">
        <f t="shared" si="105"/>
        <v/>
      </c>
      <c r="JI48" s="769" t="str">
        <f t="shared" si="471"/>
        <v/>
      </c>
      <c r="JJ48" s="768" t="str">
        <f t="shared" ref="JJ48" si="578">IF(JI48&lt;0,"Invadiu REP-BA-C","")</f>
        <v/>
      </c>
      <c r="JK48" s="769" t="str">
        <f t="shared" si="473"/>
        <v/>
      </c>
      <c r="JL48" s="768" t="str">
        <f t="shared" si="109"/>
        <v/>
      </c>
      <c r="JM48" s="728" t="str">
        <f t="shared" si="474"/>
        <v/>
      </c>
      <c r="JN48" s="768" t="str">
        <f t="shared" si="111"/>
        <v/>
      </c>
      <c r="JO48" s="728" t="str">
        <f t="shared" si="475"/>
        <v/>
      </c>
      <c r="JP48" s="768" t="str">
        <f t="shared" si="113"/>
        <v/>
      </c>
      <c r="JQ48" s="769" t="str">
        <f t="shared" si="476"/>
        <v/>
      </c>
      <c r="JR48" s="768" t="str">
        <f t="shared" ref="JR48" si="579">IF(JQ48&lt;0,"Invadiu REP-BA-C","")</f>
        <v/>
      </c>
      <c r="JS48" s="769" t="str">
        <f t="shared" si="478"/>
        <v/>
      </c>
      <c r="JT48" s="768" t="str">
        <f t="shared" si="117"/>
        <v/>
      </c>
      <c r="JU48" s="728" t="str">
        <f t="shared" si="479"/>
        <v/>
      </c>
      <c r="JV48" s="768" t="str">
        <f t="shared" si="119"/>
        <v/>
      </c>
      <c r="JW48" s="728" t="str">
        <f t="shared" si="480"/>
        <v/>
      </c>
      <c r="JX48" s="768" t="str">
        <f t="shared" si="121"/>
        <v/>
      </c>
      <c r="JY48" s="768" t="str">
        <f t="shared" si="122"/>
        <v/>
      </c>
      <c r="JZ48" s="485" t="str">
        <f>IF(JY48="","",IF(AND(C48=$C$164,JY48&lt;&gt;""),Verificarcpf(D48),IF(AND(C48=$C$165,JY48&lt;&gt;""),VerificarCNPJ(D48))))</f>
        <v/>
      </c>
      <c r="KA48" s="768" t="str">
        <f t="shared" si="123"/>
        <v/>
      </c>
      <c r="KB48" s="485">
        <f t="shared" si="124"/>
        <v>0</v>
      </c>
      <c r="KC48" s="768">
        <f t="shared" si="125"/>
        <v>0</v>
      </c>
      <c r="KD48" s="485">
        <f t="shared" si="126"/>
        <v>0</v>
      </c>
      <c r="KE48" s="448"/>
      <c r="KF48" s="548"/>
      <c r="KG48" s="548"/>
      <c r="KH48" s="548"/>
      <c r="KI48" s="548"/>
      <c r="KJ48" s="548" t="str">
        <f t="shared" si="128"/>
        <v/>
      </c>
      <c r="KK48" s="548"/>
      <c r="KL48" s="548"/>
      <c r="KM48" s="548">
        <f t="array" ref="KM48">IF(SUM((KL48=$KL$3:KL47)*1)=0,KL48,0)</f>
        <v>0</v>
      </c>
      <c r="KN48" s="548"/>
      <c r="KO48" s="548"/>
      <c r="KP48" s="548"/>
      <c r="KQ48" s="548"/>
      <c r="KR48" s="548" t="str">
        <f t="shared" si="129"/>
        <v/>
      </c>
      <c r="KS48" s="548"/>
      <c r="KT48" s="548"/>
      <c r="KU48" s="548"/>
      <c r="KV48" s="548"/>
      <c r="KW48" s="548"/>
      <c r="KX48" s="548"/>
      <c r="KY48" s="548"/>
      <c r="KZ48" s="548"/>
      <c r="LA48" s="548"/>
      <c r="LB48" s="548"/>
      <c r="LC48" s="485" t="str">
        <f t="shared" si="142"/>
        <v/>
      </c>
      <c r="LD48" s="548"/>
      <c r="LE48" s="548"/>
      <c r="LF48" s="548"/>
      <c r="LG48" s="548"/>
      <c r="LH48" s="548"/>
      <c r="LI48" s="548"/>
      <c r="LJ48" s="548"/>
      <c r="LK48" s="548"/>
      <c r="LL48" s="548"/>
      <c r="LM48" s="548"/>
      <c r="LN48" s="548"/>
      <c r="LO48" s="548"/>
      <c r="LP48" s="485" t="str">
        <f t="shared" si="143"/>
        <v/>
      </c>
      <c r="LQ48" s="548"/>
      <c r="LR48" s="548"/>
      <c r="LS48" s="548"/>
      <c r="LT48" s="548"/>
      <c r="LU48" s="548"/>
      <c r="LV48" s="548"/>
      <c r="LW48" s="548"/>
      <c r="LX48" s="548"/>
      <c r="LY48" s="548"/>
      <c r="LZ48" s="548"/>
      <c r="MA48" s="548"/>
      <c r="MB48" s="548"/>
      <c r="MC48" s="485" t="str">
        <f t="shared" si="144"/>
        <v/>
      </c>
      <c r="MD48" s="548"/>
      <c r="ME48" s="548"/>
      <c r="MF48" s="548"/>
      <c r="MG48" s="548"/>
      <c r="MH48" s="548"/>
      <c r="MI48" s="548"/>
      <c r="MJ48" s="548"/>
      <c r="MK48" s="548"/>
      <c r="ML48" s="548"/>
      <c r="MM48" s="548"/>
      <c r="MN48" s="548"/>
      <c r="MO48" s="548"/>
      <c r="MP48" s="485" t="str">
        <f t="shared" si="145"/>
        <v/>
      </c>
      <c r="MQ48" s="548"/>
      <c r="MR48" s="548"/>
      <c r="MS48" s="548"/>
      <c r="MT48" s="548"/>
      <c r="MU48" s="548"/>
      <c r="MV48" s="548"/>
      <c r="MW48" s="548"/>
      <c r="MX48" s="548"/>
      <c r="MY48" s="548"/>
      <c r="MZ48" s="548"/>
      <c r="NA48" s="548"/>
      <c r="NB48" s="548"/>
      <c r="NC48" s="485" t="str">
        <f t="shared" si="146"/>
        <v/>
      </c>
      <c r="ND48" s="548"/>
      <c r="NE48" s="548"/>
      <c r="NF48" s="548"/>
      <c r="NG48" s="548"/>
      <c r="NH48" s="548"/>
      <c r="NI48" s="548"/>
      <c r="NJ48" s="548"/>
      <c r="NK48" s="548"/>
      <c r="NL48" s="548"/>
      <c r="NM48" s="548"/>
      <c r="NN48" s="548"/>
      <c r="NO48" s="548"/>
      <c r="NP48" s="485" t="str">
        <f t="shared" si="147"/>
        <v/>
      </c>
      <c r="NQ48" s="548"/>
      <c r="NR48" s="548"/>
      <c r="NS48" s="548"/>
      <c r="NT48" s="548"/>
      <c r="NU48" s="548"/>
      <c r="NV48" s="548"/>
      <c r="NW48" s="548"/>
      <c r="NX48" s="548"/>
      <c r="NY48" s="548"/>
      <c r="NZ48" s="548"/>
      <c r="OA48" s="548"/>
      <c r="OB48" s="548"/>
      <c r="OC48" s="485" t="str">
        <f t="shared" si="148"/>
        <v/>
      </c>
      <c r="OD48" s="548"/>
      <c r="OE48" s="548"/>
      <c r="OF48" s="548"/>
      <c r="OG48" s="548"/>
      <c r="OH48" s="548"/>
      <c r="OI48" s="548"/>
      <c r="OJ48" s="548"/>
      <c r="OK48" s="548"/>
      <c r="OL48" s="548"/>
      <c r="OM48" s="548"/>
      <c r="ON48" s="548"/>
      <c r="OO48" s="548"/>
      <c r="OP48" s="548"/>
      <c r="OQ48" s="548"/>
      <c r="OR48" s="548"/>
      <c r="OS48" s="548"/>
      <c r="OT48" s="548"/>
      <c r="OU48" s="548"/>
      <c r="OV48" s="548"/>
      <c r="OW48" s="548"/>
      <c r="OX48" s="548"/>
      <c r="OY48" s="548"/>
      <c r="OZ48" s="548"/>
      <c r="PA48" s="548"/>
      <c r="PB48" s="548"/>
      <c r="PC48" s="548"/>
      <c r="PD48" s="548"/>
      <c r="PE48" s="548"/>
      <c r="PF48" s="548"/>
      <c r="PG48" s="548"/>
      <c r="PH48" s="548"/>
      <c r="PI48" s="548"/>
      <c r="PJ48" s="548"/>
      <c r="PK48" s="548"/>
      <c r="PL48" s="548"/>
      <c r="PM48" s="548"/>
      <c r="PN48" s="548"/>
      <c r="PO48" s="548"/>
      <c r="PP48" s="548"/>
      <c r="PQ48" s="548"/>
      <c r="PR48" s="548"/>
      <c r="PS48" s="548"/>
      <c r="PT48" s="548"/>
      <c r="PU48" s="548"/>
      <c r="PV48" s="548"/>
      <c r="PW48" s="548"/>
      <c r="PX48" s="548"/>
      <c r="PY48" s="548"/>
      <c r="PZ48" s="548"/>
      <c r="QA48" s="548"/>
      <c r="QB48" s="548"/>
      <c r="QC48" s="548"/>
      <c r="QD48" s="548"/>
      <c r="QE48" s="548"/>
      <c r="QF48" s="548"/>
      <c r="QG48" s="548"/>
      <c r="QH48" s="548"/>
      <c r="QI48" s="548"/>
      <c r="QJ48" s="548"/>
      <c r="QK48" s="548"/>
      <c r="QL48" s="548"/>
      <c r="QM48" s="548"/>
      <c r="QN48" s="548"/>
      <c r="QO48" s="548"/>
      <c r="QP48" s="548"/>
      <c r="QQ48" s="1009"/>
      <c r="QR48" s="548"/>
      <c r="QS48" s="548"/>
      <c r="QT48" s="548"/>
      <c r="QU48" s="548"/>
      <c r="QV48" s="548"/>
      <c r="QW48" s="548"/>
      <c r="QX48" s="548"/>
      <c r="QY48" s="548"/>
      <c r="QZ48" s="548"/>
      <c r="RA48" s="548"/>
      <c r="RB48" s="548"/>
      <c r="RC48" s="548"/>
      <c r="RD48" s="548"/>
      <c r="RE48" s="548"/>
      <c r="RF48" s="548"/>
      <c r="RG48" s="548"/>
      <c r="RH48" s="548"/>
      <c r="RI48" s="548"/>
      <c r="RJ48" s="548"/>
      <c r="RK48" s="548"/>
      <c r="RL48" s="548"/>
      <c r="RM48" s="548"/>
      <c r="RN48" s="548"/>
      <c r="RO48" s="548"/>
      <c r="RP48" s="548"/>
      <c r="RQ48" s="548"/>
      <c r="RR48" s="548"/>
      <c r="RS48" s="548"/>
      <c r="RT48" s="548"/>
      <c r="RU48" s="548"/>
      <c r="RV48" s="548"/>
      <c r="RW48" s="548"/>
      <c r="RX48" s="548"/>
      <c r="RY48" s="548"/>
      <c r="RZ48" s="548"/>
      <c r="SA48" s="548"/>
      <c r="SB48" s="548"/>
      <c r="SC48" s="548"/>
      <c r="SD48" s="548"/>
      <c r="SE48" s="548"/>
      <c r="SF48" s="548"/>
      <c r="SG48" s="548"/>
      <c r="SH48" s="548"/>
      <c r="SI48" s="548"/>
      <c r="SJ48" s="548"/>
      <c r="SK48" s="548"/>
      <c r="SL48" s="548"/>
      <c r="SM48" s="548"/>
      <c r="SN48" s="548"/>
      <c r="SO48" s="548"/>
      <c r="SP48" s="548"/>
      <c r="SQ48" s="548"/>
      <c r="SR48" s="548"/>
      <c r="SS48" s="548"/>
      <c r="ST48" s="548"/>
      <c r="SU48" s="548"/>
      <c r="SV48" s="548"/>
      <c r="SW48" s="548"/>
      <c r="SX48" s="548"/>
      <c r="SY48" s="548"/>
      <c r="SZ48" s="548"/>
      <c r="TA48" s="548"/>
      <c r="TB48" s="548"/>
      <c r="TC48" s="548"/>
      <c r="TD48" s="548"/>
      <c r="TE48" s="548"/>
      <c r="TF48" s="548"/>
      <c r="TG48" s="548"/>
      <c r="TH48" s="548"/>
      <c r="TI48" s="548"/>
      <c r="TJ48" s="548"/>
      <c r="TK48" s="548"/>
      <c r="TL48" s="548"/>
      <c r="TM48" s="548"/>
      <c r="TN48" s="548"/>
      <c r="TO48" s="548"/>
      <c r="TP48" s="548"/>
      <c r="TQ48" s="548"/>
      <c r="TR48" s="548"/>
      <c r="TS48" s="548"/>
      <c r="TT48" s="548"/>
      <c r="TU48" s="548"/>
      <c r="TV48" s="548"/>
      <c r="TW48" s="548"/>
      <c r="TX48" s="548"/>
      <c r="TY48" s="548"/>
      <c r="TZ48" s="548"/>
      <c r="UA48" s="548"/>
      <c r="UB48" s="548"/>
      <c r="UC48" s="548"/>
      <c r="UD48" s="548"/>
      <c r="UE48" s="548"/>
      <c r="UF48" s="548"/>
      <c r="UG48" s="548"/>
      <c r="UH48" s="548"/>
      <c r="UI48" s="548"/>
      <c r="UJ48" s="548"/>
      <c r="UK48" s="548"/>
      <c r="UL48" s="548"/>
      <c r="UM48" s="548"/>
      <c r="UN48" s="548"/>
      <c r="UO48" s="548"/>
      <c r="UP48" s="548"/>
      <c r="UQ48" s="548"/>
      <c r="UR48" s="548"/>
      <c r="US48" s="548"/>
      <c r="UT48" s="548"/>
      <c r="UU48" s="548"/>
      <c r="UV48" s="548"/>
      <c r="UW48" s="548"/>
      <c r="UX48" s="548"/>
      <c r="UY48" s="548"/>
      <c r="UZ48" s="548"/>
      <c r="VA48" s="548"/>
      <c r="VB48" s="548"/>
      <c r="VC48" s="548"/>
      <c r="VD48" s="548"/>
      <c r="VE48" s="548"/>
      <c r="VF48" s="548"/>
      <c r="VG48" s="548"/>
      <c r="VH48" s="548"/>
      <c r="VI48" s="548"/>
      <c r="VJ48" s="548"/>
      <c r="VK48" s="548"/>
      <c r="VL48" s="548"/>
      <c r="VM48" s="548"/>
      <c r="VN48" s="548"/>
      <c r="VO48" s="548"/>
      <c r="VP48" s="548"/>
      <c r="VQ48" s="548"/>
      <c r="VR48" s="548"/>
      <c r="VS48" s="548"/>
      <c r="VT48" s="548"/>
      <c r="VU48" s="548"/>
      <c r="VV48" s="548"/>
      <c r="VW48" s="548"/>
      <c r="VX48" s="548"/>
      <c r="VY48" s="548"/>
      <c r="VZ48" s="548"/>
      <c r="WA48" s="548"/>
      <c r="WB48" s="548"/>
      <c r="WC48" s="548"/>
      <c r="WD48" s="548"/>
      <c r="WE48" s="548"/>
      <c r="WF48" s="548"/>
      <c r="WG48" s="548"/>
      <c r="WH48" s="548"/>
      <c r="WI48" s="548"/>
      <c r="WJ48" s="548"/>
      <c r="WK48" s="548"/>
      <c r="WL48" s="548"/>
      <c r="WM48" s="548"/>
      <c r="WN48" s="548"/>
      <c r="WO48" s="548"/>
      <c r="WP48" s="548"/>
      <c r="WQ48" s="548"/>
      <c r="WR48" s="548"/>
      <c r="WS48" s="548"/>
      <c r="WT48" s="548"/>
      <c r="WU48" s="548"/>
      <c r="WV48" s="548"/>
      <c r="WW48" s="548"/>
      <c r="WX48" s="548"/>
      <c r="WY48" s="548"/>
      <c r="WZ48" s="548"/>
      <c r="XA48" s="548"/>
      <c r="XB48" s="548"/>
      <c r="XC48" s="548"/>
      <c r="XD48" s="548"/>
      <c r="XE48" s="548"/>
      <c r="XF48" s="548"/>
      <c r="XG48" s="548"/>
      <c r="XH48" s="548"/>
      <c r="XI48" s="548"/>
      <c r="XJ48" s="548"/>
      <c r="XK48" s="548"/>
      <c r="XL48" s="548"/>
      <c r="XM48" s="548"/>
      <c r="XN48" s="548"/>
      <c r="XO48" s="548"/>
      <c r="XP48" s="548"/>
      <c r="XQ48" s="548"/>
      <c r="XR48" s="548"/>
      <c r="XS48" s="548"/>
      <c r="XT48" s="548"/>
      <c r="XU48" s="548"/>
      <c r="XV48" s="548"/>
      <c r="XW48" s="548"/>
      <c r="XX48" s="548"/>
      <c r="XY48" s="548"/>
      <c r="XZ48" s="548"/>
      <c r="YA48" s="548"/>
      <c r="YB48" s="548"/>
      <c r="YC48" s="548"/>
      <c r="YD48" s="548"/>
      <c r="YE48" s="548"/>
      <c r="YF48" s="548"/>
      <c r="YG48" s="548"/>
      <c r="YH48" s="548"/>
      <c r="YI48" s="548"/>
      <c r="YJ48" s="548"/>
      <c r="YK48" s="548"/>
      <c r="YL48" s="548"/>
      <c r="YM48" s="548"/>
      <c r="YN48" s="548"/>
      <c r="YO48" s="548"/>
      <c r="YP48" s="548"/>
      <c r="YQ48" s="548"/>
      <c r="YR48" s="548"/>
      <c r="YS48" s="548"/>
      <c r="YT48" s="548"/>
      <c r="YU48" s="548"/>
      <c r="YV48" s="548"/>
      <c r="YW48" s="548"/>
      <c r="YX48" s="548"/>
      <c r="YY48" s="548"/>
      <c r="YZ48" s="548"/>
      <c r="ZA48" s="548"/>
      <c r="ZB48" s="548"/>
      <c r="ZC48" s="548"/>
      <c r="ZD48" s="548"/>
      <c r="ZE48" s="548"/>
      <c r="ZF48" s="548"/>
      <c r="ZG48" s="548"/>
      <c r="ZH48" s="548"/>
      <c r="ZI48" s="548"/>
      <c r="ZJ48" s="548"/>
      <c r="ZK48" s="548"/>
      <c r="ZL48" s="548"/>
      <c r="ZM48" s="548"/>
      <c r="ZN48" s="548"/>
      <c r="ZO48" s="548"/>
      <c r="ZP48" s="548"/>
      <c r="ZQ48" s="548"/>
      <c r="ZR48" s="548"/>
      <c r="ZS48" s="548"/>
      <c r="ZT48" s="548"/>
      <c r="ZU48" s="548"/>
      <c r="ZV48" s="548"/>
      <c r="ZW48" s="548"/>
      <c r="ZX48" s="548"/>
      <c r="ZY48" s="548"/>
      <c r="ZZ48" s="548"/>
      <c r="AAA48" s="548"/>
      <c r="AAB48" s="548"/>
      <c r="AAC48" s="548"/>
      <c r="AAD48" s="548"/>
      <c r="AAE48" s="548"/>
      <c r="AAF48" s="548"/>
      <c r="AAG48" s="548"/>
      <c r="AAH48" s="548"/>
      <c r="AAI48" s="548"/>
      <c r="AAJ48" s="548"/>
      <c r="AAK48" s="548"/>
      <c r="AAL48" s="548"/>
      <c r="AAM48" s="548"/>
      <c r="AAN48" s="548"/>
      <c r="AAO48" s="548"/>
      <c r="AAP48" s="548"/>
      <c r="AAQ48" s="548"/>
      <c r="AAR48" s="548"/>
      <c r="AAS48" s="548"/>
      <c r="AAT48" s="548"/>
      <c r="AAU48" s="548"/>
      <c r="AAV48" s="548"/>
      <c r="AAW48" s="548"/>
      <c r="AAX48" s="548"/>
      <c r="AAY48" s="548"/>
      <c r="AAZ48" s="548"/>
      <c r="ABA48" s="548"/>
      <c r="ABB48" s="548"/>
      <c r="ABC48" s="548"/>
      <c r="ABD48" s="548"/>
      <c r="ABE48" s="548"/>
      <c r="ABF48" s="548"/>
      <c r="ABG48" s="548"/>
      <c r="ABH48" s="548"/>
      <c r="ABI48" s="548"/>
      <c r="ABJ48" s="548"/>
      <c r="ABK48" s="548"/>
      <c r="ABL48" s="548"/>
      <c r="ABM48" s="548"/>
      <c r="ABN48" s="548"/>
      <c r="ABO48" s="548"/>
      <c r="ABP48" s="548"/>
      <c r="ABQ48" s="548"/>
      <c r="ABR48" s="548"/>
      <c r="ABS48" s="548"/>
    </row>
    <row r="49" spans="1:747" customFormat="1" ht="15" customHeight="1" x14ac:dyDescent="0.2">
      <c r="A49" s="424" t="str">
        <f t="shared" si="149"/>
        <v/>
      </c>
      <c r="B49" s="415"/>
      <c r="C49" s="525"/>
      <c r="D49" s="750"/>
      <c r="E49" s="416" t="str">
        <f t="shared" si="393"/>
        <v/>
      </c>
      <c r="F49" s="527" t="str">
        <f t="shared" si="394"/>
        <v/>
      </c>
      <c r="G49" s="417"/>
      <c r="H49" s="583" t="str">
        <f t="shared" si="395"/>
        <v/>
      </c>
      <c r="I49" s="424"/>
      <c r="J49" s="419"/>
      <c r="K49" s="418"/>
      <c r="L49" s="419"/>
      <c r="M49" s="415"/>
      <c r="N49" s="420"/>
      <c r="O49" s="421"/>
      <c r="P49" s="561"/>
      <c r="Q49" s="422"/>
      <c r="R49" s="561" t="str">
        <f t="shared" si="396"/>
        <v/>
      </c>
      <c r="S49" s="664"/>
      <c r="T49" s="663"/>
      <c r="U49" s="580">
        <f t="shared" si="397"/>
        <v>0</v>
      </c>
      <c r="V49" s="418"/>
      <c r="W49" s="582" t="str">
        <f t="shared" si="398"/>
        <v/>
      </c>
      <c r="X49" s="479" t="str">
        <f t="shared" si="399"/>
        <v/>
      </c>
      <c r="Y49" s="582" t="str">
        <f t="shared" si="400"/>
        <v/>
      </c>
      <c r="Z49" s="317" t="str">
        <f t="shared" si="401"/>
        <v/>
      </c>
      <c r="AA49" s="317" t="str">
        <f t="shared" si="402"/>
        <v/>
      </c>
      <c r="AB49" s="317">
        <f t="shared" si="403"/>
        <v>0</v>
      </c>
      <c r="AC49" s="317" t="str">
        <f t="shared" si="404"/>
        <v/>
      </c>
      <c r="AD49" s="479"/>
      <c r="AE49" s="479"/>
      <c r="AF49" s="479"/>
      <c r="AG49" s="423"/>
      <c r="AH49" s="820"/>
      <c r="AI49" s="480"/>
      <c r="AJ49" s="660"/>
      <c r="AK49" s="524" t="str">
        <f t="shared" si="405"/>
        <v/>
      </c>
      <c r="AL49" s="731">
        <f>SUMIF($J$4:$J$158,"Futuro",$S$4:$S$158)</f>
        <v>0</v>
      </c>
      <c r="AM49" s="732">
        <f>SUMIF($J$4:$J$158,"Futuro",$T$4:$T$158)</f>
        <v>0</v>
      </c>
      <c r="AN49" s="426">
        <f t="shared" si="406"/>
        <v>0</v>
      </c>
      <c r="AO49" s="427" t="str">
        <f t="shared" si="407"/>
        <v/>
      </c>
      <c r="AP49" s="426" t="str">
        <f t="shared" si="408"/>
        <v/>
      </c>
      <c r="AQ49" s="426"/>
      <c r="AR49" s="426"/>
      <c r="AS49" s="428"/>
      <c r="AT49" s="429"/>
      <c r="AU49" s="430"/>
      <c r="AV49" s="431"/>
      <c r="AW49" s="432"/>
      <c r="AX49" s="430"/>
      <c r="AY49" s="431">
        <f t="shared" si="409"/>
        <v>0</v>
      </c>
      <c r="AZ49" s="426"/>
      <c r="BA49" s="435" t="str">
        <f t="shared" si="410"/>
        <v/>
      </c>
      <c r="BB49" s="435"/>
      <c r="BC49" s="426"/>
      <c r="BD49" s="426">
        <f t="array" ref="BD49">IF(SUM((BC49=$BC$3:BC48)*1)=0,BC49,0)</f>
        <v>0</v>
      </c>
      <c r="BE49" s="426"/>
      <c r="BF49" s="426"/>
      <c r="BG49" s="426">
        <f t="array" ref="BG49">IF(SUM((BF49=$BF$3:BF48)*1)=0,BF49,0)</f>
        <v>0</v>
      </c>
      <c r="BH49" s="426"/>
      <c r="BI49" s="426"/>
      <c r="BJ49" s="426"/>
      <c r="BK49" s="426"/>
      <c r="BL49" s="426"/>
      <c r="BM49" s="426"/>
      <c r="BN49" s="426"/>
      <c r="BO49" s="426"/>
      <c r="BP49" s="433">
        <f t="shared" si="411"/>
        <v>0</v>
      </c>
      <c r="BQ49" s="426"/>
      <c r="BR49" s="434"/>
      <c r="BS49" s="426"/>
      <c r="BT49" s="433"/>
      <c r="BU49" s="435"/>
      <c r="BV49" s="435" t="str">
        <f t="shared" si="412"/>
        <v/>
      </c>
      <c r="BW49" s="435" t="str">
        <f t="shared" si="38"/>
        <v/>
      </c>
      <c r="BX49" s="435"/>
      <c r="BY49" s="435"/>
      <c r="BZ49" s="435"/>
      <c r="CA49" s="435"/>
      <c r="CB49" s="435"/>
      <c r="CC49" s="435"/>
      <c r="CD49" s="435"/>
      <c r="CE49" s="435"/>
      <c r="CF49" s="435"/>
      <c r="CG49" s="435"/>
      <c r="CH49" s="435"/>
      <c r="CI49" s="435"/>
      <c r="CJ49" s="426" t="str">
        <f t="shared" si="39"/>
        <v/>
      </c>
      <c r="CK49" s="435"/>
      <c r="CL49" s="426"/>
      <c r="CM49" s="435"/>
      <c r="CN49" s="426"/>
      <c r="CO49" s="426"/>
      <c r="CP49" s="426"/>
      <c r="CQ49" s="426"/>
      <c r="CR49" s="426"/>
      <c r="CS49" s="426"/>
      <c r="CT49" s="426"/>
      <c r="CU49" s="426"/>
      <c r="CV49" s="426"/>
      <c r="CW49" s="426"/>
      <c r="CX49" s="426"/>
      <c r="CY49" s="426">
        <v>46</v>
      </c>
      <c r="CZ49" s="426"/>
      <c r="DA49" s="426"/>
      <c r="DB49" s="426"/>
      <c r="DC49" s="426" t="s">
        <v>789</v>
      </c>
      <c r="DD49" s="426" t="s">
        <v>949</v>
      </c>
      <c r="DE49" s="435" t="str">
        <f t="shared" si="40"/>
        <v/>
      </c>
      <c r="DF49" s="435" t="str">
        <f t="shared" si="41"/>
        <v/>
      </c>
      <c r="DG49" s="435" t="str">
        <f t="shared" si="42"/>
        <v/>
      </c>
      <c r="DH49" s="435" t="str">
        <f t="shared" si="43"/>
        <v/>
      </c>
      <c r="DI49" s="435" t="str">
        <f t="shared" si="44"/>
        <v/>
      </c>
      <c r="DJ49" s="435" t="str">
        <f t="shared" si="45"/>
        <v/>
      </c>
      <c r="DK49" s="435" t="str">
        <f t="shared" si="413"/>
        <v/>
      </c>
      <c r="DL49" s="435" t="str">
        <f t="shared" si="414"/>
        <v/>
      </c>
      <c r="DM49" s="435" t="str">
        <f t="shared" si="46"/>
        <v/>
      </c>
      <c r="DN49" s="435" t="str">
        <f t="shared" si="47"/>
        <v/>
      </c>
      <c r="DO49" s="435" t="str">
        <f t="shared" si="415"/>
        <v/>
      </c>
      <c r="DP49" s="435" t="str">
        <f t="shared" si="416"/>
        <v/>
      </c>
      <c r="DQ49" s="435" t="str">
        <f t="shared" si="48"/>
        <v/>
      </c>
      <c r="DR49" s="435" t="str">
        <f t="shared" si="49"/>
        <v/>
      </c>
      <c r="DS49" s="435" t="str">
        <f t="shared" si="417"/>
        <v/>
      </c>
      <c r="DT49" s="435" t="str">
        <f t="shared" si="418"/>
        <v/>
      </c>
      <c r="DU49" s="435" t="str">
        <f t="shared" si="50"/>
        <v/>
      </c>
      <c r="DV49" s="435" t="str">
        <f t="shared" si="51"/>
        <v/>
      </c>
      <c r="DW49" s="435" t="str">
        <f t="shared" si="419"/>
        <v/>
      </c>
      <c r="DX49" s="435" t="str">
        <f t="shared" si="420"/>
        <v/>
      </c>
      <c r="DY49" s="435" t="str">
        <f t="shared" si="52"/>
        <v/>
      </c>
      <c r="DZ49" s="435" t="str">
        <f t="shared" si="53"/>
        <v/>
      </c>
      <c r="EA49" s="435" t="str">
        <f t="shared" si="421"/>
        <v/>
      </c>
      <c r="EB49" s="435" t="str">
        <f t="shared" si="422"/>
        <v/>
      </c>
      <c r="EC49" s="435" t="str">
        <f t="shared" si="423"/>
        <v/>
      </c>
      <c r="ED49" s="435" t="str">
        <f t="shared" si="424"/>
        <v/>
      </c>
      <c r="EE49" s="435" t="str">
        <f t="shared" si="425"/>
        <v/>
      </c>
      <c r="EF49" s="435" t="str">
        <f t="shared" si="426"/>
        <v/>
      </c>
      <c r="EG49" s="435" t="str">
        <f t="shared" si="427"/>
        <v/>
      </c>
      <c r="EH49" s="435" t="str">
        <f t="shared" si="428"/>
        <v/>
      </c>
      <c r="EI49" s="435" t="str">
        <f t="shared" si="429"/>
        <v/>
      </c>
      <c r="EJ49" s="435" t="str">
        <f t="shared" si="430"/>
        <v/>
      </c>
      <c r="EK49" s="485"/>
      <c r="EL49" s="485"/>
      <c r="EM49" s="485"/>
      <c r="EN49" s="485"/>
      <c r="EO49" s="448"/>
      <c r="EP49" s="448"/>
      <c r="EQ49" s="448"/>
      <c r="ER49" s="448"/>
      <c r="ES49" s="448"/>
      <c r="ET49" s="435"/>
      <c r="EU49" s="435"/>
      <c r="EV49" s="435"/>
      <c r="EW49" s="435"/>
      <c r="EX49" s="426"/>
      <c r="EY49" s="426"/>
      <c r="EZ49" s="426"/>
      <c r="FA49" s="427"/>
      <c r="FB49" s="427">
        <f t="array" ref="FB49">IF(SUM((FA49=$FA$3:FA48)*1)=0,FA49,0)</f>
        <v>0</v>
      </c>
      <c r="FC49" s="427"/>
      <c r="FD49" s="427"/>
      <c r="FE49" s="427">
        <f t="array" ref="FE49">IF(SUM((FD49=$FD$3:FD48)*1)=0,FD49,0)</f>
        <v>0</v>
      </c>
      <c r="FF49" s="427"/>
      <c r="FG49" s="427"/>
      <c r="FH49" s="427"/>
      <c r="FI49" s="427">
        <f t="array" ref="FI49">IF(SUM((FH49=$FH$3:FH48)*1)=0,FH49,0)</f>
        <v>0</v>
      </c>
      <c r="FJ49" s="427"/>
      <c r="FK49" s="427"/>
      <c r="FL49" s="427">
        <f t="array" ref="FL49">IF(SUM((FK49=$FK$3:FK48)*1)=0,FK49,0)</f>
        <v>0</v>
      </c>
      <c r="FM49" s="427"/>
      <c r="FN49" s="427"/>
      <c r="FO49" s="427"/>
      <c r="FP49" s="427">
        <f t="array" ref="FP49">IF(SUM((FO49=$FO$3:FO48)*1)=0,FO49,0)</f>
        <v>0</v>
      </c>
      <c r="FQ49" s="427"/>
      <c r="FR49" s="427"/>
      <c r="FS49" s="427">
        <f t="array" ref="FS49">IF(SUM((FR49=$FR$3:FR48)*1)=0,FR49,0)</f>
        <v>0</v>
      </c>
      <c r="FT49" s="427"/>
      <c r="FU49" s="427"/>
      <c r="FV49" s="427"/>
      <c r="FW49" s="427">
        <f t="array" ref="FW49">IF(SUM((FV49=$FV$3:FV48)*1)=0,FV49,0)</f>
        <v>0</v>
      </c>
      <c r="FX49" s="427"/>
      <c r="FY49" s="427"/>
      <c r="FZ49" s="427">
        <f t="array" ref="FZ49">IF(SUM((FY49=$FY$3:FY48)*1)=0,FY49,0)</f>
        <v>0</v>
      </c>
      <c r="GA49" s="427"/>
      <c r="GB49" s="427"/>
      <c r="GC49" s="427"/>
      <c r="GD49" s="427">
        <f t="array" ref="GD49">IF(SUM((GC49=$GC$3:GC48)*1)=0,GC49,0)</f>
        <v>0</v>
      </c>
      <c r="GE49" s="427"/>
      <c r="GF49" s="427"/>
      <c r="GG49" s="427">
        <f t="array" ref="GG49">IF(SUM((GF49=$GF$3:GF48)*1)=0,GF49,0)</f>
        <v>0</v>
      </c>
      <c r="GH49" s="427"/>
      <c r="GI49" s="427"/>
      <c r="GJ49" s="427"/>
      <c r="GK49" s="798">
        <f t="array" ref="GK49">IF(SUM((GJ49=$GJ$3:GJ48)*1)=0,GJ49,0)</f>
        <v>0</v>
      </c>
      <c r="GL49" s="427"/>
      <c r="GM49" s="427"/>
      <c r="GN49" s="798">
        <f t="array" ref="GN49">IF(SUM((GM49=$GM$3:GM48)*1)=0,GM49,0)</f>
        <v>0</v>
      </c>
      <c r="GO49" s="427"/>
      <c r="GP49" s="427"/>
      <c r="GQ49" s="427"/>
      <c r="GR49" s="798">
        <f t="array" ref="GR49">IF(SUM((GQ49=$GQ$3:GQ48)*1)=0,GQ49,0)</f>
        <v>0</v>
      </c>
      <c r="GS49" s="427"/>
      <c r="GT49" s="427"/>
      <c r="GU49" s="798">
        <f t="array" ref="GU49">IF(SUM((GT49=$GT$3:GT48)*1)=0,GT49,0)</f>
        <v>0</v>
      </c>
      <c r="GV49" s="427"/>
      <c r="GW49" s="427"/>
      <c r="GX49" s="427"/>
      <c r="GY49" s="798">
        <f t="array" ref="GY49">IF(SUM((GX49=$GX$3:GX48)*1)=0,GX49,0)</f>
        <v>0</v>
      </c>
      <c r="GZ49" s="427"/>
      <c r="HA49" s="427"/>
      <c r="HB49" s="798">
        <f t="array" ref="HB49">IF(SUM((HA49=$HA$3:HA48)*1)=0,HA49,0)</f>
        <v>0</v>
      </c>
      <c r="HC49" s="427"/>
      <c r="HD49" s="427"/>
      <c r="HE49" s="769" t="str">
        <f t="shared" si="130"/>
        <v/>
      </c>
      <c r="HF49" s="768" t="str">
        <f t="shared" ref="HF49" si="580">IF(HE49&lt;0,"Invadiu REP-BA-C","")</f>
        <v/>
      </c>
      <c r="HG49" s="769" t="str">
        <f t="shared" si="131"/>
        <v/>
      </c>
      <c r="HH49" s="768" t="str">
        <f t="shared" si="55"/>
        <v/>
      </c>
      <c r="HI49" s="728" t="str">
        <f t="shared" si="132"/>
        <v/>
      </c>
      <c r="HJ49" s="768" t="str">
        <f t="shared" si="56"/>
        <v/>
      </c>
      <c r="HK49" s="728" t="str">
        <f t="shared" si="133"/>
        <v/>
      </c>
      <c r="HL49" s="768" t="str">
        <f t="shared" si="57"/>
        <v/>
      </c>
      <c r="HM49" s="769" t="str">
        <f t="shared" si="441"/>
        <v/>
      </c>
      <c r="HN49" s="768" t="str">
        <f t="shared" ref="HN49" si="581">IF(HM49&lt;0,"Invadiu REP-BA-C","")</f>
        <v/>
      </c>
      <c r="HO49" s="769" t="str">
        <f t="shared" si="443"/>
        <v/>
      </c>
      <c r="HP49" s="768" t="str">
        <f t="shared" si="61"/>
        <v/>
      </c>
      <c r="HQ49" s="728" t="str">
        <f t="shared" si="444"/>
        <v/>
      </c>
      <c r="HR49" s="768" t="str">
        <f t="shared" si="63"/>
        <v/>
      </c>
      <c r="HS49" s="728" t="str">
        <f t="shared" si="445"/>
        <v/>
      </c>
      <c r="HT49" s="768" t="str">
        <f t="shared" si="65"/>
        <v/>
      </c>
      <c r="HU49" s="769" t="str">
        <f t="shared" si="446"/>
        <v/>
      </c>
      <c r="HV49" s="768" t="str">
        <f t="shared" ref="HV49" si="582">IF(HU49&lt;0,"Invadiu REP-BA-C","")</f>
        <v/>
      </c>
      <c r="HW49" s="769" t="str">
        <f t="shared" si="448"/>
        <v/>
      </c>
      <c r="HX49" s="768" t="str">
        <f t="shared" si="69"/>
        <v/>
      </c>
      <c r="HY49" s="728" t="str">
        <f t="shared" si="449"/>
        <v/>
      </c>
      <c r="HZ49" s="768" t="str">
        <f t="shared" si="71"/>
        <v/>
      </c>
      <c r="IA49" s="728" t="str">
        <f t="shared" si="450"/>
        <v/>
      </c>
      <c r="IB49" s="768" t="str">
        <f t="shared" si="73"/>
        <v/>
      </c>
      <c r="IC49" s="769" t="str">
        <f t="shared" si="451"/>
        <v/>
      </c>
      <c r="ID49" s="768" t="str">
        <f t="shared" ref="ID49" si="583">IF(IC49&lt;0,"Invadiu REP-BA-C","")</f>
        <v/>
      </c>
      <c r="IE49" s="769" t="str">
        <f t="shared" si="453"/>
        <v/>
      </c>
      <c r="IF49" s="768" t="str">
        <f t="shared" si="77"/>
        <v/>
      </c>
      <c r="IG49" s="728" t="str">
        <f t="shared" si="454"/>
        <v/>
      </c>
      <c r="IH49" s="768" t="str">
        <f t="shared" si="79"/>
        <v/>
      </c>
      <c r="II49" s="728" t="str">
        <f t="shared" si="455"/>
        <v/>
      </c>
      <c r="IJ49" s="768" t="str">
        <f t="shared" si="81"/>
        <v/>
      </c>
      <c r="IK49" s="769" t="str">
        <f t="shared" si="456"/>
        <v/>
      </c>
      <c r="IL49" s="768" t="str">
        <f t="shared" ref="IL49" si="584">IF(IK49&lt;0,"Invadiu REP-BA-C","")</f>
        <v/>
      </c>
      <c r="IM49" s="769" t="str">
        <f t="shared" si="458"/>
        <v/>
      </c>
      <c r="IN49" s="768" t="str">
        <f t="shared" si="85"/>
        <v/>
      </c>
      <c r="IO49" s="728" t="str">
        <f t="shared" si="459"/>
        <v/>
      </c>
      <c r="IP49" s="768" t="str">
        <f t="shared" si="87"/>
        <v/>
      </c>
      <c r="IQ49" s="728" t="str">
        <f t="shared" si="460"/>
        <v/>
      </c>
      <c r="IR49" s="768" t="str">
        <f t="shared" si="89"/>
        <v/>
      </c>
      <c r="IS49" s="769" t="str">
        <f t="shared" si="461"/>
        <v/>
      </c>
      <c r="IT49" s="768" t="str">
        <f t="shared" ref="IT49" si="585">IF(IS49&lt;0,"Invadiu REP-BA-C","")</f>
        <v/>
      </c>
      <c r="IU49" s="769" t="str">
        <f t="shared" si="463"/>
        <v/>
      </c>
      <c r="IV49" s="768" t="str">
        <f t="shared" si="93"/>
        <v/>
      </c>
      <c r="IW49" s="728" t="str">
        <f t="shared" si="464"/>
        <v/>
      </c>
      <c r="IX49" s="768" t="str">
        <f t="shared" si="95"/>
        <v/>
      </c>
      <c r="IY49" s="728" t="str">
        <f t="shared" si="465"/>
        <v/>
      </c>
      <c r="IZ49" s="768" t="str">
        <f t="shared" si="97"/>
        <v/>
      </c>
      <c r="JA49" s="769" t="str">
        <f t="shared" si="466"/>
        <v/>
      </c>
      <c r="JB49" s="768" t="str">
        <f t="shared" ref="JB49" si="586">IF(JA49&lt;0,"Invadiu REP-BA-C","")</f>
        <v/>
      </c>
      <c r="JC49" s="769" t="str">
        <f t="shared" si="468"/>
        <v/>
      </c>
      <c r="JD49" s="768" t="str">
        <f t="shared" si="101"/>
        <v/>
      </c>
      <c r="JE49" s="728" t="str">
        <f t="shared" si="469"/>
        <v/>
      </c>
      <c r="JF49" s="768" t="str">
        <f t="shared" si="103"/>
        <v/>
      </c>
      <c r="JG49" s="728" t="str">
        <f t="shared" si="470"/>
        <v/>
      </c>
      <c r="JH49" s="768" t="str">
        <f t="shared" si="105"/>
        <v/>
      </c>
      <c r="JI49" s="769" t="str">
        <f t="shared" si="471"/>
        <v/>
      </c>
      <c r="JJ49" s="768" t="str">
        <f t="shared" ref="JJ49" si="587">IF(JI49&lt;0,"Invadiu REP-BA-C","")</f>
        <v/>
      </c>
      <c r="JK49" s="769" t="str">
        <f t="shared" si="473"/>
        <v/>
      </c>
      <c r="JL49" s="768" t="str">
        <f t="shared" si="109"/>
        <v/>
      </c>
      <c r="JM49" s="728" t="str">
        <f t="shared" si="474"/>
        <v/>
      </c>
      <c r="JN49" s="768" t="str">
        <f t="shared" si="111"/>
        <v/>
      </c>
      <c r="JO49" s="728" t="str">
        <f t="shared" si="475"/>
        <v/>
      </c>
      <c r="JP49" s="768" t="str">
        <f t="shared" si="113"/>
        <v/>
      </c>
      <c r="JQ49" s="769" t="str">
        <f t="shared" si="476"/>
        <v/>
      </c>
      <c r="JR49" s="768" t="str">
        <f t="shared" ref="JR49" si="588">IF(JQ49&lt;0,"Invadiu REP-BA-C","")</f>
        <v/>
      </c>
      <c r="JS49" s="769" t="str">
        <f t="shared" si="478"/>
        <v/>
      </c>
      <c r="JT49" s="768" t="str">
        <f t="shared" si="117"/>
        <v/>
      </c>
      <c r="JU49" s="728" t="str">
        <f t="shared" si="479"/>
        <v/>
      </c>
      <c r="JV49" s="768" t="str">
        <f t="shared" si="119"/>
        <v/>
      </c>
      <c r="JW49" s="728" t="str">
        <f t="shared" si="480"/>
        <v/>
      </c>
      <c r="JX49" s="768" t="str">
        <f t="shared" si="121"/>
        <v/>
      </c>
      <c r="JY49" s="768" t="str">
        <f t="shared" si="122"/>
        <v/>
      </c>
      <c r="JZ49" s="485" t="str">
        <f>IF(JY49="","",IF(AND(C49=$C$164,JY49&lt;&gt;""),Verificarcpf(D49),IF(AND(C49=$C$165,JY49&lt;&gt;""),VerificarCNPJ(D49))))</f>
        <v/>
      </c>
      <c r="KA49" s="768" t="str">
        <f t="shared" si="123"/>
        <v/>
      </c>
      <c r="KB49" s="485">
        <f t="shared" si="124"/>
        <v>0</v>
      </c>
      <c r="KC49" s="768">
        <f t="shared" si="125"/>
        <v>0</v>
      </c>
      <c r="KD49" s="485">
        <f t="shared" si="126"/>
        <v>0</v>
      </c>
      <c r="KE49" s="448"/>
      <c r="KF49" s="548"/>
      <c r="KG49" s="548"/>
      <c r="KH49" s="548"/>
      <c r="KI49" s="548"/>
      <c r="KJ49" s="548" t="str">
        <f t="shared" si="128"/>
        <v/>
      </c>
      <c r="KK49" s="548"/>
      <c r="KL49" s="548"/>
      <c r="KM49" s="548">
        <f t="array" ref="KM49">IF(SUM((KL49=$KL$3:KL48)*1)=0,KL49,0)</f>
        <v>0</v>
      </c>
      <c r="KN49" s="548"/>
      <c r="KO49" s="548"/>
      <c r="KP49" s="548"/>
      <c r="KQ49" s="548"/>
      <c r="KR49" s="548" t="str">
        <f t="shared" si="129"/>
        <v/>
      </c>
      <c r="KS49" s="548"/>
      <c r="KT49" s="548"/>
      <c r="KU49" s="548"/>
      <c r="KV49" s="548"/>
      <c r="KW49" s="548"/>
      <c r="KX49" s="548"/>
      <c r="KY49" s="548"/>
      <c r="KZ49" s="548"/>
      <c r="LA49" s="548"/>
      <c r="LB49" s="548"/>
      <c r="LC49" s="485" t="str">
        <f t="shared" si="142"/>
        <v/>
      </c>
      <c r="LD49" s="548"/>
      <c r="LE49" s="548"/>
      <c r="LF49" s="548"/>
      <c r="LG49" s="548"/>
      <c r="LH49" s="548"/>
      <c r="LI49" s="548"/>
      <c r="LJ49" s="548"/>
      <c r="LK49" s="548"/>
      <c r="LL49" s="548"/>
      <c r="LM49" s="548"/>
      <c r="LN49" s="548"/>
      <c r="LO49" s="548"/>
      <c r="LP49" s="485" t="str">
        <f t="shared" si="143"/>
        <v/>
      </c>
      <c r="LQ49" s="548"/>
      <c r="LR49" s="548"/>
      <c r="LS49" s="548"/>
      <c r="LT49" s="548"/>
      <c r="LU49" s="548"/>
      <c r="LV49" s="548"/>
      <c r="LW49" s="548"/>
      <c r="LX49" s="548"/>
      <c r="LY49" s="548"/>
      <c r="LZ49" s="548"/>
      <c r="MA49" s="548"/>
      <c r="MB49" s="548"/>
      <c r="MC49" s="485" t="str">
        <f t="shared" si="144"/>
        <v/>
      </c>
      <c r="MD49" s="548"/>
      <c r="ME49" s="548"/>
      <c r="MF49" s="548"/>
      <c r="MG49" s="548"/>
      <c r="MH49" s="548"/>
      <c r="MI49" s="548"/>
      <c r="MJ49" s="548"/>
      <c r="MK49" s="548"/>
      <c r="ML49" s="548"/>
      <c r="MM49" s="548"/>
      <c r="MN49" s="548"/>
      <c r="MO49" s="548"/>
      <c r="MP49" s="485" t="str">
        <f t="shared" si="145"/>
        <v/>
      </c>
      <c r="MQ49" s="548"/>
      <c r="MR49" s="548"/>
      <c r="MS49" s="548"/>
      <c r="MT49" s="548"/>
      <c r="MU49" s="548"/>
      <c r="MV49" s="548"/>
      <c r="MW49" s="548"/>
      <c r="MX49" s="548"/>
      <c r="MY49" s="548"/>
      <c r="MZ49" s="548"/>
      <c r="NA49" s="548"/>
      <c r="NB49" s="548"/>
      <c r="NC49" s="485" t="str">
        <f t="shared" si="146"/>
        <v/>
      </c>
      <c r="ND49" s="548"/>
      <c r="NE49" s="548"/>
      <c r="NF49" s="548"/>
      <c r="NG49" s="548"/>
      <c r="NH49" s="548"/>
      <c r="NI49" s="548"/>
      <c r="NJ49" s="548"/>
      <c r="NK49" s="548"/>
      <c r="NL49" s="548"/>
      <c r="NM49" s="548"/>
      <c r="NN49" s="548"/>
      <c r="NO49" s="548"/>
      <c r="NP49" s="485" t="str">
        <f t="shared" si="147"/>
        <v/>
      </c>
      <c r="NQ49" s="548"/>
      <c r="NR49" s="548"/>
      <c r="NS49" s="548"/>
      <c r="NT49" s="548"/>
      <c r="NU49" s="548"/>
      <c r="NV49" s="548"/>
      <c r="NW49" s="548"/>
      <c r="NX49" s="548"/>
      <c r="NY49" s="548"/>
      <c r="NZ49" s="548"/>
      <c r="OA49" s="548"/>
      <c r="OB49" s="548"/>
      <c r="OC49" s="485" t="str">
        <f t="shared" si="148"/>
        <v/>
      </c>
      <c r="OD49" s="548"/>
      <c r="OE49" s="548"/>
      <c r="OF49" s="548"/>
      <c r="OG49" s="548"/>
      <c r="OH49" s="548"/>
      <c r="OI49" s="548"/>
      <c r="OJ49" s="548"/>
      <c r="OK49" s="548"/>
      <c r="OL49" s="548"/>
      <c r="OM49" s="548"/>
      <c r="ON49" s="548"/>
      <c r="OO49" s="548"/>
      <c r="OP49" s="548"/>
      <c r="OQ49" s="548"/>
      <c r="OR49" s="548"/>
      <c r="OS49" s="548"/>
      <c r="OT49" s="548"/>
      <c r="OU49" s="548"/>
      <c r="OV49" s="548"/>
      <c r="OW49" s="548"/>
      <c r="OX49" s="548"/>
      <c r="OY49" s="548"/>
      <c r="OZ49" s="548"/>
      <c r="PA49" s="548"/>
      <c r="PB49" s="548"/>
      <c r="PC49" s="548"/>
      <c r="PD49" s="548"/>
      <c r="PE49" s="548"/>
      <c r="PF49" s="548"/>
      <c r="PG49" s="548"/>
      <c r="PH49" s="548"/>
      <c r="PI49" s="548"/>
      <c r="PJ49" s="548"/>
      <c r="PK49" s="548"/>
      <c r="PL49" s="548"/>
      <c r="PM49" s="548"/>
      <c r="PN49" s="548"/>
      <c r="PO49" s="548"/>
      <c r="PP49" s="548"/>
      <c r="PQ49" s="548"/>
      <c r="PR49" s="548"/>
      <c r="PS49" s="548"/>
      <c r="PT49" s="548"/>
      <c r="PU49" s="548"/>
      <c r="PV49" s="548"/>
      <c r="PW49" s="548"/>
      <c r="PX49" s="548"/>
      <c r="PY49" s="548"/>
      <c r="PZ49" s="548"/>
      <c r="QA49" s="548"/>
      <c r="QB49" s="548"/>
      <c r="QC49" s="548"/>
      <c r="QD49" s="548"/>
      <c r="QE49" s="548"/>
      <c r="QF49" s="548"/>
      <c r="QG49" s="548"/>
      <c r="QH49" s="548"/>
      <c r="QI49" s="548"/>
      <c r="QJ49" s="548"/>
      <c r="QK49" s="548"/>
      <c r="QL49" s="548"/>
      <c r="QM49" s="548"/>
      <c r="QN49" s="548"/>
      <c r="QO49" s="548"/>
      <c r="QP49" s="548"/>
      <c r="QQ49" s="1009"/>
      <c r="QR49" s="548"/>
      <c r="QS49" s="548"/>
      <c r="QT49" s="548"/>
      <c r="QU49" s="548"/>
      <c r="QV49" s="548"/>
      <c r="QW49" s="548"/>
      <c r="QX49" s="548"/>
      <c r="QY49" s="548"/>
      <c r="QZ49" s="548"/>
      <c r="RA49" s="548"/>
      <c r="RB49" s="548"/>
      <c r="RC49" s="548"/>
      <c r="RD49" s="548"/>
      <c r="RE49" s="548"/>
      <c r="RF49" s="548"/>
      <c r="RG49" s="548"/>
      <c r="RH49" s="548"/>
      <c r="RI49" s="548"/>
      <c r="RJ49" s="548"/>
      <c r="RK49" s="548"/>
      <c r="RL49" s="548"/>
      <c r="RM49" s="548"/>
      <c r="RN49" s="548"/>
      <c r="RO49" s="548"/>
      <c r="RP49" s="548"/>
      <c r="RQ49" s="548"/>
      <c r="RR49" s="548"/>
      <c r="RS49" s="548"/>
      <c r="RT49" s="548"/>
      <c r="RU49" s="548"/>
      <c r="RV49" s="548"/>
      <c r="RW49" s="548"/>
      <c r="RX49" s="548"/>
      <c r="RY49" s="548"/>
      <c r="RZ49" s="548"/>
      <c r="SA49" s="548"/>
      <c r="SB49" s="548"/>
      <c r="SC49" s="548"/>
      <c r="SD49" s="548"/>
      <c r="SE49" s="548"/>
      <c r="SF49" s="548"/>
      <c r="SG49" s="548"/>
      <c r="SH49" s="548"/>
      <c r="SI49" s="548"/>
      <c r="SJ49" s="548"/>
      <c r="SK49" s="548"/>
      <c r="SL49" s="548"/>
      <c r="SM49" s="548"/>
      <c r="SN49" s="548"/>
      <c r="SO49" s="548"/>
      <c r="SP49" s="548"/>
      <c r="SQ49" s="548"/>
      <c r="SR49" s="548"/>
      <c r="SS49" s="548"/>
      <c r="ST49" s="548"/>
      <c r="SU49" s="548"/>
      <c r="SV49" s="548"/>
      <c r="SW49" s="548"/>
      <c r="SX49" s="548"/>
      <c r="SY49" s="548"/>
      <c r="SZ49" s="548"/>
      <c r="TA49" s="548"/>
      <c r="TB49" s="548"/>
      <c r="TC49" s="548"/>
      <c r="TD49" s="548"/>
      <c r="TE49" s="548"/>
      <c r="TF49" s="548"/>
      <c r="TG49" s="548"/>
      <c r="TH49" s="548"/>
      <c r="TI49" s="548"/>
      <c r="TJ49" s="548"/>
      <c r="TK49" s="548"/>
      <c r="TL49" s="548"/>
      <c r="TM49" s="548"/>
      <c r="TN49" s="548"/>
      <c r="TO49" s="548"/>
      <c r="TP49" s="548"/>
      <c r="TQ49" s="548"/>
      <c r="TR49" s="548"/>
      <c r="TS49" s="548"/>
      <c r="TT49" s="548"/>
      <c r="TU49" s="548"/>
      <c r="TV49" s="548"/>
      <c r="TW49" s="548"/>
      <c r="TX49" s="548"/>
      <c r="TY49" s="548"/>
      <c r="TZ49" s="548"/>
      <c r="UA49" s="548"/>
      <c r="UB49" s="548"/>
      <c r="UC49" s="548"/>
      <c r="UD49" s="548"/>
      <c r="UE49" s="548"/>
      <c r="UF49" s="548"/>
      <c r="UG49" s="548"/>
      <c r="UH49" s="548"/>
      <c r="UI49" s="548"/>
      <c r="UJ49" s="548"/>
      <c r="UK49" s="548"/>
      <c r="UL49" s="548"/>
      <c r="UM49" s="548"/>
      <c r="UN49" s="548"/>
      <c r="UO49" s="548"/>
      <c r="UP49" s="548"/>
      <c r="UQ49" s="548"/>
      <c r="UR49" s="548"/>
      <c r="US49" s="548"/>
      <c r="UT49" s="548"/>
      <c r="UU49" s="548"/>
      <c r="UV49" s="548"/>
      <c r="UW49" s="548"/>
      <c r="UX49" s="548"/>
      <c r="UY49" s="548"/>
      <c r="UZ49" s="548"/>
      <c r="VA49" s="548"/>
      <c r="VB49" s="548"/>
      <c r="VC49" s="548"/>
      <c r="VD49" s="548"/>
      <c r="VE49" s="548"/>
      <c r="VF49" s="548"/>
      <c r="VG49" s="548"/>
      <c r="VH49" s="548"/>
      <c r="VI49" s="548"/>
      <c r="VJ49" s="548"/>
      <c r="VK49" s="548"/>
      <c r="VL49" s="548"/>
      <c r="VM49" s="548"/>
      <c r="VN49" s="548"/>
      <c r="VO49" s="548"/>
      <c r="VP49" s="548"/>
      <c r="VQ49" s="548"/>
      <c r="VR49" s="548"/>
      <c r="VS49" s="548"/>
      <c r="VT49" s="548"/>
      <c r="VU49" s="548"/>
      <c r="VV49" s="548"/>
      <c r="VW49" s="548"/>
      <c r="VX49" s="548"/>
      <c r="VY49" s="548"/>
      <c r="VZ49" s="548"/>
      <c r="WA49" s="548"/>
      <c r="WB49" s="548"/>
      <c r="WC49" s="548"/>
      <c r="WD49" s="548"/>
      <c r="WE49" s="548"/>
      <c r="WF49" s="548"/>
      <c r="WG49" s="548"/>
      <c r="WH49" s="548"/>
      <c r="WI49" s="548"/>
      <c r="WJ49" s="548"/>
      <c r="WK49" s="548"/>
      <c r="WL49" s="548"/>
      <c r="WM49" s="548"/>
      <c r="WN49" s="548"/>
      <c r="WO49" s="548"/>
      <c r="WP49" s="548"/>
      <c r="WQ49" s="548"/>
      <c r="WR49" s="548"/>
      <c r="WS49" s="548"/>
      <c r="WT49" s="548"/>
      <c r="WU49" s="548"/>
      <c r="WV49" s="548"/>
      <c r="WW49" s="548"/>
      <c r="WX49" s="548"/>
      <c r="WY49" s="548"/>
      <c r="WZ49" s="548"/>
      <c r="XA49" s="548"/>
      <c r="XB49" s="548"/>
      <c r="XC49" s="548"/>
      <c r="XD49" s="548"/>
      <c r="XE49" s="548"/>
      <c r="XF49" s="548"/>
      <c r="XG49" s="548"/>
      <c r="XH49" s="548"/>
      <c r="XI49" s="548"/>
      <c r="XJ49" s="548"/>
      <c r="XK49" s="548"/>
      <c r="XL49" s="548"/>
      <c r="XM49" s="548"/>
      <c r="XN49" s="548"/>
      <c r="XO49" s="548"/>
      <c r="XP49" s="548"/>
      <c r="XQ49" s="548"/>
      <c r="XR49" s="548"/>
      <c r="XS49" s="548"/>
      <c r="XT49" s="548"/>
      <c r="XU49" s="548"/>
      <c r="XV49" s="548"/>
      <c r="XW49" s="548"/>
      <c r="XX49" s="548"/>
      <c r="XY49" s="548"/>
      <c r="XZ49" s="548"/>
      <c r="YA49" s="548"/>
      <c r="YB49" s="548"/>
      <c r="YC49" s="548"/>
      <c r="YD49" s="548"/>
      <c r="YE49" s="548"/>
      <c r="YF49" s="548"/>
      <c r="YG49" s="548"/>
      <c r="YH49" s="548"/>
      <c r="YI49" s="548"/>
      <c r="YJ49" s="548"/>
      <c r="YK49" s="548"/>
      <c r="YL49" s="548"/>
      <c r="YM49" s="548"/>
      <c r="YN49" s="548"/>
      <c r="YO49" s="548"/>
      <c r="YP49" s="548"/>
      <c r="YQ49" s="548"/>
      <c r="YR49" s="548"/>
      <c r="YS49" s="548"/>
      <c r="YT49" s="548"/>
      <c r="YU49" s="548"/>
      <c r="YV49" s="548"/>
      <c r="YW49" s="548"/>
      <c r="YX49" s="548"/>
      <c r="YY49" s="548"/>
      <c r="YZ49" s="548"/>
      <c r="ZA49" s="548"/>
      <c r="ZB49" s="548"/>
      <c r="ZC49" s="548"/>
      <c r="ZD49" s="548"/>
      <c r="ZE49" s="548"/>
      <c r="ZF49" s="548"/>
      <c r="ZG49" s="548"/>
      <c r="ZH49" s="548"/>
      <c r="ZI49" s="548"/>
      <c r="ZJ49" s="548"/>
      <c r="ZK49" s="548"/>
      <c r="ZL49" s="548"/>
      <c r="ZM49" s="548"/>
      <c r="ZN49" s="548"/>
      <c r="ZO49" s="548"/>
      <c r="ZP49" s="548"/>
      <c r="ZQ49" s="548"/>
      <c r="ZR49" s="548"/>
      <c r="ZS49" s="548"/>
      <c r="ZT49" s="548"/>
      <c r="ZU49" s="548"/>
      <c r="ZV49" s="548"/>
      <c r="ZW49" s="548"/>
      <c r="ZX49" s="548"/>
      <c r="ZY49" s="548"/>
      <c r="ZZ49" s="548"/>
      <c r="AAA49" s="548"/>
      <c r="AAB49" s="548"/>
      <c r="AAC49" s="548"/>
      <c r="AAD49" s="548"/>
      <c r="AAE49" s="548"/>
      <c r="AAF49" s="548"/>
      <c r="AAG49" s="548"/>
      <c r="AAH49" s="548"/>
      <c r="AAI49" s="548"/>
      <c r="AAJ49" s="548"/>
      <c r="AAK49" s="548"/>
      <c r="AAL49" s="548"/>
      <c r="AAM49" s="548"/>
      <c r="AAN49" s="548"/>
      <c r="AAO49" s="548"/>
      <c r="AAP49" s="548"/>
      <c r="AAQ49" s="548"/>
      <c r="AAR49" s="548"/>
      <c r="AAS49" s="548"/>
      <c r="AAT49" s="548"/>
      <c r="AAU49" s="548"/>
      <c r="AAV49" s="548"/>
      <c r="AAW49" s="548"/>
      <c r="AAX49" s="548"/>
      <c r="AAY49" s="548"/>
      <c r="AAZ49" s="548"/>
      <c r="ABA49" s="548"/>
      <c r="ABB49" s="548"/>
      <c r="ABC49" s="548"/>
      <c r="ABD49" s="548"/>
      <c r="ABE49" s="548"/>
      <c r="ABF49" s="548"/>
      <c r="ABG49" s="548"/>
      <c r="ABH49" s="548"/>
      <c r="ABI49" s="548"/>
      <c r="ABJ49" s="548"/>
      <c r="ABK49" s="548"/>
      <c r="ABL49" s="548"/>
      <c r="ABM49" s="548"/>
      <c r="ABN49" s="548"/>
      <c r="ABO49" s="548"/>
      <c r="ABP49" s="548"/>
      <c r="ABQ49" s="548"/>
      <c r="ABR49" s="548"/>
      <c r="ABS49" s="548"/>
    </row>
    <row r="50" spans="1:747" customFormat="1" ht="15" customHeight="1" thickBot="1" x14ac:dyDescent="0.25">
      <c r="A50" s="424" t="str">
        <f t="shared" si="149"/>
        <v/>
      </c>
      <c r="B50" s="415"/>
      <c r="C50" s="525"/>
      <c r="D50" s="750"/>
      <c r="E50" s="416" t="str">
        <f t="shared" si="393"/>
        <v/>
      </c>
      <c r="F50" s="527" t="str">
        <f t="shared" si="394"/>
        <v/>
      </c>
      <c r="G50" s="417"/>
      <c r="H50" s="583" t="str">
        <f t="shared" si="395"/>
        <v/>
      </c>
      <c r="I50" s="424"/>
      <c r="J50" s="419"/>
      <c r="K50" s="418"/>
      <c r="L50" s="419"/>
      <c r="M50" s="415"/>
      <c r="N50" s="420"/>
      <c r="O50" s="421"/>
      <c r="P50" s="561"/>
      <c r="Q50" s="422"/>
      <c r="R50" s="561" t="str">
        <f t="shared" si="396"/>
        <v/>
      </c>
      <c r="S50" s="664"/>
      <c r="T50" s="663"/>
      <c r="U50" s="580">
        <f t="shared" si="397"/>
        <v>0</v>
      </c>
      <c r="V50" s="418"/>
      <c r="W50" s="582" t="str">
        <f t="shared" si="398"/>
        <v/>
      </c>
      <c r="X50" s="479" t="str">
        <f t="shared" si="399"/>
        <v/>
      </c>
      <c r="Y50" s="582" t="str">
        <f t="shared" si="400"/>
        <v/>
      </c>
      <c r="Z50" s="317" t="str">
        <f t="shared" si="401"/>
        <v/>
      </c>
      <c r="AA50" s="317" t="str">
        <f t="shared" si="402"/>
        <v/>
      </c>
      <c r="AB50" s="317">
        <f t="shared" si="403"/>
        <v>0</v>
      </c>
      <c r="AC50" s="317" t="str">
        <f t="shared" si="404"/>
        <v/>
      </c>
      <c r="AD50" s="479"/>
      <c r="AE50" s="479"/>
      <c r="AF50" s="479"/>
      <c r="AG50" s="423"/>
      <c r="AH50" s="820"/>
      <c r="AI50" s="480"/>
      <c r="AJ50" s="660"/>
      <c r="AK50" s="524" t="str">
        <f t="shared" si="405"/>
        <v/>
      </c>
      <c r="AL50" s="731">
        <f>SUMIF($J$4:$J$163,"Futuro",$S$4:$S$163)</f>
        <v>0</v>
      </c>
      <c r="AM50" s="816">
        <f>SUMIF($J$4:$J$163,"Futuro",$T$4:$T$163)</f>
        <v>0</v>
      </c>
      <c r="AN50" s="426">
        <f t="shared" si="406"/>
        <v>0</v>
      </c>
      <c r="AO50" s="427" t="str">
        <f t="shared" si="407"/>
        <v/>
      </c>
      <c r="AP50" s="426" t="str">
        <f t="shared" si="408"/>
        <v/>
      </c>
      <c r="AQ50" s="426"/>
      <c r="AR50" s="426"/>
      <c r="AS50" s="428"/>
      <c r="AT50" s="429"/>
      <c r="AU50" s="430"/>
      <c r="AV50" s="431"/>
      <c r="AW50" s="432"/>
      <c r="AX50" s="430"/>
      <c r="AY50" s="431">
        <f t="shared" si="409"/>
        <v>0</v>
      </c>
      <c r="AZ50" s="426"/>
      <c r="BA50" s="435" t="str">
        <f t="shared" si="410"/>
        <v/>
      </c>
      <c r="BB50" s="435"/>
      <c r="BC50" s="426"/>
      <c r="BD50" s="426">
        <f t="array" ref="BD50">IF(SUM((BC50=$BC$3:BC49)*1)=0,BC50,0)</f>
        <v>0</v>
      </c>
      <c r="BE50" s="426"/>
      <c r="BF50" s="426"/>
      <c r="BG50" s="426">
        <f t="array" ref="BG50">IF(SUM((BF50=$BF$3:BF49)*1)=0,BF50,0)</f>
        <v>0</v>
      </c>
      <c r="BH50" s="426"/>
      <c r="BI50" s="426"/>
      <c r="BJ50" s="426"/>
      <c r="BK50" s="426"/>
      <c r="BL50" s="426"/>
      <c r="BM50" s="426"/>
      <c r="BN50" s="426"/>
      <c r="BO50" s="426"/>
      <c r="BP50" s="433">
        <f t="shared" si="411"/>
        <v>0</v>
      </c>
      <c r="BQ50" s="426"/>
      <c r="BR50" s="434"/>
      <c r="BS50" s="426"/>
      <c r="BT50" s="433"/>
      <c r="BU50" s="435"/>
      <c r="BV50" s="435" t="str">
        <f t="shared" si="412"/>
        <v/>
      </c>
      <c r="BW50" s="435" t="str">
        <f t="shared" si="38"/>
        <v/>
      </c>
      <c r="BX50" s="435"/>
      <c r="BY50" s="435"/>
      <c r="BZ50" s="435"/>
      <c r="CA50" s="435"/>
      <c r="CB50" s="435"/>
      <c r="CC50" s="435"/>
      <c r="CD50" s="435"/>
      <c r="CE50" s="435"/>
      <c r="CF50" s="435"/>
      <c r="CG50" s="435"/>
      <c r="CH50" s="435"/>
      <c r="CI50" s="435"/>
      <c r="CJ50" s="426" t="str">
        <f t="shared" si="39"/>
        <v/>
      </c>
      <c r="CK50" s="435"/>
      <c r="CL50" s="426"/>
      <c r="CM50" s="435"/>
      <c r="CN50" s="426"/>
      <c r="CO50" s="426"/>
      <c r="CP50" s="426"/>
      <c r="CQ50" s="426"/>
      <c r="CR50" s="426"/>
      <c r="CS50" s="426"/>
      <c r="CT50" s="426"/>
      <c r="CU50" s="426"/>
      <c r="CV50" s="426"/>
      <c r="CW50" s="426"/>
      <c r="CX50" s="426"/>
      <c r="CY50" s="426">
        <v>47</v>
      </c>
      <c r="CZ50" s="426"/>
      <c r="DA50" s="426"/>
      <c r="DB50" s="426"/>
      <c r="DC50" s="426" t="s">
        <v>790</v>
      </c>
      <c r="DD50" s="426" t="s">
        <v>950</v>
      </c>
      <c r="DE50" s="435" t="str">
        <f t="shared" si="40"/>
        <v/>
      </c>
      <c r="DF50" s="435" t="str">
        <f t="shared" si="41"/>
        <v/>
      </c>
      <c r="DG50" s="435" t="str">
        <f t="shared" si="42"/>
        <v/>
      </c>
      <c r="DH50" s="435" t="str">
        <f t="shared" si="43"/>
        <v/>
      </c>
      <c r="DI50" s="435" t="str">
        <f t="shared" si="44"/>
        <v/>
      </c>
      <c r="DJ50" s="435" t="str">
        <f t="shared" si="45"/>
        <v/>
      </c>
      <c r="DK50" s="435" t="str">
        <f t="shared" si="413"/>
        <v/>
      </c>
      <c r="DL50" s="435" t="str">
        <f t="shared" si="414"/>
        <v/>
      </c>
      <c r="DM50" s="435" t="str">
        <f t="shared" si="46"/>
        <v/>
      </c>
      <c r="DN50" s="435" t="str">
        <f t="shared" si="47"/>
        <v/>
      </c>
      <c r="DO50" s="435" t="str">
        <f t="shared" si="415"/>
        <v/>
      </c>
      <c r="DP50" s="435" t="str">
        <f t="shared" si="416"/>
        <v/>
      </c>
      <c r="DQ50" s="435" t="str">
        <f t="shared" si="48"/>
        <v/>
      </c>
      <c r="DR50" s="435" t="str">
        <f t="shared" si="49"/>
        <v/>
      </c>
      <c r="DS50" s="435" t="str">
        <f t="shared" si="417"/>
        <v/>
      </c>
      <c r="DT50" s="435" t="str">
        <f t="shared" si="418"/>
        <v/>
      </c>
      <c r="DU50" s="435" t="str">
        <f t="shared" si="50"/>
        <v/>
      </c>
      <c r="DV50" s="435" t="str">
        <f t="shared" si="51"/>
        <v/>
      </c>
      <c r="DW50" s="435" t="str">
        <f t="shared" si="419"/>
        <v/>
      </c>
      <c r="DX50" s="435" t="str">
        <f t="shared" si="420"/>
        <v/>
      </c>
      <c r="DY50" s="435" t="str">
        <f t="shared" si="52"/>
        <v/>
      </c>
      <c r="DZ50" s="435" t="str">
        <f t="shared" si="53"/>
        <v/>
      </c>
      <c r="EA50" s="435" t="str">
        <f t="shared" si="421"/>
        <v/>
      </c>
      <c r="EB50" s="435" t="str">
        <f t="shared" si="422"/>
        <v/>
      </c>
      <c r="EC50" s="435" t="str">
        <f t="shared" si="423"/>
        <v/>
      </c>
      <c r="ED50" s="435" t="str">
        <f t="shared" si="424"/>
        <v/>
      </c>
      <c r="EE50" s="435" t="str">
        <f t="shared" si="425"/>
        <v/>
      </c>
      <c r="EF50" s="435" t="str">
        <f t="shared" si="426"/>
        <v/>
      </c>
      <c r="EG50" s="435" t="str">
        <f t="shared" si="427"/>
        <v/>
      </c>
      <c r="EH50" s="435" t="str">
        <f t="shared" si="428"/>
        <v/>
      </c>
      <c r="EI50" s="435" t="str">
        <f t="shared" si="429"/>
        <v/>
      </c>
      <c r="EJ50" s="435" t="str">
        <f t="shared" si="430"/>
        <v/>
      </c>
      <c r="EK50" s="485"/>
      <c r="EL50" s="485"/>
      <c r="EM50" s="485"/>
      <c r="EN50" s="485"/>
      <c r="EO50" s="448"/>
      <c r="EP50" s="448"/>
      <c r="EQ50" s="448"/>
      <c r="ER50" s="448"/>
      <c r="ES50" s="448"/>
      <c r="ET50" s="435"/>
      <c r="EU50" s="435"/>
      <c r="EV50" s="435"/>
      <c r="EW50" s="435"/>
      <c r="EX50" s="426"/>
      <c r="EY50" s="426"/>
      <c r="EZ50" s="426"/>
      <c r="FA50" s="427"/>
      <c r="FB50" s="427">
        <f t="array" ref="FB50">IF(SUM((FA50=$FA$3:FA49)*1)=0,FA50,0)</f>
        <v>0</v>
      </c>
      <c r="FC50" s="427"/>
      <c r="FD50" s="427"/>
      <c r="FE50" s="427">
        <f t="array" ref="FE50">IF(SUM((FD50=$FD$3:FD49)*1)=0,FD50,0)</f>
        <v>0</v>
      </c>
      <c r="FF50" s="427"/>
      <c r="FG50" s="427"/>
      <c r="FH50" s="427"/>
      <c r="FI50" s="427">
        <f t="array" ref="FI50">IF(SUM((FH50=$FH$3:FH49)*1)=0,FH50,0)</f>
        <v>0</v>
      </c>
      <c r="FJ50" s="427"/>
      <c r="FK50" s="427"/>
      <c r="FL50" s="427">
        <f t="array" ref="FL50">IF(SUM((FK50=$FK$3:FK49)*1)=0,FK50,0)</f>
        <v>0</v>
      </c>
      <c r="FM50" s="427"/>
      <c r="FN50" s="427"/>
      <c r="FO50" s="427"/>
      <c r="FP50" s="427">
        <f t="array" ref="FP50">IF(SUM((FO50=$FO$3:FO49)*1)=0,FO50,0)</f>
        <v>0</v>
      </c>
      <c r="FQ50" s="427"/>
      <c r="FR50" s="427"/>
      <c r="FS50" s="427">
        <f t="array" ref="FS50">IF(SUM((FR50=$FR$3:FR49)*1)=0,FR50,0)</f>
        <v>0</v>
      </c>
      <c r="FT50" s="427"/>
      <c r="FU50" s="427"/>
      <c r="FV50" s="427"/>
      <c r="FW50" s="427">
        <f t="array" ref="FW50">IF(SUM((FV50=$FV$3:FV49)*1)=0,FV50,0)</f>
        <v>0</v>
      </c>
      <c r="FX50" s="427"/>
      <c r="FY50" s="427"/>
      <c r="FZ50" s="427">
        <f t="array" ref="FZ50">IF(SUM((FY50=$FY$3:FY49)*1)=0,FY50,0)</f>
        <v>0</v>
      </c>
      <c r="GA50" s="427"/>
      <c r="GB50" s="427"/>
      <c r="GC50" s="427"/>
      <c r="GD50" s="427">
        <f t="array" ref="GD50">IF(SUM((GC50=$GC$3:GC49)*1)=0,GC50,0)</f>
        <v>0</v>
      </c>
      <c r="GE50" s="427"/>
      <c r="GF50" s="427"/>
      <c r="GG50" s="427">
        <f t="array" ref="GG50">IF(SUM((GF50=$GF$3:GF49)*1)=0,GF50,0)</f>
        <v>0</v>
      </c>
      <c r="GH50" s="427"/>
      <c r="GI50" s="427"/>
      <c r="GJ50" s="427"/>
      <c r="GK50" s="798">
        <f t="array" ref="GK50">IF(SUM((GJ50=$GJ$3:GJ49)*1)=0,GJ50,0)</f>
        <v>0</v>
      </c>
      <c r="GL50" s="427"/>
      <c r="GM50" s="427"/>
      <c r="GN50" s="798">
        <f t="array" ref="GN50">IF(SUM((GM50=$GM$3:GM49)*1)=0,GM50,0)</f>
        <v>0</v>
      </c>
      <c r="GO50" s="427"/>
      <c r="GP50" s="427"/>
      <c r="GQ50" s="427"/>
      <c r="GR50" s="798">
        <f t="array" ref="GR50">IF(SUM((GQ50=$GQ$3:GQ49)*1)=0,GQ50,0)</f>
        <v>0</v>
      </c>
      <c r="GS50" s="427"/>
      <c r="GT50" s="427"/>
      <c r="GU50" s="798">
        <f t="array" ref="GU50">IF(SUM((GT50=$GT$3:GT49)*1)=0,GT50,0)</f>
        <v>0</v>
      </c>
      <c r="GV50" s="427"/>
      <c r="GW50" s="427"/>
      <c r="GX50" s="427"/>
      <c r="GY50" s="798">
        <f t="array" ref="GY50">IF(SUM((GX50=$GX$3:GX49)*1)=0,GX50,0)</f>
        <v>0</v>
      </c>
      <c r="GZ50" s="427"/>
      <c r="HA50" s="427"/>
      <c r="HB50" s="798">
        <f t="array" ref="HB50">IF(SUM((HA50=$HA$3:HA49)*1)=0,HA50,0)</f>
        <v>0</v>
      </c>
      <c r="HC50" s="427"/>
      <c r="HD50" s="427"/>
      <c r="HE50" s="769" t="str">
        <f t="shared" si="130"/>
        <v/>
      </c>
      <c r="HF50" s="768" t="str">
        <f t="shared" ref="HF50" si="589">IF(HE50&lt;0,"Invadiu REP-BA-C","")</f>
        <v/>
      </c>
      <c r="HG50" s="769" t="str">
        <f t="shared" si="131"/>
        <v/>
      </c>
      <c r="HH50" s="768" t="str">
        <f t="shared" si="55"/>
        <v/>
      </c>
      <c r="HI50" s="728" t="str">
        <f t="shared" si="132"/>
        <v/>
      </c>
      <c r="HJ50" s="768" t="str">
        <f t="shared" si="56"/>
        <v/>
      </c>
      <c r="HK50" s="728" t="str">
        <f t="shared" si="133"/>
        <v/>
      </c>
      <c r="HL50" s="768" t="str">
        <f t="shared" si="57"/>
        <v/>
      </c>
      <c r="HM50" s="769" t="str">
        <f t="shared" si="441"/>
        <v/>
      </c>
      <c r="HN50" s="768" t="str">
        <f t="shared" ref="HN50" si="590">IF(HM50&lt;0,"Invadiu REP-BA-C","")</f>
        <v/>
      </c>
      <c r="HO50" s="769" t="str">
        <f t="shared" si="443"/>
        <v/>
      </c>
      <c r="HP50" s="768" t="str">
        <f t="shared" si="61"/>
        <v/>
      </c>
      <c r="HQ50" s="728" t="str">
        <f t="shared" si="444"/>
        <v/>
      </c>
      <c r="HR50" s="768" t="str">
        <f t="shared" si="63"/>
        <v/>
      </c>
      <c r="HS50" s="728" t="str">
        <f t="shared" si="445"/>
        <v/>
      </c>
      <c r="HT50" s="768" t="str">
        <f t="shared" si="65"/>
        <v/>
      </c>
      <c r="HU50" s="769" t="str">
        <f t="shared" si="446"/>
        <v/>
      </c>
      <c r="HV50" s="768" t="str">
        <f t="shared" ref="HV50" si="591">IF(HU50&lt;0,"Invadiu REP-BA-C","")</f>
        <v/>
      </c>
      <c r="HW50" s="769" t="str">
        <f t="shared" si="448"/>
        <v/>
      </c>
      <c r="HX50" s="768" t="str">
        <f t="shared" si="69"/>
        <v/>
      </c>
      <c r="HY50" s="728" t="str">
        <f t="shared" si="449"/>
        <v/>
      </c>
      <c r="HZ50" s="768" t="str">
        <f t="shared" si="71"/>
        <v/>
      </c>
      <c r="IA50" s="728" t="str">
        <f t="shared" si="450"/>
        <v/>
      </c>
      <c r="IB50" s="768" t="str">
        <f t="shared" si="73"/>
        <v/>
      </c>
      <c r="IC50" s="769" t="str">
        <f t="shared" si="451"/>
        <v/>
      </c>
      <c r="ID50" s="768" t="str">
        <f t="shared" ref="ID50" si="592">IF(IC50&lt;0,"Invadiu REP-BA-C","")</f>
        <v/>
      </c>
      <c r="IE50" s="769" t="str">
        <f t="shared" si="453"/>
        <v/>
      </c>
      <c r="IF50" s="768" t="str">
        <f t="shared" si="77"/>
        <v/>
      </c>
      <c r="IG50" s="728" t="str">
        <f t="shared" si="454"/>
        <v/>
      </c>
      <c r="IH50" s="768" t="str">
        <f t="shared" si="79"/>
        <v/>
      </c>
      <c r="II50" s="728" t="str">
        <f t="shared" si="455"/>
        <v/>
      </c>
      <c r="IJ50" s="768" t="str">
        <f t="shared" si="81"/>
        <v/>
      </c>
      <c r="IK50" s="769" t="str">
        <f t="shared" si="456"/>
        <v/>
      </c>
      <c r="IL50" s="768" t="str">
        <f t="shared" ref="IL50" si="593">IF(IK50&lt;0,"Invadiu REP-BA-C","")</f>
        <v/>
      </c>
      <c r="IM50" s="769" t="str">
        <f t="shared" si="458"/>
        <v/>
      </c>
      <c r="IN50" s="768" t="str">
        <f t="shared" si="85"/>
        <v/>
      </c>
      <c r="IO50" s="728" t="str">
        <f t="shared" si="459"/>
        <v/>
      </c>
      <c r="IP50" s="768" t="str">
        <f t="shared" si="87"/>
        <v/>
      </c>
      <c r="IQ50" s="728" t="str">
        <f t="shared" si="460"/>
        <v/>
      </c>
      <c r="IR50" s="768" t="str">
        <f t="shared" si="89"/>
        <v/>
      </c>
      <c r="IS50" s="769" t="str">
        <f t="shared" si="461"/>
        <v/>
      </c>
      <c r="IT50" s="768" t="str">
        <f t="shared" ref="IT50" si="594">IF(IS50&lt;0,"Invadiu REP-BA-C","")</f>
        <v/>
      </c>
      <c r="IU50" s="769" t="str">
        <f t="shared" si="463"/>
        <v/>
      </c>
      <c r="IV50" s="768" t="str">
        <f t="shared" si="93"/>
        <v/>
      </c>
      <c r="IW50" s="728" t="str">
        <f t="shared" si="464"/>
        <v/>
      </c>
      <c r="IX50" s="768" t="str">
        <f t="shared" si="95"/>
        <v/>
      </c>
      <c r="IY50" s="728" t="str">
        <f t="shared" si="465"/>
        <v/>
      </c>
      <c r="IZ50" s="768" t="str">
        <f t="shared" si="97"/>
        <v/>
      </c>
      <c r="JA50" s="769" t="str">
        <f t="shared" si="466"/>
        <v/>
      </c>
      <c r="JB50" s="768" t="str">
        <f t="shared" ref="JB50" si="595">IF(JA50&lt;0,"Invadiu REP-BA-C","")</f>
        <v/>
      </c>
      <c r="JC50" s="769" t="str">
        <f t="shared" si="468"/>
        <v/>
      </c>
      <c r="JD50" s="768" t="str">
        <f t="shared" si="101"/>
        <v/>
      </c>
      <c r="JE50" s="728" t="str">
        <f t="shared" si="469"/>
        <v/>
      </c>
      <c r="JF50" s="768" t="str">
        <f t="shared" si="103"/>
        <v/>
      </c>
      <c r="JG50" s="728" t="str">
        <f t="shared" si="470"/>
        <v/>
      </c>
      <c r="JH50" s="768" t="str">
        <f t="shared" si="105"/>
        <v/>
      </c>
      <c r="JI50" s="769" t="str">
        <f t="shared" si="471"/>
        <v/>
      </c>
      <c r="JJ50" s="768" t="str">
        <f t="shared" ref="JJ50" si="596">IF(JI50&lt;0,"Invadiu REP-BA-C","")</f>
        <v/>
      </c>
      <c r="JK50" s="769" t="str">
        <f t="shared" si="473"/>
        <v/>
      </c>
      <c r="JL50" s="768" t="str">
        <f t="shared" si="109"/>
        <v/>
      </c>
      <c r="JM50" s="728" t="str">
        <f t="shared" si="474"/>
        <v/>
      </c>
      <c r="JN50" s="768" t="str">
        <f t="shared" si="111"/>
        <v/>
      </c>
      <c r="JO50" s="728" t="str">
        <f t="shared" si="475"/>
        <v/>
      </c>
      <c r="JP50" s="768" t="str">
        <f t="shared" si="113"/>
        <v/>
      </c>
      <c r="JQ50" s="769" t="str">
        <f t="shared" si="476"/>
        <v/>
      </c>
      <c r="JR50" s="768" t="str">
        <f t="shared" ref="JR50" si="597">IF(JQ50&lt;0,"Invadiu REP-BA-C","")</f>
        <v/>
      </c>
      <c r="JS50" s="769" t="str">
        <f t="shared" si="478"/>
        <v/>
      </c>
      <c r="JT50" s="768" t="str">
        <f t="shared" si="117"/>
        <v/>
      </c>
      <c r="JU50" s="728" t="str">
        <f t="shared" si="479"/>
        <v/>
      </c>
      <c r="JV50" s="768" t="str">
        <f t="shared" si="119"/>
        <v/>
      </c>
      <c r="JW50" s="728" t="str">
        <f t="shared" si="480"/>
        <v/>
      </c>
      <c r="JX50" s="768" t="str">
        <f t="shared" si="121"/>
        <v/>
      </c>
      <c r="JY50" s="768" t="str">
        <f t="shared" si="122"/>
        <v/>
      </c>
      <c r="JZ50" s="485" t="str">
        <f>IF(JY50="","",IF(AND(C50=$C$164,JY50&lt;&gt;""),Verificarcpf(D50),IF(AND(C50=$C$165,JY50&lt;&gt;""),VerificarCNPJ(D50))))</f>
        <v/>
      </c>
      <c r="KA50" s="768" t="str">
        <f t="shared" si="123"/>
        <v/>
      </c>
      <c r="KB50" s="485">
        <f t="shared" si="124"/>
        <v>0</v>
      </c>
      <c r="KC50" s="768">
        <f t="shared" si="125"/>
        <v>0</v>
      </c>
      <c r="KD50" s="485">
        <f t="shared" si="126"/>
        <v>0</v>
      </c>
      <c r="KE50" s="448"/>
      <c r="KF50" s="548"/>
      <c r="KG50" s="548"/>
      <c r="KH50" s="548"/>
      <c r="KI50" s="548"/>
      <c r="KJ50" s="548" t="str">
        <f t="shared" si="128"/>
        <v/>
      </c>
      <c r="KK50" s="548"/>
      <c r="KL50" s="548"/>
      <c r="KM50" s="548">
        <f t="array" ref="KM50">IF(SUM((KL50=$KL$3:KL49)*1)=0,KL50,0)</f>
        <v>0</v>
      </c>
      <c r="KN50" s="548"/>
      <c r="KO50" s="548"/>
      <c r="KP50" s="548"/>
      <c r="KQ50" s="548"/>
      <c r="KR50" s="548" t="str">
        <f t="shared" si="129"/>
        <v/>
      </c>
      <c r="KS50" s="548"/>
      <c r="KT50" s="548"/>
      <c r="KU50" s="548"/>
      <c r="KV50" s="548"/>
      <c r="KW50" s="548"/>
      <c r="KX50" s="548"/>
      <c r="KY50" s="548"/>
      <c r="KZ50" s="548"/>
      <c r="LA50" s="548"/>
      <c r="LB50" s="548"/>
      <c r="LC50" s="485" t="str">
        <f t="shared" si="142"/>
        <v/>
      </c>
      <c r="LD50" s="548"/>
      <c r="LE50" s="548"/>
      <c r="LF50" s="548"/>
      <c r="LG50" s="548"/>
      <c r="LH50" s="548"/>
      <c r="LI50" s="548"/>
      <c r="LJ50" s="548"/>
      <c r="LK50" s="548"/>
      <c r="LL50" s="548"/>
      <c r="LM50" s="548"/>
      <c r="LN50" s="548"/>
      <c r="LO50" s="548"/>
      <c r="LP50" s="485" t="str">
        <f t="shared" si="143"/>
        <v/>
      </c>
      <c r="LQ50" s="548"/>
      <c r="LR50" s="548"/>
      <c r="LS50" s="548"/>
      <c r="LT50" s="548"/>
      <c r="LU50" s="548"/>
      <c r="LV50" s="548"/>
      <c r="LW50" s="548"/>
      <c r="LX50" s="548"/>
      <c r="LY50" s="548"/>
      <c r="LZ50" s="548"/>
      <c r="MA50" s="548"/>
      <c r="MB50" s="548"/>
      <c r="MC50" s="485" t="str">
        <f t="shared" si="144"/>
        <v/>
      </c>
      <c r="MD50" s="548"/>
      <c r="ME50" s="548"/>
      <c r="MF50" s="548"/>
      <c r="MG50" s="548"/>
      <c r="MH50" s="548"/>
      <c r="MI50" s="548"/>
      <c r="MJ50" s="548"/>
      <c r="MK50" s="548"/>
      <c r="ML50" s="548"/>
      <c r="MM50" s="548"/>
      <c r="MN50" s="548"/>
      <c r="MO50" s="548"/>
      <c r="MP50" s="485" t="str">
        <f t="shared" si="145"/>
        <v/>
      </c>
      <c r="MQ50" s="548"/>
      <c r="MR50" s="548"/>
      <c r="MS50" s="548"/>
      <c r="MT50" s="548"/>
      <c r="MU50" s="548"/>
      <c r="MV50" s="548"/>
      <c r="MW50" s="548"/>
      <c r="MX50" s="548"/>
      <c r="MY50" s="548"/>
      <c r="MZ50" s="548"/>
      <c r="NA50" s="548"/>
      <c r="NB50" s="548"/>
      <c r="NC50" s="485" t="str">
        <f t="shared" si="146"/>
        <v/>
      </c>
      <c r="ND50" s="548"/>
      <c r="NE50" s="548"/>
      <c r="NF50" s="548"/>
      <c r="NG50" s="548"/>
      <c r="NH50" s="548"/>
      <c r="NI50" s="548"/>
      <c r="NJ50" s="548"/>
      <c r="NK50" s="548"/>
      <c r="NL50" s="548"/>
      <c r="NM50" s="548"/>
      <c r="NN50" s="548"/>
      <c r="NO50" s="548"/>
      <c r="NP50" s="485" t="str">
        <f t="shared" si="147"/>
        <v/>
      </c>
      <c r="NQ50" s="548"/>
      <c r="NR50" s="548"/>
      <c r="NS50" s="548"/>
      <c r="NT50" s="548"/>
      <c r="NU50" s="548"/>
      <c r="NV50" s="548"/>
      <c r="NW50" s="548"/>
      <c r="NX50" s="548"/>
      <c r="NY50" s="548"/>
      <c r="NZ50" s="548"/>
      <c r="OA50" s="548"/>
      <c r="OB50" s="548"/>
      <c r="OC50" s="485" t="str">
        <f t="shared" si="148"/>
        <v/>
      </c>
      <c r="OD50" s="548"/>
      <c r="OE50" s="548"/>
      <c r="OF50" s="548"/>
      <c r="OG50" s="548"/>
      <c r="OH50" s="548"/>
      <c r="OI50" s="548"/>
      <c r="OJ50" s="548"/>
      <c r="OK50" s="548"/>
      <c r="OL50" s="548"/>
      <c r="OM50" s="548"/>
      <c r="ON50" s="548"/>
      <c r="OO50" s="548"/>
      <c r="OP50" s="548"/>
      <c r="OQ50" s="548"/>
      <c r="OR50" s="548"/>
      <c r="OS50" s="548"/>
      <c r="OT50" s="548"/>
      <c r="OU50" s="548"/>
      <c r="OV50" s="548"/>
      <c r="OW50" s="548"/>
      <c r="OX50" s="548"/>
      <c r="OY50" s="548"/>
      <c r="OZ50" s="548"/>
      <c r="PA50" s="548"/>
      <c r="PB50" s="548"/>
      <c r="PC50" s="548"/>
      <c r="PD50" s="548"/>
      <c r="PE50" s="548"/>
      <c r="PF50" s="548"/>
      <c r="PG50" s="548"/>
      <c r="PH50" s="548"/>
      <c r="PI50" s="548"/>
      <c r="PJ50" s="548"/>
      <c r="PK50" s="548"/>
      <c r="PL50" s="548"/>
      <c r="PM50" s="548"/>
      <c r="PN50" s="548"/>
      <c r="PO50" s="548"/>
      <c r="PP50" s="548"/>
      <c r="PQ50" s="548"/>
      <c r="PR50" s="548"/>
      <c r="PS50" s="548"/>
      <c r="PT50" s="548"/>
      <c r="PU50" s="548"/>
      <c r="PV50" s="548"/>
      <c r="PW50" s="548"/>
      <c r="PX50" s="548"/>
      <c r="PY50" s="548"/>
      <c r="PZ50" s="548"/>
      <c r="QA50" s="548"/>
      <c r="QB50" s="548"/>
      <c r="QC50" s="548"/>
      <c r="QD50" s="548"/>
      <c r="QE50" s="548"/>
      <c r="QF50" s="548"/>
      <c r="QG50" s="548"/>
      <c r="QH50" s="548"/>
      <c r="QI50" s="548"/>
      <c r="QJ50" s="548"/>
      <c r="QK50" s="548"/>
      <c r="QL50" s="548"/>
      <c r="QM50" s="548"/>
      <c r="QN50" s="548"/>
      <c r="QO50" s="548"/>
      <c r="QP50" s="548"/>
      <c r="QQ50" s="1009"/>
      <c r="QR50" s="548"/>
      <c r="QS50" s="548"/>
      <c r="QT50" s="548"/>
      <c r="QU50" s="548"/>
      <c r="QV50" s="548"/>
      <c r="QW50" s="548"/>
      <c r="QX50" s="548"/>
      <c r="QY50" s="548"/>
      <c r="QZ50" s="548"/>
      <c r="RA50" s="548"/>
      <c r="RB50" s="548"/>
      <c r="RC50" s="548"/>
      <c r="RD50" s="548"/>
      <c r="RE50" s="548"/>
      <c r="RF50" s="548"/>
      <c r="RG50" s="548"/>
      <c r="RH50" s="548"/>
      <c r="RI50" s="548"/>
      <c r="RJ50" s="548"/>
      <c r="RK50" s="548"/>
      <c r="RL50" s="548"/>
      <c r="RM50" s="548"/>
      <c r="RN50" s="548"/>
      <c r="RO50" s="548"/>
      <c r="RP50" s="548"/>
      <c r="RQ50" s="548"/>
      <c r="RR50" s="548"/>
      <c r="RS50" s="548"/>
      <c r="RT50" s="548"/>
      <c r="RU50" s="548"/>
      <c r="RV50" s="548"/>
      <c r="RW50" s="548"/>
      <c r="RX50" s="548"/>
      <c r="RY50" s="548"/>
      <c r="RZ50" s="548"/>
      <c r="SA50" s="548"/>
      <c r="SB50" s="548"/>
      <c r="SC50" s="548"/>
      <c r="SD50" s="548"/>
      <c r="SE50" s="548"/>
      <c r="SF50" s="548"/>
      <c r="SG50" s="548"/>
      <c r="SH50" s="548"/>
      <c r="SI50" s="548"/>
      <c r="SJ50" s="548"/>
      <c r="SK50" s="548"/>
      <c r="SL50" s="548"/>
      <c r="SM50" s="548"/>
      <c r="SN50" s="548"/>
      <c r="SO50" s="548"/>
      <c r="SP50" s="548"/>
      <c r="SQ50" s="548"/>
      <c r="SR50" s="548"/>
      <c r="SS50" s="548"/>
      <c r="ST50" s="548"/>
      <c r="SU50" s="548"/>
      <c r="SV50" s="548"/>
      <c r="SW50" s="548"/>
      <c r="SX50" s="548"/>
      <c r="SY50" s="548"/>
      <c r="SZ50" s="548"/>
      <c r="TA50" s="548"/>
      <c r="TB50" s="548"/>
      <c r="TC50" s="548"/>
      <c r="TD50" s="548"/>
      <c r="TE50" s="548"/>
      <c r="TF50" s="548"/>
      <c r="TG50" s="548"/>
      <c r="TH50" s="548"/>
      <c r="TI50" s="548"/>
      <c r="TJ50" s="548"/>
      <c r="TK50" s="548"/>
      <c r="TL50" s="548"/>
      <c r="TM50" s="548"/>
      <c r="TN50" s="548"/>
      <c r="TO50" s="548"/>
      <c r="TP50" s="548"/>
      <c r="TQ50" s="548"/>
      <c r="TR50" s="548"/>
      <c r="TS50" s="548"/>
      <c r="TT50" s="548"/>
      <c r="TU50" s="548"/>
      <c r="TV50" s="548"/>
      <c r="TW50" s="548"/>
      <c r="TX50" s="548"/>
      <c r="TY50" s="548"/>
      <c r="TZ50" s="548"/>
      <c r="UA50" s="548"/>
      <c r="UB50" s="548"/>
      <c r="UC50" s="548"/>
      <c r="UD50" s="548"/>
      <c r="UE50" s="548"/>
      <c r="UF50" s="548"/>
      <c r="UG50" s="548"/>
      <c r="UH50" s="548"/>
      <c r="UI50" s="548"/>
      <c r="UJ50" s="548"/>
      <c r="UK50" s="548"/>
      <c r="UL50" s="548"/>
      <c r="UM50" s="548"/>
      <c r="UN50" s="548"/>
      <c r="UO50" s="548"/>
      <c r="UP50" s="548"/>
      <c r="UQ50" s="548"/>
      <c r="UR50" s="548"/>
      <c r="US50" s="548"/>
      <c r="UT50" s="548"/>
      <c r="UU50" s="548"/>
      <c r="UV50" s="548"/>
      <c r="UW50" s="548"/>
      <c r="UX50" s="548"/>
      <c r="UY50" s="548"/>
      <c r="UZ50" s="548"/>
      <c r="VA50" s="548"/>
      <c r="VB50" s="548"/>
      <c r="VC50" s="548"/>
      <c r="VD50" s="548"/>
      <c r="VE50" s="548"/>
      <c r="VF50" s="548"/>
      <c r="VG50" s="548"/>
      <c r="VH50" s="548"/>
      <c r="VI50" s="548"/>
      <c r="VJ50" s="548"/>
      <c r="VK50" s="548"/>
      <c r="VL50" s="548"/>
      <c r="VM50" s="548"/>
      <c r="VN50" s="548"/>
      <c r="VO50" s="548"/>
      <c r="VP50" s="548"/>
      <c r="VQ50" s="548"/>
      <c r="VR50" s="548"/>
      <c r="VS50" s="548"/>
      <c r="VT50" s="548"/>
      <c r="VU50" s="548"/>
      <c r="VV50" s="548"/>
      <c r="VW50" s="548"/>
      <c r="VX50" s="548"/>
      <c r="VY50" s="548"/>
      <c r="VZ50" s="548"/>
      <c r="WA50" s="548"/>
      <c r="WB50" s="548"/>
      <c r="WC50" s="548"/>
      <c r="WD50" s="548"/>
      <c r="WE50" s="548"/>
      <c r="WF50" s="548"/>
      <c r="WG50" s="548"/>
      <c r="WH50" s="548"/>
      <c r="WI50" s="548"/>
      <c r="WJ50" s="548"/>
      <c r="WK50" s="548"/>
      <c r="WL50" s="548"/>
      <c r="WM50" s="548"/>
      <c r="WN50" s="548"/>
      <c r="WO50" s="548"/>
      <c r="WP50" s="548"/>
      <c r="WQ50" s="548"/>
      <c r="WR50" s="548"/>
      <c r="WS50" s="548"/>
      <c r="WT50" s="548"/>
      <c r="WU50" s="548"/>
      <c r="WV50" s="548"/>
      <c r="WW50" s="548"/>
      <c r="WX50" s="548"/>
      <c r="WY50" s="548"/>
      <c r="WZ50" s="548"/>
      <c r="XA50" s="548"/>
      <c r="XB50" s="548"/>
      <c r="XC50" s="548"/>
      <c r="XD50" s="548"/>
      <c r="XE50" s="548"/>
      <c r="XF50" s="548"/>
      <c r="XG50" s="548"/>
      <c r="XH50" s="548"/>
      <c r="XI50" s="548"/>
      <c r="XJ50" s="548"/>
      <c r="XK50" s="548"/>
      <c r="XL50" s="548"/>
      <c r="XM50" s="548"/>
      <c r="XN50" s="548"/>
      <c r="XO50" s="548"/>
      <c r="XP50" s="548"/>
      <c r="XQ50" s="548"/>
      <c r="XR50" s="548"/>
      <c r="XS50" s="548"/>
      <c r="XT50" s="548"/>
      <c r="XU50" s="548"/>
      <c r="XV50" s="548"/>
      <c r="XW50" s="548"/>
      <c r="XX50" s="548"/>
      <c r="XY50" s="548"/>
      <c r="XZ50" s="548"/>
      <c r="YA50" s="548"/>
      <c r="YB50" s="548"/>
      <c r="YC50" s="548"/>
      <c r="YD50" s="548"/>
      <c r="YE50" s="548"/>
      <c r="YF50" s="548"/>
      <c r="YG50" s="548"/>
      <c r="YH50" s="548"/>
      <c r="YI50" s="548"/>
      <c r="YJ50" s="548"/>
      <c r="YK50" s="548"/>
      <c r="YL50" s="548"/>
      <c r="YM50" s="548"/>
      <c r="YN50" s="548"/>
      <c r="YO50" s="548"/>
      <c r="YP50" s="548"/>
      <c r="YQ50" s="548"/>
      <c r="YR50" s="548"/>
      <c r="YS50" s="548"/>
      <c r="YT50" s="548"/>
      <c r="YU50" s="548"/>
      <c r="YV50" s="548"/>
      <c r="YW50" s="548"/>
      <c r="YX50" s="548"/>
      <c r="YY50" s="548"/>
      <c r="YZ50" s="548"/>
      <c r="ZA50" s="548"/>
      <c r="ZB50" s="548"/>
      <c r="ZC50" s="548"/>
      <c r="ZD50" s="548"/>
      <c r="ZE50" s="548"/>
      <c r="ZF50" s="548"/>
      <c r="ZG50" s="548"/>
      <c r="ZH50" s="548"/>
      <c r="ZI50" s="548"/>
      <c r="ZJ50" s="548"/>
      <c r="ZK50" s="548"/>
      <c r="ZL50" s="548"/>
      <c r="ZM50" s="548"/>
      <c r="ZN50" s="548"/>
      <c r="ZO50" s="548"/>
      <c r="ZP50" s="548"/>
      <c r="ZQ50" s="548"/>
      <c r="ZR50" s="548"/>
      <c r="ZS50" s="548"/>
      <c r="ZT50" s="548"/>
      <c r="ZU50" s="548"/>
      <c r="ZV50" s="548"/>
      <c r="ZW50" s="548"/>
      <c r="ZX50" s="548"/>
      <c r="ZY50" s="548"/>
      <c r="ZZ50" s="548"/>
      <c r="AAA50" s="548"/>
      <c r="AAB50" s="548"/>
      <c r="AAC50" s="548"/>
      <c r="AAD50" s="548"/>
      <c r="AAE50" s="548"/>
      <c r="AAF50" s="548"/>
      <c r="AAG50" s="548"/>
      <c r="AAH50" s="548"/>
      <c r="AAI50" s="548"/>
      <c r="AAJ50" s="548"/>
      <c r="AAK50" s="548"/>
      <c r="AAL50" s="548"/>
      <c r="AAM50" s="548"/>
      <c r="AAN50" s="548"/>
      <c r="AAO50" s="548"/>
      <c r="AAP50" s="548"/>
      <c r="AAQ50" s="548"/>
      <c r="AAR50" s="548"/>
      <c r="AAS50" s="548"/>
      <c r="AAT50" s="548"/>
      <c r="AAU50" s="548"/>
      <c r="AAV50" s="548"/>
      <c r="AAW50" s="548"/>
      <c r="AAX50" s="548"/>
      <c r="AAY50" s="548"/>
      <c r="AAZ50" s="548"/>
      <c r="ABA50" s="548"/>
      <c r="ABB50" s="548"/>
      <c r="ABC50" s="548"/>
      <c r="ABD50" s="548"/>
      <c r="ABE50" s="548"/>
      <c r="ABF50" s="548"/>
      <c r="ABG50" s="548"/>
      <c r="ABH50" s="548"/>
      <c r="ABI50" s="548"/>
      <c r="ABJ50" s="548"/>
      <c r="ABK50" s="548"/>
      <c r="ABL50" s="548"/>
      <c r="ABM50" s="548"/>
      <c r="ABN50" s="548"/>
      <c r="ABO50" s="548"/>
      <c r="ABP50" s="548"/>
      <c r="ABQ50" s="548"/>
      <c r="ABR50" s="548"/>
      <c r="ABS50" s="548"/>
    </row>
    <row r="51" spans="1:747" customFormat="1" ht="15" customHeight="1" thickBot="1" x14ac:dyDescent="0.25">
      <c r="A51" s="424" t="str">
        <f t="shared" si="149"/>
        <v/>
      </c>
      <c r="B51" s="415"/>
      <c r="C51" s="525"/>
      <c r="D51" s="750"/>
      <c r="E51" s="416" t="str">
        <f t="shared" si="393"/>
        <v/>
      </c>
      <c r="F51" s="527" t="str">
        <f t="shared" si="394"/>
        <v/>
      </c>
      <c r="G51" s="417"/>
      <c r="H51" s="583" t="str">
        <f t="shared" si="395"/>
        <v/>
      </c>
      <c r="I51" s="424"/>
      <c r="J51" s="419"/>
      <c r="K51" s="418"/>
      <c r="L51" s="419"/>
      <c r="M51" s="415"/>
      <c r="N51" s="420"/>
      <c r="O51" s="421"/>
      <c r="P51" s="561"/>
      <c r="Q51" s="422"/>
      <c r="R51" s="561" t="str">
        <f t="shared" si="396"/>
        <v/>
      </c>
      <c r="S51" s="664"/>
      <c r="T51" s="663"/>
      <c r="U51" s="580">
        <f t="shared" si="397"/>
        <v>0</v>
      </c>
      <c r="V51" s="418"/>
      <c r="W51" s="582" t="str">
        <f t="shared" si="398"/>
        <v/>
      </c>
      <c r="X51" s="479" t="str">
        <f t="shared" si="399"/>
        <v/>
      </c>
      <c r="Y51" s="582" t="str">
        <f t="shared" si="400"/>
        <v/>
      </c>
      <c r="Z51" s="317" t="str">
        <f t="shared" si="401"/>
        <v/>
      </c>
      <c r="AA51" s="317" t="str">
        <f t="shared" si="402"/>
        <v/>
      </c>
      <c r="AB51" s="317">
        <f t="shared" si="403"/>
        <v>0</v>
      </c>
      <c r="AC51" s="317" t="str">
        <f t="shared" si="404"/>
        <v/>
      </c>
      <c r="AD51" s="479"/>
      <c r="AE51" s="479"/>
      <c r="AF51" s="479"/>
      <c r="AG51" s="423"/>
      <c r="AH51" s="820"/>
      <c r="AI51" s="480"/>
      <c r="AJ51" s="660"/>
      <c r="AK51" s="524" t="str">
        <f t="shared" si="405"/>
        <v/>
      </c>
      <c r="AL51" s="748" t="str">
        <f>IF(Dados!$E$3="","",($HU$2+$HW$2)-$AL$50)</f>
        <v/>
      </c>
      <c r="AM51" s="753" t="str">
        <f>IF(Dados!$E$3="","",($HY$2+$IA$2)-$AM$50)</f>
        <v/>
      </c>
      <c r="AN51" s="426">
        <f t="shared" si="406"/>
        <v>0</v>
      </c>
      <c r="AO51" s="427" t="str">
        <f t="shared" si="407"/>
        <v/>
      </c>
      <c r="AP51" s="426" t="str">
        <f t="shared" si="408"/>
        <v/>
      </c>
      <c r="AQ51" s="426"/>
      <c r="AR51" s="426"/>
      <c r="AS51" s="428"/>
      <c r="AT51" s="429"/>
      <c r="AU51" s="430"/>
      <c r="AV51" s="431"/>
      <c r="AW51" s="432"/>
      <c r="AX51" s="430"/>
      <c r="AY51" s="431">
        <f t="shared" si="409"/>
        <v>0</v>
      </c>
      <c r="AZ51" s="426"/>
      <c r="BA51" s="435" t="str">
        <f t="shared" si="410"/>
        <v/>
      </c>
      <c r="BB51" s="435"/>
      <c r="BC51" s="426"/>
      <c r="BD51" s="426">
        <f t="array" ref="BD51">IF(SUM((BC51=$BC$3:BC50)*1)=0,BC51,0)</f>
        <v>0</v>
      </c>
      <c r="BE51" s="426"/>
      <c r="BF51" s="426"/>
      <c r="BG51" s="426">
        <f t="array" ref="BG51">IF(SUM((BF51=$BF$3:BF50)*1)=0,BF51,0)</f>
        <v>0</v>
      </c>
      <c r="BH51" s="426"/>
      <c r="BI51" s="426"/>
      <c r="BJ51" s="426"/>
      <c r="BK51" s="426"/>
      <c r="BL51" s="426"/>
      <c r="BM51" s="426"/>
      <c r="BN51" s="426"/>
      <c r="BO51" s="426"/>
      <c r="BP51" s="433">
        <f t="shared" si="411"/>
        <v>0</v>
      </c>
      <c r="BQ51" s="426"/>
      <c r="BR51" s="434"/>
      <c r="BS51" s="426"/>
      <c r="BT51" s="433"/>
      <c r="BU51" s="435"/>
      <c r="BV51" s="435" t="str">
        <f t="shared" si="412"/>
        <v/>
      </c>
      <c r="BW51" s="435" t="str">
        <f t="shared" si="38"/>
        <v/>
      </c>
      <c r="BX51" s="435"/>
      <c r="BY51" s="435"/>
      <c r="BZ51" s="435"/>
      <c r="CA51" s="435"/>
      <c r="CB51" s="435"/>
      <c r="CC51" s="435"/>
      <c r="CD51" s="435"/>
      <c r="CE51" s="435"/>
      <c r="CF51" s="435"/>
      <c r="CG51" s="435"/>
      <c r="CH51" s="435"/>
      <c r="CI51" s="435"/>
      <c r="CJ51" s="426" t="str">
        <f t="shared" si="39"/>
        <v/>
      </c>
      <c r="CK51" s="435"/>
      <c r="CL51" s="426"/>
      <c r="CM51" s="435"/>
      <c r="CN51" s="426"/>
      <c r="CO51" s="426"/>
      <c r="CP51" s="426"/>
      <c r="CQ51" s="426"/>
      <c r="CR51" s="426"/>
      <c r="CS51" s="426"/>
      <c r="CT51" s="426"/>
      <c r="CU51" s="426"/>
      <c r="CV51" s="426"/>
      <c r="CW51" s="426"/>
      <c r="CX51" s="426"/>
      <c r="CY51" s="426">
        <v>48</v>
      </c>
      <c r="CZ51" s="426"/>
      <c r="DA51" s="426"/>
      <c r="DB51" s="426"/>
      <c r="DC51" s="426" t="s">
        <v>791</v>
      </c>
      <c r="DD51" s="426" t="s">
        <v>951</v>
      </c>
      <c r="DE51" s="435" t="str">
        <f t="shared" si="40"/>
        <v/>
      </c>
      <c r="DF51" s="435" t="str">
        <f t="shared" si="41"/>
        <v/>
      </c>
      <c r="DG51" s="435" t="str">
        <f t="shared" si="42"/>
        <v/>
      </c>
      <c r="DH51" s="435" t="str">
        <f t="shared" si="43"/>
        <v/>
      </c>
      <c r="DI51" s="435" t="str">
        <f t="shared" si="44"/>
        <v/>
      </c>
      <c r="DJ51" s="435" t="str">
        <f t="shared" si="45"/>
        <v/>
      </c>
      <c r="DK51" s="435" t="str">
        <f t="shared" si="413"/>
        <v/>
      </c>
      <c r="DL51" s="435" t="str">
        <f t="shared" si="414"/>
        <v/>
      </c>
      <c r="DM51" s="435" t="str">
        <f t="shared" si="46"/>
        <v/>
      </c>
      <c r="DN51" s="435" t="str">
        <f t="shared" si="47"/>
        <v/>
      </c>
      <c r="DO51" s="435" t="str">
        <f t="shared" si="415"/>
        <v/>
      </c>
      <c r="DP51" s="435" t="str">
        <f t="shared" si="416"/>
        <v/>
      </c>
      <c r="DQ51" s="435" t="str">
        <f t="shared" si="48"/>
        <v/>
      </c>
      <c r="DR51" s="435" t="str">
        <f t="shared" si="49"/>
        <v/>
      </c>
      <c r="DS51" s="435" t="str">
        <f t="shared" si="417"/>
        <v/>
      </c>
      <c r="DT51" s="435" t="str">
        <f t="shared" si="418"/>
        <v/>
      </c>
      <c r="DU51" s="435" t="str">
        <f t="shared" si="50"/>
        <v/>
      </c>
      <c r="DV51" s="435" t="str">
        <f t="shared" si="51"/>
        <v/>
      </c>
      <c r="DW51" s="435" t="str">
        <f t="shared" si="419"/>
        <v/>
      </c>
      <c r="DX51" s="435" t="str">
        <f t="shared" si="420"/>
        <v/>
      </c>
      <c r="DY51" s="435" t="str">
        <f t="shared" si="52"/>
        <v/>
      </c>
      <c r="DZ51" s="435" t="str">
        <f t="shared" si="53"/>
        <v/>
      </c>
      <c r="EA51" s="435" t="str">
        <f t="shared" si="421"/>
        <v/>
      </c>
      <c r="EB51" s="435" t="str">
        <f t="shared" si="422"/>
        <v/>
      </c>
      <c r="EC51" s="435" t="str">
        <f t="shared" si="423"/>
        <v/>
      </c>
      <c r="ED51" s="435" t="str">
        <f t="shared" si="424"/>
        <v/>
      </c>
      <c r="EE51" s="435" t="str">
        <f t="shared" si="425"/>
        <v/>
      </c>
      <c r="EF51" s="435" t="str">
        <f t="shared" si="426"/>
        <v/>
      </c>
      <c r="EG51" s="435" t="str">
        <f t="shared" si="427"/>
        <v/>
      </c>
      <c r="EH51" s="435" t="str">
        <f t="shared" si="428"/>
        <v/>
      </c>
      <c r="EI51" s="435" t="str">
        <f t="shared" si="429"/>
        <v/>
      </c>
      <c r="EJ51" s="435" t="str">
        <f t="shared" si="430"/>
        <v/>
      </c>
      <c r="EK51" s="485"/>
      <c r="EL51" s="485"/>
      <c r="EM51" s="485"/>
      <c r="EN51" s="485"/>
      <c r="EO51" s="448"/>
      <c r="EP51" s="448"/>
      <c r="EQ51" s="448"/>
      <c r="ER51" s="448"/>
      <c r="ES51" s="448"/>
      <c r="ET51" s="435"/>
      <c r="EU51" s="435"/>
      <c r="EV51" s="435"/>
      <c r="EW51" s="435"/>
      <c r="EX51" s="426"/>
      <c r="EY51" s="426"/>
      <c r="EZ51" s="426"/>
      <c r="FA51" s="427"/>
      <c r="FB51" s="427">
        <f t="array" ref="FB51">IF(SUM((FA51=$FA$3:FA50)*1)=0,FA51,0)</f>
        <v>0</v>
      </c>
      <c r="FC51" s="427"/>
      <c r="FD51" s="427"/>
      <c r="FE51" s="427">
        <f t="array" ref="FE51">IF(SUM((FD51=$FD$3:FD50)*1)=0,FD51,0)</f>
        <v>0</v>
      </c>
      <c r="FF51" s="427"/>
      <c r="FG51" s="427"/>
      <c r="FH51" s="427"/>
      <c r="FI51" s="427">
        <f t="array" ref="FI51">IF(SUM((FH51=$FH$3:FH50)*1)=0,FH51,0)</f>
        <v>0</v>
      </c>
      <c r="FJ51" s="427"/>
      <c r="FK51" s="427"/>
      <c r="FL51" s="427">
        <f t="array" ref="FL51">IF(SUM((FK51=$FK$3:FK50)*1)=0,FK51,0)</f>
        <v>0</v>
      </c>
      <c r="FM51" s="427"/>
      <c r="FN51" s="427"/>
      <c r="FO51" s="427"/>
      <c r="FP51" s="427">
        <f t="array" ref="FP51">IF(SUM((FO51=$FO$3:FO50)*1)=0,FO51,0)</f>
        <v>0</v>
      </c>
      <c r="FQ51" s="427"/>
      <c r="FR51" s="427"/>
      <c r="FS51" s="427">
        <f t="array" ref="FS51">IF(SUM((FR51=$FR$3:FR50)*1)=0,FR51,0)</f>
        <v>0</v>
      </c>
      <c r="FT51" s="427"/>
      <c r="FU51" s="427"/>
      <c r="FV51" s="427"/>
      <c r="FW51" s="427">
        <f t="array" ref="FW51">IF(SUM((FV51=$FV$3:FV50)*1)=0,FV51,0)</f>
        <v>0</v>
      </c>
      <c r="FX51" s="427"/>
      <c r="FY51" s="427"/>
      <c r="FZ51" s="427">
        <f t="array" ref="FZ51">IF(SUM((FY51=$FY$3:FY50)*1)=0,FY51,0)</f>
        <v>0</v>
      </c>
      <c r="GA51" s="427"/>
      <c r="GB51" s="427"/>
      <c r="GC51" s="427"/>
      <c r="GD51" s="427">
        <f t="array" ref="GD51">IF(SUM((GC51=$GC$3:GC50)*1)=0,GC51,0)</f>
        <v>0</v>
      </c>
      <c r="GE51" s="427"/>
      <c r="GF51" s="427"/>
      <c r="GG51" s="427">
        <f t="array" ref="GG51">IF(SUM((GF51=$GF$3:GF50)*1)=0,GF51,0)</f>
        <v>0</v>
      </c>
      <c r="GH51" s="427"/>
      <c r="GI51" s="427"/>
      <c r="GJ51" s="427"/>
      <c r="GK51" s="798">
        <f t="array" ref="GK51">IF(SUM((GJ51=$GJ$3:GJ50)*1)=0,GJ51,0)</f>
        <v>0</v>
      </c>
      <c r="GL51" s="427"/>
      <c r="GM51" s="427"/>
      <c r="GN51" s="798">
        <f t="array" ref="GN51">IF(SUM((GM51=$GM$3:GM50)*1)=0,GM51,0)</f>
        <v>0</v>
      </c>
      <c r="GO51" s="427"/>
      <c r="GP51" s="427"/>
      <c r="GQ51" s="427"/>
      <c r="GR51" s="798">
        <f t="array" ref="GR51">IF(SUM((GQ51=$GQ$3:GQ50)*1)=0,GQ51,0)</f>
        <v>0</v>
      </c>
      <c r="GS51" s="427"/>
      <c r="GT51" s="427"/>
      <c r="GU51" s="798">
        <f t="array" ref="GU51">IF(SUM((GT51=$GT$3:GT50)*1)=0,GT51,0)</f>
        <v>0</v>
      </c>
      <c r="GV51" s="427"/>
      <c r="GW51" s="427"/>
      <c r="GX51" s="427"/>
      <c r="GY51" s="798">
        <f t="array" ref="GY51">IF(SUM((GX51=$GX$3:GX50)*1)=0,GX51,0)</f>
        <v>0</v>
      </c>
      <c r="GZ51" s="427"/>
      <c r="HA51" s="427"/>
      <c r="HB51" s="798">
        <f t="array" ref="HB51">IF(SUM((HA51=$HA$3:HA50)*1)=0,HA51,0)</f>
        <v>0</v>
      </c>
      <c r="HC51" s="427"/>
      <c r="HD51" s="427"/>
      <c r="HE51" s="769" t="str">
        <f t="shared" si="130"/>
        <v/>
      </c>
      <c r="HF51" s="768" t="str">
        <f t="shared" ref="HF51" si="598">IF(HE51&lt;0,"Invadiu REP-BA-C","")</f>
        <v/>
      </c>
      <c r="HG51" s="769" t="str">
        <f t="shared" si="131"/>
        <v/>
      </c>
      <c r="HH51" s="768" t="str">
        <f t="shared" si="55"/>
        <v/>
      </c>
      <c r="HI51" s="728" t="str">
        <f t="shared" si="132"/>
        <v/>
      </c>
      <c r="HJ51" s="768" t="str">
        <f t="shared" si="56"/>
        <v/>
      </c>
      <c r="HK51" s="728" t="str">
        <f t="shared" si="133"/>
        <v/>
      </c>
      <c r="HL51" s="768" t="str">
        <f t="shared" si="57"/>
        <v/>
      </c>
      <c r="HM51" s="769" t="str">
        <f t="shared" si="441"/>
        <v/>
      </c>
      <c r="HN51" s="768" t="str">
        <f t="shared" ref="HN51" si="599">IF(HM51&lt;0,"Invadiu REP-BA-C","")</f>
        <v/>
      </c>
      <c r="HO51" s="769" t="str">
        <f t="shared" si="443"/>
        <v/>
      </c>
      <c r="HP51" s="768" t="str">
        <f t="shared" si="61"/>
        <v/>
      </c>
      <c r="HQ51" s="728" t="str">
        <f t="shared" si="444"/>
        <v/>
      </c>
      <c r="HR51" s="768" t="str">
        <f t="shared" si="63"/>
        <v/>
      </c>
      <c r="HS51" s="728" t="str">
        <f t="shared" si="445"/>
        <v/>
      </c>
      <c r="HT51" s="768" t="str">
        <f t="shared" si="65"/>
        <v/>
      </c>
      <c r="HU51" s="769" t="str">
        <f t="shared" si="446"/>
        <v/>
      </c>
      <c r="HV51" s="768" t="str">
        <f t="shared" ref="HV51" si="600">IF(HU51&lt;0,"Invadiu REP-BA-C","")</f>
        <v/>
      </c>
      <c r="HW51" s="769" t="str">
        <f t="shared" si="448"/>
        <v/>
      </c>
      <c r="HX51" s="768" t="str">
        <f t="shared" si="69"/>
        <v/>
      </c>
      <c r="HY51" s="728" t="str">
        <f t="shared" si="449"/>
        <v/>
      </c>
      <c r="HZ51" s="768" t="str">
        <f t="shared" si="71"/>
        <v/>
      </c>
      <c r="IA51" s="728" t="str">
        <f t="shared" si="450"/>
        <v/>
      </c>
      <c r="IB51" s="768" t="str">
        <f t="shared" si="73"/>
        <v/>
      </c>
      <c r="IC51" s="769" t="str">
        <f t="shared" si="451"/>
        <v/>
      </c>
      <c r="ID51" s="768" t="str">
        <f t="shared" ref="ID51" si="601">IF(IC51&lt;0,"Invadiu REP-BA-C","")</f>
        <v/>
      </c>
      <c r="IE51" s="769" t="str">
        <f t="shared" si="453"/>
        <v/>
      </c>
      <c r="IF51" s="768" t="str">
        <f t="shared" si="77"/>
        <v/>
      </c>
      <c r="IG51" s="728" t="str">
        <f t="shared" si="454"/>
        <v/>
      </c>
      <c r="IH51" s="768" t="str">
        <f t="shared" si="79"/>
        <v/>
      </c>
      <c r="II51" s="728" t="str">
        <f t="shared" si="455"/>
        <v/>
      </c>
      <c r="IJ51" s="768" t="str">
        <f t="shared" si="81"/>
        <v/>
      </c>
      <c r="IK51" s="769" t="str">
        <f t="shared" si="456"/>
        <v/>
      </c>
      <c r="IL51" s="768" t="str">
        <f t="shared" ref="IL51" si="602">IF(IK51&lt;0,"Invadiu REP-BA-C","")</f>
        <v/>
      </c>
      <c r="IM51" s="769" t="str">
        <f t="shared" si="458"/>
        <v/>
      </c>
      <c r="IN51" s="768" t="str">
        <f t="shared" si="85"/>
        <v/>
      </c>
      <c r="IO51" s="728" t="str">
        <f t="shared" si="459"/>
        <v/>
      </c>
      <c r="IP51" s="768" t="str">
        <f t="shared" si="87"/>
        <v/>
      </c>
      <c r="IQ51" s="728" t="str">
        <f t="shared" si="460"/>
        <v/>
      </c>
      <c r="IR51" s="768" t="str">
        <f t="shared" si="89"/>
        <v/>
      </c>
      <c r="IS51" s="769" t="str">
        <f t="shared" si="461"/>
        <v/>
      </c>
      <c r="IT51" s="768" t="str">
        <f t="shared" ref="IT51" si="603">IF(IS51&lt;0,"Invadiu REP-BA-C","")</f>
        <v/>
      </c>
      <c r="IU51" s="769" t="str">
        <f t="shared" si="463"/>
        <v/>
      </c>
      <c r="IV51" s="768" t="str">
        <f t="shared" si="93"/>
        <v/>
      </c>
      <c r="IW51" s="728" t="str">
        <f t="shared" si="464"/>
        <v/>
      </c>
      <c r="IX51" s="768" t="str">
        <f t="shared" si="95"/>
        <v/>
      </c>
      <c r="IY51" s="728" t="str">
        <f t="shared" si="465"/>
        <v/>
      </c>
      <c r="IZ51" s="768" t="str">
        <f t="shared" si="97"/>
        <v/>
      </c>
      <c r="JA51" s="769" t="str">
        <f t="shared" si="466"/>
        <v/>
      </c>
      <c r="JB51" s="768" t="str">
        <f t="shared" ref="JB51" si="604">IF(JA51&lt;0,"Invadiu REP-BA-C","")</f>
        <v/>
      </c>
      <c r="JC51" s="769" t="str">
        <f t="shared" si="468"/>
        <v/>
      </c>
      <c r="JD51" s="768" t="str">
        <f t="shared" si="101"/>
        <v/>
      </c>
      <c r="JE51" s="728" t="str">
        <f t="shared" si="469"/>
        <v/>
      </c>
      <c r="JF51" s="768" t="str">
        <f t="shared" si="103"/>
        <v/>
      </c>
      <c r="JG51" s="728" t="str">
        <f t="shared" si="470"/>
        <v/>
      </c>
      <c r="JH51" s="768" t="str">
        <f t="shared" si="105"/>
        <v/>
      </c>
      <c r="JI51" s="769" t="str">
        <f t="shared" si="471"/>
        <v/>
      </c>
      <c r="JJ51" s="768" t="str">
        <f t="shared" ref="JJ51" si="605">IF(JI51&lt;0,"Invadiu REP-BA-C","")</f>
        <v/>
      </c>
      <c r="JK51" s="769" t="str">
        <f t="shared" si="473"/>
        <v/>
      </c>
      <c r="JL51" s="768" t="str">
        <f t="shared" si="109"/>
        <v/>
      </c>
      <c r="JM51" s="728" t="str">
        <f t="shared" si="474"/>
        <v/>
      </c>
      <c r="JN51" s="768" t="str">
        <f t="shared" si="111"/>
        <v/>
      </c>
      <c r="JO51" s="728" t="str">
        <f t="shared" si="475"/>
        <v/>
      </c>
      <c r="JP51" s="768" t="str">
        <f t="shared" si="113"/>
        <v/>
      </c>
      <c r="JQ51" s="769" t="str">
        <f t="shared" si="476"/>
        <v/>
      </c>
      <c r="JR51" s="768" t="str">
        <f t="shared" ref="JR51" si="606">IF(JQ51&lt;0,"Invadiu REP-BA-C","")</f>
        <v/>
      </c>
      <c r="JS51" s="769" t="str">
        <f t="shared" si="478"/>
        <v/>
      </c>
      <c r="JT51" s="768" t="str">
        <f t="shared" si="117"/>
        <v/>
      </c>
      <c r="JU51" s="728" t="str">
        <f t="shared" si="479"/>
        <v/>
      </c>
      <c r="JV51" s="768" t="str">
        <f t="shared" si="119"/>
        <v/>
      </c>
      <c r="JW51" s="728" t="str">
        <f t="shared" si="480"/>
        <v/>
      </c>
      <c r="JX51" s="768" t="str">
        <f t="shared" si="121"/>
        <v/>
      </c>
      <c r="JY51" s="768" t="str">
        <f t="shared" si="122"/>
        <v/>
      </c>
      <c r="JZ51" s="485" t="str">
        <f>IF(JY51="","",IF(AND(C51=$C$164,JY51&lt;&gt;""),Verificarcpf(D51),IF(AND(C51=$C$165,JY51&lt;&gt;""),VerificarCNPJ(D51))))</f>
        <v/>
      </c>
      <c r="KA51" s="768" t="str">
        <f t="shared" si="123"/>
        <v/>
      </c>
      <c r="KB51" s="485">
        <f t="shared" si="124"/>
        <v>0</v>
      </c>
      <c r="KC51" s="768">
        <f t="shared" si="125"/>
        <v>0</v>
      </c>
      <c r="KD51" s="485">
        <f t="shared" si="126"/>
        <v>0</v>
      </c>
      <c r="KE51" s="448"/>
      <c r="KF51" s="548"/>
      <c r="KG51" s="548"/>
      <c r="KH51" s="548"/>
      <c r="KI51" s="548"/>
      <c r="KJ51" s="548" t="str">
        <f t="shared" si="128"/>
        <v/>
      </c>
      <c r="KK51" s="548"/>
      <c r="KL51" s="548"/>
      <c r="KM51" s="548">
        <f t="array" ref="KM51">IF(SUM((KL51=$KL$3:KL50)*1)=0,KL51,0)</f>
        <v>0</v>
      </c>
      <c r="KN51" s="548"/>
      <c r="KO51" s="548"/>
      <c r="KP51" s="548"/>
      <c r="KQ51" s="548"/>
      <c r="KR51" s="548" t="str">
        <f t="shared" si="129"/>
        <v/>
      </c>
      <c r="KS51" s="548"/>
      <c r="KT51" s="548"/>
      <c r="KU51" s="548"/>
      <c r="KV51" s="548"/>
      <c r="KW51" s="548"/>
      <c r="KX51" s="548"/>
      <c r="KY51" s="548"/>
      <c r="KZ51" s="548"/>
      <c r="LA51" s="548"/>
      <c r="LB51" s="548"/>
      <c r="LC51" s="485" t="str">
        <f t="shared" si="142"/>
        <v/>
      </c>
      <c r="LD51" s="548"/>
      <c r="LE51" s="548"/>
      <c r="LF51" s="548"/>
      <c r="LG51" s="548"/>
      <c r="LH51" s="548"/>
      <c r="LI51" s="548"/>
      <c r="LJ51" s="548"/>
      <c r="LK51" s="548"/>
      <c r="LL51" s="548"/>
      <c r="LM51" s="548"/>
      <c r="LN51" s="548"/>
      <c r="LO51" s="548"/>
      <c r="LP51" s="485" t="str">
        <f t="shared" si="143"/>
        <v/>
      </c>
      <c r="LQ51" s="548"/>
      <c r="LR51" s="548"/>
      <c r="LS51" s="548"/>
      <c r="LT51" s="548"/>
      <c r="LU51" s="548"/>
      <c r="LV51" s="548"/>
      <c r="LW51" s="548"/>
      <c r="LX51" s="548"/>
      <c r="LY51" s="548"/>
      <c r="LZ51" s="548"/>
      <c r="MA51" s="548"/>
      <c r="MB51" s="548"/>
      <c r="MC51" s="485" t="str">
        <f t="shared" si="144"/>
        <v/>
      </c>
      <c r="MD51" s="548"/>
      <c r="ME51" s="548"/>
      <c r="MF51" s="548"/>
      <c r="MG51" s="548"/>
      <c r="MH51" s="548"/>
      <c r="MI51" s="548"/>
      <c r="MJ51" s="548"/>
      <c r="MK51" s="548"/>
      <c r="ML51" s="548"/>
      <c r="MM51" s="548"/>
      <c r="MN51" s="548"/>
      <c r="MO51" s="548"/>
      <c r="MP51" s="485" t="str">
        <f t="shared" si="145"/>
        <v/>
      </c>
      <c r="MQ51" s="548"/>
      <c r="MR51" s="548"/>
      <c r="MS51" s="548"/>
      <c r="MT51" s="548"/>
      <c r="MU51" s="548"/>
      <c r="MV51" s="548"/>
      <c r="MW51" s="548"/>
      <c r="MX51" s="548"/>
      <c r="MY51" s="548"/>
      <c r="MZ51" s="548"/>
      <c r="NA51" s="548"/>
      <c r="NB51" s="548"/>
      <c r="NC51" s="485" t="str">
        <f t="shared" si="146"/>
        <v/>
      </c>
      <c r="ND51" s="548"/>
      <c r="NE51" s="548"/>
      <c r="NF51" s="548"/>
      <c r="NG51" s="548"/>
      <c r="NH51" s="548"/>
      <c r="NI51" s="548"/>
      <c r="NJ51" s="548"/>
      <c r="NK51" s="548"/>
      <c r="NL51" s="548"/>
      <c r="NM51" s="548"/>
      <c r="NN51" s="548"/>
      <c r="NO51" s="548"/>
      <c r="NP51" s="485" t="str">
        <f t="shared" si="147"/>
        <v/>
      </c>
      <c r="NQ51" s="548"/>
      <c r="NR51" s="548"/>
      <c r="NS51" s="548"/>
      <c r="NT51" s="548"/>
      <c r="NU51" s="548"/>
      <c r="NV51" s="548"/>
      <c r="NW51" s="548"/>
      <c r="NX51" s="548"/>
      <c r="NY51" s="548"/>
      <c r="NZ51" s="548"/>
      <c r="OA51" s="548"/>
      <c r="OB51" s="548"/>
      <c r="OC51" s="485" t="str">
        <f t="shared" si="148"/>
        <v/>
      </c>
      <c r="OD51" s="548"/>
      <c r="OE51" s="548"/>
      <c r="OF51" s="548"/>
      <c r="OG51" s="548"/>
      <c r="OH51" s="548"/>
      <c r="OI51" s="548"/>
      <c r="OJ51" s="548"/>
      <c r="OK51" s="548"/>
      <c r="OL51" s="548"/>
      <c r="OM51" s="548"/>
      <c r="ON51" s="548"/>
      <c r="OO51" s="548"/>
      <c r="OP51" s="548"/>
      <c r="OQ51" s="548"/>
      <c r="OR51" s="548"/>
      <c r="OS51" s="548"/>
      <c r="OT51" s="548"/>
      <c r="OU51" s="548"/>
      <c r="OV51" s="548"/>
      <c r="OW51" s="548"/>
      <c r="OX51" s="548"/>
      <c r="OY51" s="548"/>
      <c r="OZ51" s="548"/>
      <c r="PA51" s="548"/>
      <c r="PB51" s="548"/>
      <c r="PC51" s="548"/>
      <c r="PD51" s="548"/>
      <c r="PE51" s="548"/>
      <c r="PF51" s="548"/>
      <c r="PG51" s="548"/>
      <c r="PH51" s="548"/>
      <c r="PI51" s="548"/>
      <c r="PJ51" s="548"/>
      <c r="PK51" s="548"/>
      <c r="PL51" s="548"/>
      <c r="PM51" s="548"/>
      <c r="PN51" s="548"/>
      <c r="PO51" s="548"/>
      <c r="PP51" s="548"/>
      <c r="PQ51" s="548"/>
      <c r="PR51" s="548"/>
      <c r="PS51" s="548"/>
      <c r="PT51" s="548"/>
      <c r="PU51" s="548"/>
      <c r="PV51" s="548"/>
      <c r="PW51" s="548"/>
      <c r="PX51" s="548"/>
      <c r="PY51" s="548"/>
      <c r="PZ51" s="548"/>
      <c r="QA51" s="548"/>
      <c r="QB51" s="548"/>
      <c r="QC51" s="548"/>
      <c r="QD51" s="548"/>
      <c r="QE51" s="548"/>
      <c r="QF51" s="548"/>
      <c r="QG51" s="548"/>
      <c r="QH51" s="548"/>
      <c r="QI51" s="548"/>
      <c r="QJ51" s="548"/>
      <c r="QK51" s="548"/>
      <c r="QL51" s="548"/>
      <c r="QM51" s="548"/>
      <c r="QN51" s="548"/>
      <c r="QO51" s="548"/>
      <c r="QP51" s="548"/>
      <c r="QQ51" s="1009"/>
      <c r="QR51" s="548"/>
      <c r="QS51" s="548"/>
      <c r="QT51" s="548"/>
      <c r="QU51" s="548"/>
      <c r="QV51" s="548"/>
      <c r="QW51" s="548"/>
      <c r="QX51" s="548"/>
      <c r="QY51" s="548"/>
      <c r="QZ51" s="548"/>
      <c r="RA51" s="548"/>
      <c r="RB51" s="548"/>
      <c r="RC51" s="548"/>
      <c r="RD51" s="548"/>
      <c r="RE51" s="548"/>
      <c r="RF51" s="548"/>
      <c r="RG51" s="548"/>
      <c r="RH51" s="548"/>
      <c r="RI51" s="548"/>
      <c r="RJ51" s="548"/>
      <c r="RK51" s="548"/>
      <c r="RL51" s="548"/>
      <c r="RM51" s="548"/>
      <c r="RN51" s="548"/>
      <c r="RO51" s="548"/>
      <c r="RP51" s="548"/>
      <c r="RQ51" s="548"/>
      <c r="RR51" s="548"/>
      <c r="RS51" s="548"/>
      <c r="RT51" s="548"/>
      <c r="RU51" s="548"/>
      <c r="RV51" s="548"/>
      <c r="RW51" s="548"/>
      <c r="RX51" s="548"/>
      <c r="RY51" s="548"/>
      <c r="RZ51" s="548"/>
      <c r="SA51" s="548"/>
      <c r="SB51" s="548"/>
      <c r="SC51" s="548"/>
      <c r="SD51" s="548"/>
      <c r="SE51" s="548"/>
      <c r="SF51" s="548"/>
      <c r="SG51" s="548"/>
      <c r="SH51" s="548"/>
      <c r="SI51" s="548"/>
      <c r="SJ51" s="548"/>
      <c r="SK51" s="548"/>
      <c r="SL51" s="548"/>
      <c r="SM51" s="548"/>
      <c r="SN51" s="548"/>
      <c r="SO51" s="548"/>
      <c r="SP51" s="548"/>
      <c r="SQ51" s="548"/>
      <c r="SR51" s="548"/>
      <c r="SS51" s="548"/>
      <c r="ST51" s="548"/>
      <c r="SU51" s="548"/>
      <c r="SV51" s="548"/>
      <c r="SW51" s="548"/>
      <c r="SX51" s="548"/>
      <c r="SY51" s="548"/>
      <c r="SZ51" s="548"/>
      <c r="TA51" s="548"/>
      <c r="TB51" s="548"/>
      <c r="TC51" s="548"/>
      <c r="TD51" s="548"/>
      <c r="TE51" s="548"/>
      <c r="TF51" s="548"/>
      <c r="TG51" s="548"/>
      <c r="TH51" s="548"/>
      <c r="TI51" s="548"/>
      <c r="TJ51" s="548"/>
      <c r="TK51" s="548"/>
      <c r="TL51" s="548"/>
      <c r="TM51" s="548"/>
      <c r="TN51" s="548"/>
      <c r="TO51" s="548"/>
      <c r="TP51" s="548"/>
      <c r="TQ51" s="548"/>
      <c r="TR51" s="548"/>
      <c r="TS51" s="548"/>
      <c r="TT51" s="548"/>
      <c r="TU51" s="548"/>
      <c r="TV51" s="548"/>
      <c r="TW51" s="548"/>
      <c r="TX51" s="548"/>
      <c r="TY51" s="548"/>
      <c r="TZ51" s="548"/>
      <c r="UA51" s="548"/>
      <c r="UB51" s="548"/>
      <c r="UC51" s="548"/>
      <c r="UD51" s="548"/>
      <c r="UE51" s="548"/>
      <c r="UF51" s="548"/>
      <c r="UG51" s="548"/>
      <c r="UH51" s="548"/>
      <c r="UI51" s="548"/>
      <c r="UJ51" s="548"/>
      <c r="UK51" s="548"/>
      <c r="UL51" s="548"/>
      <c r="UM51" s="548"/>
      <c r="UN51" s="548"/>
      <c r="UO51" s="548"/>
      <c r="UP51" s="548"/>
      <c r="UQ51" s="548"/>
      <c r="UR51" s="548"/>
      <c r="US51" s="548"/>
      <c r="UT51" s="548"/>
      <c r="UU51" s="548"/>
      <c r="UV51" s="548"/>
      <c r="UW51" s="548"/>
      <c r="UX51" s="548"/>
      <c r="UY51" s="548"/>
      <c r="UZ51" s="548"/>
      <c r="VA51" s="548"/>
      <c r="VB51" s="548"/>
      <c r="VC51" s="548"/>
      <c r="VD51" s="548"/>
      <c r="VE51" s="548"/>
      <c r="VF51" s="548"/>
      <c r="VG51" s="548"/>
      <c r="VH51" s="548"/>
      <c r="VI51" s="548"/>
      <c r="VJ51" s="548"/>
      <c r="VK51" s="548"/>
      <c r="VL51" s="548"/>
      <c r="VM51" s="548"/>
      <c r="VN51" s="548"/>
      <c r="VO51" s="548"/>
      <c r="VP51" s="548"/>
      <c r="VQ51" s="548"/>
      <c r="VR51" s="548"/>
      <c r="VS51" s="548"/>
      <c r="VT51" s="548"/>
      <c r="VU51" s="548"/>
      <c r="VV51" s="548"/>
      <c r="VW51" s="548"/>
      <c r="VX51" s="548"/>
      <c r="VY51" s="548"/>
      <c r="VZ51" s="548"/>
      <c r="WA51" s="548"/>
      <c r="WB51" s="548"/>
      <c r="WC51" s="548"/>
      <c r="WD51" s="548"/>
      <c r="WE51" s="548"/>
      <c r="WF51" s="548"/>
      <c r="WG51" s="548"/>
      <c r="WH51" s="548"/>
      <c r="WI51" s="548"/>
      <c r="WJ51" s="548"/>
      <c r="WK51" s="548"/>
      <c r="WL51" s="548"/>
      <c r="WM51" s="548"/>
      <c r="WN51" s="548"/>
      <c r="WO51" s="548"/>
      <c r="WP51" s="548"/>
      <c r="WQ51" s="548"/>
      <c r="WR51" s="548"/>
      <c r="WS51" s="548"/>
      <c r="WT51" s="548"/>
      <c r="WU51" s="548"/>
      <c r="WV51" s="548"/>
      <c r="WW51" s="548"/>
      <c r="WX51" s="548"/>
      <c r="WY51" s="548"/>
      <c r="WZ51" s="548"/>
      <c r="XA51" s="548"/>
      <c r="XB51" s="548"/>
      <c r="XC51" s="548"/>
      <c r="XD51" s="548"/>
      <c r="XE51" s="548"/>
      <c r="XF51" s="548"/>
      <c r="XG51" s="548"/>
      <c r="XH51" s="548"/>
      <c r="XI51" s="548"/>
      <c r="XJ51" s="548"/>
      <c r="XK51" s="548"/>
      <c r="XL51" s="548"/>
      <c r="XM51" s="548"/>
      <c r="XN51" s="548"/>
      <c r="XO51" s="548"/>
      <c r="XP51" s="548"/>
      <c r="XQ51" s="548"/>
      <c r="XR51" s="548"/>
      <c r="XS51" s="548"/>
      <c r="XT51" s="548"/>
      <c r="XU51" s="548"/>
      <c r="XV51" s="548"/>
      <c r="XW51" s="548"/>
      <c r="XX51" s="548"/>
      <c r="XY51" s="548"/>
      <c r="XZ51" s="548"/>
      <c r="YA51" s="548"/>
      <c r="YB51" s="548"/>
      <c r="YC51" s="548"/>
      <c r="YD51" s="548"/>
      <c r="YE51" s="548"/>
      <c r="YF51" s="548"/>
      <c r="YG51" s="548"/>
      <c r="YH51" s="548"/>
      <c r="YI51" s="548"/>
      <c r="YJ51" s="548"/>
      <c r="YK51" s="548"/>
      <c r="YL51" s="548"/>
      <c r="YM51" s="548"/>
      <c r="YN51" s="548"/>
      <c r="YO51" s="548"/>
      <c r="YP51" s="548"/>
      <c r="YQ51" s="548"/>
      <c r="YR51" s="548"/>
      <c r="YS51" s="548"/>
      <c r="YT51" s="548"/>
      <c r="YU51" s="548"/>
      <c r="YV51" s="548"/>
      <c r="YW51" s="548"/>
      <c r="YX51" s="548"/>
      <c r="YY51" s="548"/>
      <c r="YZ51" s="548"/>
      <c r="ZA51" s="548"/>
      <c r="ZB51" s="548"/>
      <c r="ZC51" s="548"/>
      <c r="ZD51" s="548"/>
      <c r="ZE51" s="548"/>
      <c r="ZF51" s="548"/>
      <c r="ZG51" s="548"/>
      <c r="ZH51" s="548"/>
      <c r="ZI51" s="548"/>
      <c r="ZJ51" s="548"/>
      <c r="ZK51" s="548"/>
      <c r="ZL51" s="548"/>
      <c r="ZM51" s="548"/>
      <c r="ZN51" s="548"/>
      <c r="ZO51" s="548"/>
      <c r="ZP51" s="548"/>
      <c r="ZQ51" s="548"/>
      <c r="ZR51" s="548"/>
      <c r="ZS51" s="548"/>
      <c r="ZT51" s="548"/>
      <c r="ZU51" s="548"/>
      <c r="ZV51" s="548"/>
      <c r="ZW51" s="548"/>
      <c r="ZX51" s="548"/>
      <c r="ZY51" s="548"/>
      <c r="ZZ51" s="548"/>
      <c r="AAA51" s="548"/>
      <c r="AAB51" s="548"/>
      <c r="AAC51" s="548"/>
      <c r="AAD51" s="548"/>
      <c r="AAE51" s="548"/>
      <c r="AAF51" s="548"/>
      <c r="AAG51" s="548"/>
      <c r="AAH51" s="548"/>
      <c r="AAI51" s="548"/>
      <c r="AAJ51" s="548"/>
      <c r="AAK51" s="548"/>
      <c r="AAL51" s="548"/>
      <c r="AAM51" s="548"/>
      <c r="AAN51" s="548"/>
      <c r="AAO51" s="548"/>
      <c r="AAP51" s="548"/>
      <c r="AAQ51" s="548"/>
      <c r="AAR51" s="548"/>
      <c r="AAS51" s="548"/>
      <c r="AAT51" s="548"/>
      <c r="AAU51" s="548"/>
      <c r="AAV51" s="548"/>
      <c r="AAW51" s="548"/>
      <c r="AAX51" s="548"/>
      <c r="AAY51" s="548"/>
      <c r="AAZ51" s="548"/>
      <c r="ABA51" s="548"/>
      <c r="ABB51" s="548"/>
      <c r="ABC51" s="548"/>
      <c r="ABD51" s="548"/>
      <c r="ABE51" s="548"/>
      <c r="ABF51" s="548"/>
      <c r="ABG51" s="548"/>
      <c r="ABH51" s="548"/>
      <c r="ABI51" s="548"/>
      <c r="ABJ51" s="548"/>
      <c r="ABK51" s="548"/>
      <c r="ABL51" s="548"/>
      <c r="ABM51" s="548"/>
      <c r="ABN51" s="548"/>
      <c r="ABO51" s="548"/>
      <c r="ABP51" s="548"/>
      <c r="ABQ51" s="548"/>
      <c r="ABR51" s="548"/>
      <c r="ABS51" s="548"/>
    </row>
    <row r="52" spans="1:747" customFormat="1" ht="15" customHeight="1" thickBot="1" x14ac:dyDescent="0.25">
      <c r="A52" s="424" t="str">
        <f t="shared" si="149"/>
        <v/>
      </c>
      <c r="B52" s="415"/>
      <c r="C52" s="525"/>
      <c r="D52" s="750"/>
      <c r="E52" s="416" t="str">
        <f t="shared" si="393"/>
        <v/>
      </c>
      <c r="F52" s="527" t="str">
        <f t="shared" si="394"/>
        <v/>
      </c>
      <c r="G52" s="417"/>
      <c r="H52" s="583" t="str">
        <f t="shared" si="395"/>
        <v/>
      </c>
      <c r="I52" s="424"/>
      <c r="J52" s="419"/>
      <c r="K52" s="418"/>
      <c r="L52" s="419"/>
      <c r="M52" s="415"/>
      <c r="N52" s="420"/>
      <c r="O52" s="421"/>
      <c r="P52" s="561"/>
      <c r="Q52" s="422"/>
      <c r="R52" s="561" t="str">
        <f t="shared" si="396"/>
        <v/>
      </c>
      <c r="S52" s="664"/>
      <c r="T52" s="663"/>
      <c r="U52" s="580">
        <f t="shared" si="397"/>
        <v>0</v>
      </c>
      <c r="V52" s="418"/>
      <c r="W52" s="582" t="str">
        <f t="shared" si="398"/>
        <v/>
      </c>
      <c r="X52" s="479" t="str">
        <f t="shared" si="399"/>
        <v/>
      </c>
      <c r="Y52" s="582" t="str">
        <f t="shared" si="400"/>
        <v/>
      </c>
      <c r="Z52" s="317" t="str">
        <f t="shared" si="401"/>
        <v/>
      </c>
      <c r="AA52" s="317" t="str">
        <f t="shared" si="402"/>
        <v/>
      </c>
      <c r="AB52" s="317">
        <f t="shared" si="403"/>
        <v>0</v>
      </c>
      <c r="AC52" s="317" t="str">
        <f t="shared" si="404"/>
        <v/>
      </c>
      <c r="AD52" s="479"/>
      <c r="AE52" s="479"/>
      <c r="AF52" s="479"/>
      <c r="AG52" s="423"/>
      <c r="AH52" s="820"/>
      <c r="AI52" s="480"/>
      <c r="AJ52" s="660"/>
      <c r="AK52" s="524" t="str">
        <f t="shared" si="405"/>
        <v/>
      </c>
      <c r="AL52" s="1910" t="s">
        <v>1066</v>
      </c>
      <c r="AM52" s="1911"/>
      <c r="AN52" s="426">
        <f t="shared" si="406"/>
        <v>0</v>
      </c>
      <c r="AO52" s="427" t="str">
        <f t="shared" si="407"/>
        <v/>
      </c>
      <c r="AP52" s="426" t="str">
        <f t="shared" si="408"/>
        <v/>
      </c>
      <c r="AQ52" s="426"/>
      <c r="AR52" s="426"/>
      <c r="AS52" s="428"/>
      <c r="AT52" s="429"/>
      <c r="AU52" s="430"/>
      <c r="AV52" s="431"/>
      <c r="AW52" s="432"/>
      <c r="AX52" s="430"/>
      <c r="AY52" s="431">
        <f t="shared" si="409"/>
        <v>0</v>
      </c>
      <c r="AZ52" s="426"/>
      <c r="BA52" s="435" t="str">
        <f t="shared" si="410"/>
        <v/>
      </c>
      <c r="BB52" s="435"/>
      <c r="BC52" s="426"/>
      <c r="BD52" s="426">
        <f t="array" ref="BD52">IF(SUM((BC52=$BC$3:BC51)*1)=0,BC52,0)</f>
        <v>0</v>
      </c>
      <c r="BE52" s="426"/>
      <c r="BF52" s="426"/>
      <c r="BG52" s="426">
        <f t="array" ref="BG52">IF(SUM((BF52=$BF$3:BF51)*1)=0,BF52,0)</f>
        <v>0</v>
      </c>
      <c r="BH52" s="426"/>
      <c r="BI52" s="426"/>
      <c r="BJ52" s="426"/>
      <c r="BK52" s="426"/>
      <c r="BL52" s="426"/>
      <c r="BM52" s="426"/>
      <c r="BN52" s="426"/>
      <c r="BO52" s="426"/>
      <c r="BP52" s="433">
        <f t="shared" si="411"/>
        <v>0</v>
      </c>
      <c r="BQ52" s="426"/>
      <c r="BR52" s="434"/>
      <c r="BS52" s="426"/>
      <c r="BT52" s="433"/>
      <c r="BU52" s="435"/>
      <c r="BV52" s="435" t="str">
        <f t="shared" si="412"/>
        <v/>
      </c>
      <c r="BW52" s="435" t="str">
        <f t="shared" si="38"/>
        <v/>
      </c>
      <c r="BX52" s="435"/>
      <c r="BY52" s="435"/>
      <c r="BZ52" s="435"/>
      <c r="CA52" s="435"/>
      <c r="CB52" s="435"/>
      <c r="CC52" s="435"/>
      <c r="CD52" s="435"/>
      <c r="CE52" s="435"/>
      <c r="CF52" s="435"/>
      <c r="CG52" s="435"/>
      <c r="CH52" s="435"/>
      <c r="CI52" s="435"/>
      <c r="CJ52" s="426" t="str">
        <f t="shared" si="39"/>
        <v/>
      </c>
      <c r="CK52" s="435"/>
      <c r="CL52" s="426"/>
      <c r="CM52" s="435"/>
      <c r="CN52" s="426"/>
      <c r="CO52" s="426"/>
      <c r="CP52" s="426"/>
      <c r="CQ52" s="426"/>
      <c r="CR52" s="426"/>
      <c r="CS52" s="426"/>
      <c r="CT52" s="426"/>
      <c r="CU52" s="426"/>
      <c r="CV52" s="426"/>
      <c r="CW52" s="426"/>
      <c r="CX52" s="426"/>
      <c r="CY52" s="426">
        <v>49</v>
      </c>
      <c r="CZ52" s="426"/>
      <c r="DA52" s="426"/>
      <c r="DB52" s="426"/>
      <c r="DC52" s="426" t="s">
        <v>792</v>
      </c>
      <c r="DD52" s="426" t="s">
        <v>952</v>
      </c>
      <c r="DE52" s="435" t="str">
        <f t="shared" si="40"/>
        <v/>
      </c>
      <c r="DF52" s="435" t="str">
        <f t="shared" si="41"/>
        <v/>
      </c>
      <c r="DG52" s="435" t="str">
        <f t="shared" si="42"/>
        <v/>
      </c>
      <c r="DH52" s="435" t="str">
        <f t="shared" si="43"/>
        <v/>
      </c>
      <c r="DI52" s="435" t="str">
        <f t="shared" si="44"/>
        <v/>
      </c>
      <c r="DJ52" s="435" t="str">
        <f t="shared" si="45"/>
        <v/>
      </c>
      <c r="DK52" s="435" t="str">
        <f t="shared" si="413"/>
        <v/>
      </c>
      <c r="DL52" s="435" t="str">
        <f t="shared" si="414"/>
        <v/>
      </c>
      <c r="DM52" s="435" t="str">
        <f t="shared" si="46"/>
        <v/>
      </c>
      <c r="DN52" s="435" t="str">
        <f t="shared" si="47"/>
        <v/>
      </c>
      <c r="DO52" s="435" t="str">
        <f t="shared" si="415"/>
        <v/>
      </c>
      <c r="DP52" s="435" t="str">
        <f t="shared" si="416"/>
        <v/>
      </c>
      <c r="DQ52" s="435" t="str">
        <f t="shared" si="48"/>
        <v/>
      </c>
      <c r="DR52" s="435" t="str">
        <f t="shared" si="49"/>
        <v/>
      </c>
      <c r="DS52" s="435" t="str">
        <f t="shared" si="417"/>
        <v/>
      </c>
      <c r="DT52" s="435" t="str">
        <f t="shared" si="418"/>
        <v/>
      </c>
      <c r="DU52" s="435" t="str">
        <f t="shared" si="50"/>
        <v/>
      </c>
      <c r="DV52" s="435" t="str">
        <f t="shared" si="51"/>
        <v/>
      </c>
      <c r="DW52" s="435" t="str">
        <f t="shared" si="419"/>
        <v/>
      </c>
      <c r="DX52" s="435" t="str">
        <f t="shared" si="420"/>
        <v/>
      </c>
      <c r="DY52" s="435" t="str">
        <f t="shared" si="52"/>
        <v/>
      </c>
      <c r="DZ52" s="435" t="str">
        <f t="shared" si="53"/>
        <v/>
      </c>
      <c r="EA52" s="435" t="str">
        <f t="shared" si="421"/>
        <v/>
      </c>
      <c r="EB52" s="435" t="str">
        <f t="shared" si="422"/>
        <v/>
      </c>
      <c r="EC52" s="435" t="str">
        <f t="shared" si="423"/>
        <v/>
      </c>
      <c r="ED52" s="435" t="str">
        <f t="shared" si="424"/>
        <v/>
      </c>
      <c r="EE52" s="435" t="str">
        <f t="shared" si="425"/>
        <v/>
      </c>
      <c r="EF52" s="435" t="str">
        <f t="shared" si="426"/>
        <v/>
      </c>
      <c r="EG52" s="435" t="str">
        <f t="shared" si="427"/>
        <v/>
      </c>
      <c r="EH52" s="435" t="str">
        <f t="shared" si="428"/>
        <v/>
      </c>
      <c r="EI52" s="435" t="str">
        <f t="shared" si="429"/>
        <v/>
      </c>
      <c r="EJ52" s="435" t="str">
        <f t="shared" si="430"/>
        <v/>
      </c>
      <c r="EK52" s="485"/>
      <c r="EL52" s="485"/>
      <c r="EM52" s="485"/>
      <c r="EN52" s="485"/>
      <c r="EO52" s="448"/>
      <c r="EP52" s="448"/>
      <c r="EQ52" s="448"/>
      <c r="ER52" s="448"/>
      <c r="ES52" s="448"/>
      <c r="ET52" s="435"/>
      <c r="EU52" s="435"/>
      <c r="EV52" s="435"/>
      <c r="EW52" s="435"/>
      <c r="EX52" s="426"/>
      <c r="EY52" s="426"/>
      <c r="EZ52" s="426"/>
      <c r="FA52" s="427"/>
      <c r="FB52" s="427">
        <f t="array" ref="FB52">IF(SUM((FA52=$FA$3:FA51)*1)=0,FA52,0)</f>
        <v>0</v>
      </c>
      <c r="FC52" s="427"/>
      <c r="FD52" s="427"/>
      <c r="FE52" s="427">
        <f t="array" ref="FE52">IF(SUM((FD52=$FD$3:FD51)*1)=0,FD52,0)</f>
        <v>0</v>
      </c>
      <c r="FF52" s="427"/>
      <c r="FG52" s="427"/>
      <c r="FH52" s="427"/>
      <c r="FI52" s="427">
        <f t="array" ref="FI52">IF(SUM((FH52=$FH$3:FH51)*1)=0,FH52,0)</f>
        <v>0</v>
      </c>
      <c r="FJ52" s="427"/>
      <c r="FK52" s="427"/>
      <c r="FL52" s="427">
        <f t="array" ref="FL52">IF(SUM((FK52=$FK$3:FK51)*1)=0,FK52,0)</f>
        <v>0</v>
      </c>
      <c r="FM52" s="427"/>
      <c r="FN52" s="427"/>
      <c r="FO52" s="427"/>
      <c r="FP52" s="427">
        <f t="array" ref="FP52">IF(SUM((FO52=$FO$3:FO51)*1)=0,FO52,0)</f>
        <v>0</v>
      </c>
      <c r="FQ52" s="427"/>
      <c r="FR52" s="427"/>
      <c r="FS52" s="427">
        <f t="array" ref="FS52">IF(SUM((FR52=$FR$3:FR51)*1)=0,FR52,0)</f>
        <v>0</v>
      </c>
      <c r="FT52" s="427"/>
      <c r="FU52" s="427"/>
      <c r="FV52" s="427"/>
      <c r="FW52" s="427">
        <f t="array" ref="FW52">IF(SUM((FV52=$FV$3:FV51)*1)=0,FV52,0)</f>
        <v>0</v>
      </c>
      <c r="FX52" s="427"/>
      <c r="FY52" s="427"/>
      <c r="FZ52" s="427">
        <f t="array" ref="FZ52">IF(SUM((FY52=$FY$3:FY51)*1)=0,FY52,0)</f>
        <v>0</v>
      </c>
      <c r="GA52" s="427"/>
      <c r="GB52" s="427"/>
      <c r="GC52" s="427"/>
      <c r="GD52" s="427">
        <f t="array" ref="GD52">IF(SUM((GC52=$GC$3:GC51)*1)=0,GC52,0)</f>
        <v>0</v>
      </c>
      <c r="GE52" s="427"/>
      <c r="GF52" s="427"/>
      <c r="GG52" s="427">
        <f t="array" ref="GG52">IF(SUM((GF52=$GF$3:GF51)*1)=0,GF52,0)</f>
        <v>0</v>
      </c>
      <c r="GH52" s="427"/>
      <c r="GI52" s="427"/>
      <c r="GJ52" s="427"/>
      <c r="GK52" s="798">
        <f t="array" ref="GK52">IF(SUM((GJ52=$GJ$3:GJ51)*1)=0,GJ52,0)</f>
        <v>0</v>
      </c>
      <c r="GL52" s="427"/>
      <c r="GM52" s="427"/>
      <c r="GN52" s="798">
        <f t="array" ref="GN52">IF(SUM((GM52=$GM$3:GM51)*1)=0,GM52,0)</f>
        <v>0</v>
      </c>
      <c r="GO52" s="427"/>
      <c r="GP52" s="427"/>
      <c r="GQ52" s="427"/>
      <c r="GR52" s="798">
        <f t="array" ref="GR52">IF(SUM((GQ52=$GQ$3:GQ51)*1)=0,GQ52,0)</f>
        <v>0</v>
      </c>
      <c r="GS52" s="427"/>
      <c r="GT52" s="427"/>
      <c r="GU52" s="798">
        <f t="array" ref="GU52">IF(SUM((GT52=$GT$3:GT51)*1)=0,GT52,0)</f>
        <v>0</v>
      </c>
      <c r="GV52" s="427"/>
      <c r="GW52" s="427"/>
      <c r="GX52" s="427"/>
      <c r="GY52" s="798">
        <f t="array" ref="GY52">IF(SUM((GX52=$GX$3:GX51)*1)=0,GX52,0)</f>
        <v>0</v>
      </c>
      <c r="GZ52" s="427"/>
      <c r="HA52" s="427"/>
      <c r="HB52" s="798">
        <f t="array" ref="HB52">IF(SUM((HA52=$HA$3:HA51)*1)=0,HA52,0)</f>
        <v>0</v>
      </c>
      <c r="HC52" s="427"/>
      <c r="HD52" s="427"/>
      <c r="HE52" s="769" t="str">
        <f t="shared" si="130"/>
        <v/>
      </c>
      <c r="HF52" s="768" t="str">
        <f t="shared" ref="HF52" si="607">IF(HE52&lt;0,"Invadiu REP-BA-C","")</f>
        <v/>
      </c>
      <c r="HG52" s="769" t="str">
        <f t="shared" si="131"/>
        <v/>
      </c>
      <c r="HH52" s="768" t="str">
        <f t="shared" si="55"/>
        <v/>
      </c>
      <c r="HI52" s="728" t="str">
        <f t="shared" si="132"/>
        <v/>
      </c>
      <c r="HJ52" s="768" t="str">
        <f t="shared" si="56"/>
        <v/>
      </c>
      <c r="HK52" s="728" t="str">
        <f t="shared" si="133"/>
        <v/>
      </c>
      <c r="HL52" s="768" t="str">
        <f t="shared" si="57"/>
        <v/>
      </c>
      <c r="HM52" s="769" t="str">
        <f t="shared" si="441"/>
        <v/>
      </c>
      <c r="HN52" s="768" t="str">
        <f t="shared" ref="HN52" si="608">IF(HM52&lt;0,"Invadiu REP-BA-C","")</f>
        <v/>
      </c>
      <c r="HO52" s="769" t="str">
        <f t="shared" si="443"/>
        <v/>
      </c>
      <c r="HP52" s="768" t="str">
        <f t="shared" si="61"/>
        <v/>
      </c>
      <c r="HQ52" s="728" t="str">
        <f t="shared" si="444"/>
        <v/>
      </c>
      <c r="HR52" s="768" t="str">
        <f t="shared" si="63"/>
        <v/>
      </c>
      <c r="HS52" s="728" t="str">
        <f t="shared" si="445"/>
        <v/>
      </c>
      <c r="HT52" s="768" t="str">
        <f t="shared" si="65"/>
        <v/>
      </c>
      <c r="HU52" s="769" t="str">
        <f t="shared" si="446"/>
        <v/>
      </c>
      <c r="HV52" s="768" t="str">
        <f t="shared" ref="HV52" si="609">IF(HU52&lt;0,"Invadiu REP-BA-C","")</f>
        <v/>
      </c>
      <c r="HW52" s="769" t="str">
        <f t="shared" si="448"/>
        <v/>
      </c>
      <c r="HX52" s="768" t="str">
        <f t="shared" si="69"/>
        <v/>
      </c>
      <c r="HY52" s="728" t="str">
        <f t="shared" si="449"/>
        <v/>
      </c>
      <c r="HZ52" s="768" t="str">
        <f t="shared" si="71"/>
        <v/>
      </c>
      <c r="IA52" s="728" t="str">
        <f t="shared" si="450"/>
        <v/>
      </c>
      <c r="IB52" s="768" t="str">
        <f t="shared" si="73"/>
        <v/>
      </c>
      <c r="IC52" s="769" t="str">
        <f t="shared" si="451"/>
        <v/>
      </c>
      <c r="ID52" s="768" t="str">
        <f t="shared" ref="ID52" si="610">IF(IC52&lt;0,"Invadiu REP-BA-C","")</f>
        <v/>
      </c>
      <c r="IE52" s="769" t="str">
        <f t="shared" si="453"/>
        <v/>
      </c>
      <c r="IF52" s="768" t="str">
        <f t="shared" si="77"/>
        <v/>
      </c>
      <c r="IG52" s="728" t="str">
        <f t="shared" si="454"/>
        <v/>
      </c>
      <c r="IH52" s="768" t="str">
        <f t="shared" si="79"/>
        <v/>
      </c>
      <c r="II52" s="728" t="str">
        <f t="shared" si="455"/>
        <v/>
      </c>
      <c r="IJ52" s="768" t="str">
        <f t="shared" si="81"/>
        <v/>
      </c>
      <c r="IK52" s="769" t="str">
        <f t="shared" si="456"/>
        <v/>
      </c>
      <c r="IL52" s="768" t="str">
        <f t="shared" ref="IL52" si="611">IF(IK52&lt;0,"Invadiu REP-BA-C","")</f>
        <v/>
      </c>
      <c r="IM52" s="769" t="str">
        <f t="shared" si="458"/>
        <v/>
      </c>
      <c r="IN52" s="768" t="str">
        <f t="shared" si="85"/>
        <v/>
      </c>
      <c r="IO52" s="728" t="str">
        <f t="shared" si="459"/>
        <v/>
      </c>
      <c r="IP52" s="768" t="str">
        <f t="shared" si="87"/>
        <v/>
      </c>
      <c r="IQ52" s="728" t="str">
        <f t="shared" si="460"/>
        <v/>
      </c>
      <c r="IR52" s="768" t="str">
        <f t="shared" si="89"/>
        <v/>
      </c>
      <c r="IS52" s="769" t="str">
        <f t="shared" si="461"/>
        <v/>
      </c>
      <c r="IT52" s="768" t="str">
        <f t="shared" ref="IT52" si="612">IF(IS52&lt;0,"Invadiu REP-BA-C","")</f>
        <v/>
      </c>
      <c r="IU52" s="769" t="str">
        <f t="shared" si="463"/>
        <v/>
      </c>
      <c r="IV52" s="768" t="str">
        <f t="shared" si="93"/>
        <v/>
      </c>
      <c r="IW52" s="728" t="str">
        <f t="shared" si="464"/>
        <v/>
      </c>
      <c r="IX52" s="768" t="str">
        <f t="shared" si="95"/>
        <v/>
      </c>
      <c r="IY52" s="728" t="str">
        <f t="shared" si="465"/>
        <v/>
      </c>
      <c r="IZ52" s="768" t="str">
        <f t="shared" si="97"/>
        <v/>
      </c>
      <c r="JA52" s="769" t="str">
        <f t="shared" si="466"/>
        <v/>
      </c>
      <c r="JB52" s="768" t="str">
        <f t="shared" ref="JB52" si="613">IF(JA52&lt;0,"Invadiu REP-BA-C","")</f>
        <v/>
      </c>
      <c r="JC52" s="769" t="str">
        <f t="shared" si="468"/>
        <v/>
      </c>
      <c r="JD52" s="768" t="str">
        <f t="shared" si="101"/>
        <v/>
      </c>
      <c r="JE52" s="728" t="str">
        <f t="shared" si="469"/>
        <v/>
      </c>
      <c r="JF52" s="768" t="str">
        <f t="shared" si="103"/>
        <v/>
      </c>
      <c r="JG52" s="728" t="str">
        <f t="shared" si="470"/>
        <v/>
      </c>
      <c r="JH52" s="768" t="str">
        <f t="shared" si="105"/>
        <v/>
      </c>
      <c r="JI52" s="769" t="str">
        <f t="shared" si="471"/>
        <v/>
      </c>
      <c r="JJ52" s="768" t="str">
        <f t="shared" ref="JJ52" si="614">IF(JI52&lt;0,"Invadiu REP-BA-C","")</f>
        <v/>
      </c>
      <c r="JK52" s="769" t="str">
        <f t="shared" si="473"/>
        <v/>
      </c>
      <c r="JL52" s="768" t="str">
        <f t="shared" si="109"/>
        <v/>
      </c>
      <c r="JM52" s="728" t="str">
        <f t="shared" si="474"/>
        <v/>
      </c>
      <c r="JN52" s="768" t="str">
        <f t="shared" si="111"/>
        <v/>
      </c>
      <c r="JO52" s="728" t="str">
        <f t="shared" si="475"/>
        <v/>
      </c>
      <c r="JP52" s="768" t="str">
        <f t="shared" si="113"/>
        <v/>
      </c>
      <c r="JQ52" s="769" t="str">
        <f t="shared" si="476"/>
        <v/>
      </c>
      <c r="JR52" s="768" t="str">
        <f t="shared" ref="JR52" si="615">IF(JQ52&lt;0,"Invadiu REP-BA-C","")</f>
        <v/>
      </c>
      <c r="JS52" s="769" t="str">
        <f t="shared" si="478"/>
        <v/>
      </c>
      <c r="JT52" s="768" t="str">
        <f t="shared" si="117"/>
        <v/>
      </c>
      <c r="JU52" s="728" t="str">
        <f t="shared" si="479"/>
        <v/>
      </c>
      <c r="JV52" s="768" t="str">
        <f t="shared" si="119"/>
        <v/>
      </c>
      <c r="JW52" s="728" t="str">
        <f t="shared" si="480"/>
        <v/>
      </c>
      <c r="JX52" s="768" t="str">
        <f t="shared" si="121"/>
        <v/>
      </c>
      <c r="JY52" s="768" t="str">
        <f t="shared" si="122"/>
        <v/>
      </c>
      <c r="JZ52" s="485" t="str">
        <f>IF(JY52="","",IF(AND(C52=$C$164,JY52&lt;&gt;""),Verificarcpf(D52),IF(AND(C52=$C$165,JY52&lt;&gt;""),VerificarCNPJ(D52))))</f>
        <v/>
      </c>
      <c r="KA52" s="768" t="str">
        <f t="shared" si="123"/>
        <v/>
      </c>
      <c r="KB52" s="485">
        <f t="shared" si="124"/>
        <v>0</v>
      </c>
      <c r="KC52" s="768">
        <f t="shared" si="125"/>
        <v>0</v>
      </c>
      <c r="KD52" s="485">
        <f t="shared" si="126"/>
        <v>0</v>
      </c>
      <c r="KE52" s="448"/>
      <c r="KF52" s="548"/>
      <c r="KG52" s="548"/>
      <c r="KH52" s="548"/>
      <c r="KI52" s="548"/>
      <c r="KJ52" s="548" t="str">
        <f t="shared" si="128"/>
        <v/>
      </c>
      <c r="KK52" s="548"/>
      <c r="KL52" s="548"/>
      <c r="KM52" s="548">
        <f t="array" ref="KM52">IF(SUM((KL52=$KL$3:KL51)*1)=0,KL52,0)</f>
        <v>0</v>
      </c>
      <c r="KN52" s="548"/>
      <c r="KO52" s="548"/>
      <c r="KP52" s="548"/>
      <c r="KQ52" s="548"/>
      <c r="KR52" s="548" t="str">
        <f t="shared" si="129"/>
        <v/>
      </c>
      <c r="KS52" s="548"/>
      <c r="KT52" s="548"/>
      <c r="KU52" s="548"/>
      <c r="KV52" s="548"/>
      <c r="KW52" s="548"/>
      <c r="KX52" s="548"/>
      <c r="KY52" s="548"/>
      <c r="KZ52" s="548"/>
      <c r="LA52" s="548"/>
      <c r="LB52" s="548"/>
      <c r="LC52" s="485" t="str">
        <f t="shared" si="142"/>
        <v/>
      </c>
      <c r="LD52" s="548"/>
      <c r="LE52" s="548"/>
      <c r="LF52" s="548"/>
      <c r="LG52" s="548"/>
      <c r="LH52" s="548"/>
      <c r="LI52" s="548"/>
      <c r="LJ52" s="548"/>
      <c r="LK52" s="548"/>
      <c r="LL52" s="548"/>
      <c r="LM52" s="548"/>
      <c r="LN52" s="548"/>
      <c r="LO52" s="548"/>
      <c r="LP52" s="485" t="str">
        <f t="shared" si="143"/>
        <v/>
      </c>
      <c r="LQ52" s="548"/>
      <c r="LR52" s="548"/>
      <c r="LS52" s="548"/>
      <c r="LT52" s="548"/>
      <c r="LU52" s="548"/>
      <c r="LV52" s="548"/>
      <c r="LW52" s="548"/>
      <c r="LX52" s="548"/>
      <c r="LY52" s="548"/>
      <c r="LZ52" s="548"/>
      <c r="MA52" s="548"/>
      <c r="MB52" s="548"/>
      <c r="MC52" s="485" t="str">
        <f t="shared" si="144"/>
        <v/>
      </c>
      <c r="MD52" s="548"/>
      <c r="ME52" s="548"/>
      <c r="MF52" s="548"/>
      <c r="MG52" s="548"/>
      <c r="MH52" s="548"/>
      <c r="MI52" s="548"/>
      <c r="MJ52" s="548"/>
      <c r="MK52" s="548"/>
      <c r="ML52" s="548"/>
      <c r="MM52" s="548"/>
      <c r="MN52" s="548"/>
      <c r="MO52" s="548"/>
      <c r="MP52" s="485" t="str">
        <f t="shared" si="145"/>
        <v/>
      </c>
      <c r="MQ52" s="548"/>
      <c r="MR52" s="548"/>
      <c r="MS52" s="548"/>
      <c r="MT52" s="548"/>
      <c r="MU52" s="548"/>
      <c r="MV52" s="548"/>
      <c r="MW52" s="548"/>
      <c r="MX52" s="548"/>
      <c r="MY52" s="548"/>
      <c r="MZ52" s="548"/>
      <c r="NA52" s="548"/>
      <c r="NB52" s="548"/>
      <c r="NC52" s="485" t="str">
        <f t="shared" si="146"/>
        <v/>
      </c>
      <c r="ND52" s="548"/>
      <c r="NE52" s="548"/>
      <c r="NF52" s="548"/>
      <c r="NG52" s="548"/>
      <c r="NH52" s="548"/>
      <c r="NI52" s="548"/>
      <c r="NJ52" s="548"/>
      <c r="NK52" s="548"/>
      <c r="NL52" s="548"/>
      <c r="NM52" s="548"/>
      <c r="NN52" s="548"/>
      <c r="NO52" s="548"/>
      <c r="NP52" s="485" t="str">
        <f t="shared" si="147"/>
        <v/>
      </c>
      <c r="NQ52" s="548"/>
      <c r="NR52" s="548"/>
      <c r="NS52" s="548"/>
      <c r="NT52" s="548"/>
      <c r="NU52" s="548"/>
      <c r="NV52" s="548"/>
      <c r="NW52" s="548"/>
      <c r="NX52" s="548"/>
      <c r="NY52" s="548"/>
      <c r="NZ52" s="548"/>
      <c r="OA52" s="548"/>
      <c r="OB52" s="548"/>
      <c r="OC52" s="485" t="str">
        <f t="shared" si="148"/>
        <v/>
      </c>
      <c r="OD52" s="548"/>
      <c r="OE52" s="548"/>
      <c r="OF52" s="548"/>
      <c r="OG52" s="548"/>
      <c r="OH52" s="548"/>
      <c r="OI52" s="548"/>
      <c r="OJ52" s="548"/>
      <c r="OK52" s="548"/>
      <c r="OL52" s="548"/>
      <c r="OM52" s="548"/>
      <c r="ON52" s="548"/>
      <c r="OO52" s="548"/>
      <c r="OP52" s="548"/>
      <c r="OQ52" s="548"/>
      <c r="OR52" s="548"/>
      <c r="OS52" s="548"/>
      <c r="OT52" s="548"/>
      <c r="OU52" s="548"/>
      <c r="OV52" s="548"/>
      <c r="OW52" s="548"/>
      <c r="OX52" s="548"/>
      <c r="OY52" s="548"/>
      <c r="OZ52" s="548"/>
      <c r="PA52" s="548"/>
      <c r="PB52" s="548"/>
      <c r="PC52" s="548"/>
      <c r="PD52" s="548"/>
      <c r="PE52" s="548"/>
      <c r="PF52" s="548"/>
      <c r="PG52" s="548"/>
      <c r="PH52" s="548"/>
      <c r="PI52" s="548"/>
      <c r="PJ52" s="548"/>
      <c r="PK52" s="548"/>
      <c r="PL52" s="548"/>
      <c r="PM52" s="548"/>
      <c r="PN52" s="548"/>
      <c r="PO52" s="548"/>
      <c r="PP52" s="548"/>
      <c r="PQ52" s="548"/>
      <c r="PR52" s="548"/>
      <c r="PS52" s="548"/>
      <c r="PT52" s="548"/>
      <c r="PU52" s="548"/>
      <c r="PV52" s="548"/>
      <c r="PW52" s="548"/>
      <c r="PX52" s="548"/>
      <c r="PY52" s="548"/>
      <c r="PZ52" s="548"/>
      <c r="QA52" s="548"/>
      <c r="QB52" s="548"/>
      <c r="QC52" s="548"/>
      <c r="QD52" s="548"/>
      <c r="QE52" s="548"/>
      <c r="QF52" s="548"/>
      <c r="QG52" s="548"/>
      <c r="QH52" s="548"/>
      <c r="QI52" s="548"/>
      <c r="QJ52" s="548"/>
      <c r="QK52" s="548"/>
      <c r="QL52" s="548"/>
      <c r="QM52" s="548"/>
      <c r="QN52" s="548"/>
      <c r="QO52" s="548"/>
      <c r="QP52" s="548"/>
      <c r="QQ52" s="1009"/>
      <c r="QR52" s="548"/>
      <c r="QS52" s="548"/>
      <c r="QT52" s="548"/>
      <c r="QU52" s="548"/>
      <c r="QV52" s="548"/>
      <c r="QW52" s="548"/>
      <c r="QX52" s="548"/>
      <c r="QY52" s="548"/>
      <c r="QZ52" s="548"/>
      <c r="RA52" s="548"/>
      <c r="RB52" s="548"/>
      <c r="RC52" s="548"/>
      <c r="RD52" s="548"/>
      <c r="RE52" s="548"/>
      <c r="RF52" s="548"/>
      <c r="RG52" s="548"/>
      <c r="RH52" s="548"/>
      <c r="RI52" s="548"/>
      <c r="RJ52" s="548"/>
      <c r="RK52" s="548"/>
      <c r="RL52" s="548"/>
      <c r="RM52" s="548"/>
      <c r="RN52" s="548"/>
      <c r="RO52" s="548"/>
      <c r="RP52" s="548"/>
      <c r="RQ52" s="548"/>
      <c r="RR52" s="548"/>
      <c r="RS52" s="548"/>
      <c r="RT52" s="548"/>
      <c r="RU52" s="548"/>
      <c r="RV52" s="548"/>
      <c r="RW52" s="548"/>
      <c r="RX52" s="548"/>
      <c r="RY52" s="548"/>
      <c r="RZ52" s="548"/>
      <c r="SA52" s="548"/>
      <c r="SB52" s="548"/>
      <c r="SC52" s="548"/>
      <c r="SD52" s="548"/>
      <c r="SE52" s="548"/>
      <c r="SF52" s="548"/>
      <c r="SG52" s="548"/>
      <c r="SH52" s="548"/>
      <c r="SI52" s="548"/>
      <c r="SJ52" s="548"/>
      <c r="SK52" s="548"/>
      <c r="SL52" s="548"/>
      <c r="SM52" s="548"/>
      <c r="SN52" s="548"/>
      <c r="SO52" s="548"/>
      <c r="SP52" s="548"/>
      <c r="SQ52" s="548"/>
      <c r="SR52" s="548"/>
      <c r="SS52" s="548"/>
      <c r="ST52" s="548"/>
      <c r="SU52" s="548"/>
      <c r="SV52" s="548"/>
      <c r="SW52" s="548"/>
      <c r="SX52" s="548"/>
      <c r="SY52" s="548"/>
      <c r="SZ52" s="548"/>
      <c r="TA52" s="548"/>
      <c r="TB52" s="548"/>
      <c r="TC52" s="548"/>
      <c r="TD52" s="548"/>
      <c r="TE52" s="548"/>
      <c r="TF52" s="548"/>
      <c r="TG52" s="548"/>
      <c r="TH52" s="548"/>
      <c r="TI52" s="548"/>
      <c r="TJ52" s="548"/>
      <c r="TK52" s="548"/>
      <c r="TL52" s="548"/>
      <c r="TM52" s="548"/>
      <c r="TN52" s="548"/>
      <c r="TO52" s="548"/>
      <c r="TP52" s="548"/>
      <c r="TQ52" s="548"/>
      <c r="TR52" s="548"/>
      <c r="TS52" s="548"/>
      <c r="TT52" s="548"/>
      <c r="TU52" s="548"/>
      <c r="TV52" s="548"/>
      <c r="TW52" s="548"/>
      <c r="TX52" s="548"/>
      <c r="TY52" s="548"/>
      <c r="TZ52" s="548"/>
      <c r="UA52" s="548"/>
      <c r="UB52" s="548"/>
      <c r="UC52" s="548"/>
      <c r="UD52" s="548"/>
      <c r="UE52" s="548"/>
      <c r="UF52" s="548"/>
      <c r="UG52" s="548"/>
      <c r="UH52" s="548"/>
      <c r="UI52" s="548"/>
      <c r="UJ52" s="548"/>
      <c r="UK52" s="548"/>
      <c r="UL52" s="548"/>
      <c r="UM52" s="548"/>
      <c r="UN52" s="548"/>
      <c r="UO52" s="548"/>
      <c r="UP52" s="548"/>
      <c r="UQ52" s="548"/>
      <c r="UR52" s="548"/>
      <c r="US52" s="548"/>
      <c r="UT52" s="548"/>
      <c r="UU52" s="548"/>
      <c r="UV52" s="548"/>
      <c r="UW52" s="548"/>
      <c r="UX52" s="548"/>
      <c r="UY52" s="548"/>
      <c r="UZ52" s="548"/>
      <c r="VA52" s="548"/>
      <c r="VB52" s="548"/>
      <c r="VC52" s="548"/>
      <c r="VD52" s="548"/>
      <c r="VE52" s="548"/>
      <c r="VF52" s="548"/>
      <c r="VG52" s="548"/>
      <c r="VH52" s="548"/>
      <c r="VI52" s="548"/>
      <c r="VJ52" s="548"/>
      <c r="VK52" s="548"/>
      <c r="VL52" s="548"/>
      <c r="VM52" s="548"/>
      <c r="VN52" s="548"/>
      <c r="VO52" s="548"/>
      <c r="VP52" s="548"/>
      <c r="VQ52" s="548"/>
      <c r="VR52" s="548"/>
      <c r="VS52" s="548"/>
      <c r="VT52" s="548"/>
      <c r="VU52" s="548"/>
      <c r="VV52" s="548"/>
      <c r="VW52" s="548"/>
      <c r="VX52" s="548"/>
      <c r="VY52" s="548"/>
      <c r="VZ52" s="548"/>
      <c r="WA52" s="548"/>
      <c r="WB52" s="548"/>
      <c r="WC52" s="548"/>
      <c r="WD52" s="548"/>
      <c r="WE52" s="548"/>
      <c r="WF52" s="548"/>
      <c r="WG52" s="548"/>
      <c r="WH52" s="548"/>
      <c r="WI52" s="548"/>
      <c r="WJ52" s="548"/>
      <c r="WK52" s="548"/>
      <c r="WL52" s="548"/>
      <c r="WM52" s="548"/>
      <c r="WN52" s="548"/>
      <c r="WO52" s="548"/>
      <c r="WP52" s="548"/>
      <c r="WQ52" s="548"/>
      <c r="WR52" s="548"/>
      <c r="WS52" s="548"/>
      <c r="WT52" s="548"/>
      <c r="WU52" s="548"/>
      <c r="WV52" s="548"/>
      <c r="WW52" s="548"/>
      <c r="WX52" s="548"/>
      <c r="WY52" s="548"/>
      <c r="WZ52" s="548"/>
      <c r="XA52" s="548"/>
      <c r="XB52" s="548"/>
      <c r="XC52" s="548"/>
      <c r="XD52" s="548"/>
      <c r="XE52" s="548"/>
      <c r="XF52" s="548"/>
      <c r="XG52" s="548"/>
      <c r="XH52" s="548"/>
      <c r="XI52" s="548"/>
      <c r="XJ52" s="548"/>
      <c r="XK52" s="548"/>
      <c r="XL52" s="548"/>
      <c r="XM52" s="548"/>
      <c r="XN52" s="548"/>
      <c r="XO52" s="548"/>
      <c r="XP52" s="548"/>
      <c r="XQ52" s="548"/>
      <c r="XR52" s="548"/>
      <c r="XS52" s="548"/>
      <c r="XT52" s="548"/>
      <c r="XU52" s="548"/>
      <c r="XV52" s="548"/>
      <c r="XW52" s="548"/>
      <c r="XX52" s="548"/>
      <c r="XY52" s="548"/>
      <c r="XZ52" s="548"/>
      <c r="YA52" s="548"/>
      <c r="YB52" s="548"/>
      <c r="YC52" s="548"/>
      <c r="YD52" s="548"/>
      <c r="YE52" s="548"/>
      <c r="YF52" s="548"/>
      <c r="YG52" s="548"/>
      <c r="YH52" s="548"/>
      <c r="YI52" s="548"/>
      <c r="YJ52" s="548"/>
      <c r="YK52" s="548"/>
      <c r="YL52" s="548"/>
      <c r="YM52" s="548"/>
      <c r="YN52" s="548"/>
      <c r="YO52" s="548"/>
      <c r="YP52" s="548"/>
      <c r="YQ52" s="548"/>
      <c r="YR52" s="548"/>
      <c r="YS52" s="548"/>
      <c r="YT52" s="548"/>
      <c r="YU52" s="548"/>
      <c r="YV52" s="548"/>
      <c r="YW52" s="548"/>
      <c r="YX52" s="548"/>
      <c r="YY52" s="548"/>
      <c r="YZ52" s="548"/>
      <c r="ZA52" s="548"/>
      <c r="ZB52" s="548"/>
      <c r="ZC52" s="548"/>
      <c r="ZD52" s="548"/>
      <c r="ZE52" s="548"/>
      <c r="ZF52" s="548"/>
      <c r="ZG52" s="548"/>
      <c r="ZH52" s="548"/>
      <c r="ZI52" s="548"/>
      <c r="ZJ52" s="548"/>
      <c r="ZK52" s="548"/>
      <c r="ZL52" s="548"/>
      <c r="ZM52" s="548"/>
      <c r="ZN52" s="548"/>
      <c r="ZO52" s="548"/>
      <c r="ZP52" s="548"/>
      <c r="ZQ52" s="548"/>
      <c r="ZR52" s="548"/>
      <c r="ZS52" s="548"/>
      <c r="ZT52" s="548"/>
      <c r="ZU52" s="548"/>
      <c r="ZV52" s="548"/>
      <c r="ZW52" s="548"/>
      <c r="ZX52" s="548"/>
      <c r="ZY52" s="548"/>
      <c r="ZZ52" s="548"/>
      <c r="AAA52" s="548"/>
      <c r="AAB52" s="548"/>
      <c r="AAC52" s="548"/>
      <c r="AAD52" s="548"/>
      <c r="AAE52" s="548"/>
      <c r="AAF52" s="548"/>
      <c r="AAG52" s="548"/>
      <c r="AAH52" s="548"/>
      <c r="AAI52" s="548"/>
      <c r="AAJ52" s="548"/>
      <c r="AAK52" s="548"/>
      <c r="AAL52" s="548"/>
      <c r="AAM52" s="548"/>
      <c r="AAN52" s="548"/>
      <c r="AAO52" s="548"/>
      <c r="AAP52" s="548"/>
      <c r="AAQ52" s="548"/>
      <c r="AAR52" s="548"/>
      <c r="AAS52" s="548"/>
      <c r="AAT52" s="548"/>
      <c r="AAU52" s="548"/>
      <c r="AAV52" s="548"/>
      <c r="AAW52" s="548"/>
      <c r="AAX52" s="548"/>
      <c r="AAY52" s="548"/>
      <c r="AAZ52" s="548"/>
      <c r="ABA52" s="548"/>
      <c r="ABB52" s="548"/>
      <c r="ABC52" s="548"/>
      <c r="ABD52" s="548"/>
      <c r="ABE52" s="548"/>
      <c r="ABF52" s="548"/>
      <c r="ABG52" s="548"/>
      <c r="ABH52" s="548"/>
      <c r="ABI52" s="548"/>
      <c r="ABJ52" s="548"/>
      <c r="ABK52" s="548"/>
      <c r="ABL52" s="548"/>
      <c r="ABM52" s="548"/>
      <c r="ABN52" s="548"/>
      <c r="ABO52" s="548"/>
      <c r="ABP52" s="548"/>
      <c r="ABQ52" s="548"/>
      <c r="ABR52" s="548"/>
      <c r="ABS52" s="548"/>
    </row>
    <row r="53" spans="1:747" customFormat="1" ht="15" customHeight="1" x14ac:dyDescent="0.2">
      <c r="A53" s="424" t="str">
        <f t="shared" si="149"/>
        <v/>
      </c>
      <c r="B53" s="415"/>
      <c r="C53" s="525"/>
      <c r="D53" s="750"/>
      <c r="E53" s="416" t="str">
        <f t="shared" si="393"/>
        <v/>
      </c>
      <c r="F53" s="527" t="str">
        <f t="shared" si="394"/>
        <v/>
      </c>
      <c r="G53" s="417"/>
      <c r="H53" s="583" t="str">
        <f t="shared" si="395"/>
        <v/>
      </c>
      <c r="I53" s="424"/>
      <c r="J53" s="419"/>
      <c r="K53" s="418"/>
      <c r="L53" s="419"/>
      <c r="M53" s="415"/>
      <c r="N53" s="420"/>
      <c r="O53" s="421"/>
      <c r="P53" s="561"/>
      <c r="Q53" s="422"/>
      <c r="R53" s="561" t="str">
        <f t="shared" si="396"/>
        <v/>
      </c>
      <c r="S53" s="664"/>
      <c r="T53" s="663"/>
      <c r="U53" s="580">
        <f t="shared" si="397"/>
        <v>0</v>
      </c>
      <c r="V53" s="418"/>
      <c r="W53" s="582" t="str">
        <f t="shared" si="398"/>
        <v/>
      </c>
      <c r="X53" s="479" t="str">
        <f t="shared" si="399"/>
        <v/>
      </c>
      <c r="Y53" s="582" t="str">
        <f t="shared" si="400"/>
        <v/>
      </c>
      <c r="Z53" s="317" t="str">
        <f t="shared" si="401"/>
        <v/>
      </c>
      <c r="AA53" s="317" t="str">
        <f t="shared" si="402"/>
        <v/>
      </c>
      <c r="AB53" s="317">
        <f t="shared" si="403"/>
        <v>0</v>
      </c>
      <c r="AC53" s="317" t="str">
        <f t="shared" si="404"/>
        <v/>
      </c>
      <c r="AD53" s="479"/>
      <c r="AE53" s="479"/>
      <c r="AF53" s="479"/>
      <c r="AG53" s="423"/>
      <c r="AH53" s="820"/>
      <c r="AI53" s="480"/>
      <c r="AJ53" s="660"/>
      <c r="AK53" s="524" t="str">
        <f t="shared" si="405"/>
        <v/>
      </c>
      <c r="AL53" s="719" t="str">
        <f>$AL$5</f>
        <v>itens de Despesas</v>
      </c>
      <c r="AM53" s="719" t="str">
        <f>$AM$5</f>
        <v>total pag. Mod. 2</v>
      </c>
      <c r="AN53" s="426">
        <f t="shared" si="406"/>
        <v>0</v>
      </c>
      <c r="AO53" s="427" t="str">
        <f t="shared" si="407"/>
        <v/>
      </c>
      <c r="AP53" s="426" t="str">
        <f t="shared" si="408"/>
        <v/>
      </c>
      <c r="AQ53" s="426"/>
      <c r="AR53" s="426"/>
      <c r="AS53" s="428"/>
      <c r="AT53" s="429"/>
      <c r="AU53" s="430"/>
      <c r="AV53" s="431"/>
      <c r="AW53" s="432"/>
      <c r="AX53" s="430"/>
      <c r="AY53" s="431">
        <f t="shared" si="409"/>
        <v>0</v>
      </c>
      <c r="AZ53" s="426"/>
      <c r="BA53" s="435" t="str">
        <f t="shared" si="410"/>
        <v/>
      </c>
      <c r="BB53" s="435"/>
      <c r="BC53" s="426"/>
      <c r="BD53" s="426">
        <f t="array" ref="BD53">IF(SUM((BC53=$BC$3:BC52)*1)=0,BC53,0)</f>
        <v>0</v>
      </c>
      <c r="BE53" s="426"/>
      <c r="BF53" s="426"/>
      <c r="BG53" s="426">
        <f t="array" ref="BG53">IF(SUM((BF53=$BF$3:BF52)*1)=0,BF53,0)</f>
        <v>0</v>
      </c>
      <c r="BH53" s="426"/>
      <c r="BI53" s="426"/>
      <c r="BJ53" s="426"/>
      <c r="BK53" s="426"/>
      <c r="BL53" s="426"/>
      <c r="BM53" s="426"/>
      <c r="BN53" s="426"/>
      <c r="BO53" s="426"/>
      <c r="BP53" s="433">
        <f t="shared" si="411"/>
        <v>0</v>
      </c>
      <c r="BQ53" s="426"/>
      <c r="BR53" s="434"/>
      <c r="BS53" s="426"/>
      <c r="BT53" s="433"/>
      <c r="BU53" s="435"/>
      <c r="BV53" s="435" t="str">
        <f t="shared" si="412"/>
        <v/>
      </c>
      <c r="BW53" s="435" t="str">
        <f t="shared" si="38"/>
        <v/>
      </c>
      <c r="BX53" s="435"/>
      <c r="BY53" s="435"/>
      <c r="BZ53" s="435"/>
      <c r="CA53" s="435"/>
      <c r="CB53" s="435"/>
      <c r="CC53" s="435"/>
      <c r="CD53" s="435"/>
      <c r="CE53" s="435"/>
      <c r="CF53" s="435"/>
      <c r="CG53" s="435"/>
      <c r="CH53" s="435"/>
      <c r="CI53" s="435"/>
      <c r="CJ53" s="426" t="str">
        <f t="shared" si="39"/>
        <v/>
      </c>
      <c r="CK53" s="435"/>
      <c r="CL53" s="435"/>
      <c r="CM53" s="435"/>
      <c r="CN53" s="435"/>
      <c r="CO53" s="435"/>
      <c r="CP53" s="435"/>
      <c r="CQ53" s="435"/>
      <c r="CR53" s="435"/>
      <c r="CS53" s="435"/>
      <c r="CT53" s="435"/>
      <c r="CU53" s="435"/>
      <c r="CV53" s="435"/>
      <c r="CW53" s="426"/>
      <c r="CX53" s="426"/>
      <c r="CY53" s="426">
        <v>50</v>
      </c>
      <c r="CZ53" s="426"/>
      <c r="DA53" s="426"/>
      <c r="DB53" s="426"/>
      <c r="DC53" s="426" t="s">
        <v>793</v>
      </c>
      <c r="DD53" s="426" t="s">
        <v>953</v>
      </c>
      <c r="DE53" s="435" t="str">
        <f t="shared" si="40"/>
        <v/>
      </c>
      <c r="DF53" s="435" t="str">
        <f t="shared" si="41"/>
        <v/>
      </c>
      <c r="DG53" s="435" t="str">
        <f t="shared" si="42"/>
        <v/>
      </c>
      <c r="DH53" s="435" t="str">
        <f t="shared" si="43"/>
        <v/>
      </c>
      <c r="DI53" s="435" t="str">
        <f t="shared" si="44"/>
        <v/>
      </c>
      <c r="DJ53" s="435" t="str">
        <f t="shared" si="45"/>
        <v/>
      </c>
      <c r="DK53" s="435" t="str">
        <f t="shared" si="413"/>
        <v/>
      </c>
      <c r="DL53" s="435" t="str">
        <f t="shared" si="414"/>
        <v/>
      </c>
      <c r="DM53" s="435" t="str">
        <f t="shared" si="46"/>
        <v/>
      </c>
      <c r="DN53" s="435" t="str">
        <f t="shared" si="47"/>
        <v/>
      </c>
      <c r="DO53" s="435" t="str">
        <f t="shared" si="415"/>
        <v/>
      </c>
      <c r="DP53" s="435" t="str">
        <f t="shared" si="416"/>
        <v/>
      </c>
      <c r="DQ53" s="435" t="str">
        <f t="shared" si="48"/>
        <v/>
      </c>
      <c r="DR53" s="435" t="str">
        <f t="shared" si="49"/>
        <v/>
      </c>
      <c r="DS53" s="435" t="str">
        <f t="shared" si="417"/>
        <v/>
      </c>
      <c r="DT53" s="435" t="str">
        <f t="shared" si="418"/>
        <v/>
      </c>
      <c r="DU53" s="435" t="str">
        <f t="shared" si="50"/>
        <v/>
      </c>
      <c r="DV53" s="435" t="str">
        <f t="shared" si="51"/>
        <v/>
      </c>
      <c r="DW53" s="435" t="str">
        <f t="shared" si="419"/>
        <v/>
      </c>
      <c r="DX53" s="435" t="str">
        <f t="shared" si="420"/>
        <v/>
      </c>
      <c r="DY53" s="435" t="str">
        <f t="shared" si="52"/>
        <v/>
      </c>
      <c r="DZ53" s="435" t="str">
        <f t="shared" si="53"/>
        <v/>
      </c>
      <c r="EA53" s="435" t="str">
        <f t="shared" si="421"/>
        <v/>
      </c>
      <c r="EB53" s="435" t="str">
        <f t="shared" si="422"/>
        <v/>
      </c>
      <c r="EC53" s="435" t="str">
        <f t="shared" si="423"/>
        <v/>
      </c>
      <c r="ED53" s="435" t="str">
        <f t="shared" si="424"/>
        <v/>
      </c>
      <c r="EE53" s="435" t="str">
        <f t="shared" si="425"/>
        <v/>
      </c>
      <c r="EF53" s="435" t="str">
        <f t="shared" si="426"/>
        <v/>
      </c>
      <c r="EG53" s="435" t="str">
        <f t="shared" si="427"/>
        <v/>
      </c>
      <c r="EH53" s="435" t="str">
        <f t="shared" si="428"/>
        <v/>
      </c>
      <c r="EI53" s="435" t="str">
        <f t="shared" si="429"/>
        <v/>
      </c>
      <c r="EJ53" s="435" t="str">
        <f t="shared" si="430"/>
        <v/>
      </c>
      <c r="EK53" s="485"/>
      <c r="EL53" s="485"/>
      <c r="EM53" s="485"/>
      <c r="EN53" s="485"/>
      <c r="EO53" s="448"/>
      <c r="EP53" s="448"/>
      <c r="EQ53" s="448"/>
      <c r="ER53" s="448"/>
      <c r="ES53" s="448"/>
      <c r="ET53" s="435"/>
      <c r="EU53" s="435"/>
      <c r="EV53" s="435"/>
      <c r="EW53" s="435"/>
      <c r="EX53" s="426"/>
      <c r="EY53" s="426"/>
      <c r="EZ53" s="426"/>
      <c r="FA53" s="427"/>
      <c r="FB53" s="427">
        <f t="array" ref="FB53">IF(SUM((FA53=$FA$3:FA52)*1)=0,FA53,0)</f>
        <v>0</v>
      </c>
      <c r="FC53" s="427"/>
      <c r="FD53" s="427"/>
      <c r="FE53" s="427">
        <f t="array" ref="FE53">IF(SUM((FD53=$FD$3:FD52)*1)=0,FD53,0)</f>
        <v>0</v>
      </c>
      <c r="FF53" s="427"/>
      <c r="FG53" s="427"/>
      <c r="FH53" s="427"/>
      <c r="FI53" s="427">
        <f t="array" ref="FI53">IF(SUM((FH53=$FH$3:FH52)*1)=0,FH53,0)</f>
        <v>0</v>
      </c>
      <c r="FJ53" s="427"/>
      <c r="FK53" s="427"/>
      <c r="FL53" s="427">
        <f t="array" ref="FL53">IF(SUM((FK53=$FK$3:FK52)*1)=0,FK53,0)</f>
        <v>0</v>
      </c>
      <c r="FM53" s="427"/>
      <c r="FN53" s="427"/>
      <c r="FO53" s="427"/>
      <c r="FP53" s="427">
        <f t="array" ref="FP53">IF(SUM((FO53=$FO$3:FO52)*1)=0,FO53,0)</f>
        <v>0</v>
      </c>
      <c r="FQ53" s="427"/>
      <c r="FR53" s="427"/>
      <c r="FS53" s="427">
        <f t="array" ref="FS53">IF(SUM((FR53=$FR$3:FR52)*1)=0,FR53,0)</f>
        <v>0</v>
      </c>
      <c r="FT53" s="427"/>
      <c r="FU53" s="427"/>
      <c r="FV53" s="427"/>
      <c r="FW53" s="427">
        <f t="array" ref="FW53">IF(SUM((FV53=$FV$3:FV52)*1)=0,FV53,0)</f>
        <v>0</v>
      </c>
      <c r="FX53" s="427"/>
      <c r="FY53" s="427"/>
      <c r="FZ53" s="427">
        <f t="array" ref="FZ53">IF(SUM((FY53=$FY$3:FY52)*1)=0,FY53,0)</f>
        <v>0</v>
      </c>
      <c r="GA53" s="427"/>
      <c r="GB53" s="427"/>
      <c r="GC53" s="427"/>
      <c r="GD53" s="427">
        <f t="array" ref="GD53">IF(SUM((GC53=$GC$3:GC52)*1)=0,GC53,0)</f>
        <v>0</v>
      </c>
      <c r="GE53" s="427"/>
      <c r="GF53" s="427"/>
      <c r="GG53" s="427">
        <f t="array" ref="GG53">IF(SUM((GF53=$GF$3:GF52)*1)=0,GF53,0)</f>
        <v>0</v>
      </c>
      <c r="GH53" s="427"/>
      <c r="GI53" s="427"/>
      <c r="GJ53" s="427"/>
      <c r="GK53" s="798">
        <f t="array" ref="GK53">IF(SUM((GJ53=$GJ$3:GJ52)*1)=0,GJ53,0)</f>
        <v>0</v>
      </c>
      <c r="GL53" s="427"/>
      <c r="GM53" s="427"/>
      <c r="GN53" s="798">
        <f t="array" ref="GN53">IF(SUM((GM53=$GM$3:GM52)*1)=0,GM53,0)</f>
        <v>0</v>
      </c>
      <c r="GO53" s="427"/>
      <c r="GP53" s="427"/>
      <c r="GQ53" s="427"/>
      <c r="GR53" s="798">
        <f t="array" ref="GR53">IF(SUM((GQ53=$GQ$3:GQ52)*1)=0,GQ53,0)</f>
        <v>0</v>
      </c>
      <c r="GS53" s="427"/>
      <c r="GT53" s="427"/>
      <c r="GU53" s="798">
        <f t="array" ref="GU53">IF(SUM((GT53=$GT$3:GT52)*1)=0,GT53,0)</f>
        <v>0</v>
      </c>
      <c r="GV53" s="427"/>
      <c r="GW53" s="427"/>
      <c r="GX53" s="427"/>
      <c r="GY53" s="798">
        <f t="array" ref="GY53">IF(SUM((GX53=$GX$3:GX52)*1)=0,GX53,0)</f>
        <v>0</v>
      </c>
      <c r="GZ53" s="427"/>
      <c r="HA53" s="427"/>
      <c r="HB53" s="798">
        <f t="array" ref="HB53">IF(SUM((HA53=$HA$3:HA52)*1)=0,HA53,0)</f>
        <v>0</v>
      </c>
      <c r="HC53" s="427"/>
      <c r="HD53" s="427"/>
      <c r="HE53" s="769" t="str">
        <f t="shared" si="130"/>
        <v/>
      </c>
      <c r="HF53" s="768" t="str">
        <f t="shared" ref="HF53" si="616">IF(HE53&lt;0,"Invadiu REP-BA-C","")</f>
        <v/>
      </c>
      <c r="HG53" s="769" t="str">
        <f t="shared" si="131"/>
        <v/>
      </c>
      <c r="HH53" s="768" t="str">
        <f t="shared" si="55"/>
        <v/>
      </c>
      <c r="HI53" s="728" t="str">
        <f t="shared" si="132"/>
        <v/>
      </c>
      <c r="HJ53" s="768" t="str">
        <f t="shared" si="56"/>
        <v/>
      </c>
      <c r="HK53" s="728" t="str">
        <f t="shared" si="133"/>
        <v/>
      </c>
      <c r="HL53" s="768" t="str">
        <f t="shared" si="57"/>
        <v/>
      </c>
      <c r="HM53" s="769" t="str">
        <f t="shared" si="441"/>
        <v/>
      </c>
      <c r="HN53" s="768" t="str">
        <f t="shared" ref="HN53" si="617">IF(HM53&lt;0,"Invadiu REP-BA-C","")</f>
        <v/>
      </c>
      <c r="HO53" s="769" t="str">
        <f t="shared" si="443"/>
        <v/>
      </c>
      <c r="HP53" s="768" t="str">
        <f t="shared" si="61"/>
        <v/>
      </c>
      <c r="HQ53" s="728" t="str">
        <f t="shared" si="444"/>
        <v/>
      </c>
      <c r="HR53" s="768" t="str">
        <f t="shared" si="63"/>
        <v/>
      </c>
      <c r="HS53" s="728" t="str">
        <f t="shared" si="445"/>
        <v/>
      </c>
      <c r="HT53" s="768" t="str">
        <f t="shared" si="65"/>
        <v/>
      </c>
      <c r="HU53" s="769" t="str">
        <f t="shared" si="446"/>
        <v/>
      </c>
      <c r="HV53" s="768" t="str">
        <f t="shared" ref="HV53" si="618">IF(HU53&lt;0,"Invadiu REP-BA-C","")</f>
        <v/>
      </c>
      <c r="HW53" s="769" t="str">
        <f t="shared" si="448"/>
        <v/>
      </c>
      <c r="HX53" s="768" t="str">
        <f t="shared" si="69"/>
        <v/>
      </c>
      <c r="HY53" s="728" t="str">
        <f t="shared" si="449"/>
        <v/>
      </c>
      <c r="HZ53" s="768" t="str">
        <f t="shared" si="71"/>
        <v/>
      </c>
      <c r="IA53" s="728" t="str">
        <f t="shared" si="450"/>
        <v/>
      </c>
      <c r="IB53" s="768" t="str">
        <f t="shared" si="73"/>
        <v/>
      </c>
      <c r="IC53" s="769" t="str">
        <f t="shared" si="451"/>
        <v/>
      </c>
      <c r="ID53" s="768" t="str">
        <f t="shared" ref="ID53" si="619">IF(IC53&lt;0,"Invadiu REP-BA-C","")</f>
        <v/>
      </c>
      <c r="IE53" s="769" t="str">
        <f t="shared" si="453"/>
        <v/>
      </c>
      <c r="IF53" s="768" t="str">
        <f t="shared" si="77"/>
        <v/>
      </c>
      <c r="IG53" s="728" t="str">
        <f t="shared" si="454"/>
        <v/>
      </c>
      <c r="IH53" s="768" t="str">
        <f t="shared" si="79"/>
        <v/>
      </c>
      <c r="II53" s="728" t="str">
        <f t="shared" si="455"/>
        <v/>
      </c>
      <c r="IJ53" s="768" t="str">
        <f t="shared" si="81"/>
        <v/>
      </c>
      <c r="IK53" s="769" t="str">
        <f t="shared" si="456"/>
        <v/>
      </c>
      <c r="IL53" s="768" t="str">
        <f t="shared" ref="IL53" si="620">IF(IK53&lt;0,"Invadiu REP-BA-C","")</f>
        <v/>
      </c>
      <c r="IM53" s="769" t="str">
        <f t="shared" si="458"/>
        <v/>
      </c>
      <c r="IN53" s="768" t="str">
        <f t="shared" si="85"/>
        <v/>
      </c>
      <c r="IO53" s="728" t="str">
        <f t="shared" si="459"/>
        <v/>
      </c>
      <c r="IP53" s="768" t="str">
        <f t="shared" si="87"/>
        <v/>
      </c>
      <c r="IQ53" s="728" t="str">
        <f t="shared" si="460"/>
        <v/>
      </c>
      <c r="IR53" s="768" t="str">
        <f t="shared" si="89"/>
        <v/>
      </c>
      <c r="IS53" s="769" t="str">
        <f t="shared" si="461"/>
        <v/>
      </c>
      <c r="IT53" s="768" t="str">
        <f t="shared" ref="IT53" si="621">IF(IS53&lt;0,"Invadiu REP-BA-C","")</f>
        <v/>
      </c>
      <c r="IU53" s="769" t="str">
        <f t="shared" si="463"/>
        <v/>
      </c>
      <c r="IV53" s="768" t="str">
        <f t="shared" si="93"/>
        <v/>
      </c>
      <c r="IW53" s="728" t="str">
        <f t="shared" si="464"/>
        <v/>
      </c>
      <c r="IX53" s="768" t="str">
        <f t="shared" si="95"/>
        <v/>
      </c>
      <c r="IY53" s="728" t="str">
        <f t="shared" si="465"/>
        <v/>
      </c>
      <c r="IZ53" s="768" t="str">
        <f t="shared" si="97"/>
        <v/>
      </c>
      <c r="JA53" s="769" t="str">
        <f t="shared" si="466"/>
        <v/>
      </c>
      <c r="JB53" s="768" t="str">
        <f t="shared" ref="JB53" si="622">IF(JA53&lt;0,"Invadiu REP-BA-C","")</f>
        <v/>
      </c>
      <c r="JC53" s="769" t="str">
        <f t="shared" si="468"/>
        <v/>
      </c>
      <c r="JD53" s="768" t="str">
        <f t="shared" si="101"/>
        <v/>
      </c>
      <c r="JE53" s="728" t="str">
        <f t="shared" si="469"/>
        <v/>
      </c>
      <c r="JF53" s="768" t="str">
        <f t="shared" si="103"/>
        <v/>
      </c>
      <c r="JG53" s="728" t="str">
        <f t="shared" si="470"/>
        <v/>
      </c>
      <c r="JH53" s="768" t="str">
        <f t="shared" si="105"/>
        <v/>
      </c>
      <c r="JI53" s="769" t="str">
        <f t="shared" si="471"/>
        <v/>
      </c>
      <c r="JJ53" s="768" t="str">
        <f t="shared" ref="JJ53" si="623">IF(JI53&lt;0,"Invadiu REP-BA-C","")</f>
        <v/>
      </c>
      <c r="JK53" s="769" t="str">
        <f t="shared" si="473"/>
        <v/>
      </c>
      <c r="JL53" s="768" t="str">
        <f t="shared" si="109"/>
        <v/>
      </c>
      <c r="JM53" s="728" t="str">
        <f t="shared" si="474"/>
        <v/>
      </c>
      <c r="JN53" s="768" t="str">
        <f t="shared" si="111"/>
        <v/>
      </c>
      <c r="JO53" s="728" t="str">
        <f t="shared" si="475"/>
        <v/>
      </c>
      <c r="JP53" s="768" t="str">
        <f t="shared" si="113"/>
        <v/>
      </c>
      <c r="JQ53" s="769" t="str">
        <f t="shared" si="476"/>
        <v/>
      </c>
      <c r="JR53" s="768" t="str">
        <f t="shared" ref="JR53" si="624">IF(JQ53&lt;0,"Invadiu REP-BA-C","")</f>
        <v/>
      </c>
      <c r="JS53" s="769" t="str">
        <f t="shared" si="478"/>
        <v/>
      </c>
      <c r="JT53" s="768" t="str">
        <f t="shared" si="117"/>
        <v/>
      </c>
      <c r="JU53" s="728" t="str">
        <f t="shared" si="479"/>
        <v/>
      </c>
      <c r="JV53" s="768" t="str">
        <f t="shared" si="119"/>
        <v/>
      </c>
      <c r="JW53" s="728" t="str">
        <f t="shared" si="480"/>
        <v/>
      </c>
      <c r="JX53" s="768" t="str">
        <f t="shared" si="121"/>
        <v/>
      </c>
      <c r="JY53" s="768" t="str">
        <f t="shared" si="122"/>
        <v/>
      </c>
      <c r="JZ53" s="485" t="str">
        <f>IF(JY53="","",IF(AND(C53=$C$164,JY53&lt;&gt;""),Verificarcpf(D53),IF(AND(C53=$C$165,JY53&lt;&gt;""),VerificarCNPJ(D53))))</f>
        <v/>
      </c>
      <c r="KA53" s="768" t="str">
        <f t="shared" si="123"/>
        <v/>
      </c>
      <c r="KB53" s="485">
        <f t="shared" si="124"/>
        <v>0</v>
      </c>
      <c r="KC53" s="768">
        <f t="shared" si="125"/>
        <v>0</v>
      </c>
      <c r="KD53" s="485">
        <f t="shared" si="126"/>
        <v>0</v>
      </c>
      <c r="KE53" s="448"/>
      <c r="KF53" s="548"/>
      <c r="KG53" s="548"/>
      <c r="KH53" s="548"/>
      <c r="KI53" s="548"/>
      <c r="KJ53" s="548" t="str">
        <f t="shared" si="128"/>
        <v/>
      </c>
      <c r="KK53" s="548"/>
      <c r="KL53" s="548"/>
      <c r="KM53" s="548">
        <f t="array" ref="KM53">IF(SUM((KL53=$KL$3:KL52)*1)=0,KL53,0)</f>
        <v>0</v>
      </c>
      <c r="KN53" s="548"/>
      <c r="KO53" s="548"/>
      <c r="KP53" s="548"/>
      <c r="KQ53" s="548"/>
      <c r="KR53" s="548" t="str">
        <f t="shared" si="129"/>
        <v/>
      </c>
      <c r="KS53" s="548"/>
      <c r="KT53" s="548"/>
      <c r="KU53" s="548"/>
      <c r="KV53" s="548"/>
      <c r="KW53" s="548"/>
      <c r="KX53" s="548"/>
      <c r="KY53" s="548"/>
      <c r="KZ53" s="548"/>
      <c r="LA53" s="548"/>
      <c r="LB53" s="548"/>
      <c r="LC53" s="485" t="str">
        <f t="shared" si="142"/>
        <v/>
      </c>
      <c r="LD53" s="548"/>
      <c r="LE53" s="548"/>
      <c r="LF53" s="548"/>
      <c r="LG53" s="548"/>
      <c r="LH53" s="548"/>
      <c r="LI53" s="548"/>
      <c r="LJ53" s="548"/>
      <c r="LK53" s="548"/>
      <c r="LL53" s="548"/>
      <c r="LM53" s="548"/>
      <c r="LN53" s="548"/>
      <c r="LO53" s="548"/>
      <c r="LP53" s="485" t="str">
        <f t="shared" si="143"/>
        <v/>
      </c>
      <c r="LQ53" s="548"/>
      <c r="LR53" s="548"/>
      <c r="LS53" s="548"/>
      <c r="LT53" s="548"/>
      <c r="LU53" s="548"/>
      <c r="LV53" s="548"/>
      <c r="LW53" s="548"/>
      <c r="LX53" s="548"/>
      <c r="LY53" s="548"/>
      <c r="LZ53" s="548"/>
      <c r="MA53" s="548"/>
      <c r="MB53" s="548"/>
      <c r="MC53" s="485" t="str">
        <f t="shared" si="144"/>
        <v/>
      </c>
      <c r="MD53" s="548"/>
      <c r="ME53" s="548"/>
      <c r="MF53" s="548"/>
      <c r="MG53" s="548"/>
      <c r="MH53" s="548"/>
      <c r="MI53" s="548"/>
      <c r="MJ53" s="548"/>
      <c r="MK53" s="548"/>
      <c r="ML53" s="548"/>
      <c r="MM53" s="548"/>
      <c r="MN53" s="548"/>
      <c r="MO53" s="548"/>
      <c r="MP53" s="485" t="str">
        <f t="shared" si="145"/>
        <v/>
      </c>
      <c r="MQ53" s="548"/>
      <c r="MR53" s="548"/>
      <c r="MS53" s="548"/>
      <c r="MT53" s="548"/>
      <c r="MU53" s="548"/>
      <c r="MV53" s="548"/>
      <c r="MW53" s="548"/>
      <c r="MX53" s="548"/>
      <c r="MY53" s="548"/>
      <c r="MZ53" s="548"/>
      <c r="NA53" s="548"/>
      <c r="NB53" s="548"/>
      <c r="NC53" s="485" t="str">
        <f t="shared" si="146"/>
        <v/>
      </c>
      <c r="ND53" s="548"/>
      <c r="NE53" s="548"/>
      <c r="NF53" s="548"/>
      <c r="NG53" s="548"/>
      <c r="NH53" s="548"/>
      <c r="NI53" s="548"/>
      <c r="NJ53" s="548"/>
      <c r="NK53" s="548"/>
      <c r="NL53" s="548"/>
      <c r="NM53" s="548"/>
      <c r="NN53" s="548"/>
      <c r="NO53" s="548"/>
      <c r="NP53" s="485" t="str">
        <f t="shared" si="147"/>
        <v/>
      </c>
      <c r="NQ53" s="548"/>
      <c r="NR53" s="548"/>
      <c r="NS53" s="548"/>
      <c r="NT53" s="548"/>
      <c r="NU53" s="548"/>
      <c r="NV53" s="548"/>
      <c r="NW53" s="548"/>
      <c r="NX53" s="548"/>
      <c r="NY53" s="548"/>
      <c r="NZ53" s="548"/>
      <c r="OA53" s="548"/>
      <c r="OB53" s="548"/>
      <c r="OC53" s="485" t="str">
        <f t="shared" si="148"/>
        <v/>
      </c>
      <c r="OD53" s="548"/>
      <c r="OE53" s="548"/>
      <c r="OF53" s="548"/>
      <c r="OG53" s="548"/>
      <c r="OH53" s="548"/>
      <c r="OI53" s="548"/>
      <c r="OJ53" s="548"/>
      <c r="OK53" s="548"/>
      <c r="OL53" s="548"/>
      <c r="OM53" s="548"/>
      <c r="ON53" s="548"/>
      <c r="OO53" s="548"/>
      <c r="OP53" s="548"/>
      <c r="OQ53" s="548"/>
      <c r="OR53" s="548"/>
      <c r="OS53" s="548"/>
      <c r="OT53" s="548"/>
      <c r="OU53" s="548"/>
      <c r="OV53" s="548"/>
      <c r="OW53" s="548"/>
      <c r="OX53" s="548"/>
      <c r="OY53" s="548"/>
      <c r="OZ53" s="548"/>
      <c r="PA53" s="548"/>
      <c r="PB53" s="548"/>
      <c r="PC53" s="548"/>
      <c r="PD53" s="548"/>
      <c r="PE53" s="548"/>
      <c r="PF53" s="548"/>
      <c r="PG53" s="548"/>
      <c r="PH53" s="548"/>
      <c r="PI53" s="548"/>
      <c r="PJ53" s="548"/>
      <c r="PK53" s="548"/>
      <c r="PL53" s="548"/>
      <c r="PM53" s="548"/>
      <c r="PN53" s="548"/>
      <c r="PO53" s="548"/>
      <c r="PP53" s="548"/>
      <c r="PQ53" s="548"/>
      <c r="PR53" s="548"/>
      <c r="PS53" s="548"/>
      <c r="PT53" s="548"/>
      <c r="PU53" s="548"/>
      <c r="PV53" s="548"/>
      <c r="PW53" s="548"/>
      <c r="PX53" s="548"/>
      <c r="PY53" s="548"/>
      <c r="PZ53" s="548"/>
      <c r="QA53" s="548"/>
      <c r="QB53" s="548"/>
      <c r="QC53" s="548"/>
      <c r="QD53" s="548"/>
      <c r="QE53" s="548"/>
      <c r="QF53" s="548"/>
      <c r="QG53" s="548"/>
      <c r="QH53" s="548"/>
      <c r="QI53" s="548"/>
      <c r="QJ53" s="548"/>
      <c r="QK53" s="548"/>
      <c r="QL53" s="548"/>
      <c r="QM53" s="548"/>
      <c r="QN53" s="548"/>
      <c r="QO53" s="548"/>
      <c r="QP53" s="548"/>
      <c r="QQ53" s="1009"/>
      <c r="QR53" s="548"/>
      <c r="QS53" s="548"/>
      <c r="QT53" s="548"/>
      <c r="QU53" s="548"/>
      <c r="QV53" s="548"/>
      <c r="QW53" s="548"/>
      <c r="QX53" s="548"/>
      <c r="QY53" s="548"/>
      <c r="QZ53" s="548"/>
      <c r="RA53" s="548"/>
      <c r="RB53" s="548"/>
      <c r="RC53" s="548"/>
      <c r="RD53" s="548"/>
      <c r="RE53" s="548"/>
      <c r="RF53" s="548"/>
      <c r="RG53" s="548"/>
      <c r="RH53" s="548"/>
      <c r="RI53" s="548"/>
      <c r="RJ53" s="548"/>
      <c r="RK53" s="548"/>
      <c r="RL53" s="548"/>
      <c r="RM53" s="548"/>
      <c r="RN53" s="548"/>
      <c r="RO53" s="548"/>
      <c r="RP53" s="548"/>
      <c r="RQ53" s="548"/>
      <c r="RR53" s="548"/>
      <c r="RS53" s="548"/>
      <c r="RT53" s="548"/>
      <c r="RU53" s="548"/>
      <c r="RV53" s="548"/>
      <c r="RW53" s="548"/>
      <c r="RX53" s="548"/>
      <c r="RY53" s="548"/>
      <c r="RZ53" s="548"/>
      <c r="SA53" s="548"/>
      <c r="SB53" s="548"/>
      <c r="SC53" s="548"/>
      <c r="SD53" s="548"/>
      <c r="SE53" s="548"/>
      <c r="SF53" s="548"/>
      <c r="SG53" s="548"/>
      <c r="SH53" s="548"/>
      <c r="SI53" s="548"/>
      <c r="SJ53" s="548"/>
      <c r="SK53" s="548"/>
      <c r="SL53" s="548"/>
      <c r="SM53" s="548"/>
      <c r="SN53" s="548"/>
      <c r="SO53" s="548"/>
      <c r="SP53" s="548"/>
      <c r="SQ53" s="548"/>
      <c r="SR53" s="548"/>
      <c r="SS53" s="548"/>
      <c r="ST53" s="548"/>
      <c r="SU53" s="548"/>
      <c r="SV53" s="548"/>
      <c r="SW53" s="548"/>
      <c r="SX53" s="548"/>
      <c r="SY53" s="548"/>
      <c r="SZ53" s="548"/>
      <c r="TA53" s="548"/>
      <c r="TB53" s="548"/>
      <c r="TC53" s="548"/>
      <c r="TD53" s="548"/>
      <c r="TE53" s="548"/>
      <c r="TF53" s="548"/>
      <c r="TG53" s="548"/>
      <c r="TH53" s="548"/>
      <c r="TI53" s="548"/>
      <c r="TJ53" s="548"/>
      <c r="TK53" s="548"/>
      <c r="TL53" s="548"/>
      <c r="TM53" s="548"/>
      <c r="TN53" s="548"/>
      <c r="TO53" s="548"/>
      <c r="TP53" s="548"/>
      <c r="TQ53" s="548"/>
      <c r="TR53" s="548"/>
      <c r="TS53" s="548"/>
      <c r="TT53" s="548"/>
      <c r="TU53" s="548"/>
      <c r="TV53" s="548"/>
      <c r="TW53" s="548"/>
      <c r="TX53" s="548"/>
      <c r="TY53" s="548"/>
      <c r="TZ53" s="548"/>
      <c r="UA53" s="548"/>
      <c r="UB53" s="548"/>
      <c r="UC53" s="548"/>
      <c r="UD53" s="548"/>
      <c r="UE53" s="548"/>
      <c r="UF53" s="548"/>
      <c r="UG53" s="548"/>
      <c r="UH53" s="548"/>
      <c r="UI53" s="548"/>
      <c r="UJ53" s="548"/>
      <c r="UK53" s="548"/>
      <c r="UL53" s="548"/>
      <c r="UM53" s="548"/>
      <c r="UN53" s="548"/>
      <c r="UO53" s="548"/>
      <c r="UP53" s="548"/>
      <c r="UQ53" s="548"/>
      <c r="UR53" s="548"/>
      <c r="US53" s="548"/>
      <c r="UT53" s="548"/>
      <c r="UU53" s="548"/>
      <c r="UV53" s="548"/>
      <c r="UW53" s="548"/>
      <c r="UX53" s="548"/>
      <c r="UY53" s="548"/>
      <c r="UZ53" s="548"/>
      <c r="VA53" s="548"/>
      <c r="VB53" s="548"/>
      <c r="VC53" s="548"/>
      <c r="VD53" s="548"/>
      <c r="VE53" s="548"/>
      <c r="VF53" s="548"/>
      <c r="VG53" s="548"/>
      <c r="VH53" s="548"/>
      <c r="VI53" s="548"/>
      <c r="VJ53" s="548"/>
      <c r="VK53" s="548"/>
      <c r="VL53" s="548"/>
      <c r="VM53" s="548"/>
      <c r="VN53" s="548"/>
      <c r="VO53" s="548"/>
      <c r="VP53" s="548"/>
      <c r="VQ53" s="548"/>
      <c r="VR53" s="548"/>
      <c r="VS53" s="548"/>
      <c r="VT53" s="548"/>
      <c r="VU53" s="548"/>
      <c r="VV53" s="548"/>
      <c r="VW53" s="548"/>
      <c r="VX53" s="548"/>
      <c r="VY53" s="548"/>
      <c r="VZ53" s="548"/>
      <c r="WA53" s="548"/>
      <c r="WB53" s="548"/>
      <c r="WC53" s="548"/>
      <c r="WD53" s="548"/>
      <c r="WE53" s="548"/>
      <c r="WF53" s="548"/>
      <c r="WG53" s="548"/>
      <c r="WH53" s="548"/>
      <c r="WI53" s="548"/>
      <c r="WJ53" s="548"/>
      <c r="WK53" s="548"/>
      <c r="WL53" s="548"/>
      <c r="WM53" s="548"/>
      <c r="WN53" s="548"/>
      <c r="WO53" s="548"/>
      <c r="WP53" s="548"/>
      <c r="WQ53" s="548"/>
      <c r="WR53" s="548"/>
      <c r="WS53" s="548"/>
      <c r="WT53" s="548"/>
      <c r="WU53" s="548"/>
      <c r="WV53" s="548"/>
      <c r="WW53" s="548"/>
      <c r="WX53" s="548"/>
      <c r="WY53" s="548"/>
      <c r="WZ53" s="548"/>
      <c r="XA53" s="548"/>
      <c r="XB53" s="548"/>
      <c r="XC53" s="548"/>
      <c r="XD53" s="548"/>
      <c r="XE53" s="548"/>
      <c r="XF53" s="548"/>
      <c r="XG53" s="548"/>
      <c r="XH53" s="548"/>
      <c r="XI53" s="548"/>
      <c r="XJ53" s="548"/>
      <c r="XK53" s="548"/>
      <c r="XL53" s="548"/>
      <c r="XM53" s="548"/>
      <c r="XN53" s="548"/>
      <c r="XO53" s="548"/>
      <c r="XP53" s="548"/>
      <c r="XQ53" s="548"/>
      <c r="XR53" s="548"/>
      <c r="XS53" s="548"/>
      <c r="XT53" s="548"/>
      <c r="XU53" s="548"/>
      <c r="XV53" s="548"/>
      <c r="XW53" s="548"/>
      <c r="XX53" s="548"/>
      <c r="XY53" s="548"/>
      <c r="XZ53" s="548"/>
      <c r="YA53" s="548"/>
      <c r="YB53" s="548"/>
      <c r="YC53" s="548"/>
      <c r="YD53" s="548"/>
      <c r="YE53" s="548"/>
      <c r="YF53" s="548"/>
      <c r="YG53" s="548"/>
      <c r="YH53" s="548"/>
      <c r="YI53" s="548"/>
      <c r="YJ53" s="548"/>
      <c r="YK53" s="548"/>
      <c r="YL53" s="548"/>
      <c r="YM53" s="548"/>
      <c r="YN53" s="548"/>
      <c r="YO53" s="548"/>
      <c r="YP53" s="548"/>
      <c r="YQ53" s="548"/>
      <c r="YR53" s="548"/>
      <c r="YS53" s="548"/>
      <c r="YT53" s="548"/>
      <c r="YU53" s="548"/>
      <c r="YV53" s="548"/>
      <c r="YW53" s="548"/>
      <c r="YX53" s="548"/>
      <c r="YY53" s="548"/>
      <c r="YZ53" s="548"/>
      <c r="ZA53" s="548"/>
      <c r="ZB53" s="548"/>
      <c r="ZC53" s="548"/>
      <c r="ZD53" s="548"/>
      <c r="ZE53" s="548"/>
      <c r="ZF53" s="548"/>
      <c r="ZG53" s="548"/>
      <c r="ZH53" s="548"/>
      <c r="ZI53" s="548"/>
      <c r="ZJ53" s="548"/>
      <c r="ZK53" s="548"/>
      <c r="ZL53" s="548"/>
      <c r="ZM53" s="548"/>
      <c r="ZN53" s="548"/>
      <c r="ZO53" s="548"/>
      <c r="ZP53" s="548"/>
      <c r="ZQ53" s="548"/>
      <c r="ZR53" s="548"/>
      <c r="ZS53" s="548"/>
      <c r="ZT53" s="548"/>
      <c r="ZU53" s="548"/>
      <c r="ZV53" s="548"/>
      <c r="ZW53" s="548"/>
      <c r="ZX53" s="548"/>
      <c r="ZY53" s="548"/>
      <c r="ZZ53" s="548"/>
      <c r="AAA53" s="548"/>
      <c r="AAB53" s="548"/>
      <c r="AAC53" s="548"/>
      <c r="AAD53" s="548"/>
      <c r="AAE53" s="548"/>
      <c r="AAF53" s="548"/>
      <c r="AAG53" s="548"/>
      <c r="AAH53" s="548"/>
      <c r="AAI53" s="548"/>
      <c r="AAJ53" s="548"/>
      <c r="AAK53" s="548"/>
      <c r="AAL53" s="548"/>
      <c r="AAM53" s="548"/>
      <c r="AAN53" s="548"/>
      <c r="AAO53" s="548"/>
      <c r="AAP53" s="548"/>
      <c r="AAQ53" s="548"/>
      <c r="AAR53" s="548"/>
      <c r="AAS53" s="548"/>
      <c r="AAT53" s="548"/>
      <c r="AAU53" s="548"/>
      <c r="AAV53" s="548"/>
      <c r="AAW53" s="548"/>
      <c r="AAX53" s="548"/>
      <c r="AAY53" s="548"/>
      <c r="AAZ53" s="548"/>
      <c r="ABA53" s="548"/>
      <c r="ABB53" s="548"/>
      <c r="ABC53" s="548"/>
      <c r="ABD53" s="548"/>
      <c r="ABE53" s="548"/>
      <c r="ABF53" s="548"/>
      <c r="ABG53" s="548"/>
      <c r="ABH53" s="548"/>
      <c r="ABI53" s="548"/>
      <c r="ABJ53" s="548"/>
      <c r="ABK53" s="548"/>
      <c r="ABL53" s="548"/>
      <c r="ABM53" s="548"/>
      <c r="ABN53" s="548"/>
      <c r="ABO53" s="548"/>
      <c r="ABP53" s="548"/>
      <c r="ABQ53" s="548"/>
      <c r="ABR53" s="548"/>
      <c r="ABS53" s="548"/>
    </row>
    <row r="54" spans="1:747" customFormat="1" ht="15" customHeight="1" thickBot="1" x14ac:dyDescent="0.25">
      <c r="A54" s="424" t="str">
        <f t="shared" si="149"/>
        <v/>
      </c>
      <c r="B54" s="415"/>
      <c r="C54" s="525"/>
      <c r="D54" s="750"/>
      <c r="E54" s="416" t="str">
        <f t="shared" si="393"/>
        <v/>
      </c>
      <c r="F54" s="527" t="str">
        <f t="shared" si="394"/>
        <v/>
      </c>
      <c r="G54" s="417"/>
      <c r="H54" s="583" t="str">
        <f t="shared" si="395"/>
        <v/>
      </c>
      <c r="I54" s="424"/>
      <c r="J54" s="419"/>
      <c r="K54" s="418"/>
      <c r="L54" s="419"/>
      <c r="M54" s="415"/>
      <c r="N54" s="420"/>
      <c r="O54" s="421"/>
      <c r="P54" s="561"/>
      <c r="Q54" s="422"/>
      <c r="R54" s="561" t="str">
        <f t="shared" si="396"/>
        <v/>
      </c>
      <c r="S54" s="664"/>
      <c r="T54" s="663"/>
      <c r="U54" s="580">
        <f t="shared" si="397"/>
        <v>0</v>
      </c>
      <c r="V54" s="418"/>
      <c r="W54" s="582" t="str">
        <f t="shared" si="398"/>
        <v/>
      </c>
      <c r="X54" s="479" t="str">
        <f t="shared" si="399"/>
        <v/>
      </c>
      <c r="Y54" s="582" t="str">
        <f t="shared" si="400"/>
        <v/>
      </c>
      <c r="Z54" s="317" t="str">
        <f t="shared" si="401"/>
        <v/>
      </c>
      <c r="AA54" s="317" t="str">
        <f t="shared" si="402"/>
        <v/>
      </c>
      <c r="AB54" s="317">
        <f t="shared" si="403"/>
        <v>0</v>
      </c>
      <c r="AC54" s="317" t="str">
        <f t="shared" si="404"/>
        <v/>
      </c>
      <c r="AD54" s="479"/>
      <c r="AE54" s="479"/>
      <c r="AF54" s="479"/>
      <c r="AG54" s="423"/>
      <c r="AH54" s="820"/>
      <c r="AI54" s="480"/>
      <c r="AJ54" s="660"/>
      <c r="AK54" s="524" t="str">
        <f t="shared" si="405"/>
        <v/>
      </c>
      <c r="AL54" s="507">
        <f>COUNTIF($J$4:$J$163,"Rolê")</f>
        <v>0</v>
      </c>
      <c r="AM54" s="507">
        <f>IF(AL54&lt;=15,1,IF(AND(AL54&gt;15,AL54&lt;=29),2,IF(AND(AL54&gt;29,AL54&lt;=43),3,IF(AND(AL54&gt;43,AL54&lt;=57),4,IF(AND(AL54&gt;57,AL54&lt;=71),5,IF(AND(AL54&gt;71,AL54&lt;=85),6,IF(AND(AL54&gt;85,AL54&lt;=99),7,IF(AND(AL54&gt;99,AL54&lt;=113),8,IF(AND(AL54&gt;113,AL54&lt;=127),9,IF(AND(AL54&gt;127,AL54&lt;=141),10,IF(AND(AL54&gt;141,AL54&lt;=155),11,IF(AND(AL54&gt;155,AL54&lt;=160),12,$AN$1))))))))))))</f>
        <v>1</v>
      </c>
      <c r="AN54" s="426">
        <f t="shared" si="406"/>
        <v>0</v>
      </c>
      <c r="AO54" s="427" t="str">
        <f t="shared" si="407"/>
        <v/>
      </c>
      <c r="AP54" s="426" t="str">
        <f t="shared" si="408"/>
        <v/>
      </c>
      <c r="AQ54" s="426"/>
      <c r="AR54" s="426"/>
      <c r="AS54" s="428"/>
      <c r="AT54" s="429"/>
      <c r="AU54" s="430"/>
      <c r="AV54" s="431"/>
      <c r="AW54" s="432"/>
      <c r="AX54" s="430"/>
      <c r="AY54" s="431">
        <f t="shared" si="409"/>
        <v>0</v>
      </c>
      <c r="AZ54" s="426"/>
      <c r="BA54" s="435" t="str">
        <f t="shared" si="410"/>
        <v/>
      </c>
      <c r="BB54" s="435"/>
      <c r="BC54" s="426"/>
      <c r="BD54" s="426">
        <f t="array" ref="BD54">IF(SUM((BC54=$BC$3:BC53)*1)=0,BC54,0)</f>
        <v>0</v>
      </c>
      <c r="BE54" s="426"/>
      <c r="BF54" s="426"/>
      <c r="BG54" s="426">
        <f t="array" ref="BG54">IF(SUM((BF54=$BF$3:BF53)*1)=0,BF54,0)</f>
        <v>0</v>
      </c>
      <c r="BH54" s="426"/>
      <c r="BI54" s="426"/>
      <c r="BJ54" s="426"/>
      <c r="BK54" s="426"/>
      <c r="BL54" s="426"/>
      <c r="BM54" s="426"/>
      <c r="BN54" s="426"/>
      <c r="BO54" s="426"/>
      <c r="BP54" s="433">
        <f t="shared" si="411"/>
        <v>0</v>
      </c>
      <c r="BQ54" s="426"/>
      <c r="BR54" s="434"/>
      <c r="BS54" s="426"/>
      <c r="BT54" s="433"/>
      <c r="BU54" s="435"/>
      <c r="BV54" s="435" t="str">
        <f t="shared" si="412"/>
        <v/>
      </c>
      <c r="BW54" s="435" t="str">
        <f t="shared" si="38"/>
        <v/>
      </c>
      <c r="BX54" s="435"/>
      <c r="BY54" s="435"/>
      <c r="BZ54" s="435"/>
      <c r="CA54" s="435"/>
      <c r="CB54" s="435"/>
      <c r="CC54" s="435"/>
      <c r="CD54" s="435"/>
      <c r="CE54" s="435"/>
      <c r="CF54" s="435"/>
      <c r="CG54" s="435"/>
      <c r="CH54" s="435"/>
      <c r="CI54" s="435"/>
      <c r="CJ54" s="426" t="str">
        <f t="shared" si="39"/>
        <v/>
      </c>
      <c r="CK54" s="435"/>
      <c r="CL54" s="426"/>
      <c r="CM54" s="435"/>
      <c r="CN54" s="426"/>
      <c r="CO54" s="426"/>
      <c r="CP54" s="426"/>
      <c r="CQ54" s="426"/>
      <c r="CR54" s="426"/>
      <c r="CS54" s="426"/>
      <c r="CT54" s="426"/>
      <c r="CU54" s="426"/>
      <c r="CV54" s="426"/>
      <c r="CW54" s="426"/>
      <c r="CX54" s="426"/>
      <c r="CY54" s="426">
        <v>51</v>
      </c>
      <c r="CZ54" s="426"/>
      <c r="DA54" s="426"/>
      <c r="DB54" s="426"/>
      <c r="DC54" s="426" t="s">
        <v>794</v>
      </c>
      <c r="DD54" s="426" t="s">
        <v>954</v>
      </c>
      <c r="DE54" s="435" t="str">
        <f t="shared" si="40"/>
        <v/>
      </c>
      <c r="DF54" s="435" t="str">
        <f t="shared" si="41"/>
        <v/>
      </c>
      <c r="DG54" s="435" t="str">
        <f t="shared" si="42"/>
        <v/>
      </c>
      <c r="DH54" s="435" t="str">
        <f t="shared" si="43"/>
        <v/>
      </c>
      <c r="DI54" s="435" t="str">
        <f t="shared" si="44"/>
        <v/>
      </c>
      <c r="DJ54" s="435" t="str">
        <f t="shared" si="45"/>
        <v/>
      </c>
      <c r="DK54" s="435" t="str">
        <f t="shared" si="413"/>
        <v/>
      </c>
      <c r="DL54" s="435" t="str">
        <f t="shared" si="414"/>
        <v/>
      </c>
      <c r="DM54" s="435" t="str">
        <f t="shared" si="46"/>
        <v/>
      </c>
      <c r="DN54" s="435" t="str">
        <f t="shared" si="47"/>
        <v/>
      </c>
      <c r="DO54" s="435" t="str">
        <f t="shared" si="415"/>
        <v/>
      </c>
      <c r="DP54" s="435" t="str">
        <f t="shared" si="416"/>
        <v/>
      </c>
      <c r="DQ54" s="435" t="str">
        <f t="shared" si="48"/>
        <v/>
      </c>
      <c r="DR54" s="435" t="str">
        <f t="shared" si="49"/>
        <v/>
      </c>
      <c r="DS54" s="435" t="str">
        <f t="shared" si="417"/>
        <v/>
      </c>
      <c r="DT54" s="435" t="str">
        <f t="shared" si="418"/>
        <v/>
      </c>
      <c r="DU54" s="435" t="str">
        <f t="shared" si="50"/>
        <v/>
      </c>
      <c r="DV54" s="435" t="str">
        <f t="shared" si="51"/>
        <v/>
      </c>
      <c r="DW54" s="435" t="str">
        <f t="shared" si="419"/>
        <v/>
      </c>
      <c r="DX54" s="435" t="str">
        <f t="shared" si="420"/>
        <v/>
      </c>
      <c r="DY54" s="435" t="str">
        <f t="shared" si="52"/>
        <v/>
      </c>
      <c r="DZ54" s="435" t="str">
        <f t="shared" si="53"/>
        <v/>
      </c>
      <c r="EA54" s="435" t="str">
        <f t="shared" si="421"/>
        <v/>
      </c>
      <c r="EB54" s="435" t="str">
        <f t="shared" si="422"/>
        <v/>
      </c>
      <c r="EC54" s="435" t="str">
        <f t="shared" si="423"/>
        <v/>
      </c>
      <c r="ED54" s="435" t="str">
        <f t="shared" si="424"/>
        <v/>
      </c>
      <c r="EE54" s="435" t="str">
        <f t="shared" si="425"/>
        <v/>
      </c>
      <c r="EF54" s="435" t="str">
        <f t="shared" si="426"/>
        <v/>
      </c>
      <c r="EG54" s="435" t="str">
        <f t="shared" si="427"/>
        <v/>
      </c>
      <c r="EH54" s="435" t="str">
        <f t="shared" si="428"/>
        <v/>
      </c>
      <c r="EI54" s="435" t="str">
        <f t="shared" si="429"/>
        <v/>
      </c>
      <c r="EJ54" s="435" t="str">
        <f t="shared" si="430"/>
        <v/>
      </c>
      <c r="EK54" s="485"/>
      <c r="EL54" s="485"/>
      <c r="EM54" s="485"/>
      <c r="EN54" s="485"/>
      <c r="EO54" s="448"/>
      <c r="EP54" s="448"/>
      <c r="EQ54" s="448"/>
      <c r="ER54" s="448"/>
      <c r="ES54" s="448"/>
      <c r="ET54" s="435"/>
      <c r="EU54" s="435"/>
      <c r="EV54" s="435"/>
      <c r="EW54" s="435"/>
      <c r="EX54" s="426"/>
      <c r="EY54" s="426"/>
      <c r="EZ54" s="426"/>
      <c r="FA54" s="427"/>
      <c r="FB54" s="427">
        <f t="array" ref="FB54">IF(SUM((FA54=$FA$3:FA53)*1)=0,FA54,0)</f>
        <v>0</v>
      </c>
      <c r="FC54" s="427"/>
      <c r="FD54" s="427"/>
      <c r="FE54" s="427">
        <f t="array" ref="FE54">IF(SUM((FD54=$FD$3:FD53)*1)=0,FD54,0)</f>
        <v>0</v>
      </c>
      <c r="FF54" s="427"/>
      <c r="FG54" s="427"/>
      <c r="FH54" s="427"/>
      <c r="FI54" s="427">
        <f t="array" ref="FI54">IF(SUM((FH54=$FH$3:FH53)*1)=0,FH54,0)</f>
        <v>0</v>
      </c>
      <c r="FJ54" s="427"/>
      <c r="FK54" s="427"/>
      <c r="FL54" s="427">
        <f t="array" ref="FL54">IF(SUM((FK54=$FK$3:FK53)*1)=0,FK54,0)</f>
        <v>0</v>
      </c>
      <c r="FM54" s="427"/>
      <c r="FN54" s="427"/>
      <c r="FO54" s="427"/>
      <c r="FP54" s="427">
        <f t="array" ref="FP54">IF(SUM((FO54=$FO$3:FO53)*1)=0,FO54,0)</f>
        <v>0</v>
      </c>
      <c r="FQ54" s="427"/>
      <c r="FR54" s="427"/>
      <c r="FS54" s="427">
        <f t="array" ref="FS54">IF(SUM((FR54=$FR$3:FR53)*1)=0,FR54,0)</f>
        <v>0</v>
      </c>
      <c r="FT54" s="427"/>
      <c r="FU54" s="427"/>
      <c r="FV54" s="427"/>
      <c r="FW54" s="427">
        <f t="array" ref="FW54">IF(SUM((FV54=$FV$3:FV53)*1)=0,FV54,0)</f>
        <v>0</v>
      </c>
      <c r="FX54" s="427"/>
      <c r="FY54" s="427"/>
      <c r="FZ54" s="427">
        <f t="array" ref="FZ54">IF(SUM((FY54=$FY$3:FY53)*1)=0,FY54,0)</f>
        <v>0</v>
      </c>
      <c r="GA54" s="427"/>
      <c r="GB54" s="427"/>
      <c r="GC54" s="427"/>
      <c r="GD54" s="427">
        <f t="array" ref="GD54">IF(SUM((GC54=$GC$3:GC53)*1)=0,GC54,0)</f>
        <v>0</v>
      </c>
      <c r="GE54" s="427"/>
      <c r="GF54" s="427"/>
      <c r="GG54" s="427">
        <f t="array" ref="GG54">IF(SUM((GF54=$GF$3:GF53)*1)=0,GF54,0)</f>
        <v>0</v>
      </c>
      <c r="GH54" s="427"/>
      <c r="GI54" s="427"/>
      <c r="GJ54" s="427"/>
      <c r="GK54" s="798">
        <f t="array" ref="GK54">IF(SUM((GJ54=$GJ$3:GJ53)*1)=0,GJ54,0)</f>
        <v>0</v>
      </c>
      <c r="GL54" s="427"/>
      <c r="GM54" s="427"/>
      <c r="GN54" s="798">
        <f t="array" ref="GN54">IF(SUM((GM54=$GM$3:GM53)*1)=0,GM54,0)</f>
        <v>0</v>
      </c>
      <c r="GO54" s="427"/>
      <c r="GP54" s="427"/>
      <c r="GQ54" s="427"/>
      <c r="GR54" s="798">
        <f t="array" ref="GR54">IF(SUM((GQ54=$GQ$3:GQ53)*1)=0,GQ54,0)</f>
        <v>0</v>
      </c>
      <c r="GS54" s="427"/>
      <c r="GT54" s="427"/>
      <c r="GU54" s="798">
        <f t="array" ref="GU54">IF(SUM((GT54=$GT$3:GT53)*1)=0,GT54,0)</f>
        <v>0</v>
      </c>
      <c r="GV54" s="427"/>
      <c r="GW54" s="427"/>
      <c r="GX54" s="427"/>
      <c r="GY54" s="798">
        <f t="array" ref="GY54">IF(SUM((GX54=$GX$3:GX53)*1)=0,GX54,0)</f>
        <v>0</v>
      </c>
      <c r="GZ54" s="427"/>
      <c r="HA54" s="427"/>
      <c r="HB54" s="798">
        <f t="array" ref="HB54">IF(SUM((HA54=$HA$3:HA53)*1)=0,HA54,0)</f>
        <v>0</v>
      </c>
      <c r="HC54" s="427"/>
      <c r="HD54" s="427"/>
      <c r="HE54" s="769" t="str">
        <f t="shared" si="130"/>
        <v/>
      </c>
      <c r="HF54" s="768" t="str">
        <f t="shared" ref="HF54" si="625">IF(HE54&lt;0,"Invadiu REP-BA-C","")</f>
        <v/>
      </c>
      <c r="HG54" s="769" t="str">
        <f t="shared" si="131"/>
        <v/>
      </c>
      <c r="HH54" s="768" t="str">
        <f t="shared" si="55"/>
        <v/>
      </c>
      <c r="HI54" s="728" t="str">
        <f t="shared" si="132"/>
        <v/>
      </c>
      <c r="HJ54" s="768" t="str">
        <f t="shared" si="56"/>
        <v/>
      </c>
      <c r="HK54" s="728" t="str">
        <f t="shared" si="133"/>
        <v/>
      </c>
      <c r="HL54" s="768" t="str">
        <f t="shared" si="57"/>
        <v/>
      </c>
      <c r="HM54" s="769" t="str">
        <f t="shared" si="441"/>
        <v/>
      </c>
      <c r="HN54" s="768" t="str">
        <f t="shared" ref="HN54" si="626">IF(HM54&lt;0,"Invadiu REP-BA-C","")</f>
        <v/>
      </c>
      <c r="HO54" s="769" t="str">
        <f t="shared" si="443"/>
        <v/>
      </c>
      <c r="HP54" s="768" t="str">
        <f t="shared" si="61"/>
        <v/>
      </c>
      <c r="HQ54" s="728" t="str">
        <f t="shared" si="444"/>
        <v/>
      </c>
      <c r="HR54" s="768" t="str">
        <f t="shared" si="63"/>
        <v/>
      </c>
      <c r="HS54" s="728" t="str">
        <f t="shared" si="445"/>
        <v/>
      </c>
      <c r="HT54" s="768" t="str">
        <f t="shared" si="65"/>
        <v/>
      </c>
      <c r="HU54" s="769" t="str">
        <f t="shared" si="446"/>
        <v/>
      </c>
      <c r="HV54" s="768" t="str">
        <f t="shared" ref="HV54" si="627">IF(HU54&lt;0,"Invadiu REP-BA-C","")</f>
        <v/>
      </c>
      <c r="HW54" s="769" t="str">
        <f t="shared" si="448"/>
        <v/>
      </c>
      <c r="HX54" s="768" t="str">
        <f t="shared" si="69"/>
        <v/>
      </c>
      <c r="HY54" s="728" t="str">
        <f t="shared" si="449"/>
        <v/>
      </c>
      <c r="HZ54" s="768" t="str">
        <f t="shared" si="71"/>
        <v/>
      </c>
      <c r="IA54" s="728" t="str">
        <f t="shared" si="450"/>
        <v/>
      </c>
      <c r="IB54" s="768" t="str">
        <f t="shared" si="73"/>
        <v/>
      </c>
      <c r="IC54" s="769" t="str">
        <f t="shared" si="451"/>
        <v/>
      </c>
      <c r="ID54" s="768" t="str">
        <f t="shared" ref="ID54" si="628">IF(IC54&lt;0,"Invadiu REP-BA-C","")</f>
        <v/>
      </c>
      <c r="IE54" s="769" t="str">
        <f t="shared" si="453"/>
        <v/>
      </c>
      <c r="IF54" s="768" t="str">
        <f t="shared" si="77"/>
        <v/>
      </c>
      <c r="IG54" s="728" t="str">
        <f t="shared" si="454"/>
        <v/>
      </c>
      <c r="IH54" s="768" t="str">
        <f t="shared" si="79"/>
        <v/>
      </c>
      <c r="II54" s="728" t="str">
        <f t="shared" si="455"/>
        <v/>
      </c>
      <c r="IJ54" s="768" t="str">
        <f t="shared" si="81"/>
        <v/>
      </c>
      <c r="IK54" s="769" t="str">
        <f t="shared" si="456"/>
        <v/>
      </c>
      <c r="IL54" s="768" t="str">
        <f t="shared" ref="IL54" si="629">IF(IK54&lt;0,"Invadiu REP-BA-C","")</f>
        <v/>
      </c>
      <c r="IM54" s="769" t="str">
        <f t="shared" si="458"/>
        <v/>
      </c>
      <c r="IN54" s="768" t="str">
        <f t="shared" si="85"/>
        <v/>
      </c>
      <c r="IO54" s="728" t="str">
        <f t="shared" si="459"/>
        <v/>
      </c>
      <c r="IP54" s="768" t="str">
        <f t="shared" si="87"/>
        <v/>
      </c>
      <c r="IQ54" s="728" t="str">
        <f t="shared" si="460"/>
        <v/>
      </c>
      <c r="IR54" s="768" t="str">
        <f t="shared" si="89"/>
        <v/>
      </c>
      <c r="IS54" s="769" t="str">
        <f t="shared" si="461"/>
        <v/>
      </c>
      <c r="IT54" s="768" t="str">
        <f t="shared" ref="IT54" si="630">IF(IS54&lt;0,"Invadiu REP-BA-C","")</f>
        <v/>
      </c>
      <c r="IU54" s="769" t="str">
        <f t="shared" si="463"/>
        <v/>
      </c>
      <c r="IV54" s="768" t="str">
        <f t="shared" si="93"/>
        <v/>
      </c>
      <c r="IW54" s="728" t="str">
        <f t="shared" si="464"/>
        <v/>
      </c>
      <c r="IX54" s="768" t="str">
        <f t="shared" si="95"/>
        <v/>
      </c>
      <c r="IY54" s="728" t="str">
        <f t="shared" si="465"/>
        <v/>
      </c>
      <c r="IZ54" s="768" t="str">
        <f t="shared" si="97"/>
        <v/>
      </c>
      <c r="JA54" s="769" t="str">
        <f t="shared" si="466"/>
        <v/>
      </c>
      <c r="JB54" s="768" t="str">
        <f t="shared" ref="JB54" si="631">IF(JA54&lt;0,"Invadiu REP-BA-C","")</f>
        <v/>
      </c>
      <c r="JC54" s="769" t="str">
        <f t="shared" si="468"/>
        <v/>
      </c>
      <c r="JD54" s="768" t="str">
        <f t="shared" si="101"/>
        <v/>
      </c>
      <c r="JE54" s="728" t="str">
        <f t="shared" si="469"/>
        <v/>
      </c>
      <c r="JF54" s="768" t="str">
        <f t="shared" si="103"/>
        <v/>
      </c>
      <c r="JG54" s="728" t="str">
        <f t="shared" si="470"/>
        <v/>
      </c>
      <c r="JH54" s="768" t="str">
        <f t="shared" si="105"/>
        <v/>
      </c>
      <c r="JI54" s="769" t="str">
        <f t="shared" si="471"/>
        <v/>
      </c>
      <c r="JJ54" s="768" t="str">
        <f t="shared" ref="JJ54" si="632">IF(JI54&lt;0,"Invadiu REP-BA-C","")</f>
        <v/>
      </c>
      <c r="JK54" s="769" t="str">
        <f t="shared" si="473"/>
        <v/>
      </c>
      <c r="JL54" s="768" t="str">
        <f t="shared" si="109"/>
        <v/>
      </c>
      <c r="JM54" s="728" t="str">
        <f t="shared" si="474"/>
        <v/>
      </c>
      <c r="JN54" s="768" t="str">
        <f t="shared" si="111"/>
        <v/>
      </c>
      <c r="JO54" s="728" t="str">
        <f t="shared" si="475"/>
        <v/>
      </c>
      <c r="JP54" s="768" t="str">
        <f t="shared" si="113"/>
        <v/>
      </c>
      <c r="JQ54" s="769" t="str">
        <f t="shared" si="476"/>
        <v/>
      </c>
      <c r="JR54" s="768" t="str">
        <f t="shared" ref="JR54" si="633">IF(JQ54&lt;0,"Invadiu REP-BA-C","")</f>
        <v/>
      </c>
      <c r="JS54" s="769" t="str">
        <f t="shared" si="478"/>
        <v/>
      </c>
      <c r="JT54" s="768" t="str">
        <f t="shared" si="117"/>
        <v/>
      </c>
      <c r="JU54" s="728" t="str">
        <f t="shared" si="479"/>
        <v/>
      </c>
      <c r="JV54" s="768" t="str">
        <f t="shared" si="119"/>
        <v/>
      </c>
      <c r="JW54" s="728" t="str">
        <f t="shared" si="480"/>
        <v/>
      </c>
      <c r="JX54" s="768" t="str">
        <f t="shared" si="121"/>
        <v/>
      </c>
      <c r="JY54" s="768" t="str">
        <f t="shared" si="122"/>
        <v/>
      </c>
      <c r="JZ54" s="485" t="str">
        <f>IF(JY54="","",IF(AND(C54=$C$164,JY54&lt;&gt;""),Verificarcpf(D54),IF(AND(C54=$C$165,JY54&lt;&gt;""),VerificarCNPJ(D54))))</f>
        <v/>
      </c>
      <c r="KA54" s="768" t="str">
        <f t="shared" si="123"/>
        <v/>
      </c>
      <c r="KB54" s="485">
        <f t="shared" si="124"/>
        <v>0</v>
      </c>
      <c r="KC54" s="768">
        <f t="shared" si="125"/>
        <v>0</v>
      </c>
      <c r="KD54" s="485">
        <f t="shared" si="126"/>
        <v>0</v>
      </c>
      <c r="KE54" s="448"/>
      <c r="KF54" s="548"/>
      <c r="KG54" s="548"/>
      <c r="KH54" s="548"/>
      <c r="KI54" s="548"/>
      <c r="KJ54" s="548" t="str">
        <f t="shared" si="128"/>
        <v/>
      </c>
      <c r="KK54" s="548"/>
      <c r="KL54" s="548"/>
      <c r="KM54" s="548">
        <f t="array" ref="KM54">IF(SUM((KL54=$KL$3:KL53)*1)=0,KL54,0)</f>
        <v>0</v>
      </c>
      <c r="KN54" s="548"/>
      <c r="KO54" s="548"/>
      <c r="KP54" s="548"/>
      <c r="KQ54" s="548"/>
      <c r="KR54" s="548" t="str">
        <f t="shared" si="129"/>
        <v/>
      </c>
      <c r="KS54" s="548"/>
      <c r="KT54" s="548"/>
      <c r="KU54" s="548"/>
      <c r="KV54" s="548"/>
      <c r="KW54" s="548"/>
      <c r="KX54" s="548"/>
      <c r="KY54" s="548"/>
      <c r="KZ54" s="548"/>
      <c r="LA54" s="548"/>
      <c r="LB54" s="548"/>
      <c r="LC54" s="485" t="str">
        <f t="shared" si="142"/>
        <v/>
      </c>
      <c r="LD54" s="548"/>
      <c r="LE54" s="548"/>
      <c r="LF54" s="548"/>
      <c r="LG54" s="548"/>
      <c r="LH54" s="548"/>
      <c r="LI54" s="548"/>
      <c r="LJ54" s="548"/>
      <c r="LK54" s="548"/>
      <c r="LL54" s="548"/>
      <c r="LM54" s="548"/>
      <c r="LN54" s="548"/>
      <c r="LO54" s="548"/>
      <c r="LP54" s="485" t="str">
        <f t="shared" si="143"/>
        <v/>
      </c>
      <c r="LQ54" s="548"/>
      <c r="LR54" s="548"/>
      <c r="LS54" s="548"/>
      <c r="LT54" s="548"/>
      <c r="LU54" s="548"/>
      <c r="LV54" s="548"/>
      <c r="LW54" s="548"/>
      <c r="LX54" s="548"/>
      <c r="LY54" s="548"/>
      <c r="LZ54" s="548"/>
      <c r="MA54" s="548"/>
      <c r="MB54" s="548"/>
      <c r="MC54" s="485" t="str">
        <f t="shared" si="144"/>
        <v/>
      </c>
      <c r="MD54" s="548"/>
      <c r="ME54" s="548"/>
      <c r="MF54" s="548"/>
      <c r="MG54" s="548"/>
      <c r="MH54" s="548"/>
      <c r="MI54" s="548"/>
      <c r="MJ54" s="548"/>
      <c r="MK54" s="548"/>
      <c r="ML54" s="548"/>
      <c r="MM54" s="548"/>
      <c r="MN54" s="548"/>
      <c r="MO54" s="548"/>
      <c r="MP54" s="485" t="str">
        <f t="shared" si="145"/>
        <v/>
      </c>
      <c r="MQ54" s="548"/>
      <c r="MR54" s="548"/>
      <c r="MS54" s="548"/>
      <c r="MT54" s="548"/>
      <c r="MU54" s="548"/>
      <c r="MV54" s="548"/>
      <c r="MW54" s="548"/>
      <c r="MX54" s="548"/>
      <c r="MY54" s="548"/>
      <c r="MZ54" s="548"/>
      <c r="NA54" s="548"/>
      <c r="NB54" s="548"/>
      <c r="NC54" s="485" t="str">
        <f t="shared" si="146"/>
        <v/>
      </c>
      <c r="ND54" s="548"/>
      <c r="NE54" s="548"/>
      <c r="NF54" s="548"/>
      <c r="NG54" s="548"/>
      <c r="NH54" s="548"/>
      <c r="NI54" s="548"/>
      <c r="NJ54" s="548"/>
      <c r="NK54" s="548"/>
      <c r="NL54" s="548"/>
      <c r="NM54" s="548"/>
      <c r="NN54" s="548"/>
      <c r="NO54" s="548"/>
      <c r="NP54" s="485" t="str">
        <f t="shared" si="147"/>
        <v/>
      </c>
      <c r="NQ54" s="548"/>
      <c r="NR54" s="548"/>
      <c r="NS54" s="548"/>
      <c r="NT54" s="548"/>
      <c r="NU54" s="548"/>
      <c r="NV54" s="548"/>
      <c r="NW54" s="548"/>
      <c r="NX54" s="548"/>
      <c r="NY54" s="548"/>
      <c r="NZ54" s="548"/>
      <c r="OA54" s="548"/>
      <c r="OB54" s="548"/>
      <c r="OC54" s="485" t="str">
        <f t="shared" si="148"/>
        <v/>
      </c>
      <c r="OD54" s="548"/>
      <c r="OE54" s="548"/>
      <c r="OF54" s="548"/>
      <c r="OG54" s="548"/>
      <c r="OH54" s="548"/>
      <c r="OI54" s="548"/>
      <c r="OJ54" s="548"/>
      <c r="OK54" s="548"/>
      <c r="OL54" s="548"/>
      <c r="OM54" s="548"/>
      <c r="ON54" s="548"/>
      <c r="OO54" s="548"/>
      <c r="OP54" s="548"/>
      <c r="OQ54" s="548"/>
      <c r="OR54" s="548"/>
      <c r="OS54" s="548"/>
      <c r="OT54" s="548"/>
      <c r="OU54" s="548"/>
      <c r="OV54" s="548"/>
      <c r="OW54" s="548"/>
      <c r="OX54" s="548"/>
      <c r="OY54" s="548"/>
      <c r="OZ54" s="548"/>
      <c r="PA54" s="548"/>
      <c r="PB54" s="548"/>
      <c r="PC54" s="548"/>
      <c r="PD54" s="548"/>
      <c r="PE54" s="548"/>
      <c r="PF54" s="548"/>
      <c r="PG54" s="548"/>
      <c r="PH54" s="548"/>
      <c r="PI54" s="548"/>
      <c r="PJ54" s="548"/>
      <c r="PK54" s="548"/>
      <c r="PL54" s="548"/>
      <c r="PM54" s="548"/>
      <c r="PN54" s="548"/>
      <c r="PO54" s="548"/>
      <c r="PP54" s="548"/>
      <c r="PQ54" s="548"/>
      <c r="PR54" s="548"/>
      <c r="PS54" s="548"/>
      <c r="PT54" s="548"/>
      <c r="PU54" s="548"/>
      <c r="PV54" s="548"/>
      <c r="PW54" s="548"/>
      <c r="PX54" s="548"/>
      <c r="PY54" s="548"/>
      <c r="PZ54" s="548"/>
      <c r="QA54" s="548"/>
      <c r="QB54" s="548"/>
      <c r="QC54" s="548"/>
      <c r="QD54" s="548"/>
      <c r="QE54" s="548"/>
      <c r="QF54" s="548"/>
      <c r="QG54" s="548"/>
      <c r="QH54" s="548"/>
      <c r="QI54" s="548"/>
      <c r="QJ54" s="548"/>
      <c r="QK54" s="548"/>
      <c r="QL54" s="548"/>
      <c r="QM54" s="548"/>
      <c r="QN54" s="548"/>
      <c r="QO54" s="548"/>
      <c r="QP54" s="548"/>
      <c r="QQ54" s="1009"/>
      <c r="QR54" s="548"/>
      <c r="QS54" s="548"/>
      <c r="QT54" s="548"/>
      <c r="QU54" s="548"/>
      <c r="QV54" s="548"/>
      <c r="QW54" s="548"/>
      <c r="QX54" s="548"/>
      <c r="QY54" s="548"/>
      <c r="QZ54" s="548"/>
      <c r="RA54" s="548"/>
      <c r="RB54" s="548"/>
      <c r="RC54" s="548"/>
      <c r="RD54" s="548"/>
      <c r="RE54" s="548"/>
      <c r="RF54" s="548"/>
      <c r="RG54" s="548"/>
      <c r="RH54" s="548"/>
      <c r="RI54" s="548"/>
      <c r="RJ54" s="548"/>
      <c r="RK54" s="548"/>
      <c r="RL54" s="548"/>
      <c r="RM54" s="548"/>
      <c r="RN54" s="548"/>
      <c r="RO54" s="548"/>
      <c r="RP54" s="548"/>
      <c r="RQ54" s="548"/>
      <c r="RR54" s="548"/>
      <c r="RS54" s="548"/>
      <c r="RT54" s="548"/>
      <c r="RU54" s="548"/>
      <c r="RV54" s="548"/>
      <c r="RW54" s="548"/>
      <c r="RX54" s="548"/>
      <c r="RY54" s="548"/>
      <c r="RZ54" s="548"/>
      <c r="SA54" s="548"/>
      <c r="SB54" s="548"/>
      <c r="SC54" s="548"/>
      <c r="SD54" s="548"/>
      <c r="SE54" s="548"/>
      <c r="SF54" s="548"/>
      <c r="SG54" s="548"/>
      <c r="SH54" s="548"/>
      <c r="SI54" s="548"/>
      <c r="SJ54" s="548"/>
      <c r="SK54" s="548"/>
      <c r="SL54" s="548"/>
      <c r="SM54" s="548"/>
      <c r="SN54" s="548"/>
      <c r="SO54" s="548"/>
      <c r="SP54" s="548"/>
      <c r="SQ54" s="548"/>
      <c r="SR54" s="548"/>
      <c r="SS54" s="548"/>
      <c r="ST54" s="548"/>
      <c r="SU54" s="548"/>
      <c r="SV54" s="548"/>
      <c r="SW54" s="548"/>
      <c r="SX54" s="548"/>
      <c r="SY54" s="548"/>
      <c r="SZ54" s="548"/>
      <c r="TA54" s="548"/>
      <c r="TB54" s="548"/>
      <c r="TC54" s="548"/>
      <c r="TD54" s="548"/>
      <c r="TE54" s="548"/>
      <c r="TF54" s="548"/>
      <c r="TG54" s="548"/>
      <c r="TH54" s="548"/>
      <c r="TI54" s="548"/>
      <c r="TJ54" s="548"/>
      <c r="TK54" s="548"/>
      <c r="TL54" s="548"/>
      <c r="TM54" s="548"/>
      <c r="TN54" s="548"/>
      <c r="TO54" s="548"/>
      <c r="TP54" s="548"/>
      <c r="TQ54" s="548"/>
      <c r="TR54" s="548"/>
      <c r="TS54" s="548"/>
      <c r="TT54" s="548"/>
      <c r="TU54" s="548"/>
      <c r="TV54" s="548"/>
      <c r="TW54" s="548"/>
      <c r="TX54" s="548"/>
      <c r="TY54" s="548"/>
      <c r="TZ54" s="548"/>
      <c r="UA54" s="548"/>
      <c r="UB54" s="548"/>
      <c r="UC54" s="548"/>
      <c r="UD54" s="548"/>
      <c r="UE54" s="548"/>
      <c r="UF54" s="548"/>
      <c r="UG54" s="548"/>
      <c r="UH54" s="548"/>
      <c r="UI54" s="548"/>
      <c r="UJ54" s="548"/>
      <c r="UK54" s="548"/>
      <c r="UL54" s="548"/>
      <c r="UM54" s="548"/>
      <c r="UN54" s="548"/>
      <c r="UO54" s="548"/>
      <c r="UP54" s="548"/>
      <c r="UQ54" s="548"/>
      <c r="UR54" s="548"/>
      <c r="US54" s="548"/>
      <c r="UT54" s="548"/>
      <c r="UU54" s="548"/>
      <c r="UV54" s="548"/>
      <c r="UW54" s="548"/>
      <c r="UX54" s="548"/>
      <c r="UY54" s="548"/>
      <c r="UZ54" s="548"/>
      <c r="VA54" s="548"/>
      <c r="VB54" s="548"/>
      <c r="VC54" s="548"/>
      <c r="VD54" s="548"/>
      <c r="VE54" s="548"/>
      <c r="VF54" s="548"/>
      <c r="VG54" s="548"/>
      <c r="VH54" s="548"/>
      <c r="VI54" s="548"/>
      <c r="VJ54" s="548"/>
      <c r="VK54" s="548"/>
      <c r="VL54" s="548"/>
      <c r="VM54" s="548"/>
      <c r="VN54" s="548"/>
      <c r="VO54" s="548"/>
      <c r="VP54" s="548"/>
      <c r="VQ54" s="548"/>
      <c r="VR54" s="548"/>
      <c r="VS54" s="548"/>
      <c r="VT54" s="548"/>
      <c r="VU54" s="548"/>
      <c r="VV54" s="548"/>
      <c r="VW54" s="548"/>
      <c r="VX54" s="548"/>
      <c r="VY54" s="548"/>
      <c r="VZ54" s="548"/>
      <c r="WA54" s="548"/>
      <c r="WB54" s="548"/>
      <c r="WC54" s="548"/>
      <c r="WD54" s="548"/>
      <c r="WE54" s="548"/>
      <c r="WF54" s="548"/>
      <c r="WG54" s="548"/>
      <c r="WH54" s="548"/>
      <c r="WI54" s="548"/>
      <c r="WJ54" s="548"/>
      <c r="WK54" s="548"/>
      <c r="WL54" s="548"/>
      <c r="WM54" s="548"/>
      <c r="WN54" s="548"/>
      <c r="WO54" s="548"/>
      <c r="WP54" s="548"/>
      <c r="WQ54" s="548"/>
      <c r="WR54" s="548"/>
      <c r="WS54" s="548"/>
      <c r="WT54" s="548"/>
      <c r="WU54" s="548"/>
      <c r="WV54" s="548"/>
      <c r="WW54" s="548"/>
      <c r="WX54" s="548"/>
      <c r="WY54" s="548"/>
      <c r="WZ54" s="548"/>
      <c r="XA54" s="548"/>
      <c r="XB54" s="548"/>
      <c r="XC54" s="548"/>
      <c r="XD54" s="548"/>
      <c r="XE54" s="548"/>
      <c r="XF54" s="548"/>
      <c r="XG54" s="548"/>
      <c r="XH54" s="548"/>
      <c r="XI54" s="548"/>
      <c r="XJ54" s="548"/>
      <c r="XK54" s="548"/>
      <c r="XL54" s="548"/>
      <c r="XM54" s="548"/>
      <c r="XN54" s="548"/>
      <c r="XO54" s="548"/>
      <c r="XP54" s="548"/>
      <c r="XQ54" s="548"/>
      <c r="XR54" s="548"/>
      <c r="XS54" s="548"/>
      <c r="XT54" s="548"/>
      <c r="XU54" s="548"/>
      <c r="XV54" s="548"/>
      <c r="XW54" s="548"/>
      <c r="XX54" s="548"/>
      <c r="XY54" s="548"/>
      <c r="XZ54" s="548"/>
      <c r="YA54" s="548"/>
      <c r="YB54" s="548"/>
      <c r="YC54" s="548"/>
      <c r="YD54" s="548"/>
      <c r="YE54" s="548"/>
      <c r="YF54" s="548"/>
      <c r="YG54" s="548"/>
      <c r="YH54" s="548"/>
      <c r="YI54" s="548"/>
      <c r="YJ54" s="548"/>
      <c r="YK54" s="548"/>
      <c r="YL54" s="548"/>
      <c r="YM54" s="548"/>
      <c r="YN54" s="548"/>
      <c r="YO54" s="548"/>
      <c r="YP54" s="548"/>
      <c r="YQ54" s="548"/>
      <c r="YR54" s="548"/>
      <c r="YS54" s="548"/>
      <c r="YT54" s="548"/>
      <c r="YU54" s="548"/>
      <c r="YV54" s="548"/>
      <c r="YW54" s="548"/>
      <c r="YX54" s="548"/>
      <c r="YY54" s="548"/>
      <c r="YZ54" s="548"/>
      <c r="ZA54" s="548"/>
      <c r="ZB54" s="548"/>
      <c r="ZC54" s="548"/>
      <c r="ZD54" s="548"/>
      <c r="ZE54" s="548"/>
      <c r="ZF54" s="548"/>
      <c r="ZG54" s="548"/>
      <c r="ZH54" s="548"/>
      <c r="ZI54" s="548"/>
      <c r="ZJ54" s="548"/>
      <c r="ZK54" s="548"/>
      <c r="ZL54" s="548"/>
      <c r="ZM54" s="548"/>
      <c r="ZN54" s="548"/>
      <c r="ZO54" s="548"/>
      <c r="ZP54" s="548"/>
      <c r="ZQ54" s="548"/>
      <c r="ZR54" s="548"/>
      <c r="ZS54" s="548"/>
      <c r="ZT54" s="548"/>
      <c r="ZU54" s="548"/>
      <c r="ZV54" s="548"/>
      <c r="ZW54" s="548"/>
      <c r="ZX54" s="548"/>
      <c r="ZY54" s="548"/>
      <c r="ZZ54" s="548"/>
      <c r="AAA54" s="548"/>
      <c r="AAB54" s="548"/>
      <c r="AAC54" s="548"/>
      <c r="AAD54" s="548"/>
      <c r="AAE54" s="548"/>
      <c r="AAF54" s="548"/>
      <c r="AAG54" s="548"/>
      <c r="AAH54" s="548"/>
      <c r="AAI54" s="548"/>
      <c r="AAJ54" s="548"/>
      <c r="AAK54" s="548"/>
      <c r="AAL54" s="548"/>
      <c r="AAM54" s="548"/>
      <c r="AAN54" s="548"/>
      <c r="AAO54" s="548"/>
      <c r="AAP54" s="548"/>
      <c r="AAQ54" s="548"/>
      <c r="AAR54" s="548"/>
      <c r="AAS54" s="548"/>
      <c r="AAT54" s="548"/>
      <c r="AAU54" s="548"/>
      <c r="AAV54" s="548"/>
      <c r="AAW54" s="548"/>
      <c r="AAX54" s="548"/>
      <c r="AAY54" s="548"/>
      <c r="AAZ54" s="548"/>
      <c r="ABA54" s="548"/>
      <c r="ABB54" s="548"/>
      <c r="ABC54" s="548"/>
      <c r="ABD54" s="548"/>
      <c r="ABE54" s="548"/>
      <c r="ABF54" s="548"/>
      <c r="ABG54" s="548"/>
      <c r="ABH54" s="548"/>
      <c r="ABI54" s="548"/>
      <c r="ABJ54" s="548"/>
      <c r="ABK54" s="548"/>
      <c r="ABL54" s="548"/>
      <c r="ABM54" s="548"/>
      <c r="ABN54" s="548"/>
      <c r="ABO54" s="548"/>
      <c r="ABP54" s="548"/>
      <c r="ABQ54" s="548"/>
      <c r="ABR54" s="548"/>
      <c r="ABS54" s="548"/>
    </row>
    <row r="55" spans="1:747" customFormat="1" ht="15" customHeight="1" x14ac:dyDescent="0.2">
      <c r="A55" s="424" t="str">
        <f t="shared" si="149"/>
        <v/>
      </c>
      <c r="B55" s="415"/>
      <c r="C55" s="525"/>
      <c r="D55" s="750"/>
      <c r="E55" s="416" t="str">
        <f t="shared" si="393"/>
        <v/>
      </c>
      <c r="F55" s="527" t="str">
        <f t="shared" si="394"/>
        <v/>
      </c>
      <c r="G55" s="417"/>
      <c r="H55" s="583" t="str">
        <f t="shared" si="395"/>
        <v/>
      </c>
      <c r="I55" s="424"/>
      <c r="J55" s="419"/>
      <c r="K55" s="418"/>
      <c r="L55" s="419"/>
      <c r="M55" s="415"/>
      <c r="N55" s="420"/>
      <c r="O55" s="421"/>
      <c r="P55" s="561"/>
      <c r="Q55" s="422"/>
      <c r="R55" s="561" t="str">
        <f t="shared" si="396"/>
        <v/>
      </c>
      <c r="S55" s="664"/>
      <c r="T55" s="663"/>
      <c r="U55" s="580">
        <f t="shared" si="397"/>
        <v>0</v>
      </c>
      <c r="V55" s="418"/>
      <c r="W55" s="582" t="str">
        <f t="shared" si="398"/>
        <v/>
      </c>
      <c r="X55" s="479" t="str">
        <f t="shared" si="399"/>
        <v/>
      </c>
      <c r="Y55" s="582" t="str">
        <f t="shared" si="400"/>
        <v/>
      </c>
      <c r="Z55" s="317" t="str">
        <f t="shared" si="401"/>
        <v/>
      </c>
      <c r="AA55" s="317" t="str">
        <f t="shared" si="402"/>
        <v/>
      </c>
      <c r="AB55" s="317">
        <f t="shared" si="403"/>
        <v>0</v>
      </c>
      <c r="AC55" s="317" t="str">
        <f t="shared" si="404"/>
        <v/>
      </c>
      <c r="AD55" s="479"/>
      <c r="AE55" s="479"/>
      <c r="AF55" s="479"/>
      <c r="AG55" s="423"/>
      <c r="AH55" s="820"/>
      <c r="AI55" s="480"/>
      <c r="AJ55" s="660"/>
      <c r="AK55" s="524" t="str">
        <f t="shared" si="405"/>
        <v/>
      </c>
      <c r="AL55" s="729">
        <f>SUMIF($J$4:$J$18,"Rolê",$S$4:$S$18)</f>
        <v>0</v>
      </c>
      <c r="AM55" s="730">
        <f>SUMIF($J$4:$J$18,"Rolê",$T$4:$T$18)</f>
        <v>0</v>
      </c>
      <c r="AN55" s="426">
        <f t="shared" si="406"/>
        <v>0</v>
      </c>
      <c r="AO55" s="427" t="str">
        <f t="shared" si="407"/>
        <v/>
      </c>
      <c r="AP55" s="426" t="str">
        <f t="shared" si="408"/>
        <v/>
      </c>
      <c r="AQ55" s="426"/>
      <c r="AR55" s="426"/>
      <c r="AS55" s="428"/>
      <c r="AT55" s="429"/>
      <c r="AU55" s="430"/>
      <c r="AV55" s="431"/>
      <c r="AW55" s="432"/>
      <c r="AX55" s="430"/>
      <c r="AY55" s="431">
        <f t="shared" si="409"/>
        <v>0</v>
      </c>
      <c r="AZ55" s="426"/>
      <c r="BA55" s="435" t="str">
        <f t="shared" si="410"/>
        <v/>
      </c>
      <c r="BB55" s="435"/>
      <c r="BC55" s="426"/>
      <c r="BD55" s="426">
        <f t="array" ref="BD55">IF(SUM((BC55=$BC$3:BC54)*1)=0,BC55,0)</f>
        <v>0</v>
      </c>
      <c r="BE55" s="426"/>
      <c r="BF55" s="426"/>
      <c r="BG55" s="426">
        <f t="array" ref="BG55">IF(SUM((BF55=$BF$3:BF54)*1)=0,BF55,0)</f>
        <v>0</v>
      </c>
      <c r="BH55" s="426"/>
      <c r="BI55" s="426"/>
      <c r="BJ55" s="426"/>
      <c r="BK55" s="426"/>
      <c r="BL55" s="426"/>
      <c r="BM55" s="426"/>
      <c r="BN55" s="426"/>
      <c r="BO55" s="426"/>
      <c r="BP55" s="433">
        <f t="shared" si="411"/>
        <v>0</v>
      </c>
      <c r="BQ55" s="426"/>
      <c r="BR55" s="434"/>
      <c r="BS55" s="426"/>
      <c r="BT55" s="433"/>
      <c r="BU55" s="435"/>
      <c r="BV55" s="435" t="str">
        <f t="shared" si="412"/>
        <v/>
      </c>
      <c r="BW55" s="435" t="str">
        <f t="shared" si="38"/>
        <v/>
      </c>
      <c r="BX55" s="435"/>
      <c r="BY55" s="435"/>
      <c r="BZ55" s="435"/>
      <c r="CA55" s="435"/>
      <c r="CB55" s="435"/>
      <c r="CC55" s="435"/>
      <c r="CD55" s="435"/>
      <c r="CE55" s="435"/>
      <c r="CF55" s="435"/>
      <c r="CG55" s="435"/>
      <c r="CH55" s="435"/>
      <c r="CI55" s="435"/>
      <c r="CJ55" s="426" t="str">
        <f t="shared" si="39"/>
        <v/>
      </c>
      <c r="CK55" s="435"/>
      <c r="CL55" s="426"/>
      <c r="CM55" s="435"/>
      <c r="CN55" s="426"/>
      <c r="CO55" s="426"/>
      <c r="CP55" s="426"/>
      <c r="CQ55" s="426"/>
      <c r="CR55" s="426"/>
      <c r="CS55" s="426"/>
      <c r="CT55" s="426"/>
      <c r="CU55" s="426"/>
      <c r="CV55" s="426"/>
      <c r="CW55" s="426"/>
      <c r="CX55" s="426"/>
      <c r="CY55" s="426">
        <v>52</v>
      </c>
      <c r="CZ55" s="426"/>
      <c r="DA55" s="426"/>
      <c r="DB55" s="426"/>
      <c r="DC55" s="426" t="s">
        <v>795</v>
      </c>
      <c r="DD55" s="426" t="s">
        <v>955</v>
      </c>
      <c r="DE55" s="435" t="str">
        <f t="shared" si="40"/>
        <v/>
      </c>
      <c r="DF55" s="435" t="str">
        <f t="shared" si="41"/>
        <v/>
      </c>
      <c r="DG55" s="435" t="str">
        <f t="shared" si="42"/>
        <v/>
      </c>
      <c r="DH55" s="435" t="str">
        <f t="shared" si="43"/>
        <v/>
      </c>
      <c r="DI55" s="435" t="str">
        <f t="shared" si="44"/>
        <v/>
      </c>
      <c r="DJ55" s="435" t="str">
        <f t="shared" si="45"/>
        <v/>
      </c>
      <c r="DK55" s="435" t="str">
        <f t="shared" si="413"/>
        <v/>
      </c>
      <c r="DL55" s="435" t="str">
        <f t="shared" si="414"/>
        <v/>
      </c>
      <c r="DM55" s="435" t="str">
        <f t="shared" si="46"/>
        <v/>
      </c>
      <c r="DN55" s="435" t="str">
        <f t="shared" si="47"/>
        <v/>
      </c>
      <c r="DO55" s="435" t="str">
        <f t="shared" si="415"/>
        <v/>
      </c>
      <c r="DP55" s="435" t="str">
        <f t="shared" si="416"/>
        <v/>
      </c>
      <c r="DQ55" s="435" t="str">
        <f t="shared" si="48"/>
        <v/>
      </c>
      <c r="DR55" s="435" t="str">
        <f t="shared" si="49"/>
        <v/>
      </c>
      <c r="DS55" s="435" t="str">
        <f t="shared" si="417"/>
        <v/>
      </c>
      <c r="DT55" s="435" t="str">
        <f t="shared" si="418"/>
        <v/>
      </c>
      <c r="DU55" s="435" t="str">
        <f t="shared" si="50"/>
        <v/>
      </c>
      <c r="DV55" s="435" t="str">
        <f t="shared" si="51"/>
        <v/>
      </c>
      <c r="DW55" s="435" t="str">
        <f t="shared" si="419"/>
        <v/>
      </c>
      <c r="DX55" s="435" t="str">
        <f t="shared" si="420"/>
        <v/>
      </c>
      <c r="DY55" s="435" t="str">
        <f t="shared" si="52"/>
        <v/>
      </c>
      <c r="DZ55" s="435" t="str">
        <f t="shared" si="53"/>
        <v/>
      </c>
      <c r="EA55" s="435" t="str">
        <f t="shared" si="421"/>
        <v/>
      </c>
      <c r="EB55" s="435" t="str">
        <f t="shared" si="422"/>
        <v/>
      </c>
      <c r="EC55" s="435" t="str">
        <f t="shared" si="423"/>
        <v/>
      </c>
      <c r="ED55" s="435" t="str">
        <f t="shared" si="424"/>
        <v/>
      </c>
      <c r="EE55" s="435" t="str">
        <f t="shared" si="425"/>
        <v/>
      </c>
      <c r="EF55" s="435" t="str">
        <f t="shared" si="426"/>
        <v/>
      </c>
      <c r="EG55" s="435" t="str">
        <f t="shared" si="427"/>
        <v/>
      </c>
      <c r="EH55" s="435" t="str">
        <f t="shared" si="428"/>
        <v/>
      </c>
      <c r="EI55" s="435" t="str">
        <f t="shared" si="429"/>
        <v/>
      </c>
      <c r="EJ55" s="435" t="str">
        <f t="shared" si="430"/>
        <v/>
      </c>
      <c r="EK55" s="485"/>
      <c r="EL55" s="485"/>
      <c r="EM55" s="485"/>
      <c r="EN55" s="485"/>
      <c r="EO55" s="448"/>
      <c r="EP55" s="448"/>
      <c r="EQ55" s="448"/>
      <c r="ER55" s="448"/>
      <c r="ES55" s="448"/>
      <c r="ET55" s="435"/>
      <c r="EU55" s="435"/>
      <c r="EV55" s="435"/>
      <c r="EW55" s="435"/>
      <c r="EX55" s="426"/>
      <c r="EY55" s="426"/>
      <c r="EZ55" s="426"/>
      <c r="FA55" s="427"/>
      <c r="FB55" s="427">
        <f t="array" ref="FB55">IF(SUM((FA55=$FA$3:FA54)*1)=0,FA55,0)</f>
        <v>0</v>
      </c>
      <c r="FC55" s="427"/>
      <c r="FD55" s="427"/>
      <c r="FE55" s="427">
        <f t="array" ref="FE55">IF(SUM((FD55=$FD$3:FD54)*1)=0,FD55,0)</f>
        <v>0</v>
      </c>
      <c r="FF55" s="427"/>
      <c r="FG55" s="427"/>
      <c r="FH55" s="427"/>
      <c r="FI55" s="427">
        <f t="array" ref="FI55">IF(SUM((FH55=$FH$3:FH54)*1)=0,FH55,0)</f>
        <v>0</v>
      </c>
      <c r="FJ55" s="427"/>
      <c r="FK55" s="427"/>
      <c r="FL55" s="427">
        <f t="array" ref="FL55">IF(SUM((FK55=$FK$3:FK54)*1)=0,FK55,0)</f>
        <v>0</v>
      </c>
      <c r="FM55" s="427"/>
      <c r="FN55" s="427"/>
      <c r="FO55" s="427"/>
      <c r="FP55" s="427">
        <f t="array" ref="FP55">IF(SUM((FO55=$FO$3:FO54)*1)=0,FO55,0)</f>
        <v>0</v>
      </c>
      <c r="FQ55" s="427"/>
      <c r="FR55" s="427"/>
      <c r="FS55" s="427">
        <f t="array" ref="FS55">IF(SUM((FR55=$FR$3:FR54)*1)=0,FR55,0)</f>
        <v>0</v>
      </c>
      <c r="FT55" s="427"/>
      <c r="FU55" s="427"/>
      <c r="FV55" s="427"/>
      <c r="FW55" s="427">
        <f t="array" ref="FW55">IF(SUM((FV55=$FV$3:FV54)*1)=0,FV55,0)</f>
        <v>0</v>
      </c>
      <c r="FX55" s="427"/>
      <c r="FY55" s="427"/>
      <c r="FZ55" s="427">
        <f t="array" ref="FZ55">IF(SUM((FY55=$FY$3:FY54)*1)=0,FY55,0)</f>
        <v>0</v>
      </c>
      <c r="GA55" s="427"/>
      <c r="GB55" s="427"/>
      <c r="GC55" s="427"/>
      <c r="GD55" s="427">
        <f t="array" ref="GD55">IF(SUM((GC55=$GC$3:GC54)*1)=0,GC55,0)</f>
        <v>0</v>
      </c>
      <c r="GE55" s="427"/>
      <c r="GF55" s="427"/>
      <c r="GG55" s="427">
        <f t="array" ref="GG55">IF(SUM((GF55=$GF$3:GF54)*1)=0,GF55,0)</f>
        <v>0</v>
      </c>
      <c r="GH55" s="427"/>
      <c r="GI55" s="427"/>
      <c r="GJ55" s="427"/>
      <c r="GK55" s="798">
        <f t="array" ref="GK55">IF(SUM((GJ55=$GJ$3:GJ54)*1)=0,GJ55,0)</f>
        <v>0</v>
      </c>
      <c r="GL55" s="427"/>
      <c r="GM55" s="427"/>
      <c r="GN55" s="798">
        <f t="array" ref="GN55">IF(SUM((GM55=$GM$3:GM54)*1)=0,GM55,0)</f>
        <v>0</v>
      </c>
      <c r="GO55" s="427"/>
      <c r="GP55" s="427"/>
      <c r="GQ55" s="427"/>
      <c r="GR55" s="798">
        <f t="array" ref="GR55">IF(SUM((GQ55=$GQ$3:GQ54)*1)=0,GQ55,0)</f>
        <v>0</v>
      </c>
      <c r="GS55" s="427"/>
      <c r="GT55" s="427"/>
      <c r="GU55" s="798">
        <f t="array" ref="GU55">IF(SUM((GT55=$GT$3:GT54)*1)=0,GT55,0)</f>
        <v>0</v>
      </c>
      <c r="GV55" s="427"/>
      <c r="GW55" s="427"/>
      <c r="GX55" s="427"/>
      <c r="GY55" s="798">
        <f t="array" ref="GY55">IF(SUM((GX55=$GX$3:GX54)*1)=0,GX55,0)</f>
        <v>0</v>
      </c>
      <c r="GZ55" s="427"/>
      <c r="HA55" s="427"/>
      <c r="HB55" s="798">
        <f t="array" ref="HB55">IF(SUM((HA55=$HA$3:HA54)*1)=0,HA55,0)</f>
        <v>0</v>
      </c>
      <c r="HC55" s="427"/>
      <c r="HD55" s="427"/>
      <c r="HE55" s="769" t="str">
        <f t="shared" si="130"/>
        <v/>
      </c>
      <c r="HF55" s="768" t="str">
        <f t="shared" ref="HF55" si="634">IF(HE55&lt;0,"Invadiu REP-BA-C","")</f>
        <v/>
      </c>
      <c r="HG55" s="769" t="str">
        <f t="shared" si="131"/>
        <v/>
      </c>
      <c r="HH55" s="768" t="str">
        <f t="shared" si="55"/>
        <v/>
      </c>
      <c r="HI55" s="728" t="str">
        <f t="shared" si="132"/>
        <v/>
      </c>
      <c r="HJ55" s="768" t="str">
        <f t="shared" si="56"/>
        <v/>
      </c>
      <c r="HK55" s="728" t="str">
        <f t="shared" si="133"/>
        <v/>
      </c>
      <c r="HL55" s="768" t="str">
        <f t="shared" si="57"/>
        <v/>
      </c>
      <c r="HM55" s="769" t="str">
        <f t="shared" si="441"/>
        <v/>
      </c>
      <c r="HN55" s="768" t="str">
        <f t="shared" ref="HN55" si="635">IF(HM55&lt;0,"Invadiu REP-BA-C","")</f>
        <v/>
      </c>
      <c r="HO55" s="769" t="str">
        <f t="shared" si="443"/>
        <v/>
      </c>
      <c r="HP55" s="768" t="str">
        <f t="shared" si="61"/>
        <v/>
      </c>
      <c r="HQ55" s="728" t="str">
        <f t="shared" si="444"/>
        <v/>
      </c>
      <c r="HR55" s="768" t="str">
        <f t="shared" si="63"/>
        <v/>
      </c>
      <c r="HS55" s="728" t="str">
        <f t="shared" si="445"/>
        <v/>
      </c>
      <c r="HT55" s="768" t="str">
        <f t="shared" si="65"/>
        <v/>
      </c>
      <c r="HU55" s="769" t="str">
        <f t="shared" si="446"/>
        <v/>
      </c>
      <c r="HV55" s="768" t="str">
        <f t="shared" ref="HV55" si="636">IF(HU55&lt;0,"Invadiu REP-BA-C","")</f>
        <v/>
      </c>
      <c r="HW55" s="769" t="str">
        <f t="shared" si="448"/>
        <v/>
      </c>
      <c r="HX55" s="768" t="str">
        <f t="shared" si="69"/>
        <v/>
      </c>
      <c r="HY55" s="728" t="str">
        <f t="shared" si="449"/>
        <v/>
      </c>
      <c r="HZ55" s="768" t="str">
        <f t="shared" si="71"/>
        <v/>
      </c>
      <c r="IA55" s="728" t="str">
        <f t="shared" si="450"/>
        <v/>
      </c>
      <c r="IB55" s="768" t="str">
        <f t="shared" si="73"/>
        <v/>
      </c>
      <c r="IC55" s="769" t="str">
        <f t="shared" si="451"/>
        <v/>
      </c>
      <c r="ID55" s="768" t="str">
        <f t="shared" ref="ID55" si="637">IF(IC55&lt;0,"Invadiu REP-BA-C","")</f>
        <v/>
      </c>
      <c r="IE55" s="769" t="str">
        <f t="shared" si="453"/>
        <v/>
      </c>
      <c r="IF55" s="768" t="str">
        <f t="shared" si="77"/>
        <v/>
      </c>
      <c r="IG55" s="728" t="str">
        <f t="shared" si="454"/>
        <v/>
      </c>
      <c r="IH55" s="768" t="str">
        <f t="shared" si="79"/>
        <v/>
      </c>
      <c r="II55" s="728" t="str">
        <f t="shared" si="455"/>
        <v/>
      </c>
      <c r="IJ55" s="768" t="str">
        <f t="shared" si="81"/>
        <v/>
      </c>
      <c r="IK55" s="769" t="str">
        <f t="shared" si="456"/>
        <v/>
      </c>
      <c r="IL55" s="768" t="str">
        <f t="shared" ref="IL55" si="638">IF(IK55&lt;0,"Invadiu REP-BA-C","")</f>
        <v/>
      </c>
      <c r="IM55" s="769" t="str">
        <f t="shared" si="458"/>
        <v/>
      </c>
      <c r="IN55" s="768" t="str">
        <f t="shared" si="85"/>
        <v/>
      </c>
      <c r="IO55" s="728" t="str">
        <f t="shared" si="459"/>
        <v/>
      </c>
      <c r="IP55" s="768" t="str">
        <f t="shared" si="87"/>
        <v/>
      </c>
      <c r="IQ55" s="728" t="str">
        <f t="shared" si="460"/>
        <v/>
      </c>
      <c r="IR55" s="768" t="str">
        <f t="shared" si="89"/>
        <v/>
      </c>
      <c r="IS55" s="769" t="str">
        <f t="shared" si="461"/>
        <v/>
      </c>
      <c r="IT55" s="768" t="str">
        <f t="shared" ref="IT55" si="639">IF(IS55&lt;0,"Invadiu REP-BA-C","")</f>
        <v/>
      </c>
      <c r="IU55" s="769" t="str">
        <f t="shared" si="463"/>
        <v/>
      </c>
      <c r="IV55" s="768" t="str">
        <f t="shared" si="93"/>
        <v/>
      </c>
      <c r="IW55" s="728" t="str">
        <f t="shared" si="464"/>
        <v/>
      </c>
      <c r="IX55" s="768" t="str">
        <f t="shared" si="95"/>
        <v/>
      </c>
      <c r="IY55" s="728" t="str">
        <f t="shared" si="465"/>
        <v/>
      </c>
      <c r="IZ55" s="768" t="str">
        <f t="shared" si="97"/>
        <v/>
      </c>
      <c r="JA55" s="769" t="str">
        <f t="shared" si="466"/>
        <v/>
      </c>
      <c r="JB55" s="768" t="str">
        <f t="shared" ref="JB55" si="640">IF(JA55&lt;0,"Invadiu REP-BA-C","")</f>
        <v/>
      </c>
      <c r="JC55" s="769" t="str">
        <f t="shared" si="468"/>
        <v/>
      </c>
      <c r="JD55" s="768" t="str">
        <f t="shared" si="101"/>
        <v/>
      </c>
      <c r="JE55" s="728" t="str">
        <f t="shared" si="469"/>
        <v/>
      </c>
      <c r="JF55" s="768" t="str">
        <f t="shared" si="103"/>
        <v/>
      </c>
      <c r="JG55" s="728" t="str">
        <f t="shared" si="470"/>
        <v/>
      </c>
      <c r="JH55" s="768" t="str">
        <f t="shared" si="105"/>
        <v/>
      </c>
      <c r="JI55" s="769" t="str">
        <f t="shared" si="471"/>
        <v/>
      </c>
      <c r="JJ55" s="768" t="str">
        <f t="shared" ref="JJ55" si="641">IF(JI55&lt;0,"Invadiu REP-BA-C","")</f>
        <v/>
      </c>
      <c r="JK55" s="769" t="str">
        <f t="shared" si="473"/>
        <v/>
      </c>
      <c r="JL55" s="768" t="str">
        <f t="shared" si="109"/>
        <v/>
      </c>
      <c r="JM55" s="728" t="str">
        <f t="shared" si="474"/>
        <v/>
      </c>
      <c r="JN55" s="768" t="str">
        <f t="shared" si="111"/>
        <v/>
      </c>
      <c r="JO55" s="728" t="str">
        <f t="shared" si="475"/>
        <v/>
      </c>
      <c r="JP55" s="768" t="str">
        <f t="shared" si="113"/>
        <v/>
      </c>
      <c r="JQ55" s="769" t="str">
        <f t="shared" si="476"/>
        <v/>
      </c>
      <c r="JR55" s="768" t="str">
        <f t="shared" ref="JR55" si="642">IF(JQ55&lt;0,"Invadiu REP-BA-C","")</f>
        <v/>
      </c>
      <c r="JS55" s="769" t="str">
        <f t="shared" si="478"/>
        <v/>
      </c>
      <c r="JT55" s="768" t="str">
        <f t="shared" si="117"/>
        <v/>
      </c>
      <c r="JU55" s="728" t="str">
        <f t="shared" si="479"/>
        <v/>
      </c>
      <c r="JV55" s="768" t="str">
        <f t="shared" si="119"/>
        <v/>
      </c>
      <c r="JW55" s="728" t="str">
        <f t="shared" si="480"/>
        <v/>
      </c>
      <c r="JX55" s="768" t="str">
        <f t="shared" si="121"/>
        <v/>
      </c>
      <c r="JY55" s="768" t="str">
        <f t="shared" si="122"/>
        <v/>
      </c>
      <c r="JZ55" s="485" t="str">
        <f>IF(JY55="","",IF(AND(C55=$C$164,JY55&lt;&gt;""),Verificarcpf(D55),IF(AND(C55=$C$165,JY55&lt;&gt;""),VerificarCNPJ(D55))))</f>
        <v/>
      </c>
      <c r="KA55" s="768" t="str">
        <f t="shared" si="123"/>
        <v/>
      </c>
      <c r="KB55" s="485">
        <f t="shared" si="124"/>
        <v>0</v>
      </c>
      <c r="KC55" s="768">
        <f t="shared" si="125"/>
        <v>0</v>
      </c>
      <c r="KD55" s="485">
        <f t="shared" si="126"/>
        <v>0</v>
      </c>
      <c r="KE55" s="448"/>
      <c r="KF55" s="548"/>
      <c r="KG55" s="548"/>
      <c r="KH55" s="548"/>
      <c r="KI55" s="548"/>
      <c r="KJ55" s="548" t="str">
        <f t="shared" si="128"/>
        <v/>
      </c>
      <c r="KK55" s="548"/>
      <c r="KL55" s="548"/>
      <c r="KM55" s="548">
        <f t="array" ref="KM55">IF(SUM((KL55=$KL$3:KL54)*1)=0,KL55,0)</f>
        <v>0</v>
      </c>
      <c r="KN55" s="548"/>
      <c r="KO55" s="548"/>
      <c r="KP55" s="548"/>
      <c r="KQ55" s="548"/>
      <c r="KR55" s="548" t="str">
        <f t="shared" si="129"/>
        <v/>
      </c>
      <c r="KS55" s="548"/>
      <c r="KT55" s="548"/>
      <c r="KU55" s="548"/>
      <c r="KV55" s="548"/>
      <c r="KW55" s="548"/>
      <c r="KX55" s="548"/>
      <c r="KY55" s="548"/>
      <c r="KZ55" s="548"/>
      <c r="LA55" s="548"/>
      <c r="LB55" s="548"/>
      <c r="LC55" s="485" t="str">
        <f t="shared" si="142"/>
        <v/>
      </c>
      <c r="LD55" s="548"/>
      <c r="LE55" s="548"/>
      <c r="LF55" s="548"/>
      <c r="LG55" s="548"/>
      <c r="LH55" s="548"/>
      <c r="LI55" s="548"/>
      <c r="LJ55" s="548"/>
      <c r="LK55" s="548"/>
      <c r="LL55" s="548"/>
      <c r="LM55" s="548"/>
      <c r="LN55" s="548"/>
      <c r="LO55" s="548"/>
      <c r="LP55" s="485" t="str">
        <f t="shared" si="143"/>
        <v/>
      </c>
      <c r="LQ55" s="548"/>
      <c r="LR55" s="548"/>
      <c r="LS55" s="548"/>
      <c r="LT55" s="548"/>
      <c r="LU55" s="548"/>
      <c r="LV55" s="548"/>
      <c r="LW55" s="548"/>
      <c r="LX55" s="548"/>
      <c r="LY55" s="548"/>
      <c r="LZ55" s="548"/>
      <c r="MA55" s="548"/>
      <c r="MB55" s="548"/>
      <c r="MC55" s="485" t="str">
        <f t="shared" si="144"/>
        <v/>
      </c>
      <c r="MD55" s="548"/>
      <c r="ME55" s="548"/>
      <c r="MF55" s="548"/>
      <c r="MG55" s="548"/>
      <c r="MH55" s="548"/>
      <c r="MI55" s="548"/>
      <c r="MJ55" s="548"/>
      <c r="MK55" s="548"/>
      <c r="ML55" s="548"/>
      <c r="MM55" s="548"/>
      <c r="MN55" s="548"/>
      <c r="MO55" s="548"/>
      <c r="MP55" s="485" t="str">
        <f t="shared" si="145"/>
        <v/>
      </c>
      <c r="MQ55" s="548"/>
      <c r="MR55" s="548"/>
      <c r="MS55" s="548"/>
      <c r="MT55" s="548"/>
      <c r="MU55" s="548"/>
      <c r="MV55" s="548"/>
      <c r="MW55" s="548"/>
      <c r="MX55" s="548"/>
      <c r="MY55" s="548"/>
      <c r="MZ55" s="548"/>
      <c r="NA55" s="548"/>
      <c r="NB55" s="548"/>
      <c r="NC55" s="485" t="str">
        <f t="shared" si="146"/>
        <v/>
      </c>
      <c r="ND55" s="548"/>
      <c r="NE55" s="548"/>
      <c r="NF55" s="548"/>
      <c r="NG55" s="548"/>
      <c r="NH55" s="548"/>
      <c r="NI55" s="548"/>
      <c r="NJ55" s="548"/>
      <c r="NK55" s="548"/>
      <c r="NL55" s="548"/>
      <c r="NM55" s="548"/>
      <c r="NN55" s="548"/>
      <c r="NO55" s="548"/>
      <c r="NP55" s="485" t="str">
        <f t="shared" si="147"/>
        <v/>
      </c>
      <c r="NQ55" s="548"/>
      <c r="NR55" s="548"/>
      <c r="NS55" s="548"/>
      <c r="NT55" s="548"/>
      <c r="NU55" s="548"/>
      <c r="NV55" s="548"/>
      <c r="NW55" s="548"/>
      <c r="NX55" s="548"/>
      <c r="NY55" s="548"/>
      <c r="NZ55" s="548"/>
      <c r="OA55" s="548"/>
      <c r="OB55" s="548"/>
      <c r="OC55" s="485" t="str">
        <f t="shared" si="148"/>
        <v/>
      </c>
      <c r="OD55" s="548"/>
      <c r="OE55" s="548"/>
      <c r="OF55" s="548"/>
      <c r="OG55" s="548"/>
      <c r="OH55" s="548"/>
      <c r="OI55" s="548"/>
      <c r="OJ55" s="548"/>
      <c r="OK55" s="548"/>
      <c r="OL55" s="548"/>
      <c r="OM55" s="548"/>
      <c r="ON55" s="548"/>
      <c r="OO55" s="548"/>
      <c r="OP55" s="548"/>
      <c r="OQ55" s="548"/>
      <c r="OR55" s="548"/>
      <c r="OS55" s="548"/>
      <c r="OT55" s="548"/>
      <c r="OU55" s="548"/>
      <c r="OV55" s="548"/>
      <c r="OW55" s="548"/>
      <c r="OX55" s="548"/>
      <c r="OY55" s="548"/>
      <c r="OZ55" s="548"/>
      <c r="PA55" s="548"/>
      <c r="PB55" s="548"/>
      <c r="PC55" s="548"/>
      <c r="PD55" s="548"/>
      <c r="PE55" s="548"/>
      <c r="PF55" s="548"/>
      <c r="PG55" s="548"/>
      <c r="PH55" s="548"/>
      <c r="PI55" s="548"/>
      <c r="PJ55" s="548"/>
      <c r="PK55" s="548"/>
      <c r="PL55" s="548"/>
      <c r="PM55" s="548"/>
      <c r="PN55" s="548"/>
      <c r="PO55" s="548"/>
      <c r="PP55" s="548"/>
      <c r="PQ55" s="548"/>
      <c r="PR55" s="548"/>
      <c r="PS55" s="548"/>
      <c r="PT55" s="548"/>
      <c r="PU55" s="548"/>
      <c r="PV55" s="548"/>
      <c r="PW55" s="548"/>
      <c r="PX55" s="548"/>
      <c r="PY55" s="548"/>
      <c r="PZ55" s="548"/>
      <c r="QA55" s="548"/>
      <c r="QB55" s="548"/>
      <c r="QC55" s="548"/>
      <c r="QD55" s="548"/>
      <c r="QE55" s="548"/>
      <c r="QF55" s="548"/>
      <c r="QG55" s="548"/>
      <c r="QH55" s="548"/>
      <c r="QI55" s="548"/>
      <c r="QJ55" s="548"/>
      <c r="QK55" s="548"/>
      <c r="QL55" s="548"/>
      <c r="QM55" s="548"/>
      <c r="QN55" s="548"/>
      <c r="QO55" s="548"/>
      <c r="QP55" s="548"/>
      <c r="QQ55" s="1009"/>
      <c r="QR55" s="548"/>
      <c r="QS55" s="548"/>
      <c r="QT55" s="548"/>
      <c r="QU55" s="548"/>
      <c r="QV55" s="548"/>
      <c r="QW55" s="548"/>
      <c r="QX55" s="548"/>
      <c r="QY55" s="548"/>
      <c r="QZ55" s="548"/>
      <c r="RA55" s="548"/>
      <c r="RB55" s="548"/>
      <c r="RC55" s="548"/>
      <c r="RD55" s="548"/>
      <c r="RE55" s="548"/>
      <c r="RF55" s="548"/>
      <c r="RG55" s="548"/>
      <c r="RH55" s="548"/>
      <c r="RI55" s="548"/>
      <c r="RJ55" s="548"/>
      <c r="RK55" s="548"/>
      <c r="RL55" s="548"/>
      <c r="RM55" s="548"/>
      <c r="RN55" s="548"/>
      <c r="RO55" s="548"/>
      <c r="RP55" s="548"/>
      <c r="RQ55" s="548"/>
      <c r="RR55" s="548"/>
      <c r="RS55" s="548"/>
      <c r="RT55" s="548"/>
      <c r="RU55" s="548"/>
      <c r="RV55" s="548"/>
      <c r="RW55" s="548"/>
      <c r="RX55" s="548"/>
      <c r="RY55" s="548"/>
      <c r="RZ55" s="548"/>
      <c r="SA55" s="548"/>
      <c r="SB55" s="548"/>
      <c r="SC55" s="548"/>
      <c r="SD55" s="548"/>
      <c r="SE55" s="548"/>
      <c r="SF55" s="548"/>
      <c r="SG55" s="548"/>
      <c r="SH55" s="548"/>
      <c r="SI55" s="548"/>
      <c r="SJ55" s="548"/>
      <c r="SK55" s="548"/>
      <c r="SL55" s="548"/>
      <c r="SM55" s="548"/>
      <c r="SN55" s="548"/>
      <c r="SO55" s="548"/>
      <c r="SP55" s="548"/>
      <c r="SQ55" s="548"/>
      <c r="SR55" s="548"/>
      <c r="SS55" s="548"/>
      <c r="ST55" s="548"/>
      <c r="SU55" s="548"/>
      <c r="SV55" s="548"/>
      <c r="SW55" s="548"/>
      <c r="SX55" s="548"/>
      <c r="SY55" s="548"/>
      <c r="SZ55" s="548"/>
      <c r="TA55" s="548"/>
      <c r="TB55" s="548"/>
      <c r="TC55" s="548"/>
      <c r="TD55" s="548"/>
      <c r="TE55" s="548"/>
      <c r="TF55" s="548"/>
      <c r="TG55" s="548"/>
      <c r="TH55" s="548"/>
      <c r="TI55" s="548"/>
      <c r="TJ55" s="548"/>
      <c r="TK55" s="548"/>
      <c r="TL55" s="548"/>
      <c r="TM55" s="548"/>
      <c r="TN55" s="548"/>
      <c r="TO55" s="548"/>
      <c r="TP55" s="548"/>
      <c r="TQ55" s="548"/>
      <c r="TR55" s="548"/>
      <c r="TS55" s="548"/>
      <c r="TT55" s="548"/>
      <c r="TU55" s="548"/>
      <c r="TV55" s="548"/>
      <c r="TW55" s="548"/>
      <c r="TX55" s="548"/>
      <c r="TY55" s="548"/>
      <c r="TZ55" s="548"/>
      <c r="UA55" s="548"/>
      <c r="UB55" s="548"/>
      <c r="UC55" s="548"/>
      <c r="UD55" s="548"/>
      <c r="UE55" s="548"/>
      <c r="UF55" s="548"/>
      <c r="UG55" s="548"/>
      <c r="UH55" s="548"/>
      <c r="UI55" s="548"/>
      <c r="UJ55" s="548"/>
      <c r="UK55" s="548"/>
      <c r="UL55" s="548"/>
      <c r="UM55" s="548"/>
      <c r="UN55" s="548"/>
      <c r="UO55" s="548"/>
      <c r="UP55" s="548"/>
      <c r="UQ55" s="548"/>
      <c r="UR55" s="548"/>
      <c r="US55" s="548"/>
      <c r="UT55" s="548"/>
      <c r="UU55" s="548"/>
      <c r="UV55" s="548"/>
      <c r="UW55" s="548"/>
      <c r="UX55" s="548"/>
      <c r="UY55" s="548"/>
      <c r="UZ55" s="548"/>
      <c r="VA55" s="548"/>
      <c r="VB55" s="548"/>
      <c r="VC55" s="548"/>
      <c r="VD55" s="548"/>
      <c r="VE55" s="548"/>
      <c r="VF55" s="548"/>
      <c r="VG55" s="548"/>
      <c r="VH55" s="548"/>
      <c r="VI55" s="548"/>
      <c r="VJ55" s="548"/>
      <c r="VK55" s="548"/>
      <c r="VL55" s="548"/>
      <c r="VM55" s="548"/>
      <c r="VN55" s="548"/>
      <c r="VO55" s="548"/>
      <c r="VP55" s="548"/>
      <c r="VQ55" s="548"/>
      <c r="VR55" s="548"/>
      <c r="VS55" s="548"/>
      <c r="VT55" s="548"/>
      <c r="VU55" s="548"/>
      <c r="VV55" s="548"/>
      <c r="VW55" s="548"/>
      <c r="VX55" s="548"/>
      <c r="VY55" s="548"/>
      <c r="VZ55" s="548"/>
      <c r="WA55" s="548"/>
      <c r="WB55" s="548"/>
      <c r="WC55" s="548"/>
      <c r="WD55" s="548"/>
      <c r="WE55" s="548"/>
      <c r="WF55" s="548"/>
      <c r="WG55" s="548"/>
      <c r="WH55" s="548"/>
      <c r="WI55" s="548"/>
      <c r="WJ55" s="548"/>
      <c r="WK55" s="548"/>
      <c r="WL55" s="548"/>
      <c r="WM55" s="548"/>
      <c r="WN55" s="548"/>
      <c r="WO55" s="548"/>
      <c r="WP55" s="548"/>
      <c r="WQ55" s="548"/>
      <c r="WR55" s="548"/>
      <c r="WS55" s="548"/>
      <c r="WT55" s="548"/>
      <c r="WU55" s="548"/>
      <c r="WV55" s="548"/>
      <c r="WW55" s="548"/>
      <c r="WX55" s="548"/>
      <c r="WY55" s="548"/>
      <c r="WZ55" s="548"/>
      <c r="XA55" s="548"/>
      <c r="XB55" s="548"/>
      <c r="XC55" s="548"/>
      <c r="XD55" s="548"/>
      <c r="XE55" s="548"/>
      <c r="XF55" s="548"/>
      <c r="XG55" s="548"/>
      <c r="XH55" s="548"/>
      <c r="XI55" s="548"/>
      <c r="XJ55" s="548"/>
      <c r="XK55" s="548"/>
      <c r="XL55" s="548"/>
      <c r="XM55" s="548"/>
      <c r="XN55" s="548"/>
      <c r="XO55" s="548"/>
      <c r="XP55" s="548"/>
      <c r="XQ55" s="548"/>
      <c r="XR55" s="548"/>
      <c r="XS55" s="548"/>
      <c r="XT55" s="548"/>
      <c r="XU55" s="548"/>
      <c r="XV55" s="548"/>
      <c r="XW55" s="548"/>
      <c r="XX55" s="548"/>
      <c r="XY55" s="548"/>
      <c r="XZ55" s="548"/>
      <c r="YA55" s="548"/>
      <c r="YB55" s="548"/>
      <c r="YC55" s="548"/>
      <c r="YD55" s="548"/>
      <c r="YE55" s="548"/>
      <c r="YF55" s="548"/>
      <c r="YG55" s="548"/>
      <c r="YH55" s="548"/>
      <c r="YI55" s="548"/>
      <c r="YJ55" s="548"/>
      <c r="YK55" s="548"/>
      <c r="YL55" s="548"/>
      <c r="YM55" s="548"/>
      <c r="YN55" s="548"/>
      <c r="YO55" s="548"/>
      <c r="YP55" s="548"/>
      <c r="YQ55" s="548"/>
      <c r="YR55" s="548"/>
      <c r="YS55" s="548"/>
      <c r="YT55" s="548"/>
      <c r="YU55" s="548"/>
      <c r="YV55" s="548"/>
      <c r="YW55" s="548"/>
      <c r="YX55" s="548"/>
      <c r="YY55" s="548"/>
      <c r="YZ55" s="548"/>
      <c r="ZA55" s="548"/>
      <c r="ZB55" s="548"/>
      <c r="ZC55" s="548"/>
      <c r="ZD55" s="548"/>
      <c r="ZE55" s="548"/>
      <c r="ZF55" s="548"/>
      <c r="ZG55" s="548"/>
      <c r="ZH55" s="548"/>
      <c r="ZI55" s="548"/>
      <c r="ZJ55" s="548"/>
      <c r="ZK55" s="548"/>
      <c r="ZL55" s="548"/>
      <c r="ZM55" s="548"/>
      <c r="ZN55" s="548"/>
      <c r="ZO55" s="548"/>
      <c r="ZP55" s="548"/>
      <c r="ZQ55" s="548"/>
      <c r="ZR55" s="548"/>
      <c r="ZS55" s="548"/>
      <c r="ZT55" s="548"/>
      <c r="ZU55" s="548"/>
      <c r="ZV55" s="548"/>
      <c r="ZW55" s="548"/>
      <c r="ZX55" s="548"/>
      <c r="ZY55" s="548"/>
      <c r="ZZ55" s="548"/>
      <c r="AAA55" s="548"/>
      <c r="AAB55" s="548"/>
      <c r="AAC55" s="548"/>
      <c r="AAD55" s="548"/>
      <c r="AAE55" s="548"/>
      <c r="AAF55" s="548"/>
      <c r="AAG55" s="548"/>
      <c r="AAH55" s="548"/>
      <c r="AAI55" s="548"/>
      <c r="AAJ55" s="548"/>
      <c r="AAK55" s="548"/>
      <c r="AAL55" s="548"/>
      <c r="AAM55" s="548"/>
      <c r="AAN55" s="548"/>
      <c r="AAO55" s="548"/>
      <c r="AAP55" s="548"/>
      <c r="AAQ55" s="548"/>
      <c r="AAR55" s="548"/>
      <c r="AAS55" s="548"/>
      <c r="AAT55" s="548"/>
      <c r="AAU55" s="548"/>
      <c r="AAV55" s="548"/>
      <c r="AAW55" s="548"/>
      <c r="AAX55" s="548"/>
      <c r="AAY55" s="548"/>
      <c r="AAZ55" s="548"/>
      <c r="ABA55" s="548"/>
      <c r="ABB55" s="548"/>
      <c r="ABC55" s="548"/>
      <c r="ABD55" s="548"/>
      <c r="ABE55" s="548"/>
      <c r="ABF55" s="548"/>
      <c r="ABG55" s="548"/>
      <c r="ABH55" s="548"/>
      <c r="ABI55" s="548"/>
      <c r="ABJ55" s="548"/>
      <c r="ABK55" s="548"/>
      <c r="ABL55" s="548"/>
      <c r="ABM55" s="548"/>
      <c r="ABN55" s="548"/>
      <c r="ABO55" s="548"/>
      <c r="ABP55" s="548"/>
      <c r="ABQ55" s="548"/>
      <c r="ABR55" s="548"/>
      <c r="ABS55" s="548"/>
    </row>
    <row r="56" spans="1:747" customFormat="1" ht="15" customHeight="1" x14ac:dyDescent="0.2">
      <c r="A56" s="424" t="str">
        <f t="shared" si="149"/>
        <v/>
      </c>
      <c r="B56" s="415"/>
      <c r="C56" s="525"/>
      <c r="D56" s="750"/>
      <c r="E56" s="416" t="str">
        <f t="shared" si="393"/>
        <v/>
      </c>
      <c r="F56" s="527" t="str">
        <f t="shared" si="394"/>
        <v/>
      </c>
      <c r="G56" s="417"/>
      <c r="H56" s="583" t="str">
        <f t="shared" si="395"/>
        <v/>
      </c>
      <c r="I56" s="424"/>
      <c r="J56" s="419"/>
      <c r="K56" s="418"/>
      <c r="L56" s="419"/>
      <c r="M56" s="415"/>
      <c r="N56" s="420"/>
      <c r="O56" s="421"/>
      <c r="P56" s="561"/>
      <c r="Q56" s="422"/>
      <c r="R56" s="561" t="str">
        <f t="shared" si="396"/>
        <v/>
      </c>
      <c r="S56" s="664"/>
      <c r="T56" s="663"/>
      <c r="U56" s="580">
        <f t="shared" si="397"/>
        <v>0</v>
      </c>
      <c r="V56" s="418"/>
      <c r="W56" s="582" t="str">
        <f t="shared" si="398"/>
        <v/>
      </c>
      <c r="X56" s="479" t="str">
        <f t="shared" si="399"/>
        <v/>
      </c>
      <c r="Y56" s="582" t="str">
        <f t="shared" si="400"/>
        <v/>
      </c>
      <c r="Z56" s="317" t="str">
        <f t="shared" si="401"/>
        <v/>
      </c>
      <c r="AA56" s="317" t="str">
        <f t="shared" si="402"/>
        <v/>
      </c>
      <c r="AB56" s="317">
        <f t="shared" si="403"/>
        <v>0</v>
      </c>
      <c r="AC56" s="317" t="str">
        <f t="shared" si="404"/>
        <v/>
      </c>
      <c r="AD56" s="479"/>
      <c r="AE56" s="479"/>
      <c r="AF56" s="479"/>
      <c r="AG56" s="423"/>
      <c r="AH56" s="820"/>
      <c r="AI56" s="480"/>
      <c r="AJ56" s="660"/>
      <c r="AK56" s="524" t="str">
        <f t="shared" si="405"/>
        <v/>
      </c>
      <c r="AL56" s="731">
        <f>SUMIF($J$4:$J$32,"Rolê",$S$4:$S$32)</f>
        <v>0</v>
      </c>
      <c r="AM56" s="732">
        <f>SUMIF($J$4:$J$32,"Rolê",$T$4:$T$32)</f>
        <v>0</v>
      </c>
      <c r="AN56" s="426">
        <f t="shared" si="406"/>
        <v>0</v>
      </c>
      <c r="AO56" s="427" t="str">
        <f t="shared" si="407"/>
        <v/>
      </c>
      <c r="AP56" s="426" t="str">
        <f t="shared" si="408"/>
        <v/>
      </c>
      <c r="AQ56" s="426"/>
      <c r="AR56" s="426"/>
      <c r="AS56" s="428"/>
      <c r="AT56" s="429"/>
      <c r="AU56" s="430"/>
      <c r="AV56" s="431"/>
      <c r="AW56" s="432"/>
      <c r="AX56" s="430"/>
      <c r="AY56" s="431">
        <f t="shared" si="409"/>
        <v>0</v>
      </c>
      <c r="AZ56" s="426"/>
      <c r="BA56" s="435" t="str">
        <f t="shared" si="410"/>
        <v/>
      </c>
      <c r="BB56" s="435"/>
      <c r="BC56" s="426"/>
      <c r="BD56" s="426">
        <f t="array" ref="BD56">IF(SUM((BC56=$BC$3:BC55)*1)=0,BC56,0)</f>
        <v>0</v>
      </c>
      <c r="BE56" s="426"/>
      <c r="BF56" s="426"/>
      <c r="BG56" s="426">
        <f t="array" ref="BG56">IF(SUM((BF56=$BF$3:BF55)*1)=0,BF56,0)</f>
        <v>0</v>
      </c>
      <c r="BH56" s="426"/>
      <c r="BI56" s="426"/>
      <c r="BJ56" s="426"/>
      <c r="BK56" s="426"/>
      <c r="BL56" s="426"/>
      <c r="BM56" s="426"/>
      <c r="BN56" s="426"/>
      <c r="BO56" s="426"/>
      <c r="BP56" s="433">
        <f t="shared" si="411"/>
        <v>0</v>
      </c>
      <c r="BQ56" s="426"/>
      <c r="BR56" s="434"/>
      <c r="BS56" s="426"/>
      <c r="BT56" s="433"/>
      <c r="BU56" s="435"/>
      <c r="BV56" s="435" t="str">
        <f t="shared" si="412"/>
        <v/>
      </c>
      <c r="BW56" s="435" t="str">
        <f t="shared" si="38"/>
        <v/>
      </c>
      <c r="BX56" s="435"/>
      <c r="BY56" s="435"/>
      <c r="BZ56" s="435"/>
      <c r="CA56" s="435"/>
      <c r="CB56" s="435"/>
      <c r="CC56" s="435"/>
      <c r="CD56" s="435"/>
      <c r="CE56" s="435"/>
      <c r="CF56" s="435"/>
      <c r="CG56" s="435"/>
      <c r="CH56" s="435"/>
      <c r="CI56" s="435"/>
      <c r="CJ56" s="426" t="str">
        <f t="shared" si="39"/>
        <v/>
      </c>
      <c r="CK56" s="435"/>
      <c r="CL56" s="426"/>
      <c r="CM56" s="435"/>
      <c r="CN56" s="426"/>
      <c r="CO56" s="426"/>
      <c r="CP56" s="426"/>
      <c r="CQ56" s="426"/>
      <c r="CR56" s="426"/>
      <c r="CS56" s="426"/>
      <c r="CT56" s="426"/>
      <c r="CU56" s="426"/>
      <c r="CV56" s="426"/>
      <c r="CW56" s="426"/>
      <c r="CX56" s="426"/>
      <c r="CY56" s="426">
        <v>53</v>
      </c>
      <c r="CZ56" s="426"/>
      <c r="DA56" s="426"/>
      <c r="DB56" s="426"/>
      <c r="DC56" s="426" t="s">
        <v>796</v>
      </c>
      <c r="DD56" s="426" t="s">
        <v>956</v>
      </c>
      <c r="DE56" s="435" t="str">
        <f t="shared" si="40"/>
        <v/>
      </c>
      <c r="DF56" s="435" t="str">
        <f t="shared" si="41"/>
        <v/>
      </c>
      <c r="DG56" s="435" t="str">
        <f t="shared" si="42"/>
        <v/>
      </c>
      <c r="DH56" s="435" t="str">
        <f t="shared" si="43"/>
        <v/>
      </c>
      <c r="DI56" s="435" t="str">
        <f t="shared" si="44"/>
        <v/>
      </c>
      <c r="DJ56" s="435" t="str">
        <f t="shared" si="45"/>
        <v/>
      </c>
      <c r="DK56" s="435" t="str">
        <f t="shared" si="413"/>
        <v/>
      </c>
      <c r="DL56" s="435" t="str">
        <f t="shared" si="414"/>
        <v/>
      </c>
      <c r="DM56" s="435" t="str">
        <f t="shared" si="46"/>
        <v/>
      </c>
      <c r="DN56" s="435" t="str">
        <f t="shared" si="47"/>
        <v/>
      </c>
      <c r="DO56" s="435" t="str">
        <f t="shared" si="415"/>
        <v/>
      </c>
      <c r="DP56" s="435" t="str">
        <f t="shared" si="416"/>
        <v/>
      </c>
      <c r="DQ56" s="435" t="str">
        <f t="shared" si="48"/>
        <v/>
      </c>
      <c r="DR56" s="435" t="str">
        <f t="shared" si="49"/>
        <v/>
      </c>
      <c r="DS56" s="435" t="str">
        <f t="shared" si="417"/>
        <v/>
      </c>
      <c r="DT56" s="435" t="str">
        <f t="shared" si="418"/>
        <v/>
      </c>
      <c r="DU56" s="435" t="str">
        <f t="shared" si="50"/>
        <v/>
      </c>
      <c r="DV56" s="435" t="str">
        <f t="shared" si="51"/>
        <v/>
      </c>
      <c r="DW56" s="435" t="str">
        <f t="shared" si="419"/>
        <v/>
      </c>
      <c r="DX56" s="435" t="str">
        <f t="shared" si="420"/>
        <v/>
      </c>
      <c r="DY56" s="435" t="str">
        <f t="shared" si="52"/>
        <v/>
      </c>
      <c r="DZ56" s="435" t="str">
        <f t="shared" si="53"/>
        <v/>
      </c>
      <c r="EA56" s="435" t="str">
        <f t="shared" si="421"/>
        <v/>
      </c>
      <c r="EB56" s="435" t="str">
        <f t="shared" si="422"/>
        <v/>
      </c>
      <c r="EC56" s="435" t="str">
        <f t="shared" si="423"/>
        <v/>
      </c>
      <c r="ED56" s="435" t="str">
        <f t="shared" si="424"/>
        <v/>
      </c>
      <c r="EE56" s="435" t="str">
        <f t="shared" si="425"/>
        <v/>
      </c>
      <c r="EF56" s="435" t="str">
        <f t="shared" si="426"/>
        <v/>
      </c>
      <c r="EG56" s="435" t="str">
        <f t="shared" si="427"/>
        <v/>
      </c>
      <c r="EH56" s="435" t="str">
        <f t="shared" si="428"/>
        <v/>
      </c>
      <c r="EI56" s="435" t="str">
        <f t="shared" si="429"/>
        <v/>
      </c>
      <c r="EJ56" s="435" t="str">
        <f t="shared" si="430"/>
        <v/>
      </c>
      <c r="EK56" s="485"/>
      <c r="EL56" s="485"/>
      <c r="EM56" s="485"/>
      <c r="EN56" s="485"/>
      <c r="EO56" s="448"/>
      <c r="EP56" s="448"/>
      <c r="EQ56" s="448"/>
      <c r="ER56" s="448"/>
      <c r="ES56" s="448"/>
      <c r="ET56" s="435"/>
      <c r="EU56" s="435"/>
      <c r="EV56" s="435"/>
      <c r="EW56" s="435"/>
      <c r="EX56" s="426"/>
      <c r="EY56" s="426"/>
      <c r="EZ56" s="426"/>
      <c r="FA56" s="427"/>
      <c r="FB56" s="427">
        <f t="array" ref="FB56">IF(SUM((FA56=$FA$3:FA55)*1)=0,FA56,0)</f>
        <v>0</v>
      </c>
      <c r="FC56" s="427"/>
      <c r="FD56" s="427"/>
      <c r="FE56" s="427">
        <f t="array" ref="FE56">IF(SUM((FD56=$FD$3:FD55)*1)=0,FD56,0)</f>
        <v>0</v>
      </c>
      <c r="FF56" s="427"/>
      <c r="FG56" s="427"/>
      <c r="FH56" s="427"/>
      <c r="FI56" s="427">
        <f t="array" ref="FI56">IF(SUM((FH56=$FH$3:FH55)*1)=0,FH56,0)</f>
        <v>0</v>
      </c>
      <c r="FJ56" s="427"/>
      <c r="FK56" s="427"/>
      <c r="FL56" s="427">
        <f t="array" ref="FL56">IF(SUM((FK56=$FK$3:FK55)*1)=0,FK56,0)</f>
        <v>0</v>
      </c>
      <c r="FM56" s="427"/>
      <c r="FN56" s="427"/>
      <c r="FO56" s="427"/>
      <c r="FP56" s="427">
        <f t="array" ref="FP56">IF(SUM((FO56=$FO$3:FO55)*1)=0,FO56,0)</f>
        <v>0</v>
      </c>
      <c r="FQ56" s="427"/>
      <c r="FR56" s="427"/>
      <c r="FS56" s="427">
        <f t="array" ref="FS56">IF(SUM((FR56=$FR$3:FR55)*1)=0,FR56,0)</f>
        <v>0</v>
      </c>
      <c r="FT56" s="427"/>
      <c r="FU56" s="427"/>
      <c r="FV56" s="427"/>
      <c r="FW56" s="427">
        <f t="array" ref="FW56">IF(SUM((FV56=$FV$3:FV55)*1)=0,FV56,0)</f>
        <v>0</v>
      </c>
      <c r="FX56" s="427"/>
      <c r="FY56" s="427"/>
      <c r="FZ56" s="427">
        <f t="array" ref="FZ56">IF(SUM((FY56=$FY$3:FY55)*1)=0,FY56,0)</f>
        <v>0</v>
      </c>
      <c r="GA56" s="427"/>
      <c r="GB56" s="427"/>
      <c r="GC56" s="427"/>
      <c r="GD56" s="427">
        <f t="array" ref="GD56">IF(SUM((GC56=$GC$3:GC55)*1)=0,GC56,0)</f>
        <v>0</v>
      </c>
      <c r="GE56" s="427"/>
      <c r="GF56" s="427"/>
      <c r="GG56" s="427">
        <f t="array" ref="GG56">IF(SUM((GF56=$GF$3:GF55)*1)=0,GF56,0)</f>
        <v>0</v>
      </c>
      <c r="GH56" s="427"/>
      <c r="GI56" s="427"/>
      <c r="GJ56" s="427"/>
      <c r="GK56" s="798">
        <f t="array" ref="GK56">IF(SUM((GJ56=$GJ$3:GJ55)*1)=0,GJ56,0)</f>
        <v>0</v>
      </c>
      <c r="GL56" s="427"/>
      <c r="GM56" s="427"/>
      <c r="GN56" s="798">
        <f t="array" ref="GN56">IF(SUM((GM56=$GM$3:GM55)*1)=0,GM56,0)</f>
        <v>0</v>
      </c>
      <c r="GO56" s="427"/>
      <c r="GP56" s="427"/>
      <c r="GQ56" s="427"/>
      <c r="GR56" s="798">
        <f t="array" ref="GR56">IF(SUM((GQ56=$GQ$3:GQ55)*1)=0,GQ56,0)</f>
        <v>0</v>
      </c>
      <c r="GS56" s="427"/>
      <c r="GT56" s="427"/>
      <c r="GU56" s="798">
        <f t="array" ref="GU56">IF(SUM((GT56=$GT$3:GT55)*1)=0,GT56,0)</f>
        <v>0</v>
      </c>
      <c r="GV56" s="427"/>
      <c r="GW56" s="427"/>
      <c r="GX56" s="427"/>
      <c r="GY56" s="798">
        <f t="array" ref="GY56">IF(SUM((GX56=$GX$3:GX55)*1)=0,GX56,0)</f>
        <v>0</v>
      </c>
      <c r="GZ56" s="427"/>
      <c r="HA56" s="427"/>
      <c r="HB56" s="798">
        <f t="array" ref="HB56">IF(SUM((HA56=$HA$3:HA55)*1)=0,HA56,0)</f>
        <v>0</v>
      </c>
      <c r="HC56" s="427"/>
      <c r="HD56" s="427"/>
      <c r="HE56" s="769" t="str">
        <f t="shared" si="130"/>
        <v/>
      </c>
      <c r="HF56" s="768" t="str">
        <f t="shared" ref="HF56" si="643">IF(HE56&lt;0,"Invadiu REP-BA-C","")</f>
        <v/>
      </c>
      <c r="HG56" s="769" t="str">
        <f t="shared" si="131"/>
        <v/>
      </c>
      <c r="HH56" s="768" t="str">
        <f t="shared" si="55"/>
        <v/>
      </c>
      <c r="HI56" s="728" t="str">
        <f t="shared" si="132"/>
        <v/>
      </c>
      <c r="HJ56" s="768" t="str">
        <f t="shared" si="56"/>
        <v/>
      </c>
      <c r="HK56" s="728" t="str">
        <f t="shared" si="133"/>
        <v/>
      </c>
      <c r="HL56" s="768" t="str">
        <f t="shared" si="57"/>
        <v/>
      </c>
      <c r="HM56" s="769" t="str">
        <f t="shared" si="441"/>
        <v/>
      </c>
      <c r="HN56" s="768" t="str">
        <f t="shared" ref="HN56" si="644">IF(HM56&lt;0,"Invadiu REP-BA-C","")</f>
        <v/>
      </c>
      <c r="HO56" s="769" t="str">
        <f t="shared" si="443"/>
        <v/>
      </c>
      <c r="HP56" s="768" t="str">
        <f t="shared" si="61"/>
        <v/>
      </c>
      <c r="HQ56" s="728" t="str">
        <f t="shared" si="444"/>
        <v/>
      </c>
      <c r="HR56" s="768" t="str">
        <f t="shared" si="63"/>
        <v/>
      </c>
      <c r="HS56" s="728" t="str">
        <f t="shared" si="445"/>
        <v/>
      </c>
      <c r="HT56" s="768" t="str">
        <f t="shared" si="65"/>
        <v/>
      </c>
      <c r="HU56" s="769" t="str">
        <f t="shared" si="446"/>
        <v/>
      </c>
      <c r="HV56" s="768" t="str">
        <f t="shared" ref="HV56" si="645">IF(HU56&lt;0,"Invadiu REP-BA-C","")</f>
        <v/>
      </c>
      <c r="HW56" s="769" t="str">
        <f t="shared" si="448"/>
        <v/>
      </c>
      <c r="HX56" s="768" t="str">
        <f t="shared" si="69"/>
        <v/>
      </c>
      <c r="HY56" s="728" t="str">
        <f t="shared" si="449"/>
        <v/>
      </c>
      <c r="HZ56" s="768" t="str">
        <f t="shared" si="71"/>
        <v/>
      </c>
      <c r="IA56" s="728" t="str">
        <f t="shared" si="450"/>
        <v/>
      </c>
      <c r="IB56" s="768" t="str">
        <f t="shared" si="73"/>
        <v/>
      </c>
      <c r="IC56" s="769" t="str">
        <f t="shared" si="451"/>
        <v/>
      </c>
      <c r="ID56" s="768" t="str">
        <f t="shared" ref="ID56" si="646">IF(IC56&lt;0,"Invadiu REP-BA-C","")</f>
        <v/>
      </c>
      <c r="IE56" s="769" t="str">
        <f t="shared" si="453"/>
        <v/>
      </c>
      <c r="IF56" s="768" t="str">
        <f t="shared" si="77"/>
        <v/>
      </c>
      <c r="IG56" s="728" t="str">
        <f t="shared" si="454"/>
        <v/>
      </c>
      <c r="IH56" s="768" t="str">
        <f t="shared" si="79"/>
        <v/>
      </c>
      <c r="II56" s="728" t="str">
        <f t="shared" si="455"/>
        <v/>
      </c>
      <c r="IJ56" s="768" t="str">
        <f t="shared" si="81"/>
        <v/>
      </c>
      <c r="IK56" s="769" t="str">
        <f t="shared" si="456"/>
        <v/>
      </c>
      <c r="IL56" s="768" t="str">
        <f t="shared" ref="IL56" si="647">IF(IK56&lt;0,"Invadiu REP-BA-C","")</f>
        <v/>
      </c>
      <c r="IM56" s="769" t="str">
        <f t="shared" si="458"/>
        <v/>
      </c>
      <c r="IN56" s="768" t="str">
        <f t="shared" si="85"/>
        <v/>
      </c>
      <c r="IO56" s="728" t="str">
        <f t="shared" si="459"/>
        <v/>
      </c>
      <c r="IP56" s="768" t="str">
        <f t="shared" si="87"/>
        <v/>
      </c>
      <c r="IQ56" s="728" t="str">
        <f t="shared" si="460"/>
        <v/>
      </c>
      <c r="IR56" s="768" t="str">
        <f t="shared" si="89"/>
        <v/>
      </c>
      <c r="IS56" s="769" t="str">
        <f t="shared" si="461"/>
        <v/>
      </c>
      <c r="IT56" s="768" t="str">
        <f t="shared" ref="IT56" si="648">IF(IS56&lt;0,"Invadiu REP-BA-C","")</f>
        <v/>
      </c>
      <c r="IU56" s="769" t="str">
        <f t="shared" si="463"/>
        <v/>
      </c>
      <c r="IV56" s="768" t="str">
        <f t="shared" si="93"/>
        <v/>
      </c>
      <c r="IW56" s="728" t="str">
        <f t="shared" si="464"/>
        <v/>
      </c>
      <c r="IX56" s="768" t="str">
        <f t="shared" si="95"/>
        <v/>
      </c>
      <c r="IY56" s="728" t="str">
        <f t="shared" si="465"/>
        <v/>
      </c>
      <c r="IZ56" s="768" t="str">
        <f t="shared" si="97"/>
        <v/>
      </c>
      <c r="JA56" s="769" t="str">
        <f t="shared" si="466"/>
        <v/>
      </c>
      <c r="JB56" s="768" t="str">
        <f t="shared" ref="JB56" si="649">IF(JA56&lt;0,"Invadiu REP-BA-C","")</f>
        <v/>
      </c>
      <c r="JC56" s="769" t="str">
        <f t="shared" si="468"/>
        <v/>
      </c>
      <c r="JD56" s="768" t="str">
        <f t="shared" si="101"/>
        <v/>
      </c>
      <c r="JE56" s="728" t="str">
        <f t="shared" si="469"/>
        <v/>
      </c>
      <c r="JF56" s="768" t="str">
        <f t="shared" si="103"/>
        <v/>
      </c>
      <c r="JG56" s="728" t="str">
        <f t="shared" si="470"/>
        <v/>
      </c>
      <c r="JH56" s="768" t="str">
        <f t="shared" si="105"/>
        <v/>
      </c>
      <c r="JI56" s="769" t="str">
        <f t="shared" si="471"/>
        <v/>
      </c>
      <c r="JJ56" s="768" t="str">
        <f t="shared" ref="JJ56" si="650">IF(JI56&lt;0,"Invadiu REP-BA-C","")</f>
        <v/>
      </c>
      <c r="JK56" s="769" t="str">
        <f t="shared" si="473"/>
        <v/>
      </c>
      <c r="JL56" s="768" t="str">
        <f t="shared" si="109"/>
        <v/>
      </c>
      <c r="JM56" s="728" t="str">
        <f t="shared" si="474"/>
        <v/>
      </c>
      <c r="JN56" s="768" t="str">
        <f t="shared" si="111"/>
        <v/>
      </c>
      <c r="JO56" s="728" t="str">
        <f t="shared" si="475"/>
        <v/>
      </c>
      <c r="JP56" s="768" t="str">
        <f t="shared" si="113"/>
        <v/>
      </c>
      <c r="JQ56" s="769" t="str">
        <f t="shared" si="476"/>
        <v/>
      </c>
      <c r="JR56" s="768" t="str">
        <f t="shared" ref="JR56" si="651">IF(JQ56&lt;0,"Invadiu REP-BA-C","")</f>
        <v/>
      </c>
      <c r="JS56" s="769" t="str">
        <f t="shared" si="478"/>
        <v/>
      </c>
      <c r="JT56" s="768" t="str">
        <f t="shared" si="117"/>
        <v/>
      </c>
      <c r="JU56" s="728" t="str">
        <f t="shared" si="479"/>
        <v/>
      </c>
      <c r="JV56" s="768" t="str">
        <f t="shared" si="119"/>
        <v/>
      </c>
      <c r="JW56" s="728" t="str">
        <f t="shared" si="480"/>
        <v/>
      </c>
      <c r="JX56" s="768" t="str">
        <f t="shared" si="121"/>
        <v/>
      </c>
      <c r="JY56" s="768" t="str">
        <f t="shared" si="122"/>
        <v/>
      </c>
      <c r="JZ56" s="485" t="str">
        <f>IF(JY56="","",IF(AND(C56=$C$164,JY56&lt;&gt;""),Verificarcpf(D56),IF(AND(C56=$C$165,JY56&lt;&gt;""),VerificarCNPJ(D56))))</f>
        <v/>
      </c>
      <c r="KA56" s="768" t="str">
        <f t="shared" si="123"/>
        <v/>
      </c>
      <c r="KB56" s="485">
        <f t="shared" si="124"/>
        <v>0</v>
      </c>
      <c r="KC56" s="768">
        <f t="shared" si="125"/>
        <v>0</v>
      </c>
      <c r="KD56" s="485">
        <f t="shared" si="126"/>
        <v>0</v>
      </c>
      <c r="KE56" s="448"/>
      <c r="KF56" s="548"/>
      <c r="KG56" s="548"/>
      <c r="KH56" s="548"/>
      <c r="KI56" s="548"/>
      <c r="KJ56" s="548" t="str">
        <f t="shared" si="128"/>
        <v/>
      </c>
      <c r="KK56" s="548"/>
      <c r="KL56" s="548"/>
      <c r="KM56" s="548">
        <f t="array" ref="KM56">IF(SUM((KL56=$KL$3:KL55)*1)=0,KL56,0)</f>
        <v>0</v>
      </c>
      <c r="KN56" s="548"/>
      <c r="KO56" s="548"/>
      <c r="KP56" s="548"/>
      <c r="KQ56" s="548"/>
      <c r="KR56" s="548" t="str">
        <f t="shared" si="129"/>
        <v/>
      </c>
      <c r="KS56" s="548"/>
      <c r="KT56" s="548"/>
      <c r="KU56" s="548"/>
      <c r="KV56" s="548"/>
      <c r="KW56" s="548"/>
      <c r="KX56" s="548"/>
      <c r="KY56" s="548"/>
      <c r="KZ56" s="548"/>
      <c r="LA56" s="548"/>
      <c r="LB56" s="548"/>
      <c r="LC56" s="485" t="str">
        <f t="shared" si="142"/>
        <v/>
      </c>
      <c r="LD56" s="548"/>
      <c r="LE56" s="548"/>
      <c r="LF56" s="548"/>
      <c r="LG56" s="548"/>
      <c r="LH56" s="548"/>
      <c r="LI56" s="548"/>
      <c r="LJ56" s="548"/>
      <c r="LK56" s="548"/>
      <c r="LL56" s="548"/>
      <c r="LM56" s="548"/>
      <c r="LN56" s="548"/>
      <c r="LO56" s="548"/>
      <c r="LP56" s="485" t="str">
        <f t="shared" si="143"/>
        <v/>
      </c>
      <c r="LQ56" s="548"/>
      <c r="LR56" s="548"/>
      <c r="LS56" s="548"/>
      <c r="LT56" s="548"/>
      <c r="LU56" s="548"/>
      <c r="LV56" s="548"/>
      <c r="LW56" s="548"/>
      <c r="LX56" s="548"/>
      <c r="LY56" s="548"/>
      <c r="LZ56" s="548"/>
      <c r="MA56" s="548"/>
      <c r="MB56" s="548"/>
      <c r="MC56" s="485" t="str">
        <f t="shared" si="144"/>
        <v/>
      </c>
      <c r="MD56" s="548"/>
      <c r="ME56" s="548"/>
      <c r="MF56" s="548"/>
      <c r="MG56" s="548"/>
      <c r="MH56" s="548"/>
      <c r="MI56" s="548"/>
      <c r="MJ56" s="548"/>
      <c r="MK56" s="548"/>
      <c r="ML56" s="548"/>
      <c r="MM56" s="548"/>
      <c r="MN56" s="548"/>
      <c r="MO56" s="548"/>
      <c r="MP56" s="485" t="str">
        <f t="shared" si="145"/>
        <v/>
      </c>
      <c r="MQ56" s="548"/>
      <c r="MR56" s="548"/>
      <c r="MS56" s="548"/>
      <c r="MT56" s="548"/>
      <c r="MU56" s="548"/>
      <c r="MV56" s="548"/>
      <c r="MW56" s="548"/>
      <c r="MX56" s="548"/>
      <c r="MY56" s="548"/>
      <c r="MZ56" s="548"/>
      <c r="NA56" s="548"/>
      <c r="NB56" s="548"/>
      <c r="NC56" s="485" t="str">
        <f t="shared" si="146"/>
        <v/>
      </c>
      <c r="ND56" s="548"/>
      <c r="NE56" s="548"/>
      <c r="NF56" s="548"/>
      <c r="NG56" s="548"/>
      <c r="NH56" s="548"/>
      <c r="NI56" s="548"/>
      <c r="NJ56" s="548"/>
      <c r="NK56" s="548"/>
      <c r="NL56" s="548"/>
      <c r="NM56" s="548"/>
      <c r="NN56" s="548"/>
      <c r="NO56" s="548"/>
      <c r="NP56" s="485" t="str">
        <f t="shared" si="147"/>
        <v/>
      </c>
      <c r="NQ56" s="548"/>
      <c r="NR56" s="548"/>
      <c r="NS56" s="548"/>
      <c r="NT56" s="548"/>
      <c r="NU56" s="548"/>
      <c r="NV56" s="548"/>
      <c r="NW56" s="548"/>
      <c r="NX56" s="548"/>
      <c r="NY56" s="548"/>
      <c r="NZ56" s="548"/>
      <c r="OA56" s="548"/>
      <c r="OB56" s="548"/>
      <c r="OC56" s="485" t="str">
        <f t="shared" si="148"/>
        <v/>
      </c>
      <c r="OD56" s="548"/>
      <c r="OE56" s="548"/>
      <c r="OF56" s="548"/>
      <c r="OG56" s="548"/>
      <c r="OH56" s="548"/>
      <c r="OI56" s="548"/>
      <c r="OJ56" s="548"/>
      <c r="OK56" s="548"/>
      <c r="OL56" s="548"/>
      <c r="OM56" s="548"/>
      <c r="ON56" s="548"/>
      <c r="OO56" s="548"/>
      <c r="OP56" s="548"/>
      <c r="OQ56" s="548"/>
      <c r="OR56" s="548"/>
      <c r="OS56" s="548"/>
      <c r="OT56" s="548"/>
      <c r="OU56" s="548"/>
      <c r="OV56" s="548"/>
      <c r="OW56" s="548"/>
      <c r="OX56" s="548"/>
      <c r="OY56" s="548"/>
      <c r="OZ56" s="548"/>
      <c r="PA56" s="548"/>
      <c r="PB56" s="548"/>
      <c r="PC56" s="548"/>
      <c r="PD56" s="548"/>
      <c r="PE56" s="548"/>
      <c r="PF56" s="548"/>
      <c r="PG56" s="548"/>
      <c r="PH56" s="548"/>
      <c r="PI56" s="548"/>
      <c r="PJ56" s="548"/>
      <c r="PK56" s="548"/>
      <c r="PL56" s="548"/>
      <c r="PM56" s="548"/>
      <c r="PN56" s="548"/>
      <c r="PO56" s="548"/>
      <c r="PP56" s="548"/>
      <c r="PQ56" s="548"/>
      <c r="PR56" s="548"/>
      <c r="PS56" s="548"/>
      <c r="PT56" s="548"/>
      <c r="PU56" s="548"/>
      <c r="PV56" s="548"/>
      <c r="PW56" s="548"/>
      <c r="PX56" s="548"/>
      <c r="PY56" s="548"/>
      <c r="PZ56" s="548"/>
      <c r="QA56" s="548"/>
      <c r="QB56" s="548"/>
      <c r="QC56" s="548"/>
      <c r="QD56" s="548"/>
      <c r="QE56" s="548"/>
      <c r="QF56" s="548"/>
      <c r="QG56" s="548"/>
      <c r="QH56" s="548"/>
      <c r="QI56" s="548"/>
      <c r="QJ56" s="548"/>
      <c r="QK56" s="548"/>
      <c r="QL56" s="548"/>
      <c r="QM56" s="548"/>
      <c r="QN56" s="548"/>
      <c r="QO56" s="548"/>
      <c r="QP56" s="548"/>
      <c r="QQ56" s="1009"/>
      <c r="QR56" s="548"/>
      <c r="QS56" s="548"/>
      <c r="QT56" s="548"/>
      <c r="QU56" s="548"/>
      <c r="QV56" s="548"/>
      <c r="QW56" s="548"/>
      <c r="QX56" s="548"/>
      <c r="QY56" s="548"/>
      <c r="QZ56" s="548"/>
      <c r="RA56" s="548"/>
      <c r="RB56" s="548"/>
      <c r="RC56" s="548"/>
      <c r="RD56" s="548"/>
      <c r="RE56" s="548"/>
      <c r="RF56" s="548"/>
      <c r="RG56" s="548"/>
      <c r="RH56" s="548"/>
      <c r="RI56" s="548"/>
      <c r="RJ56" s="548"/>
      <c r="RK56" s="548"/>
      <c r="RL56" s="548"/>
      <c r="RM56" s="548"/>
      <c r="RN56" s="548"/>
      <c r="RO56" s="548"/>
      <c r="RP56" s="548"/>
      <c r="RQ56" s="548"/>
      <c r="RR56" s="548"/>
      <c r="RS56" s="548"/>
      <c r="RT56" s="548"/>
      <c r="RU56" s="548"/>
      <c r="RV56" s="548"/>
      <c r="RW56" s="548"/>
      <c r="RX56" s="548"/>
      <c r="RY56" s="548"/>
      <c r="RZ56" s="548"/>
      <c r="SA56" s="548"/>
      <c r="SB56" s="548"/>
      <c r="SC56" s="548"/>
      <c r="SD56" s="548"/>
      <c r="SE56" s="548"/>
      <c r="SF56" s="548"/>
      <c r="SG56" s="548"/>
      <c r="SH56" s="548"/>
      <c r="SI56" s="548"/>
      <c r="SJ56" s="548"/>
      <c r="SK56" s="548"/>
      <c r="SL56" s="548"/>
      <c r="SM56" s="548"/>
      <c r="SN56" s="548"/>
      <c r="SO56" s="548"/>
      <c r="SP56" s="548"/>
      <c r="SQ56" s="548"/>
      <c r="SR56" s="548"/>
      <c r="SS56" s="548"/>
      <c r="ST56" s="548"/>
      <c r="SU56" s="548"/>
      <c r="SV56" s="548"/>
      <c r="SW56" s="548"/>
      <c r="SX56" s="548"/>
      <c r="SY56" s="548"/>
      <c r="SZ56" s="548"/>
      <c r="TA56" s="548"/>
      <c r="TB56" s="548"/>
      <c r="TC56" s="548"/>
      <c r="TD56" s="548"/>
      <c r="TE56" s="548"/>
      <c r="TF56" s="548"/>
      <c r="TG56" s="548"/>
      <c r="TH56" s="548"/>
      <c r="TI56" s="548"/>
      <c r="TJ56" s="548"/>
      <c r="TK56" s="548"/>
      <c r="TL56" s="548"/>
      <c r="TM56" s="548"/>
      <c r="TN56" s="548"/>
      <c r="TO56" s="548"/>
      <c r="TP56" s="548"/>
      <c r="TQ56" s="548"/>
      <c r="TR56" s="548"/>
      <c r="TS56" s="548"/>
      <c r="TT56" s="548"/>
      <c r="TU56" s="548"/>
      <c r="TV56" s="548"/>
      <c r="TW56" s="548"/>
      <c r="TX56" s="548"/>
      <c r="TY56" s="548"/>
      <c r="TZ56" s="548"/>
      <c r="UA56" s="548"/>
      <c r="UB56" s="548"/>
      <c r="UC56" s="548"/>
      <c r="UD56" s="548"/>
      <c r="UE56" s="548"/>
      <c r="UF56" s="548"/>
      <c r="UG56" s="548"/>
      <c r="UH56" s="548"/>
      <c r="UI56" s="548"/>
      <c r="UJ56" s="548"/>
      <c r="UK56" s="548"/>
      <c r="UL56" s="548"/>
      <c r="UM56" s="548"/>
      <c r="UN56" s="548"/>
      <c r="UO56" s="548"/>
      <c r="UP56" s="548"/>
      <c r="UQ56" s="548"/>
      <c r="UR56" s="548"/>
      <c r="US56" s="548"/>
      <c r="UT56" s="548"/>
      <c r="UU56" s="548"/>
      <c r="UV56" s="548"/>
      <c r="UW56" s="548"/>
      <c r="UX56" s="548"/>
      <c r="UY56" s="548"/>
      <c r="UZ56" s="548"/>
      <c r="VA56" s="548"/>
      <c r="VB56" s="548"/>
      <c r="VC56" s="548"/>
      <c r="VD56" s="548"/>
      <c r="VE56" s="548"/>
      <c r="VF56" s="548"/>
      <c r="VG56" s="548"/>
      <c r="VH56" s="548"/>
      <c r="VI56" s="548"/>
      <c r="VJ56" s="548"/>
      <c r="VK56" s="548"/>
      <c r="VL56" s="548"/>
      <c r="VM56" s="548"/>
      <c r="VN56" s="548"/>
      <c r="VO56" s="548"/>
      <c r="VP56" s="548"/>
      <c r="VQ56" s="548"/>
      <c r="VR56" s="548"/>
      <c r="VS56" s="548"/>
      <c r="VT56" s="548"/>
      <c r="VU56" s="548"/>
      <c r="VV56" s="548"/>
      <c r="VW56" s="548"/>
      <c r="VX56" s="548"/>
      <c r="VY56" s="548"/>
      <c r="VZ56" s="548"/>
      <c r="WA56" s="548"/>
      <c r="WB56" s="548"/>
      <c r="WC56" s="548"/>
      <c r="WD56" s="548"/>
      <c r="WE56" s="548"/>
      <c r="WF56" s="548"/>
      <c r="WG56" s="548"/>
      <c r="WH56" s="548"/>
      <c r="WI56" s="548"/>
      <c r="WJ56" s="548"/>
      <c r="WK56" s="548"/>
      <c r="WL56" s="548"/>
      <c r="WM56" s="548"/>
      <c r="WN56" s="548"/>
      <c r="WO56" s="548"/>
      <c r="WP56" s="548"/>
      <c r="WQ56" s="548"/>
      <c r="WR56" s="548"/>
      <c r="WS56" s="548"/>
      <c r="WT56" s="548"/>
      <c r="WU56" s="548"/>
      <c r="WV56" s="548"/>
      <c r="WW56" s="548"/>
      <c r="WX56" s="548"/>
      <c r="WY56" s="548"/>
      <c r="WZ56" s="548"/>
      <c r="XA56" s="548"/>
      <c r="XB56" s="548"/>
      <c r="XC56" s="548"/>
      <c r="XD56" s="548"/>
      <c r="XE56" s="548"/>
      <c r="XF56" s="548"/>
      <c r="XG56" s="548"/>
      <c r="XH56" s="548"/>
      <c r="XI56" s="548"/>
      <c r="XJ56" s="548"/>
      <c r="XK56" s="548"/>
      <c r="XL56" s="548"/>
      <c r="XM56" s="548"/>
      <c r="XN56" s="548"/>
      <c r="XO56" s="548"/>
      <c r="XP56" s="548"/>
      <c r="XQ56" s="548"/>
      <c r="XR56" s="548"/>
      <c r="XS56" s="548"/>
      <c r="XT56" s="548"/>
      <c r="XU56" s="548"/>
      <c r="XV56" s="548"/>
      <c r="XW56" s="548"/>
      <c r="XX56" s="548"/>
      <c r="XY56" s="548"/>
      <c r="XZ56" s="548"/>
      <c r="YA56" s="548"/>
      <c r="YB56" s="548"/>
      <c r="YC56" s="548"/>
      <c r="YD56" s="548"/>
      <c r="YE56" s="548"/>
      <c r="YF56" s="548"/>
      <c r="YG56" s="548"/>
      <c r="YH56" s="548"/>
      <c r="YI56" s="548"/>
      <c r="YJ56" s="548"/>
      <c r="YK56" s="548"/>
      <c r="YL56" s="548"/>
      <c r="YM56" s="548"/>
      <c r="YN56" s="548"/>
      <c r="YO56" s="548"/>
      <c r="YP56" s="548"/>
      <c r="YQ56" s="548"/>
      <c r="YR56" s="548"/>
      <c r="YS56" s="548"/>
      <c r="YT56" s="548"/>
      <c r="YU56" s="548"/>
      <c r="YV56" s="548"/>
      <c r="YW56" s="548"/>
      <c r="YX56" s="548"/>
      <c r="YY56" s="548"/>
      <c r="YZ56" s="548"/>
      <c r="ZA56" s="548"/>
      <c r="ZB56" s="548"/>
      <c r="ZC56" s="548"/>
      <c r="ZD56" s="548"/>
      <c r="ZE56" s="548"/>
      <c r="ZF56" s="548"/>
      <c r="ZG56" s="548"/>
      <c r="ZH56" s="548"/>
      <c r="ZI56" s="548"/>
      <c r="ZJ56" s="548"/>
      <c r="ZK56" s="548"/>
      <c r="ZL56" s="548"/>
      <c r="ZM56" s="548"/>
      <c r="ZN56" s="548"/>
      <c r="ZO56" s="548"/>
      <c r="ZP56" s="548"/>
      <c r="ZQ56" s="548"/>
      <c r="ZR56" s="548"/>
      <c r="ZS56" s="548"/>
      <c r="ZT56" s="548"/>
      <c r="ZU56" s="548"/>
      <c r="ZV56" s="548"/>
      <c r="ZW56" s="548"/>
      <c r="ZX56" s="548"/>
      <c r="ZY56" s="548"/>
      <c r="ZZ56" s="548"/>
      <c r="AAA56" s="548"/>
      <c r="AAB56" s="548"/>
      <c r="AAC56" s="548"/>
      <c r="AAD56" s="548"/>
      <c r="AAE56" s="548"/>
      <c r="AAF56" s="548"/>
      <c r="AAG56" s="548"/>
      <c r="AAH56" s="548"/>
      <c r="AAI56" s="548"/>
      <c r="AAJ56" s="548"/>
      <c r="AAK56" s="548"/>
      <c r="AAL56" s="548"/>
      <c r="AAM56" s="548"/>
      <c r="AAN56" s="548"/>
      <c r="AAO56" s="548"/>
      <c r="AAP56" s="548"/>
      <c r="AAQ56" s="548"/>
      <c r="AAR56" s="548"/>
      <c r="AAS56" s="548"/>
      <c r="AAT56" s="548"/>
      <c r="AAU56" s="548"/>
      <c r="AAV56" s="548"/>
      <c r="AAW56" s="548"/>
      <c r="AAX56" s="548"/>
      <c r="AAY56" s="548"/>
      <c r="AAZ56" s="548"/>
      <c r="ABA56" s="548"/>
      <c r="ABB56" s="548"/>
      <c r="ABC56" s="548"/>
      <c r="ABD56" s="548"/>
      <c r="ABE56" s="548"/>
      <c r="ABF56" s="548"/>
      <c r="ABG56" s="548"/>
      <c r="ABH56" s="548"/>
      <c r="ABI56" s="548"/>
      <c r="ABJ56" s="548"/>
      <c r="ABK56" s="548"/>
      <c r="ABL56" s="548"/>
      <c r="ABM56" s="548"/>
      <c r="ABN56" s="548"/>
      <c r="ABO56" s="548"/>
      <c r="ABP56" s="548"/>
      <c r="ABQ56" s="548"/>
      <c r="ABR56" s="548"/>
      <c r="ABS56" s="548"/>
    </row>
    <row r="57" spans="1:747" customFormat="1" ht="15" customHeight="1" x14ac:dyDescent="0.2">
      <c r="A57" s="424" t="str">
        <f t="shared" si="149"/>
        <v/>
      </c>
      <c r="B57" s="415"/>
      <c r="C57" s="525"/>
      <c r="D57" s="750"/>
      <c r="E57" s="416" t="str">
        <f t="shared" si="393"/>
        <v/>
      </c>
      <c r="F57" s="527" t="str">
        <f t="shared" si="394"/>
        <v/>
      </c>
      <c r="G57" s="417"/>
      <c r="H57" s="583" t="str">
        <f t="shared" si="395"/>
        <v/>
      </c>
      <c r="I57" s="424"/>
      <c r="J57" s="419"/>
      <c r="K57" s="418"/>
      <c r="L57" s="419"/>
      <c r="M57" s="415"/>
      <c r="N57" s="420"/>
      <c r="O57" s="421"/>
      <c r="P57" s="561"/>
      <c r="Q57" s="422"/>
      <c r="R57" s="561" t="str">
        <f t="shared" si="396"/>
        <v/>
      </c>
      <c r="S57" s="664"/>
      <c r="T57" s="663"/>
      <c r="U57" s="580">
        <f t="shared" si="397"/>
        <v>0</v>
      </c>
      <c r="V57" s="418"/>
      <c r="W57" s="582" t="str">
        <f t="shared" si="398"/>
        <v/>
      </c>
      <c r="X57" s="479" t="str">
        <f t="shared" si="399"/>
        <v/>
      </c>
      <c r="Y57" s="582" t="str">
        <f t="shared" si="400"/>
        <v/>
      </c>
      <c r="Z57" s="317" t="str">
        <f t="shared" si="401"/>
        <v/>
      </c>
      <c r="AA57" s="317" t="str">
        <f t="shared" si="402"/>
        <v/>
      </c>
      <c r="AB57" s="317">
        <f t="shared" si="403"/>
        <v>0</v>
      </c>
      <c r="AC57" s="317" t="str">
        <f t="shared" si="404"/>
        <v/>
      </c>
      <c r="AD57" s="479"/>
      <c r="AE57" s="479"/>
      <c r="AF57" s="479"/>
      <c r="AG57" s="423"/>
      <c r="AH57" s="820"/>
      <c r="AI57" s="480"/>
      <c r="AJ57" s="660"/>
      <c r="AK57" s="524" t="str">
        <f t="shared" si="405"/>
        <v/>
      </c>
      <c r="AL57" s="731">
        <f>SUMIF($J$4:$J$46,"Rolê",$S$4:$S$46)</f>
        <v>0</v>
      </c>
      <c r="AM57" s="732">
        <f>SUMIF($J$4:$J$46,"Rolê",$T$4:$T$46)</f>
        <v>0</v>
      </c>
      <c r="AN57" s="426">
        <f t="shared" si="406"/>
        <v>0</v>
      </c>
      <c r="AO57" s="427" t="str">
        <f t="shared" si="407"/>
        <v/>
      </c>
      <c r="AP57" s="426" t="str">
        <f t="shared" si="408"/>
        <v/>
      </c>
      <c r="AQ57" s="426"/>
      <c r="AR57" s="426"/>
      <c r="AS57" s="428"/>
      <c r="AT57" s="429"/>
      <c r="AU57" s="430"/>
      <c r="AV57" s="431"/>
      <c r="AW57" s="432"/>
      <c r="AX57" s="430"/>
      <c r="AY57" s="431">
        <f t="shared" si="409"/>
        <v>0</v>
      </c>
      <c r="AZ57" s="426"/>
      <c r="BA57" s="435" t="str">
        <f t="shared" si="410"/>
        <v/>
      </c>
      <c r="BB57" s="435"/>
      <c r="BC57" s="426"/>
      <c r="BD57" s="426">
        <f t="array" ref="BD57">IF(SUM((BC57=$BC$3:BC56)*1)=0,BC57,0)</f>
        <v>0</v>
      </c>
      <c r="BE57" s="426"/>
      <c r="BF57" s="426"/>
      <c r="BG57" s="426">
        <f t="array" ref="BG57">IF(SUM((BF57=$BF$3:BF56)*1)=0,BF57,0)</f>
        <v>0</v>
      </c>
      <c r="BH57" s="426"/>
      <c r="BI57" s="426"/>
      <c r="BJ57" s="426"/>
      <c r="BK57" s="426"/>
      <c r="BL57" s="426"/>
      <c r="BM57" s="426"/>
      <c r="BN57" s="426"/>
      <c r="BO57" s="426"/>
      <c r="BP57" s="433">
        <f t="shared" si="411"/>
        <v>0</v>
      </c>
      <c r="BQ57" s="426"/>
      <c r="BR57" s="434"/>
      <c r="BS57" s="426"/>
      <c r="BT57" s="433"/>
      <c r="BU57" s="435"/>
      <c r="BV57" s="435" t="str">
        <f t="shared" si="412"/>
        <v/>
      </c>
      <c r="BW57" s="435" t="str">
        <f t="shared" si="38"/>
        <v/>
      </c>
      <c r="BX57" s="435"/>
      <c r="BY57" s="435"/>
      <c r="BZ57" s="435"/>
      <c r="CA57" s="435"/>
      <c r="CB57" s="435"/>
      <c r="CC57" s="435"/>
      <c r="CD57" s="435"/>
      <c r="CE57" s="435"/>
      <c r="CF57" s="435"/>
      <c r="CG57" s="435"/>
      <c r="CH57" s="435"/>
      <c r="CI57" s="435"/>
      <c r="CJ57" s="426" t="str">
        <f t="shared" si="39"/>
        <v/>
      </c>
      <c r="CK57" s="435"/>
      <c r="CL57" s="426"/>
      <c r="CM57" s="435"/>
      <c r="CN57" s="426"/>
      <c r="CO57" s="426"/>
      <c r="CP57" s="426"/>
      <c r="CQ57" s="426"/>
      <c r="CR57" s="426"/>
      <c r="CS57" s="426"/>
      <c r="CT57" s="426"/>
      <c r="CU57" s="426"/>
      <c r="CV57" s="426"/>
      <c r="CW57" s="426"/>
      <c r="CX57" s="426"/>
      <c r="CY57" s="426">
        <v>54</v>
      </c>
      <c r="CZ57" s="426"/>
      <c r="DA57" s="426"/>
      <c r="DB57" s="426"/>
      <c r="DC57" s="426" t="s">
        <v>797</v>
      </c>
      <c r="DD57" s="426" t="s">
        <v>957</v>
      </c>
      <c r="DE57" s="435" t="str">
        <f t="shared" si="40"/>
        <v/>
      </c>
      <c r="DF57" s="435" t="str">
        <f t="shared" si="41"/>
        <v/>
      </c>
      <c r="DG57" s="435" t="str">
        <f t="shared" si="42"/>
        <v/>
      </c>
      <c r="DH57" s="435" t="str">
        <f t="shared" si="43"/>
        <v/>
      </c>
      <c r="DI57" s="435" t="str">
        <f t="shared" si="44"/>
        <v/>
      </c>
      <c r="DJ57" s="435" t="str">
        <f t="shared" si="45"/>
        <v/>
      </c>
      <c r="DK57" s="435" t="str">
        <f t="shared" si="413"/>
        <v/>
      </c>
      <c r="DL57" s="435" t="str">
        <f t="shared" si="414"/>
        <v/>
      </c>
      <c r="DM57" s="435" t="str">
        <f t="shared" si="46"/>
        <v/>
      </c>
      <c r="DN57" s="435" t="str">
        <f t="shared" si="47"/>
        <v/>
      </c>
      <c r="DO57" s="435" t="str">
        <f t="shared" si="415"/>
        <v/>
      </c>
      <c r="DP57" s="435" t="str">
        <f t="shared" si="416"/>
        <v/>
      </c>
      <c r="DQ57" s="435" t="str">
        <f t="shared" si="48"/>
        <v/>
      </c>
      <c r="DR57" s="435" t="str">
        <f t="shared" si="49"/>
        <v/>
      </c>
      <c r="DS57" s="435" t="str">
        <f t="shared" si="417"/>
        <v/>
      </c>
      <c r="DT57" s="435" t="str">
        <f t="shared" si="418"/>
        <v/>
      </c>
      <c r="DU57" s="435" t="str">
        <f t="shared" si="50"/>
        <v/>
      </c>
      <c r="DV57" s="435" t="str">
        <f t="shared" si="51"/>
        <v/>
      </c>
      <c r="DW57" s="435" t="str">
        <f t="shared" si="419"/>
        <v/>
      </c>
      <c r="DX57" s="435" t="str">
        <f t="shared" si="420"/>
        <v/>
      </c>
      <c r="DY57" s="435" t="str">
        <f t="shared" si="52"/>
        <v/>
      </c>
      <c r="DZ57" s="435" t="str">
        <f t="shared" si="53"/>
        <v/>
      </c>
      <c r="EA57" s="435" t="str">
        <f t="shared" si="421"/>
        <v/>
      </c>
      <c r="EB57" s="435" t="str">
        <f t="shared" si="422"/>
        <v/>
      </c>
      <c r="EC57" s="435" t="str">
        <f t="shared" si="423"/>
        <v/>
      </c>
      <c r="ED57" s="435" t="str">
        <f t="shared" si="424"/>
        <v/>
      </c>
      <c r="EE57" s="435" t="str">
        <f t="shared" si="425"/>
        <v/>
      </c>
      <c r="EF57" s="435" t="str">
        <f t="shared" si="426"/>
        <v/>
      </c>
      <c r="EG57" s="435" t="str">
        <f t="shared" si="427"/>
        <v/>
      </c>
      <c r="EH57" s="435" t="str">
        <f t="shared" si="428"/>
        <v/>
      </c>
      <c r="EI57" s="435" t="str">
        <f t="shared" si="429"/>
        <v/>
      </c>
      <c r="EJ57" s="435" t="str">
        <f t="shared" si="430"/>
        <v/>
      </c>
      <c r="EK57" s="485"/>
      <c r="EL57" s="485"/>
      <c r="EM57" s="485"/>
      <c r="EN57" s="485"/>
      <c r="EO57" s="448"/>
      <c r="EP57" s="448"/>
      <c r="EQ57" s="448"/>
      <c r="ER57" s="448"/>
      <c r="ES57" s="448"/>
      <c r="ET57" s="435"/>
      <c r="EU57" s="435"/>
      <c r="EV57" s="435"/>
      <c r="EW57" s="435"/>
      <c r="EX57" s="426"/>
      <c r="EY57" s="426"/>
      <c r="EZ57" s="426"/>
      <c r="FA57" s="427"/>
      <c r="FB57" s="427">
        <f t="array" ref="FB57">IF(SUM((FA57=$FA$3:FA56)*1)=0,FA57,0)</f>
        <v>0</v>
      </c>
      <c r="FC57" s="427"/>
      <c r="FD57" s="427"/>
      <c r="FE57" s="427">
        <f t="array" ref="FE57">IF(SUM((FD57=$FD$3:FD56)*1)=0,FD57,0)</f>
        <v>0</v>
      </c>
      <c r="FF57" s="427"/>
      <c r="FG57" s="427"/>
      <c r="FH57" s="427"/>
      <c r="FI57" s="427">
        <f t="array" ref="FI57">IF(SUM((FH57=$FH$3:FH56)*1)=0,FH57,0)</f>
        <v>0</v>
      </c>
      <c r="FJ57" s="427"/>
      <c r="FK57" s="427"/>
      <c r="FL57" s="427">
        <f t="array" ref="FL57">IF(SUM((FK57=$FK$3:FK56)*1)=0,FK57,0)</f>
        <v>0</v>
      </c>
      <c r="FM57" s="427"/>
      <c r="FN57" s="427"/>
      <c r="FO57" s="427"/>
      <c r="FP57" s="427">
        <f t="array" ref="FP57">IF(SUM((FO57=$FO$3:FO56)*1)=0,FO57,0)</f>
        <v>0</v>
      </c>
      <c r="FQ57" s="427"/>
      <c r="FR57" s="427"/>
      <c r="FS57" s="427">
        <f t="array" ref="FS57">IF(SUM((FR57=$FR$3:FR56)*1)=0,FR57,0)</f>
        <v>0</v>
      </c>
      <c r="FT57" s="427"/>
      <c r="FU57" s="427"/>
      <c r="FV57" s="427"/>
      <c r="FW57" s="427">
        <f t="array" ref="FW57">IF(SUM((FV57=$FV$3:FV56)*1)=0,FV57,0)</f>
        <v>0</v>
      </c>
      <c r="FX57" s="427"/>
      <c r="FY57" s="427"/>
      <c r="FZ57" s="427">
        <f t="array" ref="FZ57">IF(SUM((FY57=$FY$3:FY56)*1)=0,FY57,0)</f>
        <v>0</v>
      </c>
      <c r="GA57" s="427"/>
      <c r="GB57" s="427"/>
      <c r="GC57" s="427"/>
      <c r="GD57" s="427">
        <f t="array" ref="GD57">IF(SUM((GC57=$GC$3:GC56)*1)=0,GC57,0)</f>
        <v>0</v>
      </c>
      <c r="GE57" s="427"/>
      <c r="GF57" s="427"/>
      <c r="GG57" s="427">
        <f t="array" ref="GG57">IF(SUM((GF57=$GF$3:GF56)*1)=0,GF57,0)</f>
        <v>0</v>
      </c>
      <c r="GH57" s="427"/>
      <c r="GI57" s="427"/>
      <c r="GJ57" s="427"/>
      <c r="GK57" s="798">
        <f t="array" ref="GK57">IF(SUM((GJ57=$GJ$3:GJ56)*1)=0,GJ57,0)</f>
        <v>0</v>
      </c>
      <c r="GL57" s="427"/>
      <c r="GM57" s="427"/>
      <c r="GN57" s="798">
        <f t="array" ref="GN57">IF(SUM((GM57=$GM$3:GM56)*1)=0,GM57,0)</f>
        <v>0</v>
      </c>
      <c r="GO57" s="427"/>
      <c r="GP57" s="427"/>
      <c r="GQ57" s="427"/>
      <c r="GR57" s="798">
        <f t="array" ref="GR57">IF(SUM((GQ57=$GQ$3:GQ56)*1)=0,GQ57,0)</f>
        <v>0</v>
      </c>
      <c r="GS57" s="427"/>
      <c r="GT57" s="427"/>
      <c r="GU57" s="798">
        <f t="array" ref="GU57">IF(SUM((GT57=$GT$3:GT56)*1)=0,GT57,0)</f>
        <v>0</v>
      </c>
      <c r="GV57" s="427"/>
      <c r="GW57" s="427"/>
      <c r="GX57" s="427"/>
      <c r="GY57" s="798">
        <f t="array" ref="GY57">IF(SUM((GX57=$GX$3:GX56)*1)=0,GX57,0)</f>
        <v>0</v>
      </c>
      <c r="GZ57" s="427"/>
      <c r="HA57" s="427"/>
      <c r="HB57" s="798">
        <f t="array" ref="HB57">IF(SUM((HA57=$HA$3:HA56)*1)=0,HA57,0)</f>
        <v>0</v>
      </c>
      <c r="HC57" s="427"/>
      <c r="HD57" s="427"/>
      <c r="HE57" s="769" t="str">
        <f t="shared" si="130"/>
        <v/>
      </c>
      <c r="HF57" s="768" t="str">
        <f t="shared" ref="HF57" si="652">IF(HE57&lt;0,"Invadiu REP-BA-C","")</f>
        <v/>
      </c>
      <c r="HG57" s="769" t="str">
        <f t="shared" si="131"/>
        <v/>
      </c>
      <c r="HH57" s="768" t="str">
        <f t="shared" si="55"/>
        <v/>
      </c>
      <c r="HI57" s="728" t="str">
        <f t="shared" si="132"/>
        <v/>
      </c>
      <c r="HJ57" s="768" t="str">
        <f t="shared" si="56"/>
        <v/>
      </c>
      <c r="HK57" s="728" t="str">
        <f t="shared" si="133"/>
        <v/>
      </c>
      <c r="HL57" s="768" t="str">
        <f t="shared" si="57"/>
        <v/>
      </c>
      <c r="HM57" s="769" t="str">
        <f t="shared" si="441"/>
        <v/>
      </c>
      <c r="HN57" s="768" t="str">
        <f t="shared" ref="HN57" si="653">IF(HM57&lt;0,"Invadiu REP-BA-C","")</f>
        <v/>
      </c>
      <c r="HO57" s="769" t="str">
        <f t="shared" si="443"/>
        <v/>
      </c>
      <c r="HP57" s="768" t="str">
        <f t="shared" si="61"/>
        <v/>
      </c>
      <c r="HQ57" s="728" t="str">
        <f t="shared" si="444"/>
        <v/>
      </c>
      <c r="HR57" s="768" t="str">
        <f t="shared" si="63"/>
        <v/>
      </c>
      <c r="HS57" s="728" t="str">
        <f t="shared" si="445"/>
        <v/>
      </c>
      <c r="HT57" s="768" t="str">
        <f t="shared" si="65"/>
        <v/>
      </c>
      <c r="HU57" s="769" t="str">
        <f t="shared" si="446"/>
        <v/>
      </c>
      <c r="HV57" s="768" t="str">
        <f t="shared" ref="HV57" si="654">IF(HU57&lt;0,"Invadiu REP-BA-C","")</f>
        <v/>
      </c>
      <c r="HW57" s="769" t="str">
        <f t="shared" si="448"/>
        <v/>
      </c>
      <c r="HX57" s="768" t="str">
        <f t="shared" si="69"/>
        <v/>
      </c>
      <c r="HY57" s="728" t="str">
        <f t="shared" si="449"/>
        <v/>
      </c>
      <c r="HZ57" s="768" t="str">
        <f t="shared" si="71"/>
        <v/>
      </c>
      <c r="IA57" s="728" t="str">
        <f t="shared" si="450"/>
        <v/>
      </c>
      <c r="IB57" s="768" t="str">
        <f t="shared" si="73"/>
        <v/>
      </c>
      <c r="IC57" s="769" t="str">
        <f t="shared" si="451"/>
        <v/>
      </c>
      <c r="ID57" s="768" t="str">
        <f t="shared" ref="ID57" si="655">IF(IC57&lt;0,"Invadiu REP-BA-C","")</f>
        <v/>
      </c>
      <c r="IE57" s="769" t="str">
        <f t="shared" si="453"/>
        <v/>
      </c>
      <c r="IF57" s="768" t="str">
        <f t="shared" si="77"/>
        <v/>
      </c>
      <c r="IG57" s="728" t="str">
        <f t="shared" si="454"/>
        <v/>
      </c>
      <c r="IH57" s="768" t="str">
        <f t="shared" si="79"/>
        <v/>
      </c>
      <c r="II57" s="728" t="str">
        <f t="shared" si="455"/>
        <v/>
      </c>
      <c r="IJ57" s="768" t="str">
        <f t="shared" si="81"/>
        <v/>
      </c>
      <c r="IK57" s="769" t="str">
        <f t="shared" si="456"/>
        <v/>
      </c>
      <c r="IL57" s="768" t="str">
        <f t="shared" ref="IL57" si="656">IF(IK57&lt;0,"Invadiu REP-BA-C","")</f>
        <v/>
      </c>
      <c r="IM57" s="769" t="str">
        <f t="shared" si="458"/>
        <v/>
      </c>
      <c r="IN57" s="768" t="str">
        <f t="shared" si="85"/>
        <v/>
      </c>
      <c r="IO57" s="728" t="str">
        <f t="shared" si="459"/>
        <v/>
      </c>
      <c r="IP57" s="768" t="str">
        <f t="shared" si="87"/>
        <v/>
      </c>
      <c r="IQ57" s="728" t="str">
        <f t="shared" si="460"/>
        <v/>
      </c>
      <c r="IR57" s="768" t="str">
        <f t="shared" si="89"/>
        <v/>
      </c>
      <c r="IS57" s="769" t="str">
        <f t="shared" si="461"/>
        <v/>
      </c>
      <c r="IT57" s="768" t="str">
        <f t="shared" ref="IT57" si="657">IF(IS57&lt;0,"Invadiu REP-BA-C","")</f>
        <v/>
      </c>
      <c r="IU57" s="769" t="str">
        <f t="shared" si="463"/>
        <v/>
      </c>
      <c r="IV57" s="768" t="str">
        <f t="shared" si="93"/>
        <v/>
      </c>
      <c r="IW57" s="728" t="str">
        <f t="shared" si="464"/>
        <v/>
      </c>
      <c r="IX57" s="768" t="str">
        <f t="shared" si="95"/>
        <v/>
      </c>
      <c r="IY57" s="728" t="str">
        <f t="shared" si="465"/>
        <v/>
      </c>
      <c r="IZ57" s="768" t="str">
        <f t="shared" si="97"/>
        <v/>
      </c>
      <c r="JA57" s="769" t="str">
        <f t="shared" si="466"/>
        <v/>
      </c>
      <c r="JB57" s="768" t="str">
        <f t="shared" ref="JB57" si="658">IF(JA57&lt;0,"Invadiu REP-BA-C","")</f>
        <v/>
      </c>
      <c r="JC57" s="769" t="str">
        <f t="shared" si="468"/>
        <v/>
      </c>
      <c r="JD57" s="768" t="str">
        <f t="shared" si="101"/>
        <v/>
      </c>
      <c r="JE57" s="728" t="str">
        <f t="shared" si="469"/>
        <v/>
      </c>
      <c r="JF57" s="768" t="str">
        <f t="shared" si="103"/>
        <v/>
      </c>
      <c r="JG57" s="728" t="str">
        <f t="shared" si="470"/>
        <v/>
      </c>
      <c r="JH57" s="768" t="str">
        <f t="shared" si="105"/>
        <v/>
      </c>
      <c r="JI57" s="769" t="str">
        <f t="shared" si="471"/>
        <v/>
      </c>
      <c r="JJ57" s="768" t="str">
        <f t="shared" ref="JJ57" si="659">IF(JI57&lt;0,"Invadiu REP-BA-C","")</f>
        <v/>
      </c>
      <c r="JK57" s="769" t="str">
        <f t="shared" si="473"/>
        <v/>
      </c>
      <c r="JL57" s="768" t="str">
        <f t="shared" si="109"/>
        <v/>
      </c>
      <c r="JM57" s="728" t="str">
        <f t="shared" si="474"/>
        <v/>
      </c>
      <c r="JN57" s="768" t="str">
        <f t="shared" si="111"/>
        <v/>
      </c>
      <c r="JO57" s="728" t="str">
        <f t="shared" si="475"/>
        <v/>
      </c>
      <c r="JP57" s="768" t="str">
        <f t="shared" si="113"/>
        <v/>
      </c>
      <c r="JQ57" s="769" t="str">
        <f t="shared" si="476"/>
        <v/>
      </c>
      <c r="JR57" s="768" t="str">
        <f t="shared" ref="JR57" si="660">IF(JQ57&lt;0,"Invadiu REP-BA-C","")</f>
        <v/>
      </c>
      <c r="JS57" s="769" t="str">
        <f t="shared" si="478"/>
        <v/>
      </c>
      <c r="JT57" s="768" t="str">
        <f t="shared" si="117"/>
        <v/>
      </c>
      <c r="JU57" s="728" t="str">
        <f t="shared" si="479"/>
        <v/>
      </c>
      <c r="JV57" s="768" t="str">
        <f t="shared" si="119"/>
        <v/>
      </c>
      <c r="JW57" s="728" t="str">
        <f t="shared" si="480"/>
        <v/>
      </c>
      <c r="JX57" s="768" t="str">
        <f t="shared" si="121"/>
        <v/>
      </c>
      <c r="JY57" s="768" t="str">
        <f t="shared" si="122"/>
        <v/>
      </c>
      <c r="JZ57" s="485" t="str">
        <f>IF(JY57="","",IF(AND(C57=$C$164,JY57&lt;&gt;""),Verificarcpf(D57),IF(AND(C57=$C$165,JY57&lt;&gt;""),VerificarCNPJ(D57))))</f>
        <v/>
      </c>
      <c r="KA57" s="768" t="str">
        <f t="shared" si="123"/>
        <v/>
      </c>
      <c r="KB57" s="485">
        <f t="shared" si="124"/>
        <v>0</v>
      </c>
      <c r="KC57" s="768">
        <f t="shared" si="125"/>
        <v>0</v>
      </c>
      <c r="KD57" s="485">
        <f t="shared" si="126"/>
        <v>0</v>
      </c>
      <c r="KE57" s="448"/>
      <c r="KF57" s="548"/>
      <c r="KG57" s="548"/>
      <c r="KH57" s="548"/>
      <c r="KI57" s="548"/>
      <c r="KJ57" s="548" t="str">
        <f t="shared" si="128"/>
        <v/>
      </c>
      <c r="KK57" s="548"/>
      <c r="KL57" s="548"/>
      <c r="KM57" s="548">
        <f t="array" ref="KM57">IF(SUM((KL57=$KL$3:KL56)*1)=0,KL57,0)</f>
        <v>0</v>
      </c>
      <c r="KN57" s="548"/>
      <c r="KO57" s="548"/>
      <c r="KP57" s="548"/>
      <c r="KQ57" s="548"/>
      <c r="KR57" s="548" t="str">
        <f t="shared" si="129"/>
        <v/>
      </c>
      <c r="KS57" s="548"/>
      <c r="KT57" s="548"/>
      <c r="KU57" s="548"/>
      <c r="KV57" s="548"/>
      <c r="KW57" s="548"/>
      <c r="KX57" s="548"/>
      <c r="KY57" s="548"/>
      <c r="KZ57" s="548"/>
      <c r="LA57" s="548"/>
      <c r="LB57" s="548"/>
      <c r="LC57" s="485" t="str">
        <f t="shared" si="142"/>
        <v/>
      </c>
      <c r="LD57" s="548"/>
      <c r="LE57" s="548"/>
      <c r="LF57" s="548"/>
      <c r="LG57" s="548"/>
      <c r="LH57" s="548"/>
      <c r="LI57" s="548"/>
      <c r="LJ57" s="548"/>
      <c r="LK57" s="548"/>
      <c r="LL57" s="548"/>
      <c r="LM57" s="548"/>
      <c r="LN57" s="548"/>
      <c r="LO57" s="548"/>
      <c r="LP57" s="485" t="str">
        <f t="shared" si="143"/>
        <v/>
      </c>
      <c r="LQ57" s="548"/>
      <c r="LR57" s="548"/>
      <c r="LS57" s="548"/>
      <c r="LT57" s="548"/>
      <c r="LU57" s="548"/>
      <c r="LV57" s="548"/>
      <c r="LW57" s="548"/>
      <c r="LX57" s="548"/>
      <c r="LY57" s="548"/>
      <c r="LZ57" s="548"/>
      <c r="MA57" s="548"/>
      <c r="MB57" s="548"/>
      <c r="MC57" s="485" t="str">
        <f t="shared" si="144"/>
        <v/>
      </c>
      <c r="MD57" s="548"/>
      <c r="ME57" s="548"/>
      <c r="MF57" s="548"/>
      <c r="MG57" s="548"/>
      <c r="MH57" s="548"/>
      <c r="MI57" s="548"/>
      <c r="MJ57" s="548"/>
      <c r="MK57" s="548"/>
      <c r="ML57" s="548"/>
      <c r="MM57" s="548"/>
      <c r="MN57" s="548"/>
      <c r="MO57" s="548"/>
      <c r="MP57" s="485" t="str">
        <f t="shared" si="145"/>
        <v/>
      </c>
      <c r="MQ57" s="548"/>
      <c r="MR57" s="548"/>
      <c r="MS57" s="548"/>
      <c r="MT57" s="548"/>
      <c r="MU57" s="548"/>
      <c r="MV57" s="548"/>
      <c r="MW57" s="548"/>
      <c r="MX57" s="548"/>
      <c r="MY57" s="548"/>
      <c r="MZ57" s="548"/>
      <c r="NA57" s="548"/>
      <c r="NB57" s="548"/>
      <c r="NC57" s="485" t="str">
        <f t="shared" si="146"/>
        <v/>
      </c>
      <c r="ND57" s="548"/>
      <c r="NE57" s="548"/>
      <c r="NF57" s="548"/>
      <c r="NG57" s="548"/>
      <c r="NH57" s="548"/>
      <c r="NI57" s="548"/>
      <c r="NJ57" s="548"/>
      <c r="NK57" s="548"/>
      <c r="NL57" s="548"/>
      <c r="NM57" s="548"/>
      <c r="NN57" s="548"/>
      <c r="NO57" s="548"/>
      <c r="NP57" s="485" t="str">
        <f t="shared" si="147"/>
        <v/>
      </c>
      <c r="NQ57" s="548"/>
      <c r="NR57" s="548"/>
      <c r="NS57" s="548"/>
      <c r="NT57" s="548"/>
      <c r="NU57" s="548"/>
      <c r="NV57" s="548"/>
      <c r="NW57" s="548"/>
      <c r="NX57" s="548"/>
      <c r="NY57" s="548"/>
      <c r="NZ57" s="548"/>
      <c r="OA57" s="548"/>
      <c r="OB57" s="548"/>
      <c r="OC57" s="485" t="str">
        <f t="shared" si="148"/>
        <v/>
      </c>
      <c r="OD57" s="548"/>
      <c r="OE57" s="548"/>
      <c r="OF57" s="548"/>
      <c r="OG57" s="548"/>
      <c r="OH57" s="548"/>
      <c r="OI57" s="548"/>
      <c r="OJ57" s="548"/>
      <c r="OK57" s="548"/>
      <c r="OL57" s="548"/>
      <c r="OM57" s="548"/>
      <c r="ON57" s="548"/>
      <c r="OO57" s="548"/>
      <c r="OP57" s="548"/>
      <c r="OQ57" s="548"/>
      <c r="OR57" s="548"/>
      <c r="OS57" s="548"/>
      <c r="OT57" s="548"/>
      <c r="OU57" s="548"/>
      <c r="OV57" s="548"/>
      <c r="OW57" s="548"/>
      <c r="OX57" s="548"/>
      <c r="OY57" s="548"/>
      <c r="OZ57" s="548"/>
      <c r="PA57" s="548"/>
      <c r="PB57" s="548"/>
      <c r="PC57" s="548"/>
      <c r="PD57" s="548"/>
      <c r="PE57" s="548"/>
      <c r="PF57" s="548"/>
      <c r="PG57" s="548"/>
      <c r="PH57" s="548"/>
      <c r="PI57" s="548"/>
      <c r="PJ57" s="548"/>
      <c r="PK57" s="548"/>
      <c r="PL57" s="548"/>
      <c r="PM57" s="548"/>
      <c r="PN57" s="548"/>
      <c r="PO57" s="548"/>
      <c r="PP57" s="548"/>
      <c r="PQ57" s="548"/>
      <c r="PR57" s="548"/>
      <c r="PS57" s="548"/>
      <c r="PT57" s="548"/>
      <c r="PU57" s="548"/>
      <c r="PV57" s="548"/>
      <c r="PW57" s="548"/>
      <c r="PX57" s="548"/>
      <c r="PY57" s="548"/>
      <c r="PZ57" s="548"/>
      <c r="QA57" s="548"/>
      <c r="QB57" s="548"/>
      <c r="QC57" s="548"/>
      <c r="QD57" s="548"/>
      <c r="QE57" s="548"/>
      <c r="QF57" s="548"/>
      <c r="QG57" s="548"/>
      <c r="QH57" s="548"/>
      <c r="QI57" s="548"/>
      <c r="QJ57" s="548"/>
      <c r="QK57" s="548"/>
      <c r="QL57" s="548"/>
      <c r="QM57" s="548"/>
      <c r="QN57" s="548"/>
      <c r="QO57" s="548"/>
      <c r="QP57" s="548"/>
      <c r="QQ57" s="1009"/>
      <c r="QR57" s="548"/>
      <c r="QS57" s="548"/>
      <c r="QT57" s="548"/>
      <c r="QU57" s="548"/>
      <c r="QV57" s="548"/>
      <c r="QW57" s="548"/>
      <c r="QX57" s="548"/>
      <c r="QY57" s="548"/>
      <c r="QZ57" s="548"/>
      <c r="RA57" s="548"/>
      <c r="RB57" s="548"/>
      <c r="RC57" s="548"/>
      <c r="RD57" s="548"/>
      <c r="RE57" s="548"/>
      <c r="RF57" s="548"/>
      <c r="RG57" s="548"/>
      <c r="RH57" s="548"/>
      <c r="RI57" s="548"/>
      <c r="RJ57" s="548"/>
      <c r="RK57" s="548"/>
      <c r="RL57" s="548"/>
      <c r="RM57" s="548"/>
      <c r="RN57" s="548"/>
      <c r="RO57" s="548"/>
      <c r="RP57" s="548"/>
      <c r="RQ57" s="548"/>
      <c r="RR57" s="548"/>
      <c r="RS57" s="548"/>
      <c r="RT57" s="548"/>
      <c r="RU57" s="548"/>
      <c r="RV57" s="548"/>
      <c r="RW57" s="548"/>
      <c r="RX57" s="548"/>
      <c r="RY57" s="548"/>
      <c r="RZ57" s="548"/>
      <c r="SA57" s="548"/>
      <c r="SB57" s="548"/>
      <c r="SC57" s="548"/>
      <c r="SD57" s="548"/>
      <c r="SE57" s="548"/>
      <c r="SF57" s="548"/>
      <c r="SG57" s="548"/>
      <c r="SH57" s="548"/>
      <c r="SI57" s="548"/>
      <c r="SJ57" s="548"/>
      <c r="SK57" s="548"/>
      <c r="SL57" s="548"/>
      <c r="SM57" s="548"/>
      <c r="SN57" s="548"/>
      <c r="SO57" s="548"/>
      <c r="SP57" s="548"/>
      <c r="SQ57" s="548"/>
      <c r="SR57" s="548"/>
      <c r="SS57" s="548"/>
      <c r="ST57" s="548"/>
      <c r="SU57" s="548"/>
      <c r="SV57" s="548"/>
      <c r="SW57" s="548"/>
      <c r="SX57" s="548"/>
      <c r="SY57" s="548"/>
      <c r="SZ57" s="548"/>
      <c r="TA57" s="548"/>
      <c r="TB57" s="548"/>
      <c r="TC57" s="548"/>
      <c r="TD57" s="548"/>
      <c r="TE57" s="548"/>
      <c r="TF57" s="548"/>
      <c r="TG57" s="548"/>
      <c r="TH57" s="548"/>
      <c r="TI57" s="548"/>
      <c r="TJ57" s="548"/>
      <c r="TK57" s="548"/>
      <c r="TL57" s="548"/>
      <c r="TM57" s="548"/>
      <c r="TN57" s="548"/>
      <c r="TO57" s="548"/>
      <c r="TP57" s="548"/>
      <c r="TQ57" s="548"/>
      <c r="TR57" s="548"/>
      <c r="TS57" s="548"/>
      <c r="TT57" s="548"/>
      <c r="TU57" s="548"/>
      <c r="TV57" s="548"/>
      <c r="TW57" s="548"/>
      <c r="TX57" s="548"/>
      <c r="TY57" s="548"/>
      <c r="TZ57" s="548"/>
      <c r="UA57" s="548"/>
      <c r="UB57" s="548"/>
      <c r="UC57" s="548"/>
      <c r="UD57" s="548"/>
      <c r="UE57" s="548"/>
      <c r="UF57" s="548"/>
      <c r="UG57" s="548"/>
      <c r="UH57" s="548"/>
      <c r="UI57" s="548"/>
      <c r="UJ57" s="548"/>
      <c r="UK57" s="548"/>
      <c r="UL57" s="548"/>
      <c r="UM57" s="548"/>
      <c r="UN57" s="548"/>
      <c r="UO57" s="548"/>
      <c r="UP57" s="548"/>
      <c r="UQ57" s="548"/>
      <c r="UR57" s="548"/>
      <c r="US57" s="548"/>
      <c r="UT57" s="548"/>
      <c r="UU57" s="548"/>
      <c r="UV57" s="548"/>
      <c r="UW57" s="548"/>
      <c r="UX57" s="548"/>
      <c r="UY57" s="548"/>
      <c r="UZ57" s="548"/>
      <c r="VA57" s="548"/>
      <c r="VB57" s="548"/>
      <c r="VC57" s="548"/>
      <c r="VD57" s="548"/>
      <c r="VE57" s="548"/>
      <c r="VF57" s="548"/>
      <c r="VG57" s="548"/>
      <c r="VH57" s="548"/>
      <c r="VI57" s="548"/>
      <c r="VJ57" s="548"/>
      <c r="VK57" s="548"/>
      <c r="VL57" s="548"/>
      <c r="VM57" s="548"/>
      <c r="VN57" s="548"/>
      <c r="VO57" s="548"/>
      <c r="VP57" s="548"/>
      <c r="VQ57" s="548"/>
      <c r="VR57" s="548"/>
      <c r="VS57" s="548"/>
      <c r="VT57" s="548"/>
      <c r="VU57" s="548"/>
      <c r="VV57" s="548"/>
      <c r="VW57" s="548"/>
      <c r="VX57" s="548"/>
      <c r="VY57" s="548"/>
      <c r="VZ57" s="548"/>
      <c r="WA57" s="548"/>
      <c r="WB57" s="548"/>
      <c r="WC57" s="548"/>
      <c r="WD57" s="548"/>
      <c r="WE57" s="548"/>
      <c r="WF57" s="548"/>
      <c r="WG57" s="548"/>
      <c r="WH57" s="548"/>
      <c r="WI57" s="548"/>
      <c r="WJ57" s="548"/>
      <c r="WK57" s="548"/>
      <c r="WL57" s="548"/>
      <c r="WM57" s="548"/>
      <c r="WN57" s="548"/>
      <c r="WO57" s="548"/>
      <c r="WP57" s="548"/>
      <c r="WQ57" s="548"/>
      <c r="WR57" s="548"/>
      <c r="WS57" s="548"/>
      <c r="WT57" s="548"/>
      <c r="WU57" s="548"/>
      <c r="WV57" s="548"/>
      <c r="WW57" s="548"/>
      <c r="WX57" s="548"/>
      <c r="WY57" s="548"/>
      <c r="WZ57" s="548"/>
      <c r="XA57" s="548"/>
      <c r="XB57" s="548"/>
      <c r="XC57" s="548"/>
      <c r="XD57" s="548"/>
      <c r="XE57" s="548"/>
      <c r="XF57" s="548"/>
      <c r="XG57" s="548"/>
      <c r="XH57" s="548"/>
      <c r="XI57" s="548"/>
      <c r="XJ57" s="548"/>
      <c r="XK57" s="548"/>
      <c r="XL57" s="548"/>
      <c r="XM57" s="548"/>
      <c r="XN57" s="548"/>
      <c r="XO57" s="548"/>
      <c r="XP57" s="548"/>
      <c r="XQ57" s="548"/>
      <c r="XR57" s="548"/>
      <c r="XS57" s="548"/>
      <c r="XT57" s="548"/>
      <c r="XU57" s="548"/>
      <c r="XV57" s="548"/>
      <c r="XW57" s="548"/>
      <c r="XX57" s="548"/>
      <c r="XY57" s="548"/>
      <c r="XZ57" s="548"/>
      <c r="YA57" s="548"/>
      <c r="YB57" s="548"/>
      <c r="YC57" s="548"/>
      <c r="YD57" s="548"/>
      <c r="YE57" s="548"/>
      <c r="YF57" s="548"/>
      <c r="YG57" s="548"/>
      <c r="YH57" s="548"/>
      <c r="YI57" s="548"/>
      <c r="YJ57" s="548"/>
      <c r="YK57" s="548"/>
      <c r="YL57" s="548"/>
      <c r="YM57" s="548"/>
      <c r="YN57" s="548"/>
      <c r="YO57" s="548"/>
      <c r="YP57" s="548"/>
      <c r="YQ57" s="548"/>
      <c r="YR57" s="548"/>
      <c r="YS57" s="548"/>
      <c r="YT57" s="548"/>
      <c r="YU57" s="548"/>
      <c r="YV57" s="548"/>
      <c r="YW57" s="548"/>
      <c r="YX57" s="548"/>
      <c r="YY57" s="548"/>
      <c r="YZ57" s="548"/>
      <c r="ZA57" s="548"/>
      <c r="ZB57" s="548"/>
      <c r="ZC57" s="548"/>
      <c r="ZD57" s="548"/>
      <c r="ZE57" s="548"/>
      <c r="ZF57" s="548"/>
      <c r="ZG57" s="548"/>
      <c r="ZH57" s="548"/>
      <c r="ZI57" s="548"/>
      <c r="ZJ57" s="548"/>
      <c r="ZK57" s="548"/>
      <c r="ZL57" s="548"/>
      <c r="ZM57" s="548"/>
      <c r="ZN57" s="548"/>
      <c r="ZO57" s="548"/>
      <c r="ZP57" s="548"/>
      <c r="ZQ57" s="548"/>
      <c r="ZR57" s="548"/>
      <c r="ZS57" s="548"/>
      <c r="ZT57" s="548"/>
      <c r="ZU57" s="548"/>
      <c r="ZV57" s="548"/>
      <c r="ZW57" s="548"/>
      <c r="ZX57" s="548"/>
      <c r="ZY57" s="548"/>
      <c r="ZZ57" s="548"/>
      <c r="AAA57" s="548"/>
      <c r="AAB57" s="548"/>
      <c r="AAC57" s="548"/>
      <c r="AAD57" s="548"/>
      <c r="AAE57" s="548"/>
      <c r="AAF57" s="548"/>
      <c r="AAG57" s="548"/>
      <c r="AAH57" s="548"/>
      <c r="AAI57" s="548"/>
      <c r="AAJ57" s="548"/>
      <c r="AAK57" s="548"/>
      <c r="AAL57" s="548"/>
      <c r="AAM57" s="548"/>
      <c r="AAN57" s="548"/>
      <c r="AAO57" s="548"/>
      <c r="AAP57" s="548"/>
      <c r="AAQ57" s="548"/>
      <c r="AAR57" s="548"/>
      <c r="AAS57" s="548"/>
      <c r="AAT57" s="548"/>
      <c r="AAU57" s="548"/>
      <c r="AAV57" s="548"/>
      <c r="AAW57" s="548"/>
      <c r="AAX57" s="548"/>
      <c r="AAY57" s="548"/>
      <c r="AAZ57" s="548"/>
      <c r="ABA57" s="548"/>
      <c r="ABB57" s="548"/>
      <c r="ABC57" s="548"/>
      <c r="ABD57" s="548"/>
      <c r="ABE57" s="548"/>
      <c r="ABF57" s="548"/>
      <c r="ABG57" s="548"/>
      <c r="ABH57" s="548"/>
      <c r="ABI57" s="548"/>
      <c r="ABJ57" s="548"/>
      <c r="ABK57" s="548"/>
      <c r="ABL57" s="548"/>
      <c r="ABM57" s="548"/>
      <c r="ABN57" s="548"/>
      <c r="ABO57" s="548"/>
      <c r="ABP57" s="548"/>
      <c r="ABQ57" s="548"/>
      <c r="ABR57" s="548"/>
      <c r="ABS57" s="548"/>
    </row>
    <row r="58" spans="1:747" customFormat="1" ht="15" customHeight="1" x14ac:dyDescent="0.2">
      <c r="A58" s="424" t="str">
        <f t="shared" si="149"/>
        <v/>
      </c>
      <c r="B58" s="415"/>
      <c r="C58" s="525"/>
      <c r="D58" s="750"/>
      <c r="E58" s="416" t="str">
        <f t="shared" si="393"/>
        <v/>
      </c>
      <c r="F58" s="527" t="str">
        <f t="shared" si="394"/>
        <v/>
      </c>
      <c r="G58" s="417"/>
      <c r="H58" s="583" t="str">
        <f t="shared" si="395"/>
        <v/>
      </c>
      <c r="I58" s="424"/>
      <c r="J58" s="419"/>
      <c r="K58" s="418"/>
      <c r="L58" s="419"/>
      <c r="M58" s="415"/>
      <c r="N58" s="420"/>
      <c r="O58" s="421"/>
      <c r="P58" s="561"/>
      <c r="Q58" s="422"/>
      <c r="R58" s="561" t="str">
        <f t="shared" si="396"/>
        <v/>
      </c>
      <c r="S58" s="664"/>
      <c r="T58" s="663"/>
      <c r="U58" s="580">
        <f t="shared" si="397"/>
        <v>0</v>
      </c>
      <c r="V58" s="418"/>
      <c r="W58" s="582" t="str">
        <f t="shared" si="398"/>
        <v/>
      </c>
      <c r="X58" s="317" t="str">
        <f t="shared" si="399"/>
        <v/>
      </c>
      <c r="Y58" s="582" t="str">
        <f t="shared" si="400"/>
        <v/>
      </c>
      <c r="Z58" s="317" t="str">
        <f t="shared" si="401"/>
        <v/>
      </c>
      <c r="AA58" s="317" t="str">
        <f t="shared" si="402"/>
        <v/>
      </c>
      <c r="AB58" s="317">
        <f t="shared" si="403"/>
        <v>0</v>
      </c>
      <c r="AC58" s="317" t="str">
        <f t="shared" si="404"/>
        <v/>
      </c>
      <c r="AD58" s="317"/>
      <c r="AE58" s="479"/>
      <c r="AF58" s="479"/>
      <c r="AG58" s="423"/>
      <c r="AH58" s="820"/>
      <c r="AI58" s="480"/>
      <c r="AJ58" s="660"/>
      <c r="AK58" s="524" t="str">
        <f t="shared" si="405"/>
        <v/>
      </c>
      <c r="AL58" s="731">
        <f>SUMIF($J$4:$J$60,"Rolê",$S$4:$S$60)</f>
        <v>0</v>
      </c>
      <c r="AM58" s="732">
        <f>SUMIF($J$4:$J$60,"Rolê",$T$4:$T$60)</f>
        <v>0</v>
      </c>
      <c r="AN58" s="426">
        <f t="shared" si="406"/>
        <v>0</v>
      </c>
      <c r="AO58" s="427" t="str">
        <f t="shared" si="407"/>
        <v/>
      </c>
      <c r="AP58" s="426" t="str">
        <f t="shared" si="408"/>
        <v/>
      </c>
      <c r="AQ58" s="426"/>
      <c r="AR58" s="426"/>
      <c r="AS58" s="428"/>
      <c r="AT58" s="429"/>
      <c r="AU58" s="430"/>
      <c r="AV58" s="431"/>
      <c r="AW58" s="432"/>
      <c r="AX58" s="430"/>
      <c r="AY58" s="431">
        <f t="shared" si="409"/>
        <v>0</v>
      </c>
      <c r="AZ58" s="426"/>
      <c r="BA58" s="435" t="str">
        <f t="shared" si="410"/>
        <v/>
      </c>
      <c r="BB58" s="435"/>
      <c r="BC58" s="426"/>
      <c r="BD58" s="426">
        <f t="array" ref="BD58">IF(SUM((BC58=$BC$3:BC57)*1)=0,BC58,0)</f>
        <v>0</v>
      </c>
      <c r="BE58" s="426"/>
      <c r="BF58" s="426"/>
      <c r="BG58" s="426">
        <f t="array" ref="BG58">IF(SUM((BF58=$BF$3:BF57)*1)=0,BF58,0)</f>
        <v>0</v>
      </c>
      <c r="BH58" s="426"/>
      <c r="BI58" s="426"/>
      <c r="BJ58" s="426"/>
      <c r="BK58" s="426"/>
      <c r="BL58" s="426"/>
      <c r="BM58" s="426"/>
      <c r="BN58" s="426"/>
      <c r="BO58" s="426"/>
      <c r="BP58" s="433">
        <f t="shared" si="411"/>
        <v>0</v>
      </c>
      <c r="BQ58" s="426"/>
      <c r="BR58" s="434"/>
      <c r="BS58" s="426"/>
      <c r="BT58" s="433"/>
      <c r="BU58" s="435"/>
      <c r="BV58" s="435" t="str">
        <f t="shared" si="412"/>
        <v/>
      </c>
      <c r="BW58" s="435" t="str">
        <f t="shared" si="38"/>
        <v/>
      </c>
      <c r="BX58" s="435"/>
      <c r="BY58" s="435"/>
      <c r="BZ58" s="435"/>
      <c r="CA58" s="435"/>
      <c r="CB58" s="435"/>
      <c r="CC58" s="435"/>
      <c r="CD58" s="435"/>
      <c r="CE58" s="435"/>
      <c r="CF58" s="435"/>
      <c r="CG58" s="435"/>
      <c r="CH58" s="435"/>
      <c r="CI58" s="435"/>
      <c r="CJ58" s="426" t="str">
        <f t="shared" si="39"/>
        <v/>
      </c>
      <c r="CK58" s="435"/>
      <c r="CL58" s="426"/>
      <c r="CM58" s="435"/>
      <c r="CN58" s="426"/>
      <c r="CO58" s="426"/>
      <c r="CP58" s="426"/>
      <c r="CQ58" s="426"/>
      <c r="CR58" s="426"/>
      <c r="CS58" s="426"/>
      <c r="CT58" s="426"/>
      <c r="CU58" s="426"/>
      <c r="CV58" s="426"/>
      <c r="CW58" s="426"/>
      <c r="CX58" s="426"/>
      <c r="CY58" s="426">
        <v>55</v>
      </c>
      <c r="CZ58" s="426"/>
      <c r="DA58" s="426"/>
      <c r="DB58" s="426"/>
      <c r="DC58" s="426" t="s">
        <v>798</v>
      </c>
      <c r="DD58" s="426" t="s">
        <v>958</v>
      </c>
      <c r="DE58" s="435" t="str">
        <f t="shared" si="40"/>
        <v/>
      </c>
      <c r="DF58" s="435" t="str">
        <f t="shared" si="41"/>
        <v/>
      </c>
      <c r="DG58" s="435" t="str">
        <f t="shared" si="42"/>
        <v/>
      </c>
      <c r="DH58" s="435" t="str">
        <f t="shared" si="43"/>
        <v/>
      </c>
      <c r="DI58" s="435" t="str">
        <f t="shared" si="44"/>
        <v/>
      </c>
      <c r="DJ58" s="435" t="str">
        <f t="shared" si="45"/>
        <v/>
      </c>
      <c r="DK58" s="435" t="str">
        <f t="shared" si="413"/>
        <v/>
      </c>
      <c r="DL58" s="435" t="str">
        <f t="shared" si="414"/>
        <v/>
      </c>
      <c r="DM58" s="435" t="str">
        <f t="shared" si="46"/>
        <v/>
      </c>
      <c r="DN58" s="435" t="str">
        <f t="shared" si="47"/>
        <v/>
      </c>
      <c r="DO58" s="435" t="str">
        <f t="shared" si="415"/>
        <v/>
      </c>
      <c r="DP58" s="435" t="str">
        <f t="shared" si="416"/>
        <v/>
      </c>
      <c r="DQ58" s="435" t="str">
        <f t="shared" si="48"/>
        <v/>
      </c>
      <c r="DR58" s="435" t="str">
        <f t="shared" si="49"/>
        <v/>
      </c>
      <c r="DS58" s="435" t="str">
        <f t="shared" si="417"/>
        <v/>
      </c>
      <c r="DT58" s="435" t="str">
        <f t="shared" si="418"/>
        <v/>
      </c>
      <c r="DU58" s="435" t="str">
        <f t="shared" si="50"/>
        <v/>
      </c>
      <c r="DV58" s="435" t="str">
        <f t="shared" si="51"/>
        <v/>
      </c>
      <c r="DW58" s="435" t="str">
        <f t="shared" si="419"/>
        <v/>
      </c>
      <c r="DX58" s="435" t="str">
        <f t="shared" si="420"/>
        <v/>
      </c>
      <c r="DY58" s="435" t="str">
        <f t="shared" si="52"/>
        <v/>
      </c>
      <c r="DZ58" s="435" t="str">
        <f t="shared" si="53"/>
        <v/>
      </c>
      <c r="EA58" s="435" t="str">
        <f t="shared" si="421"/>
        <v/>
      </c>
      <c r="EB58" s="435" t="str">
        <f t="shared" si="422"/>
        <v/>
      </c>
      <c r="EC58" s="435" t="str">
        <f t="shared" si="423"/>
        <v/>
      </c>
      <c r="ED58" s="435" t="str">
        <f t="shared" si="424"/>
        <v/>
      </c>
      <c r="EE58" s="435" t="str">
        <f t="shared" si="425"/>
        <v/>
      </c>
      <c r="EF58" s="435" t="str">
        <f t="shared" si="426"/>
        <v/>
      </c>
      <c r="EG58" s="435" t="str">
        <f t="shared" si="427"/>
        <v/>
      </c>
      <c r="EH58" s="435" t="str">
        <f t="shared" si="428"/>
        <v/>
      </c>
      <c r="EI58" s="435" t="str">
        <f t="shared" si="429"/>
        <v/>
      </c>
      <c r="EJ58" s="435" t="str">
        <f t="shared" si="430"/>
        <v/>
      </c>
      <c r="EK58" s="485"/>
      <c r="EL58" s="485"/>
      <c r="EM58" s="485"/>
      <c r="EN58" s="485"/>
      <c r="EO58" s="448"/>
      <c r="EP58" s="448"/>
      <c r="EQ58" s="448"/>
      <c r="ER58" s="448"/>
      <c r="ES58" s="448"/>
      <c r="ET58" s="435"/>
      <c r="EU58" s="435"/>
      <c r="EV58" s="435"/>
      <c r="EW58" s="435"/>
      <c r="EX58" s="426"/>
      <c r="EY58" s="426"/>
      <c r="EZ58" s="426"/>
      <c r="FA58" s="427"/>
      <c r="FB58" s="427">
        <f t="array" ref="FB58">IF(SUM((FA58=$FA$3:FA57)*1)=0,FA58,0)</f>
        <v>0</v>
      </c>
      <c r="FC58" s="427"/>
      <c r="FD58" s="427"/>
      <c r="FE58" s="427">
        <f t="array" ref="FE58">IF(SUM((FD58=$FD$3:FD57)*1)=0,FD58,0)</f>
        <v>0</v>
      </c>
      <c r="FF58" s="427"/>
      <c r="FG58" s="427"/>
      <c r="FH58" s="427"/>
      <c r="FI58" s="427">
        <f t="array" ref="FI58">IF(SUM((FH58=$FH$3:FH57)*1)=0,FH58,0)</f>
        <v>0</v>
      </c>
      <c r="FJ58" s="427"/>
      <c r="FK58" s="427"/>
      <c r="FL58" s="427">
        <f t="array" ref="FL58">IF(SUM((FK58=$FK$3:FK57)*1)=0,FK58,0)</f>
        <v>0</v>
      </c>
      <c r="FM58" s="427"/>
      <c r="FN58" s="427"/>
      <c r="FO58" s="427"/>
      <c r="FP58" s="427">
        <f t="array" ref="FP58">IF(SUM((FO58=$FO$3:FO57)*1)=0,FO58,0)</f>
        <v>0</v>
      </c>
      <c r="FQ58" s="427"/>
      <c r="FR58" s="427"/>
      <c r="FS58" s="427">
        <f t="array" ref="FS58">IF(SUM((FR58=$FR$3:FR57)*1)=0,FR58,0)</f>
        <v>0</v>
      </c>
      <c r="FT58" s="427"/>
      <c r="FU58" s="427"/>
      <c r="FV58" s="427"/>
      <c r="FW58" s="427">
        <f t="array" ref="FW58">IF(SUM((FV58=$FV$3:FV57)*1)=0,FV58,0)</f>
        <v>0</v>
      </c>
      <c r="FX58" s="427"/>
      <c r="FY58" s="427"/>
      <c r="FZ58" s="427">
        <f t="array" ref="FZ58">IF(SUM((FY58=$FY$3:FY57)*1)=0,FY58,0)</f>
        <v>0</v>
      </c>
      <c r="GA58" s="427"/>
      <c r="GB58" s="427"/>
      <c r="GC58" s="427"/>
      <c r="GD58" s="427">
        <f t="array" ref="GD58">IF(SUM((GC58=$GC$3:GC57)*1)=0,GC58,0)</f>
        <v>0</v>
      </c>
      <c r="GE58" s="427"/>
      <c r="GF58" s="427"/>
      <c r="GG58" s="427">
        <f t="array" ref="GG58">IF(SUM((GF58=$GF$3:GF57)*1)=0,GF58,0)</f>
        <v>0</v>
      </c>
      <c r="GH58" s="427"/>
      <c r="GI58" s="427"/>
      <c r="GJ58" s="427"/>
      <c r="GK58" s="798">
        <f t="array" ref="GK58">IF(SUM((GJ58=$GJ$3:GJ57)*1)=0,GJ58,0)</f>
        <v>0</v>
      </c>
      <c r="GL58" s="427"/>
      <c r="GM58" s="427"/>
      <c r="GN58" s="798">
        <f t="array" ref="GN58">IF(SUM((GM58=$GM$3:GM57)*1)=0,GM58,0)</f>
        <v>0</v>
      </c>
      <c r="GO58" s="427"/>
      <c r="GP58" s="427"/>
      <c r="GQ58" s="427"/>
      <c r="GR58" s="798">
        <f t="array" ref="GR58">IF(SUM((GQ58=$GQ$3:GQ57)*1)=0,GQ58,0)</f>
        <v>0</v>
      </c>
      <c r="GS58" s="427"/>
      <c r="GT58" s="427"/>
      <c r="GU58" s="798">
        <f t="array" ref="GU58">IF(SUM((GT58=$GT$3:GT57)*1)=0,GT58,0)</f>
        <v>0</v>
      </c>
      <c r="GV58" s="427"/>
      <c r="GW58" s="427"/>
      <c r="GX58" s="427"/>
      <c r="GY58" s="798">
        <f t="array" ref="GY58">IF(SUM((GX58=$GX$3:GX57)*1)=0,GX58,0)</f>
        <v>0</v>
      </c>
      <c r="GZ58" s="427"/>
      <c r="HA58" s="427"/>
      <c r="HB58" s="798">
        <f t="array" ref="HB58">IF(SUM((HA58=$HA$3:HA57)*1)=0,HA58,0)</f>
        <v>0</v>
      </c>
      <c r="HC58" s="427"/>
      <c r="HD58" s="427"/>
      <c r="HE58" s="769" t="str">
        <f t="shared" si="130"/>
        <v/>
      </c>
      <c r="HF58" s="768" t="str">
        <f t="shared" ref="HF58" si="661">IF(HE58&lt;0,"Invadiu REP-BA-C","")</f>
        <v/>
      </c>
      <c r="HG58" s="769" t="str">
        <f t="shared" si="131"/>
        <v/>
      </c>
      <c r="HH58" s="768" t="str">
        <f t="shared" si="55"/>
        <v/>
      </c>
      <c r="HI58" s="728" t="str">
        <f t="shared" si="132"/>
        <v/>
      </c>
      <c r="HJ58" s="768" t="str">
        <f t="shared" si="56"/>
        <v/>
      </c>
      <c r="HK58" s="728" t="str">
        <f t="shared" si="133"/>
        <v/>
      </c>
      <c r="HL58" s="768" t="str">
        <f t="shared" si="57"/>
        <v/>
      </c>
      <c r="HM58" s="769" t="str">
        <f t="shared" si="441"/>
        <v/>
      </c>
      <c r="HN58" s="768" t="str">
        <f t="shared" ref="HN58" si="662">IF(HM58&lt;0,"Invadiu REP-BA-C","")</f>
        <v/>
      </c>
      <c r="HO58" s="769" t="str">
        <f t="shared" si="443"/>
        <v/>
      </c>
      <c r="HP58" s="768" t="str">
        <f t="shared" si="61"/>
        <v/>
      </c>
      <c r="HQ58" s="728" t="str">
        <f t="shared" si="444"/>
        <v/>
      </c>
      <c r="HR58" s="768" t="str">
        <f t="shared" si="63"/>
        <v/>
      </c>
      <c r="HS58" s="728" t="str">
        <f t="shared" si="445"/>
        <v/>
      </c>
      <c r="HT58" s="768" t="str">
        <f t="shared" si="65"/>
        <v/>
      </c>
      <c r="HU58" s="769" t="str">
        <f t="shared" si="446"/>
        <v/>
      </c>
      <c r="HV58" s="768" t="str">
        <f t="shared" ref="HV58" si="663">IF(HU58&lt;0,"Invadiu REP-BA-C","")</f>
        <v/>
      </c>
      <c r="HW58" s="769" t="str">
        <f t="shared" si="448"/>
        <v/>
      </c>
      <c r="HX58" s="768" t="str">
        <f t="shared" si="69"/>
        <v/>
      </c>
      <c r="HY58" s="728" t="str">
        <f t="shared" si="449"/>
        <v/>
      </c>
      <c r="HZ58" s="768" t="str">
        <f t="shared" si="71"/>
        <v/>
      </c>
      <c r="IA58" s="728" t="str">
        <f t="shared" si="450"/>
        <v/>
      </c>
      <c r="IB58" s="768" t="str">
        <f t="shared" si="73"/>
        <v/>
      </c>
      <c r="IC58" s="769" t="str">
        <f t="shared" si="451"/>
        <v/>
      </c>
      <c r="ID58" s="768" t="str">
        <f t="shared" ref="ID58" si="664">IF(IC58&lt;0,"Invadiu REP-BA-C","")</f>
        <v/>
      </c>
      <c r="IE58" s="769" t="str">
        <f t="shared" si="453"/>
        <v/>
      </c>
      <c r="IF58" s="768" t="str">
        <f t="shared" si="77"/>
        <v/>
      </c>
      <c r="IG58" s="728" t="str">
        <f t="shared" si="454"/>
        <v/>
      </c>
      <c r="IH58" s="768" t="str">
        <f t="shared" si="79"/>
        <v/>
      </c>
      <c r="II58" s="728" t="str">
        <f t="shared" si="455"/>
        <v/>
      </c>
      <c r="IJ58" s="768" t="str">
        <f t="shared" si="81"/>
        <v/>
      </c>
      <c r="IK58" s="769" t="str">
        <f t="shared" si="456"/>
        <v/>
      </c>
      <c r="IL58" s="768" t="str">
        <f t="shared" ref="IL58" si="665">IF(IK58&lt;0,"Invadiu REP-BA-C","")</f>
        <v/>
      </c>
      <c r="IM58" s="769" t="str">
        <f t="shared" si="458"/>
        <v/>
      </c>
      <c r="IN58" s="768" t="str">
        <f t="shared" si="85"/>
        <v/>
      </c>
      <c r="IO58" s="728" t="str">
        <f t="shared" si="459"/>
        <v/>
      </c>
      <c r="IP58" s="768" t="str">
        <f t="shared" si="87"/>
        <v/>
      </c>
      <c r="IQ58" s="728" t="str">
        <f t="shared" si="460"/>
        <v/>
      </c>
      <c r="IR58" s="768" t="str">
        <f t="shared" si="89"/>
        <v/>
      </c>
      <c r="IS58" s="769" t="str">
        <f t="shared" si="461"/>
        <v/>
      </c>
      <c r="IT58" s="768" t="str">
        <f t="shared" ref="IT58" si="666">IF(IS58&lt;0,"Invadiu REP-BA-C","")</f>
        <v/>
      </c>
      <c r="IU58" s="769" t="str">
        <f t="shared" si="463"/>
        <v/>
      </c>
      <c r="IV58" s="768" t="str">
        <f t="shared" si="93"/>
        <v/>
      </c>
      <c r="IW58" s="728" t="str">
        <f t="shared" si="464"/>
        <v/>
      </c>
      <c r="IX58" s="768" t="str">
        <f t="shared" si="95"/>
        <v/>
      </c>
      <c r="IY58" s="728" t="str">
        <f t="shared" si="465"/>
        <v/>
      </c>
      <c r="IZ58" s="768" t="str">
        <f t="shared" si="97"/>
        <v/>
      </c>
      <c r="JA58" s="769" t="str">
        <f t="shared" si="466"/>
        <v/>
      </c>
      <c r="JB58" s="768" t="str">
        <f t="shared" ref="JB58" si="667">IF(JA58&lt;0,"Invadiu REP-BA-C","")</f>
        <v/>
      </c>
      <c r="JC58" s="769" t="str">
        <f t="shared" si="468"/>
        <v/>
      </c>
      <c r="JD58" s="768" t="str">
        <f t="shared" si="101"/>
        <v/>
      </c>
      <c r="JE58" s="728" t="str">
        <f t="shared" si="469"/>
        <v/>
      </c>
      <c r="JF58" s="768" t="str">
        <f t="shared" si="103"/>
        <v/>
      </c>
      <c r="JG58" s="728" t="str">
        <f t="shared" si="470"/>
        <v/>
      </c>
      <c r="JH58" s="768" t="str">
        <f t="shared" si="105"/>
        <v/>
      </c>
      <c r="JI58" s="769" t="str">
        <f t="shared" si="471"/>
        <v/>
      </c>
      <c r="JJ58" s="768" t="str">
        <f t="shared" ref="JJ58" si="668">IF(JI58&lt;0,"Invadiu REP-BA-C","")</f>
        <v/>
      </c>
      <c r="JK58" s="769" t="str">
        <f t="shared" si="473"/>
        <v/>
      </c>
      <c r="JL58" s="768" t="str">
        <f t="shared" si="109"/>
        <v/>
      </c>
      <c r="JM58" s="728" t="str">
        <f t="shared" si="474"/>
        <v/>
      </c>
      <c r="JN58" s="768" t="str">
        <f t="shared" si="111"/>
        <v/>
      </c>
      <c r="JO58" s="728" t="str">
        <f t="shared" si="475"/>
        <v/>
      </c>
      <c r="JP58" s="768" t="str">
        <f t="shared" si="113"/>
        <v/>
      </c>
      <c r="JQ58" s="769" t="str">
        <f t="shared" si="476"/>
        <v/>
      </c>
      <c r="JR58" s="768" t="str">
        <f t="shared" ref="JR58" si="669">IF(JQ58&lt;0,"Invadiu REP-BA-C","")</f>
        <v/>
      </c>
      <c r="JS58" s="769" t="str">
        <f t="shared" si="478"/>
        <v/>
      </c>
      <c r="JT58" s="768" t="str">
        <f t="shared" si="117"/>
        <v/>
      </c>
      <c r="JU58" s="728" t="str">
        <f t="shared" si="479"/>
        <v/>
      </c>
      <c r="JV58" s="768" t="str">
        <f t="shared" si="119"/>
        <v/>
      </c>
      <c r="JW58" s="728" t="str">
        <f t="shared" si="480"/>
        <v/>
      </c>
      <c r="JX58" s="768" t="str">
        <f t="shared" si="121"/>
        <v/>
      </c>
      <c r="JY58" s="768" t="str">
        <f t="shared" si="122"/>
        <v/>
      </c>
      <c r="JZ58" s="485" t="str">
        <f>IF(JY58="","",IF(AND(C58=$C$164,JY58&lt;&gt;""),Verificarcpf(D58),IF(AND(C58=$C$165,JY58&lt;&gt;""),VerificarCNPJ(D58))))</f>
        <v/>
      </c>
      <c r="KA58" s="768" t="str">
        <f t="shared" si="123"/>
        <v/>
      </c>
      <c r="KB58" s="485">
        <f t="shared" si="124"/>
        <v>0</v>
      </c>
      <c r="KC58" s="768">
        <f t="shared" si="125"/>
        <v>0</v>
      </c>
      <c r="KD58" s="485">
        <f t="shared" si="126"/>
        <v>0</v>
      </c>
      <c r="KE58" s="448"/>
      <c r="KF58" s="548"/>
      <c r="KG58" s="548"/>
      <c r="KH58" s="548"/>
      <c r="KI58" s="548"/>
      <c r="KJ58" s="548" t="str">
        <f t="shared" si="128"/>
        <v/>
      </c>
      <c r="KK58" s="548"/>
      <c r="KL58" s="548"/>
      <c r="KM58" s="548">
        <f t="array" ref="KM58">IF(SUM((KL58=$KL$3:KL57)*1)=0,KL58,0)</f>
        <v>0</v>
      </c>
      <c r="KN58" s="548"/>
      <c r="KO58" s="548"/>
      <c r="KP58" s="548"/>
      <c r="KQ58" s="548"/>
      <c r="KR58" s="548" t="str">
        <f t="shared" si="129"/>
        <v/>
      </c>
      <c r="KS58" s="548"/>
      <c r="KT58" s="548"/>
      <c r="KU58" s="548"/>
      <c r="KV58" s="548"/>
      <c r="KW58" s="548"/>
      <c r="KX58" s="548"/>
      <c r="KY58" s="548"/>
      <c r="KZ58" s="548"/>
      <c r="LA58" s="548"/>
      <c r="LB58" s="548"/>
      <c r="LC58" s="485" t="str">
        <f t="shared" si="142"/>
        <v/>
      </c>
      <c r="LD58" s="548"/>
      <c r="LE58" s="548"/>
      <c r="LF58" s="548"/>
      <c r="LG58" s="548"/>
      <c r="LH58" s="548"/>
      <c r="LI58" s="548"/>
      <c r="LJ58" s="548"/>
      <c r="LK58" s="548"/>
      <c r="LL58" s="548"/>
      <c r="LM58" s="548"/>
      <c r="LN58" s="548"/>
      <c r="LO58" s="548"/>
      <c r="LP58" s="485" t="str">
        <f t="shared" si="143"/>
        <v/>
      </c>
      <c r="LQ58" s="548"/>
      <c r="LR58" s="548"/>
      <c r="LS58" s="548"/>
      <c r="LT58" s="548"/>
      <c r="LU58" s="548"/>
      <c r="LV58" s="548"/>
      <c r="LW58" s="548"/>
      <c r="LX58" s="548"/>
      <c r="LY58" s="548"/>
      <c r="LZ58" s="548"/>
      <c r="MA58" s="548"/>
      <c r="MB58" s="548"/>
      <c r="MC58" s="485" t="str">
        <f t="shared" si="144"/>
        <v/>
      </c>
      <c r="MD58" s="548"/>
      <c r="ME58" s="548"/>
      <c r="MF58" s="548"/>
      <c r="MG58" s="548"/>
      <c r="MH58" s="548"/>
      <c r="MI58" s="548"/>
      <c r="MJ58" s="548"/>
      <c r="MK58" s="548"/>
      <c r="ML58" s="548"/>
      <c r="MM58" s="548"/>
      <c r="MN58" s="548"/>
      <c r="MO58" s="548"/>
      <c r="MP58" s="485" t="str">
        <f t="shared" si="145"/>
        <v/>
      </c>
      <c r="MQ58" s="548"/>
      <c r="MR58" s="548"/>
      <c r="MS58" s="548"/>
      <c r="MT58" s="548"/>
      <c r="MU58" s="548"/>
      <c r="MV58" s="548"/>
      <c r="MW58" s="548"/>
      <c r="MX58" s="548"/>
      <c r="MY58" s="548"/>
      <c r="MZ58" s="548"/>
      <c r="NA58" s="548"/>
      <c r="NB58" s="548"/>
      <c r="NC58" s="485" t="str">
        <f t="shared" si="146"/>
        <v/>
      </c>
      <c r="ND58" s="548"/>
      <c r="NE58" s="548"/>
      <c r="NF58" s="548"/>
      <c r="NG58" s="548"/>
      <c r="NH58" s="548"/>
      <c r="NI58" s="548"/>
      <c r="NJ58" s="548"/>
      <c r="NK58" s="548"/>
      <c r="NL58" s="548"/>
      <c r="NM58" s="548"/>
      <c r="NN58" s="548"/>
      <c r="NO58" s="548"/>
      <c r="NP58" s="485" t="str">
        <f t="shared" si="147"/>
        <v/>
      </c>
      <c r="NQ58" s="548"/>
      <c r="NR58" s="548"/>
      <c r="NS58" s="548"/>
      <c r="NT58" s="548"/>
      <c r="NU58" s="548"/>
      <c r="NV58" s="548"/>
      <c r="NW58" s="548"/>
      <c r="NX58" s="548"/>
      <c r="NY58" s="548"/>
      <c r="NZ58" s="548"/>
      <c r="OA58" s="548"/>
      <c r="OB58" s="548"/>
      <c r="OC58" s="485" t="str">
        <f t="shared" si="148"/>
        <v/>
      </c>
      <c r="OD58" s="548"/>
      <c r="OE58" s="548"/>
      <c r="OF58" s="548"/>
      <c r="OG58" s="548"/>
      <c r="OH58" s="548"/>
      <c r="OI58" s="548"/>
      <c r="OJ58" s="548"/>
      <c r="OK58" s="548"/>
      <c r="OL58" s="548"/>
      <c r="OM58" s="548"/>
      <c r="ON58" s="548"/>
      <c r="OO58" s="548"/>
      <c r="OP58" s="548"/>
      <c r="OQ58" s="548"/>
      <c r="OR58" s="548"/>
      <c r="OS58" s="548"/>
      <c r="OT58" s="548"/>
      <c r="OU58" s="548"/>
      <c r="OV58" s="548"/>
      <c r="OW58" s="548"/>
      <c r="OX58" s="548"/>
      <c r="OY58" s="548"/>
      <c r="OZ58" s="548"/>
      <c r="PA58" s="548"/>
      <c r="PB58" s="548"/>
      <c r="PC58" s="548"/>
      <c r="PD58" s="548"/>
      <c r="PE58" s="548"/>
      <c r="PF58" s="548"/>
      <c r="PG58" s="548"/>
      <c r="PH58" s="548"/>
      <c r="PI58" s="548"/>
      <c r="PJ58" s="548"/>
      <c r="PK58" s="548"/>
      <c r="PL58" s="548"/>
      <c r="PM58" s="548"/>
      <c r="PN58" s="548"/>
      <c r="PO58" s="548"/>
      <c r="PP58" s="548"/>
      <c r="PQ58" s="548"/>
      <c r="PR58" s="548"/>
      <c r="PS58" s="548"/>
      <c r="PT58" s="548"/>
      <c r="PU58" s="548"/>
      <c r="PV58" s="548"/>
      <c r="PW58" s="548"/>
      <c r="PX58" s="548"/>
      <c r="PY58" s="548"/>
      <c r="PZ58" s="548"/>
      <c r="QA58" s="548"/>
      <c r="QB58" s="548"/>
      <c r="QC58" s="548"/>
      <c r="QD58" s="548"/>
      <c r="QE58" s="548"/>
      <c r="QF58" s="548"/>
      <c r="QG58" s="548"/>
      <c r="QH58" s="548"/>
      <c r="QI58" s="548"/>
      <c r="QJ58" s="548"/>
      <c r="QK58" s="548"/>
      <c r="QL58" s="548"/>
      <c r="QM58" s="548"/>
      <c r="QN58" s="548"/>
      <c r="QO58" s="548"/>
      <c r="QP58" s="548"/>
      <c r="QQ58" s="1009"/>
      <c r="QR58" s="548"/>
      <c r="QS58" s="548"/>
      <c r="QT58" s="548"/>
      <c r="QU58" s="548"/>
      <c r="QV58" s="548"/>
      <c r="QW58" s="548"/>
      <c r="QX58" s="548"/>
      <c r="QY58" s="548"/>
      <c r="QZ58" s="548"/>
      <c r="RA58" s="548"/>
      <c r="RB58" s="548"/>
      <c r="RC58" s="548"/>
      <c r="RD58" s="548"/>
      <c r="RE58" s="548"/>
      <c r="RF58" s="548"/>
      <c r="RG58" s="548"/>
      <c r="RH58" s="548"/>
      <c r="RI58" s="548"/>
      <c r="RJ58" s="548"/>
      <c r="RK58" s="548"/>
      <c r="RL58" s="548"/>
      <c r="RM58" s="548"/>
      <c r="RN58" s="548"/>
      <c r="RO58" s="548"/>
      <c r="RP58" s="548"/>
      <c r="RQ58" s="548"/>
      <c r="RR58" s="548"/>
      <c r="RS58" s="548"/>
      <c r="RT58" s="548"/>
      <c r="RU58" s="548"/>
      <c r="RV58" s="548"/>
      <c r="RW58" s="548"/>
      <c r="RX58" s="548"/>
      <c r="RY58" s="548"/>
      <c r="RZ58" s="548"/>
      <c r="SA58" s="548"/>
      <c r="SB58" s="548"/>
      <c r="SC58" s="548"/>
      <c r="SD58" s="548"/>
      <c r="SE58" s="548"/>
      <c r="SF58" s="548"/>
      <c r="SG58" s="548"/>
      <c r="SH58" s="548"/>
      <c r="SI58" s="548"/>
      <c r="SJ58" s="548"/>
      <c r="SK58" s="548"/>
      <c r="SL58" s="548"/>
      <c r="SM58" s="548"/>
      <c r="SN58" s="548"/>
      <c r="SO58" s="548"/>
      <c r="SP58" s="548"/>
      <c r="SQ58" s="548"/>
      <c r="SR58" s="548"/>
      <c r="SS58" s="548"/>
      <c r="ST58" s="548"/>
      <c r="SU58" s="548"/>
      <c r="SV58" s="548"/>
      <c r="SW58" s="548"/>
      <c r="SX58" s="548"/>
      <c r="SY58" s="548"/>
      <c r="SZ58" s="548"/>
      <c r="TA58" s="548"/>
      <c r="TB58" s="548"/>
      <c r="TC58" s="548"/>
      <c r="TD58" s="548"/>
      <c r="TE58" s="548"/>
      <c r="TF58" s="548"/>
      <c r="TG58" s="548"/>
      <c r="TH58" s="548"/>
      <c r="TI58" s="548"/>
      <c r="TJ58" s="548"/>
      <c r="TK58" s="548"/>
      <c r="TL58" s="548"/>
      <c r="TM58" s="548"/>
      <c r="TN58" s="548"/>
      <c r="TO58" s="548"/>
      <c r="TP58" s="548"/>
      <c r="TQ58" s="548"/>
      <c r="TR58" s="548"/>
      <c r="TS58" s="548"/>
      <c r="TT58" s="548"/>
      <c r="TU58" s="548"/>
      <c r="TV58" s="548"/>
      <c r="TW58" s="548"/>
      <c r="TX58" s="548"/>
      <c r="TY58" s="548"/>
      <c r="TZ58" s="548"/>
      <c r="UA58" s="548"/>
      <c r="UB58" s="548"/>
      <c r="UC58" s="548"/>
      <c r="UD58" s="548"/>
      <c r="UE58" s="548"/>
      <c r="UF58" s="548"/>
      <c r="UG58" s="548"/>
      <c r="UH58" s="548"/>
      <c r="UI58" s="548"/>
      <c r="UJ58" s="548"/>
      <c r="UK58" s="548"/>
      <c r="UL58" s="548"/>
      <c r="UM58" s="548"/>
      <c r="UN58" s="548"/>
      <c r="UO58" s="548"/>
      <c r="UP58" s="548"/>
      <c r="UQ58" s="548"/>
      <c r="UR58" s="548"/>
      <c r="US58" s="548"/>
      <c r="UT58" s="548"/>
      <c r="UU58" s="548"/>
      <c r="UV58" s="548"/>
      <c r="UW58" s="548"/>
      <c r="UX58" s="548"/>
      <c r="UY58" s="548"/>
      <c r="UZ58" s="548"/>
      <c r="VA58" s="548"/>
      <c r="VB58" s="548"/>
      <c r="VC58" s="548"/>
      <c r="VD58" s="548"/>
      <c r="VE58" s="548"/>
      <c r="VF58" s="548"/>
      <c r="VG58" s="548"/>
      <c r="VH58" s="548"/>
      <c r="VI58" s="548"/>
      <c r="VJ58" s="548"/>
      <c r="VK58" s="548"/>
      <c r="VL58" s="548"/>
      <c r="VM58" s="548"/>
      <c r="VN58" s="548"/>
      <c r="VO58" s="548"/>
      <c r="VP58" s="548"/>
      <c r="VQ58" s="548"/>
      <c r="VR58" s="548"/>
      <c r="VS58" s="548"/>
      <c r="VT58" s="548"/>
      <c r="VU58" s="548"/>
      <c r="VV58" s="548"/>
      <c r="VW58" s="548"/>
      <c r="VX58" s="548"/>
      <c r="VY58" s="548"/>
      <c r="VZ58" s="548"/>
      <c r="WA58" s="548"/>
      <c r="WB58" s="548"/>
      <c r="WC58" s="548"/>
      <c r="WD58" s="548"/>
      <c r="WE58" s="548"/>
      <c r="WF58" s="548"/>
      <c r="WG58" s="548"/>
      <c r="WH58" s="548"/>
      <c r="WI58" s="548"/>
      <c r="WJ58" s="548"/>
      <c r="WK58" s="548"/>
      <c r="WL58" s="548"/>
      <c r="WM58" s="548"/>
      <c r="WN58" s="548"/>
      <c r="WO58" s="548"/>
      <c r="WP58" s="548"/>
      <c r="WQ58" s="548"/>
      <c r="WR58" s="548"/>
      <c r="WS58" s="548"/>
      <c r="WT58" s="548"/>
      <c r="WU58" s="548"/>
      <c r="WV58" s="548"/>
      <c r="WW58" s="548"/>
      <c r="WX58" s="548"/>
      <c r="WY58" s="548"/>
      <c r="WZ58" s="548"/>
      <c r="XA58" s="548"/>
      <c r="XB58" s="548"/>
      <c r="XC58" s="548"/>
      <c r="XD58" s="548"/>
      <c r="XE58" s="548"/>
      <c r="XF58" s="548"/>
      <c r="XG58" s="548"/>
      <c r="XH58" s="548"/>
      <c r="XI58" s="548"/>
      <c r="XJ58" s="548"/>
      <c r="XK58" s="548"/>
      <c r="XL58" s="548"/>
      <c r="XM58" s="548"/>
      <c r="XN58" s="548"/>
      <c r="XO58" s="548"/>
      <c r="XP58" s="548"/>
      <c r="XQ58" s="548"/>
      <c r="XR58" s="548"/>
      <c r="XS58" s="548"/>
      <c r="XT58" s="548"/>
      <c r="XU58" s="548"/>
      <c r="XV58" s="548"/>
      <c r="XW58" s="548"/>
      <c r="XX58" s="548"/>
      <c r="XY58" s="548"/>
      <c r="XZ58" s="548"/>
      <c r="YA58" s="548"/>
      <c r="YB58" s="548"/>
      <c r="YC58" s="548"/>
      <c r="YD58" s="548"/>
      <c r="YE58" s="548"/>
      <c r="YF58" s="548"/>
      <c r="YG58" s="548"/>
      <c r="YH58" s="548"/>
      <c r="YI58" s="548"/>
      <c r="YJ58" s="548"/>
      <c r="YK58" s="548"/>
      <c r="YL58" s="548"/>
      <c r="YM58" s="548"/>
      <c r="YN58" s="548"/>
      <c r="YO58" s="548"/>
      <c r="YP58" s="548"/>
      <c r="YQ58" s="548"/>
      <c r="YR58" s="548"/>
      <c r="YS58" s="548"/>
      <c r="YT58" s="548"/>
      <c r="YU58" s="548"/>
      <c r="YV58" s="548"/>
      <c r="YW58" s="548"/>
      <c r="YX58" s="548"/>
      <c r="YY58" s="548"/>
      <c r="YZ58" s="548"/>
      <c r="ZA58" s="548"/>
      <c r="ZB58" s="548"/>
      <c r="ZC58" s="548"/>
      <c r="ZD58" s="548"/>
      <c r="ZE58" s="548"/>
      <c r="ZF58" s="548"/>
      <c r="ZG58" s="548"/>
      <c r="ZH58" s="548"/>
      <c r="ZI58" s="548"/>
      <c r="ZJ58" s="548"/>
      <c r="ZK58" s="548"/>
      <c r="ZL58" s="548"/>
      <c r="ZM58" s="548"/>
      <c r="ZN58" s="548"/>
      <c r="ZO58" s="548"/>
      <c r="ZP58" s="548"/>
      <c r="ZQ58" s="548"/>
      <c r="ZR58" s="548"/>
      <c r="ZS58" s="548"/>
      <c r="ZT58" s="548"/>
      <c r="ZU58" s="548"/>
      <c r="ZV58" s="548"/>
      <c r="ZW58" s="548"/>
      <c r="ZX58" s="548"/>
      <c r="ZY58" s="548"/>
      <c r="ZZ58" s="548"/>
      <c r="AAA58" s="548"/>
      <c r="AAB58" s="548"/>
      <c r="AAC58" s="548"/>
      <c r="AAD58" s="548"/>
      <c r="AAE58" s="548"/>
      <c r="AAF58" s="548"/>
      <c r="AAG58" s="548"/>
      <c r="AAH58" s="548"/>
      <c r="AAI58" s="548"/>
      <c r="AAJ58" s="548"/>
      <c r="AAK58" s="548"/>
      <c r="AAL58" s="548"/>
      <c r="AAM58" s="548"/>
      <c r="AAN58" s="548"/>
      <c r="AAO58" s="548"/>
      <c r="AAP58" s="548"/>
      <c r="AAQ58" s="548"/>
      <c r="AAR58" s="548"/>
      <c r="AAS58" s="548"/>
      <c r="AAT58" s="548"/>
      <c r="AAU58" s="548"/>
      <c r="AAV58" s="548"/>
      <c r="AAW58" s="548"/>
      <c r="AAX58" s="548"/>
      <c r="AAY58" s="548"/>
      <c r="AAZ58" s="548"/>
      <c r="ABA58" s="548"/>
      <c r="ABB58" s="548"/>
      <c r="ABC58" s="548"/>
      <c r="ABD58" s="548"/>
      <c r="ABE58" s="548"/>
      <c r="ABF58" s="548"/>
      <c r="ABG58" s="548"/>
      <c r="ABH58" s="548"/>
      <c r="ABI58" s="548"/>
      <c r="ABJ58" s="548"/>
      <c r="ABK58" s="548"/>
      <c r="ABL58" s="548"/>
      <c r="ABM58" s="548"/>
      <c r="ABN58" s="548"/>
      <c r="ABO58" s="548"/>
      <c r="ABP58" s="548"/>
      <c r="ABQ58" s="548"/>
      <c r="ABR58" s="548"/>
      <c r="ABS58" s="548"/>
    </row>
    <row r="59" spans="1:747" customFormat="1" ht="15" customHeight="1" x14ac:dyDescent="0.2">
      <c r="A59" s="424" t="str">
        <f t="shared" si="149"/>
        <v/>
      </c>
      <c r="B59" s="415"/>
      <c r="C59" s="525"/>
      <c r="D59" s="750"/>
      <c r="E59" s="416" t="str">
        <f t="shared" si="393"/>
        <v/>
      </c>
      <c r="F59" s="527" t="str">
        <f t="shared" si="394"/>
        <v/>
      </c>
      <c r="G59" s="417"/>
      <c r="H59" s="583" t="str">
        <f t="shared" si="395"/>
        <v/>
      </c>
      <c r="I59" s="424"/>
      <c r="J59" s="419"/>
      <c r="K59" s="418"/>
      <c r="L59" s="419"/>
      <c r="M59" s="415"/>
      <c r="N59" s="420"/>
      <c r="O59" s="421"/>
      <c r="P59" s="561"/>
      <c r="Q59" s="422"/>
      <c r="R59" s="561" t="str">
        <f t="shared" si="396"/>
        <v/>
      </c>
      <c r="S59" s="664"/>
      <c r="T59" s="663"/>
      <c r="U59" s="580">
        <f t="shared" si="397"/>
        <v>0</v>
      </c>
      <c r="V59" s="418"/>
      <c r="W59" s="582" t="str">
        <f t="shared" si="398"/>
        <v/>
      </c>
      <c r="X59" s="479" t="str">
        <f t="shared" si="399"/>
        <v/>
      </c>
      <c r="Y59" s="582" t="str">
        <f t="shared" si="400"/>
        <v/>
      </c>
      <c r="Z59" s="317" t="str">
        <f t="shared" si="401"/>
        <v/>
      </c>
      <c r="AA59" s="317" t="str">
        <f t="shared" si="402"/>
        <v/>
      </c>
      <c r="AB59" s="317">
        <f t="shared" si="403"/>
        <v>0</v>
      </c>
      <c r="AC59" s="317" t="str">
        <f t="shared" si="404"/>
        <v/>
      </c>
      <c r="AD59" s="479"/>
      <c r="AE59" s="479"/>
      <c r="AF59" s="479"/>
      <c r="AG59" s="423"/>
      <c r="AH59" s="820"/>
      <c r="AI59" s="480"/>
      <c r="AJ59" s="660"/>
      <c r="AK59" s="524" t="str">
        <f t="shared" si="405"/>
        <v/>
      </c>
      <c r="AL59" s="731">
        <f>SUMIF($J$4:$J$74,"Rolê",$S$4:$S$74)</f>
        <v>0</v>
      </c>
      <c r="AM59" s="732">
        <f>SUMIF($J$4:$J$74,"Rolê",$T$4:$T$74)</f>
        <v>0</v>
      </c>
      <c r="AN59" s="426">
        <f t="shared" si="406"/>
        <v>0</v>
      </c>
      <c r="AO59" s="427" t="str">
        <f t="shared" si="407"/>
        <v/>
      </c>
      <c r="AP59" s="426" t="str">
        <f t="shared" si="408"/>
        <v/>
      </c>
      <c r="AQ59" s="426"/>
      <c r="AR59" s="426"/>
      <c r="AS59" s="428"/>
      <c r="AT59" s="429"/>
      <c r="AU59" s="430"/>
      <c r="AV59" s="431"/>
      <c r="AW59" s="432"/>
      <c r="AX59" s="430"/>
      <c r="AY59" s="431">
        <f t="shared" si="409"/>
        <v>0</v>
      </c>
      <c r="AZ59" s="426"/>
      <c r="BA59" s="435" t="str">
        <f t="shared" si="410"/>
        <v/>
      </c>
      <c r="BB59" s="435"/>
      <c r="BC59" s="426"/>
      <c r="BD59" s="426">
        <f t="array" ref="BD59">IF(SUM((BC59=$BC$3:BC58)*1)=0,BC59,0)</f>
        <v>0</v>
      </c>
      <c r="BE59" s="426"/>
      <c r="BF59" s="426"/>
      <c r="BG59" s="426">
        <f t="array" ref="BG59">IF(SUM((BF59=$BF$3:BF58)*1)=0,BF59,0)</f>
        <v>0</v>
      </c>
      <c r="BH59" s="426"/>
      <c r="BI59" s="426"/>
      <c r="BJ59" s="426"/>
      <c r="BK59" s="426"/>
      <c r="BL59" s="426"/>
      <c r="BM59" s="426"/>
      <c r="BN59" s="426"/>
      <c r="BO59" s="426"/>
      <c r="BP59" s="433">
        <f t="shared" si="411"/>
        <v>0</v>
      </c>
      <c r="BQ59" s="426"/>
      <c r="BR59" s="434"/>
      <c r="BS59" s="426"/>
      <c r="BT59" s="433"/>
      <c r="BU59" s="435"/>
      <c r="BV59" s="435" t="str">
        <f t="shared" si="412"/>
        <v/>
      </c>
      <c r="BW59" s="435" t="str">
        <f t="shared" si="38"/>
        <v/>
      </c>
      <c r="BX59" s="435"/>
      <c r="BY59" s="435"/>
      <c r="BZ59" s="435"/>
      <c r="CA59" s="435"/>
      <c r="CB59" s="435"/>
      <c r="CC59" s="435"/>
      <c r="CD59" s="435"/>
      <c r="CE59" s="435"/>
      <c r="CF59" s="435"/>
      <c r="CG59" s="435"/>
      <c r="CH59" s="435"/>
      <c r="CI59" s="435"/>
      <c r="CJ59" s="426" t="str">
        <f t="shared" si="39"/>
        <v/>
      </c>
      <c r="CK59" s="435"/>
      <c r="CL59" s="426"/>
      <c r="CM59" s="435"/>
      <c r="CN59" s="426"/>
      <c r="CO59" s="426"/>
      <c r="CP59" s="426"/>
      <c r="CQ59" s="426"/>
      <c r="CR59" s="426"/>
      <c r="CS59" s="426"/>
      <c r="CT59" s="426"/>
      <c r="CU59" s="426"/>
      <c r="CV59" s="426"/>
      <c r="CW59" s="426"/>
      <c r="CX59" s="426"/>
      <c r="CY59" s="426">
        <v>56</v>
      </c>
      <c r="CZ59" s="426"/>
      <c r="DA59" s="426"/>
      <c r="DB59" s="426"/>
      <c r="DC59" s="426" t="s">
        <v>799</v>
      </c>
      <c r="DD59" s="426" t="s">
        <v>959</v>
      </c>
      <c r="DE59" s="435" t="str">
        <f t="shared" si="40"/>
        <v/>
      </c>
      <c r="DF59" s="435" t="str">
        <f t="shared" si="41"/>
        <v/>
      </c>
      <c r="DG59" s="435" t="str">
        <f t="shared" si="42"/>
        <v/>
      </c>
      <c r="DH59" s="435" t="str">
        <f t="shared" si="43"/>
        <v/>
      </c>
      <c r="DI59" s="435" t="str">
        <f t="shared" si="44"/>
        <v/>
      </c>
      <c r="DJ59" s="435" t="str">
        <f t="shared" si="45"/>
        <v/>
      </c>
      <c r="DK59" s="435" t="str">
        <f t="shared" si="413"/>
        <v/>
      </c>
      <c r="DL59" s="435" t="str">
        <f t="shared" si="414"/>
        <v/>
      </c>
      <c r="DM59" s="435" t="str">
        <f t="shared" si="46"/>
        <v/>
      </c>
      <c r="DN59" s="435" t="str">
        <f t="shared" si="47"/>
        <v/>
      </c>
      <c r="DO59" s="435" t="str">
        <f t="shared" si="415"/>
        <v/>
      </c>
      <c r="DP59" s="435" t="str">
        <f t="shared" si="416"/>
        <v/>
      </c>
      <c r="DQ59" s="435" t="str">
        <f t="shared" si="48"/>
        <v/>
      </c>
      <c r="DR59" s="435" t="str">
        <f t="shared" si="49"/>
        <v/>
      </c>
      <c r="DS59" s="435" t="str">
        <f t="shared" si="417"/>
        <v/>
      </c>
      <c r="DT59" s="435" t="str">
        <f t="shared" si="418"/>
        <v/>
      </c>
      <c r="DU59" s="435" t="str">
        <f t="shared" si="50"/>
        <v/>
      </c>
      <c r="DV59" s="435" t="str">
        <f t="shared" si="51"/>
        <v/>
      </c>
      <c r="DW59" s="435" t="str">
        <f t="shared" si="419"/>
        <v/>
      </c>
      <c r="DX59" s="435" t="str">
        <f t="shared" si="420"/>
        <v/>
      </c>
      <c r="DY59" s="435" t="str">
        <f t="shared" si="52"/>
        <v/>
      </c>
      <c r="DZ59" s="435" t="str">
        <f t="shared" si="53"/>
        <v/>
      </c>
      <c r="EA59" s="435" t="str">
        <f t="shared" si="421"/>
        <v/>
      </c>
      <c r="EB59" s="435" t="str">
        <f t="shared" si="422"/>
        <v/>
      </c>
      <c r="EC59" s="435" t="str">
        <f t="shared" si="423"/>
        <v/>
      </c>
      <c r="ED59" s="435" t="str">
        <f t="shared" si="424"/>
        <v/>
      </c>
      <c r="EE59" s="435" t="str">
        <f t="shared" si="425"/>
        <v/>
      </c>
      <c r="EF59" s="435" t="str">
        <f t="shared" si="426"/>
        <v/>
      </c>
      <c r="EG59" s="435" t="str">
        <f t="shared" si="427"/>
        <v/>
      </c>
      <c r="EH59" s="435" t="str">
        <f t="shared" si="428"/>
        <v/>
      </c>
      <c r="EI59" s="435" t="str">
        <f t="shared" si="429"/>
        <v/>
      </c>
      <c r="EJ59" s="435" t="str">
        <f t="shared" si="430"/>
        <v/>
      </c>
      <c r="EK59" s="485"/>
      <c r="EL59" s="485"/>
      <c r="EM59" s="485"/>
      <c r="EN59" s="485"/>
      <c r="EO59" s="448"/>
      <c r="EP59" s="448"/>
      <c r="EQ59" s="448"/>
      <c r="ER59" s="448"/>
      <c r="ES59" s="448"/>
      <c r="ET59" s="435"/>
      <c r="EU59" s="435"/>
      <c r="EV59" s="435"/>
      <c r="EW59" s="435"/>
      <c r="EX59" s="426"/>
      <c r="EY59" s="426"/>
      <c r="EZ59" s="426"/>
      <c r="FA59" s="427"/>
      <c r="FB59" s="427">
        <f t="array" ref="FB59">IF(SUM((FA59=$FA$3:FA58)*1)=0,FA59,0)</f>
        <v>0</v>
      </c>
      <c r="FC59" s="427"/>
      <c r="FD59" s="427"/>
      <c r="FE59" s="427">
        <f t="array" ref="FE59">IF(SUM((FD59=$FD$3:FD58)*1)=0,FD59,0)</f>
        <v>0</v>
      </c>
      <c r="FF59" s="427"/>
      <c r="FG59" s="427"/>
      <c r="FH59" s="427"/>
      <c r="FI59" s="427">
        <f t="array" ref="FI59">IF(SUM((FH59=$FH$3:FH58)*1)=0,FH59,0)</f>
        <v>0</v>
      </c>
      <c r="FJ59" s="427"/>
      <c r="FK59" s="427"/>
      <c r="FL59" s="427">
        <f t="array" ref="FL59">IF(SUM((FK59=$FK$3:FK58)*1)=0,FK59,0)</f>
        <v>0</v>
      </c>
      <c r="FM59" s="427"/>
      <c r="FN59" s="427"/>
      <c r="FO59" s="427"/>
      <c r="FP59" s="427">
        <f t="array" ref="FP59">IF(SUM((FO59=$FO$3:FO58)*1)=0,FO59,0)</f>
        <v>0</v>
      </c>
      <c r="FQ59" s="427"/>
      <c r="FR59" s="427"/>
      <c r="FS59" s="427">
        <f t="array" ref="FS59">IF(SUM((FR59=$FR$3:FR58)*1)=0,FR59,0)</f>
        <v>0</v>
      </c>
      <c r="FT59" s="427"/>
      <c r="FU59" s="427"/>
      <c r="FV59" s="427"/>
      <c r="FW59" s="427">
        <f t="array" ref="FW59">IF(SUM((FV59=$FV$3:FV58)*1)=0,FV59,0)</f>
        <v>0</v>
      </c>
      <c r="FX59" s="427"/>
      <c r="FY59" s="427"/>
      <c r="FZ59" s="427">
        <f t="array" ref="FZ59">IF(SUM((FY59=$FY$3:FY58)*1)=0,FY59,0)</f>
        <v>0</v>
      </c>
      <c r="GA59" s="427"/>
      <c r="GB59" s="427"/>
      <c r="GC59" s="427"/>
      <c r="GD59" s="427">
        <f t="array" ref="GD59">IF(SUM((GC59=$GC$3:GC58)*1)=0,GC59,0)</f>
        <v>0</v>
      </c>
      <c r="GE59" s="427"/>
      <c r="GF59" s="427"/>
      <c r="GG59" s="427">
        <f t="array" ref="GG59">IF(SUM((GF59=$GF$3:GF58)*1)=0,GF59,0)</f>
        <v>0</v>
      </c>
      <c r="GH59" s="427"/>
      <c r="GI59" s="427"/>
      <c r="GJ59" s="427"/>
      <c r="GK59" s="798">
        <f t="array" ref="GK59">IF(SUM((GJ59=$GJ$3:GJ58)*1)=0,GJ59,0)</f>
        <v>0</v>
      </c>
      <c r="GL59" s="427"/>
      <c r="GM59" s="427"/>
      <c r="GN59" s="798">
        <f t="array" ref="GN59">IF(SUM((GM59=$GM$3:GM58)*1)=0,GM59,0)</f>
        <v>0</v>
      </c>
      <c r="GO59" s="427"/>
      <c r="GP59" s="427"/>
      <c r="GQ59" s="427"/>
      <c r="GR59" s="798">
        <f t="array" ref="GR59">IF(SUM((GQ59=$GQ$3:GQ58)*1)=0,GQ59,0)</f>
        <v>0</v>
      </c>
      <c r="GS59" s="427"/>
      <c r="GT59" s="427"/>
      <c r="GU59" s="798">
        <f t="array" ref="GU59">IF(SUM((GT59=$GT$3:GT58)*1)=0,GT59,0)</f>
        <v>0</v>
      </c>
      <c r="GV59" s="427"/>
      <c r="GW59" s="427"/>
      <c r="GX59" s="427"/>
      <c r="GY59" s="798">
        <f t="array" ref="GY59">IF(SUM((GX59=$GX$3:GX58)*1)=0,GX59,0)</f>
        <v>0</v>
      </c>
      <c r="GZ59" s="427"/>
      <c r="HA59" s="427"/>
      <c r="HB59" s="798">
        <f t="array" ref="HB59">IF(SUM((HA59=$HA$3:HA58)*1)=0,HA59,0)</f>
        <v>0</v>
      </c>
      <c r="HC59" s="427"/>
      <c r="HD59" s="427"/>
      <c r="HE59" s="769" t="str">
        <f t="shared" si="130"/>
        <v/>
      </c>
      <c r="HF59" s="768" t="str">
        <f t="shared" ref="HF59" si="670">IF(HE59&lt;0,"Invadiu REP-BA-C","")</f>
        <v/>
      </c>
      <c r="HG59" s="769" t="str">
        <f t="shared" si="131"/>
        <v/>
      </c>
      <c r="HH59" s="768" t="str">
        <f t="shared" si="55"/>
        <v/>
      </c>
      <c r="HI59" s="728" t="str">
        <f t="shared" si="132"/>
        <v/>
      </c>
      <c r="HJ59" s="768" t="str">
        <f t="shared" si="56"/>
        <v/>
      </c>
      <c r="HK59" s="728" t="str">
        <f t="shared" si="133"/>
        <v/>
      </c>
      <c r="HL59" s="768" t="str">
        <f t="shared" si="57"/>
        <v/>
      </c>
      <c r="HM59" s="769" t="str">
        <f t="shared" si="441"/>
        <v/>
      </c>
      <c r="HN59" s="768" t="str">
        <f t="shared" ref="HN59" si="671">IF(HM59&lt;0,"Invadiu REP-BA-C","")</f>
        <v/>
      </c>
      <c r="HO59" s="769" t="str">
        <f t="shared" si="443"/>
        <v/>
      </c>
      <c r="HP59" s="768" t="str">
        <f t="shared" si="61"/>
        <v/>
      </c>
      <c r="HQ59" s="728" t="str">
        <f t="shared" si="444"/>
        <v/>
      </c>
      <c r="HR59" s="768" t="str">
        <f t="shared" si="63"/>
        <v/>
      </c>
      <c r="HS59" s="728" t="str">
        <f t="shared" si="445"/>
        <v/>
      </c>
      <c r="HT59" s="768" t="str">
        <f t="shared" si="65"/>
        <v/>
      </c>
      <c r="HU59" s="769" t="str">
        <f t="shared" si="446"/>
        <v/>
      </c>
      <c r="HV59" s="768" t="str">
        <f t="shared" ref="HV59" si="672">IF(HU59&lt;0,"Invadiu REP-BA-C","")</f>
        <v/>
      </c>
      <c r="HW59" s="769" t="str">
        <f t="shared" si="448"/>
        <v/>
      </c>
      <c r="HX59" s="768" t="str">
        <f t="shared" si="69"/>
        <v/>
      </c>
      <c r="HY59" s="728" t="str">
        <f t="shared" si="449"/>
        <v/>
      </c>
      <c r="HZ59" s="768" t="str">
        <f t="shared" si="71"/>
        <v/>
      </c>
      <c r="IA59" s="728" t="str">
        <f t="shared" si="450"/>
        <v/>
      </c>
      <c r="IB59" s="768" t="str">
        <f t="shared" si="73"/>
        <v/>
      </c>
      <c r="IC59" s="769" t="str">
        <f t="shared" si="451"/>
        <v/>
      </c>
      <c r="ID59" s="768" t="str">
        <f t="shared" ref="ID59" si="673">IF(IC59&lt;0,"Invadiu REP-BA-C","")</f>
        <v/>
      </c>
      <c r="IE59" s="769" t="str">
        <f t="shared" si="453"/>
        <v/>
      </c>
      <c r="IF59" s="768" t="str">
        <f t="shared" si="77"/>
        <v/>
      </c>
      <c r="IG59" s="728" t="str">
        <f t="shared" si="454"/>
        <v/>
      </c>
      <c r="IH59" s="768" t="str">
        <f t="shared" si="79"/>
        <v/>
      </c>
      <c r="II59" s="728" t="str">
        <f t="shared" si="455"/>
        <v/>
      </c>
      <c r="IJ59" s="768" t="str">
        <f t="shared" si="81"/>
        <v/>
      </c>
      <c r="IK59" s="769" t="str">
        <f t="shared" si="456"/>
        <v/>
      </c>
      <c r="IL59" s="768" t="str">
        <f t="shared" ref="IL59" si="674">IF(IK59&lt;0,"Invadiu REP-BA-C","")</f>
        <v/>
      </c>
      <c r="IM59" s="769" t="str">
        <f t="shared" si="458"/>
        <v/>
      </c>
      <c r="IN59" s="768" t="str">
        <f t="shared" si="85"/>
        <v/>
      </c>
      <c r="IO59" s="728" t="str">
        <f t="shared" si="459"/>
        <v/>
      </c>
      <c r="IP59" s="768" t="str">
        <f t="shared" si="87"/>
        <v/>
      </c>
      <c r="IQ59" s="728" t="str">
        <f t="shared" si="460"/>
        <v/>
      </c>
      <c r="IR59" s="768" t="str">
        <f t="shared" si="89"/>
        <v/>
      </c>
      <c r="IS59" s="769" t="str">
        <f t="shared" si="461"/>
        <v/>
      </c>
      <c r="IT59" s="768" t="str">
        <f t="shared" ref="IT59" si="675">IF(IS59&lt;0,"Invadiu REP-BA-C","")</f>
        <v/>
      </c>
      <c r="IU59" s="769" t="str">
        <f t="shared" si="463"/>
        <v/>
      </c>
      <c r="IV59" s="768" t="str">
        <f t="shared" si="93"/>
        <v/>
      </c>
      <c r="IW59" s="728" t="str">
        <f t="shared" si="464"/>
        <v/>
      </c>
      <c r="IX59" s="768" t="str">
        <f t="shared" si="95"/>
        <v/>
      </c>
      <c r="IY59" s="728" t="str">
        <f t="shared" si="465"/>
        <v/>
      </c>
      <c r="IZ59" s="768" t="str">
        <f t="shared" si="97"/>
        <v/>
      </c>
      <c r="JA59" s="769" t="str">
        <f t="shared" si="466"/>
        <v/>
      </c>
      <c r="JB59" s="768" t="str">
        <f t="shared" ref="JB59" si="676">IF(JA59&lt;0,"Invadiu REP-BA-C","")</f>
        <v/>
      </c>
      <c r="JC59" s="769" t="str">
        <f t="shared" si="468"/>
        <v/>
      </c>
      <c r="JD59" s="768" t="str">
        <f t="shared" si="101"/>
        <v/>
      </c>
      <c r="JE59" s="728" t="str">
        <f t="shared" si="469"/>
        <v/>
      </c>
      <c r="JF59" s="768" t="str">
        <f t="shared" si="103"/>
        <v/>
      </c>
      <c r="JG59" s="728" t="str">
        <f t="shared" si="470"/>
        <v/>
      </c>
      <c r="JH59" s="768" t="str">
        <f t="shared" si="105"/>
        <v/>
      </c>
      <c r="JI59" s="769" t="str">
        <f t="shared" si="471"/>
        <v/>
      </c>
      <c r="JJ59" s="768" t="str">
        <f t="shared" ref="JJ59" si="677">IF(JI59&lt;0,"Invadiu REP-BA-C","")</f>
        <v/>
      </c>
      <c r="JK59" s="769" t="str">
        <f t="shared" si="473"/>
        <v/>
      </c>
      <c r="JL59" s="768" t="str">
        <f t="shared" si="109"/>
        <v/>
      </c>
      <c r="JM59" s="728" t="str">
        <f t="shared" si="474"/>
        <v/>
      </c>
      <c r="JN59" s="768" t="str">
        <f t="shared" si="111"/>
        <v/>
      </c>
      <c r="JO59" s="728" t="str">
        <f t="shared" si="475"/>
        <v/>
      </c>
      <c r="JP59" s="768" t="str">
        <f t="shared" si="113"/>
        <v/>
      </c>
      <c r="JQ59" s="769" t="str">
        <f t="shared" si="476"/>
        <v/>
      </c>
      <c r="JR59" s="768" t="str">
        <f t="shared" ref="JR59" si="678">IF(JQ59&lt;0,"Invadiu REP-BA-C","")</f>
        <v/>
      </c>
      <c r="JS59" s="769" t="str">
        <f t="shared" si="478"/>
        <v/>
      </c>
      <c r="JT59" s="768" t="str">
        <f t="shared" si="117"/>
        <v/>
      </c>
      <c r="JU59" s="728" t="str">
        <f t="shared" si="479"/>
        <v/>
      </c>
      <c r="JV59" s="768" t="str">
        <f t="shared" si="119"/>
        <v/>
      </c>
      <c r="JW59" s="728" t="str">
        <f t="shared" si="480"/>
        <v/>
      </c>
      <c r="JX59" s="768" t="str">
        <f t="shared" si="121"/>
        <v/>
      </c>
      <c r="JY59" s="768" t="str">
        <f t="shared" si="122"/>
        <v/>
      </c>
      <c r="JZ59" s="485" t="str">
        <f>IF(JY59="","",IF(AND(C59=$C$164,JY59&lt;&gt;""),Verificarcpf(D59),IF(AND(C59=$C$165,JY59&lt;&gt;""),VerificarCNPJ(D59))))</f>
        <v/>
      </c>
      <c r="KA59" s="768" t="str">
        <f t="shared" si="123"/>
        <v/>
      </c>
      <c r="KB59" s="485">
        <f t="shared" si="124"/>
        <v>0</v>
      </c>
      <c r="KC59" s="768">
        <f t="shared" si="125"/>
        <v>0</v>
      </c>
      <c r="KD59" s="485">
        <f t="shared" si="126"/>
        <v>0</v>
      </c>
      <c r="KE59" s="448"/>
      <c r="KF59" s="548"/>
      <c r="KG59" s="548"/>
      <c r="KH59" s="548"/>
      <c r="KI59" s="548"/>
      <c r="KJ59" s="548" t="str">
        <f t="shared" si="128"/>
        <v/>
      </c>
      <c r="KK59" s="548"/>
      <c r="KL59" s="548"/>
      <c r="KM59" s="548">
        <f t="array" ref="KM59">IF(SUM((KL59=$KL$3:KL58)*1)=0,KL59,0)</f>
        <v>0</v>
      </c>
      <c r="KN59" s="548"/>
      <c r="KO59" s="548"/>
      <c r="KP59" s="548"/>
      <c r="KQ59" s="548"/>
      <c r="KR59" s="548" t="str">
        <f t="shared" si="129"/>
        <v/>
      </c>
      <c r="KS59" s="548"/>
      <c r="KT59" s="548"/>
      <c r="KU59" s="548"/>
      <c r="KV59" s="548"/>
      <c r="KW59" s="548"/>
      <c r="KX59" s="548"/>
      <c r="KY59" s="548"/>
      <c r="KZ59" s="548"/>
      <c r="LA59" s="548"/>
      <c r="LB59" s="548"/>
      <c r="LC59" s="485" t="str">
        <f t="shared" si="142"/>
        <v/>
      </c>
      <c r="LD59" s="548"/>
      <c r="LE59" s="548"/>
      <c r="LF59" s="548"/>
      <c r="LG59" s="548"/>
      <c r="LH59" s="548"/>
      <c r="LI59" s="548"/>
      <c r="LJ59" s="548"/>
      <c r="LK59" s="548"/>
      <c r="LL59" s="548"/>
      <c r="LM59" s="548"/>
      <c r="LN59" s="548"/>
      <c r="LO59" s="548"/>
      <c r="LP59" s="485" t="str">
        <f t="shared" si="143"/>
        <v/>
      </c>
      <c r="LQ59" s="548"/>
      <c r="LR59" s="548"/>
      <c r="LS59" s="548"/>
      <c r="LT59" s="548"/>
      <c r="LU59" s="548"/>
      <c r="LV59" s="548"/>
      <c r="LW59" s="548"/>
      <c r="LX59" s="548"/>
      <c r="LY59" s="548"/>
      <c r="LZ59" s="548"/>
      <c r="MA59" s="548"/>
      <c r="MB59" s="548"/>
      <c r="MC59" s="485" t="str">
        <f t="shared" si="144"/>
        <v/>
      </c>
      <c r="MD59" s="548"/>
      <c r="ME59" s="548"/>
      <c r="MF59" s="548"/>
      <c r="MG59" s="548"/>
      <c r="MH59" s="548"/>
      <c r="MI59" s="548"/>
      <c r="MJ59" s="548"/>
      <c r="MK59" s="548"/>
      <c r="ML59" s="548"/>
      <c r="MM59" s="548"/>
      <c r="MN59" s="548"/>
      <c r="MO59" s="548"/>
      <c r="MP59" s="485" t="str">
        <f t="shared" si="145"/>
        <v/>
      </c>
      <c r="MQ59" s="548"/>
      <c r="MR59" s="548"/>
      <c r="MS59" s="548"/>
      <c r="MT59" s="548"/>
      <c r="MU59" s="548"/>
      <c r="MV59" s="548"/>
      <c r="MW59" s="548"/>
      <c r="MX59" s="548"/>
      <c r="MY59" s="548"/>
      <c r="MZ59" s="548"/>
      <c r="NA59" s="548"/>
      <c r="NB59" s="548"/>
      <c r="NC59" s="485" t="str">
        <f t="shared" si="146"/>
        <v/>
      </c>
      <c r="ND59" s="548"/>
      <c r="NE59" s="548"/>
      <c r="NF59" s="548"/>
      <c r="NG59" s="548"/>
      <c r="NH59" s="548"/>
      <c r="NI59" s="548"/>
      <c r="NJ59" s="548"/>
      <c r="NK59" s="548"/>
      <c r="NL59" s="548"/>
      <c r="NM59" s="548"/>
      <c r="NN59" s="548"/>
      <c r="NO59" s="548"/>
      <c r="NP59" s="485" t="str">
        <f t="shared" si="147"/>
        <v/>
      </c>
      <c r="NQ59" s="548"/>
      <c r="NR59" s="548"/>
      <c r="NS59" s="548"/>
      <c r="NT59" s="548"/>
      <c r="NU59" s="548"/>
      <c r="NV59" s="548"/>
      <c r="NW59" s="548"/>
      <c r="NX59" s="548"/>
      <c r="NY59" s="548"/>
      <c r="NZ59" s="548"/>
      <c r="OA59" s="548"/>
      <c r="OB59" s="548"/>
      <c r="OC59" s="485" t="str">
        <f t="shared" si="148"/>
        <v/>
      </c>
      <c r="OD59" s="548"/>
      <c r="OE59" s="548"/>
      <c r="OF59" s="548"/>
      <c r="OG59" s="548"/>
      <c r="OH59" s="548"/>
      <c r="OI59" s="548"/>
      <c r="OJ59" s="548"/>
      <c r="OK59" s="548"/>
      <c r="OL59" s="548"/>
      <c r="OM59" s="548"/>
      <c r="ON59" s="548"/>
      <c r="OO59" s="548"/>
      <c r="OP59" s="548"/>
      <c r="OQ59" s="548"/>
      <c r="OR59" s="548"/>
      <c r="OS59" s="548"/>
      <c r="OT59" s="548"/>
      <c r="OU59" s="548"/>
      <c r="OV59" s="548"/>
      <c r="OW59" s="548"/>
      <c r="OX59" s="548"/>
      <c r="OY59" s="548"/>
      <c r="OZ59" s="548"/>
      <c r="PA59" s="548"/>
      <c r="PB59" s="548"/>
      <c r="PC59" s="548"/>
      <c r="PD59" s="548"/>
      <c r="PE59" s="548"/>
      <c r="PF59" s="548"/>
      <c r="PG59" s="548"/>
      <c r="PH59" s="548"/>
      <c r="PI59" s="548"/>
      <c r="PJ59" s="548"/>
      <c r="PK59" s="548"/>
      <c r="PL59" s="548"/>
      <c r="PM59" s="548"/>
      <c r="PN59" s="548"/>
      <c r="PO59" s="548"/>
      <c r="PP59" s="548"/>
      <c r="PQ59" s="548"/>
      <c r="PR59" s="548"/>
      <c r="PS59" s="548"/>
      <c r="PT59" s="548"/>
      <c r="PU59" s="548"/>
      <c r="PV59" s="548"/>
      <c r="PW59" s="548"/>
      <c r="PX59" s="548"/>
      <c r="PY59" s="548"/>
      <c r="PZ59" s="548"/>
      <c r="QA59" s="548"/>
      <c r="QB59" s="548"/>
      <c r="QC59" s="548"/>
      <c r="QD59" s="548"/>
      <c r="QE59" s="548"/>
      <c r="QF59" s="548"/>
      <c r="QG59" s="548"/>
      <c r="QH59" s="548"/>
      <c r="QI59" s="548"/>
      <c r="QJ59" s="548"/>
      <c r="QK59" s="548"/>
      <c r="QL59" s="548"/>
      <c r="QM59" s="548"/>
      <c r="QN59" s="548"/>
      <c r="QO59" s="548"/>
      <c r="QP59" s="548"/>
      <c r="QQ59" s="1009"/>
      <c r="QR59" s="548"/>
      <c r="QS59" s="548"/>
      <c r="QT59" s="548"/>
      <c r="QU59" s="548"/>
      <c r="QV59" s="548"/>
      <c r="QW59" s="548"/>
      <c r="QX59" s="548"/>
      <c r="QY59" s="548"/>
      <c r="QZ59" s="548"/>
      <c r="RA59" s="548"/>
      <c r="RB59" s="548"/>
      <c r="RC59" s="548"/>
      <c r="RD59" s="548"/>
      <c r="RE59" s="548"/>
      <c r="RF59" s="548"/>
      <c r="RG59" s="548"/>
      <c r="RH59" s="548"/>
      <c r="RI59" s="548"/>
      <c r="RJ59" s="548"/>
      <c r="RK59" s="548"/>
      <c r="RL59" s="548"/>
      <c r="RM59" s="548"/>
      <c r="RN59" s="548"/>
      <c r="RO59" s="548"/>
      <c r="RP59" s="548"/>
      <c r="RQ59" s="548"/>
      <c r="RR59" s="548"/>
      <c r="RS59" s="548"/>
      <c r="RT59" s="548"/>
      <c r="RU59" s="548"/>
      <c r="RV59" s="548"/>
      <c r="RW59" s="548"/>
      <c r="RX59" s="548"/>
      <c r="RY59" s="548"/>
      <c r="RZ59" s="548"/>
      <c r="SA59" s="548"/>
      <c r="SB59" s="548"/>
      <c r="SC59" s="548"/>
      <c r="SD59" s="548"/>
      <c r="SE59" s="548"/>
      <c r="SF59" s="548"/>
      <c r="SG59" s="548"/>
      <c r="SH59" s="548"/>
      <c r="SI59" s="548"/>
      <c r="SJ59" s="548"/>
      <c r="SK59" s="548"/>
      <c r="SL59" s="548"/>
      <c r="SM59" s="548"/>
      <c r="SN59" s="548"/>
      <c r="SO59" s="548"/>
      <c r="SP59" s="548"/>
      <c r="SQ59" s="548"/>
      <c r="SR59" s="548"/>
      <c r="SS59" s="548"/>
      <c r="ST59" s="548"/>
      <c r="SU59" s="548"/>
      <c r="SV59" s="548"/>
      <c r="SW59" s="548"/>
      <c r="SX59" s="548"/>
      <c r="SY59" s="548"/>
      <c r="SZ59" s="548"/>
      <c r="TA59" s="548"/>
      <c r="TB59" s="548"/>
      <c r="TC59" s="548"/>
      <c r="TD59" s="548"/>
      <c r="TE59" s="548"/>
      <c r="TF59" s="548"/>
      <c r="TG59" s="548"/>
      <c r="TH59" s="548"/>
      <c r="TI59" s="548"/>
      <c r="TJ59" s="548"/>
      <c r="TK59" s="548"/>
      <c r="TL59" s="548"/>
      <c r="TM59" s="548"/>
      <c r="TN59" s="548"/>
      <c r="TO59" s="548"/>
      <c r="TP59" s="548"/>
      <c r="TQ59" s="548"/>
      <c r="TR59" s="548"/>
      <c r="TS59" s="548"/>
      <c r="TT59" s="548"/>
      <c r="TU59" s="548"/>
      <c r="TV59" s="548"/>
      <c r="TW59" s="548"/>
      <c r="TX59" s="548"/>
      <c r="TY59" s="548"/>
      <c r="TZ59" s="548"/>
      <c r="UA59" s="548"/>
      <c r="UB59" s="548"/>
      <c r="UC59" s="548"/>
      <c r="UD59" s="548"/>
      <c r="UE59" s="548"/>
      <c r="UF59" s="548"/>
      <c r="UG59" s="548"/>
      <c r="UH59" s="548"/>
      <c r="UI59" s="548"/>
      <c r="UJ59" s="548"/>
      <c r="UK59" s="548"/>
      <c r="UL59" s="548"/>
      <c r="UM59" s="548"/>
      <c r="UN59" s="548"/>
      <c r="UO59" s="548"/>
      <c r="UP59" s="548"/>
      <c r="UQ59" s="548"/>
      <c r="UR59" s="548"/>
      <c r="US59" s="548"/>
      <c r="UT59" s="548"/>
      <c r="UU59" s="548"/>
      <c r="UV59" s="548"/>
      <c r="UW59" s="548"/>
      <c r="UX59" s="548"/>
      <c r="UY59" s="548"/>
      <c r="UZ59" s="548"/>
      <c r="VA59" s="548"/>
      <c r="VB59" s="548"/>
      <c r="VC59" s="548"/>
      <c r="VD59" s="548"/>
      <c r="VE59" s="548"/>
      <c r="VF59" s="548"/>
      <c r="VG59" s="548"/>
      <c r="VH59" s="548"/>
      <c r="VI59" s="548"/>
      <c r="VJ59" s="548"/>
      <c r="VK59" s="548"/>
      <c r="VL59" s="548"/>
      <c r="VM59" s="548"/>
      <c r="VN59" s="548"/>
      <c r="VO59" s="548"/>
      <c r="VP59" s="548"/>
      <c r="VQ59" s="548"/>
      <c r="VR59" s="548"/>
      <c r="VS59" s="548"/>
      <c r="VT59" s="548"/>
      <c r="VU59" s="548"/>
      <c r="VV59" s="548"/>
      <c r="VW59" s="548"/>
      <c r="VX59" s="548"/>
      <c r="VY59" s="548"/>
      <c r="VZ59" s="548"/>
      <c r="WA59" s="548"/>
      <c r="WB59" s="548"/>
      <c r="WC59" s="548"/>
      <c r="WD59" s="548"/>
      <c r="WE59" s="548"/>
      <c r="WF59" s="548"/>
      <c r="WG59" s="548"/>
      <c r="WH59" s="548"/>
      <c r="WI59" s="548"/>
      <c r="WJ59" s="548"/>
      <c r="WK59" s="548"/>
      <c r="WL59" s="548"/>
      <c r="WM59" s="548"/>
      <c r="WN59" s="548"/>
      <c r="WO59" s="548"/>
      <c r="WP59" s="548"/>
      <c r="WQ59" s="548"/>
      <c r="WR59" s="548"/>
      <c r="WS59" s="548"/>
      <c r="WT59" s="548"/>
      <c r="WU59" s="548"/>
      <c r="WV59" s="548"/>
      <c r="WW59" s="548"/>
      <c r="WX59" s="548"/>
      <c r="WY59" s="548"/>
      <c r="WZ59" s="548"/>
      <c r="XA59" s="548"/>
      <c r="XB59" s="548"/>
      <c r="XC59" s="548"/>
      <c r="XD59" s="548"/>
      <c r="XE59" s="548"/>
      <c r="XF59" s="548"/>
      <c r="XG59" s="548"/>
      <c r="XH59" s="548"/>
      <c r="XI59" s="548"/>
      <c r="XJ59" s="548"/>
      <c r="XK59" s="548"/>
      <c r="XL59" s="548"/>
      <c r="XM59" s="548"/>
      <c r="XN59" s="548"/>
      <c r="XO59" s="548"/>
      <c r="XP59" s="548"/>
      <c r="XQ59" s="548"/>
      <c r="XR59" s="548"/>
      <c r="XS59" s="548"/>
      <c r="XT59" s="548"/>
      <c r="XU59" s="548"/>
      <c r="XV59" s="548"/>
      <c r="XW59" s="548"/>
      <c r="XX59" s="548"/>
      <c r="XY59" s="548"/>
      <c r="XZ59" s="548"/>
      <c r="YA59" s="548"/>
      <c r="YB59" s="548"/>
      <c r="YC59" s="548"/>
      <c r="YD59" s="548"/>
      <c r="YE59" s="548"/>
      <c r="YF59" s="548"/>
      <c r="YG59" s="548"/>
      <c r="YH59" s="548"/>
      <c r="YI59" s="548"/>
      <c r="YJ59" s="548"/>
      <c r="YK59" s="548"/>
      <c r="YL59" s="548"/>
      <c r="YM59" s="548"/>
      <c r="YN59" s="548"/>
      <c r="YO59" s="548"/>
      <c r="YP59" s="548"/>
      <c r="YQ59" s="548"/>
      <c r="YR59" s="548"/>
      <c r="YS59" s="548"/>
      <c r="YT59" s="548"/>
      <c r="YU59" s="548"/>
      <c r="YV59" s="548"/>
      <c r="YW59" s="548"/>
      <c r="YX59" s="548"/>
      <c r="YY59" s="548"/>
      <c r="YZ59" s="548"/>
      <c r="ZA59" s="548"/>
      <c r="ZB59" s="548"/>
      <c r="ZC59" s="548"/>
      <c r="ZD59" s="548"/>
      <c r="ZE59" s="548"/>
      <c r="ZF59" s="548"/>
      <c r="ZG59" s="548"/>
      <c r="ZH59" s="548"/>
      <c r="ZI59" s="548"/>
      <c r="ZJ59" s="548"/>
      <c r="ZK59" s="548"/>
      <c r="ZL59" s="548"/>
      <c r="ZM59" s="548"/>
      <c r="ZN59" s="548"/>
      <c r="ZO59" s="548"/>
      <c r="ZP59" s="548"/>
      <c r="ZQ59" s="548"/>
      <c r="ZR59" s="548"/>
      <c r="ZS59" s="548"/>
      <c r="ZT59" s="548"/>
      <c r="ZU59" s="548"/>
      <c r="ZV59" s="548"/>
      <c r="ZW59" s="548"/>
      <c r="ZX59" s="548"/>
      <c r="ZY59" s="548"/>
      <c r="ZZ59" s="548"/>
      <c r="AAA59" s="548"/>
      <c r="AAB59" s="548"/>
      <c r="AAC59" s="548"/>
      <c r="AAD59" s="548"/>
      <c r="AAE59" s="548"/>
      <c r="AAF59" s="548"/>
      <c r="AAG59" s="548"/>
      <c r="AAH59" s="548"/>
      <c r="AAI59" s="548"/>
      <c r="AAJ59" s="548"/>
      <c r="AAK59" s="548"/>
      <c r="AAL59" s="548"/>
      <c r="AAM59" s="548"/>
      <c r="AAN59" s="548"/>
      <c r="AAO59" s="548"/>
      <c r="AAP59" s="548"/>
      <c r="AAQ59" s="548"/>
      <c r="AAR59" s="548"/>
      <c r="AAS59" s="548"/>
      <c r="AAT59" s="548"/>
      <c r="AAU59" s="548"/>
      <c r="AAV59" s="548"/>
      <c r="AAW59" s="548"/>
      <c r="AAX59" s="548"/>
      <c r="AAY59" s="548"/>
      <c r="AAZ59" s="548"/>
      <c r="ABA59" s="548"/>
      <c r="ABB59" s="548"/>
      <c r="ABC59" s="548"/>
      <c r="ABD59" s="548"/>
      <c r="ABE59" s="548"/>
      <c r="ABF59" s="548"/>
      <c r="ABG59" s="548"/>
      <c r="ABH59" s="548"/>
      <c r="ABI59" s="548"/>
      <c r="ABJ59" s="548"/>
      <c r="ABK59" s="548"/>
      <c r="ABL59" s="548"/>
      <c r="ABM59" s="548"/>
      <c r="ABN59" s="548"/>
      <c r="ABO59" s="548"/>
      <c r="ABP59" s="548"/>
      <c r="ABQ59" s="548"/>
      <c r="ABR59" s="548"/>
      <c r="ABS59" s="548"/>
    </row>
    <row r="60" spans="1:747" customFormat="1" ht="15" customHeight="1" x14ac:dyDescent="0.2">
      <c r="A60" s="424" t="str">
        <f t="shared" si="149"/>
        <v/>
      </c>
      <c r="B60" s="415"/>
      <c r="C60" s="525"/>
      <c r="D60" s="750"/>
      <c r="E60" s="416" t="str">
        <f t="shared" si="393"/>
        <v/>
      </c>
      <c r="F60" s="527" t="str">
        <f t="shared" si="394"/>
        <v/>
      </c>
      <c r="G60" s="417"/>
      <c r="H60" s="583" t="str">
        <f t="shared" si="395"/>
        <v/>
      </c>
      <c r="I60" s="424"/>
      <c r="J60" s="419"/>
      <c r="K60" s="418"/>
      <c r="L60" s="419"/>
      <c r="M60" s="415"/>
      <c r="N60" s="420"/>
      <c r="O60" s="421"/>
      <c r="P60" s="561"/>
      <c r="Q60" s="422"/>
      <c r="R60" s="561" t="str">
        <f t="shared" si="396"/>
        <v/>
      </c>
      <c r="S60" s="664"/>
      <c r="T60" s="663"/>
      <c r="U60" s="580">
        <f t="shared" si="397"/>
        <v>0</v>
      </c>
      <c r="V60" s="418"/>
      <c r="W60" s="582" t="str">
        <f t="shared" si="398"/>
        <v/>
      </c>
      <c r="X60" s="479" t="str">
        <f t="shared" si="399"/>
        <v/>
      </c>
      <c r="Y60" s="582" t="str">
        <f t="shared" si="400"/>
        <v/>
      </c>
      <c r="Z60" s="317" t="str">
        <f t="shared" si="401"/>
        <v/>
      </c>
      <c r="AA60" s="317" t="str">
        <f t="shared" si="402"/>
        <v/>
      </c>
      <c r="AB60" s="317">
        <f t="shared" si="403"/>
        <v>0</v>
      </c>
      <c r="AC60" s="317" t="str">
        <f t="shared" si="404"/>
        <v/>
      </c>
      <c r="AD60" s="479"/>
      <c r="AE60" s="479"/>
      <c r="AF60" s="479"/>
      <c r="AG60" s="423"/>
      <c r="AH60" s="820"/>
      <c r="AI60" s="480"/>
      <c r="AJ60" s="660"/>
      <c r="AK60" s="524" t="str">
        <f t="shared" si="405"/>
        <v/>
      </c>
      <c r="AL60" s="731">
        <f>SUMIF($J$4:$J$88,"Rolê",$S$4:$S$88)</f>
        <v>0</v>
      </c>
      <c r="AM60" s="732">
        <f>SUMIF($J$4:$J$88,"Rolê",$T$4:$T$88)</f>
        <v>0</v>
      </c>
      <c r="AN60" s="426">
        <f t="shared" si="406"/>
        <v>0</v>
      </c>
      <c r="AO60" s="427" t="str">
        <f t="shared" si="407"/>
        <v/>
      </c>
      <c r="AP60" s="426" t="str">
        <f t="shared" si="408"/>
        <v/>
      </c>
      <c r="AQ60" s="426"/>
      <c r="AR60" s="426"/>
      <c r="AS60" s="428"/>
      <c r="AT60" s="429"/>
      <c r="AU60" s="430"/>
      <c r="AV60" s="431"/>
      <c r="AW60" s="432"/>
      <c r="AX60" s="430"/>
      <c r="AY60" s="431">
        <f t="shared" si="409"/>
        <v>0</v>
      </c>
      <c r="AZ60" s="426"/>
      <c r="BA60" s="435" t="str">
        <f t="shared" si="410"/>
        <v/>
      </c>
      <c r="BB60" s="435"/>
      <c r="BC60" s="426"/>
      <c r="BD60" s="426">
        <f t="array" ref="BD60">IF(SUM((BC60=$BC$3:BC59)*1)=0,BC60,0)</f>
        <v>0</v>
      </c>
      <c r="BE60" s="426"/>
      <c r="BF60" s="426"/>
      <c r="BG60" s="426">
        <f t="array" ref="BG60">IF(SUM((BF60=$BF$3:BF59)*1)=0,BF60,0)</f>
        <v>0</v>
      </c>
      <c r="BH60" s="426"/>
      <c r="BI60" s="426"/>
      <c r="BJ60" s="426"/>
      <c r="BK60" s="426"/>
      <c r="BL60" s="426"/>
      <c r="BM60" s="426"/>
      <c r="BN60" s="426"/>
      <c r="BO60" s="426"/>
      <c r="BP60" s="433">
        <f t="shared" si="411"/>
        <v>0</v>
      </c>
      <c r="BQ60" s="426"/>
      <c r="BR60" s="434"/>
      <c r="BS60" s="426"/>
      <c r="BT60" s="433"/>
      <c r="BU60" s="435"/>
      <c r="BV60" s="435" t="str">
        <f t="shared" si="412"/>
        <v/>
      </c>
      <c r="BW60" s="435" t="str">
        <f t="shared" si="38"/>
        <v/>
      </c>
      <c r="BX60" s="435"/>
      <c r="BY60" s="435"/>
      <c r="BZ60" s="435"/>
      <c r="CA60" s="435"/>
      <c r="CB60" s="435"/>
      <c r="CC60" s="435"/>
      <c r="CD60" s="435"/>
      <c r="CE60" s="435"/>
      <c r="CF60" s="435"/>
      <c r="CG60" s="435"/>
      <c r="CH60" s="435"/>
      <c r="CI60" s="435"/>
      <c r="CJ60" s="426" t="str">
        <f t="shared" si="39"/>
        <v/>
      </c>
      <c r="CK60" s="435"/>
      <c r="CL60" s="426"/>
      <c r="CM60" s="435"/>
      <c r="CN60" s="426"/>
      <c r="CO60" s="426"/>
      <c r="CP60" s="426"/>
      <c r="CQ60" s="426"/>
      <c r="CR60" s="426"/>
      <c r="CS60" s="426"/>
      <c r="CT60" s="426"/>
      <c r="CU60" s="426"/>
      <c r="CV60" s="426"/>
      <c r="CW60" s="426"/>
      <c r="CX60" s="426"/>
      <c r="CY60" s="426">
        <v>57</v>
      </c>
      <c r="CZ60" s="426"/>
      <c r="DA60" s="426"/>
      <c r="DB60" s="426"/>
      <c r="DC60" s="426" t="s">
        <v>800</v>
      </c>
      <c r="DD60" s="426" t="s">
        <v>960</v>
      </c>
      <c r="DE60" s="435" t="str">
        <f t="shared" si="40"/>
        <v/>
      </c>
      <c r="DF60" s="435" t="str">
        <f t="shared" si="41"/>
        <v/>
      </c>
      <c r="DG60" s="435" t="str">
        <f t="shared" si="42"/>
        <v/>
      </c>
      <c r="DH60" s="435" t="str">
        <f t="shared" si="43"/>
        <v/>
      </c>
      <c r="DI60" s="435" t="str">
        <f t="shared" si="44"/>
        <v/>
      </c>
      <c r="DJ60" s="435" t="str">
        <f t="shared" si="45"/>
        <v/>
      </c>
      <c r="DK60" s="435" t="str">
        <f t="shared" si="413"/>
        <v/>
      </c>
      <c r="DL60" s="435" t="str">
        <f t="shared" si="414"/>
        <v/>
      </c>
      <c r="DM60" s="435" t="str">
        <f t="shared" si="46"/>
        <v/>
      </c>
      <c r="DN60" s="435" t="str">
        <f t="shared" si="47"/>
        <v/>
      </c>
      <c r="DO60" s="435" t="str">
        <f t="shared" si="415"/>
        <v/>
      </c>
      <c r="DP60" s="435" t="str">
        <f t="shared" si="416"/>
        <v/>
      </c>
      <c r="DQ60" s="435" t="str">
        <f t="shared" si="48"/>
        <v/>
      </c>
      <c r="DR60" s="435" t="str">
        <f t="shared" si="49"/>
        <v/>
      </c>
      <c r="DS60" s="435" t="str">
        <f t="shared" si="417"/>
        <v/>
      </c>
      <c r="DT60" s="435" t="str">
        <f t="shared" si="418"/>
        <v/>
      </c>
      <c r="DU60" s="435" t="str">
        <f t="shared" si="50"/>
        <v/>
      </c>
      <c r="DV60" s="435" t="str">
        <f t="shared" si="51"/>
        <v/>
      </c>
      <c r="DW60" s="435" t="str">
        <f t="shared" si="419"/>
        <v/>
      </c>
      <c r="DX60" s="435" t="str">
        <f t="shared" si="420"/>
        <v/>
      </c>
      <c r="DY60" s="435" t="str">
        <f t="shared" si="52"/>
        <v/>
      </c>
      <c r="DZ60" s="435" t="str">
        <f t="shared" si="53"/>
        <v/>
      </c>
      <c r="EA60" s="435" t="str">
        <f t="shared" si="421"/>
        <v/>
      </c>
      <c r="EB60" s="435" t="str">
        <f t="shared" si="422"/>
        <v/>
      </c>
      <c r="EC60" s="435" t="str">
        <f t="shared" si="423"/>
        <v/>
      </c>
      <c r="ED60" s="435" t="str">
        <f t="shared" si="424"/>
        <v/>
      </c>
      <c r="EE60" s="435" t="str">
        <f t="shared" si="425"/>
        <v/>
      </c>
      <c r="EF60" s="435" t="str">
        <f t="shared" si="426"/>
        <v/>
      </c>
      <c r="EG60" s="435" t="str">
        <f t="shared" si="427"/>
        <v/>
      </c>
      <c r="EH60" s="435" t="str">
        <f t="shared" si="428"/>
        <v/>
      </c>
      <c r="EI60" s="435" t="str">
        <f t="shared" si="429"/>
        <v/>
      </c>
      <c r="EJ60" s="435" t="str">
        <f t="shared" si="430"/>
        <v/>
      </c>
      <c r="EK60" s="485"/>
      <c r="EL60" s="485"/>
      <c r="EM60" s="485"/>
      <c r="EN60" s="485"/>
      <c r="EO60" s="448"/>
      <c r="EP60" s="448"/>
      <c r="EQ60" s="448"/>
      <c r="ER60" s="448"/>
      <c r="ES60" s="448"/>
      <c r="ET60" s="435"/>
      <c r="EU60" s="435"/>
      <c r="EV60" s="435"/>
      <c r="EW60" s="435"/>
      <c r="EX60" s="426"/>
      <c r="EY60" s="426"/>
      <c r="EZ60" s="426"/>
      <c r="FA60" s="427"/>
      <c r="FB60" s="427">
        <f t="array" ref="FB60">IF(SUM((FA60=$FA$3:FA59)*1)=0,FA60,0)</f>
        <v>0</v>
      </c>
      <c r="FC60" s="427"/>
      <c r="FD60" s="427"/>
      <c r="FE60" s="427">
        <f t="array" ref="FE60">IF(SUM((FD60=$FD$3:FD59)*1)=0,FD60,0)</f>
        <v>0</v>
      </c>
      <c r="FF60" s="427"/>
      <c r="FG60" s="427"/>
      <c r="FH60" s="427"/>
      <c r="FI60" s="427">
        <f t="array" ref="FI60">IF(SUM((FH60=$FH$3:FH59)*1)=0,FH60,0)</f>
        <v>0</v>
      </c>
      <c r="FJ60" s="427"/>
      <c r="FK60" s="427"/>
      <c r="FL60" s="427">
        <f t="array" ref="FL60">IF(SUM((FK60=$FK$3:FK59)*1)=0,FK60,0)</f>
        <v>0</v>
      </c>
      <c r="FM60" s="427"/>
      <c r="FN60" s="427"/>
      <c r="FO60" s="427"/>
      <c r="FP60" s="427">
        <f t="array" ref="FP60">IF(SUM((FO60=$FO$3:FO59)*1)=0,FO60,0)</f>
        <v>0</v>
      </c>
      <c r="FQ60" s="427"/>
      <c r="FR60" s="427"/>
      <c r="FS60" s="427">
        <f t="array" ref="FS60">IF(SUM((FR60=$FR$3:FR59)*1)=0,FR60,0)</f>
        <v>0</v>
      </c>
      <c r="FT60" s="427"/>
      <c r="FU60" s="427"/>
      <c r="FV60" s="427"/>
      <c r="FW60" s="427">
        <f t="array" ref="FW60">IF(SUM((FV60=$FV$3:FV59)*1)=0,FV60,0)</f>
        <v>0</v>
      </c>
      <c r="FX60" s="427"/>
      <c r="FY60" s="427"/>
      <c r="FZ60" s="427">
        <f t="array" ref="FZ60">IF(SUM((FY60=$FY$3:FY59)*1)=0,FY60,0)</f>
        <v>0</v>
      </c>
      <c r="GA60" s="427"/>
      <c r="GB60" s="427"/>
      <c r="GC60" s="427"/>
      <c r="GD60" s="427">
        <f t="array" ref="GD60">IF(SUM((GC60=$GC$3:GC59)*1)=0,GC60,0)</f>
        <v>0</v>
      </c>
      <c r="GE60" s="427"/>
      <c r="GF60" s="427"/>
      <c r="GG60" s="427">
        <f t="array" ref="GG60">IF(SUM((GF60=$GF$3:GF59)*1)=0,GF60,0)</f>
        <v>0</v>
      </c>
      <c r="GH60" s="427"/>
      <c r="GI60" s="427"/>
      <c r="GJ60" s="427"/>
      <c r="GK60" s="798">
        <f t="array" ref="GK60">IF(SUM((GJ60=$GJ$3:GJ59)*1)=0,GJ60,0)</f>
        <v>0</v>
      </c>
      <c r="GL60" s="427"/>
      <c r="GM60" s="427"/>
      <c r="GN60" s="798">
        <f t="array" ref="GN60">IF(SUM((GM60=$GM$3:GM59)*1)=0,GM60,0)</f>
        <v>0</v>
      </c>
      <c r="GO60" s="427"/>
      <c r="GP60" s="427"/>
      <c r="GQ60" s="427"/>
      <c r="GR60" s="798">
        <f t="array" ref="GR60">IF(SUM((GQ60=$GQ$3:GQ59)*1)=0,GQ60,0)</f>
        <v>0</v>
      </c>
      <c r="GS60" s="427"/>
      <c r="GT60" s="427"/>
      <c r="GU60" s="798">
        <f t="array" ref="GU60">IF(SUM((GT60=$GT$3:GT59)*1)=0,GT60,0)</f>
        <v>0</v>
      </c>
      <c r="GV60" s="427"/>
      <c r="GW60" s="427"/>
      <c r="GX60" s="427"/>
      <c r="GY60" s="798">
        <f t="array" ref="GY60">IF(SUM((GX60=$GX$3:GX59)*1)=0,GX60,0)</f>
        <v>0</v>
      </c>
      <c r="GZ60" s="427"/>
      <c r="HA60" s="427"/>
      <c r="HB60" s="798">
        <f t="array" ref="HB60">IF(SUM((HA60=$HA$3:HA59)*1)=0,HA60,0)</f>
        <v>0</v>
      </c>
      <c r="HC60" s="427"/>
      <c r="HD60" s="427"/>
      <c r="HE60" s="769" t="str">
        <f t="shared" si="130"/>
        <v/>
      </c>
      <c r="HF60" s="768" t="str">
        <f t="shared" ref="HF60" si="679">IF(HE60&lt;0,"Invadiu REP-BA-C","")</f>
        <v/>
      </c>
      <c r="HG60" s="769" t="str">
        <f t="shared" si="131"/>
        <v/>
      </c>
      <c r="HH60" s="768" t="str">
        <f t="shared" si="55"/>
        <v/>
      </c>
      <c r="HI60" s="728" t="str">
        <f t="shared" si="132"/>
        <v/>
      </c>
      <c r="HJ60" s="768" t="str">
        <f t="shared" si="56"/>
        <v/>
      </c>
      <c r="HK60" s="728" t="str">
        <f t="shared" si="133"/>
        <v/>
      </c>
      <c r="HL60" s="768" t="str">
        <f t="shared" si="57"/>
        <v/>
      </c>
      <c r="HM60" s="769" t="str">
        <f t="shared" si="441"/>
        <v/>
      </c>
      <c r="HN60" s="768" t="str">
        <f t="shared" ref="HN60" si="680">IF(HM60&lt;0,"Invadiu REP-BA-C","")</f>
        <v/>
      </c>
      <c r="HO60" s="769" t="str">
        <f t="shared" si="443"/>
        <v/>
      </c>
      <c r="HP60" s="768" t="str">
        <f t="shared" si="61"/>
        <v/>
      </c>
      <c r="HQ60" s="728" t="str">
        <f t="shared" si="444"/>
        <v/>
      </c>
      <c r="HR60" s="768" t="str">
        <f t="shared" si="63"/>
        <v/>
      </c>
      <c r="HS60" s="728" t="str">
        <f t="shared" si="445"/>
        <v/>
      </c>
      <c r="HT60" s="768" t="str">
        <f t="shared" si="65"/>
        <v/>
      </c>
      <c r="HU60" s="769" t="str">
        <f t="shared" si="446"/>
        <v/>
      </c>
      <c r="HV60" s="768" t="str">
        <f t="shared" ref="HV60" si="681">IF(HU60&lt;0,"Invadiu REP-BA-C","")</f>
        <v/>
      </c>
      <c r="HW60" s="769" t="str">
        <f t="shared" si="448"/>
        <v/>
      </c>
      <c r="HX60" s="768" t="str">
        <f t="shared" si="69"/>
        <v/>
      </c>
      <c r="HY60" s="728" t="str">
        <f t="shared" si="449"/>
        <v/>
      </c>
      <c r="HZ60" s="768" t="str">
        <f t="shared" si="71"/>
        <v/>
      </c>
      <c r="IA60" s="728" t="str">
        <f t="shared" si="450"/>
        <v/>
      </c>
      <c r="IB60" s="768" t="str">
        <f t="shared" si="73"/>
        <v/>
      </c>
      <c r="IC60" s="769" t="str">
        <f t="shared" si="451"/>
        <v/>
      </c>
      <c r="ID60" s="768" t="str">
        <f t="shared" ref="ID60" si="682">IF(IC60&lt;0,"Invadiu REP-BA-C","")</f>
        <v/>
      </c>
      <c r="IE60" s="769" t="str">
        <f t="shared" si="453"/>
        <v/>
      </c>
      <c r="IF60" s="768" t="str">
        <f t="shared" si="77"/>
        <v/>
      </c>
      <c r="IG60" s="728" t="str">
        <f t="shared" si="454"/>
        <v/>
      </c>
      <c r="IH60" s="768" t="str">
        <f t="shared" si="79"/>
        <v/>
      </c>
      <c r="II60" s="728" t="str">
        <f t="shared" si="455"/>
        <v/>
      </c>
      <c r="IJ60" s="768" t="str">
        <f t="shared" si="81"/>
        <v/>
      </c>
      <c r="IK60" s="769" t="str">
        <f t="shared" si="456"/>
        <v/>
      </c>
      <c r="IL60" s="768" t="str">
        <f t="shared" ref="IL60" si="683">IF(IK60&lt;0,"Invadiu REP-BA-C","")</f>
        <v/>
      </c>
      <c r="IM60" s="769" t="str">
        <f t="shared" si="458"/>
        <v/>
      </c>
      <c r="IN60" s="768" t="str">
        <f t="shared" si="85"/>
        <v/>
      </c>
      <c r="IO60" s="728" t="str">
        <f t="shared" si="459"/>
        <v/>
      </c>
      <c r="IP60" s="768" t="str">
        <f t="shared" si="87"/>
        <v/>
      </c>
      <c r="IQ60" s="728" t="str">
        <f t="shared" si="460"/>
        <v/>
      </c>
      <c r="IR60" s="768" t="str">
        <f t="shared" si="89"/>
        <v/>
      </c>
      <c r="IS60" s="769" t="str">
        <f t="shared" si="461"/>
        <v/>
      </c>
      <c r="IT60" s="768" t="str">
        <f t="shared" ref="IT60" si="684">IF(IS60&lt;0,"Invadiu REP-BA-C","")</f>
        <v/>
      </c>
      <c r="IU60" s="769" t="str">
        <f t="shared" si="463"/>
        <v/>
      </c>
      <c r="IV60" s="768" t="str">
        <f t="shared" si="93"/>
        <v/>
      </c>
      <c r="IW60" s="728" t="str">
        <f t="shared" si="464"/>
        <v/>
      </c>
      <c r="IX60" s="768" t="str">
        <f t="shared" si="95"/>
        <v/>
      </c>
      <c r="IY60" s="728" t="str">
        <f t="shared" si="465"/>
        <v/>
      </c>
      <c r="IZ60" s="768" t="str">
        <f t="shared" si="97"/>
        <v/>
      </c>
      <c r="JA60" s="769" t="str">
        <f t="shared" si="466"/>
        <v/>
      </c>
      <c r="JB60" s="768" t="str">
        <f t="shared" ref="JB60" si="685">IF(JA60&lt;0,"Invadiu REP-BA-C","")</f>
        <v/>
      </c>
      <c r="JC60" s="769" t="str">
        <f t="shared" si="468"/>
        <v/>
      </c>
      <c r="JD60" s="768" t="str">
        <f t="shared" si="101"/>
        <v/>
      </c>
      <c r="JE60" s="728" t="str">
        <f t="shared" si="469"/>
        <v/>
      </c>
      <c r="JF60" s="768" t="str">
        <f t="shared" si="103"/>
        <v/>
      </c>
      <c r="JG60" s="728" t="str">
        <f t="shared" si="470"/>
        <v/>
      </c>
      <c r="JH60" s="768" t="str">
        <f t="shared" si="105"/>
        <v/>
      </c>
      <c r="JI60" s="769" t="str">
        <f t="shared" si="471"/>
        <v/>
      </c>
      <c r="JJ60" s="768" t="str">
        <f t="shared" ref="JJ60" si="686">IF(JI60&lt;0,"Invadiu REP-BA-C","")</f>
        <v/>
      </c>
      <c r="JK60" s="769" t="str">
        <f t="shared" si="473"/>
        <v/>
      </c>
      <c r="JL60" s="768" t="str">
        <f t="shared" si="109"/>
        <v/>
      </c>
      <c r="JM60" s="728" t="str">
        <f t="shared" si="474"/>
        <v/>
      </c>
      <c r="JN60" s="768" t="str">
        <f t="shared" si="111"/>
        <v/>
      </c>
      <c r="JO60" s="728" t="str">
        <f t="shared" si="475"/>
        <v/>
      </c>
      <c r="JP60" s="768" t="str">
        <f t="shared" si="113"/>
        <v/>
      </c>
      <c r="JQ60" s="769" t="str">
        <f t="shared" si="476"/>
        <v/>
      </c>
      <c r="JR60" s="768" t="str">
        <f t="shared" ref="JR60" si="687">IF(JQ60&lt;0,"Invadiu REP-BA-C","")</f>
        <v/>
      </c>
      <c r="JS60" s="769" t="str">
        <f t="shared" si="478"/>
        <v/>
      </c>
      <c r="JT60" s="768" t="str">
        <f t="shared" si="117"/>
        <v/>
      </c>
      <c r="JU60" s="728" t="str">
        <f t="shared" si="479"/>
        <v/>
      </c>
      <c r="JV60" s="768" t="str">
        <f t="shared" si="119"/>
        <v/>
      </c>
      <c r="JW60" s="728" t="str">
        <f t="shared" si="480"/>
        <v/>
      </c>
      <c r="JX60" s="768" t="str">
        <f t="shared" si="121"/>
        <v/>
      </c>
      <c r="JY60" s="768" t="str">
        <f t="shared" si="122"/>
        <v/>
      </c>
      <c r="JZ60" s="485" t="str">
        <f>IF(JY60="","",IF(AND(C60=$C$164,JY60&lt;&gt;""),Verificarcpf(D60),IF(AND(C60=$C$165,JY60&lt;&gt;""),VerificarCNPJ(D60))))</f>
        <v/>
      </c>
      <c r="KA60" s="768" t="str">
        <f t="shared" si="123"/>
        <v/>
      </c>
      <c r="KB60" s="485">
        <f t="shared" si="124"/>
        <v>0</v>
      </c>
      <c r="KC60" s="768">
        <f t="shared" si="125"/>
        <v>0</v>
      </c>
      <c r="KD60" s="485">
        <f t="shared" si="126"/>
        <v>0</v>
      </c>
      <c r="KE60" s="448"/>
      <c r="KF60" s="548"/>
      <c r="KG60" s="548"/>
      <c r="KH60" s="548"/>
      <c r="KI60" s="548"/>
      <c r="KJ60" s="548" t="str">
        <f t="shared" si="128"/>
        <v/>
      </c>
      <c r="KK60" s="548"/>
      <c r="KL60" s="548"/>
      <c r="KM60" s="548">
        <f t="array" ref="KM60">IF(SUM((KL60=$KL$3:KL59)*1)=0,KL60,0)</f>
        <v>0</v>
      </c>
      <c r="KN60" s="548"/>
      <c r="KO60" s="548"/>
      <c r="KP60" s="548"/>
      <c r="KQ60" s="548"/>
      <c r="KR60" s="548" t="str">
        <f t="shared" si="129"/>
        <v/>
      </c>
      <c r="KS60" s="548"/>
      <c r="KT60" s="548"/>
      <c r="KU60" s="548"/>
      <c r="KV60" s="548"/>
      <c r="KW60" s="548"/>
      <c r="KX60" s="548"/>
      <c r="KY60" s="548"/>
      <c r="KZ60" s="548"/>
      <c r="LA60" s="548"/>
      <c r="LB60" s="548"/>
      <c r="LC60" s="485" t="str">
        <f t="shared" si="142"/>
        <v/>
      </c>
      <c r="LD60" s="548"/>
      <c r="LE60" s="548"/>
      <c r="LF60" s="548"/>
      <c r="LG60" s="548"/>
      <c r="LH60" s="548"/>
      <c r="LI60" s="548"/>
      <c r="LJ60" s="548"/>
      <c r="LK60" s="548"/>
      <c r="LL60" s="548"/>
      <c r="LM60" s="548"/>
      <c r="LN60" s="548"/>
      <c r="LO60" s="548"/>
      <c r="LP60" s="485" t="str">
        <f t="shared" si="143"/>
        <v/>
      </c>
      <c r="LQ60" s="548"/>
      <c r="LR60" s="548"/>
      <c r="LS60" s="548"/>
      <c r="LT60" s="548"/>
      <c r="LU60" s="548"/>
      <c r="LV60" s="548"/>
      <c r="LW60" s="548"/>
      <c r="LX60" s="548"/>
      <c r="LY60" s="548"/>
      <c r="LZ60" s="548"/>
      <c r="MA60" s="548"/>
      <c r="MB60" s="548"/>
      <c r="MC60" s="485" t="str">
        <f t="shared" si="144"/>
        <v/>
      </c>
      <c r="MD60" s="548"/>
      <c r="ME60" s="548"/>
      <c r="MF60" s="548"/>
      <c r="MG60" s="548"/>
      <c r="MH60" s="548"/>
      <c r="MI60" s="548"/>
      <c r="MJ60" s="548"/>
      <c r="MK60" s="548"/>
      <c r="ML60" s="548"/>
      <c r="MM60" s="548"/>
      <c r="MN60" s="548"/>
      <c r="MO60" s="548"/>
      <c r="MP60" s="485" t="str">
        <f t="shared" si="145"/>
        <v/>
      </c>
      <c r="MQ60" s="548"/>
      <c r="MR60" s="548"/>
      <c r="MS60" s="548"/>
      <c r="MT60" s="548"/>
      <c r="MU60" s="548"/>
      <c r="MV60" s="548"/>
      <c r="MW60" s="548"/>
      <c r="MX60" s="548"/>
      <c r="MY60" s="548"/>
      <c r="MZ60" s="548"/>
      <c r="NA60" s="548"/>
      <c r="NB60" s="548"/>
      <c r="NC60" s="485" t="str">
        <f t="shared" si="146"/>
        <v/>
      </c>
      <c r="ND60" s="548"/>
      <c r="NE60" s="548"/>
      <c r="NF60" s="548"/>
      <c r="NG60" s="548"/>
      <c r="NH60" s="548"/>
      <c r="NI60" s="548"/>
      <c r="NJ60" s="548"/>
      <c r="NK60" s="548"/>
      <c r="NL60" s="548"/>
      <c r="NM60" s="548"/>
      <c r="NN60" s="548"/>
      <c r="NO60" s="548"/>
      <c r="NP60" s="485" t="str">
        <f t="shared" si="147"/>
        <v/>
      </c>
      <c r="NQ60" s="548"/>
      <c r="NR60" s="548"/>
      <c r="NS60" s="548"/>
      <c r="NT60" s="548"/>
      <c r="NU60" s="548"/>
      <c r="NV60" s="548"/>
      <c r="NW60" s="548"/>
      <c r="NX60" s="548"/>
      <c r="NY60" s="548"/>
      <c r="NZ60" s="548"/>
      <c r="OA60" s="548"/>
      <c r="OB60" s="548"/>
      <c r="OC60" s="485" t="str">
        <f t="shared" si="148"/>
        <v/>
      </c>
      <c r="OD60" s="548"/>
      <c r="OE60" s="548"/>
      <c r="OF60" s="548"/>
      <c r="OG60" s="548"/>
      <c r="OH60" s="548"/>
      <c r="OI60" s="548"/>
      <c r="OJ60" s="548"/>
      <c r="OK60" s="548"/>
      <c r="OL60" s="548"/>
      <c r="OM60" s="548"/>
      <c r="ON60" s="548"/>
      <c r="OO60" s="548"/>
      <c r="OP60" s="548"/>
      <c r="OQ60" s="548"/>
      <c r="OR60" s="548"/>
      <c r="OS60" s="548"/>
      <c r="OT60" s="548"/>
      <c r="OU60" s="548"/>
      <c r="OV60" s="548"/>
      <c r="OW60" s="548"/>
      <c r="OX60" s="548"/>
      <c r="OY60" s="548"/>
      <c r="OZ60" s="548"/>
      <c r="PA60" s="548"/>
      <c r="PB60" s="548"/>
      <c r="PC60" s="548"/>
      <c r="PD60" s="548"/>
      <c r="PE60" s="548"/>
      <c r="PF60" s="548"/>
      <c r="PG60" s="548"/>
      <c r="PH60" s="548"/>
      <c r="PI60" s="548"/>
      <c r="PJ60" s="548"/>
      <c r="PK60" s="548"/>
      <c r="PL60" s="548"/>
      <c r="PM60" s="548"/>
      <c r="PN60" s="548"/>
      <c r="PO60" s="548"/>
      <c r="PP60" s="548"/>
      <c r="PQ60" s="548"/>
      <c r="PR60" s="548"/>
      <c r="PS60" s="548"/>
      <c r="PT60" s="548"/>
      <c r="PU60" s="548"/>
      <c r="PV60" s="548"/>
      <c r="PW60" s="548"/>
      <c r="PX60" s="548"/>
      <c r="PY60" s="548"/>
      <c r="PZ60" s="548"/>
      <c r="QA60" s="548"/>
      <c r="QB60" s="548"/>
      <c r="QC60" s="548"/>
      <c r="QD60" s="548"/>
      <c r="QE60" s="548"/>
      <c r="QF60" s="548"/>
      <c r="QG60" s="548"/>
      <c r="QH60" s="548"/>
      <c r="QI60" s="548"/>
      <c r="QJ60" s="548"/>
      <c r="QK60" s="548"/>
      <c r="QL60" s="548"/>
      <c r="QM60" s="548"/>
      <c r="QN60" s="548"/>
      <c r="QO60" s="548"/>
      <c r="QP60" s="548"/>
      <c r="QQ60" s="1009"/>
      <c r="QR60" s="548"/>
      <c r="QS60" s="548"/>
      <c r="QT60" s="548"/>
      <c r="QU60" s="548"/>
      <c r="QV60" s="548"/>
      <c r="QW60" s="548"/>
      <c r="QX60" s="548"/>
      <c r="QY60" s="548"/>
      <c r="QZ60" s="548"/>
      <c r="RA60" s="548"/>
      <c r="RB60" s="548"/>
      <c r="RC60" s="548"/>
      <c r="RD60" s="548"/>
      <c r="RE60" s="548"/>
      <c r="RF60" s="548"/>
      <c r="RG60" s="548"/>
      <c r="RH60" s="548"/>
      <c r="RI60" s="548"/>
      <c r="RJ60" s="548"/>
      <c r="RK60" s="548"/>
      <c r="RL60" s="548"/>
      <c r="RM60" s="548"/>
      <c r="RN60" s="548"/>
      <c r="RO60" s="548"/>
      <c r="RP60" s="548"/>
      <c r="RQ60" s="548"/>
      <c r="RR60" s="548"/>
      <c r="RS60" s="548"/>
      <c r="RT60" s="548"/>
      <c r="RU60" s="548"/>
      <c r="RV60" s="548"/>
      <c r="RW60" s="548"/>
      <c r="RX60" s="548"/>
      <c r="RY60" s="548"/>
      <c r="RZ60" s="548"/>
      <c r="SA60" s="548"/>
      <c r="SB60" s="548"/>
      <c r="SC60" s="548"/>
      <c r="SD60" s="548"/>
      <c r="SE60" s="548"/>
      <c r="SF60" s="548"/>
      <c r="SG60" s="548"/>
      <c r="SH60" s="548"/>
      <c r="SI60" s="548"/>
      <c r="SJ60" s="548"/>
      <c r="SK60" s="548"/>
      <c r="SL60" s="548"/>
      <c r="SM60" s="548"/>
      <c r="SN60" s="548"/>
      <c r="SO60" s="548"/>
      <c r="SP60" s="548"/>
      <c r="SQ60" s="548"/>
      <c r="SR60" s="548"/>
      <c r="SS60" s="548"/>
      <c r="ST60" s="548"/>
      <c r="SU60" s="548"/>
      <c r="SV60" s="548"/>
      <c r="SW60" s="548"/>
      <c r="SX60" s="548"/>
      <c r="SY60" s="548"/>
      <c r="SZ60" s="548"/>
      <c r="TA60" s="548"/>
      <c r="TB60" s="548"/>
      <c r="TC60" s="548"/>
      <c r="TD60" s="548"/>
      <c r="TE60" s="548"/>
      <c r="TF60" s="548"/>
      <c r="TG60" s="548"/>
      <c r="TH60" s="548"/>
      <c r="TI60" s="548"/>
      <c r="TJ60" s="548"/>
      <c r="TK60" s="548"/>
      <c r="TL60" s="548"/>
      <c r="TM60" s="548"/>
      <c r="TN60" s="548"/>
      <c r="TO60" s="548"/>
      <c r="TP60" s="548"/>
      <c r="TQ60" s="548"/>
      <c r="TR60" s="548"/>
      <c r="TS60" s="548"/>
      <c r="TT60" s="548"/>
      <c r="TU60" s="548"/>
      <c r="TV60" s="548"/>
      <c r="TW60" s="548"/>
      <c r="TX60" s="548"/>
      <c r="TY60" s="548"/>
      <c r="TZ60" s="548"/>
      <c r="UA60" s="548"/>
      <c r="UB60" s="548"/>
      <c r="UC60" s="548"/>
      <c r="UD60" s="548"/>
      <c r="UE60" s="548"/>
      <c r="UF60" s="548"/>
      <c r="UG60" s="548"/>
      <c r="UH60" s="548"/>
      <c r="UI60" s="548"/>
      <c r="UJ60" s="548"/>
      <c r="UK60" s="548"/>
      <c r="UL60" s="548"/>
      <c r="UM60" s="548"/>
      <c r="UN60" s="548"/>
      <c r="UO60" s="548"/>
      <c r="UP60" s="548"/>
      <c r="UQ60" s="548"/>
      <c r="UR60" s="548"/>
      <c r="US60" s="548"/>
      <c r="UT60" s="548"/>
      <c r="UU60" s="548"/>
      <c r="UV60" s="548"/>
      <c r="UW60" s="548"/>
      <c r="UX60" s="548"/>
      <c r="UY60" s="548"/>
      <c r="UZ60" s="548"/>
      <c r="VA60" s="548"/>
      <c r="VB60" s="548"/>
      <c r="VC60" s="548"/>
      <c r="VD60" s="548"/>
      <c r="VE60" s="548"/>
      <c r="VF60" s="548"/>
      <c r="VG60" s="548"/>
      <c r="VH60" s="548"/>
      <c r="VI60" s="548"/>
      <c r="VJ60" s="548"/>
      <c r="VK60" s="548"/>
      <c r="VL60" s="548"/>
      <c r="VM60" s="548"/>
      <c r="VN60" s="548"/>
      <c r="VO60" s="548"/>
      <c r="VP60" s="548"/>
      <c r="VQ60" s="548"/>
      <c r="VR60" s="548"/>
      <c r="VS60" s="548"/>
      <c r="VT60" s="548"/>
      <c r="VU60" s="548"/>
      <c r="VV60" s="548"/>
      <c r="VW60" s="548"/>
      <c r="VX60" s="548"/>
      <c r="VY60" s="548"/>
      <c r="VZ60" s="548"/>
      <c r="WA60" s="548"/>
      <c r="WB60" s="548"/>
      <c r="WC60" s="548"/>
      <c r="WD60" s="548"/>
      <c r="WE60" s="548"/>
      <c r="WF60" s="548"/>
      <c r="WG60" s="548"/>
      <c r="WH60" s="548"/>
      <c r="WI60" s="548"/>
      <c r="WJ60" s="548"/>
      <c r="WK60" s="548"/>
      <c r="WL60" s="548"/>
      <c r="WM60" s="548"/>
      <c r="WN60" s="548"/>
      <c r="WO60" s="548"/>
      <c r="WP60" s="548"/>
      <c r="WQ60" s="548"/>
      <c r="WR60" s="548"/>
      <c r="WS60" s="548"/>
      <c r="WT60" s="548"/>
      <c r="WU60" s="548"/>
      <c r="WV60" s="548"/>
      <c r="WW60" s="548"/>
      <c r="WX60" s="548"/>
      <c r="WY60" s="548"/>
      <c r="WZ60" s="548"/>
      <c r="XA60" s="548"/>
      <c r="XB60" s="548"/>
      <c r="XC60" s="548"/>
      <c r="XD60" s="548"/>
      <c r="XE60" s="548"/>
      <c r="XF60" s="548"/>
      <c r="XG60" s="548"/>
      <c r="XH60" s="548"/>
      <c r="XI60" s="548"/>
      <c r="XJ60" s="548"/>
      <c r="XK60" s="548"/>
      <c r="XL60" s="548"/>
      <c r="XM60" s="548"/>
      <c r="XN60" s="548"/>
      <c r="XO60" s="548"/>
      <c r="XP60" s="548"/>
      <c r="XQ60" s="548"/>
      <c r="XR60" s="548"/>
      <c r="XS60" s="548"/>
      <c r="XT60" s="548"/>
      <c r="XU60" s="548"/>
      <c r="XV60" s="548"/>
      <c r="XW60" s="548"/>
      <c r="XX60" s="548"/>
      <c r="XY60" s="548"/>
      <c r="XZ60" s="548"/>
      <c r="YA60" s="548"/>
      <c r="YB60" s="548"/>
      <c r="YC60" s="548"/>
      <c r="YD60" s="548"/>
      <c r="YE60" s="548"/>
      <c r="YF60" s="548"/>
      <c r="YG60" s="548"/>
      <c r="YH60" s="548"/>
      <c r="YI60" s="548"/>
      <c r="YJ60" s="548"/>
      <c r="YK60" s="548"/>
      <c r="YL60" s="548"/>
      <c r="YM60" s="548"/>
      <c r="YN60" s="548"/>
      <c r="YO60" s="548"/>
      <c r="YP60" s="548"/>
      <c r="YQ60" s="548"/>
      <c r="YR60" s="548"/>
      <c r="YS60" s="548"/>
      <c r="YT60" s="548"/>
      <c r="YU60" s="548"/>
      <c r="YV60" s="548"/>
      <c r="YW60" s="548"/>
      <c r="YX60" s="548"/>
      <c r="YY60" s="548"/>
      <c r="YZ60" s="548"/>
      <c r="ZA60" s="548"/>
      <c r="ZB60" s="548"/>
      <c r="ZC60" s="548"/>
      <c r="ZD60" s="548"/>
      <c r="ZE60" s="548"/>
      <c r="ZF60" s="548"/>
      <c r="ZG60" s="548"/>
      <c r="ZH60" s="548"/>
      <c r="ZI60" s="548"/>
      <c r="ZJ60" s="548"/>
      <c r="ZK60" s="548"/>
      <c r="ZL60" s="548"/>
      <c r="ZM60" s="548"/>
      <c r="ZN60" s="548"/>
      <c r="ZO60" s="548"/>
      <c r="ZP60" s="548"/>
      <c r="ZQ60" s="548"/>
      <c r="ZR60" s="548"/>
      <c r="ZS60" s="548"/>
      <c r="ZT60" s="548"/>
      <c r="ZU60" s="548"/>
      <c r="ZV60" s="548"/>
      <c r="ZW60" s="548"/>
      <c r="ZX60" s="548"/>
      <c r="ZY60" s="548"/>
      <c r="ZZ60" s="548"/>
      <c r="AAA60" s="548"/>
      <c r="AAB60" s="548"/>
      <c r="AAC60" s="548"/>
      <c r="AAD60" s="548"/>
      <c r="AAE60" s="548"/>
      <c r="AAF60" s="548"/>
      <c r="AAG60" s="548"/>
      <c r="AAH60" s="548"/>
      <c r="AAI60" s="548"/>
      <c r="AAJ60" s="548"/>
      <c r="AAK60" s="548"/>
      <c r="AAL60" s="548"/>
      <c r="AAM60" s="548"/>
      <c r="AAN60" s="548"/>
      <c r="AAO60" s="548"/>
      <c r="AAP60" s="548"/>
      <c r="AAQ60" s="548"/>
      <c r="AAR60" s="548"/>
      <c r="AAS60" s="548"/>
      <c r="AAT60" s="548"/>
      <c r="AAU60" s="548"/>
      <c r="AAV60" s="548"/>
      <c r="AAW60" s="548"/>
      <c r="AAX60" s="548"/>
      <c r="AAY60" s="548"/>
      <c r="AAZ60" s="548"/>
      <c r="ABA60" s="548"/>
      <c r="ABB60" s="548"/>
      <c r="ABC60" s="548"/>
      <c r="ABD60" s="548"/>
      <c r="ABE60" s="548"/>
      <c r="ABF60" s="548"/>
      <c r="ABG60" s="548"/>
      <c r="ABH60" s="548"/>
      <c r="ABI60" s="548"/>
      <c r="ABJ60" s="548"/>
      <c r="ABK60" s="548"/>
      <c r="ABL60" s="548"/>
      <c r="ABM60" s="548"/>
      <c r="ABN60" s="548"/>
      <c r="ABO60" s="548"/>
      <c r="ABP60" s="548"/>
      <c r="ABQ60" s="548"/>
      <c r="ABR60" s="548"/>
      <c r="ABS60" s="548"/>
    </row>
    <row r="61" spans="1:747" customFormat="1" ht="15" customHeight="1" x14ac:dyDescent="0.2">
      <c r="A61" s="424" t="str">
        <f t="shared" si="149"/>
        <v/>
      </c>
      <c r="B61" s="415"/>
      <c r="C61" s="525"/>
      <c r="D61" s="750"/>
      <c r="E61" s="416" t="str">
        <f t="shared" si="393"/>
        <v/>
      </c>
      <c r="F61" s="527" t="str">
        <f t="shared" si="394"/>
        <v/>
      </c>
      <c r="G61" s="417"/>
      <c r="H61" s="583" t="str">
        <f t="shared" si="395"/>
        <v/>
      </c>
      <c r="I61" s="424"/>
      <c r="J61" s="419"/>
      <c r="K61" s="418"/>
      <c r="L61" s="419"/>
      <c r="M61" s="415"/>
      <c r="N61" s="420"/>
      <c r="O61" s="421"/>
      <c r="P61" s="561"/>
      <c r="Q61" s="422"/>
      <c r="R61" s="561" t="str">
        <f t="shared" si="396"/>
        <v/>
      </c>
      <c r="S61" s="664"/>
      <c r="T61" s="663"/>
      <c r="U61" s="580">
        <f t="shared" si="397"/>
        <v>0</v>
      </c>
      <c r="V61" s="418"/>
      <c r="W61" s="582" t="str">
        <f t="shared" si="398"/>
        <v/>
      </c>
      <c r="X61" s="479" t="str">
        <f t="shared" si="399"/>
        <v/>
      </c>
      <c r="Y61" s="582" t="str">
        <f t="shared" si="400"/>
        <v/>
      </c>
      <c r="Z61" s="317" t="str">
        <f t="shared" si="401"/>
        <v/>
      </c>
      <c r="AA61" s="317" t="str">
        <f t="shared" si="402"/>
        <v/>
      </c>
      <c r="AB61" s="317">
        <f t="shared" si="403"/>
        <v>0</v>
      </c>
      <c r="AC61" s="317" t="str">
        <f t="shared" si="404"/>
        <v/>
      </c>
      <c r="AD61" s="479"/>
      <c r="AE61" s="479"/>
      <c r="AF61" s="479"/>
      <c r="AG61" s="423"/>
      <c r="AH61" s="820"/>
      <c r="AI61" s="480"/>
      <c r="AJ61" s="660"/>
      <c r="AK61" s="524" t="str">
        <f t="shared" si="405"/>
        <v/>
      </c>
      <c r="AL61" s="731">
        <f>SUMIF($J$4:$J$102,"Rolê",$S$4:$S$102)</f>
        <v>0</v>
      </c>
      <c r="AM61" s="732">
        <f>SUMIF($J$4:$J$102,"Rolê",$T$4:$T$102)</f>
        <v>0</v>
      </c>
      <c r="AN61" s="426">
        <f t="shared" si="406"/>
        <v>0</v>
      </c>
      <c r="AO61" s="427" t="str">
        <f t="shared" si="407"/>
        <v/>
      </c>
      <c r="AP61" s="426" t="str">
        <f t="shared" si="408"/>
        <v/>
      </c>
      <c r="AQ61" s="426"/>
      <c r="AR61" s="426"/>
      <c r="AS61" s="428"/>
      <c r="AT61" s="429"/>
      <c r="AU61" s="430"/>
      <c r="AV61" s="431"/>
      <c r="AW61" s="432"/>
      <c r="AX61" s="430"/>
      <c r="AY61" s="431">
        <f t="shared" si="409"/>
        <v>0</v>
      </c>
      <c r="AZ61" s="426"/>
      <c r="BA61" s="435" t="str">
        <f t="shared" si="410"/>
        <v/>
      </c>
      <c r="BB61" s="435"/>
      <c r="BC61" s="426"/>
      <c r="BD61" s="426">
        <f t="array" ref="BD61">IF(SUM((BC61=$BC$3:BC60)*1)=0,BC61,0)</f>
        <v>0</v>
      </c>
      <c r="BE61" s="426"/>
      <c r="BF61" s="426"/>
      <c r="BG61" s="426">
        <f t="array" ref="BG61">IF(SUM((BF61=$BF$3:BF60)*1)=0,BF61,0)</f>
        <v>0</v>
      </c>
      <c r="BH61" s="426"/>
      <c r="BI61" s="426"/>
      <c r="BJ61" s="426"/>
      <c r="BK61" s="426"/>
      <c r="BL61" s="426"/>
      <c r="BM61" s="426"/>
      <c r="BN61" s="426"/>
      <c r="BO61" s="426"/>
      <c r="BP61" s="433">
        <f t="shared" si="411"/>
        <v>0</v>
      </c>
      <c r="BQ61" s="426"/>
      <c r="BR61" s="434"/>
      <c r="BS61" s="426"/>
      <c r="BT61" s="433"/>
      <c r="BU61" s="435"/>
      <c r="BV61" s="435" t="str">
        <f t="shared" si="412"/>
        <v/>
      </c>
      <c r="BW61" s="435" t="str">
        <f t="shared" si="38"/>
        <v/>
      </c>
      <c r="BX61" s="435"/>
      <c r="BY61" s="435"/>
      <c r="BZ61" s="435"/>
      <c r="CA61" s="435"/>
      <c r="CB61" s="435"/>
      <c r="CC61" s="435"/>
      <c r="CD61" s="435"/>
      <c r="CE61" s="435"/>
      <c r="CF61" s="435"/>
      <c r="CG61" s="435"/>
      <c r="CH61" s="435"/>
      <c r="CI61" s="435"/>
      <c r="CJ61" s="426" t="str">
        <f t="shared" si="39"/>
        <v/>
      </c>
      <c r="CK61" s="435"/>
      <c r="CL61" s="426"/>
      <c r="CM61" s="435"/>
      <c r="CN61" s="426"/>
      <c r="CO61" s="426"/>
      <c r="CP61" s="426"/>
      <c r="CQ61" s="426"/>
      <c r="CR61" s="426"/>
      <c r="CS61" s="426"/>
      <c r="CT61" s="426"/>
      <c r="CU61" s="426"/>
      <c r="CV61" s="426"/>
      <c r="CW61" s="426"/>
      <c r="CX61" s="426"/>
      <c r="CY61" s="426">
        <v>58</v>
      </c>
      <c r="CZ61" s="426"/>
      <c r="DA61" s="426"/>
      <c r="DB61" s="426"/>
      <c r="DC61" s="426" t="s">
        <v>801</v>
      </c>
      <c r="DD61" s="426" t="s">
        <v>961</v>
      </c>
      <c r="DE61" s="435" t="str">
        <f t="shared" si="40"/>
        <v/>
      </c>
      <c r="DF61" s="435" t="str">
        <f t="shared" si="41"/>
        <v/>
      </c>
      <c r="DG61" s="435" t="str">
        <f t="shared" si="42"/>
        <v/>
      </c>
      <c r="DH61" s="435" t="str">
        <f t="shared" si="43"/>
        <v/>
      </c>
      <c r="DI61" s="435" t="str">
        <f t="shared" si="44"/>
        <v/>
      </c>
      <c r="DJ61" s="435" t="str">
        <f t="shared" si="45"/>
        <v/>
      </c>
      <c r="DK61" s="435" t="str">
        <f t="shared" si="413"/>
        <v/>
      </c>
      <c r="DL61" s="435" t="str">
        <f t="shared" si="414"/>
        <v/>
      </c>
      <c r="DM61" s="435" t="str">
        <f t="shared" si="46"/>
        <v/>
      </c>
      <c r="DN61" s="435" t="str">
        <f t="shared" si="47"/>
        <v/>
      </c>
      <c r="DO61" s="435" t="str">
        <f t="shared" si="415"/>
        <v/>
      </c>
      <c r="DP61" s="435" t="str">
        <f t="shared" si="416"/>
        <v/>
      </c>
      <c r="DQ61" s="435" t="str">
        <f t="shared" si="48"/>
        <v/>
      </c>
      <c r="DR61" s="435" t="str">
        <f t="shared" si="49"/>
        <v/>
      </c>
      <c r="DS61" s="435" t="str">
        <f t="shared" si="417"/>
        <v/>
      </c>
      <c r="DT61" s="435" t="str">
        <f t="shared" si="418"/>
        <v/>
      </c>
      <c r="DU61" s="435" t="str">
        <f t="shared" si="50"/>
        <v/>
      </c>
      <c r="DV61" s="435" t="str">
        <f t="shared" si="51"/>
        <v/>
      </c>
      <c r="DW61" s="435" t="str">
        <f t="shared" si="419"/>
        <v/>
      </c>
      <c r="DX61" s="435" t="str">
        <f t="shared" si="420"/>
        <v/>
      </c>
      <c r="DY61" s="435" t="str">
        <f t="shared" si="52"/>
        <v/>
      </c>
      <c r="DZ61" s="435" t="str">
        <f t="shared" si="53"/>
        <v/>
      </c>
      <c r="EA61" s="435" t="str">
        <f t="shared" si="421"/>
        <v/>
      </c>
      <c r="EB61" s="435" t="str">
        <f t="shared" si="422"/>
        <v/>
      </c>
      <c r="EC61" s="435" t="str">
        <f t="shared" si="423"/>
        <v/>
      </c>
      <c r="ED61" s="435" t="str">
        <f t="shared" si="424"/>
        <v/>
      </c>
      <c r="EE61" s="435" t="str">
        <f t="shared" si="425"/>
        <v/>
      </c>
      <c r="EF61" s="435" t="str">
        <f t="shared" si="426"/>
        <v/>
      </c>
      <c r="EG61" s="435" t="str">
        <f t="shared" si="427"/>
        <v/>
      </c>
      <c r="EH61" s="435" t="str">
        <f t="shared" si="428"/>
        <v/>
      </c>
      <c r="EI61" s="435" t="str">
        <f t="shared" si="429"/>
        <v/>
      </c>
      <c r="EJ61" s="435" t="str">
        <f t="shared" si="430"/>
        <v/>
      </c>
      <c r="EK61" s="485"/>
      <c r="EL61" s="485"/>
      <c r="EM61" s="485"/>
      <c r="EN61" s="485"/>
      <c r="EO61" s="448"/>
      <c r="EP61" s="448"/>
      <c r="EQ61" s="448"/>
      <c r="ER61" s="448"/>
      <c r="ES61" s="448"/>
      <c r="ET61" s="435"/>
      <c r="EU61" s="435"/>
      <c r="EV61" s="435"/>
      <c r="EW61" s="435"/>
      <c r="EX61" s="426"/>
      <c r="EY61" s="426"/>
      <c r="EZ61" s="426"/>
      <c r="FA61" s="427"/>
      <c r="FB61" s="427">
        <f t="array" ref="FB61">IF(SUM((FA61=$FA$3:FA60)*1)=0,FA61,0)</f>
        <v>0</v>
      </c>
      <c r="FC61" s="427"/>
      <c r="FD61" s="427"/>
      <c r="FE61" s="427">
        <f t="array" ref="FE61">IF(SUM((FD61=$FD$3:FD60)*1)=0,FD61,0)</f>
        <v>0</v>
      </c>
      <c r="FF61" s="427"/>
      <c r="FG61" s="427"/>
      <c r="FH61" s="427"/>
      <c r="FI61" s="427">
        <f t="array" ref="FI61">IF(SUM((FH61=$FH$3:FH60)*1)=0,FH61,0)</f>
        <v>0</v>
      </c>
      <c r="FJ61" s="427"/>
      <c r="FK61" s="427"/>
      <c r="FL61" s="427">
        <f t="array" ref="FL61">IF(SUM((FK61=$FK$3:FK60)*1)=0,FK61,0)</f>
        <v>0</v>
      </c>
      <c r="FM61" s="427"/>
      <c r="FN61" s="427"/>
      <c r="FO61" s="427"/>
      <c r="FP61" s="427">
        <f t="array" ref="FP61">IF(SUM((FO61=$FO$3:FO60)*1)=0,FO61,0)</f>
        <v>0</v>
      </c>
      <c r="FQ61" s="427"/>
      <c r="FR61" s="427"/>
      <c r="FS61" s="427">
        <f t="array" ref="FS61">IF(SUM((FR61=$FR$3:FR60)*1)=0,FR61,0)</f>
        <v>0</v>
      </c>
      <c r="FT61" s="427"/>
      <c r="FU61" s="427"/>
      <c r="FV61" s="427"/>
      <c r="FW61" s="427">
        <f t="array" ref="FW61">IF(SUM((FV61=$FV$3:FV60)*1)=0,FV61,0)</f>
        <v>0</v>
      </c>
      <c r="FX61" s="427"/>
      <c r="FY61" s="427"/>
      <c r="FZ61" s="427">
        <f t="array" ref="FZ61">IF(SUM((FY61=$FY$3:FY60)*1)=0,FY61,0)</f>
        <v>0</v>
      </c>
      <c r="GA61" s="427"/>
      <c r="GB61" s="427"/>
      <c r="GC61" s="427"/>
      <c r="GD61" s="427">
        <f t="array" ref="GD61">IF(SUM((GC61=$GC$3:GC60)*1)=0,GC61,0)</f>
        <v>0</v>
      </c>
      <c r="GE61" s="427"/>
      <c r="GF61" s="427"/>
      <c r="GG61" s="427">
        <f t="array" ref="GG61">IF(SUM((GF61=$GF$3:GF60)*1)=0,GF61,0)</f>
        <v>0</v>
      </c>
      <c r="GH61" s="427"/>
      <c r="GI61" s="427"/>
      <c r="GJ61" s="427"/>
      <c r="GK61" s="798">
        <f t="array" ref="GK61">IF(SUM((GJ61=$GJ$3:GJ60)*1)=0,GJ61,0)</f>
        <v>0</v>
      </c>
      <c r="GL61" s="427"/>
      <c r="GM61" s="427"/>
      <c r="GN61" s="798">
        <f t="array" ref="GN61">IF(SUM((GM61=$GM$3:GM60)*1)=0,GM61,0)</f>
        <v>0</v>
      </c>
      <c r="GO61" s="427"/>
      <c r="GP61" s="427"/>
      <c r="GQ61" s="427"/>
      <c r="GR61" s="798">
        <f t="array" ref="GR61">IF(SUM((GQ61=$GQ$3:GQ60)*1)=0,GQ61,0)</f>
        <v>0</v>
      </c>
      <c r="GS61" s="427"/>
      <c r="GT61" s="427"/>
      <c r="GU61" s="798">
        <f t="array" ref="GU61">IF(SUM((GT61=$GT$3:GT60)*1)=0,GT61,0)</f>
        <v>0</v>
      </c>
      <c r="GV61" s="427"/>
      <c r="GW61" s="427"/>
      <c r="GX61" s="427"/>
      <c r="GY61" s="798">
        <f t="array" ref="GY61">IF(SUM((GX61=$GX$3:GX60)*1)=0,GX61,0)</f>
        <v>0</v>
      </c>
      <c r="GZ61" s="427"/>
      <c r="HA61" s="427"/>
      <c r="HB61" s="798">
        <f t="array" ref="HB61">IF(SUM((HA61=$HA$3:HA60)*1)=0,HA61,0)</f>
        <v>0</v>
      </c>
      <c r="HC61" s="427"/>
      <c r="HD61" s="427"/>
      <c r="HE61" s="769" t="str">
        <f t="shared" si="130"/>
        <v/>
      </c>
      <c r="HF61" s="768" t="str">
        <f t="shared" ref="HF61" si="688">IF(HE61&lt;0,"Invadiu REP-BA-C","")</f>
        <v/>
      </c>
      <c r="HG61" s="769" t="str">
        <f t="shared" si="131"/>
        <v/>
      </c>
      <c r="HH61" s="768" t="str">
        <f t="shared" si="55"/>
        <v/>
      </c>
      <c r="HI61" s="728" t="str">
        <f t="shared" si="132"/>
        <v/>
      </c>
      <c r="HJ61" s="768" t="str">
        <f t="shared" si="56"/>
        <v/>
      </c>
      <c r="HK61" s="728" t="str">
        <f t="shared" si="133"/>
        <v/>
      </c>
      <c r="HL61" s="768" t="str">
        <f t="shared" si="57"/>
        <v/>
      </c>
      <c r="HM61" s="769" t="str">
        <f t="shared" si="441"/>
        <v/>
      </c>
      <c r="HN61" s="768" t="str">
        <f t="shared" ref="HN61" si="689">IF(HM61&lt;0,"Invadiu REP-BA-C","")</f>
        <v/>
      </c>
      <c r="HO61" s="769" t="str">
        <f t="shared" si="443"/>
        <v/>
      </c>
      <c r="HP61" s="768" t="str">
        <f t="shared" si="61"/>
        <v/>
      </c>
      <c r="HQ61" s="728" t="str">
        <f t="shared" si="444"/>
        <v/>
      </c>
      <c r="HR61" s="768" t="str">
        <f t="shared" si="63"/>
        <v/>
      </c>
      <c r="HS61" s="728" t="str">
        <f t="shared" si="445"/>
        <v/>
      </c>
      <c r="HT61" s="768" t="str">
        <f t="shared" si="65"/>
        <v/>
      </c>
      <c r="HU61" s="769" t="str">
        <f t="shared" si="446"/>
        <v/>
      </c>
      <c r="HV61" s="768" t="str">
        <f t="shared" ref="HV61" si="690">IF(HU61&lt;0,"Invadiu REP-BA-C","")</f>
        <v/>
      </c>
      <c r="HW61" s="769" t="str">
        <f t="shared" si="448"/>
        <v/>
      </c>
      <c r="HX61" s="768" t="str">
        <f t="shared" si="69"/>
        <v/>
      </c>
      <c r="HY61" s="728" t="str">
        <f t="shared" si="449"/>
        <v/>
      </c>
      <c r="HZ61" s="768" t="str">
        <f t="shared" si="71"/>
        <v/>
      </c>
      <c r="IA61" s="728" t="str">
        <f t="shared" si="450"/>
        <v/>
      </c>
      <c r="IB61" s="768" t="str">
        <f t="shared" si="73"/>
        <v/>
      </c>
      <c r="IC61" s="769" t="str">
        <f t="shared" si="451"/>
        <v/>
      </c>
      <c r="ID61" s="768" t="str">
        <f t="shared" ref="ID61" si="691">IF(IC61&lt;0,"Invadiu REP-BA-C","")</f>
        <v/>
      </c>
      <c r="IE61" s="769" t="str">
        <f t="shared" si="453"/>
        <v/>
      </c>
      <c r="IF61" s="768" t="str">
        <f t="shared" si="77"/>
        <v/>
      </c>
      <c r="IG61" s="728" t="str">
        <f t="shared" si="454"/>
        <v/>
      </c>
      <c r="IH61" s="768" t="str">
        <f t="shared" si="79"/>
        <v/>
      </c>
      <c r="II61" s="728" t="str">
        <f t="shared" si="455"/>
        <v/>
      </c>
      <c r="IJ61" s="768" t="str">
        <f t="shared" si="81"/>
        <v/>
      </c>
      <c r="IK61" s="769" t="str">
        <f t="shared" si="456"/>
        <v/>
      </c>
      <c r="IL61" s="768" t="str">
        <f t="shared" ref="IL61" si="692">IF(IK61&lt;0,"Invadiu REP-BA-C","")</f>
        <v/>
      </c>
      <c r="IM61" s="769" t="str">
        <f t="shared" si="458"/>
        <v/>
      </c>
      <c r="IN61" s="768" t="str">
        <f t="shared" si="85"/>
        <v/>
      </c>
      <c r="IO61" s="728" t="str">
        <f t="shared" si="459"/>
        <v/>
      </c>
      <c r="IP61" s="768" t="str">
        <f t="shared" si="87"/>
        <v/>
      </c>
      <c r="IQ61" s="728" t="str">
        <f t="shared" si="460"/>
        <v/>
      </c>
      <c r="IR61" s="768" t="str">
        <f t="shared" si="89"/>
        <v/>
      </c>
      <c r="IS61" s="769" t="str">
        <f t="shared" si="461"/>
        <v/>
      </c>
      <c r="IT61" s="768" t="str">
        <f t="shared" ref="IT61" si="693">IF(IS61&lt;0,"Invadiu REP-BA-C","")</f>
        <v/>
      </c>
      <c r="IU61" s="769" t="str">
        <f t="shared" si="463"/>
        <v/>
      </c>
      <c r="IV61" s="768" t="str">
        <f t="shared" si="93"/>
        <v/>
      </c>
      <c r="IW61" s="728" t="str">
        <f t="shared" si="464"/>
        <v/>
      </c>
      <c r="IX61" s="768" t="str">
        <f t="shared" si="95"/>
        <v/>
      </c>
      <c r="IY61" s="728" t="str">
        <f t="shared" si="465"/>
        <v/>
      </c>
      <c r="IZ61" s="768" t="str">
        <f t="shared" si="97"/>
        <v/>
      </c>
      <c r="JA61" s="769" t="str">
        <f t="shared" si="466"/>
        <v/>
      </c>
      <c r="JB61" s="768" t="str">
        <f t="shared" ref="JB61" si="694">IF(JA61&lt;0,"Invadiu REP-BA-C","")</f>
        <v/>
      </c>
      <c r="JC61" s="769" t="str">
        <f t="shared" si="468"/>
        <v/>
      </c>
      <c r="JD61" s="768" t="str">
        <f t="shared" si="101"/>
        <v/>
      </c>
      <c r="JE61" s="728" t="str">
        <f t="shared" si="469"/>
        <v/>
      </c>
      <c r="JF61" s="768" t="str">
        <f t="shared" si="103"/>
        <v/>
      </c>
      <c r="JG61" s="728" t="str">
        <f t="shared" si="470"/>
        <v/>
      </c>
      <c r="JH61" s="768" t="str">
        <f t="shared" si="105"/>
        <v/>
      </c>
      <c r="JI61" s="769" t="str">
        <f t="shared" si="471"/>
        <v/>
      </c>
      <c r="JJ61" s="768" t="str">
        <f t="shared" ref="JJ61" si="695">IF(JI61&lt;0,"Invadiu REP-BA-C","")</f>
        <v/>
      </c>
      <c r="JK61" s="769" t="str">
        <f t="shared" si="473"/>
        <v/>
      </c>
      <c r="JL61" s="768" t="str">
        <f t="shared" si="109"/>
        <v/>
      </c>
      <c r="JM61" s="728" t="str">
        <f t="shared" si="474"/>
        <v/>
      </c>
      <c r="JN61" s="768" t="str">
        <f t="shared" si="111"/>
        <v/>
      </c>
      <c r="JO61" s="728" t="str">
        <f t="shared" si="475"/>
        <v/>
      </c>
      <c r="JP61" s="768" t="str">
        <f t="shared" si="113"/>
        <v/>
      </c>
      <c r="JQ61" s="769" t="str">
        <f t="shared" si="476"/>
        <v/>
      </c>
      <c r="JR61" s="768" t="str">
        <f t="shared" ref="JR61" si="696">IF(JQ61&lt;0,"Invadiu REP-BA-C","")</f>
        <v/>
      </c>
      <c r="JS61" s="769" t="str">
        <f t="shared" si="478"/>
        <v/>
      </c>
      <c r="JT61" s="768" t="str">
        <f t="shared" si="117"/>
        <v/>
      </c>
      <c r="JU61" s="728" t="str">
        <f t="shared" si="479"/>
        <v/>
      </c>
      <c r="JV61" s="768" t="str">
        <f t="shared" si="119"/>
        <v/>
      </c>
      <c r="JW61" s="728" t="str">
        <f t="shared" si="480"/>
        <v/>
      </c>
      <c r="JX61" s="768" t="str">
        <f t="shared" si="121"/>
        <v/>
      </c>
      <c r="JY61" s="768" t="str">
        <f t="shared" si="122"/>
        <v/>
      </c>
      <c r="JZ61" s="485" t="str">
        <f>IF(JY61="","",IF(AND(C61=$C$164,JY61&lt;&gt;""),Verificarcpf(D61),IF(AND(C61=$C$165,JY61&lt;&gt;""),VerificarCNPJ(D61))))</f>
        <v/>
      </c>
      <c r="KA61" s="768" t="str">
        <f t="shared" si="123"/>
        <v/>
      </c>
      <c r="KB61" s="485">
        <f t="shared" si="124"/>
        <v>0</v>
      </c>
      <c r="KC61" s="768">
        <f t="shared" si="125"/>
        <v>0</v>
      </c>
      <c r="KD61" s="485">
        <f t="shared" si="126"/>
        <v>0</v>
      </c>
      <c r="KE61" s="448"/>
      <c r="KF61" s="548"/>
      <c r="KG61" s="548"/>
      <c r="KH61" s="548"/>
      <c r="KI61" s="548"/>
      <c r="KJ61" s="548" t="str">
        <f t="shared" si="128"/>
        <v/>
      </c>
      <c r="KK61" s="548"/>
      <c r="KL61" s="548"/>
      <c r="KM61" s="548">
        <f t="array" ref="KM61">IF(SUM((KL61=$KL$3:KL60)*1)=0,KL61,0)</f>
        <v>0</v>
      </c>
      <c r="KN61" s="548"/>
      <c r="KO61" s="548"/>
      <c r="KP61" s="548"/>
      <c r="KQ61" s="548"/>
      <c r="KR61" s="548" t="str">
        <f t="shared" si="129"/>
        <v/>
      </c>
      <c r="KS61" s="548"/>
      <c r="KT61" s="548"/>
      <c r="KU61" s="548"/>
      <c r="KV61" s="548"/>
      <c r="KW61" s="548"/>
      <c r="KX61" s="548"/>
      <c r="KY61" s="548"/>
      <c r="KZ61" s="548"/>
      <c r="LA61" s="548"/>
      <c r="LB61" s="548"/>
      <c r="LC61" s="485" t="str">
        <f t="shared" si="142"/>
        <v/>
      </c>
      <c r="LD61" s="548"/>
      <c r="LE61" s="548"/>
      <c r="LF61" s="548"/>
      <c r="LG61" s="548"/>
      <c r="LH61" s="548"/>
      <c r="LI61" s="548"/>
      <c r="LJ61" s="548"/>
      <c r="LK61" s="548"/>
      <c r="LL61" s="548"/>
      <c r="LM61" s="548"/>
      <c r="LN61" s="548"/>
      <c r="LO61" s="548"/>
      <c r="LP61" s="485" t="str">
        <f t="shared" si="143"/>
        <v/>
      </c>
      <c r="LQ61" s="548"/>
      <c r="LR61" s="548"/>
      <c r="LS61" s="548"/>
      <c r="LT61" s="548"/>
      <c r="LU61" s="548"/>
      <c r="LV61" s="548"/>
      <c r="LW61" s="548"/>
      <c r="LX61" s="548"/>
      <c r="LY61" s="548"/>
      <c r="LZ61" s="548"/>
      <c r="MA61" s="548"/>
      <c r="MB61" s="548"/>
      <c r="MC61" s="485" t="str">
        <f t="shared" si="144"/>
        <v/>
      </c>
      <c r="MD61" s="548"/>
      <c r="ME61" s="548"/>
      <c r="MF61" s="548"/>
      <c r="MG61" s="548"/>
      <c r="MH61" s="548"/>
      <c r="MI61" s="548"/>
      <c r="MJ61" s="548"/>
      <c r="MK61" s="548"/>
      <c r="ML61" s="548"/>
      <c r="MM61" s="548"/>
      <c r="MN61" s="548"/>
      <c r="MO61" s="548"/>
      <c r="MP61" s="485" t="str">
        <f t="shared" si="145"/>
        <v/>
      </c>
      <c r="MQ61" s="548"/>
      <c r="MR61" s="548"/>
      <c r="MS61" s="548"/>
      <c r="MT61" s="548"/>
      <c r="MU61" s="548"/>
      <c r="MV61" s="548"/>
      <c r="MW61" s="548"/>
      <c r="MX61" s="548"/>
      <c r="MY61" s="548"/>
      <c r="MZ61" s="548"/>
      <c r="NA61" s="548"/>
      <c r="NB61" s="548"/>
      <c r="NC61" s="485" t="str">
        <f t="shared" si="146"/>
        <v/>
      </c>
      <c r="ND61" s="548"/>
      <c r="NE61" s="548"/>
      <c r="NF61" s="548"/>
      <c r="NG61" s="548"/>
      <c r="NH61" s="548"/>
      <c r="NI61" s="548"/>
      <c r="NJ61" s="548"/>
      <c r="NK61" s="548"/>
      <c r="NL61" s="548"/>
      <c r="NM61" s="548"/>
      <c r="NN61" s="548"/>
      <c r="NO61" s="548"/>
      <c r="NP61" s="485" t="str">
        <f t="shared" si="147"/>
        <v/>
      </c>
      <c r="NQ61" s="548"/>
      <c r="NR61" s="548"/>
      <c r="NS61" s="548"/>
      <c r="NT61" s="548"/>
      <c r="NU61" s="548"/>
      <c r="NV61" s="548"/>
      <c r="NW61" s="548"/>
      <c r="NX61" s="548"/>
      <c r="NY61" s="548"/>
      <c r="NZ61" s="548"/>
      <c r="OA61" s="548"/>
      <c r="OB61" s="548"/>
      <c r="OC61" s="485" t="str">
        <f t="shared" si="148"/>
        <v/>
      </c>
      <c r="OD61" s="548"/>
      <c r="OE61" s="548"/>
      <c r="OF61" s="548"/>
      <c r="OG61" s="548"/>
      <c r="OH61" s="548"/>
      <c r="OI61" s="548"/>
      <c r="OJ61" s="548"/>
      <c r="OK61" s="548"/>
      <c r="OL61" s="548"/>
      <c r="OM61" s="548"/>
      <c r="ON61" s="548"/>
      <c r="OO61" s="548"/>
      <c r="OP61" s="548"/>
      <c r="OQ61" s="548"/>
      <c r="OR61" s="548"/>
      <c r="OS61" s="548"/>
      <c r="OT61" s="548"/>
      <c r="OU61" s="548"/>
      <c r="OV61" s="548"/>
      <c r="OW61" s="548"/>
      <c r="OX61" s="548"/>
      <c r="OY61" s="548"/>
      <c r="OZ61" s="548"/>
      <c r="PA61" s="548"/>
      <c r="PB61" s="548"/>
      <c r="PC61" s="548"/>
      <c r="PD61" s="548"/>
      <c r="PE61" s="548"/>
      <c r="PF61" s="548"/>
      <c r="PG61" s="548"/>
      <c r="PH61" s="548"/>
      <c r="PI61" s="548"/>
      <c r="PJ61" s="548"/>
      <c r="PK61" s="548"/>
      <c r="PL61" s="548"/>
      <c r="PM61" s="548"/>
      <c r="PN61" s="548"/>
      <c r="PO61" s="548"/>
      <c r="PP61" s="548"/>
      <c r="PQ61" s="548"/>
      <c r="PR61" s="548"/>
      <c r="PS61" s="548"/>
      <c r="PT61" s="548"/>
      <c r="PU61" s="548"/>
      <c r="PV61" s="548"/>
      <c r="PW61" s="548"/>
      <c r="PX61" s="548"/>
      <c r="PY61" s="548"/>
      <c r="PZ61" s="548"/>
      <c r="QA61" s="548"/>
      <c r="QB61" s="548"/>
      <c r="QC61" s="548"/>
      <c r="QD61" s="548"/>
      <c r="QE61" s="548"/>
      <c r="QF61" s="548"/>
      <c r="QG61" s="548"/>
      <c r="QH61" s="548"/>
      <c r="QI61" s="548"/>
      <c r="QJ61" s="548"/>
      <c r="QK61" s="548"/>
      <c r="QL61" s="548"/>
      <c r="QM61" s="548"/>
      <c r="QN61" s="548"/>
      <c r="QO61" s="548"/>
      <c r="QP61" s="548"/>
      <c r="QQ61" s="1009"/>
      <c r="QR61" s="548"/>
      <c r="QS61" s="548"/>
      <c r="QT61" s="548"/>
      <c r="QU61" s="548"/>
      <c r="QV61" s="548"/>
      <c r="QW61" s="548"/>
      <c r="QX61" s="548"/>
      <c r="QY61" s="548"/>
      <c r="QZ61" s="548"/>
      <c r="RA61" s="548"/>
      <c r="RB61" s="548"/>
      <c r="RC61" s="548"/>
      <c r="RD61" s="548"/>
      <c r="RE61" s="548"/>
      <c r="RF61" s="548"/>
      <c r="RG61" s="548"/>
      <c r="RH61" s="548"/>
      <c r="RI61" s="548"/>
      <c r="RJ61" s="548"/>
      <c r="RK61" s="548"/>
      <c r="RL61" s="548"/>
      <c r="RM61" s="548"/>
      <c r="RN61" s="548"/>
      <c r="RO61" s="548"/>
      <c r="RP61" s="548"/>
      <c r="RQ61" s="548"/>
      <c r="RR61" s="548"/>
      <c r="RS61" s="548"/>
      <c r="RT61" s="548"/>
      <c r="RU61" s="548"/>
      <c r="RV61" s="548"/>
      <c r="RW61" s="548"/>
      <c r="RX61" s="548"/>
      <c r="RY61" s="548"/>
      <c r="RZ61" s="548"/>
      <c r="SA61" s="548"/>
      <c r="SB61" s="548"/>
      <c r="SC61" s="548"/>
      <c r="SD61" s="548"/>
      <c r="SE61" s="548"/>
      <c r="SF61" s="548"/>
      <c r="SG61" s="548"/>
      <c r="SH61" s="548"/>
      <c r="SI61" s="548"/>
      <c r="SJ61" s="548"/>
      <c r="SK61" s="548"/>
      <c r="SL61" s="548"/>
      <c r="SM61" s="548"/>
      <c r="SN61" s="548"/>
      <c r="SO61" s="548"/>
      <c r="SP61" s="548"/>
      <c r="SQ61" s="548"/>
      <c r="SR61" s="548"/>
      <c r="SS61" s="548"/>
      <c r="ST61" s="548"/>
      <c r="SU61" s="548"/>
      <c r="SV61" s="548"/>
      <c r="SW61" s="548"/>
      <c r="SX61" s="548"/>
      <c r="SY61" s="548"/>
      <c r="SZ61" s="548"/>
      <c r="TA61" s="548"/>
      <c r="TB61" s="548"/>
      <c r="TC61" s="548"/>
      <c r="TD61" s="548"/>
      <c r="TE61" s="548"/>
      <c r="TF61" s="548"/>
      <c r="TG61" s="548"/>
      <c r="TH61" s="548"/>
      <c r="TI61" s="548"/>
      <c r="TJ61" s="548"/>
      <c r="TK61" s="548"/>
      <c r="TL61" s="548"/>
      <c r="TM61" s="548"/>
      <c r="TN61" s="548"/>
      <c r="TO61" s="548"/>
      <c r="TP61" s="548"/>
      <c r="TQ61" s="548"/>
      <c r="TR61" s="548"/>
      <c r="TS61" s="548"/>
      <c r="TT61" s="548"/>
      <c r="TU61" s="548"/>
      <c r="TV61" s="548"/>
      <c r="TW61" s="548"/>
      <c r="TX61" s="548"/>
      <c r="TY61" s="548"/>
      <c r="TZ61" s="548"/>
      <c r="UA61" s="548"/>
      <c r="UB61" s="548"/>
      <c r="UC61" s="548"/>
      <c r="UD61" s="548"/>
      <c r="UE61" s="548"/>
      <c r="UF61" s="548"/>
      <c r="UG61" s="548"/>
      <c r="UH61" s="548"/>
      <c r="UI61" s="548"/>
      <c r="UJ61" s="548"/>
      <c r="UK61" s="548"/>
      <c r="UL61" s="548"/>
      <c r="UM61" s="548"/>
      <c r="UN61" s="548"/>
      <c r="UO61" s="548"/>
      <c r="UP61" s="548"/>
      <c r="UQ61" s="548"/>
      <c r="UR61" s="548"/>
      <c r="US61" s="548"/>
      <c r="UT61" s="548"/>
      <c r="UU61" s="548"/>
      <c r="UV61" s="548"/>
      <c r="UW61" s="548"/>
      <c r="UX61" s="548"/>
      <c r="UY61" s="548"/>
      <c r="UZ61" s="548"/>
      <c r="VA61" s="548"/>
      <c r="VB61" s="548"/>
      <c r="VC61" s="548"/>
      <c r="VD61" s="548"/>
      <c r="VE61" s="548"/>
      <c r="VF61" s="548"/>
      <c r="VG61" s="548"/>
      <c r="VH61" s="548"/>
      <c r="VI61" s="548"/>
      <c r="VJ61" s="548"/>
      <c r="VK61" s="548"/>
      <c r="VL61" s="548"/>
      <c r="VM61" s="548"/>
      <c r="VN61" s="548"/>
      <c r="VO61" s="548"/>
      <c r="VP61" s="548"/>
      <c r="VQ61" s="548"/>
      <c r="VR61" s="548"/>
      <c r="VS61" s="548"/>
      <c r="VT61" s="548"/>
      <c r="VU61" s="548"/>
      <c r="VV61" s="548"/>
      <c r="VW61" s="548"/>
      <c r="VX61" s="548"/>
      <c r="VY61" s="548"/>
      <c r="VZ61" s="548"/>
      <c r="WA61" s="548"/>
      <c r="WB61" s="548"/>
      <c r="WC61" s="548"/>
      <c r="WD61" s="548"/>
      <c r="WE61" s="548"/>
      <c r="WF61" s="548"/>
      <c r="WG61" s="548"/>
      <c r="WH61" s="548"/>
      <c r="WI61" s="548"/>
      <c r="WJ61" s="548"/>
      <c r="WK61" s="548"/>
      <c r="WL61" s="548"/>
      <c r="WM61" s="548"/>
      <c r="WN61" s="548"/>
      <c r="WO61" s="548"/>
      <c r="WP61" s="548"/>
      <c r="WQ61" s="548"/>
      <c r="WR61" s="548"/>
      <c r="WS61" s="548"/>
      <c r="WT61" s="548"/>
      <c r="WU61" s="548"/>
      <c r="WV61" s="548"/>
      <c r="WW61" s="548"/>
      <c r="WX61" s="548"/>
      <c r="WY61" s="548"/>
      <c r="WZ61" s="548"/>
      <c r="XA61" s="548"/>
      <c r="XB61" s="548"/>
      <c r="XC61" s="548"/>
      <c r="XD61" s="548"/>
      <c r="XE61" s="548"/>
      <c r="XF61" s="548"/>
      <c r="XG61" s="548"/>
      <c r="XH61" s="548"/>
      <c r="XI61" s="548"/>
      <c r="XJ61" s="548"/>
      <c r="XK61" s="548"/>
      <c r="XL61" s="548"/>
      <c r="XM61" s="548"/>
      <c r="XN61" s="548"/>
      <c r="XO61" s="548"/>
      <c r="XP61" s="548"/>
      <c r="XQ61" s="548"/>
      <c r="XR61" s="548"/>
      <c r="XS61" s="548"/>
      <c r="XT61" s="548"/>
      <c r="XU61" s="548"/>
      <c r="XV61" s="548"/>
      <c r="XW61" s="548"/>
      <c r="XX61" s="548"/>
      <c r="XY61" s="548"/>
      <c r="XZ61" s="548"/>
      <c r="YA61" s="548"/>
      <c r="YB61" s="548"/>
      <c r="YC61" s="548"/>
      <c r="YD61" s="548"/>
      <c r="YE61" s="548"/>
      <c r="YF61" s="548"/>
      <c r="YG61" s="548"/>
      <c r="YH61" s="548"/>
      <c r="YI61" s="548"/>
      <c r="YJ61" s="548"/>
      <c r="YK61" s="548"/>
      <c r="YL61" s="548"/>
      <c r="YM61" s="548"/>
      <c r="YN61" s="548"/>
      <c r="YO61" s="548"/>
      <c r="YP61" s="548"/>
      <c r="YQ61" s="548"/>
      <c r="YR61" s="548"/>
      <c r="YS61" s="548"/>
      <c r="YT61" s="548"/>
      <c r="YU61" s="548"/>
      <c r="YV61" s="548"/>
      <c r="YW61" s="548"/>
      <c r="YX61" s="548"/>
      <c r="YY61" s="548"/>
      <c r="YZ61" s="548"/>
      <c r="ZA61" s="548"/>
      <c r="ZB61" s="548"/>
      <c r="ZC61" s="548"/>
      <c r="ZD61" s="548"/>
      <c r="ZE61" s="548"/>
      <c r="ZF61" s="548"/>
      <c r="ZG61" s="548"/>
      <c r="ZH61" s="548"/>
      <c r="ZI61" s="548"/>
      <c r="ZJ61" s="548"/>
      <c r="ZK61" s="548"/>
      <c r="ZL61" s="548"/>
      <c r="ZM61" s="548"/>
      <c r="ZN61" s="548"/>
      <c r="ZO61" s="548"/>
      <c r="ZP61" s="548"/>
      <c r="ZQ61" s="548"/>
      <c r="ZR61" s="548"/>
      <c r="ZS61" s="548"/>
      <c r="ZT61" s="548"/>
      <c r="ZU61" s="548"/>
      <c r="ZV61" s="548"/>
      <c r="ZW61" s="548"/>
      <c r="ZX61" s="548"/>
      <c r="ZY61" s="548"/>
      <c r="ZZ61" s="548"/>
      <c r="AAA61" s="548"/>
      <c r="AAB61" s="548"/>
      <c r="AAC61" s="548"/>
      <c r="AAD61" s="548"/>
      <c r="AAE61" s="548"/>
      <c r="AAF61" s="548"/>
      <c r="AAG61" s="548"/>
      <c r="AAH61" s="548"/>
      <c r="AAI61" s="548"/>
      <c r="AAJ61" s="548"/>
      <c r="AAK61" s="548"/>
      <c r="AAL61" s="548"/>
      <c r="AAM61" s="548"/>
      <c r="AAN61" s="548"/>
      <c r="AAO61" s="548"/>
      <c r="AAP61" s="548"/>
      <c r="AAQ61" s="548"/>
      <c r="AAR61" s="548"/>
      <c r="AAS61" s="548"/>
      <c r="AAT61" s="548"/>
      <c r="AAU61" s="548"/>
      <c r="AAV61" s="548"/>
      <c r="AAW61" s="548"/>
      <c r="AAX61" s="548"/>
      <c r="AAY61" s="548"/>
      <c r="AAZ61" s="548"/>
      <c r="ABA61" s="548"/>
      <c r="ABB61" s="548"/>
      <c r="ABC61" s="548"/>
      <c r="ABD61" s="548"/>
      <c r="ABE61" s="548"/>
      <c r="ABF61" s="548"/>
      <c r="ABG61" s="548"/>
      <c r="ABH61" s="548"/>
      <c r="ABI61" s="548"/>
      <c r="ABJ61" s="548"/>
      <c r="ABK61" s="548"/>
      <c r="ABL61" s="548"/>
      <c r="ABM61" s="548"/>
      <c r="ABN61" s="548"/>
      <c r="ABO61" s="548"/>
      <c r="ABP61" s="548"/>
      <c r="ABQ61" s="548"/>
      <c r="ABR61" s="548"/>
      <c r="ABS61" s="548"/>
    </row>
    <row r="62" spans="1:747" customFormat="1" ht="15" customHeight="1" x14ac:dyDescent="0.2">
      <c r="A62" s="424" t="str">
        <f t="shared" si="149"/>
        <v/>
      </c>
      <c r="B62" s="415"/>
      <c r="C62" s="525"/>
      <c r="D62" s="750"/>
      <c r="E62" s="416" t="str">
        <f t="shared" si="393"/>
        <v/>
      </c>
      <c r="F62" s="527" t="str">
        <f t="shared" si="394"/>
        <v/>
      </c>
      <c r="G62" s="417"/>
      <c r="H62" s="583" t="str">
        <f t="shared" si="395"/>
        <v/>
      </c>
      <c r="I62" s="424"/>
      <c r="J62" s="419"/>
      <c r="K62" s="418"/>
      <c r="L62" s="419"/>
      <c r="M62" s="415"/>
      <c r="N62" s="420"/>
      <c r="O62" s="421"/>
      <c r="P62" s="561"/>
      <c r="Q62" s="422"/>
      <c r="R62" s="561" t="str">
        <f t="shared" si="396"/>
        <v/>
      </c>
      <c r="S62" s="664"/>
      <c r="T62" s="663"/>
      <c r="U62" s="580">
        <f t="shared" si="397"/>
        <v>0</v>
      </c>
      <c r="V62" s="418"/>
      <c r="W62" s="582" t="str">
        <f t="shared" si="398"/>
        <v/>
      </c>
      <c r="X62" s="479" t="str">
        <f t="shared" si="399"/>
        <v/>
      </c>
      <c r="Y62" s="582" t="str">
        <f t="shared" si="400"/>
        <v/>
      </c>
      <c r="Z62" s="317" t="str">
        <f t="shared" si="401"/>
        <v/>
      </c>
      <c r="AA62" s="317" t="str">
        <f t="shared" si="402"/>
        <v/>
      </c>
      <c r="AB62" s="317">
        <f t="shared" si="403"/>
        <v>0</v>
      </c>
      <c r="AC62" s="317" t="str">
        <f t="shared" si="404"/>
        <v/>
      </c>
      <c r="AD62" s="479"/>
      <c r="AE62" s="479"/>
      <c r="AF62" s="479"/>
      <c r="AG62" s="423"/>
      <c r="AH62" s="820"/>
      <c r="AI62" s="480"/>
      <c r="AJ62" s="660"/>
      <c r="AK62" s="524" t="str">
        <f t="shared" si="405"/>
        <v/>
      </c>
      <c r="AL62" s="731">
        <f>SUMIF($J$4:$J$116,"Rolê",$S$4:$S$116)</f>
        <v>0</v>
      </c>
      <c r="AM62" s="732">
        <f>SUMIF($J$4:$J$116,"Rolê",$T$4:$T$116)</f>
        <v>0</v>
      </c>
      <c r="AN62" s="426">
        <f t="shared" si="406"/>
        <v>0</v>
      </c>
      <c r="AO62" s="427" t="str">
        <f t="shared" si="407"/>
        <v/>
      </c>
      <c r="AP62" s="426" t="str">
        <f t="shared" si="408"/>
        <v/>
      </c>
      <c r="AQ62" s="426"/>
      <c r="AR62" s="768"/>
      <c r="AS62" s="803"/>
      <c r="AT62" s="804"/>
      <c r="AU62" s="805"/>
      <c r="AV62" s="806"/>
      <c r="AW62" s="800"/>
      <c r="AX62" s="805"/>
      <c r="AY62" s="806">
        <f t="shared" si="409"/>
        <v>0</v>
      </c>
      <c r="AZ62" s="768"/>
      <c r="BA62" s="485" t="str">
        <f t="shared" si="410"/>
        <v/>
      </c>
      <c r="BB62" s="485"/>
      <c r="BC62" s="768"/>
      <c r="BD62" s="768">
        <f t="array" ref="BD62">IF(SUM((BC62=$BC$3:BC61)*1)=0,BC62,0)</f>
        <v>0</v>
      </c>
      <c r="BE62" s="768"/>
      <c r="BF62" s="768"/>
      <c r="BG62" s="768">
        <f t="array" ref="BG62">IF(SUM((BF62=$BF$3:BF61)*1)=0,BF62,0)</f>
        <v>0</v>
      </c>
      <c r="BH62" s="768"/>
      <c r="BI62" s="768"/>
      <c r="BJ62" s="768"/>
      <c r="BK62" s="768"/>
      <c r="BL62" s="768"/>
      <c r="BM62" s="768"/>
      <c r="BN62" s="768"/>
      <c r="BO62" s="768"/>
      <c r="BP62" s="844">
        <f t="shared" si="411"/>
        <v>0</v>
      </c>
      <c r="BQ62" s="768"/>
      <c r="BR62" s="845"/>
      <c r="BS62" s="768"/>
      <c r="BT62" s="844"/>
      <c r="BU62" s="485"/>
      <c r="BV62" s="485" t="str">
        <f t="shared" si="412"/>
        <v/>
      </c>
      <c r="BW62" s="485" t="str">
        <f t="shared" si="38"/>
        <v/>
      </c>
      <c r="BX62" s="485"/>
      <c r="BY62" s="485"/>
      <c r="BZ62" s="485"/>
      <c r="CA62" s="485"/>
      <c r="CB62" s="485"/>
      <c r="CC62" s="485"/>
      <c r="CD62" s="485"/>
      <c r="CE62" s="485"/>
      <c r="CF62" s="485"/>
      <c r="CG62" s="485"/>
      <c r="CH62" s="485"/>
      <c r="CI62" s="485"/>
      <c r="CJ62" s="768" t="str">
        <f t="shared" si="39"/>
        <v/>
      </c>
      <c r="CK62" s="485"/>
      <c r="CL62" s="485"/>
      <c r="CM62" s="485"/>
      <c r="CN62" s="485"/>
      <c r="CO62" s="485"/>
      <c r="CP62" s="485"/>
      <c r="CQ62" s="485"/>
      <c r="CR62" s="485"/>
      <c r="CS62" s="485"/>
      <c r="CT62" s="485"/>
      <c r="CU62" s="485"/>
      <c r="CV62" s="485"/>
      <c r="CW62" s="768"/>
      <c r="CX62" s="768"/>
      <c r="CY62" s="768">
        <v>59</v>
      </c>
      <c r="CZ62" s="768"/>
      <c r="DA62" s="768"/>
      <c r="DB62" s="768"/>
      <c r="DC62" s="768" t="s">
        <v>802</v>
      </c>
      <c r="DD62" s="768" t="s">
        <v>962</v>
      </c>
      <c r="DE62" s="485" t="str">
        <f t="shared" si="40"/>
        <v/>
      </c>
      <c r="DF62" s="435" t="str">
        <f t="shared" si="41"/>
        <v/>
      </c>
      <c r="DG62" s="435" t="str">
        <f t="shared" si="42"/>
        <v/>
      </c>
      <c r="DH62" s="435" t="str">
        <f t="shared" si="43"/>
        <v/>
      </c>
      <c r="DI62" s="435" t="str">
        <f t="shared" si="44"/>
        <v/>
      </c>
      <c r="DJ62" s="435" t="str">
        <f t="shared" si="45"/>
        <v/>
      </c>
      <c r="DK62" s="435" t="str">
        <f t="shared" si="413"/>
        <v/>
      </c>
      <c r="DL62" s="435" t="str">
        <f t="shared" si="414"/>
        <v/>
      </c>
      <c r="DM62" s="435" t="str">
        <f t="shared" si="46"/>
        <v/>
      </c>
      <c r="DN62" s="435" t="str">
        <f t="shared" si="47"/>
        <v/>
      </c>
      <c r="DO62" s="435" t="str">
        <f t="shared" si="415"/>
        <v/>
      </c>
      <c r="DP62" s="435" t="str">
        <f t="shared" si="416"/>
        <v/>
      </c>
      <c r="DQ62" s="435" t="str">
        <f t="shared" si="48"/>
        <v/>
      </c>
      <c r="DR62" s="435" t="str">
        <f t="shared" si="49"/>
        <v/>
      </c>
      <c r="DS62" s="435" t="str">
        <f t="shared" si="417"/>
        <v/>
      </c>
      <c r="DT62" s="435" t="str">
        <f t="shared" si="418"/>
        <v/>
      </c>
      <c r="DU62" s="435" t="str">
        <f t="shared" si="50"/>
        <v/>
      </c>
      <c r="DV62" s="435" t="str">
        <f t="shared" si="51"/>
        <v/>
      </c>
      <c r="DW62" s="435" t="str">
        <f t="shared" si="419"/>
        <v/>
      </c>
      <c r="DX62" s="435" t="str">
        <f t="shared" si="420"/>
        <v/>
      </c>
      <c r="DY62" s="435" t="str">
        <f t="shared" si="52"/>
        <v/>
      </c>
      <c r="DZ62" s="435" t="str">
        <f t="shared" si="53"/>
        <v/>
      </c>
      <c r="EA62" s="435" t="str">
        <f t="shared" si="421"/>
        <v/>
      </c>
      <c r="EB62" s="435" t="str">
        <f t="shared" si="422"/>
        <v/>
      </c>
      <c r="EC62" s="435" t="str">
        <f t="shared" si="423"/>
        <v/>
      </c>
      <c r="ED62" s="435" t="str">
        <f t="shared" si="424"/>
        <v/>
      </c>
      <c r="EE62" s="435" t="str">
        <f t="shared" si="425"/>
        <v/>
      </c>
      <c r="EF62" s="435" t="str">
        <f t="shared" si="426"/>
        <v/>
      </c>
      <c r="EG62" s="435" t="str">
        <f t="shared" si="427"/>
        <v/>
      </c>
      <c r="EH62" s="435" t="str">
        <f t="shared" si="428"/>
        <v/>
      </c>
      <c r="EI62" s="435" t="str">
        <f t="shared" si="429"/>
        <v/>
      </c>
      <c r="EJ62" s="435" t="str">
        <f t="shared" si="430"/>
        <v/>
      </c>
      <c r="EK62" s="485"/>
      <c r="EL62" s="485"/>
      <c r="EM62" s="485"/>
      <c r="EN62" s="485"/>
      <c r="EO62" s="448"/>
      <c r="EP62" s="448"/>
      <c r="EQ62" s="448"/>
      <c r="ER62" s="448"/>
      <c r="ES62" s="448"/>
      <c r="ET62" s="435"/>
      <c r="EU62" s="435"/>
      <c r="EV62" s="435"/>
      <c r="EW62" s="435"/>
      <c r="EX62" s="426"/>
      <c r="EY62" s="426"/>
      <c r="EZ62" s="426"/>
      <c r="FA62" s="427"/>
      <c r="FB62" s="427">
        <f t="array" ref="FB62">IF(SUM((FA62=$FA$3:FA61)*1)=0,FA62,0)</f>
        <v>0</v>
      </c>
      <c r="FC62" s="427"/>
      <c r="FD62" s="427"/>
      <c r="FE62" s="427">
        <f t="array" ref="FE62">IF(SUM((FD62=$FD$3:FD61)*1)=0,FD62,0)</f>
        <v>0</v>
      </c>
      <c r="FF62" s="427"/>
      <c r="FG62" s="427"/>
      <c r="FH62" s="427"/>
      <c r="FI62" s="427">
        <f t="array" ref="FI62">IF(SUM((FH62=$FH$3:FH61)*1)=0,FH62,0)</f>
        <v>0</v>
      </c>
      <c r="FJ62" s="427"/>
      <c r="FK62" s="427"/>
      <c r="FL62" s="427">
        <f t="array" ref="FL62">IF(SUM((FK62=$FK$3:FK61)*1)=0,FK62,0)</f>
        <v>0</v>
      </c>
      <c r="FM62" s="427"/>
      <c r="FN62" s="427"/>
      <c r="FO62" s="427"/>
      <c r="FP62" s="427">
        <f t="array" ref="FP62">IF(SUM((FO62=$FO$3:FO61)*1)=0,FO62,0)</f>
        <v>0</v>
      </c>
      <c r="FQ62" s="427"/>
      <c r="FR62" s="427"/>
      <c r="FS62" s="427">
        <f t="array" ref="FS62">IF(SUM((FR62=$FR$3:FR61)*1)=0,FR62,0)</f>
        <v>0</v>
      </c>
      <c r="FT62" s="427"/>
      <c r="FU62" s="427"/>
      <c r="FV62" s="427"/>
      <c r="FW62" s="427">
        <f t="array" ref="FW62">IF(SUM((FV62=$FV$3:FV61)*1)=0,FV62,0)</f>
        <v>0</v>
      </c>
      <c r="FX62" s="427"/>
      <c r="FY62" s="427"/>
      <c r="FZ62" s="427">
        <f t="array" ref="FZ62">IF(SUM((FY62=$FY$3:FY61)*1)=0,FY62,0)</f>
        <v>0</v>
      </c>
      <c r="GA62" s="427"/>
      <c r="GB62" s="427"/>
      <c r="GC62" s="427"/>
      <c r="GD62" s="427">
        <f t="array" ref="GD62">IF(SUM((GC62=$GC$3:GC61)*1)=0,GC62,0)</f>
        <v>0</v>
      </c>
      <c r="GE62" s="427"/>
      <c r="GF62" s="427"/>
      <c r="GG62" s="427">
        <f t="array" ref="GG62">IF(SUM((GF62=$GF$3:GF61)*1)=0,GF62,0)</f>
        <v>0</v>
      </c>
      <c r="GH62" s="427"/>
      <c r="GI62" s="427"/>
      <c r="GJ62" s="427"/>
      <c r="GK62" s="798">
        <f t="array" ref="GK62">IF(SUM((GJ62=$GJ$3:GJ61)*1)=0,GJ62,0)</f>
        <v>0</v>
      </c>
      <c r="GL62" s="427"/>
      <c r="GM62" s="427"/>
      <c r="GN62" s="798">
        <f t="array" ref="GN62">IF(SUM((GM62=$GM$3:GM61)*1)=0,GM62,0)</f>
        <v>0</v>
      </c>
      <c r="GO62" s="427"/>
      <c r="GP62" s="427"/>
      <c r="GQ62" s="427"/>
      <c r="GR62" s="798">
        <f t="array" ref="GR62">IF(SUM((GQ62=$GQ$3:GQ61)*1)=0,GQ62,0)</f>
        <v>0</v>
      </c>
      <c r="GS62" s="427"/>
      <c r="GT62" s="427"/>
      <c r="GU62" s="798">
        <f t="array" ref="GU62">IF(SUM((GT62=$GT$3:GT61)*1)=0,GT62,0)</f>
        <v>0</v>
      </c>
      <c r="GV62" s="427"/>
      <c r="GW62" s="427"/>
      <c r="GX62" s="427"/>
      <c r="GY62" s="798">
        <f t="array" ref="GY62">IF(SUM((GX62=$GX$3:GX61)*1)=0,GX62,0)</f>
        <v>0</v>
      </c>
      <c r="GZ62" s="427"/>
      <c r="HA62" s="427"/>
      <c r="HB62" s="798">
        <f t="array" ref="HB62">IF(SUM((HA62=$HA$3:HA61)*1)=0,HA62,0)</f>
        <v>0</v>
      </c>
      <c r="HC62" s="427"/>
      <c r="HD62" s="427"/>
      <c r="HE62" s="769" t="str">
        <f t="shared" si="130"/>
        <v/>
      </c>
      <c r="HF62" s="768" t="str">
        <f t="shared" ref="HF62" si="697">IF(HE62&lt;0,"Invadiu REP-BA-C","")</f>
        <v/>
      </c>
      <c r="HG62" s="769" t="str">
        <f t="shared" si="131"/>
        <v/>
      </c>
      <c r="HH62" s="768" t="str">
        <f t="shared" si="55"/>
        <v/>
      </c>
      <c r="HI62" s="728" t="str">
        <f t="shared" si="132"/>
        <v/>
      </c>
      <c r="HJ62" s="768" t="str">
        <f t="shared" si="56"/>
        <v/>
      </c>
      <c r="HK62" s="728" t="str">
        <f t="shared" si="133"/>
        <v/>
      </c>
      <c r="HL62" s="768" t="str">
        <f t="shared" si="57"/>
        <v/>
      </c>
      <c r="HM62" s="769" t="str">
        <f t="shared" si="441"/>
        <v/>
      </c>
      <c r="HN62" s="768" t="str">
        <f t="shared" ref="HN62" si="698">IF(HM62&lt;0,"Invadiu REP-BA-C","")</f>
        <v/>
      </c>
      <c r="HO62" s="769" t="str">
        <f t="shared" si="443"/>
        <v/>
      </c>
      <c r="HP62" s="768" t="str">
        <f t="shared" si="61"/>
        <v/>
      </c>
      <c r="HQ62" s="728" t="str">
        <f t="shared" si="444"/>
        <v/>
      </c>
      <c r="HR62" s="768" t="str">
        <f t="shared" si="63"/>
        <v/>
      </c>
      <c r="HS62" s="728" t="str">
        <f t="shared" si="445"/>
        <v/>
      </c>
      <c r="HT62" s="768" t="str">
        <f t="shared" si="65"/>
        <v/>
      </c>
      <c r="HU62" s="769" t="str">
        <f t="shared" si="446"/>
        <v/>
      </c>
      <c r="HV62" s="768" t="str">
        <f t="shared" ref="HV62" si="699">IF(HU62&lt;0,"Invadiu REP-BA-C","")</f>
        <v/>
      </c>
      <c r="HW62" s="769" t="str">
        <f t="shared" si="448"/>
        <v/>
      </c>
      <c r="HX62" s="768" t="str">
        <f t="shared" si="69"/>
        <v/>
      </c>
      <c r="HY62" s="728" t="str">
        <f t="shared" si="449"/>
        <v/>
      </c>
      <c r="HZ62" s="768" t="str">
        <f t="shared" si="71"/>
        <v/>
      </c>
      <c r="IA62" s="728" t="str">
        <f t="shared" si="450"/>
        <v/>
      </c>
      <c r="IB62" s="768" t="str">
        <f t="shared" si="73"/>
        <v/>
      </c>
      <c r="IC62" s="769" t="str">
        <f t="shared" si="451"/>
        <v/>
      </c>
      <c r="ID62" s="768" t="str">
        <f t="shared" ref="ID62" si="700">IF(IC62&lt;0,"Invadiu REP-BA-C","")</f>
        <v/>
      </c>
      <c r="IE62" s="769" t="str">
        <f t="shared" si="453"/>
        <v/>
      </c>
      <c r="IF62" s="768" t="str">
        <f t="shared" si="77"/>
        <v/>
      </c>
      <c r="IG62" s="728" t="str">
        <f t="shared" si="454"/>
        <v/>
      </c>
      <c r="IH62" s="768" t="str">
        <f t="shared" si="79"/>
        <v/>
      </c>
      <c r="II62" s="728" t="str">
        <f t="shared" si="455"/>
        <v/>
      </c>
      <c r="IJ62" s="768" t="str">
        <f t="shared" si="81"/>
        <v/>
      </c>
      <c r="IK62" s="769" t="str">
        <f t="shared" si="456"/>
        <v/>
      </c>
      <c r="IL62" s="768" t="str">
        <f t="shared" ref="IL62" si="701">IF(IK62&lt;0,"Invadiu REP-BA-C","")</f>
        <v/>
      </c>
      <c r="IM62" s="769" t="str">
        <f t="shared" si="458"/>
        <v/>
      </c>
      <c r="IN62" s="768" t="str">
        <f t="shared" si="85"/>
        <v/>
      </c>
      <c r="IO62" s="728" t="str">
        <f t="shared" si="459"/>
        <v/>
      </c>
      <c r="IP62" s="768" t="str">
        <f t="shared" si="87"/>
        <v/>
      </c>
      <c r="IQ62" s="728" t="str">
        <f t="shared" si="460"/>
        <v/>
      </c>
      <c r="IR62" s="768" t="str">
        <f t="shared" si="89"/>
        <v/>
      </c>
      <c r="IS62" s="769" t="str">
        <f t="shared" si="461"/>
        <v/>
      </c>
      <c r="IT62" s="768" t="str">
        <f t="shared" ref="IT62" si="702">IF(IS62&lt;0,"Invadiu REP-BA-C","")</f>
        <v/>
      </c>
      <c r="IU62" s="769" t="str">
        <f t="shared" si="463"/>
        <v/>
      </c>
      <c r="IV62" s="768" t="str">
        <f t="shared" si="93"/>
        <v/>
      </c>
      <c r="IW62" s="728" t="str">
        <f t="shared" si="464"/>
        <v/>
      </c>
      <c r="IX62" s="768" t="str">
        <f t="shared" si="95"/>
        <v/>
      </c>
      <c r="IY62" s="728" t="str">
        <f t="shared" si="465"/>
        <v/>
      </c>
      <c r="IZ62" s="768" t="str">
        <f t="shared" si="97"/>
        <v/>
      </c>
      <c r="JA62" s="769" t="str">
        <f t="shared" si="466"/>
        <v/>
      </c>
      <c r="JB62" s="768" t="str">
        <f t="shared" ref="JB62" si="703">IF(JA62&lt;0,"Invadiu REP-BA-C","")</f>
        <v/>
      </c>
      <c r="JC62" s="769" t="str">
        <f t="shared" si="468"/>
        <v/>
      </c>
      <c r="JD62" s="768" t="str">
        <f t="shared" si="101"/>
        <v/>
      </c>
      <c r="JE62" s="728" t="str">
        <f t="shared" si="469"/>
        <v/>
      </c>
      <c r="JF62" s="768" t="str">
        <f t="shared" si="103"/>
        <v/>
      </c>
      <c r="JG62" s="728" t="str">
        <f t="shared" si="470"/>
        <v/>
      </c>
      <c r="JH62" s="768" t="str">
        <f t="shared" si="105"/>
        <v/>
      </c>
      <c r="JI62" s="769" t="str">
        <f t="shared" si="471"/>
        <v/>
      </c>
      <c r="JJ62" s="768" t="str">
        <f t="shared" ref="JJ62" si="704">IF(JI62&lt;0,"Invadiu REP-BA-C","")</f>
        <v/>
      </c>
      <c r="JK62" s="769" t="str">
        <f t="shared" si="473"/>
        <v/>
      </c>
      <c r="JL62" s="768" t="str">
        <f t="shared" si="109"/>
        <v/>
      </c>
      <c r="JM62" s="728" t="str">
        <f t="shared" si="474"/>
        <v/>
      </c>
      <c r="JN62" s="768" t="str">
        <f t="shared" si="111"/>
        <v/>
      </c>
      <c r="JO62" s="728" t="str">
        <f t="shared" si="475"/>
        <v/>
      </c>
      <c r="JP62" s="768" t="str">
        <f t="shared" si="113"/>
        <v/>
      </c>
      <c r="JQ62" s="769" t="str">
        <f t="shared" si="476"/>
        <v/>
      </c>
      <c r="JR62" s="768" t="str">
        <f t="shared" ref="JR62" si="705">IF(JQ62&lt;0,"Invadiu REP-BA-C","")</f>
        <v/>
      </c>
      <c r="JS62" s="769" t="str">
        <f t="shared" si="478"/>
        <v/>
      </c>
      <c r="JT62" s="768" t="str">
        <f t="shared" si="117"/>
        <v/>
      </c>
      <c r="JU62" s="728" t="str">
        <f t="shared" si="479"/>
        <v/>
      </c>
      <c r="JV62" s="768" t="str">
        <f t="shared" si="119"/>
        <v/>
      </c>
      <c r="JW62" s="728" t="str">
        <f t="shared" si="480"/>
        <v/>
      </c>
      <c r="JX62" s="768" t="str">
        <f t="shared" si="121"/>
        <v/>
      </c>
      <c r="JY62" s="768" t="str">
        <f t="shared" si="122"/>
        <v/>
      </c>
      <c r="JZ62" s="485" t="str">
        <f>IF(JY62="","",IF(AND(C62=$C$164,JY62&lt;&gt;""),Verificarcpf(D62),IF(AND(C62=$C$165,JY62&lt;&gt;""),VerificarCNPJ(D62))))</f>
        <v/>
      </c>
      <c r="KA62" s="768" t="str">
        <f t="shared" si="123"/>
        <v/>
      </c>
      <c r="KB62" s="485">
        <f t="shared" si="124"/>
        <v>0</v>
      </c>
      <c r="KC62" s="768">
        <f t="shared" si="125"/>
        <v>0</v>
      </c>
      <c r="KD62" s="485">
        <f t="shared" si="126"/>
        <v>0</v>
      </c>
      <c r="KE62" s="448"/>
      <c r="KF62" s="548"/>
      <c r="KG62" s="548"/>
      <c r="KH62" s="548"/>
      <c r="KI62" s="548"/>
      <c r="KJ62" s="548" t="str">
        <f t="shared" si="128"/>
        <v/>
      </c>
      <c r="KK62" s="548"/>
      <c r="KL62" s="548"/>
      <c r="KM62" s="548">
        <f t="array" ref="KM62">IF(SUM((KL62=$KL$3:KL61)*1)=0,KL62,0)</f>
        <v>0</v>
      </c>
      <c r="KN62" s="548"/>
      <c r="KO62" s="548"/>
      <c r="KP62" s="548"/>
      <c r="KQ62" s="548"/>
      <c r="KR62" s="548" t="str">
        <f t="shared" si="129"/>
        <v/>
      </c>
      <c r="KS62" s="548"/>
      <c r="KT62" s="548"/>
      <c r="KU62" s="548"/>
      <c r="KV62" s="548"/>
      <c r="KW62" s="548"/>
      <c r="KX62" s="548"/>
      <c r="KY62" s="548"/>
      <c r="KZ62" s="548"/>
      <c r="LA62" s="548"/>
      <c r="LB62" s="548"/>
      <c r="LC62" s="485" t="str">
        <f t="shared" si="142"/>
        <v/>
      </c>
      <c r="LD62" s="548"/>
      <c r="LE62" s="548"/>
      <c r="LF62" s="548"/>
      <c r="LG62" s="548"/>
      <c r="LH62" s="548"/>
      <c r="LI62" s="548"/>
      <c r="LJ62" s="548"/>
      <c r="LK62" s="548"/>
      <c r="LL62" s="548"/>
      <c r="LM62" s="548"/>
      <c r="LN62" s="548"/>
      <c r="LO62" s="548"/>
      <c r="LP62" s="485" t="str">
        <f t="shared" si="143"/>
        <v/>
      </c>
      <c r="LQ62" s="548"/>
      <c r="LR62" s="548"/>
      <c r="LS62" s="548"/>
      <c r="LT62" s="548"/>
      <c r="LU62" s="548"/>
      <c r="LV62" s="548"/>
      <c r="LW62" s="548"/>
      <c r="LX62" s="548"/>
      <c r="LY62" s="548"/>
      <c r="LZ62" s="548"/>
      <c r="MA62" s="548"/>
      <c r="MB62" s="548"/>
      <c r="MC62" s="485" t="str">
        <f t="shared" si="144"/>
        <v/>
      </c>
      <c r="MD62" s="548"/>
      <c r="ME62" s="548"/>
      <c r="MF62" s="548"/>
      <c r="MG62" s="548"/>
      <c r="MH62" s="548"/>
      <c r="MI62" s="548"/>
      <c r="MJ62" s="548"/>
      <c r="MK62" s="548"/>
      <c r="ML62" s="548"/>
      <c r="MM62" s="548"/>
      <c r="MN62" s="548"/>
      <c r="MO62" s="548"/>
      <c r="MP62" s="485" t="str">
        <f t="shared" si="145"/>
        <v/>
      </c>
      <c r="MQ62" s="548"/>
      <c r="MR62" s="548"/>
      <c r="MS62" s="548"/>
      <c r="MT62" s="548"/>
      <c r="MU62" s="548"/>
      <c r="MV62" s="548"/>
      <c r="MW62" s="548"/>
      <c r="MX62" s="548"/>
      <c r="MY62" s="548"/>
      <c r="MZ62" s="548"/>
      <c r="NA62" s="548"/>
      <c r="NB62" s="548"/>
      <c r="NC62" s="485" t="str">
        <f t="shared" si="146"/>
        <v/>
      </c>
      <c r="ND62" s="548"/>
      <c r="NE62" s="548"/>
      <c r="NF62" s="548"/>
      <c r="NG62" s="548"/>
      <c r="NH62" s="548"/>
      <c r="NI62" s="548"/>
      <c r="NJ62" s="548"/>
      <c r="NK62" s="548"/>
      <c r="NL62" s="548"/>
      <c r="NM62" s="548"/>
      <c r="NN62" s="548"/>
      <c r="NO62" s="548"/>
      <c r="NP62" s="485" t="str">
        <f t="shared" si="147"/>
        <v/>
      </c>
      <c r="NQ62" s="548"/>
      <c r="NR62" s="548"/>
      <c r="NS62" s="548"/>
      <c r="NT62" s="548"/>
      <c r="NU62" s="548"/>
      <c r="NV62" s="548"/>
      <c r="NW62" s="548"/>
      <c r="NX62" s="548"/>
      <c r="NY62" s="548"/>
      <c r="NZ62" s="548"/>
      <c r="OA62" s="548"/>
      <c r="OB62" s="548"/>
      <c r="OC62" s="485" t="str">
        <f t="shared" si="148"/>
        <v/>
      </c>
      <c r="OD62" s="548"/>
      <c r="OE62" s="548"/>
      <c r="OF62" s="548"/>
      <c r="OG62" s="548"/>
      <c r="OH62" s="548"/>
      <c r="OI62" s="548"/>
      <c r="OJ62" s="548"/>
      <c r="OK62" s="548"/>
      <c r="OL62" s="548"/>
      <c r="OM62" s="548"/>
      <c r="ON62" s="548"/>
      <c r="OO62" s="548"/>
      <c r="OP62" s="548"/>
      <c r="OQ62" s="548"/>
      <c r="OR62" s="548"/>
      <c r="OS62" s="548"/>
      <c r="OT62" s="548"/>
      <c r="OU62" s="548"/>
      <c r="OV62" s="548"/>
      <c r="OW62" s="548"/>
      <c r="OX62" s="548"/>
      <c r="OY62" s="548"/>
      <c r="OZ62" s="548"/>
      <c r="PA62" s="548"/>
      <c r="PB62" s="548"/>
      <c r="PC62" s="548"/>
      <c r="PD62" s="548"/>
      <c r="PE62" s="548"/>
      <c r="PF62" s="548"/>
      <c r="PG62" s="548"/>
      <c r="PH62" s="548"/>
      <c r="PI62" s="548"/>
      <c r="PJ62" s="548"/>
      <c r="PK62" s="548"/>
      <c r="PL62" s="548"/>
      <c r="PM62" s="548"/>
      <c r="PN62" s="548"/>
      <c r="PO62" s="548"/>
      <c r="PP62" s="548"/>
      <c r="PQ62" s="548"/>
      <c r="PR62" s="548"/>
      <c r="PS62" s="548"/>
      <c r="PT62" s="548"/>
      <c r="PU62" s="548"/>
      <c r="PV62" s="548"/>
      <c r="PW62" s="548"/>
      <c r="PX62" s="548"/>
      <c r="PY62" s="548"/>
      <c r="PZ62" s="548"/>
      <c r="QA62" s="548"/>
      <c r="QB62" s="548"/>
      <c r="QC62" s="548"/>
      <c r="QD62" s="548"/>
      <c r="QE62" s="548"/>
      <c r="QF62" s="548"/>
      <c r="QG62" s="548"/>
      <c r="QH62" s="548"/>
      <c r="QI62" s="548"/>
      <c r="QJ62" s="548"/>
      <c r="QK62" s="548"/>
      <c r="QL62" s="548"/>
      <c r="QM62" s="548"/>
      <c r="QN62" s="548"/>
      <c r="QO62" s="548"/>
      <c r="QP62" s="548"/>
      <c r="QQ62" s="1009"/>
      <c r="QR62" s="548"/>
      <c r="QS62" s="548"/>
      <c r="QT62" s="548"/>
      <c r="QU62" s="548"/>
      <c r="QV62" s="548"/>
      <c r="QW62" s="548"/>
      <c r="QX62" s="548"/>
      <c r="QY62" s="548"/>
      <c r="QZ62" s="548"/>
      <c r="RA62" s="548"/>
      <c r="RB62" s="548"/>
      <c r="RC62" s="548"/>
      <c r="RD62" s="548"/>
      <c r="RE62" s="548"/>
      <c r="RF62" s="548"/>
      <c r="RG62" s="548"/>
      <c r="RH62" s="548"/>
      <c r="RI62" s="548"/>
      <c r="RJ62" s="548"/>
      <c r="RK62" s="548"/>
      <c r="RL62" s="548"/>
      <c r="RM62" s="548"/>
      <c r="RN62" s="548"/>
      <c r="RO62" s="548"/>
      <c r="RP62" s="548"/>
      <c r="RQ62" s="548"/>
      <c r="RR62" s="548"/>
      <c r="RS62" s="548"/>
      <c r="RT62" s="548"/>
      <c r="RU62" s="548"/>
      <c r="RV62" s="548"/>
      <c r="RW62" s="548"/>
      <c r="RX62" s="548"/>
      <c r="RY62" s="548"/>
      <c r="RZ62" s="548"/>
      <c r="SA62" s="548"/>
      <c r="SB62" s="548"/>
      <c r="SC62" s="548"/>
      <c r="SD62" s="548"/>
      <c r="SE62" s="548"/>
      <c r="SF62" s="548"/>
      <c r="SG62" s="548"/>
      <c r="SH62" s="548"/>
      <c r="SI62" s="548"/>
      <c r="SJ62" s="548"/>
      <c r="SK62" s="548"/>
      <c r="SL62" s="548"/>
      <c r="SM62" s="548"/>
      <c r="SN62" s="548"/>
      <c r="SO62" s="548"/>
      <c r="SP62" s="548"/>
      <c r="SQ62" s="548"/>
      <c r="SR62" s="548"/>
      <c r="SS62" s="548"/>
      <c r="ST62" s="548"/>
      <c r="SU62" s="548"/>
      <c r="SV62" s="548"/>
      <c r="SW62" s="548"/>
      <c r="SX62" s="548"/>
      <c r="SY62" s="548"/>
      <c r="SZ62" s="548"/>
      <c r="TA62" s="548"/>
      <c r="TB62" s="548"/>
      <c r="TC62" s="548"/>
      <c r="TD62" s="548"/>
      <c r="TE62" s="548"/>
      <c r="TF62" s="548"/>
      <c r="TG62" s="548"/>
      <c r="TH62" s="548"/>
      <c r="TI62" s="548"/>
      <c r="TJ62" s="548"/>
      <c r="TK62" s="548"/>
      <c r="TL62" s="548"/>
      <c r="TM62" s="548"/>
      <c r="TN62" s="548"/>
      <c r="TO62" s="548"/>
      <c r="TP62" s="548"/>
      <c r="TQ62" s="548"/>
      <c r="TR62" s="548"/>
      <c r="TS62" s="548"/>
      <c r="TT62" s="548"/>
      <c r="TU62" s="548"/>
      <c r="TV62" s="548"/>
      <c r="TW62" s="548"/>
      <c r="TX62" s="548"/>
      <c r="TY62" s="548"/>
      <c r="TZ62" s="548"/>
      <c r="UA62" s="548"/>
      <c r="UB62" s="548"/>
      <c r="UC62" s="548"/>
      <c r="UD62" s="548"/>
      <c r="UE62" s="548"/>
      <c r="UF62" s="548"/>
      <c r="UG62" s="548"/>
      <c r="UH62" s="548"/>
      <c r="UI62" s="548"/>
      <c r="UJ62" s="548"/>
      <c r="UK62" s="548"/>
      <c r="UL62" s="548"/>
      <c r="UM62" s="548"/>
      <c r="UN62" s="548"/>
      <c r="UO62" s="548"/>
      <c r="UP62" s="548"/>
      <c r="UQ62" s="548"/>
      <c r="UR62" s="548"/>
      <c r="US62" s="548"/>
      <c r="UT62" s="548"/>
      <c r="UU62" s="548"/>
      <c r="UV62" s="548"/>
      <c r="UW62" s="548"/>
      <c r="UX62" s="548"/>
      <c r="UY62" s="548"/>
      <c r="UZ62" s="548"/>
      <c r="VA62" s="548"/>
      <c r="VB62" s="548"/>
      <c r="VC62" s="548"/>
      <c r="VD62" s="548"/>
      <c r="VE62" s="548"/>
      <c r="VF62" s="548"/>
      <c r="VG62" s="548"/>
      <c r="VH62" s="548"/>
      <c r="VI62" s="548"/>
      <c r="VJ62" s="548"/>
      <c r="VK62" s="548"/>
      <c r="VL62" s="548"/>
      <c r="VM62" s="548"/>
      <c r="VN62" s="548"/>
      <c r="VO62" s="548"/>
      <c r="VP62" s="548"/>
      <c r="VQ62" s="548"/>
      <c r="VR62" s="548"/>
      <c r="VS62" s="548"/>
      <c r="VT62" s="548"/>
      <c r="VU62" s="548"/>
      <c r="VV62" s="548"/>
      <c r="VW62" s="548"/>
      <c r="VX62" s="548"/>
      <c r="VY62" s="548"/>
      <c r="VZ62" s="548"/>
      <c r="WA62" s="548"/>
      <c r="WB62" s="548"/>
      <c r="WC62" s="548"/>
      <c r="WD62" s="548"/>
      <c r="WE62" s="548"/>
      <c r="WF62" s="548"/>
      <c r="WG62" s="548"/>
      <c r="WH62" s="548"/>
      <c r="WI62" s="548"/>
      <c r="WJ62" s="548"/>
      <c r="WK62" s="548"/>
      <c r="WL62" s="548"/>
      <c r="WM62" s="548"/>
      <c r="WN62" s="548"/>
      <c r="WO62" s="548"/>
      <c r="WP62" s="548"/>
      <c r="WQ62" s="548"/>
      <c r="WR62" s="548"/>
      <c r="WS62" s="548"/>
      <c r="WT62" s="548"/>
      <c r="WU62" s="548"/>
      <c r="WV62" s="548"/>
      <c r="WW62" s="548"/>
      <c r="WX62" s="548"/>
      <c r="WY62" s="548"/>
      <c r="WZ62" s="548"/>
      <c r="XA62" s="548"/>
      <c r="XB62" s="548"/>
      <c r="XC62" s="548"/>
      <c r="XD62" s="548"/>
      <c r="XE62" s="548"/>
      <c r="XF62" s="548"/>
      <c r="XG62" s="548"/>
      <c r="XH62" s="548"/>
      <c r="XI62" s="548"/>
      <c r="XJ62" s="548"/>
      <c r="XK62" s="548"/>
      <c r="XL62" s="548"/>
      <c r="XM62" s="548"/>
      <c r="XN62" s="548"/>
      <c r="XO62" s="548"/>
      <c r="XP62" s="548"/>
      <c r="XQ62" s="548"/>
      <c r="XR62" s="548"/>
      <c r="XS62" s="548"/>
      <c r="XT62" s="548"/>
      <c r="XU62" s="548"/>
      <c r="XV62" s="548"/>
      <c r="XW62" s="548"/>
      <c r="XX62" s="548"/>
      <c r="XY62" s="548"/>
      <c r="XZ62" s="548"/>
      <c r="YA62" s="548"/>
      <c r="YB62" s="548"/>
      <c r="YC62" s="548"/>
      <c r="YD62" s="548"/>
      <c r="YE62" s="548"/>
      <c r="YF62" s="548"/>
      <c r="YG62" s="548"/>
      <c r="YH62" s="548"/>
      <c r="YI62" s="548"/>
      <c r="YJ62" s="548"/>
      <c r="YK62" s="548"/>
      <c r="YL62" s="548"/>
      <c r="YM62" s="548"/>
      <c r="YN62" s="548"/>
      <c r="YO62" s="548"/>
      <c r="YP62" s="548"/>
      <c r="YQ62" s="548"/>
      <c r="YR62" s="548"/>
      <c r="YS62" s="548"/>
      <c r="YT62" s="548"/>
      <c r="YU62" s="548"/>
      <c r="YV62" s="548"/>
      <c r="YW62" s="548"/>
      <c r="YX62" s="548"/>
      <c r="YY62" s="548"/>
      <c r="YZ62" s="548"/>
      <c r="ZA62" s="548"/>
      <c r="ZB62" s="548"/>
      <c r="ZC62" s="548"/>
      <c r="ZD62" s="548"/>
      <c r="ZE62" s="548"/>
      <c r="ZF62" s="548"/>
      <c r="ZG62" s="548"/>
      <c r="ZH62" s="548"/>
      <c r="ZI62" s="548"/>
      <c r="ZJ62" s="548"/>
      <c r="ZK62" s="548"/>
      <c r="ZL62" s="548"/>
      <c r="ZM62" s="548"/>
      <c r="ZN62" s="548"/>
      <c r="ZO62" s="548"/>
      <c r="ZP62" s="548"/>
      <c r="ZQ62" s="548"/>
      <c r="ZR62" s="548"/>
      <c r="ZS62" s="548"/>
      <c r="ZT62" s="548"/>
      <c r="ZU62" s="548"/>
      <c r="ZV62" s="548"/>
      <c r="ZW62" s="548"/>
      <c r="ZX62" s="548"/>
      <c r="ZY62" s="548"/>
      <c r="ZZ62" s="548"/>
      <c r="AAA62" s="548"/>
      <c r="AAB62" s="548"/>
      <c r="AAC62" s="548"/>
      <c r="AAD62" s="548"/>
      <c r="AAE62" s="548"/>
      <c r="AAF62" s="548"/>
      <c r="AAG62" s="548"/>
      <c r="AAH62" s="548"/>
      <c r="AAI62" s="548"/>
      <c r="AAJ62" s="548"/>
      <c r="AAK62" s="548"/>
      <c r="AAL62" s="548"/>
      <c r="AAM62" s="548"/>
      <c r="AAN62" s="548"/>
      <c r="AAO62" s="548"/>
      <c r="AAP62" s="548"/>
      <c r="AAQ62" s="548"/>
      <c r="AAR62" s="548"/>
      <c r="AAS62" s="548"/>
      <c r="AAT62" s="548"/>
      <c r="AAU62" s="548"/>
      <c r="AAV62" s="548"/>
      <c r="AAW62" s="548"/>
      <c r="AAX62" s="548"/>
      <c r="AAY62" s="548"/>
      <c r="AAZ62" s="548"/>
      <c r="ABA62" s="548"/>
      <c r="ABB62" s="548"/>
      <c r="ABC62" s="548"/>
      <c r="ABD62" s="548"/>
      <c r="ABE62" s="548"/>
      <c r="ABF62" s="548"/>
      <c r="ABG62" s="548"/>
      <c r="ABH62" s="548"/>
      <c r="ABI62" s="548"/>
      <c r="ABJ62" s="548"/>
      <c r="ABK62" s="548"/>
      <c r="ABL62" s="548"/>
      <c r="ABM62" s="548"/>
      <c r="ABN62" s="548"/>
      <c r="ABO62" s="548"/>
      <c r="ABP62" s="548"/>
      <c r="ABQ62" s="548"/>
      <c r="ABR62" s="548"/>
      <c r="ABS62" s="548"/>
    </row>
    <row r="63" spans="1:747" customFormat="1" ht="15" customHeight="1" x14ac:dyDescent="0.2">
      <c r="A63" s="424" t="str">
        <f t="shared" si="149"/>
        <v/>
      </c>
      <c r="B63" s="415"/>
      <c r="C63" s="525"/>
      <c r="D63" s="750"/>
      <c r="E63" s="416" t="str">
        <f t="shared" si="393"/>
        <v/>
      </c>
      <c r="F63" s="527" t="str">
        <f t="shared" si="394"/>
        <v/>
      </c>
      <c r="G63" s="417"/>
      <c r="H63" s="583" t="str">
        <f t="shared" si="395"/>
        <v/>
      </c>
      <c r="I63" s="424"/>
      <c r="J63" s="419"/>
      <c r="K63" s="418"/>
      <c r="L63" s="419"/>
      <c r="M63" s="415"/>
      <c r="N63" s="420"/>
      <c r="O63" s="421"/>
      <c r="P63" s="561"/>
      <c r="Q63" s="422"/>
      <c r="R63" s="561" t="str">
        <f t="shared" si="396"/>
        <v/>
      </c>
      <c r="S63" s="664"/>
      <c r="T63" s="663"/>
      <c r="U63" s="580">
        <f t="shared" si="397"/>
        <v>0</v>
      </c>
      <c r="V63" s="418"/>
      <c r="W63" s="582" t="str">
        <f t="shared" si="398"/>
        <v/>
      </c>
      <c r="X63" s="479" t="str">
        <f t="shared" si="399"/>
        <v/>
      </c>
      <c r="Y63" s="582" t="str">
        <f t="shared" si="400"/>
        <v/>
      </c>
      <c r="Z63" s="317" t="str">
        <f t="shared" si="401"/>
        <v/>
      </c>
      <c r="AA63" s="317" t="str">
        <f t="shared" si="402"/>
        <v/>
      </c>
      <c r="AB63" s="317">
        <f t="shared" si="403"/>
        <v>0</v>
      </c>
      <c r="AC63" s="317" t="str">
        <f t="shared" si="404"/>
        <v/>
      </c>
      <c r="AD63" s="479"/>
      <c r="AE63" s="479"/>
      <c r="AF63" s="479"/>
      <c r="AG63" s="423"/>
      <c r="AH63" s="820"/>
      <c r="AI63" s="480"/>
      <c r="AJ63" s="660"/>
      <c r="AK63" s="524" t="str">
        <f t="shared" si="405"/>
        <v/>
      </c>
      <c r="AL63" s="731">
        <f>SUMIF($J$4:$J$130,"Rolê",$S$4:$S$130)</f>
        <v>0</v>
      </c>
      <c r="AM63" s="732">
        <f>SUMIF($J$4:$J$130,"Rolê",$T$4:$T$130)</f>
        <v>0</v>
      </c>
      <c r="AN63" s="426">
        <f t="shared" si="406"/>
        <v>0</v>
      </c>
      <c r="AO63" s="427" t="str">
        <f t="shared" si="407"/>
        <v/>
      </c>
      <c r="AP63" s="426" t="str">
        <f t="shared" si="408"/>
        <v/>
      </c>
      <c r="AQ63" s="426"/>
      <c r="AR63" s="426"/>
      <c r="AS63" s="428"/>
      <c r="AT63" s="429"/>
      <c r="AU63" s="430"/>
      <c r="AV63" s="431"/>
      <c r="AW63" s="432"/>
      <c r="AX63" s="430"/>
      <c r="AY63" s="431">
        <f t="shared" si="409"/>
        <v>0</v>
      </c>
      <c r="AZ63" s="426"/>
      <c r="BA63" s="435" t="str">
        <f t="shared" si="410"/>
        <v/>
      </c>
      <c r="BB63" s="435"/>
      <c r="BC63" s="426"/>
      <c r="BD63" s="426">
        <f t="array" ref="BD63">IF(SUM((BC63=$BC$3:BC62)*1)=0,BC63,0)</f>
        <v>0</v>
      </c>
      <c r="BE63" s="426"/>
      <c r="BF63" s="426"/>
      <c r="BG63" s="426">
        <f t="array" ref="BG63">IF(SUM((BF63=$BF$3:BF62)*1)=0,BF63,0)</f>
        <v>0</v>
      </c>
      <c r="BH63" s="426"/>
      <c r="BI63" s="426"/>
      <c r="BJ63" s="426"/>
      <c r="BK63" s="426"/>
      <c r="BL63" s="426"/>
      <c r="BM63" s="426"/>
      <c r="BN63" s="426"/>
      <c r="BO63" s="426"/>
      <c r="BP63" s="433">
        <f t="shared" si="411"/>
        <v>0</v>
      </c>
      <c r="BQ63" s="426"/>
      <c r="BR63" s="434"/>
      <c r="BS63" s="426"/>
      <c r="BT63" s="433"/>
      <c r="BU63" s="435"/>
      <c r="BV63" s="435" t="str">
        <f t="shared" si="412"/>
        <v/>
      </c>
      <c r="BW63" s="435" t="str">
        <f t="shared" si="38"/>
        <v/>
      </c>
      <c r="BX63" s="435"/>
      <c r="BY63" s="435"/>
      <c r="BZ63" s="435"/>
      <c r="CA63" s="435"/>
      <c r="CB63" s="435"/>
      <c r="CC63" s="435"/>
      <c r="CD63" s="435"/>
      <c r="CE63" s="435"/>
      <c r="CF63" s="435"/>
      <c r="CG63" s="435"/>
      <c r="CH63" s="435"/>
      <c r="CI63" s="435"/>
      <c r="CJ63" s="426" t="str">
        <f t="shared" si="39"/>
        <v/>
      </c>
      <c r="CK63" s="435"/>
      <c r="CL63" s="426"/>
      <c r="CM63" s="435"/>
      <c r="CN63" s="426"/>
      <c r="CO63" s="426"/>
      <c r="CP63" s="426"/>
      <c r="CQ63" s="426"/>
      <c r="CR63" s="426"/>
      <c r="CS63" s="426"/>
      <c r="CT63" s="426"/>
      <c r="CU63" s="426"/>
      <c r="CV63" s="426"/>
      <c r="CW63" s="426"/>
      <c r="CX63" s="426"/>
      <c r="CY63" s="426">
        <v>60</v>
      </c>
      <c r="CZ63" s="426"/>
      <c r="DA63" s="426"/>
      <c r="DB63" s="426"/>
      <c r="DC63" s="426" t="s">
        <v>803</v>
      </c>
      <c r="DD63" s="426" t="s">
        <v>963</v>
      </c>
      <c r="DE63" s="435" t="str">
        <f t="shared" si="40"/>
        <v/>
      </c>
      <c r="DF63" s="435" t="str">
        <f t="shared" si="41"/>
        <v/>
      </c>
      <c r="DG63" s="435" t="str">
        <f t="shared" si="42"/>
        <v/>
      </c>
      <c r="DH63" s="435" t="str">
        <f t="shared" si="43"/>
        <v/>
      </c>
      <c r="DI63" s="435" t="str">
        <f t="shared" si="44"/>
        <v/>
      </c>
      <c r="DJ63" s="435" t="str">
        <f t="shared" si="45"/>
        <v/>
      </c>
      <c r="DK63" s="435" t="str">
        <f t="shared" si="413"/>
        <v/>
      </c>
      <c r="DL63" s="435" t="str">
        <f t="shared" si="414"/>
        <v/>
      </c>
      <c r="DM63" s="435" t="str">
        <f t="shared" si="46"/>
        <v/>
      </c>
      <c r="DN63" s="435" t="str">
        <f t="shared" si="47"/>
        <v/>
      </c>
      <c r="DO63" s="435" t="str">
        <f t="shared" si="415"/>
        <v/>
      </c>
      <c r="DP63" s="435" t="str">
        <f t="shared" si="416"/>
        <v/>
      </c>
      <c r="DQ63" s="435" t="str">
        <f t="shared" si="48"/>
        <v/>
      </c>
      <c r="DR63" s="435" t="str">
        <f t="shared" si="49"/>
        <v/>
      </c>
      <c r="DS63" s="435" t="str">
        <f t="shared" si="417"/>
        <v/>
      </c>
      <c r="DT63" s="435" t="str">
        <f t="shared" si="418"/>
        <v/>
      </c>
      <c r="DU63" s="435" t="str">
        <f t="shared" si="50"/>
        <v/>
      </c>
      <c r="DV63" s="435" t="str">
        <f t="shared" si="51"/>
        <v/>
      </c>
      <c r="DW63" s="435" t="str">
        <f t="shared" si="419"/>
        <v/>
      </c>
      <c r="DX63" s="435" t="str">
        <f t="shared" si="420"/>
        <v/>
      </c>
      <c r="DY63" s="435" t="str">
        <f t="shared" si="52"/>
        <v/>
      </c>
      <c r="DZ63" s="435" t="str">
        <f t="shared" si="53"/>
        <v/>
      </c>
      <c r="EA63" s="435" t="str">
        <f t="shared" si="421"/>
        <v/>
      </c>
      <c r="EB63" s="435" t="str">
        <f t="shared" si="422"/>
        <v/>
      </c>
      <c r="EC63" s="435" t="str">
        <f t="shared" si="423"/>
        <v/>
      </c>
      <c r="ED63" s="435" t="str">
        <f t="shared" si="424"/>
        <v/>
      </c>
      <c r="EE63" s="435" t="str">
        <f t="shared" si="425"/>
        <v/>
      </c>
      <c r="EF63" s="435" t="str">
        <f t="shared" si="426"/>
        <v/>
      </c>
      <c r="EG63" s="435" t="str">
        <f t="shared" si="427"/>
        <v/>
      </c>
      <c r="EH63" s="435" t="str">
        <f t="shared" si="428"/>
        <v/>
      </c>
      <c r="EI63" s="435" t="str">
        <f t="shared" si="429"/>
        <v/>
      </c>
      <c r="EJ63" s="435" t="str">
        <f t="shared" si="430"/>
        <v/>
      </c>
      <c r="EK63" s="485"/>
      <c r="EL63" s="485"/>
      <c r="EM63" s="485"/>
      <c r="EN63" s="485"/>
      <c r="EO63" s="448"/>
      <c r="EP63" s="448"/>
      <c r="EQ63" s="448"/>
      <c r="ER63" s="448"/>
      <c r="ES63" s="448"/>
      <c r="ET63" s="435"/>
      <c r="EU63" s="435"/>
      <c r="EV63" s="435"/>
      <c r="EW63" s="435"/>
      <c r="EX63" s="426"/>
      <c r="EY63" s="426"/>
      <c r="EZ63" s="426"/>
      <c r="FA63" s="427"/>
      <c r="FB63" s="427">
        <f t="array" ref="FB63">IF(SUM((FA63=$FA$3:FA62)*1)=0,FA63,0)</f>
        <v>0</v>
      </c>
      <c r="FC63" s="427"/>
      <c r="FD63" s="427"/>
      <c r="FE63" s="427">
        <f t="array" ref="FE63">IF(SUM((FD63=$FD$3:FD62)*1)=0,FD63,0)</f>
        <v>0</v>
      </c>
      <c r="FF63" s="427"/>
      <c r="FG63" s="427"/>
      <c r="FH63" s="427"/>
      <c r="FI63" s="427">
        <f t="array" ref="FI63">IF(SUM((FH63=$FH$3:FH62)*1)=0,FH63,0)</f>
        <v>0</v>
      </c>
      <c r="FJ63" s="427"/>
      <c r="FK63" s="427"/>
      <c r="FL63" s="427">
        <f t="array" ref="FL63">IF(SUM((FK63=$FK$3:FK62)*1)=0,FK63,0)</f>
        <v>0</v>
      </c>
      <c r="FM63" s="427"/>
      <c r="FN63" s="427"/>
      <c r="FO63" s="427"/>
      <c r="FP63" s="427">
        <f t="array" ref="FP63">IF(SUM((FO63=$FO$3:FO62)*1)=0,FO63,0)</f>
        <v>0</v>
      </c>
      <c r="FQ63" s="427"/>
      <c r="FR63" s="427"/>
      <c r="FS63" s="427">
        <f t="array" ref="FS63">IF(SUM((FR63=$FR$3:FR62)*1)=0,FR63,0)</f>
        <v>0</v>
      </c>
      <c r="FT63" s="427"/>
      <c r="FU63" s="427"/>
      <c r="FV63" s="427"/>
      <c r="FW63" s="427">
        <f t="array" ref="FW63">IF(SUM((FV63=$FV$3:FV62)*1)=0,FV63,0)</f>
        <v>0</v>
      </c>
      <c r="FX63" s="427"/>
      <c r="FY63" s="427"/>
      <c r="FZ63" s="427">
        <f t="array" ref="FZ63">IF(SUM((FY63=$FY$3:FY62)*1)=0,FY63,0)</f>
        <v>0</v>
      </c>
      <c r="GA63" s="427"/>
      <c r="GB63" s="427"/>
      <c r="GC63" s="427"/>
      <c r="GD63" s="427">
        <f t="array" ref="GD63">IF(SUM((GC63=$GC$3:GC62)*1)=0,GC63,0)</f>
        <v>0</v>
      </c>
      <c r="GE63" s="427"/>
      <c r="GF63" s="427"/>
      <c r="GG63" s="427">
        <f t="array" ref="GG63">IF(SUM((GF63=$GF$3:GF62)*1)=0,GF63,0)</f>
        <v>0</v>
      </c>
      <c r="GH63" s="427"/>
      <c r="GI63" s="427"/>
      <c r="GJ63" s="427"/>
      <c r="GK63" s="798">
        <f t="array" ref="GK63">IF(SUM((GJ63=$GJ$3:GJ62)*1)=0,GJ63,0)</f>
        <v>0</v>
      </c>
      <c r="GL63" s="427"/>
      <c r="GM63" s="427"/>
      <c r="GN63" s="798">
        <f t="array" ref="GN63">IF(SUM((GM63=$GM$3:GM62)*1)=0,GM63,0)</f>
        <v>0</v>
      </c>
      <c r="GO63" s="427"/>
      <c r="GP63" s="427"/>
      <c r="GQ63" s="427"/>
      <c r="GR63" s="798">
        <f t="array" ref="GR63">IF(SUM((GQ63=$GQ$3:GQ62)*1)=0,GQ63,0)</f>
        <v>0</v>
      </c>
      <c r="GS63" s="427"/>
      <c r="GT63" s="427"/>
      <c r="GU63" s="798">
        <f t="array" ref="GU63">IF(SUM((GT63=$GT$3:GT62)*1)=0,GT63,0)</f>
        <v>0</v>
      </c>
      <c r="GV63" s="427"/>
      <c r="GW63" s="427"/>
      <c r="GX63" s="427"/>
      <c r="GY63" s="798">
        <f t="array" ref="GY63">IF(SUM((GX63=$GX$3:GX62)*1)=0,GX63,0)</f>
        <v>0</v>
      </c>
      <c r="GZ63" s="427"/>
      <c r="HA63" s="427"/>
      <c r="HB63" s="798">
        <f t="array" ref="HB63">IF(SUM((HA63=$HA$3:HA62)*1)=0,HA63,0)</f>
        <v>0</v>
      </c>
      <c r="HC63" s="427"/>
      <c r="HD63" s="427"/>
      <c r="HE63" s="769" t="str">
        <f t="shared" si="130"/>
        <v/>
      </c>
      <c r="HF63" s="768" t="str">
        <f t="shared" ref="HF63" si="706">IF(HE63&lt;0,"Invadiu REP-BA-C","")</f>
        <v/>
      </c>
      <c r="HG63" s="769" t="str">
        <f t="shared" si="131"/>
        <v/>
      </c>
      <c r="HH63" s="768" t="str">
        <f t="shared" si="55"/>
        <v/>
      </c>
      <c r="HI63" s="728" t="str">
        <f t="shared" si="132"/>
        <v/>
      </c>
      <c r="HJ63" s="768" t="str">
        <f t="shared" si="56"/>
        <v/>
      </c>
      <c r="HK63" s="728" t="str">
        <f t="shared" si="133"/>
        <v/>
      </c>
      <c r="HL63" s="768" t="str">
        <f t="shared" si="57"/>
        <v/>
      </c>
      <c r="HM63" s="769" t="str">
        <f t="shared" si="441"/>
        <v/>
      </c>
      <c r="HN63" s="768" t="str">
        <f t="shared" ref="HN63" si="707">IF(HM63&lt;0,"Invadiu REP-BA-C","")</f>
        <v/>
      </c>
      <c r="HO63" s="769" t="str">
        <f t="shared" si="443"/>
        <v/>
      </c>
      <c r="HP63" s="768" t="str">
        <f t="shared" si="61"/>
        <v/>
      </c>
      <c r="HQ63" s="728" t="str">
        <f t="shared" si="444"/>
        <v/>
      </c>
      <c r="HR63" s="768" t="str">
        <f t="shared" si="63"/>
        <v/>
      </c>
      <c r="HS63" s="728" t="str">
        <f t="shared" si="445"/>
        <v/>
      </c>
      <c r="HT63" s="768" t="str">
        <f t="shared" si="65"/>
        <v/>
      </c>
      <c r="HU63" s="769" t="str">
        <f t="shared" si="446"/>
        <v/>
      </c>
      <c r="HV63" s="768" t="str">
        <f t="shared" ref="HV63" si="708">IF(HU63&lt;0,"Invadiu REP-BA-C","")</f>
        <v/>
      </c>
      <c r="HW63" s="769" t="str">
        <f t="shared" si="448"/>
        <v/>
      </c>
      <c r="HX63" s="768" t="str">
        <f t="shared" si="69"/>
        <v/>
      </c>
      <c r="HY63" s="728" t="str">
        <f t="shared" si="449"/>
        <v/>
      </c>
      <c r="HZ63" s="768" t="str">
        <f t="shared" si="71"/>
        <v/>
      </c>
      <c r="IA63" s="728" t="str">
        <f t="shared" si="450"/>
        <v/>
      </c>
      <c r="IB63" s="768" t="str">
        <f t="shared" si="73"/>
        <v/>
      </c>
      <c r="IC63" s="769" t="str">
        <f t="shared" si="451"/>
        <v/>
      </c>
      <c r="ID63" s="768" t="str">
        <f t="shared" ref="ID63" si="709">IF(IC63&lt;0,"Invadiu REP-BA-C","")</f>
        <v/>
      </c>
      <c r="IE63" s="769" t="str">
        <f t="shared" si="453"/>
        <v/>
      </c>
      <c r="IF63" s="768" t="str">
        <f t="shared" si="77"/>
        <v/>
      </c>
      <c r="IG63" s="728" t="str">
        <f t="shared" si="454"/>
        <v/>
      </c>
      <c r="IH63" s="768" t="str">
        <f t="shared" si="79"/>
        <v/>
      </c>
      <c r="II63" s="728" t="str">
        <f t="shared" si="455"/>
        <v/>
      </c>
      <c r="IJ63" s="768" t="str">
        <f t="shared" si="81"/>
        <v/>
      </c>
      <c r="IK63" s="769" t="str">
        <f t="shared" si="456"/>
        <v/>
      </c>
      <c r="IL63" s="768" t="str">
        <f t="shared" ref="IL63" si="710">IF(IK63&lt;0,"Invadiu REP-BA-C","")</f>
        <v/>
      </c>
      <c r="IM63" s="769" t="str">
        <f t="shared" si="458"/>
        <v/>
      </c>
      <c r="IN63" s="768" t="str">
        <f t="shared" si="85"/>
        <v/>
      </c>
      <c r="IO63" s="728" t="str">
        <f t="shared" si="459"/>
        <v/>
      </c>
      <c r="IP63" s="768" t="str">
        <f t="shared" si="87"/>
        <v/>
      </c>
      <c r="IQ63" s="728" t="str">
        <f t="shared" si="460"/>
        <v/>
      </c>
      <c r="IR63" s="768" t="str">
        <f t="shared" si="89"/>
        <v/>
      </c>
      <c r="IS63" s="769" t="str">
        <f t="shared" si="461"/>
        <v/>
      </c>
      <c r="IT63" s="768" t="str">
        <f t="shared" ref="IT63" si="711">IF(IS63&lt;0,"Invadiu REP-BA-C","")</f>
        <v/>
      </c>
      <c r="IU63" s="769" t="str">
        <f t="shared" si="463"/>
        <v/>
      </c>
      <c r="IV63" s="768" t="str">
        <f t="shared" si="93"/>
        <v/>
      </c>
      <c r="IW63" s="728" t="str">
        <f t="shared" si="464"/>
        <v/>
      </c>
      <c r="IX63" s="768" t="str">
        <f t="shared" si="95"/>
        <v/>
      </c>
      <c r="IY63" s="728" t="str">
        <f t="shared" si="465"/>
        <v/>
      </c>
      <c r="IZ63" s="768" t="str">
        <f t="shared" si="97"/>
        <v/>
      </c>
      <c r="JA63" s="769" t="str">
        <f t="shared" si="466"/>
        <v/>
      </c>
      <c r="JB63" s="768" t="str">
        <f t="shared" ref="JB63" si="712">IF(JA63&lt;0,"Invadiu REP-BA-C","")</f>
        <v/>
      </c>
      <c r="JC63" s="769" t="str">
        <f t="shared" si="468"/>
        <v/>
      </c>
      <c r="JD63" s="768" t="str">
        <f t="shared" si="101"/>
        <v/>
      </c>
      <c r="JE63" s="728" t="str">
        <f t="shared" si="469"/>
        <v/>
      </c>
      <c r="JF63" s="768" t="str">
        <f t="shared" si="103"/>
        <v/>
      </c>
      <c r="JG63" s="728" t="str">
        <f t="shared" si="470"/>
        <v/>
      </c>
      <c r="JH63" s="768" t="str">
        <f t="shared" si="105"/>
        <v/>
      </c>
      <c r="JI63" s="769" t="str">
        <f t="shared" si="471"/>
        <v/>
      </c>
      <c r="JJ63" s="768" t="str">
        <f t="shared" ref="JJ63" si="713">IF(JI63&lt;0,"Invadiu REP-BA-C","")</f>
        <v/>
      </c>
      <c r="JK63" s="769" t="str">
        <f t="shared" si="473"/>
        <v/>
      </c>
      <c r="JL63" s="768" t="str">
        <f t="shared" si="109"/>
        <v/>
      </c>
      <c r="JM63" s="728" t="str">
        <f t="shared" si="474"/>
        <v/>
      </c>
      <c r="JN63" s="768" t="str">
        <f t="shared" si="111"/>
        <v/>
      </c>
      <c r="JO63" s="728" t="str">
        <f t="shared" si="475"/>
        <v/>
      </c>
      <c r="JP63" s="768" t="str">
        <f t="shared" si="113"/>
        <v/>
      </c>
      <c r="JQ63" s="769" t="str">
        <f t="shared" si="476"/>
        <v/>
      </c>
      <c r="JR63" s="768" t="str">
        <f t="shared" ref="JR63" si="714">IF(JQ63&lt;0,"Invadiu REP-BA-C","")</f>
        <v/>
      </c>
      <c r="JS63" s="769" t="str">
        <f t="shared" si="478"/>
        <v/>
      </c>
      <c r="JT63" s="768" t="str">
        <f t="shared" si="117"/>
        <v/>
      </c>
      <c r="JU63" s="728" t="str">
        <f t="shared" si="479"/>
        <v/>
      </c>
      <c r="JV63" s="768" t="str">
        <f t="shared" si="119"/>
        <v/>
      </c>
      <c r="JW63" s="728" t="str">
        <f t="shared" si="480"/>
        <v/>
      </c>
      <c r="JX63" s="768" t="str">
        <f t="shared" si="121"/>
        <v/>
      </c>
      <c r="JY63" s="768" t="str">
        <f t="shared" si="122"/>
        <v/>
      </c>
      <c r="JZ63" s="485" t="str">
        <f>IF(JY63="","",IF(AND(C63=$C$164,JY63&lt;&gt;""),Verificarcpf(D63),IF(AND(C63=$C$165,JY63&lt;&gt;""),VerificarCNPJ(D63))))</f>
        <v/>
      </c>
      <c r="KA63" s="768" t="str">
        <f t="shared" si="123"/>
        <v/>
      </c>
      <c r="KB63" s="485">
        <f t="shared" si="124"/>
        <v>0</v>
      </c>
      <c r="KC63" s="768">
        <f t="shared" si="125"/>
        <v>0</v>
      </c>
      <c r="KD63" s="485">
        <f t="shared" si="126"/>
        <v>0</v>
      </c>
      <c r="KE63" s="448"/>
      <c r="KF63" s="548"/>
      <c r="KG63" s="548"/>
      <c r="KH63" s="548"/>
      <c r="KI63" s="548"/>
      <c r="KJ63" s="548" t="str">
        <f t="shared" si="128"/>
        <v/>
      </c>
      <c r="KK63" s="548"/>
      <c r="KL63" s="548"/>
      <c r="KM63" s="548">
        <f t="array" ref="KM63">IF(SUM((KL63=$KL$3:KL62)*1)=0,KL63,0)</f>
        <v>0</v>
      </c>
      <c r="KN63" s="548"/>
      <c r="KO63" s="548"/>
      <c r="KP63" s="548"/>
      <c r="KQ63" s="548"/>
      <c r="KR63" s="548" t="str">
        <f t="shared" si="129"/>
        <v/>
      </c>
      <c r="KS63" s="548"/>
      <c r="KT63" s="548"/>
      <c r="KU63" s="548"/>
      <c r="KV63" s="548"/>
      <c r="KW63" s="548"/>
      <c r="KX63" s="548"/>
      <c r="KY63" s="548"/>
      <c r="KZ63" s="548"/>
      <c r="LA63" s="548"/>
      <c r="LB63" s="548"/>
      <c r="LC63" s="485" t="str">
        <f t="shared" si="142"/>
        <v/>
      </c>
      <c r="LD63" s="548"/>
      <c r="LE63" s="548"/>
      <c r="LF63" s="548"/>
      <c r="LG63" s="548"/>
      <c r="LH63" s="548"/>
      <c r="LI63" s="548"/>
      <c r="LJ63" s="548"/>
      <c r="LK63" s="548"/>
      <c r="LL63" s="548"/>
      <c r="LM63" s="548"/>
      <c r="LN63" s="548"/>
      <c r="LO63" s="548"/>
      <c r="LP63" s="485" t="str">
        <f t="shared" si="143"/>
        <v/>
      </c>
      <c r="LQ63" s="548"/>
      <c r="LR63" s="548"/>
      <c r="LS63" s="548"/>
      <c r="LT63" s="548"/>
      <c r="LU63" s="548"/>
      <c r="LV63" s="548"/>
      <c r="LW63" s="548"/>
      <c r="LX63" s="548"/>
      <c r="LY63" s="548"/>
      <c r="LZ63" s="548"/>
      <c r="MA63" s="548"/>
      <c r="MB63" s="548"/>
      <c r="MC63" s="485" t="str">
        <f t="shared" si="144"/>
        <v/>
      </c>
      <c r="MD63" s="548"/>
      <c r="ME63" s="548"/>
      <c r="MF63" s="548"/>
      <c r="MG63" s="548"/>
      <c r="MH63" s="548"/>
      <c r="MI63" s="548"/>
      <c r="MJ63" s="548"/>
      <c r="MK63" s="548"/>
      <c r="ML63" s="548"/>
      <c r="MM63" s="548"/>
      <c r="MN63" s="548"/>
      <c r="MO63" s="548"/>
      <c r="MP63" s="485" t="str">
        <f t="shared" si="145"/>
        <v/>
      </c>
      <c r="MQ63" s="548"/>
      <c r="MR63" s="548"/>
      <c r="MS63" s="548"/>
      <c r="MT63" s="548"/>
      <c r="MU63" s="548"/>
      <c r="MV63" s="548"/>
      <c r="MW63" s="548"/>
      <c r="MX63" s="548"/>
      <c r="MY63" s="548"/>
      <c r="MZ63" s="548"/>
      <c r="NA63" s="548"/>
      <c r="NB63" s="548"/>
      <c r="NC63" s="485" t="str">
        <f t="shared" si="146"/>
        <v/>
      </c>
      <c r="ND63" s="548"/>
      <c r="NE63" s="548"/>
      <c r="NF63" s="548"/>
      <c r="NG63" s="548"/>
      <c r="NH63" s="548"/>
      <c r="NI63" s="548"/>
      <c r="NJ63" s="548"/>
      <c r="NK63" s="548"/>
      <c r="NL63" s="548"/>
      <c r="NM63" s="548"/>
      <c r="NN63" s="548"/>
      <c r="NO63" s="548"/>
      <c r="NP63" s="485" t="str">
        <f t="shared" si="147"/>
        <v/>
      </c>
      <c r="NQ63" s="548"/>
      <c r="NR63" s="548"/>
      <c r="NS63" s="548"/>
      <c r="NT63" s="548"/>
      <c r="NU63" s="548"/>
      <c r="NV63" s="548"/>
      <c r="NW63" s="548"/>
      <c r="NX63" s="548"/>
      <c r="NY63" s="548"/>
      <c r="NZ63" s="548"/>
      <c r="OA63" s="548"/>
      <c r="OB63" s="548"/>
      <c r="OC63" s="485" t="str">
        <f t="shared" si="148"/>
        <v/>
      </c>
      <c r="OD63" s="548"/>
      <c r="OE63" s="548"/>
      <c r="OF63" s="548"/>
      <c r="OG63" s="548"/>
      <c r="OH63" s="548"/>
      <c r="OI63" s="548"/>
      <c r="OJ63" s="548"/>
      <c r="OK63" s="548"/>
      <c r="OL63" s="548"/>
      <c r="OM63" s="548"/>
      <c r="ON63" s="548"/>
      <c r="OO63" s="548"/>
      <c r="OP63" s="548"/>
      <c r="OQ63" s="548"/>
      <c r="OR63" s="548"/>
      <c r="OS63" s="548"/>
      <c r="OT63" s="548"/>
      <c r="OU63" s="548"/>
      <c r="OV63" s="548"/>
      <c r="OW63" s="548"/>
      <c r="OX63" s="548"/>
      <c r="OY63" s="548"/>
      <c r="OZ63" s="548"/>
      <c r="PA63" s="548"/>
      <c r="PB63" s="548"/>
      <c r="PC63" s="548"/>
      <c r="PD63" s="548"/>
      <c r="PE63" s="548"/>
      <c r="PF63" s="548"/>
      <c r="PG63" s="548"/>
      <c r="PH63" s="548"/>
      <c r="PI63" s="548"/>
      <c r="PJ63" s="548"/>
      <c r="PK63" s="548"/>
      <c r="PL63" s="548"/>
      <c r="PM63" s="548"/>
      <c r="PN63" s="548"/>
      <c r="PO63" s="548"/>
      <c r="PP63" s="548"/>
      <c r="PQ63" s="548"/>
      <c r="PR63" s="548"/>
      <c r="PS63" s="548"/>
      <c r="PT63" s="548"/>
      <c r="PU63" s="548"/>
      <c r="PV63" s="548"/>
      <c r="PW63" s="548"/>
      <c r="PX63" s="548"/>
      <c r="PY63" s="548"/>
      <c r="PZ63" s="548"/>
      <c r="QA63" s="548"/>
      <c r="QB63" s="548"/>
      <c r="QC63" s="548"/>
      <c r="QD63" s="548"/>
      <c r="QE63" s="548"/>
      <c r="QF63" s="548"/>
      <c r="QG63" s="548"/>
      <c r="QH63" s="548"/>
      <c r="QI63" s="548"/>
      <c r="QJ63" s="548"/>
      <c r="QK63" s="548"/>
      <c r="QL63" s="548"/>
      <c r="QM63" s="548"/>
      <c r="QN63" s="548"/>
      <c r="QO63" s="548"/>
      <c r="QP63" s="548"/>
      <c r="QQ63" s="1009"/>
      <c r="QR63" s="548"/>
      <c r="QS63" s="548"/>
      <c r="QT63" s="548"/>
      <c r="QU63" s="548"/>
      <c r="QV63" s="548"/>
      <c r="QW63" s="548"/>
      <c r="QX63" s="548"/>
      <c r="QY63" s="548"/>
      <c r="QZ63" s="548"/>
      <c r="RA63" s="548"/>
      <c r="RB63" s="548"/>
      <c r="RC63" s="548"/>
      <c r="RD63" s="548"/>
      <c r="RE63" s="548"/>
      <c r="RF63" s="548"/>
      <c r="RG63" s="548"/>
      <c r="RH63" s="548"/>
      <c r="RI63" s="548"/>
      <c r="RJ63" s="548"/>
      <c r="RK63" s="548"/>
      <c r="RL63" s="548"/>
      <c r="RM63" s="548"/>
      <c r="RN63" s="548"/>
      <c r="RO63" s="548"/>
      <c r="RP63" s="548"/>
      <c r="RQ63" s="548"/>
      <c r="RR63" s="548"/>
      <c r="RS63" s="548"/>
      <c r="RT63" s="548"/>
      <c r="RU63" s="548"/>
      <c r="RV63" s="548"/>
      <c r="RW63" s="548"/>
      <c r="RX63" s="548"/>
      <c r="RY63" s="548"/>
      <c r="RZ63" s="548"/>
      <c r="SA63" s="548"/>
      <c r="SB63" s="548"/>
      <c r="SC63" s="548"/>
      <c r="SD63" s="548"/>
      <c r="SE63" s="548"/>
      <c r="SF63" s="548"/>
      <c r="SG63" s="548"/>
      <c r="SH63" s="548"/>
      <c r="SI63" s="548"/>
      <c r="SJ63" s="548"/>
      <c r="SK63" s="548"/>
      <c r="SL63" s="548"/>
      <c r="SM63" s="548"/>
      <c r="SN63" s="548"/>
      <c r="SO63" s="548"/>
      <c r="SP63" s="548"/>
      <c r="SQ63" s="548"/>
      <c r="SR63" s="548"/>
      <c r="SS63" s="548"/>
      <c r="ST63" s="548"/>
      <c r="SU63" s="548"/>
      <c r="SV63" s="548"/>
      <c r="SW63" s="548"/>
      <c r="SX63" s="548"/>
      <c r="SY63" s="548"/>
      <c r="SZ63" s="548"/>
      <c r="TA63" s="548"/>
      <c r="TB63" s="548"/>
      <c r="TC63" s="548"/>
      <c r="TD63" s="548"/>
      <c r="TE63" s="548"/>
      <c r="TF63" s="548"/>
      <c r="TG63" s="548"/>
      <c r="TH63" s="548"/>
      <c r="TI63" s="548"/>
      <c r="TJ63" s="548"/>
      <c r="TK63" s="548"/>
      <c r="TL63" s="548"/>
      <c r="TM63" s="548"/>
      <c r="TN63" s="548"/>
      <c r="TO63" s="548"/>
      <c r="TP63" s="548"/>
      <c r="TQ63" s="548"/>
      <c r="TR63" s="548"/>
      <c r="TS63" s="548"/>
      <c r="TT63" s="548"/>
      <c r="TU63" s="548"/>
      <c r="TV63" s="548"/>
      <c r="TW63" s="548"/>
      <c r="TX63" s="548"/>
      <c r="TY63" s="548"/>
      <c r="TZ63" s="548"/>
      <c r="UA63" s="548"/>
      <c r="UB63" s="548"/>
      <c r="UC63" s="548"/>
      <c r="UD63" s="548"/>
      <c r="UE63" s="548"/>
      <c r="UF63" s="548"/>
      <c r="UG63" s="548"/>
      <c r="UH63" s="548"/>
      <c r="UI63" s="548"/>
      <c r="UJ63" s="548"/>
      <c r="UK63" s="548"/>
      <c r="UL63" s="548"/>
      <c r="UM63" s="548"/>
      <c r="UN63" s="548"/>
      <c r="UO63" s="548"/>
      <c r="UP63" s="548"/>
      <c r="UQ63" s="548"/>
      <c r="UR63" s="548"/>
      <c r="US63" s="548"/>
      <c r="UT63" s="548"/>
      <c r="UU63" s="548"/>
      <c r="UV63" s="548"/>
      <c r="UW63" s="548"/>
      <c r="UX63" s="548"/>
      <c r="UY63" s="548"/>
      <c r="UZ63" s="548"/>
      <c r="VA63" s="548"/>
      <c r="VB63" s="548"/>
      <c r="VC63" s="548"/>
      <c r="VD63" s="548"/>
      <c r="VE63" s="548"/>
      <c r="VF63" s="548"/>
      <c r="VG63" s="548"/>
      <c r="VH63" s="548"/>
      <c r="VI63" s="548"/>
      <c r="VJ63" s="548"/>
      <c r="VK63" s="548"/>
      <c r="VL63" s="548"/>
      <c r="VM63" s="548"/>
      <c r="VN63" s="548"/>
      <c r="VO63" s="548"/>
      <c r="VP63" s="548"/>
      <c r="VQ63" s="548"/>
      <c r="VR63" s="548"/>
      <c r="VS63" s="548"/>
      <c r="VT63" s="548"/>
      <c r="VU63" s="548"/>
      <c r="VV63" s="548"/>
      <c r="VW63" s="548"/>
      <c r="VX63" s="548"/>
      <c r="VY63" s="548"/>
      <c r="VZ63" s="548"/>
      <c r="WA63" s="548"/>
      <c r="WB63" s="548"/>
      <c r="WC63" s="548"/>
      <c r="WD63" s="548"/>
      <c r="WE63" s="548"/>
      <c r="WF63" s="548"/>
      <c r="WG63" s="548"/>
      <c r="WH63" s="548"/>
      <c r="WI63" s="548"/>
      <c r="WJ63" s="548"/>
      <c r="WK63" s="548"/>
      <c r="WL63" s="548"/>
      <c r="WM63" s="548"/>
      <c r="WN63" s="548"/>
      <c r="WO63" s="548"/>
      <c r="WP63" s="548"/>
      <c r="WQ63" s="548"/>
      <c r="WR63" s="548"/>
      <c r="WS63" s="548"/>
      <c r="WT63" s="548"/>
      <c r="WU63" s="548"/>
      <c r="WV63" s="548"/>
      <c r="WW63" s="548"/>
      <c r="WX63" s="548"/>
      <c r="WY63" s="548"/>
      <c r="WZ63" s="548"/>
      <c r="XA63" s="548"/>
      <c r="XB63" s="548"/>
      <c r="XC63" s="548"/>
      <c r="XD63" s="548"/>
      <c r="XE63" s="548"/>
      <c r="XF63" s="548"/>
      <c r="XG63" s="548"/>
      <c r="XH63" s="548"/>
      <c r="XI63" s="548"/>
      <c r="XJ63" s="548"/>
      <c r="XK63" s="548"/>
      <c r="XL63" s="548"/>
      <c r="XM63" s="548"/>
      <c r="XN63" s="548"/>
      <c r="XO63" s="548"/>
      <c r="XP63" s="548"/>
      <c r="XQ63" s="548"/>
      <c r="XR63" s="548"/>
      <c r="XS63" s="548"/>
      <c r="XT63" s="548"/>
      <c r="XU63" s="548"/>
      <c r="XV63" s="548"/>
      <c r="XW63" s="548"/>
      <c r="XX63" s="548"/>
      <c r="XY63" s="548"/>
      <c r="XZ63" s="548"/>
      <c r="YA63" s="548"/>
      <c r="YB63" s="548"/>
      <c r="YC63" s="548"/>
      <c r="YD63" s="548"/>
      <c r="YE63" s="548"/>
      <c r="YF63" s="548"/>
      <c r="YG63" s="548"/>
      <c r="YH63" s="548"/>
      <c r="YI63" s="548"/>
      <c r="YJ63" s="548"/>
      <c r="YK63" s="548"/>
      <c r="YL63" s="548"/>
      <c r="YM63" s="548"/>
      <c r="YN63" s="548"/>
      <c r="YO63" s="548"/>
      <c r="YP63" s="548"/>
      <c r="YQ63" s="548"/>
      <c r="YR63" s="548"/>
      <c r="YS63" s="548"/>
      <c r="YT63" s="548"/>
      <c r="YU63" s="548"/>
      <c r="YV63" s="548"/>
      <c r="YW63" s="548"/>
      <c r="YX63" s="548"/>
      <c r="YY63" s="548"/>
      <c r="YZ63" s="548"/>
      <c r="ZA63" s="548"/>
      <c r="ZB63" s="548"/>
      <c r="ZC63" s="548"/>
      <c r="ZD63" s="548"/>
      <c r="ZE63" s="548"/>
      <c r="ZF63" s="548"/>
      <c r="ZG63" s="548"/>
      <c r="ZH63" s="548"/>
      <c r="ZI63" s="548"/>
      <c r="ZJ63" s="548"/>
      <c r="ZK63" s="548"/>
      <c r="ZL63" s="548"/>
      <c r="ZM63" s="548"/>
      <c r="ZN63" s="548"/>
      <c r="ZO63" s="548"/>
      <c r="ZP63" s="548"/>
      <c r="ZQ63" s="548"/>
      <c r="ZR63" s="548"/>
      <c r="ZS63" s="548"/>
      <c r="ZT63" s="548"/>
      <c r="ZU63" s="548"/>
      <c r="ZV63" s="548"/>
      <c r="ZW63" s="548"/>
      <c r="ZX63" s="548"/>
      <c r="ZY63" s="548"/>
      <c r="ZZ63" s="548"/>
      <c r="AAA63" s="548"/>
      <c r="AAB63" s="548"/>
      <c r="AAC63" s="548"/>
      <c r="AAD63" s="548"/>
      <c r="AAE63" s="548"/>
      <c r="AAF63" s="548"/>
      <c r="AAG63" s="548"/>
      <c r="AAH63" s="548"/>
      <c r="AAI63" s="548"/>
      <c r="AAJ63" s="548"/>
      <c r="AAK63" s="548"/>
      <c r="AAL63" s="548"/>
      <c r="AAM63" s="548"/>
      <c r="AAN63" s="548"/>
      <c r="AAO63" s="548"/>
      <c r="AAP63" s="548"/>
      <c r="AAQ63" s="548"/>
      <c r="AAR63" s="548"/>
      <c r="AAS63" s="548"/>
      <c r="AAT63" s="548"/>
      <c r="AAU63" s="548"/>
      <c r="AAV63" s="548"/>
      <c r="AAW63" s="548"/>
      <c r="AAX63" s="548"/>
      <c r="AAY63" s="548"/>
      <c r="AAZ63" s="548"/>
      <c r="ABA63" s="548"/>
      <c r="ABB63" s="548"/>
      <c r="ABC63" s="548"/>
      <c r="ABD63" s="548"/>
      <c r="ABE63" s="548"/>
      <c r="ABF63" s="548"/>
      <c r="ABG63" s="548"/>
      <c r="ABH63" s="548"/>
      <c r="ABI63" s="548"/>
      <c r="ABJ63" s="548"/>
      <c r="ABK63" s="548"/>
      <c r="ABL63" s="548"/>
      <c r="ABM63" s="548"/>
      <c r="ABN63" s="548"/>
      <c r="ABO63" s="548"/>
      <c r="ABP63" s="548"/>
      <c r="ABQ63" s="548"/>
      <c r="ABR63" s="548"/>
      <c r="ABS63" s="548"/>
    </row>
    <row r="64" spans="1:747" customFormat="1" ht="15" customHeight="1" x14ac:dyDescent="0.2">
      <c r="A64" s="424" t="str">
        <f t="shared" si="149"/>
        <v/>
      </c>
      <c r="B64" s="415"/>
      <c r="C64" s="525"/>
      <c r="D64" s="750"/>
      <c r="E64" s="416" t="str">
        <f t="shared" si="393"/>
        <v/>
      </c>
      <c r="F64" s="527" t="str">
        <f t="shared" si="394"/>
        <v/>
      </c>
      <c r="G64" s="417"/>
      <c r="H64" s="583" t="str">
        <f t="shared" si="395"/>
        <v/>
      </c>
      <c r="I64" s="424"/>
      <c r="J64" s="419"/>
      <c r="K64" s="418"/>
      <c r="L64" s="419"/>
      <c r="M64" s="415"/>
      <c r="N64" s="420"/>
      <c r="O64" s="421"/>
      <c r="P64" s="561"/>
      <c r="Q64" s="422"/>
      <c r="R64" s="561" t="str">
        <f t="shared" si="396"/>
        <v/>
      </c>
      <c r="S64" s="664"/>
      <c r="T64" s="663"/>
      <c r="U64" s="580">
        <f t="shared" si="397"/>
        <v>0</v>
      </c>
      <c r="V64" s="418"/>
      <c r="W64" s="582" t="str">
        <f t="shared" si="398"/>
        <v/>
      </c>
      <c r="X64" s="479" t="str">
        <f t="shared" si="399"/>
        <v/>
      </c>
      <c r="Y64" s="582" t="str">
        <f t="shared" si="400"/>
        <v/>
      </c>
      <c r="Z64" s="317" t="str">
        <f t="shared" si="401"/>
        <v/>
      </c>
      <c r="AA64" s="317" t="str">
        <f t="shared" si="402"/>
        <v/>
      </c>
      <c r="AB64" s="317">
        <f t="shared" si="403"/>
        <v>0</v>
      </c>
      <c r="AC64" s="317" t="str">
        <f t="shared" si="404"/>
        <v/>
      </c>
      <c r="AD64" s="479"/>
      <c r="AE64" s="479"/>
      <c r="AF64" s="479"/>
      <c r="AG64" s="423"/>
      <c r="AH64" s="820"/>
      <c r="AI64" s="480"/>
      <c r="AJ64" s="660"/>
      <c r="AK64" s="524" t="str">
        <f t="shared" si="405"/>
        <v/>
      </c>
      <c r="AL64" s="731">
        <f>SUMIF($J$4:$J$144,"Rolê",$S$4:$S$144)</f>
        <v>0</v>
      </c>
      <c r="AM64" s="732">
        <f>SUMIF($J$4:$J$144,"Rolê",$T$4:$T$144)</f>
        <v>0</v>
      </c>
      <c r="AN64" s="426">
        <f t="shared" si="406"/>
        <v>0</v>
      </c>
      <c r="AO64" s="427" t="str">
        <f t="shared" si="407"/>
        <v/>
      </c>
      <c r="AP64" s="426" t="str">
        <f t="shared" si="408"/>
        <v/>
      </c>
      <c r="AQ64" s="426"/>
      <c r="AR64" s="426"/>
      <c r="AS64" s="428"/>
      <c r="AT64" s="429"/>
      <c r="AU64" s="430"/>
      <c r="AV64" s="431"/>
      <c r="AW64" s="432"/>
      <c r="AX64" s="430"/>
      <c r="AY64" s="431">
        <f t="shared" si="409"/>
        <v>0</v>
      </c>
      <c r="AZ64" s="426"/>
      <c r="BA64" s="435" t="str">
        <f t="shared" si="410"/>
        <v/>
      </c>
      <c r="BB64" s="435"/>
      <c r="BC64" s="426"/>
      <c r="BD64" s="426">
        <f t="array" ref="BD64">IF(SUM((BC64=$BC$3:BC63)*1)=0,BC64,0)</f>
        <v>0</v>
      </c>
      <c r="BE64" s="426"/>
      <c r="BF64" s="426"/>
      <c r="BG64" s="426">
        <f t="array" ref="BG64">IF(SUM((BF64=$BF$3:BF63)*1)=0,BF64,0)</f>
        <v>0</v>
      </c>
      <c r="BH64" s="426"/>
      <c r="BI64" s="426"/>
      <c r="BJ64" s="426"/>
      <c r="BK64" s="426"/>
      <c r="BL64" s="426"/>
      <c r="BM64" s="426"/>
      <c r="BN64" s="426"/>
      <c r="BO64" s="426"/>
      <c r="BP64" s="433">
        <f t="shared" si="411"/>
        <v>0</v>
      </c>
      <c r="BQ64" s="426"/>
      <c r="BR64" s="434"/>
      <c r="BS64" s="426"/>
      <c r="BT64" s="433"/>
      <c r="BU64" s="435"/>
      <c r="BV64" s="435" t="str">
        <f t="shared" si="412"/>
        <v/>
      </c>
      <c r="BW64" s="435" t="str">
        <f t="shared" si="38"/>
        <v/>
      </c>
      <c r="BX64" s="435"/>
      <c r="BY64" s="435"/>
      <c r="BZ64" s="435"/>
      <c r="CA64" s="435"/>
      <c r="CB64" s="435"/>
      <c r="CC64" s="435"/>
      <c r="CD64" s="435"/>
      <c r="CE64" s="435"/>
      <c r="CF64" s="435"/>
      <c r="CG64" s="435"/>
      <c r="CH64" s="435"/>
      <c r="CI64" s="435"/>
      <c r="CJ64" s="426" t="str">
        <f t="shared" si="39"/>
        <v/>
      </c>
      <c r="CK64" s="435"/>
      <c r="CL64" s="426"/>
      <c r="CM64" s="435"/>
      <c r="CN64" s="426"/>
      <c r="CO64" s="426"/>
      <c r="CP64" s="426"/>
      <c r="CQ64" s="426"/>
      <c r="CR64" s="426"/>
      <c r="CS64" s="426"/>
      <c r="CT64" s="426"/>
      <c r="CU64" s="426"/>
      <c r="CV64" s="426"/>
      <c r="CW64" s="426"/>
      <c r="CX64" s="426"/>
      <c r="CY64" s="426">
        <v>61</v>
      </c>
      <c r="CZ64" s="426"/>
      <c r="DA64" s="426"/>
      <c r="DB64" s="426"/>
      <c r="DC64" s="426" t="s">
        <v>804</v>
      </c>
      <c r="DD64" s="426" t="s">
        <v>964</v>
      </c>
      <c r="DE64" s="435" t="str">
        <f t="shared" si="40"/>
        <v/>
      </c>
      <c r="DF64" s="435" t="str">
        <f t="shared" si="41"/>
        <v/>
      </c>
      <c r="DG64" s="435" t="str">
        <f t="shared" si="42"/>
        <v/>
      </c>
      <c r="DH64" s="435" t="str">
        <f t="shared" si="43"/>
        <v/>
      </c>
      <c r="DI64" s="435" t="str">
        <f t="shared" si="44"/>
        <v/>
      </c>
      <c r="DJ64" s="435" t="str">
        <f t="shared" si="45"/>
        <v/>
      </c>
      <c r="DK64" s="435" t="str">
        <f t="shared" si="413"/>
        <v/>
      </c>
      <c r="DL64" s="435" t="str">
        <f t="shared" si="414"/>
        <v/>
      </c>
      <c r="DM64" s="435" t="str">
        <f t="shared" si="46"/>
        <v/>
      </c>
      <c r="DN64" s="435" t="str">
        <f t="shared" si="47"/>
        <v/>
      </c>
      <c r="DO64" s="435" t="str">
        <f t="shared" si="415"/>
        <v/>
      </c>
      <c r="DP64" s="435" t="str">
        <f t="shared" si="416"/>
        <v/>
      </c>
      <c r="DQ64" s="435" t="str">
        <f t="shared" si="48"/>
        <v/>
      </c>
      <c r="DR64" s="435" t="str">
        <f t="shared" si="49"/>
        <v/>
      </c>
      <c r="DS64" s="435" t="str">
        <f t="shared" si="417"/>
        <v/>
      </c>
      <c r="DT64" s="435" t="str">
        <f t="shared" si="418"/>
        <v/>
      </c>
      <c r="DU64" s="435" t="str">
        <f t="shared" si="50"/>
        <v/>
      </c>
      <c r="DV64" s="435" t="str">
        <f t="shared" si="51"/>
        <v/>
      </c>
      <c r="DW64" s="435" t="str">
        <f t="shared" si="419"/>
        <v/>
      </c>
      <c r="DX64" s="435" t="str">
        <f t="shared" si="420"/>
        <v/>
      </c>
      <c r="DY64" s="435" t="str">
        <f t="shared" si="52"/>
        <v/>
      </c>
      <c r="DZ64" s="435" t="str">
        <f t="shared" si="53"/>
        <v/>
      </c>
      <c r="EA64" s="435" t="str">
        <f t="shared" si="421"/>
        <v/>
      </c>
      <c r="EB64" s="435" t="str">
        <f t="shared" si="422"/>
        <v/>
      </c>
      <c r="EC64" s="435" t="str">
        <f t="shared" si="423"/>
        <v/>
      </c>
      <c r="ED64" s="435" t="str">
        <f t="shared" si="424"/>
        <v/>
      </c>
      <c r="EE64" s="435" t="str">
        <f t="shared" si="425"/>
        <v/>
      </c>
      <c r="EF64" s="435" t="str">
        <f t="shared" si="426"/>
        <v/>
      </c>
      <c r="EG64" s="435" t="str">
        <f t="shared" si="427"/>
        <v/>
      </c>
      <c r="EH64" s="435" t="str">
        <f t="shared" si="428"/>
        <v/>
      </c>
      <c r="EI64" s="435" t="str">
        <f t="shared" si="429"/>
        <v/>
      </c>
      <c r="EJ64" s="435" t="str">
        <f t="shared" si="430"/>
        <v/>
      </c>
      <c r="EK64" s="485"/>
      <c r="EL64" s="485"/>
      <c r="EM64" s="485"/>
      <c r="EN64" s="485"/>
      <c r="EO64" s="448"/>
      <c r="EP64" s="448"/>
      <c r="EQ64" s="448"/>
      <c r="ER64" s="448"/>
      <c r="ES64" s="448"/>
      <c r="ET64" s="435"/>
      <c r="EU64" s="435"/>
      <c r="EV64" s="435"/>
      <c r="EW64" s="435"/>
      <c r="EX64" s="426"/>
      <c r="EY64" s="426"/>
      <c r="EZ64" s="426"/>
      <c r="FA64" s="427"/>
      <c r="FB64" s="427">
        <f t="array" ref="FB64">IF(SUM((FA64=$FA$3:FA63)*1)=0,FA64,0)</f>
        <v>0</v>
      </c>
      <c r="FC64" s="427"/>
      <c r="FD64" s="427"/>
      <c r="FE64" s="427">
        <f t="array" ref="FE64">IF(SUM((FD64=$FD$3:FD63)*1)=0,FD64,0)</f>
        <v>0</v>
      </c>
      <c r="FF64" s="427"/>
      <c r="FG64" s="427"/>
      <c r="FH64" s="427"/>
      <c r="FI64" s="427">
        <f t="array" ref="FI64">IF(SUM((FH64=$FH$3:FH63)*1)=0,FH64,0)</f>
        <v>0</v>
      </c>
      <c r="FJ64" s="427"/>
      <c r="FK64" s="427"/>
      <c r="FL64" s="427">
        <f t="array" ref="FL64">IF(SUM((FK64=$FK$3:FK63)*1)=0,FK64,0)</f>
        <v>0</v>
      </c>
      <c r="FM64" s="427"/>
      <c r="FN64" s="427"/>
      <c r="FO64" s="427"/>
      <c r="FP64" s="427">
        <f t="array" ref="FP64">IF(SUM((FO64=$FO$3:FO63)*1)=0,FO64,0)</f>
        <v>0</v>
      </c>
      <c r="FQ64" s="427"/>
      <c r="FR64" s="427"/>
      <c r="FS64" s="427">
        <f t="array" ref="FS64">IF(SUM((FR64=$FR$3:FR63)*1)=0,FR64,0)</f>
        <v>0</v>
      </c>
      <c r="FT64" s="427"/>
      <c r="FU64" s="427"/>
      <c r="FV64" s="427"/>
      <c r="FW64" s="427">
        <f t="array" ref="FW64">IF(SUM((FV64=$FV$3:FV63)*1)=0,FV64,0)</f>
        <v>0</v>
      </c>
      <c r="FX64" s="427"/>
      <c r="FY64" s="427"/>
      <c r="FZ64" s="427">
        <f t="array" ref="FZ64">IF(SUM((FY64=$FY$3:FY63)*1)=0,FY64,0)</f>
        <v>0</v>
      </c>
      <c r="GA64" s="427"/>
      <c r="GB64" s="427"/>
      <c r="GC64" s="427"/>
      <c r="GD64" s="427">
        <f t="array" ref="GD64">IF(SUM((GC64=$GC$3:GC63)*1)=0,GC64,0)</f>
        <v>0</v>
      </c>
      <c r="GE64" s="427"/>
      <c r="GF64" s="427"/>
      <c r="GG64" s="427">
        <f t="array" ref="GG64">IF(SUM((GF64=$GF$3:GF63)*1)=0,GF64,0)</f>
        <v>0</v>
      </c>
      <c r="GH64" s="427"/>
      <c r="GI64" s="427"/>
      <c r="GJ64" s="427"/>
      <c r="GK64" s="798">
        <f t="array" ref="GK64">IF(SUM((GJ64=$GJ$3:GJ63)*1)=0,GJ64,0)</f>
        <v>0</v>
      </c>
      <c r="GL64" s="427"/>
      <c r="GM64" s="427"/>
      <c r="GN64" s="798">
        <f t="array" ref="GN64">IF(SUM((GM64=$GM$3:GM63)*1)=0,GM64,0)</f>
        <v>0</v>
      </c>
      <c r="GO64" s="427"/>
      <c r="GP64" s="427"/>
      <c r="GQ64" s="427"/>
      <c r="GR64" s="798">
        <f t="array" ref="GR64">IF(SUM((GQ64=$GQ$3:GQ63)*1)=0,GQ64,0)</f>
        <v>0</v>
      </c>
      <c r="GS64" s="427"/>
      <c r="GT64" s="427"/>
      <c r="GU64" s="798">
        <f t="array" ref="GU64">IF(SUM((GT64=$GT$3:GT63)*1)=0,GT64,0)</f>
        <v>0</v>
      </c>
      <c r="GV64" s="427"/>
      <c r="GW64" s="427"/>
      <c r="GX64" s="427"/>
      <c r="GY64" s="798">
        <f t="array" ref="GY64">IF(SUM((GX64=$GX$3:GX63)*1)=0,GX64,0)</f>
        <v>0</v>
      </c>
      <c r="GZ64" s="427"/>
      <c r="HA64" s="427"/>
      <c r="HB64" s="798">
        <f t="array" ref="HB64">IF(SUM((HA64=$HA$3:HA63)*1)=0,HA64,0)</f>
        <v>0</v>
      </c>
      <c r="HC64" s="427"/>
      <c r="HD64" s="427"/>
      <c r="HE64" s="769" t="str">
        <f t="shared" si="130"/>
        <v/>
      </c>
      <c r="HF64" s="768" t="str">
        <f t="shared" ref="HF64" si="715">IF(HE64&lt;0,"Invadiu REP-BA-C","")</f>
        <v/>
      </c>
      <c r="HG64" s="769" t="str">
        <f t="shared" si="131"/>
        <v/>
      </c>
      <c r="HH64" s="768" t="str">
        <f t="shared" si="55"/>
        <v/>
      </c>
      <c r="HI64" s="728" t="str">
        <f t="shared" si="132"/>
        <v/>
      </c>
      <c r="HJ64" s="768" t="str">
        <f t="shared" si="56"/>
        <v/>
      </c>
      <c r="HK64" s="728" t="str">
        <f t="shared" si="133"/>
        <v/>
      </c>
      <c r="HL64" s="768" t="str">
        <f t="shared" si="57"/>
        <v/>
      </c>
      <c r="HM64" s="769" t="str">
        <f t="shared" si="441"/>
        <v/>
      </c>
      <c r="HN64" s="768" t="str">
        <f t="shared" ref="HN64" si="716">IF(HM64&lt;0,"Invadiu REP-BA-C","")</f>
        <v/>
      </c>
      <c r="HO64" s="769" t="str">
        <f t="shared" si="443"/>
        <v/>
      </c>
      <c r="HP64" s="768" t="str">
        <f t="shared" si="61"/>
        <v/>
      </c>
      <c r="HQ64" s="728" t="str">
        <f t="shared" si="444"/>
        <v/>
      </c>
      <c r="HR64" s="768" t="str">
        <f t="shared" si="63"/>
        <v/>
      </c>
      <c r="HS64" s="728" t="str">
        <f t="shared" si="445"/>
        <v/>
      </c>
      <c r="HT64" s="768" t="str">
        <f t="shared" si="65"/>
        <v/>
      </c>
      <c r="HU64" s="769" t="str">
        <f t="shared" si="446"/>
        <v/>
      </c>
      <c r="HV64" s="768" t="str">
        <f t="shared" ref="HV64" si="717">IF(HU64&lt;0,"Invadiu REP-BA-C","")</f>
        <v/>
      </c>
      <c r="HW64" s="769" t="str">
        <f t="shared" si="448"/>
        <v/>
      </c>
      <c r="HX64" s="768" t="str">
        <f t="shared" si="69"/>
        <v/>
      </c>
      <c r="HY64" s="728" t="str">
        <f t="shared" si="449"/>
        <v/>
      </c>
      <c r="HZ64" s="768" t="str">
        <f t="shared" si="71"/>
        <v/>
      </c>
      <c r="IA64" s="728" t="str">
        <f t="shared" si="450"/>
        <v/>
      </c>
      <c r="IB64" s="768" t="str">
        <f t="shared" si="73"/>
        <v/>
      </c>
      <c r="IC64" s="769" t="str">
        <f t="shared" si="451"/>
        <v/>
      </c>
      <c r="ID64" s="768" t="str">
        <f t="shared" ref="ID64" si="718">IF(IC64&lt;0,"Invadiu REP-BA-C","")</f>
        <v/>
      </c>
      <c r="IE64" s="769" t="str">
        <f t="shared" si="453"/>
        <v/>
      </c>
      <c r="IF64" s="768" t="str">
        <f t="shared" si="77"/>
        <v/>
      </c>
      <c r="IG64" s="728" t="str">
        <f t="shared" si="454"/>
        <v/>
      </c>
      <c r="IH64" s="768" t="str">
        <f t="shared" si="79"/>
        <v/>
      </c>
      <c r="II64" s="728" t="str">
        <f t="shared" si="455"/>
        <v/>
      </c>
      <c r="IJ64" s="768" t="str">
        <f t="shared" si="81"/>
        <v/>
      </c>
      <c r="IK64" s="769" t="str">
        <f t="shared" si="456"/>
        <v/>
      </c>
      <c r="IL64" s="768" t="str">
        <f t="shared" ref="IL64" si="719">IF(IK64&lt;0,"Invadiu REP-BA-C","")</f>
        <v/>
      </c>
      <c r="IM64" s="769" t="str">
        <f t="shared" si="458"/>
        <v/>
      </c>
      <c r="IN64" s="768" t="str">
        <f t="shared" si="85"/>
        <v/>
      </c>
      <c r="IO64" s="728" t="str">
        <f t="shared" si="459"/>
        <v/>
      </c>
      <c r="IP64" s="768" t="str">
        <f t="shared" si="87"/>
        <v/>
      </c>
      <c r="IQ64" s="728" t="str">
        <f t="shared" si="460"/>
        <v/>
      </c>
      <c r="IR64" s="768" t="str">
        <f t="shared" si="89"/>
        <v/>
      </c>
      <c r="IS64" s="769" t="str">
        <f t="shared" si="461"/>
        <v/>
      </c>
      <c r="IT64" s="768" t="str">
        <f t="shared" ref="IT64" si="720">IF(IS64&lt;0,"Invadiu REP-BA-C","")</f>
        <v/>
      </c>
      <c r="IU64" s="769" t="str">
        <f t="shared" si="463"/>
        <v/>
      </c>
      <c r="IV64" s="768" t="str">
        <f t="shared" si="93"/>
        <v/>
      </c>
      <c r="IW64" s="728" t="str">
        <f t="shared" si="464"/>
        <v/>
      </c>
      <c r="IX64" s="768" t="str">
        <f t="shared" si="95"/>
        <v/>
      </c>
      <c r="IY64" s="728" t="str">
        <f t="shared" si="465"/>
        <v/>
      </c>
      <c r="IZ64" s="768" t="str">
        <f t="shared" si="97"/>
        <v/>
      </c>
      <c r="JA64" s="769" t="str">
        <f t="shared" si="466"/>
        <v/>
      </c>
      <c r="JB64" s="768" t="str">
        <f t="shared" ref="JB64" si="721">IF(JA64&lt;0,"Invadiu REP-BA-C","")</f>
        <v/>
      </c>
      <c r="JC64" s="769" t="str">
        <f t="shared" si="468"/>
        <v/>
      </c>
      <c r="JD64" s="768" t="str">
        <f t="shared" si="101"/>
        <v/>
      </c>
      <c r="JE64" s="728" t="str">
        <f t="shared" si="469"/>
        <v/>
      </c>
      <c r="JF64" s="768" t="str">
        <f t="shared" si="103"/>
        <v/>
      </c>
      <c r="JG64" s="728" t="str">
        <f t="shared" si="470"/>
        <v/>
      </c>
      <c r="JH64" s="768" t="str">
        <f t="shared" si="105"/>
        <v/>
      </c>
      <c r="JI64" s="769" t="str">
        <f t="shared" si="471"/>
        <v/>
      </c>
      <c r="JJ64" s="768" t="str">
        <f t="shared" ref="JJ64" si="722">IF(JI64&lt;0,"Invadiu REP-BA-C","")</f>
        <v/>
      </c>
      <c r="JK64" s="769" t="str">
        <f t="shared" si="473"/>
        <v/>
      </c>
      <c r="JL64" s="768" t="str">
        <f t="shared" si="109"/>
        <v/>
      </c>
      <c r="JM64" s="728" t="str">
        <f t="shared" si="474"/>
        <v/>
      </c>
      <c r="JN64" s="768" t="str">
        <f t="shared" si="111"/>
        <v/>
      </c>
      <c r="JO64" s="728" t="str">
        <f t="shared" si="475"/>
        <v/>
      </c>
      <c r="JP64" s="768" t="str">
        <f t="shared" si="113"/>
        <v/>
      </c>
      <c r="JQ64" s="769" t="str">
        <f t="shared" si="476"/>
        <v/>
      </c>
      <c r="JR64" s="768" t="str">
        <f t="shared" ref="JR64" si="723">IF(JQ64&lt;0,"Invadiu REP-BA-C","")</f>
        <v/>
      </c>
      <c r="JS64" s="769" t="str">
        <f t="shared" si="478"/>
        <v/>
      </c>
      <c r="JT64" s="768" t="str">
        <f t="shared" si="117"/>
        <v/>
      </c>
      <c r="JU64" s="728" t="str">
        <f t="shared" si="479"/>
        <v/>
      </c>
      <c r="JV64" s="768" t="str">
        <f t="shared" si="119"/>
        <v/>
      </c>
      <c r="JW64" s="728" t="str">
        <f t="shared" si="480"/>
        <v/>
      </c>
      <c r="JX64" s="768" t="str">
        <f t="shared" si="121"/>
        <v/>
      </c>
      <c r="JY64" s="768" t="str">
        <f t="shared" si="122"/>
        <v/>
      </c>
      <c r="JZ64" s="485" t="str">
        <f>IF(JY64="","",IF(AND(C64=$C$164,JY64&lt;&gt;""),Verificarcpf(D64),IF(AND(C64=$C$165,JY64&lt;&gt;""),VerificarCNPJ(D64))))</f>
        <v/>
      </c>
      <c r="KA64" s="768" t="str">
        <f t="shared" si="123"/>
        <v/>
      </c>
      <c r="KB64" s="485">
        <f t="shared" si="124"/>
        <v>0</v>
      </c>
      <c r="KC64" s="768">
        <f t="shared" si="125"/>
        <v>0</v>
      </c>
      <c r="KD64" s="485">
        <f t="shared" si="126"/>
        <v>0</v>
      </c>
      <c r="KE64" s="448"/>
      <c r="KF64" s="548"/>
      <c r="KG64" s="548"/>
      <c r="KH64" s="548"/>
      <c r="KI64" s="548"/>
      <c r="KJ64" s="548" t="str">
        <f t="shared" si="128"/>
        <v/>
      </c>
      <c r="KK64" s="548"/>
      <c r="KL64" s="548"/>
      <c r="KM64" s="548">
        <f t="array" ref="KM64">IF(SUM((KL64=$KL$3:KL63)*1)=0,KL64,0)</f>
        <v>0</v>
      </c>
      <c r="KN64" s="548"/>
      <c r="KO64" s="548"/>
      <c r="KP64" s="548"/>
      <c r="KQ64" s="548"/>
      <c r="KR64" s="548" t="str">
        <f t="shared" si="129"/>
        <v/>
      </c>
      <c r="KS64" s="548"/>
      <c r="KT64" s="548"/>
      <c r="KU64" s="548"/>
      <c r="KV64" s="548"/>
      <c r="KW64" s="548"/>
      <c r="KX64" s="548"/>
      <c r="KY64" s="548"/>
      <c r="KZ64" s="548"/>
      <c r="LA64" s="548"/>
      <c r="LB64" s="548"/>
      <c r="LC64" s="485" t="str">
        <f t="shared" si="142"/>
        <v/>
      </c>
      <c r="LD64" s="548"/>
      <c r="LE64" s="548"/>
      <c r="LF64" s="548"/>
      <c r="LG64" s="548"/>
      <c r="LH64" s="548"/>
      <c r="LI64" s="548"/>
      <c r="LJ64" s="548"/>
      <c r="LK64" s="548"/>
      <c r="LL64" s="548"/>
      <c r="LM64" s="548"/>
      <c r="LN64" s="548"/>
      <c r="LO64" s="548"/>
      <c r="LP64" s="485" t="str">
        <f t="shared" si="143"/>
        <v/>
      </c>
      <c r="LQ64" s="548"/>
      <c r="LR64" s="548"/>
      <c r="LS64" s="548"/>
      <c r="LT64" s="548"/>
      <c r="LU64" s="548"/>
      <c r="LV64" s="548"/>
      <c r="LW64" s="548"/>
      <c r="LX64" s="548"/>
      <c r="LY64" s="548"/>
      <c r="LZ64" s="548"/>
      <c r="MA64" s="548"/>
      <c r="MB64" s="548"/>
      <c r="MC64" s="485" t="str">
        <f t="shared" si="144"/>
        <v/>
      </c>
      <c r="MD64" s="548"/>
      <c r="ME64" s="548"/>
      <c r="MF64" s="548"/>
      <c r="MG64" s="548"/>
      <c r="MH64" s="548"/>
      <c r="MI64" s="548"/>
      <c r="MJ64" s="548"/>
      <c r="MK64" s="548"/>
      <c r="ML64" s="548"/>
      <c r="MM64" s="548"/>
      <c r="MN64" s="548"/>
      <c r="MO64" s="548"/>
      <c r="MP64" s="485" t="str">
        <f t="shared" si="145"/>
        <v/>
      </c>
      <c r="MQ64" s="548"/>
      <c r="MR64" s="548"/>
      <c r="MS64" s="548"/>
      <c r="MT64" s="548"/>
      <c r="MU64" s="548"/>
      <c r="MV64" s="548"/>
      <c r="MW64" s="548"/>
      <c r="MX64" s="548"/>
      <c r="MY64" s="548"/>
      <c r="MZ64" s="548"/>
      <c r="NA64" s="548"/>
      <c r="NB64" s="548"/>
      <c r="NC64" s="485" t="str">
        <f t="shared" si="146"/>
        <v/>
      </c>
      <c r="ND64" s="548"/>
      <c r="NE64" s="548"/>
      <c r="NF64" s="548"/>
      <c r="NG64" s="548"/>
      <c r="NH64" s="548"/>
      <c r="NI64" s="548"/>
      <c r="NJ64" s="548"/>
      <c r="NK64" s="548"/>
      <c r="NL64" s="548"/>
      <c r="NM64" s="548"/>
      <c r="NN64" s="548"/>
      <c r="NO64" s="548"/>
      <c r="NP64" s="485" t="str">
        <f t="shared" si="147"/>
        <v/>
      </c>
      <c r="NQ64" s="548"/>
      <c r="NR64" s="548"/>
      <c r="NS64" s="548"/>
      <c r="NT64" s="548"/>
      <c r="NU64" s="548"/>
      <c r="NV64" s="548"/>
      <c r="NW64" s="548"/>
      <c r="NX64" s="548"/>
      <c r="NY64" s="548"/>
      <c r="NZ64" s="548"/>
      <c r="OA64" s="548"/>
      <c r="OB64" s="548"/>
      <c r="OC64" s="485" t="str">
        <f t="shared" si="148"/>
        <v/>
      </c>
      <c r="OD64" s="548"/>
      <c r="OE64" s="548"/>
      <c r="OF64" s="548"/>
      <c r="OG64" s="548"/>
      <c r="OH64" s="548"/>
      <c r="OI64" s="548"/>
      <c r="OJ64" s="548"/>
      <c r="OK64" s="548"/>
      <c r="OL64" s="548"/>
      <c r="OM64" s="548"/>
      <c r="ON64" s="548"/>
      <c r="OO64" s="548"/>
      <c r="OP64" s="548"/>
      <c r="OQ64" s="548"/>
      <c r="OR64" s="548"/>
      <c r="OS64" s="548"/>
      <c r="OT64" s="548"/>
      <c r="OU64" s="548"/>
      <c r="OV64" s="548"/>
      <c r="OW64" s="548"/>
      <c r="OX64" s="548"/>
      <c r="OY64" s="548"/>
      <c r="OZ64" s="548"/>
      <c r="PA64" s="548"/>
      <c r="PB64" s="548"/>
      <c r="PC64" s="548"/>
      <c r="PD64" s="548"/>
      <c r="PE64" s="548"/>
      <c r="PF64" s="548"/>
      <c r="PG64" s="548"/>
      <c r="PH64" s="548"/>
      <c r="PI64" s="548"/>
      <c r="PJ64" s="548"/>
      <c r="PK64" s="548"/>
      <c r="PL64" s="548"/>
      <c r="PM64" s="548"/>
      <c r="PN64" s="548"/>
      <c r="PO64" s="548"/>
      <c r="PP64" s="548"/>
      <c r="PQ64" s="548"/>
      <c r="PR64" s="548"/>
      <c r="PS64" s="548"/>
      <c r="PT64" s="548"/>
      <c r="PU64" s="548"/>
      <c r="PV64" s="548"/>
      <c r="PW64" s="548"/>
      <c r="PX64" s="548"/>
      <c r="PY64" s="548"/>
      <c r="PZ64" s="548"/>
      <c r="QA64" s="548"/>
      <c r="QB64" s="548"/>
      <c r="QC64" s="548"/>
      <c r="QD64" s="548"/>
      <c r="QE64" s="548"/>
      <c r="QF64" s="548"/>
      <c r="QG64" s="548"/>
      <c r="QH64" s="548"/>
      <c r="QI64" s="548"/>
      <c r="QJ64" s="548"/>
      <c r="QK64" s="548"/>
      <c r="QL64" s="548"/>
      <c r="QM64" s="548"/>
      <c r="QN64" s="548"/>
      <c r="QO64" s="548"/>
      <c r="QP64" s="548"/>
      <c r="QQ64" s="1009"/>
      <c r="QR64" s="548"/>
      <c r="QS64" s="548"/>
      <c r="QT64" s="548"/>
      <c r="QU64" s="548"/>
      <c r="QV64" s="548"/>
      <c r="QW64" s="548"/>
      <c r="QX64" s="548"/>
      <c r="QY64" s="548"/>
      <c r="QZ64" s="548"/>
      <c r="RA64" s="548"/>
      <c r="RB64" s="548"/>
      <c r="RC64" s="548"/>
      <c r="RD64" s="548"/>
      <c r="RE64" s="548"/>
      <c r="RF64" s="548"/>
      <c r="RG64" s="548"/>
      <c r="RH64" s="548"/>
      <c r="RI64" s="548"/>
      <c r="RJ64" s="548"/>
      <c r="RK64" s="548"/>
      <c r="RL64" s="548"/>
      <c r="RM64" s="548"/>
      <c r="RN64" s="548"/>
      <c r="RO64" s="548"/>
      <c r="RP64" s="548"/>
      <c r="RQ64" s="548"/>
      <c r="RR64" s="548"/>
      <c r="RS64" s="548"/>
      <c r="RT64" s="548"/>
      <c r="RU64" s="548"/>
      <c r="RV64" s="548"/>
      <c r="RW64" s="548"/>
      <c r="RX64" s="548"/>
      <c r="RY64" s="548"/>
      <c r="RZ64" s="548"/>
      <c r="SA64" s="548"/>
      <c r="SB64" s="548"/>
      <c r="SC64" s="548"/>
      <c r="SD64" s="548"/>
      <c r="SE64" s="548"/>
      <c r="SF64" s="548"/>
      <c r="SG64" s="548"/>
      <c r="SH64" s="548"/>
      <c r="SI64" s="548"/>
      <c r="SJ64" s="548"/>
      <c r="SK64" s="548"/>
      <c r="SL64" s="548"/>
      <c r="SM64" s="548"/>
      <c r="SN64" s="548"/>
      <c r="SO64" s="548"/>
      <c r="SP64" s="548"/>
      <c r="SQ64" s="548"/>
      <c r="SR64" s="548"/>
      <c r="SS64" s="548"/>
      <c r="ST64" s="548"/>
      <c r="SU64" s="548"/>
      <c r="SV64" s="548"/>
      <c r="SW64" s="548"/>
      <c r="SX64" s="548"/>
      <c r="SY64" s="548"/>
      <c r="SZ64" s="548"/>
      <c r="TA64" s="548"/>
      <c r="TB64" s="548"/>
      <c r="TC64" s="548"/>
      <c r="TD64" s="548"/>
      <c r="TE64" s="548"/>
      <c r="TF64" s="548"/>
      <c r="TG64" s="548"/>
      <c r="TH64" s="548"/>
      <c r="TI64" s="548"/>
      <c r="TJ64" s="548"/>
      <c r="TK64" s="548"/>
      <c r="TL64" s="548"/>
      <c r="TM64" s="548"/>
      <c r="TN64" s="548"/>
      <c r="TO64" s="548"/>
      <c r="TP64" s="548"/>
      <c r="TQ64" s="548"/>
      <c r="TR64" s="548"/>
      <c r="TS64" s="548"/>
      <c r="TT64" s="548"/>
      <c r="TU64" s="548"/>
      <c r="TV64" s="548"/>
      <c r="TW64" s="548"/>
      <c r="TX64" s="548"/>
      <c r="TY64" s="548"/>
      <c r="TZ64" s="548"/>
      <c r="UA64" s="548"/>
      <c r="UB64" s="548"/>
      <c r="UC64" s="548"/>
      <c r="UD64" s="548"/>
      <c r="UE64" s="548"/>
      <c r="UF64" s="548"/>
      <c r="UG64" s="548"/>
      <c r="UH64" s="548"/>
      <c r="UI64" s="548"/>
      <c r="UJ64" s="548"/>
      <c r="UK64" s="548"/>
      <c r="UL64" s="548"/>
      <c r="UM64" s="548"/>
      <c r="UN64" s="548"/>
      <c r="UO64" s="548"/>
      <c r="UP64" s="548"/>
      <c r="UQ64" s="548"/>
      <c r="UR64" s="548"/>
      <c r="US64" s="548"/>
      <c r="UT64" s="548"/>
      <c r="UU64" s="548"/>
      <c r="UV64" s="548"/>
      <c r="UW64" s="548"/>
      <c r="UX64" s="548"/>
      <c r="UY64" s="548"/>
      <c r="UZ64" s="548"/>
      <c r="VA64" s="548"/>
      <c r="VB64" s="548"/>
      <c r="VC64" s="548"/>
      <c r="VD64" s="548"/>
      <c r="VE64" s="548"/>
      <c r="VF64" s="548"/>
      <c r="VG64" s="548"/>
      <c r="VH64" s="548"/>
      <c r="VI64" s="548"/>
      <c r="VJ64" s="548"/>
      <c r="VK64" s="548"/>
      <c r="VL64" s="548"/>
      <c r="VM64" s="548"/>
      <c r="VN64" s="548"/>
      <c r="VO64" s="548"/>
      <c r="VP64" s="548"/>
      <c r="VQ64" s="548"/>
      <c r="VR64" s="548"/>
      <c r="VS64" s="548"/>
      <c r="VT64" s="548"/>
      <c r="VU64" s="548"/>
      <c r="VV64" s="548"/>
      <c r="VW64" s="548"/>
      <c r="VX64" s="548"/>
      <c r="VY64" s="548"/>
      <c r="VZ64" s="548"/>
      <c r="WA64" s="548"/>
      <c r="WB64" s="548"/>
      <c r="WC64" s="548"/>
      <c r="WD64" s="548"/>
      <c r="WE64" s="548"/>
      <c r="WF64" s="548"/>
      <c r="WG64" s="548"/>
      <c r="WH64" s="548"/>
      <c r="WI64" s="548"/>
      <c r="WJ64" s="548"/>
      <c r="WK64" s="548"/>
      <c r="WL64" s="548"/>
      <c r="WM64" s="548"/>
      <c r="WN64" s="548"/>
      <c r="WO64" s="548"/>
      <c r="WP64" s="548"/>
      <c r="WQ64" s="548"/>
      <c r="WR64" s="548"/>
      <c r="WS64" s="548"/>
      <c r="WT64" s="548"/>
      <c r="WU64" s="548"/>
      <c r="WV64" s="548"/>
      <c r="WW64" s="548"/>
      <c r="WX64" s="548"/>
      <c r="WY64" s="548"/>
      <c r="WZ64" s="548"/>
      <c r="XA64" s="548"/>
      <c r="XB64" s="548"/>
      <c r="XC64" s="548"/>
      <c r="XD64" s="548"/>
      <c r="XE64" s="548"/>
      <c r="XF64" s="548"/>
      <c r="XG64" s="548"/>
      <c r="XH64" s="548"/>
      <c r="XI64" s="548"/>
      <c r="XJ64" s="548"/>
      <c r="XK64" s="548"/>
      <c r="XL64" s="548"/>
      <c r="XM64" s="548"/>
      <c r="XN64" s="548"/>
      <c r="XO64" s="548"/>
      <c r="XP64" s="548"/>
      <c r="XQ64" s="548"/>
      <c r="XR64" s="548"/>
      <c r="XS64" s="548"/>
      <c r="XT64" s="548"/>
      <c r="XU64" s="548"/>
      <c r="XV64" s="548"/>
      <c r="XW64" s="548"/>
      <c r="XX64" s="548"/>
      <c r="XY64" s="548"/>
      <c r="XZ64" s="548"/>
      <c r="YA64" s="548"/>
      <c r="YB64" s="548"/>
      <c r="YC64" s="548"/>
      <c r="YD64" s="548"/>
      <c r="YE64" s="548"/>
      <c r="YF64" s="548"/>
      <c r="YG64" s="548"/>
      <c r="YH64" s="548"/>
      <c r="YI64" s="548"/>
      <c r="YJ64" s="548"/>
      <c r="YK64" s="548"/>
      <c r="YL64" s="548"/>
      <c r="YM64" s="548"/>
      <c r="YN64" s="548"/>
      <c r="YO64" s="548"/>
      <c r="YP64" s="548"/>
      <c r="YQ64" s="548"/>
      <c r="YR64" s="548"/>
      <c r="YS64" s="548"/>
      <c r="YT64" s="548"/>
      <c r="YU64" s="548"/>
      <c r="YV64" s="548"/>
      <c r="YW64" s="548"/>
      <c r="YX64" s="548"/>
      <c r="YY64" s="548"/>
      <c r="YZ64" s="548"/>
      <c r="ZA64" s="548"/>
      <c r="ZB64" s="548"/>
      <c r="ZC64" s="548"/>
      <c r="ZD64" s="548"/>
      <c r="ZE64" s="548"/>
      <c r="ZF64" s="548"/>
      <c r="ZG64" s="548"/>
      <c r="ZH64" s="548"/>
      <c r="ZI64" s="548"/>
      <c r="ZJ64" s="548"/>
      <c r="ZK64" s="548"/>
      <c r="ZL64" s="548"/>
      <c r="ZM64" s="548"/>
      <c r="ZN64" s="548"/>
      <c r="ZO64" s="548"/>
      <c r="ZP64" s="548"/>
      <c r="ZQ64" s="548"/>
      <c r="ZR64" s="548"/>
      <c r="ZS64" s="548"/>
      <c r="ZT64" s="548"/>
      <c r="ZU64" s="548"/>
      <c r="ZV64" s="548"/>
      <c r="ZW64" s="548"/>
      <c r="ZX64" s="548"/>
      <c r="ZY64" s="548"/>
      <c r="ZZ64" s="548"/>
      <c r="AAA64" s="548"/>
      <c r="AAB64" s="548"/>
      <c r="AAC64" s="548"/>
      <c r="AAD64" s="548"/>
      <c r="AAE64" s="548"/>
      <c r="AAF64" s="548"/>
      <c r="AAG64" s="548"/>
      <c r="AAH64" s="548"/>
      <c r="AAI64" s="548"/>
      <c r="AAJ64" s="548"/>
      <c r="AAK64" s="548"/>
      <c r="AAL64" s="548"/>
      <c r="AAM64" s="548"/>
      <c r="AAN64" s="548"/>
      <c r="AAO64" s="548"/>
      <c r="AAP64" s="548"/>
      <c r="AAQ64" s="548"/>
      <c r="AAR64" s="548"/>
      <c r="AAS64" s="548"/>
      <c r="AAT64" s="548"/>
      <c r="AAU64" s="548"/>
      <c r="AAV64" s="548"/>
      <c r="AAW64" s="548"/>
      <c r="AAX64" s="548"/>
      <c r="AAY64" s="548"/>
      <c r="AAZ64" s="548"/>
      <c r="ABA64" s="548"/>
      <c r="ABB64" s="548"/>
      <c r="ABC64" s="548"/>
      <c r="ABD64" s="548"/>
      <c r="ABE64" s="548"/>
      <c r="ABF64" s="548"/>
      <c r="ABG64" s="548"/>
      <c r="ABH64" s="548"/>
      <c r="ABI64" s="548"/>
      <c r="ABJ64" s="548"/>
      <c r="ABK64" s="548"/>
      <c r="ABL64" s="548"/>
      <c r="ABM64" s="548"/>
      <c r="ABN64" s="548"/>
      <c r="ABO64" s="548"/>
      <c r="ABP64" s="548"/>
      <c r="ABQ64" s="548"/>
      <c r="ABR64" s="548"/>
      <c r="ABS64" s="548"/>
    </row>
    <row r="65" spans="1:747" customFormat="1" ht="15" customHeight="1" x14ac:dyDescent="0.2">
      <c r="A65" s="424" t="str">
        <f t="shared" si="149"/>
        <v/>
      </c>
      <c r="B65" s="415"/>
      <c r="C65" s="525"/>
      <c r="D65" s="750"/>
      <c r="E65" s="416" t="str">
        <f t="shared" si="393"/>
        <v/>
      </c>
      <c r="F65" s="527" t="str">
        <f t="shared" si="394"/>
        <v/>
      </c>
      <c r="G65" s="417"/>
      <c r="H65" s="583" t="str">
        <f t="shared" si="395"/>
        <v/>
      </c>
      <c r="I65" s="424"/>
      <c r="J65" s="419"/>
      <c r="K65" s="418"/>
      <c r="L65" s="419"/>
      <c r="M65" s="415"/>
      <c r="N65" s="420"/>
      <c r="O65" s="421"/>
      <c r="P65" s="561"/>
      <c r="Q65" s="422"/>
      <c r="R65" s="561" t="str">
        <f t="shared" si="396"/>
        <v/>
      </c>
      <c r="S65" s="664"/>
      <c r="T65" s="663"/>
      <c r="U65" s="580">
        <f t="shared" si="397"/>
        <v>0</v>
      </c>
      <c r="V65" s="418"/>
      <c r="W65" s="582" t="str">
        <f t="shared" si="398"/>
        <v/>
      </c>
      <c r="X65" s="317" t="str">
        <f t="shared" si="399"/>
        <v/>
      </c>
      <c r="Y65" s="582" t="str">
        <f t="shared" si="400"/>
        <v/>
      </c>
      <c r="Z65" s="317" t="str">
        <f t="shared" si="401"/>
        <v/>
      </c>
      <c r="AA65" s="317" t="str">
        <f t="shared" si="402"/>
        <v/>
      </c>
      <c r="AB65" s="317">
        <f t="shared" si="403"/>
        <v>0</v>
      </c>
      <c r="AC65" s="317" t="str">
        <f t="shared" si="404"/>
        <v/>
      </c>
      <c r="AD65" s="317"/>
      <c r="AE65" s="479"/>
      <c r="AF65" s="479"/>
      <c r="AG65" s="423"/>
      <c r="AH65" s="820"/>
      <c r="AI65" s="480"/>
      <c r="AJ65" s="660"/>
      <c r="AK65" s="524" t="str">
        <f t="shared" si="405"/>
        <v/>
      </c>
      <c r="AL65" s="731">
        <f>SUMIF($J$4:$J$158,"Rolê",$S$4:$S$158)</f>
        <v>0</v>
      </c>
      <c r="AM65" s="732">
        <f>SUMIF($J$4:$J$158,"Rolê",$T$4:$T$158)</f>
        <v>0</v>
      </c>
      <c r="AN65" s="426">
        <f t="shared" si="406"/>
        <v>0</v>
      </c>
      <c r="AO65" s="427" t="str">
        <f t="shared" si="407"/>
        <v/>
      </c>
      <c r="AP65" s="426" t="str">
        <f t="shared" si="408"/>
        <v/>
      </c>
      <c r="AQ65" s="426"/>
      <c r="AR65" s="426"/>
      <c r="AS65" s="428"/>
      <c r="AT65" s="429"/>
      <c r="AU65" s="430"/>
      <c r="AV65" s="431"/>
      <c r="AW65" s="432"/>
      <c r="AX65" s="430"/>
      <c r="AY65" s="431">
        <f t="shared" si="409"/>
        <v>0</v>
      </c>
      <c r="AZ65" s="426"/>
      <c r="BA65" s="435" t="str">
        <f t="shared" si="410"/>
        <v/>
      </c>
      <c r="BB65" s="435"/>
      <c r="BC65" s="426"/>
      <c r="BD65" s="426">
        <f t="array" ref="BD65">IF(SUM((BC65=$BC$3:BC64)*1)=0,BC65,0)</f>
        <v>0</v>
      </c>
      <c r="BE65" s="426"/>
      <c r="BF65" s="426"/>
      <c r="BG65" s="426">
        <f t="array" ref="BG65">IF(SUM((BF65=$BF$3:BF64)*1)=0,BF65,0)</f>
        <v>0</v>
      </c>
      <c r="BH65" s="426"/>
      <c r="BI65" s="426"/>
      <c r="BJ65" s="426"/>
      <c r="BK65" s="426"/>
      <c r="BL65" s="426"/>
      <c r="BM65" s="426"/>
      <c r="BN65" s="426"/>
      <c r="BO65" s="426"/>
      <c r="BP65" s="433">
        <f t="shared" si="411"/>
        <v>0</v>
      </c>
      <c r="BQ65" s="426"/>
      <c r="BR65" s="434"/>
      <c r="BS65" s="426"/>
      <c r="BT65" s="433"/>
      <c r="BU65" s="435"/>
      <c r="BV65" s="435" t="str">
        <f t="shared" si="412"/>
        <v/>
      </c>
      <c r="BW65" s="435" t="str">
        <f t="shared" si="38"/>
        <v/>
      </c>
      <c r="BX65" s="435"/>
      <c r="BY65" s="435"/>
      <c r="BZ65" s="435"/>
      <c r="CA65" s="435"/>
      <c r="CB65" s="435"/>
      <c r="CC65" s="435"/>
      <c r="CD65" s="435"/>
      <c r="CE65" s="435"/>
      <c r="CF65" s="435"/>
      <c r="CG65" s="435"/>
      <c r="CH65" s="435"/>
      <c r="CI65" s="435"/>
      <c r="CJ65" s="426" t="str">
        <f t="shared" si="39"/>
        <v/>
      </c>
      <c r="CK65" s="435"/>
      <c r="CL65" s="426"/>
      <c r="CM65" s="435"/>
      <c r="CN65" s="426"/>
      <c r="CO65" s="426"/>
      <c r="CP65" s="426"/>
      <c r="CQ65" s="426"/>
      <c r="CR65" s="426"/>
      <c r="CS65" s="426"/>
      <c r="CT65" s="426"/>
      <c r="CU65" s="426"/>
      <c r="CV65" s="426"/>
      <c r="CW65" s="426"/>
      <c r="CX65" s="426"/>
      <c r="CY65" s="426">
        <v>62</v>
      </c>
      <c r="CZ65" s="426"/>
      <c r="DA65" s="426"/>
      <c r="DB65" s="426"/>
      <c r="DC65" s="426" t="s">
        <v>805</v>
      </c>
      <c r="DD65" s="426" t="s">
        <v>965</v>
      </c>
      <c r="DE65" s="435" t="str">
        <f t="shared" si="40"/>
        <v/>
      </c>
      <c r="DF65" s="435" t="str">
        <f t="shared" si="41"/>
        <v/>
      </c>
      <c r="DG65" s="435" t="str">
        <f t="shared" si="42"/>
        <v/>
      </c>
      <c r="DH65" s="435" t="str">
        <f t="shared" si="43"/>
        <v/>
      </c>
      <c r="DI65" s="435" t="str">
        <f t="shared" si="44"/>
        <v/>
      </c>
      <c r="DJ65" s="435" t="str">
        <f t="shared" si="45"/>
        <v/>
      </c>
      <c r="DK65" s="435" t="str">
        <f t="shared" si="413"/>
        <v/>
      </c>
      <c r="DL65" s="435" t="str">
        <f t="shared" si="414"/>
        <v/>
      </c>
      <c r="DM65" s="435" t="str">
        <f t="shared" si="46"/>
        <v/>
      </c>
      <c r="DN65" s="435" t="str">
        <f t="shared" si="47"/>
        <v/>
      </c>
      <c r="DO65" s="435" t="str">
        <f t="shared" si="415"/>
        <v/>
      </c>
      <c r="DP65" s="435" t="str">
        <f t="shared" si="416"/>
        <v/>
      </c>
      <c r="DQ65" s="435" t="str">
        <f t="shared" si="48"/>
        <v/>
      </c>
      <c r="DR65" s="435" t="str">
        <f t="shared" si="49"/>
        <v/>
      </c>
      <c r="DS65" s="435" t="str">
        <f t="shared" si="417"/>
        <v/>
      </c>
      <c r="DT65" s="435" t="str">
        <f t="shared" si="418"/>
        <v/>
      </c>
      <c r="DU65" s="435" t="str">
        <f t="shared" si="50"/>
        <v/>
      </c>
      <c r="DV65" s="435" t="str">
        <f t="shared" si="51"/>
        <v/>
      </c>
      <c r="DW65" s="435" t="str">
        <f t="shared" si="419"/>
        <v/>
      </c>
      <c r="DX65" s="435" t="str">
        <f t="shared" si="420"/>
        <v/>
      </c>
      <c r="DY65" s="435" t="str">
        <f t="shared" si="52"/>
        <v/>
      </c>
      <c r="DZ65" s="435" t="str">
        <f t="shared" si="53"/>
        <v/>
      </c>
      <c r="EA65" s="435" t="str">
        <f t="shared" si="421"/>
        <v/>
      </c>
      <c r="EB65" s="435" t="str">
        <f t="shared" si="422"/>
        <v/>
      </c>
      <c r="EC65" s="435" t="str">
        <f t="shared" si="423"/>
        <v/>
      </c>
      <c r="ED65" s="435" t="str">
        <f t="shared" si="424"/>
        <v/>
      </c>
      <c r="EE65" s="435" t="str">
        <f t="shared" si="425"/>
        <v/>
      </c>
      <c r="EF65" s="435" t="str">
        <f t="shared" si="426"/>
        <v/>
      </c>
      <c r="EG65" s="435" t="str">
        <f t="shared" si="427"/>
        <v/>
      </c>
      <c r="EH65" s="435" t="str">
        <f t="shared" si="428"/>
        <v/>
      </c>
      <c r="EI65" s="435" t="str">
        <f t="shared" si="429"/>
        <v/>
      </c>
      <c r="EJ65" s="435" t="str">
        <f t="shared" si="430"/>
        <v/>
      </c>
      <c r="EK65" s="485"/>
      <c r="EL65" s="485"/>
      <c r="EM65" s="485"/>
      <c r="EN65" s="485"/>
      <c r="EO65" s="448"/>
      <c r="EP65" s="448"/>
      <c r="EQ65" s="448"/>
      <c r="ER65" s="448"/>
      <c r="ES65" s="448"/>
      <c r="ET65" s="435"/>
      <c r="EU65" s="435"/>
      <c r="EV65" s="435"/>
      <c r="EW65" s="435"/>
      <c r="EX65" s="426"/>
      <c r="EY65" s="426"/>
      <c r="EZ65" s="426"/>
      <c r="FA65" s="427"/>
      <c r="FB65" s="427">
        <f t="array" ref="FB65">IF(SUM((FA65=$FA$3:FA64)*1)=0,FA65,0)</f>
        <v>0</v>
      </c>
      <c r="FC65" s="427"/>
      <c r="FD65" s="427"/>
      <c r="FE65" s="427">
        <f t="array" ref="FE65">IF(SUM((FD65=$FD$3:FD64)*1)=0,FD65,0)</f>
        <v>0</v>
      </c>
      <c r="FF65" s="427"/>
      <c r="FG65" s="427"/>
      <c r="FH65" s="427"/>
      <c r="FI65" s="427">
        <f t="array" ref="FI65">IF(SUM((FH65=$FH$3:FH64)*1)=0,FH65,0)</f>
        <v>0</v>
      </c>
      <c r="FJ65" s="427"/>
      <c r="FK65" s="427"/>
      <c r="FL65" s="427">
        <f t="array" ref="FL65">IF(SUM((FK65=$FK$3:FK64)*1)=0,FK65,0)</f>
        <v>0</v>
      </c>
      <c r="FM65" s="427"/>
      <c r="FN65" s="427"/>
      <c r="FO65" s="427"/>
      <c r="FP65" s="427">
        <f t="array" ref="FP65">IF(SUM((FO65=$FO$3:FO64)*1)=0,FO65,0)</f>
        <v>0</v>
      </c>
      <c r="FQ65" s="427"/>
      <c r="FR65" s="427"/>
      <c r="FS65" s="427">
        <f t="array" ref="FS65">IF(SUM((FR65=$FR$3:FR64)*1)=0,FR65,0)</f>
        <v>0</v>
      </c>
      <c r="FT65" s="427"/>
      <c r="FU65" s="427"/>
      <c r="FV65" s="427"/>
      <c r="FW65" s="427">
        <f t="array" ref="FW65">IF(SUM((FV65=$FV$3:FV64)*1)=0,FV65,0)</f>
        <v>0</v>
      </c>
      <c r="FX65" s="427"/>
      <c r="FY65" s="427"/>
      <c r="FZ65" s="427">
        <f t="array" ref="FZ65">IF(SUM((FY65=$FY$3:FY64)*1)=0,FY65,0)</f>
        <v>0</v>
      </c>
      <c r="GA65" s="427"/>
      <c r="GB65" s="427"/>
      <c r="GC65" s="427"/>
      <c r="GD65" s="427">
        <f t="array" ref="GD65">IF(SUM((GC65=$GC$3:GC64)*1)=0,GC65,0)</f>
        <v>0</v>
      </c>
      <c r="GE65" s="427"/>
      <c r="GF65" s="427"/>
      <c r="GG65" s="427">
        <f t="array" ref="GG65">IF(SUM((GF65=$GF$3:GF64)*1)=0,GF65,0)</f>
        <v>0</v>
      </c>
      <c r="GH65" s="427"/>
      <c r="GI65" s="427"/>
      <c r="GJ65" s="427"/>
      <c r="GK65" s="798">
        <f t="array" ref="GK65">IF(SUM((GJ65=$GJ$3:GJ64)*1)=0,GJ65,0)</f>
        <v>0</v>
      </c>
      <c r="GL65" s="427"/>
      <c r="GM65" s="427"/>
      <c r="GN65" s="798">
        <f t="array" ref="GN65">IF(SUM((GM65=$GM$3:GM64)*1)=0,GM65,0)</f>
        <v>0</v>
      </c>
      <c r="GO65" s="427"/>
      <c r="GP65" s="427"/>
      <c r="GQ65" s="427"/>
      <c r="GR65" s="798">
        <f t="array" ref="GR65">IF(SUM((GQ65=$GQ$3:GQ64)*1)=0,GQ65,0)</f>
        <v>0</v>
      </c>
      <c r="GS65" s="427"/>
      <c r="GT65" s="427"/>
      <c r="GU65" s="798">
        <f t="array" ref="GU65">IF(SUM((GT65=$GT$3:GT64)*1)=0,GT65,0)</f>
        <v>0</v>
      </c>
      <c r="GV65" s="427"/>
      <c r="GW65" s="427"/>
      <c r="GX65" s="427"/>
      <c r="GY65" s="798">
        <f t="array" ref="GY65">IF(SUM((GX65=$GX$3:GX64)*1)=0,GX65,0)</f>
        <v>0</v>
      </c>
      <c r="GZ65" s="427"/>
      <c r="HA65" s="427"/>
      <c r="HB65" s="798">
        <f t="array" ref="HB65">IF(SUM((HA65=$HA$3:HA64)*1)=0,HA65,0)</f>
        <v>0</v>
      </c>
      <c r="HC65" s="427"/>
      <c r="HD65" s="427"/>
      <c r="HE65" s="769" t="str">
        <f t="shared" si="130"/>
        <v/>
      </c>
      <c r="HF65" s="768" t="str">
        <f t="shared" ref="HF65" si="724">IF(HE65&lt;0,"Invadiu REP-BA-C","")</f>
        <v/>
      </c>
      <c r="HG65" s="769" t="str">
        <f t="shared" si="131"/>
        <v/>
      </c>
      <c r="HH65" s="768" t="str">
        <f t="shared" si="55"/>
        <v/>
      </c>
      <c r="HI65" s="728" t="str">
        <f t="shared" si="132"/>
        <v/>
      </c>
      <c r="HJ65" s="768" t="str">
        <f t="shared" si="56"/>
        <v/>
      </c>
      <c r="HK65" s="728" t="str">
        <f t="shared" si="133"/>
        <v/>
      </c>
      <c r="HL65" s="768" t="str">
        <f t="shared" si="57"/>
        <v/>
      </c>
      <c r="HM65" s="769" t="str">
        <f t="shared" si="441"/>
        <v/>
      </c>
      <c r="HN65" s="768" t="str">
        <f t="shared" ref="HN65" si="725">IF(HM65&lt;0,"Invadiu REP-BA-C","")</f>
        <v/>
      </c>
      <c r="HO65" s="769" t="str">
        <f t="shared" si="443"/>
        <v/>
      </c>
      <c r="HP65" s="768" t="str">
        <f t="shared" si="61"/>
        <v/>
      </c>
      <c r="HQ65" s="728" t="str">
        <f t="shared" si="444"/>
        <v/>
      </c>
      <c r="HR65" s="768" t="str">
        <f t="shared" si="63"/>
        <v/>
      </c>
      <c r="HS65" s="728" t="str">
        <f t="shared" si="445"/>
        <v/>
      </c>
      <c r="HT65" s="768" t="str">
        <f t="shared" si="65"/>
        <v/>
      </c>
      <c r="HU65" s="769" t="str">
        <f t="shared" si="446"/>
        <v/>
      </c>
      <c r="HV65" s="768" t="str">
        <f t="shared" ref="HV65" si="726">IF(HU65&lt;0,"Invadiu REP-BA-C","")</f>
        <v/>
      </c>
      <c r="HW65" s="769" t="str">
        <f t="shared" si="448"/>
        <v/>
      </c>
      <c r="HX65" s="768" t="str">
        <f t="shared" si="69"/>
        <v/>
      </c>
      <c r="HY65" s="728" t="str">
        <f t="shared" si="449"/>
        <v/>
      </c>
      <c r="HZ65" s="768" t="str">
        <f t="shared" si="71"/>
        <v/>
      </c>
      <c r="IA65" s="728" t="str">
        <f t="shared" si="450"/>
        <v/>
      </c>
      <c r="IB65" s="768" t="str">
        <f t="shared" si="73"/>
        <v/>
      </c>
      <c r="IC65" s="769" t="str">
        <f t="shared" si="451"/>
        <v/>
      </c>
      <c r="ID65" s="768" t="str">
        <f t="shared" ref="ID65" si="727">IF(IC65&lt;0,"Invadiu REP-BA-C","")</f>
        <v/>
      </c>
      <c r="IE65" s="769" t="str">
        <f t="shared" si="453"/>
        <v/>
      </c>
      <c r="IF65" s="768" t="str">
        <f t="shared" si="77"/>
        <v/>
      </c>
      <c r="IG65" s="728" t="str">
        <f t="shared" si="454"/>
        <v/>
      </c>
      <c r="IH65" s="768" t="str">
        <f t="shared" si="79"/>
        <v/>
      </c>
      <c r="II65" s="728" t="str">
        <f t="shared" si="455"/>
        <v/>
      </c>
      <c r="IJ65" s="768" t="str">
        <f t="shared" si="81"/>
        <v/>
      </c>
      <c r="IK65" s="769" t="str">
        <f t="shared" si="456"/>
        <v/>
      </c>
      <c r="IL65" s="768" t="str">
        <f t="shared" ref="IL65" si="728">IF(IK65&lt;0,"Invadiu REP-BA-C","")</f>
        <v/>
      </c>
      <c r="IM65" s="769" t="str">
        <f t="shared" si="458"/>
        <v/>
      </c>
      <c r="IN65" s="768" t="str">
        <f t="shared" si="85"/>
        <v/>
      </c>
      <c r="IO65" s="728" t="str">
        <f t="shared" si="459"/>
        <v/>
      </c>
      <c r="IP65" s="768" t="str">
        <f t="shared" si="87"/>
        <v/>
      </c>
      <c r="IQ65" s="728" t="str">
        <f t="shared" si="460"/>
        <v/>
      </c>
      <c r="IR65" s="768" t="str">
        <f t="shared" si="89"/>
        <v/>
      </c>
      <c r="IS65" s="769" t="str">
        <f t="shared" si="461"/>
        <v/>
      </c>
      <c r="IT65" s="768" t="str">
        <f t="shared" ref="IT65" si="729">IF(IS65&lt;0,"Invadiu REP-BA-C","")</f>
        <v/>
      </c>
      <c r="IU65" s="769" t="str">
        <f t="shared" si="463"/>
        <v/>
      </c>
      <c r="IV65" s="768" t="str">
        <f t="shared" si="93"/>
        <v/>
      </c>
      <c r="IW65" s="728" t="str">
        <f t="shared" si="464"/>
        <v/>
      </c>
      <c r="IX65" s="768" t="str">
        <f t="shared" si="95"/>
        <v/>
      </c>
      <c r="IY65" s="728" t="str">
        <f t="shared" si="465"/>
        <v/>
      </c>
      <c r="IZ65" s="768" t="str">
        <f t="shared" si="97"/>
        <v/>
      </c>
      <c r="JA65" s="769" t="str">
        <f t="shared" si="466"/>
        <v/>
      </c>
      <c r="JB65" s="768" t="str">
        <f t="shared" ref="JB65" si="730">IF(JA65&lt;0,"Invadiu REP-BA-C","")</f>
        <v/>
      </c>
      <c r="JC65" s="769" t="str">
        <f t="shared" si="468"/>
        <v/>
      </c>
      <c r="JD65" s="768" t="str">
        <f t="shared" si="101"/>
        <v/>
      </c>
      <c r="JE65" s="728" t="str">
        <f t="shared" si="469"/>
        <v/>
      </c>
      <c r="JF65" s="768" t="str">
        <f t="shared" si="103"/>
        <v/>
      </c>
      <c r="JG65" s="728" t="str">
        <f t="shared" si="470"/>
        <v/>
      </c>
      <c r="JH65" s="768" t="str">
        <f t="shared" si="105"/>
        <v/>
      </c>
      <c r="JI65" s="769" t="str">
        <f t="shared" si="471"/>
        <v/>
      </c>
      <c r="JJ65" s="768" t="str">
        <f t="shared" ref="JJ65" si="731">IF(JI65&lt;0,"Invadiu REP-BA-C","")</f>
        <v/>
      </c>
      <c r="JK65" s="769" t="str">
        <f t="shared" si="473"/>
        <v/>
      </c>
      <c r="JL65" s="768" t="str">
        <f t="shared" si="109"/>
        <v/>
      </c>
      <c r="JM65" s="728" t="str">
        <f t="shared" si="474"/>
        <v/>
      </c>
      <c r="JN65" s="768" t="str">
        <f t="shared" si="111"/>
        <v/>
      </c>
      <c r="JO65" s="728" t="str">
        <f t="shared" si="475"/>
        <v/>
      </c>
      <c r="JP65" s="768" t="str">
        <f t="shared" si="113"/>
        <v/>
      </c>
      <c r="JQ65" s="769" t="str">
        <f t="shared" si="476"/>
        <v/>
      </c>
      <c r="JR65" s="768" t="str">
        <f t="shared" ref="JR65" si="732">IF(JQ65&lt;0,"Invadiu REP-BA-C","")</f>
        <v/>
      </c>
      <c r="JS65" s="769" t="str">
        <f t="shared" si="478"/>
        <v/>
      </c>
      <c r="JT65" s="768" t="str">
        <f t="shared" si="117"/>
        <v/>
      </c>
      <c r="JU65" s="728" t="str">
        <f t="shared" si="479"/>
        <v/>
      </c>
      <c r="JV65" s="768" t="str">
        <f t="shared" si="119"/>
        <v/>
      </c>
      <c r="JW65" s="728" t="str">
        <f t="shared" si="480"/>
        <v/>
      </c>
      <c r="JX65" s="768" t="str">
        <f t="shared" si="121"/>
        <v/>
      </c>
      <c r="JY65" s="768" t="str">
        <f t="shared" si="122"/>
        <v/>
      </c>
      <c r="JZ65" s="485" t="str">
        <f>IF(JY65="","",IF(AND(C65=$C$164,JY65&lt;&gt;""),Verificarcpf(D65),IF(AND(C65=$C$165,JY65&lt;&gt;""),VerificarCNPJ(D65))))</f>
        <v/>
      </c>
      <c r="KA65" s="768" t="str">
        <f t="shared" si="123"/>
        <v/>
      </c>
      <c r="KB65" s="485">
        <f t="shared" si="124"/>
        <v>0</v>
      </c>
      <c r="KC65" s="768">
        <f t="shared" si="125"/>
        <v>0</v>
      </c>
      <c r="KD65" s="485">
        <f t="shared" si="126"/>
        <v>0</v>
      </c>
      <c r="KE65" s="448"/>
      <c r="KF65" s="548"/>
      <c r="KG65" s="548"/>
      <c r="KH65" s="548"/>
      <c r="KI65" s="548"/>
      <c r="KJ65" s="548" t="str">
        <f t="shared" si="128"/>
        <v/>
      </c>
      <c r="KK65" s="548"/>
      <c r="KL65" s="548"/>
      <c r="KM65" s="548">
        <f t="array" ref="KM65">IF(SUM((KL65=$KL$3:KL64)*1)=0,KL65,0)</f>
        <v>0</v>
      </c>
      <c r="KN65" s="548"/>
      <c r="KO65" s="548"/>
      <c r="KP65" s="548"/>
      <c r="KQ65" s="548"/>
      <c r="KR65" s="548" t="str">
        <f t="shared" si="129"/>
        <v/>
      </c>
      <c r="KS65" s="548"/>
      <c r="KT65" s="548"/>
      <c r="KU65" s="548"/>
      <c r="KV65" s="548"/>
      <c r="KW65" s="548"/>
      <c r="KX65" s="548"/>
      <c r="KY65" s="548"/>
      <c r="KZ65" s="548"/>
      <c r="LA65" s="548"/>
      <c r="LB65" s="548"/>
      <c r="LC65" s="485" t="str">
        <f t="shared" si="142"/>
        <v/>
      </c>
      <c r="LD65" s="548"/>
      <c r="LE65" s="548"/>
      <c r="LF65" s="548"/>
      <c r="LG65" s="548"/>
      <c r="LH65" s="548"/>
      <c r="LI65" s="548"/>
      <c r="LJ65" s="548"/>
      <c r="LK65" s="548"/>
      <c r="LL65" s="548"/>
      <c r="LM65" s="548"/>
      <c r="LN65" s="548"/>
      <c r="LO65" s="548"/>
      <c r="LP65" s="485" t="str">
        <f t="shared" si="143"/>
        <v/>
      </c>
      <c r="LQ65" s="548"/>
      <c r="LR65" s="548"/>
      <c r="LS65" s="548"/>
      <c r="LT65" s="548"/>
      <c r="LU65" s="548"/>
      <c r="LV65" s="548"/>
      <c r="LW65" s="548"/>
      <c r="LX65" s="548"/>
      <c r="LY65" s="548"/>
      <c r="LZ65" s="548"/>
      <c r="MA65" s="548"/>
      <c r="MB65" s="548"/>
      <c r="MC65" s="485" t="str">
        <f t="shared" si="144"/>
        <v/>
      </c>
      <c r="MD65" s="548"/>
      <c r="ME65" s="548"/>
      <c r="MF65" s="548"/>
      <c r="MG65" s="548"/>
      <c r="MH65" s="548"/>
      <c r="MI65" s="548"/>
      <c r="MJ65" s="548"/>
      <c r="MK65" s="548"/>
      <c r="ML65" s="548"/>
      <c r="MM65" s="548"/>
      <c r="MN65" s="548"/>
      <c r="MO65" s="548"/>
      <c r="MP65" s="485" t="str">
        <f t="shared" si="145"/>
        <v/>
      </c>
      <c r="MQ65" s="548"/>
      <c r="MR65" s="548"/>
      <c r="MS65" s="548"/>
      <c r="MT65" s="548"/>
      <c r="MU65" s="548"/>
      <c r="MV65" s="548"/>
      <c r="MW65" s="548"/>
      <c r="MX65" s="548"/>
      <c r="MY65" s="548"/>
      <c r="MZ65" s="548"/>
      <c r="NA65" s="548"/>
      <c r="NB65" s="548"/>
      <c r="NC65" s="485" t="str">
        <f t="shared" si="146"/>
        <v/>
      </c>
      <c r="ND65" s="548"/>
      <c r="NE65" s="548"/>
      <c r="NF65" s="548"/>
      <c r="NG65" s="548"/>
      <c r="NH65" s="548"/>
      <c r="NI65" s="548"/>
      <c r="NJ65" s="548"/>
      <c r="NK65" s="548"/>
      <c r="NL65" s="548"/>
      <c r="NM65" s="548"/>
      <c r="NN65" s="548"/>
      <c r="NO65" s="548"/>
      <c r="NP65" s="485" t="str">
        <f t="shared" si="147"/>
        <v/>
      </c>
      <c r="NQ65" s="548"/>
      <c r="NR65" s="548"/>
      <c r="NS65" s="548"/>
      <c r="NT65" s="548"/>
      <c r="NU65" s="548"/>
      <c r="NV65" s="548"/>
      <c r="NW65" s="548"/>
      <c r="NX65" s="548"/>
      <c r="NY65" s="548"/>
      <c r="NZ65" s="548"/>
      <c r="OA65" s="548"/>
      <c r="OB65" s="548"/>
      <c r="OC65" s="485" t="str">
        <f t="shared" si="148"/>
        <v/>
      </c>
      <c r="OD65" s="548"/>
      <c r="OE65" s="548"/>
      <c r="OF65" s="548"/>
      <c r="OG65" s="548"/>
      <c r="OH65" s="548"/>
      <c r="OI65" s="548"/>
      <c r="OJ65" s="548"/>
      <c r="OK65" s="548"/>
      <c r="OL65" s="548"/>
      <c r="OM65" s="548"/>
      <c r="ON65" s="548"/>
      <c r="OO65" s="548"/>
      <c r="OP65" s="548"/>
      <c r="OQ65" s="548"/>
      <c r="OR65" s="548"/>
      <c r="OS65" s="548"/>
      <c r="OT65" s="548"/>
      <c r="OU65" s="548"/>
      <c r="OV65" s="548"/>
      <c r="OW65" s="548"/>
      <c r="OX65" s="548"/>
      <c r="OY65" s="548"/>
      <c r="OZ65" s="548"/>
      <c r="PA65" s="548"/>
      <c r="PB65" s="548"/>
      <c r="PC65" s="548"/>
      <c r="PD65" s="548"/>
      <c r="PE65" s="548"/>
      <c r="PF65" s="548"/>
      <c r="PG65" s="548"/>
      <c r="PH65" s="548"/>
      <c r="PI65" s="548"/>
      <c r="PJ65" s="548"/>
      <c r="PK65" s="548"/>
      <c r="PL65" s="548"/>
      <c r="PM65" s="548"/>
      <c r="PN65" s="548"/>
      <c r="PO65" s="548"/>
      <c r="PP65" s="548"/>
      <c r="PQ65" s="548"/>
      <c r="PR65" s="548"/>
      <c r="PS65" s="548"/>
      <c r="PT65" s="548"/>
      <c r="PU65" s="548"/>
      <c r="PV65" s="548"/>
      <c r="PW65" s="548"/>
      <c r="PX65" s="548"/>
      <c r="PY65" s="548"/>
      <c r="PZ65" s="548"/>
      <c r="QA65" s="548"/>
      <c r="QB65" s="548"/>
      <c r="QC65" s="548"/>
      <c r="QD65" s="548"/>
      <c r="QE65" s="548"/>
      <c r="QF65" s="548"/>
      <c r="QG65" s="548"/>
      <c r="QH65" s="548"/>
      <c r="QI65" s="548"/>
      <c r="QJ65" s="548"/>
      <c r="QK65" s="548"/>
      <c r="QL65" s="548"/>
      <c r="QM65" s="548"/>
      <c r="QN65" s="548"/>
      <c r="QO65" s="548"/>
      <c r="QP65" s="548"/>
      <c r="QQ65" s="1009"/>
      <c r="QR65" s="548"/>
      <c r="QS65" s="548"/>
      <c r="QT65" s="548"/>
      <c r="QU65" s="548"/>
      <c r="QV65" s="548"/>
      <c r="QW65" s="548"/>
      <c r="QX65" s="548"/>
      <c r="QY65" s="548"/>
      <c r="QZ65" s="548"/>
      <c r="RA65" s="548"/>
      <c r="RB65" s="548"/>
      <c r="RC65" s="548"/>
      <c r="RD65" s="548"/>
      <c r="RE65" s="548"/>
      <c r="RF65" s="548"/>
      <c r="RG65" s="548"/>
      <c r="RH65" s="548"/>
      <c r="RI65" s="548"/>
      <c r="RJ65" s="548"/>
      <c r="RK65" s="548"/>
      <c r="RL65" s="548"/>
      <c r="RM65" s="548"/>
      <c r="RN65" s="548"/>
      <c r="RO65" s="548"/>
      <c r="RP65" s="548"/>
      <c r="RQ65" s="548"/>
      <c r="RR65" s="548"/>
      <c r="RS65" s="548"/>
      <c r="RT65" s="548"/>
      <c r="RU65" s="548"/>
      <c r="RV65" s="548"/>
      <c r="RW65" s="548"/>
      <c r="RX65" s="548"/>
      <c r="RY65" s="548"/>
      <c r="RZ65" s="548"/>
      <c r="SA65" s="548"/>
      <c r="SB65" s="548"/>
      <c r="SC65" s="548"/>
      <c r="SD65" s="548"/>
      <c r="SE65" s="548"/>
      <c r="SF65" s="548"/>
      <c r="SG65" s="548"/>
      <c r="SH65" s="548"/>
      <c r="SI65" s="548"/>
      <c r="SJ65" s="548"/>
      <c r="SK65" s="548"/>
      <c r="SL65" s="548"/>
      <c r="SM65" s="548"/>
      <c r="SN65" s="548"/>
      <c r="SO65" s="548"/>
      <c r="SP65" s="548"/>
      <c r="SQ65" s="548"/>
      <c r="SR65" s="548"/>
      <c r="SS65" s="548"/>
      <c r="ST65" s="548"/>
      <c r="SU65" s="548"/>
      <c r="SV65" s="548"/>
      <c r="SW65" s="548"/>
      <c r="SX65" s="548"/>
      <c r="SY65" s="548"/>
      <c r="SZ65" s="548"/>
      <c r="TA65" s="548"/>
      <c r="TB65" s="548"/>
      <c r="TC65" s="548"/>
      <c r="TD65" s="548"/>
      <c r="TE65" s="548"/>
      <c r="TF65" s="548"/>
      <c r="TG65" s="548"/>
      <c r="TH65" s="548"/>
      <c r="TI65" s="548"/>
      <c r="TJ65" s="548"/>
      <c r="TK65" s="548"/>
      <c r="TL65" s="548"/>
      <c r="TM65" s="548"/>
      <c r="TN65" s="548"/>
      <c r="TO65" s="548"/>
      <c r="TP65" s="548"/>
      <c r="TQ65" s="548"/>
      <c r="TR65" s="548"/>
      <c r="TS65" s="548"/>
      <c r="TT65" s="548"/>
      <c r="TU65" s="548"/>
      <c r="TV65" s="548"/>
      <c r="TW65" s="548"/>
      <c r="TX65" s="548"/>
      <c r="TY65" s="548"/>
      <c r="TZ65" s="548"/>
      <c r="UA65" s="548"/>
      <c r="UB65" s="548"/>
      <c r="UC65" s="548"/>
      <c r="UD65" s="548"/>
      <c r="UE65" s="548"/>
      <c r="UF65" s="548"/>
      <c r="UG65" s="548"/>
      <c r="UH65" s="548"/>
      <c r="UI65" s="548"/>
      <c r="UJ65" s="548"/>
      <c r="UK65" s="548"/>
      <c r="UL65" s="548"/>
      <c r="UM65" s="548"/>
      <c r="UN65" s="548"/>
      <c r="UO65" s="548"/>
      <c r="UP65" s="548"/>
      <c r="UQ65" s="548"/>
      <c r="UR65" s="548"/>
      <c r="US65" s="548"/>
      <c r="UT65" s="548"/>
      <c r="UU65" s="548"/>
      <c r="UV65" s="548"/>
      <c r="UW65" s="548"/>
      <c r="UX65" s="548"/>
      <c r="UY65" s="548"/>
      <c r="UZ65" s="548"/>
      <c r="VA65" s="548"/>
      <c r="VB65" s="548"/>
      <c r="VC65" s="548"/>
      <c r="VD65" s="548"/>
      <c r="VE65" s="548"/>
      <c r="VF65" s="548"/>
      <c r="VG65" s="548"/>
      <c r="VH65" s="548"/>
      <c r="VI65" s="548"/>
      <c r="VJ65" s="548"/>
      <c r="VK65" s="548"/>
      <c r="VL65" s="548"/>
      <c r="VM65" s="548"/>
      <c r="VN65" s="548"/>
      <c r="VO65" s="548"/>
      <c r="VP65" s="548"/>
      <c r="VQ65" s="548"/>
      <c r="VR65" s="548"/>
      <c r="VS65" s="548"/>
      <c r="VT65" s="548"/>
      <c r="VU65" s="548"/>
      <c r="VV65" s="548"/>
      <c r="VW65" s="548"/>
      <c r="VX65" s="548"/>
      <c r="VY65" s="548"/>
      <c r="VZ65" s="548"/>
      <c r="WA65" s="548"/>
      <c r="WB65" s="548"/>
      <c r="WC65" s="548"/>
      <c r="WD65" s="548"/>
      <c r="WE65" s="548"/>
      <c r="WF65" s="548"/>
      <c r="WG65" s="548"/>
      <c r="WH65" s="548"/>
      <c r="WI65" s="548"/>
      <c r="WJ65" s="548"/>
      <c r="WK65" s="548"/>
      <c r="WL65" s="548"/>
      <c r="WM65" s="548"/>
      <c r="WN65" s="548"/>
      <c r="WO65" s="548"/>
      <c r="WP65" s="548"/>
      <c r="WQ65" s="548"/>
      <c r="WR65" s="548"/>
      <c r="WS65" s="548"/>
      <c r="WT65" s="548"/>
      <c r="WU65" s="548"/>
      <c r="WV65" s="548"/>
      <c r="WW65" s="548"/>
      <c r="WX65" s="548"/>
      <c r="WY65" s="548"/>
      <c r="WZ65" s="548"/>
      <c r="XA65" s="548"/>
      <c r="XB65" s="548"/>
      <c r="XC65" s="548"/>
      <c r="XD65" s="548"/>
      <c r="XE65" s="548"/>
      <c r="XF65" s="548"/>
      <c r="XG65" s="548"/>
      <c r="XH65" s="548"/>
      <c r="XI65" s="548"/>
      <c r="XJ65" s="548"/>
      <c r="XK65" s="548"/>
      <c r="XL65" s="548"/>
      <c r="XM65" s="548"/>
      <c r="XN65" s="548"/>
      <c r="XO65" s="548"/>
      <c r="XP65" s="548"/>
      <c r="XQ65" s="548"/>
      <c r="XR65" s="548"/>
      <c r="XS65" s="548"/>
      <c r="XT65" s="548"/>
      <c r="XU65" s="548"/>
      <c r="XV65" s="548"/>
      <c r="XW65" s="548"/>
      <c r="XX65" s="548"/>
      <c r="XY65" s="548"/>
      <c r="XZ65" s="548"/>
      <c r="YA65" s="548"/>
      <c r="YB65" s="548"/>
      <c r="YC65" s="548"/>
      <c r="YD65" s="548"/>
      <c r="YE65" s="548"/>
      <c r="YF65" s="548"/>
      <c r="YG65" s="548"/>
      <c r="YH65" s="548"/>
      <c r="YI65" s="548"/>
      <c r="YJ65" s="548"/>
      <c r="YK65" s="548"/>
      <c r="YL65" s="548"/>
      <c r="YM65" s="548"/>
      <c r="YN65" s="548"/>
      <c r="YO65" s="548"/>
      <c r="YP65" s="548"/>
      <c r="YQ65" s="548"/>
      <c r="YR65" s="548"/>
      <c r="YS65" s="548"/>
      <c r="YT65" s="548"/>
      <c r="YU65" s="548"/>
      <c r="YV65" s="548"/>
      <c r="YW65" s="548"/>
      <c r="YX65" s="548"/>
      <c r="YY65" s="548"/>
      <c r="YZ65" s="548"/>
      <c r="ZA65" s="548"/>
      <c r="ZB65" s="548"/>
      <c r="ZC65" s="548"/>
      <c r="ZD65" s="548"/>
      <c r="ZE65" s="548"/>
      <c r="ZF65" s="548"/>
      <c r="ZG65" s="548"/>
      <c r="ZH65" s="548"/>
      <c r="ZI65" s="548"/>
      <c r="ZJ65" s="548"/>
      <c r="ZK65" s="548"/>
      <c r="ZL65" s="548"/>
      <c r="ZM65" s="548"/>
      <c r="ZN65" s="548"/>
      <c r="ZO65" s="548"/>
      <c r="ZP65" s="548"/>
      <c r="ZQ65" s="548"/>
      <c r="ZR65" s="548"/>
      <c r="ZS65" s="548"/>
      <c r="ZT65" s="548"/>
      <c r="ZU65" s="548"/>
      <c r="ZV65" s="548"/>
      <c r="ZW65" s="548"/>
      <c r="ZX65" s="548"/>
      <c r="ZY65" s="548"/>
      <c r="ZZ65" s="548"/>
      <c r="AAA65" s="548"/>
      <c r="AAB65" s="548"/>
      <c r="AAC65" s="548"/>
      <c r="AAD65" s="548"/>
      <c r="AAE65" s="548"/>
      <c r="AAF65" s="548"/>
      <c r="AAG65" s="548"/>
      <c r="AAH65" s="548"/>
      <c r="AAI65" s="548"/>
      <c r="AAJ65" s="548"/>
      <c r="AAK65" s="548"/>
      <c r="AAL65" s="548"/>
      <c r="AAM65" s="548"/>
      <c r="AAN65" s="548"/>
      <c r="AAO65" s="548"/>
      <c r="AAP65" s="548"/>
      <c r="AAQ65" s="548"/>
      <c r="AAR65" s="548"/>
      <c r="AAS65" s="548"/>
      <c r="AAT65" s="548"/>
      <c r="AAU65" s="548"/>
      <c r="AAV65" s="548"/>
      <c r="AAW65" s="548"/>
      <c r="AAX65" s="548"/>
      <c r="AAY65" s="548"/>
      <c r="AAZ65" s="548"/>
      <c r="ABA65" s="548"/>
      <c r="ABB65" s="548"/>
      <c r="ABC65" s="548"/>
      <c r="ABD65" s="548"/>
      <c r="ABE65" s="548"/>
      <c r="ABF65" s="548"/>
      <c r="ABG65" s="548"/>
      <c r="ABH65" s="548"/>
      <c r="ABI65" s="548"/>
      <c r="ABJ65" s="548"/>
      <c r="ABK65" s="548"/>
      <c r="ABL65" s="548"/>
      <c r="ABM65" s="548"/>
      <c r="ABN65" s="548"/>
      <c r="ABO65" s="548"/>
      <c r="ABP65" s="548"/>
      <c r="ABQ65" s="548"/>
      <c r="ABR65" s="548"/>
      <c r="ABS65" s="548"/>
    </row>
    <row r="66" spans="1:747" customFormat="1" ht="15" customHeight="1" thickBot="1" x14ac:dyDescent="0.25">
      <c r="A66" s="424" t="str">
        <f t="shared" si="149"/>
        <v/>
      </c>
      <c r="B66" s="415"/>
      <c r="C66" s="525"/>
      <c r="D66" s="750"/>
      <c r="E66" s="416" t="str">
        <f t="shared" si="393"/>
        <v/>
      </c>
      <c r="F66" s="527" t="str">
        <f t="shared" si="394"/>
        <v/>
      </c>
      <c r="G66" s="417"/>
      <c r="H66" s="583" t="str">
        <f t="shared" si="395"/>
        <v/>
      </c>
      <c r="I66" s="424"/>
      <c r="J66" s="419"/>
      <c r="K66" s="418"/>
      <c r="L66" s="419"/>
      <c r="M66" s="415"/>
      <c r="N66" s="420"/>
      <c r="O66" s="421"/>
      <c r="P66" s="561"/>
      <c r="Q66" s="422"/>
      <c r="R66" s="561" t="str">
        <f t="shared" si="396"/>
        <v/>
      </c>
      <c r="S66" s="664"/>
      <c r="T66" s="663"/>
      <c r="U66" s="580">
        <f t="shared" si="397"/>
        <v>0</v>
      </c>
      <c r="V66" s="418"/>
      <c r="W66" s="582" t="str">
        <f t="shared" si="398"/>
        <v/>
      </c>
      <c r="X66" s="317" t="str">
        <f t="shared" si="399"/>
        <v/>
      </c>
      <c r="Y66" s="582" t="str">
        <f t="shared" si="400"/>
        <v/>
      </c>
      <c r="Z66" s="317" t="str">
        <f t="shared" si="401"/>
        <v/>
      </c>
      <c r="AA66" s="317" t="str">
        <f t="shared" si="402"/>
        <v/>
      </c>
      <c r="AB66" s="317">
        <f t="shared" si="403"/>
        <v>0</v>
      </c>
      <c r="AC66" s="317" t="str">
        <f t="shared" si="404"/>
        <v/>
      </c>
      <c r="AD66" s="317"/>
      <c r="AE66" s="479"/>
      <c r="AF66" s="479"/>
      <c r="AG66" s="423"/>
      <c r="AH66" s="820"/>
      <c r="AI66" s="480"/>
      <c r="AJ66" s="660"/>
      <c r="AK66" s="524" t="str">
        <f t="shared" si="405"/>
        <v/>
      </c>
      <c r="AL66" s="733">
        <f>SUMIF($J$4:$J$163,"Rolê",$S$4:$S$163)</f>
        <v>0</v>
      </c>
      <c r="AM66" s="816">
        <f>SUMIF($J$4:$J$163,"Rolê",$T$4:$T$163)</f>
        <v>0</v>
      </c>
      <c r="AN66" s="426">
        <f t="shared" si="406"/>
        <v>0</v>
      </c>
      <c r="AO66" s="427" t="str">
        <f t="shared" si="407"/>
        <v/>
      </c>
      <c r="AP66" s="426" t="str">
        <f t="shared" si="408"/>
        <v/>
      </c>
      <c r="AQ66" s="426"/>
      <c r="AR66" s="426"/>
      <c r="AS66" s="428"/>
      <c r="AT66" s="429"/>
      <c r="AU66" s="430"/>
      <c r="AV66" s="431"/>
      <c r="AW66" s="432"/>
      <c r="AX66" s="430"/>
      <c r="AY66" s="431">
        <f t="shared" si="409"/>
        <v>0</v>
      </c>
      <c r="AZ66" s="426"/>
      <c r="BA66" s="435" t="str">
        <f t="shared" si="410"/>
        <v/>
      </c>
      <c r="BB66" s="435"/>
      <c r="BC66" s="426"/>
      <c r="BD66" s="426">
        <f t="array" ref="BD66">IF(SUM((BC66=$BC$3:BC65)*1)=0,BC66,0)</f>
        <v>0</v>
      </c>
      <c r="BE66" s="426"/>
      <c r="BF66" s="426"/>
      <c r="BG66" s="426">
        <f t="array" ref="BG66">IF(SUM((BF66=$BF$3:BF65)*1)=0,BF66,0)</f>
        <v>0</v>
      </c>
      <c r="BH66" s="426"/>
      <c r="BI66" s="426"/>
      <c r="BJ66" s="426"/>
      <c r="BK66" s="426"/>
      <c r="BL66" s="426"/>
      <c r="BM66" s="426"/>
      <c r="BN66" s="426"/>
      <c r="BO66" s="426"/>
      <c r="BP66" s="433">
        <f t="shared" si="411"/>
        <v>0</v>
      </c>
      <c r="BQ66" s="426"/>
      <c r="BR66" s="434"/>
      <c r="BS66" s="426"/>
      <c r="BT66" s="433"/>
      <c r="BU66" s="435"/>
      <c r="BV66" s="435" t="str">
        <f t="shared" si="412"/>
        <v/>
      </c>
      <c r="BW66" s="435" t="str">
        <f t="shared" si="38"/>
        <v/>
      </c>
      <c r="BX66" s="435"/>
      <c r="BY66" s="435"/>
      <c r="BZ66" s="435"/>
      <c r="CA66" s="435"/>
      <c r="CB66" s="435"/>
      <c r="CC66" s="435"/>
      <c r="CD66" s="435"/>
      <c r="CE66" s="435"/>
      <c r="CF66" s="435"/>
      <c r="CG66" s="435"/>
      <c r="CH66" s="435"/>
      <c r="CI66" s="435"/>
      <c r="CJ66" s="426" t="str">
        <f t="shared" si="39"/>
        <v/>
      </c>
      <c r="CK66" s="435"/>
      <c r="CL66" s="426"/>
      <c r="CM66" s="435"/>
      <c r="CN66" s="426"/>
      <c r="CO66" s="426"/>
      <c r="CP66" s="426"/>
      <c r="CQ66" s="426"/>
      <c r="CR66" s="426"/>
      <c r="CS66" s="426"/>
      <c r="CT66" s="426"/>
      <c r="CU66" s="426"/>
      <c r="CV66" s="426"/>
      <c r="CW66" s="426"/>
      <c r="CX66" s="426"/>
      <c r="CY66" s="426">
        <v>63</v>
      </c>
      <c r="CZ66" s="426"/>
      <c r="DA66" s="426"/>
      <c r="DB66" s="426"/>
      <c r="DC66" s="426" t="s">
        <v>806</v>
      </c>
      <c r="DD66" s="426" t="s">
        <v>966</v>
      </c>
      <c r="DE66" s="435" t="str">
        <f t="shared" si="40"/>
        <v/>
      </c>
      <c r="DF66" s="435" t="str">
        <f t="shared" si="41"/>
        <v/>
      </c>
      <c r="DG66" s="435" t="str">
        <f t="shared" si="42"/>
        <v/>
      </c>
      <c r="DH66" s="435" t="str">
        <f t="shared" si="43"/>
        <v/>
      </c>
      <c r="DI66" s="435" t="str">
        <f t="shared" si="44"/>
        <v/>
      </c>
      <c r="DJ66" s="435" t="str">
        <f t="shared" si="45"/>
        <v/>
      </c>
      <c r="DK66" s="435" t="str">
        <f t="shared" si="413"/>
        <v/>
      </c>
      <c r="DL66" s="435" t="str">
        <f t="shared" si="414"/>
        <v/>
      </c>
      <c r="DM66" s="435" t="str">
        <f t="shared" si="46"/>
        <v/>
      </c>
      <c r="DN66" s="435" t="str">
        <f t="shared" si="47"/>
        <v/>
      </c>
      <c r="DO66" s="435" t="str">
        <f t="shared" si="415"/>
        <v/>
      </c>
      <c r="DP66" s="435" t="str">
        <f t="shared" si="416"/>
        <v/>
      </c>
      <c r="DQ66" s="435" t="str">
        <f t="shared" si="48"/>
        <v/>
      </c>
      <c r="DR66" s="435" t="str">
        <f t="shared" si="49"/>
        <v/>
      </c>
      <c r="DS66" s="435" t="str">
        <f t="shared" si="417"/>
        <v/>
      </c>
      <c r="DT66" s="435" t="str">
        <f t="shared" si="418"/>
        <v/>
      </c>
      <c r="DU66" s="435" t="str">
        <f t="shared" si="50"/>
        <v/>
      </c>
      <c r="DV66" s="435" t="str">
        <f t="shared" si="51"/>
        <v/>
      </c>
      <c r="DW66" s="435" t="str">
        <f t="shared" si="419"/>
        <v/>
      </c>
      <c r="DX66" s="435" t="str">
        <f t="shared" si="420"/>
        <v/>
      </c>
      <c r="DY66" s="435" t="str">
        <f t="shared" si="52"/>
        <v/>
      </c>
      <c r="DZ66" s="435" t="str">
        <f t="shared" si="53"/>
        <v/>
      </c>
      <c r="EA66" s="435" t="str">
        <f t="shared" si="421"/>
        <v/>
      </c>
      <c r="EB66" s="435" t="str">
        <f t="shared" si="422"/>
        <v/>
      </c>
      <c r="EC66" s="435" t="str">
        <f t="shared" si="423"/>
        <v/>
      </c>
      <c r="ED66" s="435" t="str">
        <f t="shared" si="424"/>
        <v/>
      </c>
      <c r="EE66" s="435" t="str">
        <f t="shared" si="425"/>
        <v/>
      </c>
      <c r="EF66" s="435" t="str">
        <f t="shared" si="426"/>
        <v/>
      </c>
      <c r="EG66" s="435" t="str">
        <f t="shared" si="427"/>
        <v/>
      </c>
      <c r="EH66" s="435" t="str">
        <f t="shared" si="428"/>
        <v/>
      </c>
      <c r="EI66" s="435" t="str">
        <f t="shared" si="429"/>
        <v/>
      </c>
      <c r="EJ66" s="435" t="str">
        <f t="shared" si="430"/>
        <v/>
      </c>
      <c r="EK66" s="485"/>
      <c r="EL66" s="485"/>
      <c r="EM66" s="485"/>
      <c r="EN66" s="485"/>
      <c r="EO66" s="448"/>
      <c r="EP66" s="448"/>
      <c r="EQ66" s="448"/>
      <c r="ER66" s="448"/>
      <c r="ES66" s="448"/>
      <c r="ET66" s="435"/>
      <c r="EU66" s="435"/>
      <c r="EV66" s="435"/>
      <c r="EW66" s="435"/>
      <c r="EX66" s="426"/>
      <c r="EY66" s="426"/>
      <c r="EZ66" s="426"/>
      <c r="FA66" s="427"/>
      <c r="FB66" s="427">
        <f t="array" ref="FB66">IF(SUM((FA66=$FA$3:FA65)*1)=0,FA66,0)</f>
        <v>0</v>
      </c>
      <c r="FC66" s="427"/>
      <c r="FD66" s="427"/>
      <c r="FE66" s="427">
        <f t="array" ref="FE66">IF(SUM((FD66=$FD$3:FD65)*1)=0,FD66,0)</f>
        <v>0</v>
      </c>
      <c r="FF66" s="427"/>
      <c r="FG66" s="427"/>
      <c r="FH66" s="427"/>
      <c r="FI66" s="427">
        <f t="array" ref="FI66">IF(SUM((FH66=$FH$3:FH65)*1)=0,FH66,0)</f>
        <v>0</v>
      </c>
      <c r="FJ66" s="427"/>
      <c r="FK66" s="427"/>
      <c r="FL66" s="427">
        <f t="array" ref="FL66">IF(SUM((FK66=$FK$3:FK65)*1)=0,FK66,0)</f>
        <v>0</v>
      </c>
      <c r="FM66" s="427"/>
      <c r="FN66" s="427"/>
      <c r="FO66" s="427"/>
      <c r="FP66" s="427">
        <f t="array" ref="FP66">IF(SUM((FO66=$FO$3:FO65)*1)=0,FO66,0)</f>
        <v>0</v>
      </c>
      <c r="FQ66" s="427"/>
      <c r="FR66" s="427"/>
      <c r="FS66" s="427">
        <f t="array" ref="FS66">IF(SUM((FR66=$FR$3:FR65)*1)=0,FR66,0)</f>
        <v>0</v>
      </c>
      <c r="FT66" s="427"/>
      <c r="FU66" s="427"/>
      <c r="FV66" s="427"/>
      <c r="FW66" s="427">
        <f t="array" ref="FW66">IF(SUM((FV66=$FV$3:FV65)*1)=0,FV66,0)</f>
        <v>0</v>
      </c>
      <c r="FX66" s="427"/>
      <c r="FY66" s="427"/>
      <c r="FZ66" s="427">
        <f t="array" ref="FZ66">IF(SUM((FY66=$FY$3:FY65)*1)=0,FY66,0)</f>
        <v>0</v>
      </c>
      <c r="GA66" s="427"/>
      <c r="GB66" s="427"/>
      <c r="GC66" s="427"/>
      <c r="GD66" s="427">
        <f t="array" ref="GD66">IF(SUM((GC66=$GC$3:GC65)*1)=0,GC66,0)</f>
        <v>0</v>
      </c>
      <c r="GE66" s="427"/>
      <c r="GF66" s="427"/>
      <c r="GG66" s="427">
        <f t="array" ref="GG66">IF(SUM((GF66=$GF$3:GF65)*1)=0,GF66,0)</f>
        <v>0</v>
      </c>
      <c r="GH66" s="427"/>
      <c r="GI66" s="427"/>
      <c r="GJ66" s="427"/>
      <c r="GK66" s="798">
        <f t="array" ref="GK66">IF(SUM((GJ66=$GJ$3:GJ65)*1)=0,GJ66,0)</f>
        <v>0</v>
      </c>
      <c r="GL66" s="427"/>
      <c r="GM66" s="427"/>
      <c r="GN66" s="798">
        <f t="array" ref="GN66">IF(SUM((GM66=$GM$3:GM65)*1)=0,GM66,0)</f>
        <v>0</v>
      </c>
      <c r="GO66" s="427"/>
      <c r="GP66" s="427"/>
      <c r="GQ66" s="427"/>
      <c r="GR66" s="798">
        <f t="array" ref="GR66">IF(SUM((GQ66=$GQ$3:GQ65)*1)=0,GQ66,0)</f>
        <v>0</v>
      </c>
      <c r="GS66" s="427"/>
      <c r="GT66" s="427"/>
      <c r="GU66" s="798">
        <f t="array" ref="GU66">IF(SUM((GT66=$GT$3:GT65)*1)=0,GT66,0)</f>
        <v>0</v>
      </c>
      <c r="GV66" s="427"/>
      <c r="GW66" s="427"/>
      <c r="GX66" s="427"/>
      <c r="GY66" s="798">
        <f t="array" ref="GY66">IF(SUM((GX66=$GX$3:GX65)*1)=0,GX66,0)</f>
        <v>0</v>
      </c>
      <c r="GZ66" s="427"/>
      <c r="HA66" s="427"/>
      <c r="HB66" s="798">
        <f t="array" ref="HB66">IF(SUM((HA66=$HA$3:HA65)*1)=0,HA66,0)</f>
        <v>0</v>
      </c>
      <c r="HC66" s="427"/>
      <c r="HD66" s="427"/>
      <c r="HE66" s="769" t="str">
        <f t="shared" si="130"/>
        <v/>
      </c>
      <c r="HF66" s="768" t="str">
        <f t="shared" ref="HF66" si="733">IF(HE66&lt;0,"Invadiu REP-BA-C","")</f>
        <v/>
      </c>
      <c r="HG66" s="769" t="str">
        <f t="shared" si="131"/>
        <v/>
      </c>
      <c r="HH66" s="768" t="str">
        <f t="shared" si="55"/>
        <v/>
      </c>
      <c r="HI66" s="728" t="str">
        <f t="shared" si="132"/>
        <v/>
      </c>
      <c r="HJ66" s="768" t="str">
        <f t="shared" si="56"/>
        <v/>
      </c>
      <c r="HK66" s="728" t="str">
        <f t="shared" si="133"/>
        <v/>
      </c>
      <c r="HL66" s="768" t="str">
        <f t="shared" si="57"/>
        <v/>
      </c>
      <c r="HM66" s="769" t="str">
        <f t="shared" si="441"/>
        <v/>
      </c>
      <c r="HN66" s="768" t="str">
        <f t="shared" ref="HN66" si="734">IF(HM66&lt;0,"Invadiu REP-BA-C","")</f>
        <v/>
      </c>
      <c r="HO66" s="769" t="str">
        <f t="shared" si="443"/>
        <v/>
      </c>
      <c r="HP66" s="768" t="str">
        <f t="shared" si="61"/>
        <v/>
      </c>
      <c r="HQ66" s="728" t="str">
        <f t="shared" si="444"/>
        <v/>
      </c>
      <c r="HR66" s="768" t="str">
        <f t="shared" si="63"/>
        <v/>
      </c>
      <c r="HS66" s="728" t="str">
        <f t="shared" si="445"/>
        <v/>
      </c>
      <c r="HT66" s="768" t="str">
        <f t="shared" si="65"/>
        <v/>
      </c>
      <c r="HU66" s="769" t="str">
        <f t="shared" si="446"/>
        <v/>
      </c>
      <c r="HV66" s="768" t="str">
        <f t="shared" ref="HV66" si="735">IF(HU66&lt;0,"Invadiu REP-BA-C","")</f>
        <v/>
      </c>
      <c r="HW66" s="769" t="str">
        <f t="shared" si="448"/>
        <v/>
      </c>
      <c r="HX66" s="768" t="str">
        <f t="shared" si="69"/>
        <v/>
      </c>
      <c r="HY66" s="728" t="str">
        <f t="shared" si="449"/>
        <v/>
      </c>
      <c r="HZ66" s="768" t="str">
        <f t="shared" si="71"/>
        <v/>
      </c>
      <c r="IA66" s="728" t="str">
        <f t="shared" si="450"/>
        <v/>
      </c>
      <c r="IB66" s="768" t="str">
        <f t="shared" si="73"/>
        <v/>
      </c>
      <c r="IC66" s="769" t="str">
        <f t="shared" si="451"/>
        <v/>
      </c>
      <c r="ID66" s="768" t="str">
        <f t="shared" ref="ID66" si="736">IF(IC66&lt;0,"Invadiu REP-BA-C","")</f>
        <v/>
      </c>
      <c r="IE66" s="769" t="str">
        <f t="shared" si="453"/>
        <v/>
      </c>
      <c r="IF66" s="768" t="str">
        <f t="shared" si="77"/>
        <v/>
      </c>
      <c r="IG66" s="728" t="str">
        <f t="shared" si="454"/>
        <v/>
      </c>
      <c r="IH66" s="768" t="str">
        <f t="shared" si="79"/>
        <v/>
      </c>
      <c r="II66" s="728" t="str">
        <f t="shared" si="455"/>
        <v/>
      </c>
      <c r="IJ66" s="768" t="str">
        <f t="shared" si="81"/>
        <v/>
      </c>
      <c r="IK66" s="769" t="str">
        <f t="shared" si="456"/>
        <v/>
      </c>
      <c r="IL66" s="768" t="str">
        <f t="shared" ref="IL66" si="737">IF(IK66&lt;0,"Invadiu REP-BA-C","")</f>
        <v/>
      </c>
      <c r="IM66" s="769" t="str">
        <f t="shared" si="458"/>
        <v/>
      </c>
      <c r="IN66" s="768" t="str">
        <f t="shared" si="85"/>
        <v/>
      </c>
      <c r="IO66" s="728" t="str">
        <f t="shared" si="459"/>
        <v/>
      </c>
      <c r="IP66" s="768" t="str">
        <f t="shared" si="87"/>
        <v/>
      </c>
      <c r="IQ66" s="728" t="str">
        <f t="shared" si="460"/>
        <v/>
      </c>
      <c r="IR66" s="768" t="str">
        <f t="shared" si="89"/>
        <v/>
      </c>
      <c r="IS66" s="769" t="str">
        <f t="shared" si="461"/>
        <v/>
      </c>
      <c r="IT66" s="768" t="str">
        <f t="shared" ref="IT66" si="738">IF(IS66&lt;0,"Invadiu REP-BA-C","")</f>
        <v/>
      </c>
      <c r="IU66" s="769" t="str">
        <f t="shared" si="463"/>
        <v/>
      </c>
      <c r="IV66" s="768" t="str">
        <f t="shared" si="93"/>
        <v/>
      </c>
      <c r="IW66" s="728" t="str">
        <f t="shared" si="464"/>
        <v/>
      </c>
      <c r="IX66" s="768" t="str">
        <f t="shared" si="95"/>
        <v/>
      </c>
      <c r="IY66" s="728" t="str">
        <f t="shared" si="465"/>
        <v/>
      </c>
      <c r="IZ66" s="768" t="str">
        <f t="shared" si="97"/>
        <v/>
      </c>
      <c r="JA66" s="769" t="str">
        <f t="shared" si="466"/>
        <v/>
      </c>
      <c r="JB66" s="768" t="str">
        <f t="shared" ref="JB66" si="739">IF(JA66&lt;0,"Invadiu REP-BA-C","")</f>
        <v/>
      </c>
      <c r="JC66" s="769" t="str">
        <f t="shared" si="468"/>
        <v/>
      </c>
      <c r="JD66" s="768" t="str">
        <f t="shared" si="101"/>
        <v/>
      </c>
      <c r="JE66" s="728" t="str">
        <f t="shared" si="469"/>
        <v/>
      </c>
      <c r="JF66" s="768" t="str">
        <f t="shared" si="103"/>
        <v/>
      </c>
      <c r="JG66" s="728" t="str">
        <f t="shared" si="470"/>
        <v/>
      </c>
      <c r="JH66" s="768" t="str">
        <f t="shared" si="105"/>
        <v/>
      </c>
      <c r="JI66" s="769" t="str">
        <f t="shared" si="471"/>
        <v/>
      </c>
      <c r="JJ66" s="768" t="str">
        <f t="shared" ref="JJ66" si="740">IF(JI66&lt;0,"Invadiu REP-BA-C","")</f>
        <v/>
      </c>
      <c r="JK66" s="769" t="str">
        <f t="shared" si="473"/>
        <v/>
      </c>
      <c r="JL66" s="768" t="str">
        <f t="shared" si="109"/>
        <v/>
      </c>
      <c r="JM66" s="728" t="str">
        <f t="shared" si="474"/>
        <v/>
      </c>
      <c r="JN66" s="768" t="str">
        <f t="shared" si="111"/>
        <v/>
      </c>
      <c r="JO66" s="728" t="str">
        <f t="shared" si="475"/>
        <v/>
      </c>
      <c r="JP66" s="768" t="str">
        <f t="shared" si="113"/>
        <v/>
      </c>
      <c r="JQ66" s="769" t="str">
        <f t="shared" si="476"/>
        <v/>
      </c>
      <c r="JR66" s="768" t="str">
        <f t="shared" ref="JR66" si="741">IF(JQ66&lt;0,"Invadiu REP-BA-C","")</f>
        <v/>
      </c>
      <c r="JS66" s="769" t="str">
        <f t="shared" si="478"/>
        <v/>
      </c>
      <c r="JT66" s="768" t="str">
        <f t="shared" si="117"/>
        <v/>
      </c>
      <c r="JU66" s="728" t="str">
        <f t="shared" si="479"/>
        <v/>
      </c>
      <c r="JV66" s="768" t="str">
        <f t="shared" si="119"/>
        <v/>
      </c>
      <c r="JW66" s="728" t="str">
        <f t="shared" si="480"/>
        <v/>
      </c>
      <c r="JX66" s="768" t="str">
        <f t="shared" si="121"/>
        <v/>
      </c>
      <c r="JY66" s="768" t="str">
        <f t="shared" si="122"/>
        <v/>
      </c>
      <c r="JZ66" s="485" t="str">
        <f>IF(JY66="","",IF(AND(C66=$C$164,JY66&lt;&gt;""),Verificarcpf(D66),IF(AND(C66=$C$165,JY66&lt;&gt;""),VerificarCNPJ(D66))))</f>
        <v/>
      </c>
      <c r="KA66" s="768" t="str">
        <f t="shared" si="123"/>
        <v/>
      </c>
      <c r="KB66" s="485">
        <f t="shared" si="124"/>
        <v>0</v>
      </c>
      <c r="KC66" s="768">
        <f t="shared" si="125"/>
        <v>0</v>
      </c>
      <c r="KD66" s="485">
        <f t="shared" si="126"/>
        <v>0</v>
      </c>
      <c r="KE66" s="448"/>
      <c r="KF66" s="548"/>
      <c r="KG66" s="548"/>
      <c r="KH66" s="548"/>
      <c r="KI66" s="548"/>
      <c r="KJ66" s="548" t="str">
        <f t="shared" si="128"/>
        <v/>
      </c>
      <c r="KK66" s="548"/>
      <c r="KL66" s="548"/>
      <c r="KM66" s="548">
        <f t="array" ref="KM66">IF(SUM((KL66=$KL$3:KL65)*1)=0,KL66,0)</f>
        <v>0</v>
      </c>
      <c r="KN66" s="548"/>
      <c r="KO66" s="548"/>
      <c r="KP66" s="548"/>
      <c r="KQ66" s="548"/>
      <c r="KR66" s="548" t="str">
        <f t="shared" si="129"/>
        <v/>
      </c>
      <c r="KS66" s="548"/>
      <c r="KT66" s="548"/>
      <c r="KU66" s="548"/>
      <c r="KV66" s="548"/>
      <c r="KW66" s="548"/>
      <c r="KX66" s="548"/>
      <c r="KY66" s="548"/>
      <c r="KZ66" s="548"/>
      <c r="LA66" s="548"/>
      <c r="LB66" s="548"/>
      <c r="LC66" s="485" t="str">
        <f t="shared" si="142"/>
        <v/>
      </c>
      <c r="LD66" s="548"/>
      <c r="LE66" s="548"/>
      <c r="LF66" s="548"/>
      <c r="LG66" s="548"/>
      <c r="LH66" s="548"/>
      <c r="LI66" s="548"/>
      <c r="LJ66" s="548"/>
      <c r="LK66" s="548"/>
      <c r="LL66" s="548"/>
      <c r="LM66" s="548"/>
      <c r="LN66" s="548"/>
      <c r="LO66" s="548"/>
      <c r="LP66" s="485" t="str">
        <f t="shared" si="143"/>
        <v/>
      </c>
      <c r="LQ66" s="548"/>
      <c r="LR66" s="548"/>
      <c r="LS66" s="548"/>
      <c r="LT66" s="548"/>
      <c r="LU66" s="548"/>
      <c r="LV66" s="548"/>
      <c r="LW66" s="548"/>
      <c r="LX66" s="548"/>
      <c r="LY66" s="548"/>
      <c r="LZ66" s="548"/>
      <c r="MA66" s="548"/>
      <c r="MB66" s="548"/>
      <c r="MC66" s="485" t="str">
        <f t="shared" si="144"/>
        <v/>
      </c>
      <c r="MD66" s="548"/>
      <c r="ME66" s="548"/>
      <c r="MF66" s="548"/>
      <c r="MG66" s="548"/>
      <c r="MH66" s="548"/>
      <c r="MI66" s="548"/>
      <c r="MJ66" s="548"/>
      <c r="MK66" s="548"/>
      <c r="ML66" s="548"/>
      <c r="MM66" s="548"/>
      <c r="MN66" s="548"/>
      <c r="MO66" s="548"/>
      <c r="MP66" s="485" t="str">
        <f t="shared" si="145"/>
        <v/>
      </c>
      <c r="MQ66" s="548"/>
      <c r="MR66" s="548"/>
      <c r="MS66" s="548"/>
      <c r="MT66" s="548"/>
      <c r="MU66" s="548"/>
      <c r="MV66" s="548"/>
      <c r="MW66" s="548"/>
      <c r="MX66" s="548"/>
      <c r="MY66" s="548"/>
      <c r="MZ66" s="548"/>
      <c r="NA66" s="548"/>
      <c r="NB66" s="548"/>
      <c r="NC66" s="485" t="str">
        <f t="shared" si="146"/>
        <v/>
      </c>
      <c r="ND66" s="548"/>
      <c r="NE66" s="548"/>
      <c r="NF66" s="548"/>
      <c r="NG66" s="548"/>
      <c r="NH66" s="548"/>
      <c r="NI66" s="548"/>
      <c r="NJ66" s="548"/>
      <c r="NK66" s="548"/>
      <c r="NL66" s="548"/>
      <c r="NM66" s="548"/>
      <c r="NN66" s="548"/>
      <c r="NO66" s="548"/>
      <c r="NP66" s="485" t="str">
        <f t="shared" si="147"/>
        <v/>
      </c>
      <c r="NQ66" s="548"/>
      <c r="NR66" s="548"/>
      <c r="NS66" s="548"/>
      <c r="NT66" s="548"/>
      <c r="NU66" s="548"/>
      <c r="NV66" s="548"/>
      <c r="NW66" s="548"/>
      <c r="NX66" s="548"/>
      <c r="NY66" s="548"/>
      <c r="NZ66" s="548"/>
      <c r="OA66" s="548"/>
      <c r="OB66" s="548"/>
      <c r="OC66" s="485" t="str">
        <f t="shared" si="148"/>
        <v/>
      </c>
      <c r="OD66" s="548"/>
      <c r="OE66" s="548"/>
      <c r="OF66" s="548"/>
      <c r="OG66" s="548"/>
      <c r="OH66" s="548"/>
      <c r="OI66" s="548"/>
      <c r="OJ66" s="548"/>
      <c r="OK66" s="548"/>
      <c r="OL66" s="548"/>
      <c r="OM66" s="548"/>
      <c r="ON66" s="548"/>
      <c r="OO66" s="548"/>
      <c r="OP66" s="548"/>
      <c r="OQ66" s="548"/>
      <c r="OR66" s="548"/>
      <c r="OS66" s="548"/>
      <c r="OT66" s="548"/>
      <c r="OU66" s="548"/>
      <c r="OV66" s="548"/>
      <c r="OW66" s="548"/>
      <c r="OX66" s="548"/>
      <c r="OY66" s="548"/>
      <c r="OZ66" s="548"/>
      <c r="PA66" s="548"/>
      <c r="PB66" s="548"/>
      <c r="PC66" s="548"/>
      <c r="PD66" s="548"/>
      <c r="PE66" s="548"/>
      <c r="PF66" s="548"/>
      <c r="PG66" s="548"/>
      <c r="PH66" s="548"/>
      <c r="PI66" s="548"/>
      <c r="PJ66" s="548"/>
      <c r="PK66" s="548"/>
      <c r="PL66" s="548"/>
      <c r="PM66" s="548"/>
      <c r="PN66" s="548"/>
      <c r="PO66" s="548"/>
      <c r="PP66" s="548"/>
      <c r="PQ66" s="548"/>
      <c r="PR66" s="548"/>
      <c r="PS66" s="548"/>
      <c r="PT66" s="548"/>
      <c r="PU66" s="548"/>
      <c r="PV66" s="548"/>
      <c r="PW66" s="548"/>
      <c r="PX66" s="548"/>
      <c r="PY66" s="548"/>
      <c r="PZ66" s="548"/>
      <c r="QA66" s="548"/>
      <c r="QB66" s="548"/>
      <c r="QC66" s="548"/>
      <c r="QD66" s="548"/>
      <c r="QE66" s="548"/>
      <c r="QF66" s="548"/>
      <c r="QG66" s="548"/>
      <c r="QH66" s="548"/>
      <c r="QI66" s="548"/>
      <c r="QJ66" s="548"/>
      <c r="QK66" s="548"/>
      <c r="QL66" s="548"/>
      <c r="QM66" s="548"/>
      <c r="QN66" s="548"/>
      <c r="QO66" s="548"/>
      <c r="QP66" s="548"/>
      <c r="QQ66" s="1009"/>
      <c r="QR66" s="548"/>
      <c r="QS66" s="548"/>
      <c r="QT66" s="548"/>
      <c r="QU66" s="548"/>
      <c r="QV66" s="548"/>
      <c r="QW66" s="548"/>
      <c r="QX66" s="548"/>
      <c r="QY66" s="548"/>
      <c r="QZ66" s="548"/>
      <c r="RA66" s="548"/>
      <c r="RB66" s="548"/>
      <c r="RC66" s="548"/>
      <c r="RD66" s="548"/>
      <c r="RE66" s="548"/>
      <c r="RF66" s="548"/>
      <c r="RG66" s="548"/>
      <c r="RH66" s="548"/>
      <c r="RI66" s="548"/>
      <c r="RJ66" s="548"/>
      <c r="RK66" s="548"/>
      <c r="RL66" s="548"/>
      <c r="RM66" s="548"/>
      <c r="RN66" s="548"/>
      <c r="RO66" s="548"/>
      <c r="RP66" s="548"/>
      <c r="RQ66" s="548"/>
      <c r="RR66" s="548"/>
      <c r="RS66" s="548"/>
      <c r="RT66" s="548"/>
      <c r="RU66" s="548"/>
      <c r="RV66" s="548"/>
      <c r="RW66" s="548"/>
      <c r="RX66" s="548"/>
      <c r="RY66" s="548"/>
      <c r="RZ66" s="548"/>
      <c r="SA66" s="548"/>
      <c r="SB66" s="548"/>
      <c r="SC66" s="548"/>
      <c r="SD66" s="548"/>
      <c r="SE66" s="548"/>
      <c r="SF66" s="548"/>
      <c r="SG66" s="548"/>
      <c r="SH66" s="548"/>
      <c r="SI66" s="548"/>
      <c r="SJ66" s="548"/>
      <c r="SK66" s="548"/>
      <c r="SL66" s="548"/>
      <c r="SM66" s="548"/>
      <c r="SN66" s="548"/>
      <c r="SO66" s="548"/>
      <c r="SP66" s="548"/>
      <c r="SQ66" s="548"/>
      <c r="SR66" s="548"/>
      <c r="SS66" s="548"/>
      <c r="ST66" s="548"/>
      <c r="SU66" s="548"/>
      <c r="SV66" s="548"/>
      <c r="SW66" s="548"/>
      <c r="SX66" s="548"/>
      <c r="SY66" s="548"/>
      <c r="SZ66" s="548"/>
      <c r="TA66" s="548"/>
      <c r="TB66" s="548"/>
      <c r="TC66" s="548"/>
      <c r="TD66" s="548"/>
      <c r="TE66" s="548"/>
      <c r="TF66" s="548"/>
      <c r="TG66" s="548"/>
      <c r="TH66" s="548"/>
      <c r="TI66" s="548"/>
      <c r="TJ66" s="548"/>
      <c r="TK66" s="548"/>
      <c r="TL66" s="548"/>
      <c r="TM66" s="548"/>
      <c r="TN66" s="548"/>
      <c r="TO66" s="548"/>
      <c r="TP66" s="548"/>
      <c r="TQ66" s="548"/>
      <c r="TR66" s="548"/>
      <c r="TS66" s="548"/>
      <c r="TT66" s="548"/>
      <c r="TU66" s="548"/>
      <c r="TV66" s="548"/>
      <c r="TW66" s="548"/>
      <c r="TX66" s="548"/>
      <c r="TY66" s="548"/>
      <c r="TZ66" s="548"/>
      <c r="UA66" s="548"/>
      <c r="UB66" s="548"/>
      <c r="UC66" s="548"/>
      <c r="UD66" s="548"/>
      <c r="UE66" s="548"/>
      <c r="UF66" s="548"/>
      <c r="UG66" s="548"/>
      <c r="UH66" s="548"/>
      <c r="UI66" s="548"/>
      <c r="UJ66" s="548"/>
      <c r="UK66" s="548"/>
      <c r="UL66" s="548"/>
      <c r="UM66" s="548"/>
      <c r="UN66" s="548"/>
      <c r="UO66" s="548"/>
      <c r="UP66" s="548"/>
      <c r="UQ66" s="548"/>
      <c r="UR66" s="548"/>
      <c r="US66" s="548"/>
      <c r="UT66" s="548"/>
      <c r="UU66" s="548"/>
      <c r="UV66" s="548"/>
      <c r="UW66" s="548"/>
      <c r="UX66" s="548"/>
      <c r="UY66" s="548"/>
      <c r="UZ66" s="548"/>
      <c r="VA66" s="548"/>
      <c r="VB66" s="548"/>
      <c r="VC66" s="548"/>
      <c r="VD66" s="548"/>
      <c r="VE66" s="548"/>
      <c r="VF66" s="548"/>
      <c r="VG66" s="548"/>
      <c r="VH66" s="548"/>
      <c r="VI66" s="548"/>
      <c r="VJ66" s="548"/>
      <c r="VK66" s="548"/>
      <c r="VL66" s="548"/>
      <c r="VM66" s="548"/>
      <c r="VN66" s="548"/>
      <c r="VO66" s="548"/>
      <c r="VP66" s="548"/>
      <c r="VQ66" s="548"/>
      <c r="VR66" s="548"/>
      <c r="VS66" s="548"/>
      <c r="VT66" s="548"/>
      <c r="VU66" s="548"/>
      <c r="VV66" s="548"/>
      <c r="VW66" s="548"/>
      <c r="VX66" s="548"/>
      <c r="VY66" s="548"/>
      <c r="VZ66" s="548"/>
      <c r="WA66" s="548"/>
      <c r="WB66" s="548"/>
      <c r="WC66" s="548"/>
      <c r="WD66" s="548"/>
      <c r="WE66" s="548"/>
      <c r="WF66" s="548"/>
      <c r="WG66" s="548"/>
      <c r="WH66" s="548"/>
      <c r="WI66" s="548"/>
      <c r="WJ66" s="548"/>
      <c r="WK66" s="548"/>
      <c r="WL66" s="548"/>
      <c r="WM66" s="548"/>
      <c r="WN66" s="548"/>
      <c r="WO66" s="548"/>
      <c r="WP66" s="548"/>
      <c r="WQ66" s="548"/>
      <c r="WR66" s="548"/>
      <c r="WS66" s="548"/>
      <c r="WT66" s="548"/>
      <c r="WU66" s="548"/>
      <c r="WV66" s="548"/>
      <c r="WW66" s="548"/>
      <c r="WX66" s="548"/>
      <c r="WY66" s="548"/>
      <c r="WZ66" s="548"/>
      <c r="XA66" s="548"/>
      <c r="XB66" s="548"/>
      <c r="XC66" s="548"/>
      <c r="XD66" s="548"/>
      <c r="XE66" s="548"/>
      <c r="XF66" s="548"/>
      <c r="XG66" s="548"/>
      <c r="XH66" s="548"/>
      <c r="XI66" s="548"/>
      <c r="XJ66" s="548"/>
      <c r="XK66" s="548"/>
      <c r="XL66" s="548"/>
      <c r="XM66" s="548"/>
      <c r="XN66" s="548"/>
      <c r="XO66" s="548"/>
      <c r="XP66" s="548"/>
      <c r="XQ66" s="548"/>
      <c r="XR66" s="548"/>
      <c r="XS66" s="548"/>
      <c r="XT66" s="548"/>
      <c r="XU66" s="548"/>
      <c r="XV66" s="548"/>
      <c r="XW66" s="548"/>
      <c r="XX66" s="548"/>
      <c r="XY66" s="548"/>
      <c r="XZ66" s="548"/>
      <c r="YA66" s="548"/>
      <c r="YB66" s="548"/>
      <c r="YC66" s="548"/>
      <c r="YD66" s="548"/>
      <c r="YE66" s="548"/>
      <c r="YF66" s="548"/>
      <c r="YG66" s="548"/>
      <c r="YH66" s="548"/>
      <c r="YI66" s="548"/>
      <c r="YJ66" s="548"/>
      <c r="YK66" s="548"/>
      <c r="YL66" s="548"/>
      <c r="YM66" s="548"/>
      <c r="YN66" s="548"/>
      <c r="YO66" s="548"/>
      <c r="YP66" s="548"/>
      <c r="YQ66" s="548"/>
      <c r="YR66" s="548"/>
      <c r="YS66" s="548"/>
      <c r="YT66" s="548"/>
      <c r="YU66" s="548"/>
      <c r="YV66" s="548"/>
      <c r="YW66" s="548"/>
      <c r="YX66" s="548"/>
      <c r="YY66" s="548"/>
      <c r="YZ66" s="548"/>
      <c r="ZA66" s="548"/>
      <c r="ZB66" s="548"/>
      <c r="ZC66" s="548"/>
      <c r="ZD66" s="548"/>
      <c r="ZE66" s="548"/>
      <c r="ZF66" s="548"/>
      <c r="ZG66" s="548"/>
      <c r="ZH66" s="548"/>
      <c r="ZI66" s="548"/>
      <c r="ZJ66" s="548"/>
      <c r="ZK66" s="548"/>
      <c r="ZL66" s="548"/>
      <c r="ZM66" s="548"/>
      <c r="ZN66" s="548"/>
      <c r="ZO66" s="548"/>
      <c r="ZP66" s="548"/>
      <c r="ZQ66" s="548"/>
      <c r="ZR66" s="548"/>
      <c r="ZS66" s="548"/>
      <c r="ZT66" s="548"/>
      <c r="ZU66" s="548"/>
      <c r="ZV66" s="548"/>
      <c r="ZW66" s="548"/>
      <c r="ZX66" s="548"/>
      <c r="ZY66" s="548"/>
      <c r="ZZ66" s="548"/>
      <c r="AAA66" s="548"/>
      <c r="AAB66" s="548"/>
      <c r="AAC66" s="548"/>
      <c r="AAD66" s="548"/>
      <c r="AAE66" s="548"/>
      <c r="AAF66" s="548"/>
      <c r="AAG66" s="548"/>
      <c r="AAH66" s="548"/>
      <c r="AAI66" s="548"/>
      <c r="AAJ66" s="548"/>
      <c r="AAK66" s="548"/>
      <c r="AAL66" s="548"/>
      <c r="AAM66" s="548"/>
      <c r="AAN66" s="548"/>
      <c r="AAO66" s="548"/>
      <c r="AAP66" s="548"/>
      <c r="AAQ66" s="548"/>
      <c r="AAR66" s="548"/>
      <c r="AAS66" s="548"/>
      <c r="AAT66" s="548"/>
      <c r="AAU66" s="548"/>
      <c r="AAV66" s="548"/>
      <c r="AAW66" s="548"/>
      <c r="AAX66" s="548"/>
      <c r="AAY66" s="548"/>
      <c r="AAZ66" s="548"/>
      <c r="ABA66" s="548"/>
      <c r="ABB66" s="548"/>
      <c r="ABC66" s="548"/>
      <c r="ABD66" s="548"/>
      <c r="ABE66" s="548"/>
      <c r="ABF66" s="548"/>
      <c r="ABG66" s="548"/>
      <c r="ABH66" s="548"/>
      <c r="ABI66" s="548"/>
      <c r="ABJ66" s="548"/>
      <c r="ABK66" s="548"/>
      <c r="ABL66" s="548"/>
      <c r="ABM66" s="548"/>
      <c r="ABN66" s="548"/>
      <c r="ABO66" s="548"/>
      <c r="ABP66" s="548"/>
      <c r="ABQ66" s="548"/>
      <c r="ABR66" s="548"/>
      <c r="ABS66" s="548"/>
    </row>
    <row r="67" spans="1:747" customFormat="1" ht="15" customHeight="1" thickBot="1" x14ac:dyDescent="0.25">
      <c r="A67" s="424" t="str">
        <f t="shared" si="149"/>
        <v/>
      </c>
      <c r="B67" s="415"/>
      <c r="C67" s="525"/>
      <c r="D67" s="750"/>
      <c r="E67" s="416" t="str">
        <f t="shared" si="393"/>
        <v/>
      </c>
      <c r="F67" s="527" t="str">
        <f t="shared" si="394"/>
        <v/>
      </c>
      <c r="G67" s="417"/>
      <c r="H67" s="583" t="str">
        <f t="shared" si="395"/>
        <v/>
      </c>
      <c r="I67" s="424"/>
      <c r="J67" s="419"/>
      <c r="K67" s="418"/>
      <c r="L67" s="419"/>
      <c r="M67" s="415"/>
      <c r="N67" s="420"/>
      <c r="O67" s="421"/>
      <c r="P67" s="561"/>
      <c r="Q67" s="422"/>
      <c r="R67" s="561" t="str">
        <f t="shared" si="396"/>
        <v/>
      </c>
      <c r="S67" s="664"/>
      <c r="T67" s="663"/>
      <c r="U67" s="580">
        <f t="shared" si="397"/>
        <v>0</v>
      </c>
      <c r="V67" s="418"/>
      <c r="W67" s="582" t="str">
        <f t="shared" si="398"/>
        <v/>
      </c>
      <c r="X67" s="479" t="str">
        <f t="shared" si="399"/>
        <v/>
      </c>
      <c r="Y67" s="582" t="str">
        <f t="shared" si="400"/>
        <v/>
      </c>
      <c r="Z67" s="317" t="str">
        <f t="shared" si="401"/>
        <v/>
      </c>
      <c r="AA67" s="317" t="str">
        <f t="shared" si="402"/>
        <v/>
      </c>
      <c r="AB67" s="317">
        <f t="shared" si="403"/>
        <v>0</v>
      </c>
      <c r="AC67" s="317" t="str">
        <f t="shared" si="404"/>
        <v/>
      </c>
      <c r="AD67" s="479"/>
      <c r="AE67" s="479"/>
      <c r="AF67" s="479"/>
      <c r="AG67" s="423"/>
      <c r="AH67" s="820"/>
      <c r="AI67" s="480"/>
      <c r="AJ67" s="660"/>
      <c r="AK67" s="524" t="str">
        <f t="shared" si="405"/>
        <v/>
      </c>
      <c r="AL67" s="748" t="str">
        <f>IF(Dados!$E$3="","",($IC$2+$IE$2)-$AL$66)</f>
        <v/>
      </c>
      <c r="AM67" s="753" t="str">
        <f>IF(Dados!$E$3="","",($IG$2+$II$2)-$AM$66)</f>
        <v/>
      </c>
      <c r="AN67" s="426">
        <f t="shared" si="406"/>
        <v>0</v>
      </c>
      <c r="AO67" s="427" t="str">
        <f t="shared" si="407"/>
        <v/>
      </c>
      <c r="AP67" s="426" t="str">
        <f t="shared" si="408"/>
        <v/>
      </c>
      <c r="AQ67" s="426"/>
      <c r="AR67" s="426"/>
      <c r="AS67" s="428"/>
      <c r="AT67" s="429"/>
      <c r="AU67" s="430"/>
      <c r="AV67" s="431"/>
      <c r="AW67" s="432"/>
      <c r="AX67" s="430"/>
      <c r="AY67" s="431">
        <f t="shared" si="409"/>
        <v>0</v>
      </c>
      <c r="AZ67" s="426"/>
      <c r="BA67" s="435" t="str">
        <f t="shared" si="410"/>
        <v/>
      </c>
      <c r="BB67" s="435"/>
      <c r="BC67" s="426"/>
      <c r="BD67" s="426">
        <f t="array" ref="BD67">IF(SUM((BC67=$BC$3:BC66)*1)=0,BC67,0)</f>
        <v>0</v>
      </c>
      <c r="BE67" s="426"/>
      <c r="BF67" s="426"/>
      <c r="BG67" s="426">
        <f t="array" ref="BG67">IF(SUM((BF67=$BF$3:BF66)*1)=0,BF67,0)</f>
        <v>0</v>
      </c>
      <c r="BH67" s="426"/>
      <c r="BI67" s="426"/>
      <c r="BJ67" s="426"/>
      <c r="BK67" s="426"/>
      <c r="BL67" s="426"/>
      <c r="BM67" s="426"/>
      <c r="BN67" s="426"/>
      <c r="BO67" s="426"/>
      <c r="BP67" s="433">
        <f t="shared" si="411"/>
        <v>0</v>
      </c>
      <c r="BQ67" s="426"/>
      <c r="BR67" s="434"/>
      <c r="BS67" s="426"/>
      <c r="BT67" s="433"/>
      <c r="BU67" s="435"/>
      <c r="BV67" s="435" t="str">
        <f t="shared" si="412"/>
        <v/>
      </c>
      <c r="BW67" s="435" t="str">
        <f t="shared" si="38"/>
        <v/>
      </c>
      <c r="BX67" s="435"/>
      <c r="BY67" s="435"/>
      <c r="BZ67" s="435"/>
      <c r="CA67" s="435"/>
      <c r="CB67" s="435"/>
      <c r="CC67" s="435"/>
      <c r="CD67" s="435"/>
      <c r="CE67" s="435"/>
      <c r="CF67" s="435"/>
      <c r="CG67" s="435"/>
      <c r="CH67" s="435"/>
      <c r="CI67" s="435"/>
      <c r="CJ67" s="426" t="str">
        <f t="shared" si="39"/>
        <v/>
      </c>
      <c r="CK67" s="435"/>
      <c r="CL67" s="426"/>
      <c r="CM67" s="435"/>
      <c r="CN67" s="426"/>
      <c r="CO67" s="426"/>
      <c r="CP67" s="426"/>
      <c r="CQ67" s="426"/>
      <c r="CR67" s="426"/>
      <c r="CS67" s="426"/>
      <c r="CT67" s="426"/>
      <c r="CU67" s="426"/>
      <c r="CV67" s="426"/>
      <c r="CW67" s="426"/>
      <c r="CX67" s="426"/>
      <c r="CY67" s="426">
        <v>64</v>
      </c>
      <c r="CZ67" s="426"/>
      <c r="DA67" s="426"/>
      <c r="DB67" s="426"/>
      <c r="DC67" s="426" t="s">
        <v>807</v>
      </c>
      <c r="DD67" s="426" t="s">
        <v>967</v>
      </c>
      <c r="DE67" s="435" t="str">
        <f t="shared" si="40"/>
        <v/>
      </c>
      <c r="DF67" s="435" t="str">
        <f t="shared" si="41"/>
        <v/>
      </c>
      <c r="DG67" s="435" t="str">
        <f t="shared" si="42"/>
        <v/>
      </c>
      <c r="DH67" s="435" t="str">
        <f t="shared" si="43"/>
        <v/>
      </c>
      <c r="DI67" s="435" t="str">
        <f t="shared" si="44"/>
        <v/>
      </c>
      <c r="DJ67" s="435" t="str">
        <f t="shared" si="45"/>
        <v/>
      </c>
      <c r="DK67" s="435" t="str">
        <f t="shared" si="413"/>
        <v/>
      </c>
      <c r="DL67" s="435" t="str">
        <f t="shared" si="414"/>
        <v/>
      </c>
      <c r="DM67" s="435" t="str">
        <f t="shared" si="46"/>
        <v/>
      </c>
      <c r="DN67" s="435" t="str">
        <f t="shared" si="47"/>
        <v/>
      </c>
      <c r="DO67" s="435" t="str">
        <f t="shared" si="415"/>
        <v/>
      </c>
      <c r="DP67" s="435" t="str">
        <f t="shared" si="416"/>
        <v/>
      </c>
      <c r="DQ67" s="435" t="str">
        <f t="shared" si="48"/>
        <v/>
      </c>
      <c r="DR67" s="435" t="str">
        <f t="shared" si="49"/>
        <v/>
      </c>
      <c r="DS67" s="435" t="str">
        <f t="shared" si="417"/>
        <v/>
      </c>
      <c r="DT67" s="435" t="str">
        <f t="shared" si="418"/>
        <v/>
      </c>
      <c r="DU67" s="435" t="str">
        <f t="shared" si="50"/>
        <v/>
      </c>
      <c r="DV67" s="435" t="str">
        <f t="shared" si="51"/>
        <v/>
      </c>
      <c r="DW67" s="435" t="str">
        <f t="shared" si="419"/>
        <v/>
      </c>
      <c r="DX67" s="435" t="str">
        <f t="shared" si="420"/>
        <v/>
      </c>
      <c r="DY67" s="435" t="str">
        <f t="shared" si="52"/>
        <v/>
      </c>
      <c r="DZ67" s="435" t="str">
        <f t="shared" si="53"/>
        <v/>
      </c>
      <c r="EA67" s="435" t="str">
        <f t="shared" si="421"/>
        <v/>
      </c>
      <c r="EB67" s="435" t="str">
        <f t="shared" si="422"/>
        <v/>
      </c>
      <c r="EC67" s="435" t="str">
        <f t="shared" si="423"/>
        <v/>
      </c>
      <c r="ED67" s="435" t="str">
        <f t="shared" si="424"/>
        <v/>
      </c>
      <c r="EE67" s="435" t="str">
        <f t="shared" si="425"/>
        <v/>
      </c>
      <c r="EF67" s="435" t="str">
        <f t="shared" si="426"/>
        <v/>
      </c>
      <c r="EG67" s="435" t="str">
        <f t="shared" si="427"/>
        <v/>
      </c>
      <c r="EH67" s="435" t="str">
        <f t="shared" si="428"/>
        <v/>
      </c>
      <c r="EI67" s="435" t="str">
        <f t="shared" si="429"/>
        <v/>
      </c>
      <c r="EJ67" s="435" t="str">
        <f t="shared" si="430"/>
        <v/>
      </c>
      <c r="EK67" s="485"/>
      <c r="EL67" s="485"/>
      <c r="EM67" s="485"/>
      <c r="EN67" s="485"/>
      <c r="EO67" s="448"/>
      <c r="EP67" s="448"/>
      <c r="EQ67" s="448"/>
      <c r="ER67" s="448"/>
      <c r="ES67" s="448"/>
      <c r="ET67" s="435"/>
      <c r="EU67" s="435"/>
      <c r="EV67" s="435"/>
      <c r="EW67" s="435"/>
      <c r="EX67" s="426"/>
      <c r="EY67" s="426"/>
      <c r="EZ67" s="426"/>
      <c r="FA67" s="427"/>
      <c r="FB67" s="427">
        <f t="array" ref="FB67">IF(SUM((FA67=$FA$3:FA66)*1)=0,FA67,0)</f>
        <v>0</v>
      </c>
      <c r="FC67" s="427"/>
      <c r="FD67" s="427"/>
      <c r="FE67" s="427">
        <f t="array" ref="FE67">IF(SUM((FD67=$FD$3:FD66)*1)=0,FD67,0)</f>
        <v>0</v>
      </c>
      <c r="FF67" s="427"/>
      <c r="FG67" s="427"/>
      <c r="FH67" s="427"/>
      <c r="FI67" s="427">
        <f t="array" ref="FI67">IF(SUM((FH67=$FH$3:FH66)*1)=0,FH67,0)</f>
        <v>0</v>
      </c>
      <c r="FJ67" s="427"/>
      <c r="FK67" s="427"/>
      <c r="FL67" s="427">
        <f t="array" ref="FL67">IF(SUM((FK67=$FK$3:FK66)*1)=0,FK67,0)</f>
        <v>0</v>
      </c>
      <c r="FM67" s="427"/>
      <c r="FN67" s="427"/>
      <c r="FO67" s="427"/>
      <c r="FP67" s="427">
        <f t="array" ref="FP67">IF(SUM((FO67=$FO$3:FO66)*1)=0,FO67,0)</f>
        <v>0</v>
      </c>
      <c r="FQ67" s="427"/>
      <c r="FR67" s="427"/>
      <c r="FS67" s="427">
        <f t="array" ref="FS67">IF(SUM((FR67=$FR$3:FR66)*1)=0,FR67,0)</f>
        <v>0</v>
      </c>
      <c r="FT67" s="427"/>
      <c r="FU67" s="427"/>
      <c r="FV67" s="427"/>
      <c r="FW67" s="427">
        <f t="array" ref="FW67">IF(SUM((FV67=$FV$3:FV66)*1)=0,FV67,0)</f>
        <v>0</v>
      </c>
      <c r="FX67" s="427"/>
      <c r="FY67" s="427"/>
      <c r="FZ67" s="427">
        <f t="array" ref="FZ67">IF(SUM((FY67=$FY$3:FY66)*1)=0,FY67,0)</f>
        <v>0</v>
      </c>
      <c r="GA67" s="427"/>
      <c r="GB67" s="427"/>
      <c r="GC67" s="427"/>
      <c r="GD67" s="427">
        <f t="array" ref="GD67">IF(SUM((GC67=$GC$3:GC66)*1)=0,GC67,0)</f>
        <v>0</v>
      </c>
      <c r="GE67" s="427"/>
      <c r="GF67" s="427"/>
      <c r="GG67" s="427">
        <f t="array" ref="GG67">IF(SUM((GF67=$GF$3:GF66)*1)=0,GF67,0)</f>
        <v>0</v>
      </c>
      <c r="GH67" s="427"/>
      <c r="GI67" s="427"/>
      <c r="GJ67" s="427"/>
      <c r="GK67" s="798">
        <f t="array" ref="GK67">IF(SUM((GJ67=$GJ$3:GJ66)*1)=0,GJ67,0)</f>
        <v>0</v>
      </c>
      <c r="GL67" s="427"/>
      <c r="GM67" s="427"/>
      <c r="GN67" s="798">
        <f t="array" ref="GN67">IF(SUM((GM67=$GM$3:GM66)*1)=0,GM67,0)</f>
        <v>0</v>
      </c>
      <c r="GO67" s="427"/>
      <c r="GP67" s="427"/>
      <c r="GQ67" s="427"/>
      <c r="GR67" s="798">
        <f t="array" ref="GR67">IF(SUM((GQ67=$GQ$3:GQ66)*1)=0,GQ67,0)</f>
        <v>0</v>
      </c>
      <c r="GS67" s="427"/>
      <c r="GT67" s="427"/>
      <c r="GU67" s="798">
        <f t="array" ref="GU67">IF(SUM((GT67=$GT$3:GT66)*1)=0,GT67,0)</f>
        <v>0</v>
      </c>
      <c r="GV67" s="427"/>
      <c r="GW67" s="427"/>
      <c r="GX67" s="427"/>
      <c r="GY67" s="798">
        <f t="array" ref="GY67">IF(SUM((GX67=$GX$3:GX66)*1)=0,GX67,0)</f>
        <v>0</v>
      </c>
      <c r="GZ67" s="427"/>
      <c r="HA67" s="427"/>
      <c r="HB67" s="798">
        <f t="array" ref="HB67">IF(SUM((HA67=$HA$3:HA66)*1)=0,HA67,0)</f>
        <v>0</v>
      </c>
      <c r="HC67" s="427"/>
      <c r="HD67" s="427"/>
      <c r="HE67" s="769" t="str">
        <f t="shared" si="130"/>
        <v/>
      </c>
      <c r="HF67" s="768" t="str">
        <f t="shared" ref="HF67" si="742">IF(HE67&lt;0,"Invadiu REP-BA-C","")</f>
        <v/>
      </c>
      <c r="HG67" s="769" t="str">
        <f t="shared" si="131"/>
        <v/>
      </c>
      <c r="HH67" s="768" t="str">
        <f t="shared" si="55"/>
        <v/>
      </c>
      <c r="HI67" s="728" t="str">
        <f t="shared" si="132"/>
        <v/>
      </c>
      <c r="HJ67" s="768" t="str">
        <f t="shared" si="56"/>
        <v/>
      </c>
      <c r="HK67" s="728" t="str">
        <f t="shared" si="133"/>
        <v/>
      </c>
      <c r="HL67" s="768" t="str">
        <f t="shared" si="57"/>
        <v/>
      </c>
      <c r="HM67" s="769" t="str">
        <f t="shared" si="441"/>
        <v/>
      </c>
      <c r="HN67" s="768" t="str">
        <f t="shared" ref="HN67" si="743">IF(HM67&lt;0,"Invadiu REP-BA-C","")</f>
        <v/>
      </c>
      <c r="HO67" s="769" t="str">
        <f t="shared" si="443"/>
        <v/>
      </c>
      <c r="HP67" s="768" t="str">
        <f t="shared" si="61"/>
        <v/>
      </c>
      <c r="HQ67" s="728" t="str">
        <f t="shared" si="444"/>
        <v/>
      </c>
      <c r="HR67" s="768" t="str">
        <f t="shared" si="63"/>
        <v/>
      </c>
      <c r="HS67" s="728" t="str">
        <f t="shared" si="445"/>
        <v/>
      </c>
      <c r="HT67" s="768" t="str">
        <f t="shared" si="65"/>
        <v/>
      </c>
      <c r="HU67" s="769" t="str">
        <f t="shared" si="446"/>
        <v/>
      </c>
      <c r="HV67" s="768" t="str">
        <f t="shared" ref="HV67" si="744">IF(HU67&lt;0,"Invadiu REP-BA-C","")</f>
        <v/>
      </c>
      <c r="HW67" s="769" t="str">
        <f t="shared" si="448"/>
        <v/>
      </c>
      <c r="HX67" s="768" t="str">
        <f t="shared" si="69"/>
        <v/>
      </c>
      <c r="HY67" s="728" t="str">
        <f t="shared" si="449"/>
        <v/>
      </c>
      <c r="HZ67" s="768" t="str">
        <f t="shared" si="71"/>
        <v/>
      </c>
      <c r="IA67" s="728" t="str">
        <f t="shared" si="450"/>
        <v/>
      </c>
      <c r="IB67" s="768" t="str">
        <f t="shared" si="73"/>
        <v/>
      </c>
      <c r="IC67" s="769" t="str">
        <f t="shared" si="451"/>
        <v/>
      </c>
      <c r="ID67" s="768" t="str">
        <f t="shared" ref="ID67" si="745">IF(IC67&lt;0,"Invadiu REP-BA-C","")</f>
        <v/>
      </c>
      <c r="IE67" s="769" t="str">
        <f t="shared" si="453"/>
        <v/>
      </c>
      <c r="IF67" s="768" t="str">
        <f t="shared" si="77"/>
        <v/>
      </c>
      <c r="IG67" s="728" t="str">
        <f t="shared" si="454"/>
        <v/>
      </c>
      <c r="IH67" s="768" t="str">
        <f t="shared" si="79"/>
        <v/>
      </c>
      <c r="II67" s="728" t="str">
        <f t="shared" si="455"/>
        <v/>
      </c>
      <c r="IJ67" s="768" t="str">
        <f t="shared" si="81"/>
        <v/>
      </c>
      <c r="IK67" s="769" t="str">
        <f t="shared" si="456"/>
        <v/>
      </c>
      <c r="IL67" s="768" t="str">
        <f t="shared" ref="IL67" si="746">IF(IK67&lt;0,"Invadiu REP-BA-C","")</f>
        <v/>
      </c>
      <c r="IM67" s="769" t="str">
        <f t="shared" si="458"/>
        <v/>
      </c>
      <c r="IN67" s="768" t="str">
        <f t="shared" si="85"/>
        <v/>
      </c>
      <c r="IO67" s="728" t="str">
        <f t="shared" si="459"/>
        <v/>
      </c>
      <c r="IP67" s="768" t="str">
        <f t="shared" si="87"/>
        <v/>
      </c>
      <c r="IQ67" s="728" t="str">
        <f t="shared" si="460"/>
        <v/>
      </c>
      <c r="IR67" s="768" t="str">
        <f t="shared" si="89"/>
        <v/>
      </c>
      <c r="IS67" s="769" t="str">
        <f t="shared" si="461"/>
        <v/>
      </c>
      <c r="IT67" s="768" t="str">
        <f t="shared" ref="IT67" si="747">IF(IS67&lt;0,"Invadiu REP-BA-C","")</f>
        <v/>
      </c>
      <c r="IU67" s="769" t="str">
        <f t="shared" si="463"/>
        <v/>
      </c>
      <c r="IV67" s="768" t="str">
        <f t="shared" si="93"/>
        <v/>
      </c>
      <c r="IW67" s="728" t="str">
        <f t="shared" si="464"/>
        <v/>
      </c>
      <c r="IX67" s="768" t="str">
        <f t="shared" si="95"/>
        <v/>
      </c>
      <c r="IY67" s="728" t="str">
        <f t="shared" si="465"/>
        <v/>
      </c>
      <c r="IZ67" s="768" t="str">
        <f t="shared" si="97"/>
        <v/>
      </c>
      <c r="JA67" s="769" t="str">
        <f t="shared" si="466"/>
        <v/>
      </c>
      <c r="JB67" s="768" t="str">
        <f t="shared" ref="JB67" si="748">IF(JA67&lt;0,"Invadiu REP-BA-C","")</f>
        <v/>
      </c>
      <c r="JC67" s="769" t="str">
        <f t="shared" si="468"/>
        <v/>
      </c>
      <c r="JD67" s="768" t="str">
        <f t="shared" si="101"/>
        <v/>
      </c>
      <c r="JE67" s="728" t="str">
        <f t="shared" si="469"/>
        <v/>
      </c>
      <c r="JF67" s="768" t="str">
        <f t="shared" si="103"/>
        <v/>
      </c>
      <c r="JG67" s="728" t="str">
        <f t="shared" si="470"/>
        <v/>
      </c>
      <c r="JH67" s="768" t="str">
        <f t="shared" si="105"/>
        <v/>
      </c>
      <c r="JI67" s="769" t="str">
        <f t="shared" si="471"/>
        <v/>
      </c>
      <c r="JJ67" s="768" t="str">
        <f t="shared" ref="JJ67" si="749">IF(JI67&lt;0,"Invadiu REP-BA-C","")</f>
        <v/>
      </c>
      <c r="JK67" s="769" t="str">
        <f t="shared" si="473"/>
        <v/>
      </c>
      <c r="JL67" s="768" t="str">
        <f t="shared" si="109"/>
        <v/>
      </c>
      <c r="JM67" s="728" t="str">
        <f t="shared" si="474"/>
        <v/>
      </c>
      <c r="JN67" s="768" t="str">
        <f t="shared" si="111"/>
        <v/>
      </c>
      <c r="JO67" s="728" t="str">
        <f t="shared" si="475"/>
        <v/>
      </c>
      <c r="JP67" s="768" t="str">
        <f t="shared" si="113"/>
        <v/>
      </c>
      <c r="JQ67" s="769" t="str">
        <f t="shared" si="476"/>
        <v/>
      </c>
      <c r="JR67" s="768" t="str">
        <f t="shared" ref="JR67" si="750">IF(JQ67&lt;0,"Invadiu REP-BA-C","")</f>
        <v/>
      </c>
      <c r="JS67" s="769" t="str">
        <f t="shared" si="478"/>
        <v/>
      </c>
      <c r="JT67" s="768" t="str">
        <f t="shared" si="117"/>
        <v/>
      </c>
      <c r="JU67" s="728" t="str">
        <f t="shared" si="479"/>
        <v/>
      </c>
      <c r="JV67" s="768" t="str">
        <f t="shared" si="119"/>
        <v/>
      </c>
      <c r="JW67" s="728" t="str">
        <f t="shared" si="480"/>
        <v/>
      </c>
      <c r="JX67" s="768" t="str">
        <f t="shared" si="121"/>
        <v/>
      </c>
      <c r="JY67" s="768" t="str">
        <f t="shared" si="122"/>
        <v/>
      </c>
      <c r="JZ67" s="485" t="str">
        <f>IF(JY67="","",IF(AND(C67=$C$164,JY67&lt;&gt;""),Verificarcpf(D67),IF(AND(C67=$C$165,JY67&lt;&gt;""),VerificarCNPJ(D67))))</f>
        <v/>
      </c>
      <c r="KA67" s="768" t="str">
        <f t="shared" si="123"/>
        <v/>
      </c>
      <c r="KB67" s="485">
        <f t="shared" si="124"/>
        <v>0</v>
      </c>
      <c r="KC67" s="768">
        <f t="shared" si="125"/>
        <v>0</v>
      </c>
      <c r="KD67" s="485">
        <f t="shared" si="126"/>
        <v>0</v>
      </c>
      <c r="KE67" s="448"/>
      <c r="KF67" s="548"/>
      <c r="KG67" s="548"/>
      <c r="KH67" s="548"/>
      <c r="KI67" s="548"/>
      <c r="KJ67" s="548" t="str">
        <f t="shared" si="128"/>
        <v/>
      </c>
      <c r="KK67" s="548"/>
      <c r="KL67" s="548"/>
      <c r="KM67" s="548">
        <f t="array" ref="KM67">IF(SUM((KL67=$KL$3:KL66)*1)=0,KL67,0)</f>
        <v>0</v>
      </c>
      <c r="KN67" s="548"/>
      <c r="KO67" s="548"/>
      <c r="KP67" s="548"/>
      <c r="KQ67" s="548"/>
      <c r="KR67" s="548" t="str">
        <f t="shared" si="129"/>
        <v/>
      </c>
      <c r="KS67" s="548"/>
      <c r="KT67" s="548"/>
      <c r="KU67" s="548"/>
      <c r="KV67" s="548"/>
      <c r="KW67" s="548"/>
      <c r="KX67" s="548"/>
      <c r="KY67" s="548"/>
      <c r="KZ67" s="548"/>
      <c r="LA67" s="548"/>
      <c r="LB67" s="548"/>
      <c r="LC67" s="485" t="str">
        <f t="shared" si="142"/>
        <v/>
      </c>
      <c r="LD67" s="548"/>
      <c r="LE67" s="548"/>
      <c r="LF67" s="548"/>
      <c r="LG67" s="548"/>
      <c r="LH67" s="548"/>
      <c r="LI67" s="548"/>
      <c r="LJ67" s="548"/>
      <c r="LK67" s="548"/>
      <c r="LL67" s="548"/>
      <c r="LM67" s="548"/>
      <c r="LN67" s="548"/>
      <c r="LO67" s="548"/>
      <c r="LP67" s="485" t="str">
        <f t="shared" si="143"/>
        <v/>
      </c>
      <c r="LQ67" s="548"/>
      <c r="LR67" s="548"/>
      <c r="LS67" s="548"/>
      <c r="LT67" s="548"/>
      <c r="LU67" s="548"/>
      <c r="LV67" s="548"/>
      <c r="LW67" s="548"/>
      <c r="LX67" s="548"/>
      <c r="LY67" s="548"/>
      <c r="LZ67" s="548"/>
      <c r="MA67" s="548"/>
      <c r="MB67" s="548"/>
      <c r="MC67" s="485" t="str">
        <f t="shared" si="144"/>
        <v/>
      </c>
      <c r="MD67" s="548"/>
      <c r="ME67" s="548"/>
      <c r="MF67" s="548"/>
      <c r="MG67" s="548"/>
      <c r="MH67" s="548"/>
      <c r="MI67" s="548"/>
      <c r="MJ67" s="548"/>
      <c r="MK67" s="548"/>
      <c r="ML67" s="548"/>
      <c r="MM67" s="548"/>
      <c r="MN67" s="548"/>
      <c r="MO67" s="548"/>
      <c r="MP67" s="485" t="str">
        <f t="shared" si="145"/>
        <v/>
      </c>
      <c r="MQ67" s="548"/>
      <c r="MR67" s="548"/>
      <c r="MS67" s="548"/>
      <c r="MT67" s="548"/>
      <c r="MU67" s="548"/>
      <c r="MV67" s="548"/>
      <c r="MW67" s="548"/>
      <c r="MX67" s="548"/>
      <c r="MY67" s="548"/>
      <c r="MZ67" s="548"/>
      <c r="NA67" s="548"/>
      <c r="NB67" s="548"/>
      <c r="NC67" s="485" t="str">
        <f t="shared" si="146"/>
        <v/>
      </c>
      <c r="ND67" s="548"/>
      <c r="NE67" s="548"/>
      <c r="NF67" s="548"/>
      <c r="NG67" s="548"/>
      <c r="NH67" s="548"/>
      <c r="NI67" s="548"/>
      <c r="NJ67" s="548"/>
      <c r="NK67" s="548"/>
      <c r="NL67" s="548"/>
      <c r="NM67" s="548"/>
      <c r="NN67" s="548"/>
      <c r="NO67" s="548"/>
      <c r="NP67" s="485" t="str">
        <f t="shared" si="147"/>
        <v/>
      </c>
      <c r="NQ67" s="548"/>
      <c r="NR67" s="548"/>
      <c r="NS67" s="548"/>
      <c r="NT67" s="548"/>
      <c r="NU67" s="548"/>
      <c r="NV67" s="548"/>
      <c r="NW67" s="548"/>
      <c r="NX67" s="548"/>
      <c r="NY67" s="548"/>
      <c r="NZ67" s="548"/>
      <c r="OA67" s="548"/>
      <c r="OB67" s="548"/>
      <c r="OC67" s="485" t="str">
        <f t="shared" si="148"/>
        <v/>
      </c>
      <c r="OD67" s="548"/>
      <c r="OE67" s="548"/>
      <c r="OF67" s="548"/>
      <c r="OG67" s="548"/>
      <c r="OH67" s="548"/>
      <c r="OI67" s="548"/>
      <c r="OJ67" s="548"/>
      <c r="OK67" s="548"/>
      <c r="OL67" s="548"/>
      <c r="OM67" s="548"/>
      <c r="ON67" s="548"/>
      <c r="OO67" s="548"/>
      <c r="OP67" s="548"/>
      <c r="OQ67" s="548"/>
      <c r="OR67" s="548"/>
      <c r="OS67" s="548"/>
      <c r="OT67" s="548"/>
      <c r="OU67" s="548"/>
      <c r="OV67" s="548"/>
      <c r="OW67" s="548"/>
      <c r="OX67" s="548"/>
      <c r="OY67" s="548"/>
      <c r="OZ67" s="548"/>
      <c r="PA67" s="548"/>
      <c r="PB67" s="548"/>
      <c r="PC67" s="548"/>
      <c r="PD67" s="548"/>
      <c r="PE67" s="548"/>
      <c r="PF67" s="548"/>
      <c r="PG67" s="548"/>
      <c r="PH67" s="548"/>
      <c r="PI67" s="548"/>
      <c r="PJ67" s="548"/>
      <c r="PK67" s="548"/>
      <c r="PL67" s="548"/>
      <c r="PM67" s="548"/>
      <c r="PN67" s="548"/>
      <c r="PO67" s="548"/>
      <c r="PP67" s="548"/>
      <c r="PQ67" s="548"/>
      <c r="PR67" s="548"/>
      <c r="PS67" s="548"/>
      <c r="PT67" s="548"/>
      <c r="PU67" s="548"/>
      <c r="PV67" s="548"/>
      <c r="PW67" s="548"/>
      <c r="PX67" s="548"/>
      <c r="PY67" s="548"/>
      <c r="PZ67" s="548"/>
      <c r="QA67" s="548"/>
      <c r="QB67" s="548"/>
      <c r="QC67" s="548"/>
      <c r="QD67" s="548"/>
      <c r="QE67" s="548"/>
      <c r="QF67" s="548"/>
      <c r="QG67" s="548"/>
      <c r="QH67" s="548"/>
      <c r="QI67" s="548"/>
      <c r="QJ67" s="548"/>
      <c r="QK67" s="548"/>
      <c r="QL67" s="548"/>
      <c r="QM67" s="548"/>
      <c r="QN67" s="548"/>
      <c r="QO67" s="548"/>
      <c r="QP67" s="548"/>
      <c r="QQ67" s="1009"/>
      <c r="QR67" s="548"/>
      <c r="QS67" s="548"/>
      <c r="QT67" s="548"/>
      <c r="QU67" s="548"/>
      <c r="QV67" s="548"/>
      <c r="QW67" s="548"/>
      <c r="QX67" s="548"/>
      <c r="QY67" s="548"/>
      <c r="QZ67" s="548"/>
      <c r="RA67" s="548"/>
      <c r="RB67" s="548"/>
      <c r="RC67" s="548"/>
      <c r="RD67" s="548"/>
      <c r="RE67" s="548"/>
      <c r="RF67" s="548"/>
      <c r="RG67" s="548"/>
      <c r="RH67" s="548"/>
      <c r="RI67" s="548"/>
      <c r="RJ67" s="548"/>
      <c r="RK67" s="548"/>
      <c r="RL67" s="548"/>
      <c r="RM67" s="548"/>
      <c r="RN67" s="548"/>
      <c r="RO67" s="548"/>
      <c r="RP67" s="548"/>
      <c r="RQ67" s="548"/>
      <c r="RR67" s="548"/>
      <c r="RS67" s="548"/>
      <c r="RT67" s="548"/>
      <c r="RU67" s="548"/>
      <c r="RV67" s="548"/>
      <c r="RW67" s="548"/>
      <c r="RX67" s="548"/>
      <c r="RY67" s="548"/>
      <c r="RZ67" s="548"/>
      <c r="SA67" s="548"/>
      <c r="SB67" s="548"/>
      <c r="SC67" s="548"/>
      <c r="SD67" s="548"/>
      <c r="SE67" s="548"/>
      <c r="SF67" s="548"/>
      <c r="SG67" s="548"/>
      <c r="SH67" s="548"/>
      <c r="SI67" s="548"/>
      <c r="SJ67" s="548"/>
      <c r="SK67" s="548"/>
      <c r="SL67" s="548"/>
      <c r="SM67" s="548"/>
      <c r="SN67" s="548"/>
      <c r="SO67" s="548"/>
      <c r="SP67" s="548"/>
      <c r="SQ67" s="548"/>
      <c r="SR67" s="548"/>
      <c r="SS67" s="548"/>
      <c r="ST67" s="548"/>
      <c r="SU67" s="548"/>
      <c r="SV67" s="548"/>
      <c r="SW67" s="548"/>
      <c r="SX67" s="548"/>
      <c r="SY67" s="548"/>
      <c r="SZ67" s="548"/>
      <c r="TA67" s="548"/>
      <c r="TB67" s="548"/>
      <c r="TC67" s="548"/>
      <c r="TD67" s="548"/>
      <c r="TE67" s="548"/>
      <c r="TF67" s="548"/>
      <c r="TG67" s="548"/>
      <c r="TH67" s="548"/>
      <c r="TI67" s="548"/>
      <c r="TJ67" s="548"/>
      <c r="TK67" s="548"/>
      <c r="TL67" s="548"/>
      <c r="TM67" s="548"/>
      <c r="TN67" s="548"/>
      <c r="TO67" s="548"/>
      <c r="TP67" s="548"/>
      <c r="TQ67" s="548"/>
      <c r="TR67" s="548"/>
      <c r="TS67" s="548"/>
      <c r="TT67" s="548"/>
      <c r="TU67" s="548"/>
      <c r="TV67" s="548"/>
      <c r="TW67" s="548"/>
      <c r="TX67" s="548"/>
      <c r="TY67" s="548"/>
      <c r="TZ67" s="548"/>
      <c r="UA67" s="548"/>
      <c r="UB67" s="548"/>
      <c r="UC67" s="548"/>
      <c r="UD67" s="548"/>
      <c r="UE67" s="548"/>
      <c r="UF67" s="548"/>
      <c r="UG67" s="548"/>
      <c r="UH67" s="548"/>
      <c r="UI67" s="548"/>
      <c r="UJ67" s="548"/>
      <c r="UK67" s="548"/>
      <c r="UL67" s="548"/>
      <c r="UM67" s="548"/>
      <c r="UN67" s="548"/>
      <c r="UO67" s="548"/>
      <c r="UP67" s="548"/>
      <c r="UQ67" s="548"/>
      <c r="UR67" s="548"/>
      <c r="US67" s="548"/>
      <c r="UT67" s="548"/>
      <c r="UU67" s="548"/>
      <c r="UV67" s="548"/>
      <c r="UW67" s="548"/>
      <c r="UX67" s="548"/>
      <c r="UY67" s="548"/>
      <c r="UZ67" s="548"/>
      <c r="VA67" s="548"/>
      <c r="VB67" s="548"/>
      <c r="VC67" s="548"/>
      <c r="VD67" s="548"/>
      <c r="VE67" s="548"/>
      <c r="VF67" s="548"/>
      <c r="VG67" s="548"/>
      <c r="VH67" s="548"/>
      <c r="VI67" s="548"/>
      <c r="VJ67" s="548"/>
      <c r="VK67" s="548"/>
      <c r="VL67" s="548"/>
      <c r="VM67" s="548"/>
      <c r="VN67" s="548"/>
      <c r="VO67" s="548"/>
      <c r="VP67" s="548"/>
      <c r="VQ67" s="548"/>
      <c r="VR67" s="548"/>
      <c r="VS67" s="548"/>
      <c r="VT67" s="548"/>
      <c r="VU67" s="548"/>
      <c r="VV67" s="548"/>
      <c r="VW67" s="548"/>
      <c r="VX67" s="548"/>
      <c r="VY67" s="548"/>
      <c r="VZ67" s="548"/>
      <c r="WA67" s="548"/>
      <c r="WB67" s="548"/>
      <c r="WC67" s="548"/>
      <c r="WD67" s="548"/>
      <c r="WE67" s="548"/>
      <c r="WF67" s="548"/>
      <c r="WG67" s="548"/>
      <c r="WH67" s="548"/>
      <c r="WI67" s="548"/>
      <c r="WJ67" s="548"/>
      <c r="WK67" s="548"/>
      <c r="WL67" s="548"/>
      <c r="WM67" s="548"/>
      <c r="WN67" s="548"/>
      <c r="WO67" s="548"/>
      <c r="WP67" s="548"/>
      <c r="WQ67" s="548"/>
      <c r="WR67" s="548"/>
      <c r="WS67" s="548"/>
      <c r="WT67" s="548"/>
      <c r="WU67" s="548"/>
      <c r="WV67" s="548"/>
      <c r="WW67" s="548"/>
      <c r="WX67" s="548"/>
      <c r="WY67" s="548"/>
      <c r="WZ67" s="548"/>
      <c r="XA67" s="548"/>
      <c r="XB67" s="548"/>
      <c r="XC67" s="548"/>
      <c r="XD67" s="548"/>
      <c r="XE67" s="548"/>
      <c r="XF67" s="548"/>
      <c r="XG67" s="548"/>
      <c r="XH67" s="548"/>
      <c r="XI67" s="548"/>
      <c r="XJ67" s="548"/>
      <c r="XK67" s="548"/>
      <c r="XL67" s="548"/>
      <c r="XM67" s="548"/>
      <c r="XN67" s="548"/>
      <c r="XO67" s="548"/>
      <c r="XP67" s="548"/>
      <c r="XQ67" s="548"/>
      <c r="XR67" s="548"/>
      <c r="XS67" s="548"/>
      <c r="XT67" s="548"/>
      <c r="XU67" s="548"/>
      <c r="XV67" s="548"/>
      <c r="XW67" s="548"/>
      <c r="XX67" s="548"/>
      <c r="XY67" s="548"/>
      <c r="XZ67" s="548"/>
      <c r="YA67" s="548"/>
      <c r="YB67" s="548"/>
      <c r="YC67" s="548"/>
      <c r="YD67" s="548"/>
      <c r="YE67" s="548"/>
      <c r="YF67" s="548"/>
      <c r="YG67" s="548"/>
      <c r="YH67" s="548"/>
      <c r="YI67" s="548"/>
      <c r="YJ67" s="548"/>
      <c r="YK67" s="548"/>
      <c r="YL67" s="548"/>
      <c r="YM67" s="548"/>
      <c r="YN67" s="548"/>
      <c r="YO67" s="548"/>
      <c r="YP67" s="548"/>
      <c r="YQ67" s="548"/>
      <c r="YR67" s="548"/>
      <c r="YS67" s="548"/>
      <c r="YT67" s="548"/>
      <c r="YU67" s="548"/>
      <c r="YV67" s="548"/>
      <c r="YW67" s="548"/>
      <c r="YX67" s="548"/>
      <c r="YY67" s="548"/>
      <c r="YZ67" s="548"/>
      <c r="ZA67" s="548"/>
      <c r="ZB67" s="548"/>
      <c r="ZC67" s="548"/>
      <c r="ZD67" s="548"/>
      <c r="ZE67" s="548"/>
      <c r="ZF67" s="548"/>
      <c r="ZG67" s="548"/>
      <c r="ZH67" s="548"/>
      <c r="ZI67" s="548"/>
      <c r="ZJ67" s="548"/>
      <c r="ZK67" s="548"/>
      <c r="ZL67" s="548"/>
      <c r="ZM67" s="548"/>
      <c r="ZN67" s="548"/>
      <c r="ZO67" s="548"/>
      <c r="ZP67" s="548"/>
      <c r="ZQ67" s="548"/>
      <c r="ZR67" s="548"/>
      <c r="ZS67" s="548"/>
      <c r="ZT67" s="548"/>
      <c r="ZU67" s="548"/>
      <c r="ZV67" s="548"/>
      <c r="ZW67" s="548"/>
      <c r="ZX67" s="548"/>
      <c r="ZY67" s="548"/>
      <c r="ZZ67" s="548"/>
      <c r="AAA67" s="548"/>
      <c r="AAB67" s="548"/>
      <c r="AAC67" s="548"/>
      <c r="AAD67" s="548"/>
      <c r="AAE67" s="548"/>
      <c r="AAF67" s="548"/>
      <c r="AAG67" s="548"/>
      <c r="AAH67" s="548"/>
      <c r="AAI67" s="548"/>
      <c r="AAJ67" s="548"/>
      <c r="AAK67" s="548"/>
      <c r="AAL67" s="548"/>
      <c r="AAM67" s="548"/>
      <c r="AAN67" s="548"/>
      <c r="AAO67" s="548"/>
      <c r="AAP67" s="548"/>
      <c r="AAQ67" s="548"/>
      <c r="AAR67" s="548"/>
      <c r="AAS67" s="548"/>
      <c r="AAT67" s="548"/>
      <c r="AAU67" s="548"/>
      <c r="AAV67" s="548"/>
      <c r="AAW67" s="548"/>
      <c r="AAX67" s="548"/>
      <c r="AAY67" s="548"/>
      <c r="AAZ67" s="548"/>
      <c r="ABA67" s="548"/>
      <c r="ABB67" s="548"/>
      <c r="ABC67" s="548"/>
      <c r="ABD67" s="548"/>
      <c r="ABE67" s="548"/>
      <c r="ABF67" s="548"/>
      <c r="ABG67" s="548"/>
      <c r="ABH67" s="548"/>
      <c r="ABI67" s="548"/>
      <c r="ABJ67" s="548"/>
      <c r="ABK67" s="548"/>
      <c r="ABL67" s="548"/>
      <c r="ABM67" s="548"/>
      <c r="ABN67" s="548"/>
      <c r="ABO67" s="548"/>
      <c r="ABP67" s="548"/>
      <c r="ABQ67" s="548"/>
      <c r="ABR67" s="548"/>
      <c r="ABS67" s="548"/>
    </row>
    <row r="68" spans="1:747" customFormat="1" ht="15" customHeight="1" thickBot="1" x14ac:dyDescent="0.25">
      <c r="A68" s="424" t="str">
        <f t="shared" si="149"/>
        <v/>
      </c>
      <c r="B68" s="415"/>
      <c r="C68" s="525"/>
      <c r="D68" s="750"/>
      <c r="E68" s="416" t="str">
        <f t="shared" ref="E68:E99" si="751">IF(G68="","",IF(G68=$G$206,"",IF(OR(G68=$G$202,G68=$G$210,G68=$G$213),$E$201,$E$202)))</f>
        <v/>
      </c>
      <c r="F68" s="527" t="str">
        <f t="shared" ref="F68:F99" si="752">IF(G68="","",IF(OR(G68=$G$201,G68=$G$202,G68=$G$203,G68=$G$204,G68=$G$206,G68=$G$210,G68=$G$211,G68=$G$212,G68=$G$213),"",IF(OR(G68=$G$205,G68=$G$209,G68=$G$214,G68=$G$216,G68=$G$217),$F$202,IF(OR(G68=$G$207,G68=$G$208,G68=$G$215),$F$201))))</f>
        <v/>
      </c>
      <c r="G68" s="417"/>
      <c r="H68" s="583" t="str">
        <f t="shared" ref="H68:H99" si="753">IF(AND(E68="",F68="",G68=""),"",IF(AND(E68="",F68="",G68=$G$226),$M$164,IF(AND(E68&lt;&gt;"",F68="",G68&lt;&gt;""),E68&amp;" - "&amp;G68&amp;" - "&amp;M68,IF(AND(E68&lt;&gt;"",F68&lt;&gt;"",G68=""),E68&amp;" - "&amp;F68&amp;" - "&amp;M68,IF(AND(E68&lt;&gt;"",F68&lt;&gt;"",G68&lt;&gt;""),E68&amp;" - "&amp;F68&amp;" - "&amp;G68&amp;" - "&amp;M68)))))</f>
        <v/>
      </c>
      <c r="I68" s="424"/>
      <c r="J68" s="419"/>
      <c r="K68" s="418"/>
      <c r="L68" s="419"/>
      <c r="M68" s="415"/>
      <c r="N68" s="420"/>
      <c r="O68" s="421"/>
      <c r="P68" s="561"/>
      <c r="Q68" s="422"/>
      <c r="R68" s="561" t="str">
        <f t="shared" ref="R68:R99" si="754">IF(P68="","",P68)</f>
        <v/>
      </c>
      <c r="S68" s="664"/>
      <c r="T68" s="663"/>
      <c r="U68" s="580">
        <f t="shared" ref="U68:U99" si="755">IFERROR(IF(S68+T68=0,0,1),$KG$11)</f>
        <v>0</v>
      </c>
      <c r="V68" s="418"/>
      <c r="W68" s="582" t="str">
        <f t="shared" ref="W68:W99" si="756">IF($S68="","",IF($S68&gt;=0.01,$DC68))</f>
        <v/>
      </c>
      <c r="X68" s="479" t="str">
        <f t="shared" ref="X68:X99" si="757">TRIM(IF(W68="","",H68&amp;" - "&amp;M68))</f>
        <v/>
      </c>
      <c r="Y68" s="582" t="str">
        <f t="shared" ref="Y68:Y99" si="758">IF($T68="","",IF($T68&gt;=0.01,$DD68))</f>
        <v/>
      </c>
      <c r="Z68" s="317" t="str">
        <f t="shared" ref="Z68:Z99" si="759">TRIM(IF(Y68="","",H68&amp;" - "&amp;M68))</f>
        <v/>
      </c>
      <c r="AA68" s="317" t="str">
        <f t="shared" ref="AA68:AA99" si="760">IF(V68=$V$164,T68,"")</f>
        <v/>
      </c>
      <c r="AB68" s="317">
        <f t="shared" ref="AB68:AB99" si="761">IF(AA68=0,S68,S68+T68)</f>
        <v>0</v>
      </c>
      <c r="AC68" s="317" t="str">
        <f t="shared" ref="AC68:AC99" si="762">IF(V68="","",IF(V68=$V$165,"",IF(AND(V68=$V$164,S68&gt;0,T68&gt;0),$U$164,IF(AND(V68=$V$164,S68&gt;0,T68=""),$S$164,IF(AND(V68=$V$164,S68="",T68&gt;0),$T$164)))))</f>
        <v/>
      </c>
      <c r="AD68" s="479"/>
      <c r="AE68" s="479"/>
      <c r="AF68" s="479"/>
      <c r="AG68" s="423"/>
      <c r="AH68" s="820"/>
      <c r="AI68" s="480"/>
      <c r="AJ68" s="660"/>
      <c r="AK68" s="524" t="str">
        <f t="shared" ref="AK68:AK99" si="763">IF(AND(KJ68="",KK68=""),"",IF(AND(KJ68=$KJ$3,KK68=$KK$3),$KF$2,IF(AND(KJ68&lt;&gt;$KJ$3,KK68&lt;&gt;$KK$3),KJ68&amp;" - "&amp;KK68,IF(AND(KJ68=$KJ$3,KK68&lt;&gt;$KK$3),KK68,IF(AND(KJ68&lt;&gt;$KJ$3,KK68=$KK$3),KJ68)))))</f>
        <v/>
      </c>
      <c r="AL68" s="1910" t="s">
        <v>728</v>
      </c>
      <c r="AM68" s="1911"/>
      <c r="AN68" s="426">
        <f t="shared" ref="AN68:AN99" si="764">IF(AO68&lt;&gt;"",1,0)</f>
        <v>0</v>
      </c>
      <c r="AO68" s="427" t="str">
        <f t="shared" ref="AO68:AO99" si="765">IF(AP68&lt;&gt;"",ROW(AP68)-3,"")</f>
        <v/>
      </c>
      <c r="AP68" s="426" t="str">
        <f t="shared" ref="AP68:AP99" si="766">IF(AQ68="Recibo","R",IF(AQ68="Cupom Fisc.","CF",IF(AQ68="N.F. Serv.","NFS",IF(AQ68="Nota Fiscal","NF",""))))</f>
        <v/>
      </c>
      <c r="AQ68" s="426"/>
      <c r="AR68" s="426"/>
      <c r="AS68" s="428"/>
      <c r="AT68" s="429"/>
      <c r="AU68" s="430"/>
      <c r="AV68" s="431"/>
      <c r="AW68" s="432"/>
      <c r="AX68" s="430"/>
      <c r="AY68" s="431">
        <f t="shared" ref="AY68:AY99" si="767">(AV68*AW68)</f>
        <v>0</v>
      </c>
      <c r="AZ68" s="426"/>
      <c r="BA68" s="435" t="str">
        <f t="shared" ref="BA68:BA99" si="768">TRIM(M68)</f>
        <v/>
      </c>
      <c r="BB68" s="435"/>
      <c r="BC68" s="426"/>
      <c r="BD68" s="426">
        <f t="array" ref="BD68">IF(SUM((BC68=$BC$3:BC67)*1)=0,BC68,0)</f>
        <v>0</v>
      </c>
      <c r="BE68" s="426"/>
      <c r="BF68" s="426"/>
      <c r="BG68" s="426">
        <f t="array" ref="BG68">IF(SUM((BF68=$BF$3:BF67)*1)=0,BF68,0)</f>
        <v>0</v>
      </c>
      <c r="BH68" s="426"/>
      <c r="BI68" s="426"/>
      <c r="BJ68" s="426"/>
      <c r="BK68" s="426"/>
      <c r="BL68" s="426"/>
      <c r="BM68" s="426"/>
      <c r="BN68" s="426"/>
      <c r="BO68" s="426"/>
      <c r="BP68" s="433">
        <f t="shared" ref="BP68:BP99" si="769">IF(S68="",T68,S68)</f>
        <v>0</v>
      </c>
      <c r="BQ68" s="426"/>
      <c r="BR68" s="434"/>
      <c r="BS68" s="426"/>
      <c r="BT68" s="433"/>
      <c r="BU68" s="435"/>
      <c r="BV68" s="435" t="str">
        <f t="shared" ref="BV68:BV99" si="770">TRIM(IF($J68="","",B68))</f>
        <v/>
      </c>
      <c r="BW68" s="435" t="str">
        <f t="shared" si="38"/>
        <v/>
      </c>
      <c r="BX68" s="435"/>
      <c r="BY68" s="435"/>
      <c r="BZ68" s="435"/>
      <c r="CA68" s="435"/>
      <c r="CB68" s="435"/>
      <c r="CC68" s="435"/>
      <c r="CD68" s="435"/>
      <c r="CE68" s="435"/>
      <c r="CF68" s="435"/>
      <c r="CG68" s="435"/>
      <c r="CH68" s="435"/>
      <c r="CI68" s="435"/>
      <c r="CJ68" s="426" t="str">
        <f t="shared" si="39"/>
        <v/>
      </c>
      <c r="CK68" s="435"/>
      <c r="CL68" s="426"/>
      <c r="CM68" s="435"/>
      <c r="CN68" s="426"/>
      <c r="CO68" s="426"/>
      <c r="CP68" s="426"/>
      <c r="CQ68" s="426"/>
      <c r="CR68" s="426"/>
      <c r="CS68" s="426"/>
      <c r="CT68" s="426"/>
      <c r="CU68" s="426"/>
      <c r="CV68" s="426"/>
      <c r="CW68" s="426"/>
      <c r="CX68" s="426"/>
      <c r="CY68" s="426">
        <v>65</v>
      </c>
      <c r="CZ68" s="426"/>
      <c r="DA68" s="426"/>
      <c r="DB68" s="426"/>
      <c r="DC68" s="426" t="s">
        <v>808</v>
      </c>
      <c r="DD68" s="426" t="s">
        <v>968</v>
      </c>
      <c r="DE68" s="435" t="str">
        <f t="shared" si="40"/>
        <v/>
      </c>
      <c r="DF68" s="435" t="str">
        <f t="shared" si="41"/>
        <v/>
      </c>
      <c r="DG68" s="435" t="str">
        <f t="shared" si="42"/>
        <v/>
      </c>
      <c r="DH68" s="435" t="str">
        <f t="shared" si="43"/>
        <v/>
      </c>
      <c r="DI68" s="435" t="str">
        <f t="shared" si="44"/>
        <v/>
      </c>
      <c r="DJ68" s="435" t="str">
        <f t="shared" si="45"/>
        <v/>
      </c>
      <c r="DK68" s="435" t="str">
        <f t="shared" ref="DK68:DK99" si="771">IF(AND($E68="capital",$J68="Volta Aulas",$T68="",$S68&gt;0),$S68,IF(AND($E68="capital",$J68="Volta Aulas",$T68&gt;=0,$S68&gt;0),$S68,IF(AND($E68="capital",$J68="Volta Aulas",$T68&lt;=0,$S68&gt;0),$S68,"")))</f>
        <v/>
      </c>
      <c r="DL68" s="435" t="str">
        <f t="shared" ref="DL68:DL99" si="772">IF(AND($E68="custeio",$J68="Volta Aulas",$S68="",$T68&gt;0),$T68,IF(AND($E68="custeio",$J68="Volta Aulas",$S68&gt;=0,$T68&gt;0),$T68,IF(AND($E68="custeio",$J68="Volta Aulas",$S68&lt;=0,$T68&gt;0),$T68,"")))</f>
        <v/>
      </c>
      <c r="DM68" s="435" t="str">
        <f t="shared" si="46"/>
        <v/>
      </c>
      <c r="DN68" s="435" t="str">
        <f t="shared" si="47"/>
        <v/>
      </c>
      <c r="DO68" s="435" t="str">
        <f t="shared" ref="DO68:DO99" si="773">IF(AND($E68="capital",$J68="Futuro",$T68="",$S68&gt;0),$S68,IF(AND($E68="capital",$J68="Futuro",$T68&gt;=0,$S68&gt;0),$S68,IF(AND($E68="capital",$J68="Futuro",$T68&lt;=0,$S68&gt;0),$S68,"")))</f>
        <v/>
      </c>
      <c r="DP68" s="435" t="str">
        <f t="shared" ref="DP68:DP99" si="774">IF(AND($E68="custeio",$J68="Futuro",$S68="",$T68&gt;0),$T68,IF(AND($E68="custeio",$J68="Futuro",$S68&gt;=0,$T68&gt;0),$T68,IF(AND($E68="custeio",$J68="Futuro",$S68&lt;=0,$T68&gt;0),$T68,"")))</f>
        <v/>
      </c>
      <c r="DQ68" s="435" t="str">
        <f t="shared" si="48"/>
        <v/>
      </c>
      <c r="DR68" s="435" t="str">
        <f t="shared" si="49"/>
        <v/>
      </c>
      <c r="DS68" s="435" t="str">
        <f t="shared" ref="DS68:DS99" si="775">IF(AND($E68="capital",$J68="Rolê",$T68="",$S68&gt;0),$S68,IF(AND($E68="capital",$J68="Rolê",$T68&gt;=0,$S68&gt;0),$S68,IF(AND($E68="capital",$J68="Rolê",$T68&lt;=0,$S68&gt;0),$S68,"")))</f>
        <v/>
      </c>
      <c r="DT68" s="435" t="str">
        <f t="shared" ref="DT68:DT99" si="776">IF(AND($E68="custeio",$J68="Rolê",$S68="",$T68&gt;0),$T68,IF(AND($E68="custeio",$J68="Rolê",$S68&gt;=0,$T68&gt;0),$T68,IF(AND($E68="custeio",$J68="Rolê",$S68&lt;=0,$T68&gt;0),$T68,"")))</f>
        <v/>
      </c>
      <c r="DU68" s="435" t="str">
        <f t="shared" si="50"/>
        <v/>
      </c>
      <c r="DV68" s="435" t="str">
        <f t="shared" si="51"/>
        <v/>
      </c>
      <c r="DW68" s="435" t="str">
        <f t="shared" ref="DW68:DW99" si="777">IF(AND($E68="capital",$J68="Imprensa",$T68="",$S68&gt;0),$S68,IF(AND($E68="capital",$J68="Imprensa",$T68&gt;=0,$S68&gt;0),$S68,IF(AND($E68="capital",$J68="Imprensa",$T68&lt;=0,$S68&gt;0),$S68,"")))</f>
        <v/>
      </c>
      <c r="DX68" s="435" t="str">
        <f t="shared" ref="DX68:DX99" si="778">IF(AND($E68="custeio",$J68="Imprensa",$S68="",$T68&gt;0),$T68,IF(AND($E68="custeio",$J68="Imprensa",$S68&gt;=0,$T68&gt;0),$T68,IF(AND($E68="custeio",$J68="Imprensa",$S68&lt;=0,$T68&gt;0),$T68,"")))</f>
        <v/>
      </c>
      <c r="DY68" s="435" t="str">
        <f t="shared" si="52"/>
        <v/>
      </c>
      <c r="DZ68" s="435" t="str">
        <f t="shared" si="53"/>
        <v/>
      </c>
      <c r="EA68" s="435" t="str">
        <f t="shared" ref="EA68:EA99" si="779">IF(AND($E68="capital",$J68="Grêmio",$T68="",$S68&gt;0),$S68,IF(AND($E68="capital",$J68="Grêmio",$T68&gt;=0,$S68&gt;0),$S68,IF(AND($E68="capital",$J68="Grêmio",$T68&lt;=0,$S68&gt;0),$S68,"")))</f>
        <v/>
      </c>
      <c r="EB68" s="435" t="str">
        <f t="shared" ref="EB68:EB99" si="780">IF(AND($E68="custeio",$J68="Grêmio",$S68="",$T68&gt;0),$T68,IF(AND($E68="custeio",$J68="Grêmio",$S68&gt;=0,$T68&gt;0),$T68,IF(AND($E68="custeio",$J68="Grêmio",$S68&lt;=0,$T68&gt;0),$T68,"")))</f>
        <v/>
      </c>
      <c r="EC68" s="435" t="str">
        <f t="shared" ref="EC68:EC99" si="781">IF(AND($E68="Capital",$J68="Formação",$S68&gt;=0.01),$EA$2,"")</f>
        <v/>
      </c>
      <c r="ED68" s="435" t="str">
        <f t="shared" ref="ED68:ED99" si="782">IF(AND($E68="Custeio",$J68="Formação",$T68&gt;=0.01),$EA$3,"")</f>
        <v/>
      </c>
      <c r="EE68" s="435" t="str">
        <f t="shared" ref="EE68:EE99" si="783">IF(AND($E68="capital",$J68="Formação",$T68="",$S68&gt;0),$S68,IF(AND($E68="capital",$J68="Formação",$T68&gt;=0,$S68&gt;0),$S68,IF(AND($E68="capital",$J68="Formação",$T68&lt;=0,$S68&gt;0),$S68,"")))</f>
        <v/>
      </c>
      <c r="EF68" s="435" t="str">
        <f t="shared" ref="EF68:EF99" si="784">IF(AND($E68="custeio",$J68="Formação",$S68="",$T68&gt;0),$T68,IF(AND($E68="custeio",$J68="Formação",$S68&gt;=0,$T68&gt;0),$T68,IF(AND($E68="custeio",$J68="Formação",$S68&lt;=0,$T68&gt;0),$T68,"")))</f>
        <v/>
      </c>
      <c r="EG68" s="435" t="str">
        <f t="shared" ref="EG68:EG99" si="785">IF(AND($E68="Capital",$J68="Mais Escola",$S68&gt;=0.01),$EA$2,"")</f>
        <v/>
      </c>
      <c r="EH68" s="435" t="str">
        <f t="shared" ref="EH68:EH99" si="786">IF(AND($E68="Custeio",$J68="Mais Escola",$T68&gt;=0.01),$EA$3,"")</f>
        <v/>
      </c>
      <c r="EI68" s="435" t="str">
        <f t="shared" ref="EI68:EI99" si="787">IF(AND($E68="capital",$J68="Mais Escola",$T68="",$S68&gt;0),$S68,IF(AND($E68="capital",$J68="Mais Escola",$T68&gt;=0,$S68&gt;0),$S68,IF(AND($E68="capital",$J68="Mais Escola",$T68&lt;=0,$S68&gt;0),$S68,"")))</f>
        <v/>
      </c>
      <c r="EJ68" s="435" t="str">
        <f t="shared" ref="EJ68:EJ99" si="788">IF(AND($E68="custeio",$J68="Mais Escola",$S68="",$T68&gt;0),$T68,IF(AND($E68="custeio",$J68="Mais Escola",$S68&gt;=0,$T68&gt;0),$T68,IF(AND($E68="custeio",$J68="Mais Escola",$S68&lt;=0,$T68&gt;0),$T68,"")))</f>
        <v/>
      </c>
      <c r="EK68" s="485"/>
      <c r="EL68" s="485"/>
      <c r="EM68" s="485"/>
      <c r="EN68" s="485"/>
      <c r="EO68" s="448"/>
      <c r="EP68" s="448"/>
      <c r="EQ68" s="448"/>
      <c r="ER68" s="448"/>
      <c r="ES68" s="448"/>
      <c r="ET68" s="435"/>
      <c r="EU68" s="435"/>
      <c r="EV68" s="435"/>
      <c r="EW68" s="435"/>
      <c r="EX68" s="426"/>
      <c r="EY68" s="426"/>
      <c r="EZ68" s="426"/>
      <c r="FA68" s="427"/>
      <c r="FB68" s="427">
        <f t="array" ref="FB68">IF(SUM((FA68=$FA$3:FA67)*1)=0,FA68,0)</f>
        <v>0</v>
      </c>
      <c r="FC68" s="427"/>
      <c r="FD68" s="427"/>
      <c r="FE68" s="427">
        <f t="array" ref="FE68">IF(SUM((FD68=$FD$3:FD67)*1)=0,FD68,0)</f>
        <v>0</v>
      </c>
      <c r="FF68" s="427"/>
      <c r="FG68" s="427"/>
      <c r="FH68" s="427"/>
      <c r="FI68" s="427">
        <f t="array" ref="FI68">IF(SUM((FH68=$FH$3:FH67)*1)=0,FH68,0)</f>
        <v>0</v>
      </c>
      <c r="FJ68" s="427"/>
      <c r="FK68" s="427"/>
      <c r="FL68" s="427">
        <f t="array" ref="FL68">IF(SUM((FK68=$FK$3:FK67)*1)=0,FK68,0)</f>
        <v>0</v>
      </c>
      <c r="FM68" s="427"/>
      <c r="FN68" s="427"/>
      <c r="FO68" s="427"/>
      <c r="FP68" s="427">
        <f t="array" ref="FP68">IF(SUM((FO68=$FO$3:FO67)*1)=0,FO68,0)</f>
        <v>0</v>
      </c>
      <c r="FQ68" s="427"/>
      <c r="FR68" s="427"/>
      <c r="FS68" s="427">
        <f t="array" ref="FS68">IF(SUM((FR68=$FR$3:FR67)*1)=0,FR68,0)</f>
        <v>0</v>
      </c>
      <c r="FT68" s="427"/>
      <c r="FU68" s="427"/>
      <c r="FV68" s="427"/>
      <c r="FW68" s="427">
        <f t="array" ref="FW68">IF(SUM((FV68=$FV$3:FV67)*1)=0,FV68,0)</f>
        <v>0</v>
      </c>
      <c r="FX68" s="427"/>
      <c r="FY68" s="427"/>
      <c r="FZ68" s="427">
        <f t="array" ref="FZ68">IF(SUM((FY68=$FY$3:FY67)*1)=0,FY68,0)</f>
        <v>0</v>
      </c>
      <c r="GA68" s="427"/>
      <c r="GB68" s="427"/>
      <c r="GC68" s="427"/>
      <c r="GD68" s="427">
        <f t="array" ref="GD68">IF(SUM((GC68=$GC$3:GC67)*1)=0,GC68,0)</f>
        <v>0</v>
      </c>
      <c r="GE68" s="427"/>
      <c r="GF68" s="427"/>
      <c r="GG68" s="427">
        <f t="array" ref="GG68">IF(SUM((GF68=$GF$3:GF67)*1)=0,GF68,0)</f>
        <v>0</v>
      </c>
      <c r="GH68" s="427"/>
      <c r="GI68" s="427"/>
      <c r="GJ68" s="427"/>
      <c r="GK68" s="798">
        <f t="array" ref="GK68">IF(SUM((GJ68=$GJ$3:GJ67)*1)=0,GJ68,0)</f>
        <v>0</v>
      </c>
      <c r="GL68" s="427"/>
      <c r="GM68" s="427"/>
      <c r="GN68" s="798">
        <f t="array" ref="GN68">IF(SUM((GM68=$GM$3:GM67)*1)=0,GM68,0)</f>
        <v>0</v>
      </c>
      <c r="GO68" s="427"/>
      <c r="GP68" s="427"/>
      <c r="GQ68" s="427"/>
      <c r="GR68" s="798">
        <f t="array" ref="GR68">IF(SUM((GQ68=$GQ$3:GQ67)*1)=0,GQ68,0)</f>
        <v>0</v>
      </c>
      <c r="GS68" s="427"/>
      <c r="GT68" s="427"/>
      <c r="GU68" s="798">
        <f t="array" ref="GU68">IF(SUM((GT68=$GT$3:GT67)*1)=0,GT68,0)</f>
        <v>0</v>
      </c>
      <c r="GV68" s="427"/>
      <c r="GW68" s="427"/>
      <c r="GX68" s="427"/>
      <c r="GY68" s="798">
        <f t="array" ref="GY68">IF(SUM((GX68=$GX$3:GX67)*1)=0,GX68,0)</f>
        <v>0</v>
      </c>
      <c r="GZ68" s="427"/>
      <c r="HA68" s="427"/>
      <c r="HB68" s="798">
        <f t="array" ref="HB68">IF(SUM((HA68=$HA$3:HA67)*1)=0,HA68,0)</f>
        <v>0</v>
      </c>
      <c r="HC68" s="427"/>
      <c r="HD68" s="427"/>
      <c r="HE68" s="769" t="str">
        <f t="shared" si="130"/>
        <v/>
      </c>
      <c r="HF68" s="768" t="str">
        <f t="shared" ref="HF68" si="789">IF(HE68&lt;0,"Invadiu REP-BA-C","")</f>
        <v/>
      </c>
      <c r="HG68" s="769" t="str">
        <f t="shared" si="131"/>
        <v/>
      </c>
      <c r="HH68" s="768" t="str">
        <f t="shared" si="55"/>
        <v/>
      </c>
      <c r="HI68" s="728" t="str">
        <f t="shared" si="132"/>
        <v/>
      </c>
      <c r="HJ68" s="768" t="str">
        <f t="shared" si="56"/>
        <v/>
      </c>
      <c r="HK68" s="728" t="str">
        <f t="shared" si="133"/>
        <v/>
      </c>
      <c r="HL68" s="768" t="str">
        <f t="shared" si="57"/>
        <v/>
      </c>
      <c r="HM68" s="769" t="str">
        <f t="shared" si="441"/>
        <v/>
      </c>
      <c r="HN68" s="768" t="str">
        <f t="shared" ref="HN68" si="790">IF(HM68&lt;0,"Invadiu REP-BA-C","")</f>
        <v/>
      </c>
      <c r="HO68" s="769" t="str">
        <f t="shared" si="443"/>
        <v/>
      </c>
      <c r="HP68" s="768" t="str">
        <f t="shared" si="61"/>
        <v/>
      </c>
      <c r="HQ68" s="728" t="str">
        <f t="shared" si="444"/>
        <v/>
      </c>
      <c r="HR68" s="768" t="str">
        <f t="shared" si="63"/>
        <v/>
      </c>
      <c r="HS68" s="728" t="str">
        <f t="shared" si="445"/>
        <v/>
      </c>
      <c r="HT68" s="768" t="str">
        <f t="shared" si="65"/>
        <v/>
      </c>
      <c r="HU68" s="769" t="str">
        <f t="shared" si="446"/>
        <v/>
      </c>
      <c r="HV68" s="768" t="str">
        <f t="shared" ref="HV68" si="791">IF(HU68&lt;0,"Invadiu REP-BA-C","")</f>
        <v/>
      </c>
      <c r="HW68" s="769" t="str">
        <f t="shared" si="448"/>
        <v/>
      </c>
      <c r="HX68" s="768" t="str">
        <f t="shared" si="69"/>
        <v/>
      </c>
      <c r="HY68" s="728" t="str">
        <f t="shared" si="449"/>
        <v/>
      </c>
      <c r="HZ68" s="768" t="str">
        <f t="shared" si="71"/>
        <v/>
      </c>
      <c r="IA68" s="728" t="str">
        <f t="shared" si="450"/>
        <v/>
      </c>
      <c r="IB68" s="768" t="str">
        <f t="shared" si="73"/>
        <v/>
      </c>
      <c r="IC68" s="769" t="str">
        <f t="shared" si="451"/>
        <v/>
      </c>
      <c r="ID68" s="768" t="str">
        <f t="shared" ref="ID68" si="792">IF(IC68&lt;0,"Invadiu REP-BA-C","")</f>
        <v/>
      </c>
      <c r="IE68" s="769" t="str">
        <f t="shared" si="453"/>
        <v/>
      </c>
      <c r="IF68" s="768" t="str">
        <f t="shared" si="77"/>
        <v/>
      </c>
      <c r="IG68" s="728" t="str">
        <f t="shared" si="454"/>
        <v/>
      </c>
      <c r="IH68" s="768" t="str">
        <f t="shared" si="79"/>
        <v/>
      </c>
      <c r="II68" s="728" t="str">
        <f t="shared" si="455"/>
        <v/>
      </c>
      <c r="IJ68" s="768" t="str">
        <f t="shared" si="81"/>
        <v/>
      </c>
      <c r="IK68" s="769" t="str">
        <f t="shared" si="456"/>
        <v/>
      </c>
      <c r="IL68" s="768" t="str">
        <f t="shared" ref="IL68" si="793">IF(IK68&lt;0,"Invadiu REP-BA-C","")</f>
        <v/>
      </c>
      <c r="IM68" s="769" t="str">
        <f t="shared" si="458"/>
        <v/>
      </c>
      <c r="IN68" s="768" t="str">
        <f t="shared" si="85"/>
        <v/>
      </c>
      <c r="IO68" s="728" t="str">
        <f t="shared" si="459"/>
        <v/>
      </c>
      <c r="IP68" s="768" t="str">
        <f t="shared" si="87"/>
        <v/>
      </c>
      <c r="IQ68" s="728" t="str">
        <f t="shared" si="460"/>
        <v/>
      </c>
      <c r="IR68" s="768" t="str">
        <f t="shared" si="89"/>
        <v/>
      </c>
      <c r="IS68" s="769" t="str">
        <f t="shared" si="461"/>
        <v/>
      </c>
      <c r="IT68" s="768" t="str">
        <f t="shared" ref="IT68" si="794">IF(IS68&lt;0,"Invadiu REP-BA-C","")</f>
        <v/>
      </c>
      <c r="IU68" s="769" t="str">
        <f t="shared" si="463"/>
        <v/>
      </c>
      <c r="IV68" s="768" t="str">
        <f t="shared" si="93"/>
        <v/>
      </c>
      <c r="IW68" s="728" t="str">
        <f t="shared" si="464"/>
        <v/>
      </c>
      <c r="IX68" s="768" t="str">
        <f t="shared" si="95"/>
        <v/>
      </c>
      <c r="IY68" s="728" t="str">
        <f t="shared" si="465"/>
        <v/>
      </c>
      <c r="IZ68" s="768" t="str">
        <f t="shared" si="97"/>
        <v/>
      </c>
      <c r="JA68" s="769" t="str">
        <f t="shared" si="466"/>
        <v/>
      </c>
      <c r="JB68" s="768" t="str">
        <f t="shared" ref="JB68" si="795">IF(JA68&lt;0,"Invadiu REP-BA-C","")</f>
        <v/>
      </c>
      <c r="JC68" s="769" t="str">
        <f t="shared" si="468"/>
        <v/>
      </c>
      <c r="JD68" s="768" t="str">
        <f t="shared" si="101"/>
        <v/>
      </c>
      <c r="JE68" s="728" t="str">
        <f t="shared" si="469"/>
        <v/>
      </c>
      <c r="JF68" s="768" t="str">
        <f t="shared" si="103"/>
        <v/>
      </c>
      <c r="JG68" s="728" t="str">
        <f t="shared" si="470"/>
        <v/>
      </c>
      <c r="JH68" s="768" t="str">
        <f t="shared" si="105"/>
        <v/>
      </c>
      <c r="JI68" s="769" t="str">
        <f t="shared" si="471"/>
        <v/>
      </c>
      <c r="JJ68" s="768" t="str">
        <f t="shared" ref="JJ68" si="796">IF(JI68&lt;0,"Invadiu REP-BA-C","")</f>
        <v/>
      </c>
      <c r="JK68" s="769" t="str">
        <f t="shared" si="473"/>
        <v/>
      </c>
      <c r="JL68" s="768" t="str">
        <f t="shared" si="109"/>
        <v/>
      </c>
      <c r="JM68" s="728" t="str">
        <f t="shared" si="474"/>
        <v/>
      </c>
      <c r="JN68" s="768" t="str">
        <f t="shared" si="111"/>
        <v/>
      </c>
      <c r="JO68" s="728" t="str">
        <f t="shared" si="475"/>
        <v/>
      </c>
      <c r="JP68" s="768" t="str">
        <f t="shared" si="113"/>
        <v/>
      </c>
      <c r="JQ68" s="769" t="str">
        <f t="shared" si="476"/>
        <v/>
      </c>
      <c r="JR68" s="768" t="str">
        <f t="shared" ref="JR68" si="797">IF(JQ68&lt;0,"Invadiu REP-BA-C","")</f>
        <v/>
      </c>
      <c r="JS68" s="769" t="str">
        <f t="shared" si="478"/>
        <v/>
      </c>
      <c r="JT68" s="768" t="str">
        <f t="shared" si="117"/>
        <v/>
      </c>
      <c r="JU68" s="728" t="str">
        <f t="shared" si="479"/>
        <v/>
      </c>
      <c r="JV68" s="768" t="str">
        <f t="shared" si="119"/>
        <v/>
      </c>
      <c r="JW68" s="728" t="str">
        <f t="shared" si="480"/>
        <v/>
      </c>
      <c r="JX68" s="768" t="str">
        <f t="shared" si="121"/>
        <v/>
      </c>
      <c r="JY68" s="768" t="str">
        <f t="shared" si="122"/>
        <v/>
      </c>
      <c r="JZ68" s="485" t="str">
        <f>IF(JY68="","",IF(AND(C68=$C$164,JY68&lt;&gt;""),Verificarcpf(D68),IF(AND(C68=$C$165,JY68&lt;&gt;""),VerificarCNPJ(D68))))</f>
        <v/>
      </c>
      <c r="KA68" s="768" t="str">
        <f t="shared" si="123"/>
        <v/>
      </c>
      <c r="KB68" s="485">
        <f t="shared" si="124"/>
        <v>0</v>
      </c>
      <c r="KC68" s="768">
        <f t="shared" si="125"/>
        <v>0</v>
      </c>
      <c r="KD68" s="485">
        <f t="shared" si="126"/>
        <v>0</v>
      </c>
      <c r="KE68" s="448"/>
      <c r="KF68" s="548"/>
      <c r="KG68" s="548"/>
      <c r="KH68" s="548"/>
      <c r="KI68" s="548"/>
      <c r="KJ68" s="548" t="str">
        <f t="shared" si="128"/>
        <v/>
      </c>
      <c r="KK68" s="548"/>
      <c r="KL68" s="548"/>
      <c r="KM68" s="548">
        <f t="array" ref="KM68">IF(SUM((KL68=$KL$3:KL67)*1)=0,KL68,0)</f>
        <v>0</v>
      </c>
      <c r="KN68" s="548"/>
      <c r="KO68" s="548"/>
      <c r="KP68" s="548"/>
      <c r="KQ68" s="548"/>
      <c r="KR68" s="548" t="str">
        <f t="shared" si="129"/>
        <v/>
      </c>
      <c r="KS68" s="548"/>
      <c r="KT68" s="548"/>
      <c r="KU68" s="548"/>
      <c r="KV68" s="548"/>
      <c r="KW68" s="548"/>
      <c r="KX68" s="548"/>
      <c r="KY68" s="548"/>
      <c r="KZ68" s="548"/>
      <c r="LA68" s="548"/>
      <c r="LB68" s="548"/>
      <c r="LC68" s="485" t="str">
        <f t="shared" si="142"/>
        <v/>
      </c>
      <c r="LD68" s="548"/>
      <c r="LE68" s="548"/>
      <c r="LF68" s="548"/>
      <c r="LG68" s="548"/>
      <c r="LH68" s="548"/>
      <c r="LI68" s="548"/>
      <c r="LJ68" s="548"/>
      <c r="LK68" s="548"/>
      <c r="LL68" s="548"/>
      <c r="LM68" s="548"/>
      <c r="LN68" s="548"/>
      <c r="LO68" s="548"/>
      <c r="LP68" s="485" t="str">
        <f t="shared" si="143"/>
        <v/>
      </c>
      <c r="LQ68" s="548"/>
      <c r="LR68" s="548"/>
      <c r="LS68" s="548"/>
      <c r="LT68" s="548"/>
      <c r="LU68" s="548"/>
      <c r="LV68" s="548"/>
      <c r="LW68" s="548"/>
      <c r="LX68" s="548"/>
      <c r="LY68" s="548"/>
      <c r="LZ68" s="548"/>
      <c r="MA68" s="548"/>
      <c r="MB68" s="548"/>
      <c r="MC68" s="485" t="str">
        <f t="shared" si="144"/>
        <v/>
      </c>
      <c r="MD68" s="548"/>
      <c r="ME68" s="548"/>
      <c r="MF68" s="548"/>
      <c r="MG68" s="548"/>
      <c r="MH68" s="548"/>
      <c r="MI68" s="548"/>
      <c r="MJ68" s="548"/>
      <c r="MK68" s="548"/>
      <c r="ML68" s="548"/>
      <c r="MM68" s="548"/>
      <c r="MN68" s="548"/>
      <c r="MO68" s="548"/>
      <c r="MP68" s="485" t="str">
        <f t="shared" si="145"/>
        <v/>
      </c>
      <c r="MQ68" s="548"/>
      <c r="MR68" s="548"/>
      <c r="MS68" s="548"/>
      <c r="MT68" s="548"/>
      <c r="MU68" s="548"/>
      <c r="MV68" s="548"/>
      <c r="MW68" s="548"/>
      <c r="MX68" s="548"/>
      <c r="MY68" s="548"/>
      <c r="MZ68" s="548"/>
      <c r="NA68" s="548"/>
      <c r="NB68" s="548"/>
      <c r="NC68" s="485" t="str">
        <f t="shared" si="146"/>
        <v/>
      </c>
      <c r="ND68" s="548"/>
      <c r="NE68" s="548"/>
      <c r="NF68" s="548"/>
      <c r="NG68" s="548"/>
      <c r="NH68" s="548"/>
      <c r="NI68" s="548"/>
      <c r="NJ68" s="548"/>
      <c r="NK68" s="548"/>
      <c r="NL68" s="548"/>
      <c r="NM68" s="548"/>
      <c r="NN68" s="548"/>
      <c r="NO68" s="548"/>
      <c r="NP68" s="485" t="str">
        <f t="shared" si="147"/>
        <v/>
      </c>
      <c r="NQ68" s="548"/>
      <c r="NR68" s="548"/>
      <c r="NS68" s="548"/>
      <c r="NT68" s="548"/>
      <c r="NU68" s="548"/>
      <c r="NV68" s="548"/>
      <c r="NW68" s="548"/>
      <c r="NX68" s="548"/>
      <c r="NY68" s="548"/>
      <c r="NZ68" s="548"/>
      <c r="OA68" s="548"/>
      <c r="OB68" s="548"/>
      <c r="OC68" s="485" t="str">
        <f t="shared" si="148"/>
        <v/>
      </c>
      <c r="OD68" s="548"/>
      <c r="OE68" s="548"/>
      <c r="OF68" s="548"/>
      <c r="OG68" s="548"/>
      <c r="OH68" s="548"/>
      <c r="OI68" s="548"/>
      <c r="OJ68" s="548"/>
      <c r="OK68" s="548"/>
      <c r="OL68" s="548"/>
      <c r="OM68" s="548"/>
      <c r="ON68" s="548"/>
      <c r="OO68" s="548"/>
      <c r="OP68" s="548"/>
      <c r="OQ68" s="548"/>
      <c r="OR68" s="548"/>
      <c r="OS68" s="548"/>
      <c r="OT68" s="548"/>
      <c r="OU68" s="548"/>
      <c r="OV68" s="548"/>
      <c r="OW68" s="548"/>
      <c r="OX68" s="548"/>
      <c r="OY68" s="548"/>
      <c r="OZ68" s="548"/>
      <c r="PA68" s="548"/>
      <c r="PB68" s="548"/>
      <c r="PC68" s="548"/>
      <c r="PD68" s="548"/>
      <c r="PE68" s="548"/>
      <c r="PF68" s="548"/>
      <c r="PG68" s="548"/>
      <c r="PH68" s="548"/>
      <c r="PI68" s="548"/>
      <c r="PJ68" s="548"/>
      <c r="PK68" s="548"/>
      <c r="PL68" s="548"/>
      <c r="PM68" s="548"/>
      <c r="PN68" s="548"/>
      <c r="PO68" s="548"/>
      <c r="PP68" s="548"/>
      <c r="PQ68" s="548"/>
      <c r="PR68" s="548"/>
      <c r="PS68" s="548"/>
      <c r="PT68" s="548"/>
      <c r="PU68" s="548"/>
      <c r="PV68" s="548"/>
      <c r="PW68" s="548"/>
      <c r="PX68" s="548"/>
      <c r="PY68" s="548"/>
      <c r="PZ68" s="548"/>
      <c r="QA68" s="548"/>
      <c r="QB68" s="548"/>
      <c r="QC68" s="548"/>
      <c r="QD68" s="548"/>
      <c r="QE68" s="548"/>
      <c r="QF68" s="548"/>
      <c r="QG68" s="548"/>
      <c r="QH68" s="548"/>
      <c r="QI68" s="548"/>
      <c r="QJ68" s="548"/>
      <c r="QK68" s="548"/>
      <c r="QL68" s="548"/>
      <c r="QM68" s="548"/>
      <c r="QN68" s="548"/>
      <c r="QO68" s="548"/>
      <c r="QP68" s="548"/>
      <c r="QQ68" s="1009"/>
      <c r="QR68" s="548"/>
      <c r="QS68" s="548"/>
      <c r="QT68" s="548"/>
      <c r="QU68" s="548"/>
      <c r="QV68" s="548"/>
      <c r="QW68" s="548"/>
      <c r="QX68" s="548"/>
      <c r="QY68" s="548"/>
      <c r="QZ68" s="548"/>
      <c r="RA68" s="548"/>
      <c r="RB68" s="548"/>
      <c r="RC68" s="548"/>
      <c r="RD68" s="548"/>
      <c r="RE68" s="548"/>
      <c r="RF68" s="548"/>
      <c r="RG68" s="548"/>
      <c r="RH68" s="548"/>
      <c r="RI68" s="548"/>
      <c r="RJ68" s="548"/>
      <c r="RK68" s="548"/>
      <c r="RL68" s="548"/>
      <c r="RM68" s="548"/>
      <c r="RN68" s="548"/>
      <c r="RO68" s="548"/>
      <c r="RP68" s="548"/>
      <c r="RQ68" s="548"/>
      <c r="RR68" s="548"/>
      <c r="RS68" s="548"/>
      <c r="RT68" s="548"/>
      <c r="RU68" s="548"/>
      <c r="RV68" s="548"/>
      <c r="RW68" s="548"/>
      <c r="RX68" s="548"/>
      <c r="RY68" s="548"/>
      <c r="RZ68" s="548"/>
      <c r="SA68" s="548"/>
      <c r="SB68" s="548"/>
      <c r="SC68" s="548"/>
      <c r="SD68" s="548"/>
      <c r="SE68" s="548"/>
      <c r="SF68" s="548"/>
      <c r="SG68" s="548"/>
      <c r="SH68" s="548"/>
      <c r="SI68" s="548"/>
      <c r="SJ68" s="548"/>
      <c r="SK68" s="548"/>
      <c r="SL68" s="548"/>
      <c r="SM68" s="548"/>
      <c r="SN68" s="548"/>
      <c r="SO68" s="548"/>
      <c r="SP68" s="548"/>
      <c r="SQ68" s="548"/>
      <c r="SR68" s="548"/>
      <c r="SS68" s="548"/>
      <c r="ST68" s="548"/>
      <c r="SU68" s="548"/>
      <c r="SV68" s="548"/>
      <c r="SW68" s="548"/>
      <c r="SX68" s="548"/>
      <c r="SY68" s="548"/>
      <c r="SZ68" s="548"/>
      <c r="TA68" s="548"/>
      <c r="TB68" s="548"/>
      <c r="TC68" s="548"/>
      <c r="TD68" s="548"/>
      <c r="TE68" s="548"/>
      <c r="TF68" s="548"/>
      <c r="TG68" s="548"/>
      <c r="TH68" s="548"/>
      <c r="TI68" s="548"/>
      <c r="TJ68" s="548"/>
      <c r="TK68" s="548"/>
      <c r="TL68" s="548"/>
      <c r="TM68" s="548"/>
      <c r="TN68" s="548"/>
      <c r="TO68" s="548"/>
      <c r="TP68" s="548"/>
      <c r="TQ68" s="548"/>
      <c r="TR68" s="548"/>
      <c r="TS68" s="548"/>
      <c r="TT68" s="548"/>
      <c r="TU68" s="548"/>
      <c r="TV68" s="548"/>
      <c r="TW68" s="548"/>
      <c r="TX68" s="548"/>
      <c r="TY68" s="548"/>
      <c r="TZ68" s="548"/>
      <c r="UA68" s="548"/>
      <c r="UB68" s="548"/>
      <c r="UC68" s="548"/>
      <c r="UD68" s="548"/>
      <c r="UE68" s="548"/>
      <c r="UF68" s="548"/>
      <c r="UG68" s="548"/>
      <c r="UH68" s="548"/>
      <c r="UI68" s="548"/>
      <c r="UJ68" s="548"/>
      <c r="UK68" s="548"/>
      <c r="UL68" s="548"/>
      <c r="UM68" s="548"/>
      <c r="UN68" s="548"/>
      <c r="UO68" s="548"/>
      <c r="UP68" s="548"/>
      <c r="UQ68" s="548"/>
      <c r="UR68" s="548"/>
      <c r="US68" s="548"/>
      <c r="UT68" s="548"/>
      <c r="UU68" s="548"/>
      <c r="UV68" s="548"/>
      <c r="UW68" s="548"/>
      <c r="UX68" s="548"/>
      <c r="UY68" s="548"/>
      <c r="UZ68" s="548"/>
      <c r="VA68" s="548"/>
      <c r="VB68" s="548"/>
      <c r="VC68" s="548"/>
      <c r="VD68" s="548"/>
      <c r="VE68" s="548"/>
      <c r="VF68" s="548"/>
      <c r="VG68" s="548"/>
      <c r="VH68" s="548"/>
      <c r="VI68" s="548"/>
      <c r="VJ68" s="548"/>
      <c r="VK68" s="548"/>
      <c r="VL68" s="548"/>
      <c r="VM68" s="548"/>
      <c r="VN68" s="548"/>
      <c r="VO68" s="548"/>
      <c r="VP68" s="548"/>
      <c r="VQ68" s="548"/>
      <c r="VR68" s="548"/>
      <c r="VS68" s="548"/>
      <c r="VT68" s="548"/>
      <c r="VU68" s="548"/>
      <c r="VV68" s="548"/>
      <c r="VW68" s="548"/>
      <c r="VX68" s="548"/>
      <c r="VY68" s="548"/>
      <c r="VZ68" s="548"/>
      <c r="WA68" s="548"/>
      <c r="WB68" s="548"/>
      <c r="WC68" s="548"/>
      <c r="WD68" s="548"/>
      <c r="WE68" s="548"/>
      <c r="WF68" s="548"/>
      <c r="WG68" s="548"/>
      <c r="WH68" s="548"/>
      <c r="WI68" s="548"/>
      <c r="WJ68" s="548"/>
      <c r="WK68" s="548"/>
      <c r="WL68" s="548"/>
      <c r="WM68" s="548"/>
      <c r="WN68" s="548"/>
      <c r="WO68" s="548"/>
      <c r="WP68" s="548"/>
      <c r="WQ68" s="548"/>
      <c r="WR68" s="548"/>
      <c r="WS68" s="548"/>
      <c r="WT68" s="548"/>
      <c r="WU68" s="548"/>
      <c r="WV68" s="548"/>
      <c r="WW68" s="548"/>
      <c r="WX68" s="548"/>
      <c r="WY68" s="548"/>
      <c r="WZ68" s="548"/>
      <c r="XA68" s="548"/>
      <c r="XB68" s="548"/>
      <c r="XC68" s="548"/>
      <c r="XD68" s="548"/>
      <c r="XE68" s="548"/>
      <c r="XF68" s="548"/>
      <c r="XG68" s="548"/>
      <c r="XH68" s="548"/>
      <c r="XI68" s="548"/>
      <c r="XJ68" s="548"/>
      <c r="XK68" s="548"/>
      <c r="XL68" s="548"/>
      <c r="XM68" s="548"/>
      <c r="XN68" s="548"/>
      <c r="XO68" s="548"/>
      <c r="XP68" s="548"/>
      <c r="XQ68" s="548"/>
      <c r="XR68" s="548"/>
      <c r="XS68" s="548"/>
      <c r="XT68" s="548"/>
      <c r="XU68" s="548"/>
      <c r="XV68" s="548"/>
      <c r="XW68" s="548"/>
      <c r="XX68" s="548"/>
      <c r="XY68" s="548"/>
      <c r="XZ68" s="548"/>
      <c r="YA68" s="548"/>
      <c r="YB68" s="548"/>
      <c r="YC68" s="548"/>
      <c r="YD68" s="548"/>
      <c r="YE68" s="548"/>
      <c r="YF68" s="548"/>
      <c r="YG68" s="548"/>
      <c r="YH68" s="548"/>
      <c r="YI68" s="548"/>
      <c r="YJ68" s="548"/>
      <c r="YK68" s="548"/>
      <c r="YL68" s="548"/>
      <c r="YM68" s="548"/>
      <c r="YN68" s="548"/>
      <c r="YO68" s="548"/>
      <c r="YP68" s="548"/>
      <c r="YQ68" s="548"/>
      <c r="YR68" s="548"/>
      <c r="YS68" s="548"/>
      <c r="YT68" s="548"/>
      <c r="YU68" s="548"/>
      <c r="YV68" s="548"/>
      <c r="YW68" s="548"/>
      <c r="YX68" s="548"/>
      <c r="YY68" s="548"/>
      <c r="YZ68" s="548"/>
      <c r="ZA68" s="548"/>
      <c r="ZB68" s="548"/>
      <c r="ZC68" s="548"/>
      <c r="ZD68" s="548"/>
      <c r="ZE68" s="548"/>
      <c r="ZF68" s="548"/>
      <c r="ZG68" s="548"/>
      <c r="ZH68" s="548"/>
      <c r="ZI68" s="548"/>
      <c r="ZJ68" s="548"/>
      <c r="ZK68" s="548"/>
      <c r="ZL68" s="548"/>
      <c r="ZM68" s="548"/>
      <c r="ZN68" s="548"/>
      <c r="ZO68" s="548"/>
      <c r="ZP68" s="548"/>
      <c r="ZQ68" s="548"/>
      <c r="ZR68" s="548"/>
      <c r="ZS68" s="548"/>
      <c r="ZT68" s="548"/>
      <c r="ZU68" s="548"/>
      <c r="ZV68" s="548"/>
      <c r="ZW68" s="548"/>
      <c r="ZX68" s="548"/>
      <c r="ZY68" s="548"/>
      <c r="ZZ68" s="548"/>
      <c r="AAA68" s="548"/>
      <c r="AAB68" s="548"/>
      <c r="AAC68" s="548"/>
      <c r="AAD68" s="548"/>
      <c r="AAE68" s="548"/>
      <c r="AAF68" s="548"/>
      <c r="AAG68" s="548"/>
      <c r="AAH68" s="548"/>
      <c r="AAI68" s="548"/>
      <c r="AAJ68" s="548"/>
      <c r="AAK68" s="548"/>
      <c r="AAL68" s="548"/>
      <c r="AAM68" s="548"/>
      <c r="AAN68" s="548"/>
      <c r="AAO68" s="548"/>
      <c r="AAP68" s="548"/>
      <c r="AAQ68" s="548"/>
      <c r="AAR68" s="548"/>
      <c r="AAS68" s="548"/>
      <c r="AAT68" s="548"/>
      <c r="AAU68" s="548"/>
      <c r="AAV68" s="548"/>
      <c r="AAW68" s="548"/>
      <c r="AAX68" s="548"/>
      <c r="AAY68" s="548"/>
      <c r="AAZ68" s="548"/>
      <c r="ABA68" s="548"/>
      <c r="ABB68" s="548"/>
      <c r="ABC68" s="548"/>
      <c r="ABD68" s="548"/>
      <c r="ABE68" s="548"/>
      <c r="ABF68" s="548"/>
      <c r="ABG68" s="548"/>
      <c r="ABH68" s="548"/>
      <c r="ABI68" s="548"/>
      <c r="ABJ68" s="548"/>
      <c r="ABK68" s="548"/>
      <c r="ABL68" s="548"/>
      <c r="ABM68" s="548"/>
      <c r="ABN68" s="548"/>
      <c r="ABO68" s="548"/>
      <c r="ABP68" s="548"/>
      <c r="ABQ68" s="548"/>
      <c r="ABR68" s="548"/>
      <c r="ABS68" s="548"/>
    </row>
    <row r="69" spans="1:747" customFormat="1" ht="15" customHeight="1" x14ac:dyDescent="0.2">
      <c r="A69" s="424" t="str">
        <f t="shared" si="149"/>
        <v/>
      </c>
      <c r="B69" s="415"/>
      <c r="C69" s="525"/>
      <c r="D69" s="750"/>
      <c r="E69" s="416" t="str">
        <f t="shared" si="751"/>
        <v/>
      </c>
      <c r="F69" s="527" t="str">
        <f t="shared" si="752"/>
        <v/>
      </c>
      <c r="G69" s="417"/>
      <c r="H69" s="583" t="str">
        <f t="shared" si="753"/>
        <v/>
      </c>
      <c r="I69" s="424"/>
      <c r="J69" s="419"/>
      <c r="K69" s="418"/>
      <c r="L69" s="419"/>
      <c r="M69" s="415"/>
      <c r="N69" s="420"/>
      <c r="O69" s="421"/>
      <c r="P69" s="561"/>
      <c r="Q69" s="422"/>
      <c r="R69" s="561" t="str">
        <f t="shared" si="754"/>
        <v/>
      </c>
      <c r="S69" s="664"/>
      <c r="T69" s="663"/>
      <c r="U69" s="580">
        <f t="shared" si="755"/>
        <v>0</v>
      </c>
      <c r="V69" s="418"/>
      <c r="W69" s="582" t="str">
        <f t="shared" si="756"/>
        <v/>
      </c>
      <c r="X69" s="479" t="str">
        <f t="shared" si="757"/>
        <v/>
      </c>
      <c r="Y69" s="582" t="str">
        <f t="shared" si="758"/>
        <v/>
      </c>
      <c r="Z69" s="317" t="str">
        <f t="shared" si="759"/>
        <v/>
      </c>
      <c r="AA69" s="317" t="str">
        <f t="shared" si="760"/>
        <v/>
      </c>
      <c r="AB69" s="317">
        <f t="shared" si="761"/>
        <v>0</v>
      </c>
      <c r="AC69" s="317" t="str">
        <f t="shared" si="762"/>
        <v/>
      </c>
      <c r="AD69" s="479"/>
      <c r="AE69" s="479"/>
      <c r="AF69" s="479"/>
      <c r="AG69" s="423"/>
      <c r="AH69" s="820"/>
      <c r="AI69" s="480"/>
      <c r="AJ69" s="660"/>
      <c r="AK69" s="524" t="str">
        <f t="shared" si="763"/>
        <v/>
      </c>
      <c r="AL69" s="719" t="str">
        <f>$AL$5</f>
        <v>itens de Despesas</v>
      </c>
      <c r="AM69" s="719" t="str">
        <f>$AM$5</f>
        <v>total pag. Mod. 2</v>
      </c>
      <c r="AN69" s="426">
        <f t="shared" si="764"/>
        <v>0</v>
      </c>
      <c r="AO69" s="427" t="str">
        <f t="shared" si="765"/>
        <v/>
      </c>
      <c r="AP69" s="426" t="str">
        <f t="shared" si="766"/>
        <v/>
      </c>
      <c r="AQ69" s="426"/>
      <c r="AR69" s="426"/>
      <c r="AS69" s="428"/>
      <c r="AT69" s="429"/>
      <c r="AU69" s="430"/>
      <c r="AV69" s="431"/>
      <c r="AW69" s="432"/>
      <c r="AX69" s="430"/>
      <c r="AY69" s="431">
        <f t="shared" si="767"/>
        <v>0</v>
      </c>
      <c r="AZ69" s="426"/>
      <c r="BA69" s="435" t="str">
        <f t="shared" si="768"/>
        <v/>
      </c>
      <c r="BB69" s="435"/>
      <c r="BC69" s="426"/>
      <c r="BD69" s="426">
        <f t="array" ref="BD69">IF(SUM((BC69=$BC$3:BC68)*1)=0,BC69,0)</f>
        <v>0</v>
      </c>
      <c r="BE69" s="426"/>
      <c r="BF69" s="426"/>
      <c r="BG69" s="426">
        <f t="array" ref="BG69">IF(SUM((BF69=$BF$3:BF68)*1)=0,BF69,0)</f>
        <v>0</v>
      </c>
      <c r="BH69" s="426"/>
      <c r="BI69" s="426"/>
      <c r="BJ69" s="426"/>
      <c r="BK69" s="426"/>
      <c r="BL69" s="426"/>
      <c r="BM69" s="426"/>
      <c r="BN69" s="426"/>
      <c r="BO69" s="426"/>
      <c r="BP69" s="433">
        <f t="shared" si="769"/>
        <v>0</v>
      </c>
      <c r="BQ69" s="426"/>
      <c r="BR69" s="434"/>
      <c r="BS69" s="426"/>
      <c r="BT69" s="433"/>
      <c r="BU69" s="435"/>
      <c r="BV69" s="435" t="str">
        <f t="shared" si="770"/>
        <v/>
      </c>
      <c r="BW69" s="435" t="str">
        <f t="shared" ref="BW69:BW132" si="798">IF(BX69&lt;&gt;"",$CY69,"")</f>
        <v/>
      </c>
      <c r="BX69" s="435"/>
      <c r="BY69" s="435"/>
      <c r="BZ69" s="435"/>
      <c r="CA69" s="435"/>
      <c r="CB69" s="435"/>
      <c r="CC69" s="435"/>
      <c r="CD69" s="435"/>
      <c r="CE69" s="435"/>
      <c r="CF69" s="435"/>
      <c r="CG69" s="435"/>
      <c r="CH69" s="435"/>
      <c r="CI69" s="435"/>
      <c r="CJ69" s="426" t="str">
        <f t="shared" ref="CJ69:CJ132" si="799">IF(CK69&lt;&gt;"",$CY69,"")</f>
        <v/>
      </c>
      <c r="CK69" s="435"/>
      <c r="CL69" s="435"/>
      <c r="CM69" s="435"/>
      <c r="CN69" s="435"/>
      <c r="CO69" s="435"/>
      <c r="CP69" s="435"/>
      <c r="CQ69" s="435"/>
      <c r="CR69" s="435"/>
      <c r="CS69" s="435"/>
      <c r="CT69" s="435"/>
      <c r="CU69" s="435"/>
      <c r="CV69" s="435"/>
      <c r="CW69" s="426"/>
      <c r="CX69" s="426"/>
      <c r="CY69" s="426">
        <v>66</v>
      </c>
      <c r="CZ69" s="426"/>
      <c r="DA69" s="426"/>
      <c r="DB69" s="426"/>
      <c r="DC69" s="426" t="s">
        <v>809</v>
      </c>
      <c r="DD69" s="426" t="s">
        <v>969</v>
      </c>
      <c r="DE69" s="435" t="str">
        <f t="shared" ref="DE69:DE132" si="800">IF(AND($E69="Capital",$J69="Básico",$S69&gt;=0.01),$DG$2,"")</f>
        <v/>
      </c>
      <c r="DF69" s="435" t="str">
        <f t="shared" ref="DF69:DF132" si="801">IF(AND($E69="Custeio",$J69="Básico",$T69&gt;=0.01),$DG$3,"")</f>
        <v/>
      </c>
      <c r="DG69" s="435" t="str">
        <f t="shared" ref="DG69:DG132" si="802">IF(AND($E69="capital",$J69="Básico",$T69="",$S69&gt;0),$S69,IF(AND($E69="capital",$J69="Básico",$T69&gt;=0,$S69&gt;0),$S69,IF(AND($E69="capital",$J69="Básico",$T69&lt;=0,$S69&gt;0),$S69,"")))</f>
        <v/>
      </c>
      <c r="DH69" s="435" t="str">
        <f t="shared" ref="DH69:DH132" si="803">IF(AND($E69="custeio",$J69="Básico",$S69="",$T69&gt;0),$T69,IF(AND($E69="custeio",$J69="Básico",$S69&gt;=0,$T69&gt;0),$T69,IF(AND($E69="custeio",$J69="Básico",$S69&lt;=0,$T69&gt;0),$T69,"")))</f>
        <v/>
      </c>
      <c r="DI69" s="435" t="str">
        <f t="shared" ref="DI69:DI132" si="804">IF(AND($E69="Capital",$J69="Volta Aulas",$S69&gt;=0.01),$DK$2,"")</f>
        <v/>
      </c>
      <c r="DJ69" s="435" t="str">
        <f t="shared" ref="DJ69:DJ132" si="805">IF(AND($E69="Custeio",$J69="Volta Aulas",$T69&gt;=0.01),$DK$3,"")</f>
        <v/>
      </c>
      <c r="DK69" s="435" t="str">
        <f t="shared" si="771"/>
        <v/>
      </c>
      <c r="DL69" s="435" t="str">
        <f t="shared" si="772"/>
        <v/>
      </c>
      <c r="DM69" s="435" t="str">
        <f t="shared" ref="DM69:DM132" si="806">IF(AND($E69="Capital",$J69="Futuro",$S69&gt;=0.01),$DO$2,"")</f>
        <v/>
      </c>
      <c r="DN69" s="435" t="str">
        <f t="shared" ref="DN69:DN132" si="807">IF(AND($E69="Custeio",$J69="Futuro",$T69&gt;=0.01),$DO$3,"")</f>
        <v/>
      </c>
      <c r="DO69" s="435" t="str">
        <f t="shared" si="773"/>
        <v/>
      </c>
      <c r="DP69" s="435" t="str">
        <f t="shared" si="774"/>
        <v/>
      </c>
      <c r="DQ69" s="435" t="str">
        <f t="shared" ref="DQ69:DQ132" si="808">IF(AND($E69="Capital",$J69="Rolê",$S69&gt;=0.01),$DS$2,"")</f>
        <v/>
      </c>
      <c r="DR69" s="435" t="str">
        <f t="shared" ref="DR69:DR132" si="809">IF(AND($E69="Custeio",$J69="Rolê",$T69&gt;=0.01),$DS$3,"")</f>
        <v/>
      </c>
      <c r="DS69" s="435" t="str">
        <f t="shared" si="775"/>
        <v/>
      </c>
      <c r="DT69" s="435" t="str">
        <f t="shared" si="776"/>
        <v/>
      </c>
      <c r="DU69" s="435" t="str">
        <f t="shared" ref="DU69:DU132" si="810">IF(AND($E69="Capital",$J69="Imprensa",$S69&gt;=0.01),$DW$2,"")</f>
        <v/>
      </c>
      <c r="DV69" s="435" t="str">
        <f t="shared" ref="DV69:DV132" si="811">IF(AND($E69="Custeio",$J69="Imprensa",$T69&gt;=0.01),$DW$3,"")</f>
        <v/>
      </c>
      <c r="DW69" s="435" t="str">
        <f t="shared" si="777"/>
        <v/>
      </c>
      <c r="DX69" s="435" t="str">
        <f t="shared" si="778"/>
        <v/>
      </c>
      <c r="DY69" s="435" t="str">
        <f t="shared" ref="DY69:DY132" si="812">IF(AND($E69="Capital",$J69="Grêmio",$S69&gt;=0.01),$EA$2,"")</f>
        <v/>
      </c>
      <c r="DZ69" s="435" t="str">
        <f t="shared" ref="DZ69:DZ132" si="813">IF(AND($E69="Custeio",$J69="Grêmio",$T69&gt;=0.01),$EA$3,"")</f>
        <v/>
      </c>
      <c r="EA69" s="435" t="str">
        <f t="shared" si="779"/>
        <v/>
      </c>
      <c r="EB69" s="435" t="str">
        <f t="shared" si="780"/>
        <v/>
      </c>
      <c r="EC69" s="435" t="str">
        <f t="shared" si="781"/>
        <v/>
      </c>
      <c r="ED69" s="435" t="str">
        <f t="shared" si="782"/>
        <v/>
      </c>
      <c r="EE69" s="435" t="str">
        <f t="shared" si="783"/>
        <v/>
      </c>
      <c r="EF69" s="435" t="str">
        <f t="shared" si="784"/>
        <v/>
      </c>
      <c r="EG69" s="435" t="str">
        <f t="shared" si="785"/>
        <v/>
      </c>
      <c r="EH69" s="435" t="str">
        <f t="shared" si="786"/>
        <v/>
      </c>
      <c r="EI69" s="435" t="str">
        <f t="shared" si="787"/>
        <v/>
      </c>
      <c r="EJ69" s="435" t="str">
        <f t="shared" si="788"/>
        <v/>
      </c>
      <c r="EK69" s="485"/>
      <c r="EL69" s="485"/>
      <c r="EM69" s="485"/>
      <c r="EN69" s="485"/>
      <c r="EO69" s="448"/>
      <c r="EP69" s="448"/>
      <c r="EQ69" s="448"/>
      <c r="ER69" s="448"/>
      <c r="ES69" s="448"/>
      <c r="ET69" s="435"/>
      <c r="EU69" s="435"/>
      <c r="EV69" s="435"/>
      <c r="EW69" s="435"/>
      <c r="EX69" s="426"/>
      <c r="EY69" s="426"/>
      <c r="EZ69" s="426"/>
      <c r="FA69" s="427"/>
      <c r="FB69" s="427">
        <f t="array" ref="FB69">IF(SUM((FA69=$FA$3:FA68)*1)=0,FA69,0)</f>
        <v>0</v>
      </c>
      <c r="FC69" s="427"/>
      <c r="FD69" s="427"/>
      <c r="FE69" s="427">
        <f t="array" ref="FE69">IF(SUM((FD69=$FD$3:FD68)*1)=0,FD69,0)</f>
        <v>0</v>
      </c>
      <c r="FF69" s="427"/>
      <c r="FG69" s="427"/>
      <c r="FH69" s="427"/>
      <c r="FI69" s="427">
        <f t="array" ref="FI69">IF(SUM((FH69=$FH$3:FH68)*1)=0,FH69,0)</f>
        <v>0</v>
      </c>
      <c r="FJ69" s="427"/>
      <c r="FK69" s="427"/>
      <c r="FL69" s="427">
        <f t="array" ref="FL69">IF(SUM((FK69=$FK$3:FK68)*1)=0,FK69,0)</f>
        <v>0</v>
      </c>
      <c r="FM69" s="427"/>
      <c r="FN69" s="427"/>
      <c r="FO69" s="427"/>
      <c r="FP69" s="427">
        <f t="array" ref="FP69">IF(SUM((FO69=$FO$3:FO68)*1)=0,FO69,0)</f>
        <v>0</v>
      </c>
      <c r="FQ69" s="427"/>
      <c r="FR69" s="427"/>
      <c r="FS69" s="427">
        <f t="array" ref="FS69">IF(SUM((FR69=$FR$3:FR68)*1)=0,FR69,0)</f>
        <v>0</v>
      </c>
      <c r="FT69" s="427"/>
      <c r="FU69" s="427"/>
      <c r="FV69" s="427"/>
      <c r="FW69" s="427">
        <f t="array" ref="FW69">IF(SUM((FV69=$FV$3:FV68)*1)=0,FV69,0)</f>
        <v>0</v>
      </c>
      <c r="FX69" s="427"/>
      <c r="FY69" s="427"/>
      <c r="FZ69" s="427">
        <f t="array" ref="FZ69">IF(SUM((FY69=$FY$3:FY68)*1)=0,FY69,0)</f>
        <v>0</v>
      </c>
      <c r="GA69" s="427"/>
      <c r="GB69" s="427"/>
      <c r="GC69" s="427"/>
      <c r="GD69" s="427">
        <f t="array" ref="GD69">IF(SUM((GC69=$GC$3:GC68)*1)=0,GC69,0)</f>
        <v>0</v>
      </c>
      <c r="GE69" s="427"/>
      <c r="GF69" s="427"/>
      <c r="GG69" s="427">
        <f t="array" ref="GG69">IF(SUM((GF69=$GF$3:GF68)*1)=0,GF69,0)</f>
        <v>0</v>
      </c>
      <c r="GH69" s="427"/>
      <c r="GI69" s="427"/>
      <c r="GJ69" s="427"/>
      <c r="GK69" s="798">
        <f t="array" ref="GK69">IF(SUM((GJ69=$GJ$3:GJ68)*1)=0,GJ69,0)</f>
        <v>0</v>
      </c>
      <c r="GL69" s="427"/>
      <c r="GM69" s="427"/>
      <c r="GN69" s="798">
        <f t="array" ref="GN69">IF(SUM((GM69=$GM$3:GM68)*1)=0,GM69,0)</f>
        <v>0</v>
      </c>
      <c r="GO69" s="427"/>
      <c r="GP69" s="427"/>
      <c r="GQ69" s="427"/>
      <c r="GR69" s="798">
        <f t="array" ref="GR69">IF(SUM((GQ69=$GQ$3:GQ68)*1)=0,GQ69,0)</f>
        <v>0</v>
      </c>
      <c r="GS69" s="427"/>
      <c r="GT69" s="427"/>
      <c r="GU69" s="798">
        <f t="array" ref="GU69">IF(SUM((GT69=$GT$3:GT68)*1)=0,GT69,0)</f>
        <v>0</v>
      </c>
      <c r="GV69" s="427"/>
      <c r="GW69" s="427"/>
      <c r="GX69" s="427"/>
      <c r="GY69" s="798">
        <f t="array" ref="GY69">IF(SUM((GX69=$GX$3:GX68)*1)=0,GX69,0)</f>
        <v>0</v>
      </c>
      <c r="GZ69" s="427"/>
      <c r="HA69" s="427"/>
      <c r="HB69" s="798">
        <f t="array" ref="HB69">IF(SUM((HA69=$HA$3:HA68)*1)=0,HA69,0)</f>
        <v>0</v>
      </c>
      <c r="HC69" s="427"/>
      <c r="HD69" s="427"/>
      <c r="HE69" s="769" t="str">
        <f t="shared" si="130"/>
        <v/>
      </c>
      <c r="HF69" s="768" t="str">
        <f t="shared" ref="HF69" si="814">IF(HE69&lt;0,"Invadiu REP-BA-C","")</f>
        <v/>
      </c>
      <c r="HG69" s="769" t="str">
        <f t="shared" si="131"/>
        <v/>
      </c>
      <c r="HH69" s="768" t="str">
        <f t="shared" ref="HH69:HH132" si="815">IF(HG69&lt;0,"Invadiu REC-BA-C","")</f>
        <v/>
      </c>
      <c r="HI69" s="728" t="str">
        <f t="shared" si="132"/>
        <v/>
      </c>
      <c r="HJ69" s="768" t="str">
        <f t="shared" ref="HJ69:HJ132" si="816">IF(HI69&lt;0,"Invadiu REP-BA-K","")</f>
        <v/>
      </c>
      <c r="HK69" s="728" t="str">
        <f t="shared" si="133"/>
        <v/>
      </c>
      <c r="HL69" s="768" t="str">
        <f t="shared" ref="HL69:HL132" si="817">IF(HK69&lt;0,"Invadiu REC-BA-K","")</f>
        <v/>
      </c>
      <c r="HM69" s="769" t="str">
        <f t="shared" ref="HM69:HM100" si="818">IFERROR(IF($A69="","",IF(HM$2=0,0,IF(AND($J69="Volta Aulas",$P69&lt;&gt;"",$R69&lt;$P$164,$S69&lt;&gt;""),(HM68-$S69),HM68))),"")</f>
        <v/>
      </c>
      <c r="HN69" s="768" t="str">
        <f t="shared" ref="HN69" si="819">IF(HM69&lt;0,"Invadiu REP-BA-C","")</f>
        <v/>
      </c>
      <c r="HO69" s="769" t="str">
        <f t="shared" ref="HO69:HO100" si="820">IFERROR(IF($A69="","",IF(HO$2=0,0,IF(AND($J69="Volta Aulas",$R69&lt;$P$164),HO68,IF(AND($J69="Volta Aulas",$R69&gt;=$P$164,HM69&lt;=0),(HO68-$S69),HO68)))),"")</f>
        <v/>
      </c>
      <c r="HP69" s="768" t="str">
        <f t="shared" ref="HP69:HP132" si="821">IF(HO69&lt;0,"Invadiu REC-BA-C","")</f>
        <v/>
      </c>
      <c r="HQ69" s="728" t="str">
        <f t="shared" ref="HQ69:HQ100" si="822">IFERROR(IF($A69="","",IF(HQ$2=0,0,IF(AND($J69="Volta Aulas",$R69&lt;&gt;"",$T69&lt;&gt;""),(HQ68-$T69),HQ68))),"")</f>
        <v/>
      </c>
      <c r="HR69" s="768" t="str">
        <f t="shared" ref="HR69:HR132" si="823">IF(HQ69&lt;0,"Invadiu REP-BA-K","")</f>
        <v/>
      </c>
      <c r="HS69" s="728" t="str">
        <f t="shared" ref="HS69:HS100" si="824">IFERROR(IF($A69="","",IF(HS$2=0,0,IF(AND($J69="Volta Aulas",$R69&lt;$P$165),HS68,IF(AND($J69="Volta Aulas",$R69&gt;=$P$165,HQ69&lt;=0),(HS68-$T69),HS68)))),"")</f>
        <v/>
      </c>
      <c r="HT69" s="768" t="str">
        <f t="shared" ref="HT69:HT132" si="825">IF(HS69&lt;0,"Invadiu REC-BA-K","")</f>
        <v/>
      </c>
      <c r="HU69" s="769" t="str">
        <f t="shared" ref="HU69:HU100" si="826">IFERROR(IF($A69="","",IF(HU$2=0,0,IF(AND($J69="Futuro",$P69&lt;&gt;"",$R69&lt;$P$164,$S69&lt;&gt;""),(HU68-$S69),HU68))),"")</f>
        <v/>
      </c>
      <c r="HV69" s="768" t="str">
        <f t="shared" ref="HV69" si="827">IF(HU69&lt;0,"Invadiu REP-BA-C","")</f>
        <v/>
      </c>
      <c r="HW69" s="769" t="str">
        <f t="shared" ref="HW69:HW100" si="828">IFERROR(IF($A69="","",IF(HW$2=0,0,IF(AND($J69="Futuro",$R69&lt;$P$164),HW68,IF(AND($J69="Futuro",$R69&gt;=$P$164,HU69&lt;=0),(HW68-$S69),HW68)))),"")</f>
        <v/>
      </c>
      <c r="HX69" s="768" t="str">
        <f t="shared" ref="HX69:HX132" si="829">IF(HW69&lt;0,"Invadiu REC-BA-C","")</f>
        <v/>
      </c>
      <c r="HY69" s="728" t="str">
        <f t="shared" ref="HY69:HY100" si="830">IFERROR(IF($A69="","",IF(HY$2=0,0,IF(AND($J69="Futuro",$R69&lt;&gt;"",$T69&lt;&gt;""),(HY68-$T69),HY68))),"")</f>
        <v/>
      </c>
      <c r="HZ69" s="768" t="str">
        <f t="shared" ref="HZ69:HZ132" si="831">IF(HY69&lt;0,"Invadiu REP-BA-K","")</f>
        <v/>
      </c>
      <c r="IA69" s="728" t="str">
        <f t="shared" ref="IA69:IA100" si="832">IFERROR(IF($A69="","",IF(IA$2=0,0,IF(AND($J69="Futuro",$R69&lt;$P$165),IA68,IF(AND($J69="Futuro",$R69&gt;=$P$165,HY69&lt;=0),(IA68-$T69),IA68)))),"")</f>
        <v/>
      </c>
      <c r="IB69" s="768" t="str">
        <f t="shared" ref="IB69:IB132" si="833">IF(IA69&lt;0,"Invadiu REC-BA-K","")</f>
        <v/>
      </c>
      <c r="IC69" s="769" t="str">
        <f t="shared" ref="IC69:IC100" si="834">IFERROR(IF($A69="","",IF(IC$2=0,0,IF(AND($J69="Rolê",$P69&lt;&gt;"",$R69&lt;$P$164,$S69&lt;&gt;""),(IC68-$S69),IC68))),"")</f>
        <v/>
      </c>
      <c r="ID69" s="768" t="str">
        <f t="shared" ref="ID69" si="835">IF(IC69&lt;0,"Invadiu REP-BA-C","")</f>
        <v/>
      </c>
      <c r="IE69" s="769" t="str">
        <f t="shared" ref="IE69:IE100" si="836">IFERROR(IF($A69="","",IF(IE$2=0,0,IF(AND($J69="Rolê",$R69&lt;$P$164),IE68,IF(AND($J69="Rolê",$R69&gt;=$P$164,IC69&lt;=0),(IE68-$S69),IE68)))),"")</f>
        <v/>
      </c>
      <c r="IF69" s="768" t="str">
        <f t="shared" ref="IF69:IF132" si="837">IF(IE69&lt;0,"Invadiu REC-BA-C","")</f>
        <v/>
      </c>
      <c r="IG69" s="728" t="str">
        <f t="shared" ref="IG69:IG100" si="838">IFERROR(IF($A69="","",IF(IG$2=0,0,IF(AND($J69="Rolê",$R69&lt;&gt;"",$T69&lt;&gt;""),(IG68-$T69),IG68))),"")</f>
        <v/>
      </c>
      <c r="IH69" s="768" t="str">
        <f t="shared" ref="IH69:IH132" si="839">IF(IG69&lt;0,"Invadiu REP-BA-K","")</f>
        <v/>
      </c>
      <c r="II69" s="728" t="str">
        <f t="shared" ref="II69:II100" si="840">IFERROR(IF($A69="","",IF(II$2=0,0,IF(AND($J69="Rolê",$R69&lt;$P$165),II68,IF(AND($J69="Rolê",$R69&gt;=$P$165,IG69&lt;=0),(II68-$T69),II68)))),"")</f>
        <v/>
      </c>
      <c r="IJ69" s="768" t="str">
        <f t="shared" ref="IJ69:IJ132" si="841">IF(II69&lt;0,"Invadiu REC-BA-K","")</f>
        <v/>
      </c>
      <c r="IK69" s="769" t="str">
        <f t="shared" ref="IK69:IK100" si="842">IFERROR(IF($A69="","",IF(IK$2=0,0,IF(AND($J69="Imprensa",$P69&lt;&gt;"",$R69&lt;$P$164,$S69&lt;&gt;""),(IK68-$S69),IK68))),"")</f>
        <v/>
      </c>
      <c r="IL69" s="768" t="str">
        <f t="shared" ref="IL69" si="843">IF(IK69&lt;0,"Invadiu REP-BA-C","")</f>
        <v/>
      </c>
      <c r="IM69" s="769" t="str">
        <f t="shared" ref="IM69:IM100" si="844">IFERROR(IF($A69="","",IF(IM$2=0,0,IF(AND($J69="Imprensa",$R69&lt;$P$164),IM68,IF(AND($J69="Imprensa",$R69&gt;=$P$164,IK69&lt;=0),(IM68-$S69),IM68)))),"")</f>
        <v/>
      </c>
      <c r="IN69" s="768" t="str">
        <f t="shared" ref="IN69:IN132" si="845">IF(IM69&lt;0,"Invadiu REC-BA-C","")</f>
        <v/>
      </c>
      <c r="IO69" s="728" t="str">
        <f t="shared" ref="IO69:IO100" si="846">IFERROR(IF($A69="","",IF(IO$2=0,0,IF(AND($J69="Imprensa",$R69&lt;&gt;"",$T69&lt;&gt;""),(IO68-$T69),IO68))),"")</f>
        <v/>
      </c>
      <c r="IP69" s="768" t="str">
        <f t="shared" ref="IP69:IP132" si="847">IF(IO69&lt;0,"Invadiu REP-BA-K","")</f>
        <v/>
      </c>
      <c r="IQ69" s="728" t="str">
        <f t="shared" ref="IQ69:IQ100" si="848">IFERROR(IF($A69="","",IF(IQ$2=0,0,IF(AND($J69="Imprensa",$R69&lt;$P$165),IQ68,IF(AND($J69="Imprensa",$R69&gt;=$P$165,IO69&lt;=0),(IQ68-$T69),IQ68)))),"")</f>
        <v/>
      </c>
      <c r="IR69" s="768" t="str">
        <f t="shared" ref="IR69:IR132" si="849">IF(IQ69&lt;0,"Invadiu REC-BA-K","")</f>
        <v/>
      </c>
      <c r="IS69" s="769" t="str">
        <f t="shared" ref="IS69:IS100" si="850">IFERROR(IF($A69="","",IF(IS$2=0,0,IF(AND($J69="Grêmio",$P69&lt;&gt;"",$R69&lt;$P$164,$S69&lt;&gt;""),(IS68-$S69),IS68))),"")</f>
        <v/>
      </c>
      <c r="IT69" s="768" t="str">
        <f t="shared" ref="IT69" si="851">IF(IS69&lt;0,"Invadiu REP-BA-C","")</f>
        <v/>
      </c>
      <c r="IU69" s="769" t="str">
        <f t="shared" ref="IU69:IU100" si="852">IFERROR(IF($A69="","",IF(IU$2=0,0,IF(AND($J69="Grêmio",$R69&lt;$P$164),IU68,IF(AND($J69="Grêmio",$R69&gt;=$P$164,IS69&lt;=0),(IU68-$S69),IU68)))),"")</f>
        <v/>
      </c>
      <c r="IV69" s="768" t="str">
        <f t="shared" ref="IV69:IV132" si="853">IF(IU69&lt;0,"Invadiu REC-BA-C","")</f>
        <v/>
      </c>
      <c r="IW69" s="728" t="str">
        <f t="shared" ref="IW69:IW100" si="854">IFERROR(IF($A69="","",IF(IW$2=0,0,IF(AND($J69="Grêmio",$R69&lt;&gt;"",$T69&lt;&gt;""),(IW68-$T69),IW68))),"")</f>
        <v/>
      </c>
      <c r="IX69" s="768" t="str">
        <f t="shared" ref="IX69:IX132" si="855">IF(IW69&lt;0,"Invadiu REP-BA-K","")</f>
        <v/>
      </c>
      <c r="IY69" s="728" t="str">
        <f t="shared" ref="IY69:IY100" si="856">IFERROR(IF($A69="","",IF(IY$2=0,0,IF(AND($J69="Grêmio",$R69&lt;$P$165),IY68,IF(AND($J69="Grêmio",$R69&gt;=$P$165,IW69&lt;=0),(IY68-$T69),IY68)))),"")</f>
        <v/>
      </c>
      <c r="IZ69" s="768" t="str">
        <f t="shared" ref="IZ69:IZ132" si="857">IF(IY69&lt;0,"Invadiu REC-BA-K","")</f>
        <v/>
      </c>
      <c r="JA69" s="769" t="str">
        <f t="shared" ref="JA69:JA100" si="858">IFERROR(IF($A69="","",IF(JA$2=0,0,IF(AND($J69="Formação",$P69&lt;&gt;"",$R69&lt;$P$164,$S69&lt;&gt;""),(JA68-$S69),JA68))),"")</f>
        <v/>
      </c>
      <c r="JB69" s="768" t="str">
        <f t="shared" ref="JB69" si="859">IF(JA69&lt;0,"Invadiu REP-BA-C","")</f>
        <v/>
      </c>
      <c r="JC69" s="769" t="str">
        <f t="shared" ref="JC69:JC100" si="860">IFERROR(IF($A69="","",IF(JC$2=0,0,IF(AND($J69="Formação",$R69&lt;$P$164),JC68,IF(AND($J69="Formação",$R69&gt;=$P$164,JA69&lt;=0),(JC68-$S69),JC68)))),"")</f>
        <v/>
      </c>
      <c r="JD69" s="768" t="str">
        <f t="shared" ref="JD69:JD132" si="861">IF(JC69&lt;0,"Invadiu REC-BA-C","")</f>
        <v/>
      </c>
      <c r="JE69" s="728" t="str">
        <f t="shared" ref="JE69:JE100" si="862">IFERROR(IF($A69="","",IF(JE$2=0,0,IF(AND($J69="Formação",$R69&lt;&gt;"",$T69&lt;&gt;""),(JE68-$T69),JE68))),"")</f>
        <v/>
      </c>
      <c r="JF69" s="768" t="str">
        <f t="shared" ref="JF69:JF132" si="863">IF(JE69&lt;0,"Invadiu REP-BA-K","")</f>
        <v/>
      </c>
      <c r="JG69" s="728" t="str">
        <f t="shared" ref="JG69:JG100" si="864">IFERROR(IF($A69="","",IF(JG$2=0,0,IF(AND($J69="Formação",$R69&lt;$P$165),JG68,IF(AND($J69="Formação",$R69&gt;=$P$165,JE69&lt;=0),(JG68-$T69),JG68)))),"")</f>
        <v/>
      </c>
      <c r="JH69" s="768" t="str">
        <f t="shared" ref="JH69:JH132" si="865">IF(JG69&lt;0,"Invadiu REC-BA-K","")</f>
        <v/>
      </c>
      <c r="JI69" s="769" t="str">
        <f t="shared" ref="JI69:JI100" si="866">IFERROR(IF($A69="","",IF(JI$2=0,0,IF(AND($J69="Mais Escola",$P69&lt;&gt;"",$R69&lt;$P$164,$S69&lt;&gt;""),(JI68-$S69),JI68))),"")</f>
        <v/>
      </c>
      <c r="JJ69" s="768" t="str">
        <f t="shared" ref="JJ69" si="867">IF(JI69&lt;0,"Invadiu REP-BA-C","")</f>
        <v/>
      </c>
      <c r="JK69" s="769" t="str">
        <f t="shared" ref="JK69:JK100" si="868">IFERROR(IF($A69="","",IF(JK$2=0,0,IF(AND($J69="Mais Escola",$R69&lt;$P$164),JK68,IF(AND($J69="Mais Escola",$R69&gt;=$P$164,JI69&lt;=0),(JK68-$S69),JK68)))),"")</f>
        <v/>
      </c>
      <c r="JL69" s="768" t="str">
        <f t="shared" ref="JL69:JL132" si="869">IF(JK69&lt;0,"Invadiu REC-BA-C","")</f>
        <v/>
      </c>
      <c r="JM69" s="728" t="str">
        <f t="shared" ref="JM69:JM100" si="870">IFERROR(IF($A69="","",IF(JM$2=0,0,IF(AND($J69="Mais Escola",$R69&lt;&gt;"",$T69&lt;&gt;""),(JM68-$T69),JM68))),"")</f>
        <v/>
      </c>
      <c r="JN69" s="768" t="str">
        <f t="shared" ref="JN69:JN132" si="871">IF(JM69&lt;0,"Invadiu REP-BA-K","")</f>
        <v/>
      </c>
      <c r="JO69" s="728" t="str">
        <f t="shared" ref="JO69:JO100" si="872">IFERROR(IF($A69="","",IF(JO$2=0,0,IF(AND($J69="Mais Escola",$R69&lt;$P$165),JO68,IF(AND($J69="Mais Escola",$R69&gt;=$P$165,JM69&lt;=0),(JO68-$T69),JO68)))),"")</f>
        <v/>
      </c>
      <c r="JP69" s="768" t="str">
        <f t="shared" ref="JP69:JP132" si="873">IF(JO69&lt;0,"Invadiu REC-BA-K","")</f>
        <v/>
      </c>
      <c r="JQ69" s="769" t="str">
        <f t="shared" ref="JQ69:JQ100" si="874">IFERROR(IF($A69="","",IF(JQ$2=0,0,IF(AND($J69="Livre Aplic.",$P69&lt;&gt;"",$R69&lt;$P$164,$S69&lt;&gt;""),(JQ68-$S69),JQ68))),"")</f>
        <v/>
      </c>
      <c r="JR69" s="768" t="str">
        <f t="shared" ref="JR69" si="875">IF(JQ69&lt;0,"Invadiu REP-BA-C","")</f>
        <v/>
      </c>
      <c r="JS69" s="769" t="str">
        <f t="shared" ref="JS69:JS100" si="876">IFERROR(IF($A69="","",IF(JS$2=0,0,IF(AND($J69="Livre Aplic.",$R69&lt;$P$164),JS68,IF(AND($J69="Livre Aplic.",$R69&gt;=$P$164,JQ69&lt;=0),(JS68-$S69),JS68)))),"")</f>
        <v/>
      </c>
      <c r="JT69" s="768" t="str">
        <f t="shared" ref="JT69:JT132" si="877">IF(JS69&lt;0,"Invadiu REC-BA-C","")</f>
        <v/>
      </c>
      <c r="JU69" s="728" t="str">
        <f t="shared" ref="JU69:JU100" si="878">IFERROR(IF($A69="","",IF(JU$2=0,0,IF(AND($J69="Livre Aplic.",$R69&lt;&gt;"",$T69&lt;&gt;""),(JU68-$T69),JU68))),"")</f>
        <v/>
      </c>
      <c r="JV69" s="768" t="str">
        <f t="shared" ref="JV69:JV132" si="879">IF(JU69&lt;0,"Invadiu REP-BA-K","")</f>
        <v/>
      </c>
      <c r="JW69" s="728" t="str">
        <f t="shared" ref="JW69:JW100" si="880">IFERROR(IF($A69="","",IF(JW$2=0,0,IF(AND($J69="Livre Aplic.",$R69&lt;$P$165),JW68,IF(AND($J69="Livre Aplic.",$R69&gt;=$P$165,JU69&lt;=0),(JW68-$T69),JW68)))),"")</f>
        <v/>
      </c>
      <c r="JX69" s="768" t="str">
        <f t="shared" ref="JX69:JX132" si="881">IF(JW69&lt;0,"Invadiu REC-BA-K","")</f>
        <v/>
      </c>
      <c r="JY69" s="768" t="str">
        <f t="shared" ref="JY69:JY132" si="882">IF(KA69="","",LEN(KA69))</f>
        <v/>
      </c>
      <c r="JZ69" s="485" t="str">
        <f>IF(JY69="","",IF(AND(C69=$C$164,JY69&lt;&gt;""),Verificarcpf(D69),IF(AND(C69=$C$165,JY69&lt;&gt;""),VerificarCNPJ(D69))))</f>
        <v/>
      </c>
      <c r="KA69" s="768" t="str">
        <f t="shared" ref="KA69:KA132" si="883">IF(D69="","",TEXT(SUMPRODUCT(MID(0&amp;D69,LARGE(INDEX(ISNUMBER(--MID(D69,ROW($1:$25),1))*ROW($1:$25),0),ROW($1:$25))+1,1)*10^ROW($1:$25)/10),"00000000000"))</f>
        <v/>
      </c>
      <c r="KB69" s="485">
        <f t="shared" ref="KB69:KB132" si="884">IF(AND(E69=$KG$12,R69&gt;=$W$1,T69&gt;0),T69,0)</f>
        <v>0</v>
      </c>
      <c r="KC69" s="768">
        <f t="shared" ref="KC69:KC132" si="885">KB69</f>
        <v>0</v>
      </c>
      <c r="KD69" s="485">
        <f t="shared" ref="KD69:KD132" si="886">IF(KB69=0,0,IF(IJ69&gt;$X$1,KC69-$X$1-KD68,0))</f>
        <v>0</v>
      </c>
      <c r="KE69" s="448"/>
      <c r="KF69" s="548"/>
      <c r="KG69" s="548"/>
      <c r="KH69" s="548"/>
      <c r="KI69" s="548"/>
      <c r="KJ69" s="548" t="str">
        <f t="shared" ref="KJ69:KJ132" si="887">IF(B69&amp;C69&amp;D69&amp;G69&amp;M69&amp;N69&amp;O69&amp;P69&amp;Q69&amp;R69&amp;S69&amp;T69&amp;V69="","",IF(AND(N69=$N$164,Q69&lt;&gt;""),$KF$2,IF(U69=$KG$11,$KG$11,IF(AND($Q69&lt;&gt;"",$V69=""),$KG$4,IF(B69="",$KG$6,IF(G69="",$KG$7,IF(OR(JZ69=$KG$16,JZ69=$KG$17),JZ69,IF(M69="",$KG$8,IF(N69="",$KG$9,IF(N69=$KG$10,$KJ$3,IF(S69+T69=0,$KG$11,$KJ$3)))))))))))</f>
        <v/>
      </c>
      <c r="KK69" s="548"/>
      <c r="KL69" s="548"/>
      <c r="KM69" s="548">
        <f t="array" ref="KM69">IF(SUM((KL69=$KL$3:KL68)*1)=0,KL69,0)</f>
        <v>0</v>
      </c>
      <c r="KN69" s="548"/>
      <c r="KO69" s="548"/>
      <c r="KP69" s="548"/>
      <c r="KQ69" s="548"/>
      <c r="KR69" s="548" t="str">
        <f t="shared" ref="KR69:KR132" si="888">IF(AH69="","",LEN(AH69))</f>
        <v/>
      </c>
      <c r="KS69" s="548"/>
      <c r="KT69" s="548"/>
      <c r="KU69" s="548"/>
      <c r="KV69" s="548"/>
      <c r="KW69" s="548"/>
      <c r="KX69" s="548"/>
      <c r="KY69" s="548"/>
      <c r="KZ69" s="548"/>
      <c r="LA69" s="548"/>
      <c r="LB69" s="548"/>
      <c r="LC69" s="485" t="str">
        <f t="shared" si="142"/>
        <v/>
      </c>
      <c r="LD69" s="548"/>
      <c r="LE69" s="548"/>
      <c r="LF69" s="548"/>
      <c r="LG69" s="548"/>
      <c r="LH69" s="548"/>
      <c r="LI69" s="548"/>
      <c r="LJ69" s="548"/>
      <c r="LK69" s="548"/>
      <c r="LL69" s="548"/>
      <c r="LM69" s="548"/>
      <c r="LN69" s="548"/>
      <c r="LO69" s="548"/>
      <c r="LP69" s="485" t="str">
        <f t="shared" si="143"/>
        <v/>
      </c>
      <c r="LQ69" s="548"/>
      <c r="LR69" s="548"/>
      <c r="LS69" s="548"/>
      <c r="LT69" s="548"/>
      <c r="LU69" s="548"/>
      <c r="LV69" s="548"/>
      <c r="LW69" s="548"/>
      <c r="LX69" s="548"/>
      <c r="LY69" s="548"/>
      <c r="LZ69" s="548"/>
      <c r="MA69" s="548"/>
      <c r="MB69" s="548"/>
      <c r="MC69" s="485" t="str">
        <f t="shared" si="144"/>
        <v/>
      </c>
      <c r="MD69" s="548"/>
      <c r="ME69" s="548"/>
      <c r="MF69" s="548"/>
      <c r="MG69" s="548"/>
      <c r="MH69" s="548"/>
      <c r="MI69" s="548"/>
      <c r="MJ69" s="548"/>
      <c r="MK69" s="548"/>
      <c r="ML69" s="548"/>
      <c r="MM69" s="548"/>
      <c r="MN69" s="548"/>
      <c r="MO69" s="548"/>
      <c r="MP69" s="485" t="str">
        <f t="shared" si="145"/>
        <v/>
      </c>
      <c r="MQ69" s="548"/>
      <c r="MR69" s="548"/>
      <c r="MS69" s="548"/>
      <c r="MT69" s="548"/>
      <c r="MU69" s="548"/>
      <c r="MV69" s="548"/>
      <c r="MW69" s="548"/>
      <c r="MX69" s="548"/>
      <c r="MY69" s="548"/>
      <c r="MZ69" s="548"/>
      <c r="NA69" s="548"/>
      <c r="NB69" s="548"/>
      <c r="NC69" s="485" t="str">
        <f t="shared" si="146"/>
        <v/>
      </c>
      <c r="ND69" s="548"/>
      <c r="NE69" s="548"/>
      <c r="NF69" s="548"/>
      <c r="NG69" s="548"/>
      <c r="NH69" s="548"/>
      <c r="NI69" s="548"/>
      <c r="NJ69" s="548"/>
      <c r="NK69" s="548"/>
      <c r="NL69" s="548"/>
      <c r="NM69" s="548"/>
      <c r="NN69" s="548"/>
      <c r="NO69" s="548"/>
      <c r="NP69" s="485" t="str">
        <f t="shared" si="147"/>
        <v/>
      </c>
      <c r="NQ69" s="548"/>
      <c r="NR69" s="548"/>
      <c r="NS69" s="548"/>
      <c r="NT69" s="548"/>
      <c r="NU69" s="548"/>
      <c r="NV69" s="548"/>
      <c r="NW69" s="548"/>
      <c r="NX69" s="548"/>
      <c r="NY69" s="548"/>
      <c r="NZ69" s="548"/>
      <c r="OA69" s="548"/>
      <c r="OB69" s="548"/>
      <c r="OC69" s="485" t="str">
        <f t="shared" si="148"/>
        <v/>
      </c>
      <c r="OD69" s="548"/>
      <c r="OE69" s="548"/>
      <c r="OF69" s="548"/>
      <c r="OG69" s="548"/>
      <c r="OH69" s="548"/>
      <c r="OI69" s="548"/>
      <c r="OJ69" s="548"/>
      <c r="OK69" s="548"/>
      <c r="OL69" s="548"/>
      <c r="OM69" s="548"/>
      <c r="ON69" s="548"/>
      <c r="OO69" s="548"/>
      <c r="OP69" s="548"/>
      <c r="OQ69" s="548"/>
      <c r="OR69" s="548"/>
      <c r="OS69" s="548"/>
      <c r="OT69" s="548"/>
      <c r="OU69" s="548"/>
      <c r="OV69" s="548"/>
      <c r="OW69" s="548"/>
      <c r="OX69" s="548"/>
      <c r="OY69" s="548"/>
      <c r="OZ69" s="548"/>
      <c r="PA69" s="548"/>
      <c r="PB69" s="548"/>
      <c r="PC69" s="548"/>
      <c r="PD69" s="548"/>
      <c r="PE69" s="548"/>
      <c r="PF69" s="548"/>
      <c r="PG69" s="548"/>
      <c r="PH69" s="548"/>
      <c r="PI69" s="548"/>
      <c r="PJ69" s="548"/>
      <c r="PK69" s="548"/>
      <c r="PL69" s="548"/>
      <c r="PM69" s="548"/>
      <c r="PN69" s="548"/>
      <c r="PO69" s="548"/>
      <c r="PP69" s="548"/>
      <c r="PQ69" s="548"/>
      <c r="PR69" s="548"/>
      <c r="PS69" s="548"/>
      <c r="PT69" s="548"/>
      <c r="PU69" s="548"/>
      <c r="PV69" s="548"/>
      <c r="PW69" s="548"/>
      <c r="PX69" s="548"/>
      <c r="PY69" s="548"/>
      <c r="PZ69" s="548"/>
      <c r="QA69" s="548"/>
      <c r="QB69" s="548"/>
      <c r="QC69" s="548"/>
      <c r="QD69" s="548"/>
      <c r="QE69" s="548"/>
      <c r="QF69" s="548"/>
      <c r="QG69" s="548"/>
      <c r="QH69" s="548"/>
      <c r="QI69" s="548"/>
      <c r="QJ69" s="548"/>
      <c r="QK69" s="548"/>
      <c r="QL69" s="548"/>
      <c r="QM69" s="548"/>
      <c r="QN69" s="548"/>
      <c r="QO69" s="548"/>
      <c r="QP69" s="548"/>
      <c r="QQ69" s="1009"/>
      <c r="QR69" s="548"/>
      <c r="QS69" s="548"/>
      <c r="QT69" s="548"/>
      <c r="QU69" s="548"/>
      <c r="QV69" s="548"/>
      <c r="QW69" s="548"/>
      <c r="QX69" s="548"/>
      <c r="QY69" s="548"/>
      <c r="QZ69" s="548"/>
      <c r="RA69" s="548"/>
      <c r="RB69" s="548"/>
      <c r="RC69" s="548"/>
      <c r="RD69" s="548"/>
      <c r="RE69" s="548"/>
      <c r="RF69" s="548"/>
      <c r="RG69" s="548"/>
      <c r="RH69" s="548"/>
      <c r="RI69" s="548"/>
      <c r="RJ69" s="548"/>
      <c r="RK69" s="548"/>
      <c r="RL69" s="548"/>
      <c r="RM69" s="548"/>
      <c r="RN69" s="548"/>
      <c r="RO69" s="548"/>
      <c r="RP69" s="548"/>
      <c r="RQ69" s="548"/>
      <c r="RR69" s="548"/>
      <c r="RS69" s="548"/>
      <c r="RT69" s="548"/>
      <c r="RU69" s="548"/>
      <c r="RV69" s="548"/>
      <c r="RW69" s="548"/>
      <c r="RX69" s="548"/>
      <c r="RY69" s="548"/>
      <c r="RZ69" s="548"/>
      <c r="SA69" s="548"/>
      <c r="SB69" s="548"/>
      <c r="SC69" s="548"/>
      <c r="SD69" s="548"/>
      <c r="SE69" s="548"/>
      <c r="SF69" s="548"/>
      <c r="SG69" s="548"/>
      <c r="SH69" s="548"/>
      <c r="SI69" s="548"/>
      <c r="SJ69" s="548"/>
      <c r="SK69" s="548"/>
      <c r="SL69" s="548"/>
      <c r="SM69" s="548"/>
      <c r="SN69" s="548"/>
      <c r="SO69" s="548"/>
      <c r="SP69" s="548"/>
      <c r="SQ69" s="548"/>
      <c r="SR69" s="548"/>
      <c r="SS69" s="548"/>
      <c r="ST69" s="548"/>
      <c r="SU69" s="548"/>
      <c r="SV69" s="548"/>
      <c r="SW69" s="548"/>
      <c r="SX69" s="548"/>
      <c r="SY69" s="548"/>
      <c r="SZ69" s="548"/>
      <c r="TA69" s="548"/>
      <c r="TB69" s="548"/>
      <c r="TC69" s="548"/>
      <c r="TD69" s="548"/>
      <c r="TE69" s="548"/>
      <c r="TF69" s="548"/>
      <c r="TG69" s="548"/>
      <c r="TH69" s="548"/>
      <c r="TI69" s="548"/>
      <c r="TJ69" s="548"/>
      <c r="TK69" s="548"/>
      <c r="TL69" s="548"/>
      <c r="TM69" s="548"/>
      <c r="TN69" s="548"/>
      <c r="TO69" s="548"/>
      <c r="TP69" s="548"/>
      <c r="TQ69" s="548"/>
      <c r="TR69" s="548"/>
      <c r="TS69" s="548"/>
      <c r="TT69" s="548"/>
      <c r="TU69" s="548"/>
      <c r="TV69" s="548"/>
      <c r="TW69" s="548"/>
      <c r="TX69" s="548"/>
      <c r="TY69" s="548"/>
      <c r="TZ69" s="548"/>
      <c r="UA69" s="548"/>
      <c r="UB69" s="548"/>
      <c r="UC69" s="548"/>
      <c r="UD69" s="548"/>
      <c r="UE69" s="548"/>
      <c r="UF69" s="548"/>
      <c r="UG69" s="548"/>
      <c r="UH69" s="548"/>
      <c r="UI69" s="548"/>
      <c r="UJ69" s="548"/>
      <c r="UK69" s="548"/>
      <c r="UL69" s="548"/>
      <c r="UM69" s="548"/>
      <c r="UN69" s="548"/>
      <c r="UO69" s="548"/>
      <c r="UP69" s="548"/>
      <c r="UQ69" s="548"/>
      <c r="UR69" s="548"/>
      <c r="US69" s="548"/>
      <c r="UT69" s="548"/>
      <c r="UU69" s="548"/>
      <c r="UV69" s="548"/>
      <c r="UW69" s="548"/>
      <c r="UX69" s="548"/>
      <c r="UY69" s="548"/>
      <c r="UZ69" s="548"/>
      <c r="VA69" s="548"/>
      <c r="VB69" s="548"/>
      <c r="VC69" s="548"/>
      <c r="VD69" s="548"/>
      <c r="VE69" s="548"/>
      <c r="VF69" s="548"/>
      <c r="VG69" s="548"/>
      <c r="VH69" s="548"/>
      <c r="VI69" s="548"/>
      <c r="VJ69" s="548"/>
      <c r="VK69" s="548"/>
      <c r="VL69" s="548"/>
      <c r="VM69" s="548"/>
      <c r="VN69" s="548"/>
      <c r="VO69" s="548"/>
      <c r="VP69" s="548"/>
      <c r="VQ69" s="548"/>
      <c r="VR69" s="548"/>
      <c r="VS69" s="548"/>
      <c r="VT69" s="548"/>
      <c r="VU69" s="548"/>
      <c r="VV69" s="548"/>
      <c r="VW69" s="548"/>
      <c r="VX69" s="548"/>
      <c r="VY69" s="548"/>
      <c r="VZ69" s="548"/>
      <c r="WA69" s="548"/>
      <c r="WB69" s="548"/>
      <c r="WC69" s="548"/>
      <c r="WD69" s="548"/>
      <c r="WE69" s="548"/>
      <c r="WF69" s="548"/>
      <c r="WG69" s="548"/>
      <c r="WH69" s="548"/>
      <c r="WI69" s="548"/>
      <c r="WJ69" s="548"/>
      <c r="WK69" s="548"/>
      <c r="WL69" s="548"/>
      <c r="WM69" s="548"/>
      <c r="WN69" s="548"/>
      <c r="WO69" s="548"/>
      <c r="WP69" s="548"/>
      <c r="WQ69" s="548"/>
      <c r="WR69" s="548"/>
      <c r="WS69" s="548"/>
      <c r="WT69" s="548"/>
      <c r="WU69" s="548"/>
      <c r="WV69" s="548"/>
      <c r="WW69" s="548"/>
      <c r="WX69" s="548"/>
      <c r="WY69" s="548"/>
      <c r="WZ69" s="548"/>
      <c r="XA69" s="548"/>
      <c r="XB69" s="548"/>
      <c r="XC69" s="548"/>
      <c r="XD69" s="548"/>
      <c r="XE69" s="548"/>
      <c r="XF69" s="548"/>
      <c r="XG69" s="548"/>
      <c r="XH69" s="548"/>
      <c r="XI69" s="548"/>
      <c r="XJ69" s="548"/>
      <c r="XK69" s="548"/>
      <c r="XL69" s="548"/>
      <c r="XM69" s="548"/>
      <c r="XN69" s="548"/>
      <c r="XO69" s="548"/>
      <c r="XP69" s="548"/>
      <c r="XQ69" s="548"/>
      <c r="XR69" s="548"/>
      <c r="XS69" s="548"/>
      <c r="XT69" s="548"/>
      <c r="XU69" s="548"/>
      <c r="XV69" s="548"/>
      <c r="XW69" s="548"/>
      <c r="XX69" s="548"/>
      <c r="XY69" s="548"/>
      <c r="XZ69" s="548"/>
      <c r="YA69" s="548"/>
      <c r="YB69" s="548"/>
      <c r="YC69" s="548"/>
      <c r="YD69" s="548"/>
      <c r="YE69" s="548"/>
      <c r="YF69" s="548"/>
      <c r="YG69" s="548"/>
      <c r="YH69" s="548"/>
      <c r="YI69" s="548"/>
      <c r="YJ69" s="548"/>
      <c r="YK69" s="548"/>
      <c r="YL69" s="548"/>
      <c r="YM69" s="548"/>
      <c r="YN69" s="548"/>
      <c r="YO69" s="548"/>
      <c r="YP69" s="548"/>
      <c r="YQ69" s="548"/>
      <c r="YR69" s="548"/>
      <c r="YS69" s="548"/>
      <c r="YT69" s="548"/>
      <c r="YU69" s="548"/>
      <c r="YV69" s="548"/>
      <c r="YW69" s="548"/>
      <c r="YX69" s="548"/>
      <c r="YY69" s="548"/>
      <c r="YZ69" s="548"/>
      <c r="ZA69" s="548"/>
      <c r="ZB69" s="548"/>
      <c r="ZC69" s="548"/>
      <c r="ZD69" s="548"/>
      <c r="ZE69" s="548"/>
      <c r="ZF69" s="548"/>
      <c r="ZG69" s="548"/>
      <c r="ZH69" s="548"/>
      <c r="ZI69" s="548"/>
      <c r="ZJ69" s="548"/>
      <c r="ZK69" s="548"/>
      <c r="ZL69" s="548"/>
      <c r="ZM69" s="548"/>
      <c r="ZN69" s="548"/>
      <c r="ZO69" s="548"/>
      <c r="ZP69" s="548"/>
      <c r="ZQ69" s="548"/>
      <c r="ZR69" s="548"/>
      <c r="ZS69" s="548"/>
      <c r="ZT69" s="548"/>
      <c r="ZU69" s="548"/>
      <c r="ZV69" s="548"/>
      <c r="ZW69" s="548"/>
      <c r="ZX69" s="548"/>
      <c r="ZY69" s="548"/>
      <c r="ZZ69" s="548"/>
      <c r="AAA69" s="548"/>
      <c r="AAB69" s="548"/>
      <c r="AAC69" s="548"/>
      <c r="AAD69" s="548"/>
      <c r="AAE69" s="548"/>
      <c r="AAF69" s="548"/>
      <c r="AAG69" s="548"/>
      <c r="AAH69" s="548"/>
      <c r="AAI69" s="548"/>
      <c r="AAJ69" s="548"/>
      <c r="AAK69" s="548"/>
      <c r="AAL69" s="548"/>
      <c r="AAM69" s="548"/>
      <c r="AAN69" s="548"/>
      <c r="AAO69" s="548"/>
      <c r="AAP69" s="548"/>
      <c r="AAQ69" s="548"/>
      <c r="AAR69" s="548"/>
      <c r="AAS69" s="548"/>
      <c r="AAT69" s="548"/>
      <c r="AAU69" s="548"/>
      <c r="AAV69" s="548"/>
      <c r="AAW69" s="548"/>
      <c r="AAX69" s="548"/>
      <c r="AAY69" s="548"/>
      <c r="AAZ69" s="548"/>
      <c r="ABA69" s="548"/>
      <c r="ABB69" s="548"/>
      <c r="ABC69" s="548"/>
      <c r="ABD69" s="548"/>
      <c r="ABE69" s="548"/>
      <c r="ABF69" s="548"/>
      <c r="ABG69" s="548"/>
      <c r="ABH69" s="548"/>
      <c r="ABI69" s="548"/>
      <c r="ABJ69" s="548"/>
      <c r="ABK69" s="548"/>
      <c r="ABL69" s="548"/>
      <c r="ABM69" s="548"/>
      <c r="ABN69" s="548"/>
      <c r="ABO69" s="548"/>
      <c r="ABP69" s="548"/>
      <c r="ABQ69" s="548"/>
      <c r="ABR69" s="548"/>
      <c r="ABS69" s="548"/>
    </row>
    <row r="70" spans="1:747" customFormat="1" ht="15" customHeight="1" thickBot="1" x14ac:dyDescent="0.25">
      <c r="A70" s="424" t="str">
        <f t="shared" si="149"/>
        <v/>
      </c>
      <c r="B70" s="415"/>
      <c r="C70" s="525"/>
      <c r="D70" s="750"/>
      <c r="E70" s="416" t="str">
        <f t="shared" si="751"/>
        <v/>
      </c>
      <c r="F70" s="527" t="str">
        <f t="shared" si="752"/>
        <v/>
      </c>
      <c r="G70" s="417"/>
      <c r="H70" s="583" t="str">
        <f t="shared" si="753"/>
        <v/>
      </c>
      <c r="I70" s="424"/>
      <c r="J70" s="419"/>
      <c r="K70" s="418"/>
      <c r="L70" s="419"/>
      <c r="M70" s="415"/>
      <c r="N70" s="420"/>
      <c r="O70" s="421"/>
      <c r="P70" s="561"/>
      <c r="Q70" s="422"/>
      <c r="R70" s="561" t="str">
        <f t="shared" si="754"/>
        <v/>
      </c>
      <c r="S70" s="664"/>
      <c r="T70" s="663"/>
      <c r="U70" s="580">
        <f t="shared" si="755"/>
        <v>0</v>
      </c>
      <c r="V70" s="418"/>
      <c r="W70" s="582" t="str">
        <f t="shared" si="756"/>
        <v/>
      </c>
      <c r="X70" s="479" t="str">
        <f t="shared" si="757"/>
        <v/>
      </c>
      <c r="Y70" s="582" t="str">
        <f t="shared" si="758"/>
        <v/>
      </c>
      <c r="Z70" s="317" t="str">
        <f t="shared" si="759"/>
        <v/>
      </c>
      <c r="AA70" s="317" t="str">
        <f t="shared" si="760"/>
        <v/>
      </c>
      <c r="AB70" s="317">
        <f t="shared" si="761"/>
        <v>0</v>
      </c>
      <c r="AC70" s="317" t="str">
        <f t="shared" si="762"/>
        <v/>
      </c>
      <c r="AD70" s="479"/>
      <c r="AE70" s="479"/>
      <c r="AF70" s="479"/>
      <c r="AG70" s="423"/>
      <c r="AH70" s="820"/>
      <c r="AI70" s="480"/>
      <c r="AJ70" s="660"/>
      <c r="AK70" s="524" t="str">
        <f t="shared" si="763"/>
        <v/>
      </c>
      <c r="AL70" s="507">
        <f>COUNTIF($J$4:$J$163,"Imprensa")</f>
        <v>0</v>
      </c>
      <c r="AM70" s="507">
        <f>IF(AL70&lt;=15,1,IF(AND(AL70&gt;15,AL70&lt;=29),2,IF(AND(AL70&gt;29,AL70&lt;=43),3,IF(AND(AL70&gt;43,AL70&lt;=57),4,IF(AND(AL70&gt;57,AL70&lt;=71),5,IF(AND(AL70&gt;71,AL70&lt;=85),6,IF(AND(AL70&gt;85,AL70&lt;=99),7,IF(AND(AL70&gt;99,AL70&lt;=113),8,IF(AND(AL70&gt;113,AL70&lt;=127),9,IF(AND(AL70&gt;127,AL70&lt;=141),10,IF(AND(AL70&gt;141,AL70&lt;=155),11,IF(AND(AL70&gt;155,AL70&lt;=160),12,$AN$1))))))))))))</f>
        <v>1</v>
      </c>
      <c r="AN70" s="426">
        <f t="shared" si="764"/>
        <v>0</v>
      </c>
      <c r="AO70" s="427" t="str">
        <f t="shared" si="765"/>
        <v/>
      </c>
      <c r="AP70" s="426" t="str">
        <f t="shared" si="766"/>
        <v/>
      </c>
      <c r="AQ70" s="426"/>
      <c r="AR70" s="426"/>
      <c r="AS70" s="428"/>
      <c r="AT70" s="429"/>
      <c r="AU70" s="430"/>
      <c r="AV70" s="431"/>
      <c r="AW70" s="432"/>
      <c r="AX70" s="430"/>
      <c r="AY70" s="431">
        <f t="shared" si="767"/>
        <v>0</v>
      </c>
      <c r="AZ70" s="426"/>
      <c r="BA70" s="435" t="str">
        <f t="shared" si="768"/>
        <v/>
      </c>
      <c r="BB70" s="435"/>
      <c r="BC70" s="426"/>
      <c r="BD70" s="426">
        <f t="array" ref="BD70">IF(SUM((BC70=$BC$3:BC69)*1)=0,BC70,0)</f>
        <v>0</v>
      </c>
      <c r="BE70" s="426"/>
      <c r="BF70" s="426"/>
      <c r="BG70" s="426">
        <f t="array" ref="BG70">IF(SUM((BF70=$BF$3:BF69)*1)=0,BF70,0)</f>
        <v>0</v>
      </c>
      <c r="BH70" s="426"/>
      <c r="BI70" s="426"/>
      <c r="BJ70" s="426"/>
      <c r="BK70" s="426"/>
      <c r="BL70" s="426"/>
      <c r="BM70" s="426"/>
      <c r="BN70" s="426"/>
      <c r="BO70" s="426"/>
      <c r="BP70" s="433">
        <f t="shared" si="769"/>
        <v>0</v>
      </c>
      <c r="BQ70" s="426"/>
      <c r="BR70" s="434"/>
      <c r="BS70" s="426"/>
      <c r="BT70" s="433"/>
      <c r="BU70" s="435"/>
      <c r="BV70" s="435" t="str">
        <f t="shared" si="770"/>
        <v/>
      </c>
      <c r="BW70" s="435" t="str">
        <f t="shared" si="798"/>
        <v/>
      </c>
      <c r="BX70" s="435"/>
      <c r="BY70" s="435"/>
      <c r="BZ70" s="435"/>
      <c r="CA70" s="435"/>
      <c r="CB70" s="435"/>
      <c r="CC70" s="435"/>
      <c r="CD70" s="435"/>
      <c r="CE70" s="435"/>
      <c r="CF70" s="435"/>
      <c r="CG70" s="435"/>
      <c r="CH70" s="435"/>
      <c r="CI70" s="435"/>
      <c r="CJ70" s="426" t="str">
        <f t="shared" si="799"/>
        <v/>
      </c>
      <c r="CK70" s="435"/>
      <c r="CL70" s="426"/>
      <c r="CM70" s="435"/>
      <c r="CN70" s="426"/>
      <c r="CO70" s="426"/>
      <c r="CP70" s="426"/>
      <c r="CQ70" s="426"/>
      <c r="CR70" s="426"/>
      <c r="CS70" s="426"/>
      <c r="CT70" s="426"/>
      <c r="CU70" s="426"/>
      <c r="CV70" s="426"/>
      <c r="CW70" s="426"/>
      <c r="CX70" s="426"/>
      <c r="CY70" s="426">
        <v>67</v>
      </c>
      <c r="CZ70" s="426"/>
      <c r="DA70" s="426"/>
      <c r="DB70" s="426"/>
      <c r="DC70" s="426" t="s">
        <v>810</v>
      </c>
      <c r="DD70" s="426" t="s">
        <v>970</v>
      </c>
      <c r="DE70" s="435" t="str">
        <f t="shared" si="800"/>
        <v/>
      </c>
      <c r="DF70" s="435" t="str">
        <f t="shared" si="801"/>
        <v/>
      </c>
      <c r="DG70" s="435" t="str">
        <f t="shared" si="802"/>
        <v/>
      </c>
      <c r="DH70" s="435" t="str">
        <f t="shared" si="803"/>
        <v/>
      </c>
      <c r="DI70" s="435" t="str">
        <f t="shared" si="804"/>
        <v/>
      </c>
      <c r="DJ70" s="435" t="str">
        <f t="shared" si="805"/>
        <v/>
      </c>
      <c r="DK70" s="435" t="str">
        <f t="shared" si="771"/>
        <v/>
      </c>
      <c r="DL70" s="435" t="str">
        <f t="shared" si="772"/>
        <v/>
      </c>
      <c r="DM70" s="435" t="str">
        <f t="shared" si="806"/>
        <v/>
      </c>
      <c r="DN70" s="435" t="str">
        <f t="shared" si="807"/>
        <v/>
      </c>
      <c r="DO70" s="435" t="str">
        <f t="shared" si="773"/>
        <v/>
      </c>
      <c r="DP70" s="435" t="str">
        <f t="shared" si="774"/>
        <v/>
      </c>
      <c r="DQ70" s="435" t="str">
        <f t="shared" si="808"/>
        <v/>
      </c>
      <c r="DR70" s="435" t="str">
        <f t="shared" si="809"/>
        <v/>
      </c>
      <c r="DS70" s="435" t="str">
        <f t="shared" si="775"/>
        <v/>
      </c>
      <c r="DT70" s="435" t="str">
        <f t="shared" si="776"/>
        <v/>
      </c>
      <c r="DU70" s="435" t="str">
        <f t="shared" si="810"/>
        <v/>
      </c>
      <c r="DV70" s="435" t="str">
        <f t="shared" si="811"/>
        <v/>
      </c>
      <c r="DW70" s="435" t="str">
        <f t="shared" si="777"/>
        <v/>
      </c>
      <c r="DX70" s="435" t="str">
        <f t="shared" si="778"/>
        <v/>
      </c>
      <c r="DY70" s="435" t="str">
        <f t="shared" si="812"/>
        <v/>
      </c>
      <c r="DZ70" s="435" t="str">
        <f t="shared" si="813"/>
        <v/>
      </c>
      <c r="EA70" s="435" t="str">
        <f t="shared" si="779"/>
        <v/>
      </c>
      <c r="EB70" s="435" t="str">
        <f t="shared" si="780"/>
        <v/>
      </c>
      <c r="EC70" s="435" t="str">
        <f t="shared" si="781"/>
        <v/>
      </c>
      <c r="ED70" s="435" t="str">
        <f t="shared" si="782"/>
        <v/>
      </c>
      <c r="EE70" s="435" t="str">
        <f t="shared" si="783"/>
        <v/>
      </c>
      <c r="EF70" s="435" t="str">
        <f t="shared" si="784"/>
        <v/>
      </c>
      <c r="EG70" s="435" t="str">
        <f t="shared" si="785"/>
        <v/>
      </c>
      <c r="EH70" s="435" t="str">
        <f t="shared" si="786"/>
        <v/>
      </c>
      <c r="EI70" s="435" t="str">
        <f t="shared" si="787"/>
        <v/>
      </c>
      <c r="EJ70" s="435" t="str">
        <f t="shared" si="788"/>
        <v/>
      </c>
      <c r="EK70" s="485"/>
      <c r="EL70" s="485"/>
      <c r="EM70" s="485"/>
      <c r="EN70" s="485"/>
      <c r="EO70" s="448"/>
      <c r="EP70" s="448"/>
      <c r="EQ70" s="448"/>
      <c r="ER70" s="448"/>
      <c r="ES70" s="448"/>
      <c r="ET70" s="435"/>
      <c r="EU70" s="435"/>
      <c r="EV70" s="435"/>
      <c r="EW70" s="435"/>
      <c r="EX70" s="426"/>
      <c r="EY70" s="426"/>
      <c r="EZ70" s="426"/>
      <c r="FA70" s="427"/>
      <c r="FB70" s="427">
        <f t="array" ref="FB70">IF(SUM((FA70=$FA$3:FA69)*1)=0,FA70,0)</f>
        <v>0</v>
      </c>
      <c r="FC70" s="427"/>
      <c r="FD70" s="427"/>
      <c r="FE70" s="427">
        <f t="array" ref="FE70">IF(SUM((FD70=$FD$3:FD69)*1)=0,FD70,0)</f>
        <v>0</v>
      </c>
      <c r="FF70" s="427"/>
      <c r="FG70" s="427"/>
      <c r="FH70" s="427"/>
      <c r="FI70" s="427">
        <f t="array" ref="FI70">IF(SUM((FH70=$FH$3:FH69)*1)=0,FH70,0)</f>
        <v>0</v>
      </c>
      <c r="FJ70" s="427"/>
      <c r="FK70" s="427"/>
      <c r="FL70" s="427">
        <f t="array" ref="FL70">IF(SUM((FK70=$FK$3:FK69)*1)=0,FK70,0)</f>
        <v>0</v>
      </c>
      <c r="FM70" s="427"/>
      <c r="FN70" s="427"/>
      <c r="FO70" s="427"/>
      <c r="FP70" s="427">
        <f t="array" ref="FP70">IF(SUM((FO70=$FO$3:FO69)*1)=0,FO70,0)</f>
        <v>0</v>
      </c>
      <c r="FQ70" s="427"/>
      <c r="FR70" s="427"/>
      <c r="FS70" s="427">
        <f t="array" ref="FS70">IF(SUM((FR70=$FR$3:FR69)*1)=0,FR70,0)</f>
        <v>0</v>
      </c>
      <c r="FT70" s="427"/>
      <c r="FU70" s="427"/>
      <c r="FV70" s="427"/>
      <c r="FW70" s="427">
        <f t="array" ref="FW70">IF(SUM((FV70=$FV$3:FV69)*1)=0,FV70,0)</f>
        <v>0</v>
      </c>
      <c r="FX70" s="427"/>
      <c r="FY70" s="427"/>
      <c r="FZ70" s="427">
        <f t="array" ref="FZ70">IF(SUM((FY70=$FY$3:FY69)*1)=0,FY70,0)</f>
        <v>0</v>
      </c>
      <c r="GA70" s="427"/>
      <c r="GB70" s="427"/>
      <c r="GC70" s="427"/>
      <c r="GD70" s="427">
        <f t="array" ref="GD70">IF(SUM((GC70=$GC$3:GC69)*1)=0,GC70,0)</f>
        <v>0</v>
      </c>
      <c r="GE70" s="427"/>
      <c r="GF70" s="427"/>
      <c r="GG70" s="427">
        <f t="array" ref="GG70">IF(SUM((GF70=$GF$3:GF69)*1)=0,GF70,0)</f>
        <v>0</v>
      </c>
      <c r="GH70" s="427"/>
      <c r="GI70" s="427"/>
      <c r="GJ70" s="427"/>
      <c r="GK70" s="798">
        <f t="array" ref="GK70">IF(SUM((GJ70=$GJ$3:GJ69)*1)=0,GJ70,0)</f>
        <v>0</v>
      </c>
      <c r="GL70" s="427"/>
      <c r="GM70" s="427"/>
      <c r="GN70" s="798">
        <f t="array" ref="GN70">IF(SUM((GM70=$GM$3:GM69)*1)=0,GM70,0)</f>
        <v>0</v>
      </c>
      <c r="GO70" s="427"/>
      <c r="GP70" s="427"/>
      <c r="GQ70" s="427"/>
      <c r="GR70" s="798">
        <f t="array" ref="GR70">IF(SUM((GQ70=$GQ$3:GQ69)*1)=0,GQ70,0)</f>
        <v>0</v>
      </c>
      <c r="GS70" s="427"/>
      <c r="GT70" s="427"/>
      <c r="GU70" s="798">
        <f t="array" ref="GU70">IF(SUM((GT70=$GT$3:GT69)*1)=0,GT70,0)</f>
        <v>0</v>
      </c>
      <c r="GV70" s="427"/>
      <c r="GW70" s="427"/>
      <c r="GX70" s="427"/>
      <c r="GY70" s="798">
        <f t="array" ref="GY70">IF(SUM((GX70=$GX$3:GX69)*1)=0,GX70,0)</f>
        <v>0</v>
      </c>
      <c r="GZ70" s="427"/>
      <c r="HA70" s="427"/>
      <c r="HB70" s="798">
        <f t="array" ref="HB70">IF(SUM((HA70=$HA$3:HA69)*1)=0,HA70,0)</f>
        <v>0</v>
      </c>
      <c r="HC70" s="427"/>
      <c r="HD70" s="427"/>
      <c r="HE70" s="769" t="str">
        <f t="shared" ref="HE70:HE133" si="889">IFERROR(IF($A70="","",IF(HE$2=0,0,IF(AND($J70="Básico",$P70&lt;&gt;"",$R70&lt;$P$164,$S70&lt;&gt;""),(HE69-$S70),HE69))),"")</f>
        <v/>
      </c>
      <c r="HF70" s="768" t="str">
        <f t="shared" ref="HF70" si="890">IF(HE70&lt;0,"Invadiu REP-BA-C","")</f>
        <v/>
      </c>
      <c r="HG70" s="769" t="str">
        <f t="shared" ref="HG70:HG133" si="891">IFERROR(IF($A70="","",IF(HG$2=0,0,IF(AND($J70="Básico",$R70&lt;$P$164),HG69,IF(AND($J70="Básico",$R70&gt;=$P$164,HE70&lt;=0),(HG69-$S70),HG69)))),"")</f>
        <v/>
      </c>
      <c r="HH70" s="768" t="str">
        <f t="shared" si="815"/>
        <v/>
      </c>
      <c r="HI70" s="728" t="str">
        <f t="shared" ref="HI70:HI133" si="892">IFERROR(IF($A70="","",IF(HI$2=0,0,IF(AND($J70="Básico",$R70&lt;&gt;"",$T70&lt;&gt;""),(HI69-$T70),HI69))),"")</f>
        <v/>
      </c>
      <c r="HJ70" s="768" t="str">
        <f t="shared" si="816"/>
        <v/>
      </c>
      <c r="HK70" s="728" t="str">
        <f t="shared" ref="HK70:HK133" si="893">IFERROR(IF($A70="","",IF(HK$2=0,0,IF(AND($J70="Básico",$R70&lt;$P$165),HK69,IF(AND($J70="Básico",$R70&gt;=$P$165,HI70&lt;=0),(HK69-$T70),HK69)))),"")</f>
        <v/>
      </c>
      <c r="HL70" s="768" t="str">
        <f t="shared" si="817"/>
        <v/>
      </c>
      <c r="HM70" s="769" t="str">
        <f t="shared" si="818"/>
        <v/>
      </c>
      <c r="HN70" s="768" t="str">
        <f t="shared" ref="HN70" si="894">IF(HM70&lt;0,"Invadiu REP-BA-C","")</f>
        <v/>
      </c>
      <c r="HO70" s="769" t="str">
        <f t="shared" si="820"/>
        <v/>
      </c>
      <c r="HP70" s="768" t="str">
        <f t="shared" si="821"/>
        <v/>
      </c>
      <c r="HQ70" s="728" t="str">
        <f t="shared" si="822"/>
        <v/>
      </c>
      <c r="HR70" s="768" t="str">
        <f t="shared" si="823"/>
        <v/>
      </c>
      <c r="HS70" s="728" t="str">
        <f t="shared" si="824"/>
        <v/>
      </c>
      <c r="HT70" s="768" t="str">
        <f t="shared" si="825"/>
        <v/>
      </c>
      <c r="HU70" s="769" t="str">
        <f t="shared" si="826"/>
        <v/>
      </c>
      <c r="HV70" s="768" t="str">
        <f t="shared" ref="HV70" si="895">IF(HU70&lt;0,"Invadiu REP-BA-C","")</f>
        <v/>
      </c>
      <c r="HW70" s="769" t="str">
        <f t="shared" si="828"/>
        <v/>
      </c>
      <c r="HX70" s="768" t="str">
        <f t="shared" si="829"/>
        <v/>
      </c>
      <c r="HY70" s="728" t="str">
        <f t="shared" si="830"/>
        <v/>
      </c>
      <c r="HZ70" s="768" t="str">
        <f t="shared" si="831"/>
        <v/>
      </c>
      <c r="IA70" s="728" t="str">
        <f t="shared" si="832"/>
        <v/>
      </c>
      <c r="IB70" s="768" t="str">
        <f t="shared" si="833"/>
        <v/>
      </c>
      <c r="IC70" s="769" t="str">
        <f t="shared" si="834"/>
        <v/>
      </c>
      <c r="ID70" s="768" t="str">
        <f t="shared" ref="ID70" si="896">IF(IC70&lt;0,"Invadiu REP-BA-C","")</f>
        <v/>
      </c>
      <c r="IE70" s="769" t="str">
        <f t="shared" si="836"/>
        <v/>
      </c>
      <c r="IF70" s="768" t="str">
        <f t="shared" si="837"/>
        <v/>
      </c>
      <c r="IG70" s="728" t="str">
        <f t="shared" si="838"/>
        <v/>
      </c>
      <c r="IH70" s="768" t="str">
        <f t="shared" si="839"/>
        <v/>
      </c>
      <c r="II70" s="728" t="str">
        <f t="shared" si="840"/>
        <v/>
      </c>
      <c r="IJ70" s="768" t="str">
        <f t="shared" si="841"/>
        <v/>
      </c>
      <c r="IK70" s="769" t="str">
        <f t="shared" si="842"/>
        <v/>
      </c>
      <c r="IL70" s="768" t="str">
        <f t="shared" ref="IL70" si="897">IF(IK70&lt;0,"Invadiu REP-BA-C","")</f>
        <v/>
      </c>
      <c r="IM70" s="769" t="str">
        <f t="shared" si="844"/>
        <v/>
      </c>
      <c r="IN70" s="768" t="str">
        <f t="shared" si="845"/>
        <v/>
      </c>
      <c r="IO70" s="728" t="str">
        <f t="shared" si="846"/>
        <v/>
      </c>
      <c r="IP70" s="768" t="str">
        <f t="shared" si="847"/>
        <v/>
      </c>
      <c r="IQ70" s="728" t="str">
        <f t="shared" si="848"/>
        <v/>
      </c>
      <c r="IR70" s="768" t="str">
        <f t="shared" si="849"/>
        <v/>
      </c>
      <c r="IS70" s="769" t="str">
        <f t="shared" si="850"/>
        <v/>
      </c>
      <c r="IT70" s="768" t="str">
        <f t="shared" ref="IT70" si="898">IF(IS70&lt;0,"Invadiu REP-BA-C","")</f>
        <v/>
      </c>
      <c r="IU70" s="769" t="str">
        <f t="shared" si="852"/>
        <v/>
      </c>
      <c r="IV70" s="768" t="str">
        <f t="shared" si="853"/>
        <v/>
      </c>
      <c r="IW70" s="728" t="str">
        <f t="shared" si="854"/>
        <v/>
      </c>
      <c r="IX70" s="768" t="str">
        <f t="shared" si="855"/>
        <v/>
      </c>
      <c r="IY70" s="728" t="str">
        <f t="shared" si="856"/>
        <v/>
      </c>
      <c r="IZ70" s="768" t="str">
        <f t="shared" si="857"/>
        <v/>
      </c>
      <c r="JA70" s="769" t="str">
        <f t="shared" si="858"/>
        <v/>
      </c>
      <c r="JB70" s="768" t="str">
        <f t="shared" ref="JB70" si="899">IF(JA70&lt;0,"Invadiu REP-BA-C","")</f>
        <v/>
      </c>
      <c r="JC70" s="769" t="str">
        <f t="shared" si="860"/>
        <v/>
      </c>
      <c r="JD70" s="768" t="str">
        <f t="shared" si="861"/>
        <v/>
      </c>
      <c r="JE70" s="728" t="str">
        <f t="shared" si="862"/>
        <v/>
      </c>
      <c r="JF70" s="768" t="str">
        <f t="shared" si="863"/>
        <v/>
      </c>
      <c r="JG70" s="728" t="str">
        <f t="shared" si="864"/>
        <v/>
      </c>
      <c r="JH70" s="768" t="str">
        <f t="shared" si="865"/>
        <v/>
      </c>
      <c r="JI70" s="769" t="str">
        <f t="shared" si="866"/>
        <v/>
      </c>
      <c r="JJ70" s="768" t="str">
        <f t="shared" ref="JJ70" si="900">IF(JI70&lt;0,"Invadiu REP-BA-C","")</f>
        <v/>
      </c>
      <c r="JK70" s="769" t="str">
        <f t="shared" si="868"/>
        <v/>
      </c>
      <c r="JL70" s="768" t="str">
        <f t="shared" si="869"/>
        <v/>
      </c>
      <c r="JM70" s="728" t="str">
        <f t="shared" si="870"/>
        <v/>
      </c>
      <c r="JN70" s="768" t="str">
        <f t="shared" si="871"/>
        <v/>
      </c>
      <c r="JO70" s="728" t="str">
        <f t="shared" si="872"/>
        <v/>
      </c>
      <c r="JP70" s="768" t="str">
        <f t="shared" si="873"/>
        <v/>
      </c>
      <c r="JQ70" s="769" t="str">
        <f t="shared" si="874"/>
        <v/>
      </c>
      <c r="JR70" s="768" t="str">
        <f t="shared" ref="JR70" si="901">IF(JQ70&lt;0,"Invadiu REP-BA-C","")</f>
        <v/>
      </c>
      <c r="JS70" s="769" t="str">
        <f t="shared" si="876"/>
        <v/>
      </c>
      <c r="JT70" s="768" t="str">
        <f t="shared" si="877"/>
        <v/>
      </c>
      <c r="JU70" s="728" t="str">
        <f t="shared" si="878"/>
        <v/>
      </c>
      <c r="JV70" s="768" t="str">
        <f t="shared" si="879"/>
        <v/>
      </c>
      <c r="JW70" s="728" t="str">
        <f t="shared" si="880"/>
        <v/>
      </c>
      <c r="JX70" s="768" t="str">
        <f t="shared" si="881"/>
        <v/>
      </c>
      <c r="JY70" s="768" t="str">
        <f t="shared" si="882"/>
        <v/>
      </c>
      <c r="JZ70" s="485" t="str">
        <f>IF(JY70="","",IF(AND(C70=$C$164,JY70&lt;&gt;""),Verificarcpf(D70),IF(AND(C70=$C$165,JY70&lt;&gt;""),VerificarCNPJ(D70))))</f>
        <v/>
      </c>
      <c r="KA70" s="768" t="str">
        <f t="shared" si="883"/>
        <v/>
      </c>
      <c r="KB70" s="485">
        <f t="shared" si="884"/>
        <v>0</v>
      </c>
      <c r="KC70" s="768">
        <f t="shared" si="885"/>
        <v>0</v>
      </c>
      <c r="KD70" s="485">
        <f t="shared" si="886"/>
        <v>0</v>
      </c>
      <c r="KE70" s="448"/>
      <c r="KF70" s="548"/>
      <c r="KG70" s="548"/>
      <c r="KH70" s="548"/>
      <c r="KI70" s="548"/>
      <c r="KJ70" s="548" t="str">
        <f t="shared" si="887"/>
        <v/>
      </c>
      <c r="KK70" s="548"/>
      <c r="KL70" s="548"/>
      <c r="KM70" s="548">
        <f t="array" ref="KM70">IF(SUM((KL70=$KL$3:KL69)*1)=0,KL70,0)</f>
        <v>0</v>
      </c>
      <c r="KN70" s="548"/>
      <c r="KO70" s="548"/>
      <c r="KP70" s="548"/>
      <c r="KQ70" s="548"/>
      <c r="KR70" s="548" t="str">
        <f t="shared" si="888"/>
        <v/>
      </c>
      <c r="KS70" s="548"/>
      <c r="KT70" s="548"/>
      <c r="KU70" s="548"/>
      <c r="KV70" s="548"/>
      <c r="KW70" s="548"/>
      <c r="KX70" s="548"/>
      <c r="KY70" s="548"/>
      <c r="KZ70" s="548"/>
      <c r="LA70" s="548"/>
      <c r="LB70" s="548"/>
      <c r="LC70" s="485" t="str">
        <f t="shared" ref="LC70:LC133" si="902">IF(LD70&lt;&gt;"",$CY70,"")</f>
        <v/>
      </c>
      <c r="LD70" s="548"/>
      <c r="LE70" s="548"/>
      <c r="LF70" s="548"/>
      <c r="LG70" s="548"/>
      <c r="LH70" s="548"/>
      <c r="LI70" s="548"/>
      <c r="LJ70" s="548"/>
      <c r="LK70" s="548"/>
      <c r="LL70" s="548"/>
      <c r="LM70" s="548"/>
      <c r="LN70" s="548"/>
      <c r="LO70" s="548"/>
      <c r="LP70" s="485" t="str">
        <f t="shared" ref="LP70:LP133" si="903">IF(LQ70&lt;&gt;"",$CY70,"")</f>
        <v/>
      </c>
      <c r="LQ70" s="548"/>
      <c r="LR70" s="548"/>
      <c r="LS70" s="548"/>
      <c r="LT70" s="548"/>
      <c r="LU70" s="548"/>
      <c r="LV70" s="548"/>
      <c r="LW70" s="548"/>
      <c r="LX70" s="548"/>
      <c r="LY70" s="548"/>
      <c r="LZ70" s="548"/>
      <c r="MA70" s="548"/>
      <c r="MB70" s="548"/>
      <c r="MC70" s="485" t="str">
        <f t="shared" ref="MC70:MC133" si="904">IF(MD70&lt;&gt;"",$CY70,"")</f>
        <v/>
      </c>
      <c r="MD70" s="548"/>
      <c r="ME70" s="548"/>
      <c r="MF70" s="548"/>
      <c r="MG70" s="548"/>
      <c r="MH70" s="548"/>
      <c r="MI70" s="548"/>
      <c r="MJ70" s="548"/>
      <c r="MK70" s="548"/>
      <c r="ML70" s="548"/>
      <c r="MM70" s="548"/>
      <c r="MN70" s="548"/>
      <c r="MO70" s="548"/>
      <c r="MP70" s="485" t="str">
        <f t="shared" ref="MP70:MP133" si="905">IF(MQ70&lt;&gt;"",$CY70,"")</f>
        <v/>
      </c>
      <c r="MQ70" s="548"/>
      <c r="MR70" s="548"/>
      <c r="MS70" s="548"/>
      <c r="MT70" s="548"/>
      <c r="MU70" s="548"/>
      <c r="MV70" s="548"/>
      <c r="MW70" s="548"/>
      <c r="MX70" s="548"/>
      <c r="MY70" s="548"/>
      <c r="MZ70" s="548"/>
      <c r="NA70" s="548"/>
      <c r="NB70" s="548"/>
      <c r="NC70" s="485" t="str">
        <f t="shared" ref="NC70:NC133" si="906">IF(ND70&lt;&gt;"",$CY70,"")</f>
        <v/>
      </c>
      <c r="ND70" s="548"/>
      <c r="NE70" s="548"/>
      <c r="NF70" s="548"/>
      <c r="NG70" s="548"/>
      <c r="NH70" s="548"/>
      <c r="NI70" s="548"/>
      <c r="NJ70" s="548"/>
      <c r="NK70" s="548"/>
      <c r="NL70" s="548"/>
      <c r="NM70" s="548"/>
      <c r="NN70" s="548"/>
      <c r="NO70" s="548"/>
      <c r="NP70" s="485" t="str">
        <f t="shared" ref="NP70:NP133" si="907">IF(NQ70&lt;&gt;"",$CY70,"")</f>
        <v/>
      </c>
      <c r="NQ70" s="548"/>
      <c r="NR70" s="548"/>
      <c r="NS70" s="548"/>
      <c r="NT70" s="548"/>
      <c r="NU70" s="548"/>
      <c r="NV70" s="548"/>
      <c r="NW70" s="548"/>
      <c r="NX70" s="548"/>
      <c r="NY70" s="548"/>
      <c r="NZ70" s="548"/>
      <c r="OA70" s="548"/>
      <c r="OB70" s="548"/>
      <c r="OC70" s="485" t="str">
        <f t="shared" ref="OC70:OC133" si="908">IF(OD70&lt;&gt;"",$CY70,"")</f>
        <v/>
      </c>
      <c r="OD70" s="548"/>
      <c r="OE70" s="548"/>
      <c r="OF70" s="548"/>
      <c r="OG70" s="548"/>
      <c r="OH70" s="548"/>
      <c r="OI70" s="548"/>
      <c r="OJ70" s="548"/>
      <c r="OK70" s="548"/>
      <c r="OL70" s="548"/>
      <c r="OM70" s="548"/>
      <c r="ON70" s="548"/>
      <c r="OO70" s="548"/>
      <c r="OP70" s="548"/>
      <c r="OQ70" s="548"/>
      <c r="OR70" s="548"/>
      <c r="OS70" s="548"/>
      <c r="OT70" s="548"/>
      <c r="OU70" s="548"/>
      <c r="OV70" s="548"/>
      <c r="OW70" s="548"/>
      <c r="OX70" s="548"/>
      <c r="OY70" s="548"/>
      <c r="OZ70" s="548"/>
      <c r="PA70" s="548"/>
      <c r="PB70" s="548"/>
      <c r="PC70" s="548"/>
      <c r="PD70" s="548"/>
      <c r="PE70" s="548"/>
      <c r="PF70" s="548"/>
      <c r="PG70" s="548"/>
      <c r="PH70" s="548"/>
      <c r="PI70" s="548"/>
      <c r="PJ70" s="548"/>
      <c r="PK70" s="548"/>
      <c r="PL70" s="548"/>
      <c r="PM70" s="548"/>
      <c r="PN70" s="548"/>
      <c r="PO70" s="548"/>
      <c r="PP70" s="548"/>
      <c r="PQ70" s="548"/>
      <c r="PR70" s="548"/>
      <c r="PS70" s="548"/>
      <c r="PT70" s="548"/>
      <c r="PU70" s="548"/>
      <c r="PV70" s="548"/>
      <c r="PW70" s="548"/>
      <c r="PX70" s="548"/>
      <c r="PY70" s="548"/>
      <c r="PZ70" s="548"/>
      <c r="QA70" s="548"/>
      <c r="QB70" s="548"/>
      <c r="QC70" s="548"/>
      <c r="QD70" s="548"/>
      <c r="QE70" s="548"/>
      <c r="QF70" s="548"/>
      <c r="QG70" s="548"/>
      <c r="QH70" s="548"/>
      <c r="QI70" s="548"/>
      <c r="QJ70" s="548"/>
      <c r="QK70" s="548"/>
      <c r="QL70" s="548"/>
      <c r="QM70" s="548"/>
      <c r="QN70" s="548"/>
      <c r="QO70" s="548"/>
      <c r="QP70" s="548"/>
      <c r="QQ70" s="1009"/>
      <c r="QR70" s="548"/>
      <c r="QS70" s="548"/>
      <c r="QT70" s="548"/>
      <c r="QU70" s="548"/>
      <c r="QV70" s="548"/>
      <c r="QW70" s="548"/>
      <c r="QX70" s="548"/>
      <c r="QY70" s="548"/>
      <c r="QZ70" s="548"/>
      <c r="RA70" s="548"/>
      <c r="RB70" s="548"/>
      <c r="RC70" s="548"/>
      <c r="RD70" s="548"/>
      <c r="RE70" s="548"/>
      <c r="RF70" s="548"/>
      <c r="RG70" s="548"/>
      <c r="RH70" s="548"/>
      <c r="RI70" s="548"/>
      <c r="RJ70" s="548"/>
      <c r="RK70" s="548"/>
      <c r="RL70" s="548"/>
      <c r="RM70" s="548"/>
      <c r="RN70" s="548"/>
      <c r="RO70" s="548"/>
      <c r="RP70" s="548"/>
      <c r="RQ70" s="548"/>
      <c r="RR70" s="548"/>
      <c r="RS70" s="548"/>
      <c r="RT70" s="548"/>
      <c r="RU70" s="548"/>
      <c r="RV70" s="548"/>
      <c r="RW70" s="548"/>
      <c r="RX70" s="548"/>
      <c r="RY70" s="548"/>
      <c r="RZ70" s="548"/>
      <c r="SA70" s="548"/>
      <c r="SB70" s="548"/>
      <c r="SC70" s="548"/>
      <c r="SD70" s="548"/>
      <c r="SE70" s="548"/>
      <c r="SF70" s="548"/>
      <c r="SG70" s="548"/>
      <c r="SH70" s="548"/>
      <c r="SI70" s="548"/>
      <c r="SJ70" s="548"/>
      <c r="SK70" s="548"/>
      <c r="SL70" s="548"/>
      <c r="SM70" s="548"/>
      <c r="SN70" s="548"/>
      <c r="SO70" s="548"/>
      <c r="SP70" s="548"/>
      <c r="SQ70" s="548"/>
      <c r="SR70" s="548"/>
      <c r="SS70" s="548"/>
      <c r="ST70" s="548"/>
      <c r="SU70" s="548"/>
      <c r="SV70" s="548"/>
      <c r="SW70" s="548"/>
      <c r="SX70" s="548"/>
      <c r="SY70" s="548"/>
      <c r="SZ70" s="548"/>
      <c r="TA70" s="548"/>
      <c r="TB70" s="548"/>
      <c r="TC70" s="548"/>
      <c r="TD70" s="548"/>
      <c r="TE70" s="548"/>
      <c r="TF70" s="548"/>
      <c r="TG70" s="548"/>
      <c r="TH70" s="548"/>
      <c r="TI70" s="548"/>
      <c r="TJ70" s="548"/>
      <c r="TK70" s="548"/>
      <c r="TL70" s="548"/>
      <c r="TM70" s="548"/>
      <c r="TN70" s="548"/>
      <c r="TO70" s="548"/>
      <c r="TP70" s="548"/>
      <c r="TQ70" s="548"/>
      <c r="TR70" s="548"/>
      <c r="TS70" s="548"/>
      <c r="TT70" s="548"/>
      <c r="TU70" s="548"/>
      <c r="TV70" s="548"/>
      <c r="TW70" s="548"/>
      <c r="TX70" s="548"/>
      <c r="TY70" s="548"/>
      <c r="TZ70" s="548"/>
      <c r="UA70" s="548"/>
      <c r="UB70" s="548"/>
      <c r="UC70" s="548"/>
      <c r="UD70" s="548"/>
      <c r="UE70" s="548"/>
      <c r="UF70" s="548"/>
      <c r="UG70" s="548"/>
      <c r="UH70" s="548"/>
      <c r="UI70" s="548"/>
      <c r="UJ70" s="548"/>
      <c r="UK70" s="548"/>
      <c r="UL70" s="548"/>
      <c r="UM70" s="548"/>
      <c r="UN70" s="548"/>
      <c r="UO70" s="548"/>
      <c r="UP70" s="548"/>
      <c r="UQ70" s="548"/>
      <c r="UR70" s="548"/>
      <c r="US70" s="548"/>
      <c r="UT70" s="548"/>
      <c r="UU70" s="548"/>
      <c r="UV70" s="548"/>
      <c r="UW70" s="548"/>
      <c r="UX70" s="548"/>
      <c r="UY70" s="548"/>
      <c r="UZ70" s="548"/>
      <c r="VA70" s="548"/>
      <c r="VB70" s="548"/>
      <c r="VC70" s="548"/>
      <c r="VD70" s="548"/>
      <c r="VE70" s="548"/>
      <c r="VF70" s="548"/>
      <c r="VG70" s="548"/>
      <c r="VH70" s="548"/>
      <c r="VI70" s="548"/>
      <c r="VJ70" s="548"/>
      <c r="VK70" s="548"/>
      <c r="VL70" s="548"/>
      <c r="VM70" s="548"/>
      <c r="VN70" s="548"/>
      <c r="VO70" s="548"/>
      <c r="VP70" s="548"/>
      <c r="VQ70" s="548"/>
      <c r="VR70" s="548"/>
      <c r="VS70" s="548"/>
      <c r="VT70" s="548"/>
      <c r="VU70" s="548"/>
      <c r="VV70" s="548"/>
      <c r="VW70" s="548"/>
      <c r="VX70" s="548"/>
      <c r="VY70" s="548"/>
      <c r="VZ70" s="548"/>
      <c r="WA70" s="548"/>
      <c r="WB70" s="548"/>
      <c r="WC70" s="548"/>
      <c r="WD70" s="548"/>
      <c r="WE70" s="548"/>
      <c r="WF70" s="548"/>
      <c r="WG70" s="548"/>
      <c r="WH70" s="548"/>
      <c r="WI70" s="548"/>
      <c r="WJ70" s="548"/>
      <c r="WK70" s="548"/>
      <c r="WL70" s="548"/>
      <c r="WM70" s="548"/>
      <c r="WN70" s="548"/>
      <c r="WO70" s="548"/>
      <c r="WP70" s="548"/>
      <c r="WQ70" s="548"/>
      <c r="WR70" s="548"/>
      <c r="WS70" s="548"/>
      <c r="WT70" s="548"/>
      <c r="WU70" s="548"/>
      <c r="WV70" s="548"/>
      <c r="WW70" s="548"/>
      <c r="WX70" s="548"/>
      <c r="WY70" s="548"/>
      <c r="WZ70" s="548"/>
      <c r="XA70" s="548"/>
      <c r="XB70" s="548"/>
      <c r="XC70" s="548"/>
      <c r="XD70" s="548"/>
      <c r="XE70" s="548"/>
      <c r="XF70" s="548"/>
      <c r="XG70" s="548"/>
      <c r="XH70" s="548"/>
      <c r="XI70" s="548"/>
      <c r="XJ70" s="548"/>
      <c r="XK70" s="548"/>
      <c r="XL70" s="548"/>
      <c r="XM70" s="548"/>
      <c r="XN70" s="548"/>
      <c r="XO70" s="548"/>
      <c r="XP70" s="548"/>
      <c r="XQ70" s="548"/>
      <c r="XR70" s="548"/>
      <c r="XS70" s="548"/>
      <c r="XT70" s="548"/>
      <c r="XU70" s="548"/>
      <c r="XV70" s="548"/>
      <c r="XW70" s="548"/>
      <c r="XX70" s="548"/>
      <c r="XY70" s="548"/>
      <c r="XZ70" s="548"/>
      <c r="YA70" s="548"/>
      <c r="YB70" s="548"/>
      <c r="YC70" s="548"/>
      <c r="YD70" s="548"/>
      <c r="YE70" s="548"/>
      <c r="YF70" s="548"/>
      <c r="YG70" s="548"/>
      <c r="YH70" s="548"/>
      <c r="YI70" s="548"/>
      <c r="YJ70" s="548"/>
      <c r="YK70" s="548"/>
      <c r="YL70" s="548"/>
      <c r="YM70" s="548"/>
      <c r="YN70" s="548"/>
      <c r="YO70" s="548"/>
      <c r="YP70" s="548"/>
      <c r="YQ70" s="548"/>
      <c r="YR70" s="548"/>
      <c r="YS70" s="548"/>
      <c r="YT70" s="548"/>
      <c r="YU70" s="548"/>
      <c r="YV70" s="548"/>
      <c r="YW70" s="548"/>
      <c r="YX70" s="548"/>
      <c r="YY70" s="548"/>
      <c r="YZ70" s="548"/>
      <c r="ZA70" s="548"/>
      <c r="ZB70" s="548"/>
      <c r="ZC70" s="548"/>
      <c r="ZD70" s="548"/>
      <c r="ZE70" s="548"/>
      <c r="ZF70" s="548"/>
      <c r="ZG70" s="548"/>
      <c r="ZH70" s="548"/>
      <c r="ZI70" s="548"/>
      <c r="ZJ70" s="548"/>
      <c r="ZK70" s="548"/>
      <c r="ZL70" s="548"/>
      <c r="ZM70" s="548"/>
      <c r="ZN70" s="548"/>
      <c r="ZO70" s="548"/>
      <c r="ZP70" s="548"/>
      <c r="ZQ70" s="548"/>
      <c r="ZR70" s="548"/>
      <c r="ZS70" s="548"/>
      <c r="ZT70" s="548"/>
      <c r="ZU70" s="548"/>
      <c r="ZV70" s="548"/>
      <c r="ZW70" s="548"/>
      <c r="ZX70" s="548"/>
      <c r="ZY70" s="548"/>
      <c r="ZZ70" s="548"/>
      <c r="AAA70" s="548"/>
      <c r="AAB70" s="548"/>
      <c r="AAC70" s="548"/>
      <c r="AAD70" s="548"/>
      <c r="AAE70" s="548"/>
      <c r="AAF70" s="548"/>
      <c r="AAG70" s="548"/>
      <c r="AAH70" s="548"/>
      <c r="AAI70" s="548"/>
      <c r="AAJ70" s="548"/>
      <c r="AAK70" s="548"/>
      <c r="AAL70" s="548"/>
      <c r="AAM70" s="548"/>
      <c r="AAN70" s="548"/>
      <c r="AAO70" s="548"/>
      <c r="AAP70" s="548"/>
      <c r="AAQ70" s="548"/>
      <c r="AAR70" s="548"/>
      <c r="AAS70" s="548"/>
      <c r="AAT70" s="548"/>
      <c r="AAU70" s="548"/>
      <c r="AAV70" s="548"/>
      <c r="AAW70" s="548"/>
      <c r="AAX70" s="548"/>
      <c r="AAY70" s="548"/>
      <c r="AAZ70" s="548"/>
      <c r="ABA70" s="548"/>
      <c r="ABB70" s="548"/>
      <c r="ABC70" s="548"/>
      <c r="ABD70" s="548"/>
      <c r="ABE70" s="548"/>
      <c r="ABF70" s="548"/>
      <c r="ABG70" s="548"/>
      <c r="ABH70" s="548"/>
      <c r="ABI70" s="548"/>
      <c r="ABJ70" s="548"/>
      <c r="ABK70" s="548"/>
      <c r="ABL70" s="548"/>
      <c r="ABM70" s="548"/>
      <c r="ABN70" s="548"/>
      <c r="ABO70" s="548"/>
      <c r="ABP70" s="548"/>
      <c r="ABQ70" s="548"/>
      <c r="ABR70" s="548"/>
      <c r="ABS70" s="548"/>
    </row>
    <row r="71" spans="1:747" customFormat="1" ht="15" customHeight="1" x14ac:dyDescent="0.2">
      <c r="A71" s="424" t="str">
        <f t="shared" ref="A71:A134" si="909">IF(B71="","",IF(AND(A70="",B71&lt;&gt;""),1,IF(A70="","",(A70+1))))</f>
        <v/>
      </c>
      <c r="B71" s="415"/>
      <c r="C71" s="525"/>
      <c r="D71" s="750"/>
      <c r="E71" s="416" t="str">
        <f t="shared" si="751"/>
        <v/>
      </c>
      <c r="F71" s="527" t="str">
        <f t="shared" si="752"/>
        <v/>
      </c>
      <c r="G71" s="417"/>
      <c r="H71" s="583" t="str">
        <f t="shared" si="753"/>
        <v/>
      </c>
      <c r="I71" s="424"/>
      <c r="J71" s="419"/>
      <c r="K71" s="418"/>
      <c r="L71" s="419"/>
      <c r="M71" s="415"/>
      <c r="N71" s="420"/>
      <c r="O71" s="421"/>
      <c r="P71" s="561"/>
      <c r="Q71" s="422"/>
      <c r="R71" s="561" t="str">
        <f t="shared" si="754"/>
        <v/>
      </c>
      <c r="S71" s="664"/>
      <c r="T71" s="663"/>
      <c r="U71" s="580">
        <f t="shared" si="755"/>
        <v>0</v>
      </c>
      <c r="V71" s="418"/>
      <c r="W71" s="582" t="str">
        <f t="shared" si="756"/>
        <v/>
      </c>
      <c r="X71" s="479" t="str">
        <f t="shared" si="757"/>
        <v/>
      </c>
      <c r="Y71" s="582" t="str">
        <f t="shared" si="758"/>
        <v/>
      </c>
      <c r="Z71" s="317" t="str">
        <f t="shared" si="759"/>
        <v/>
      </c>
      <c r="AA71" s="317" t="str">
        <f t="shared" si="760"/>
        <v/>
      </c>
      <c r="AB71" s="317">
        <f t="shared" si="761"/>
        <v>0</v>
      </c>
      <c r="AC71" s="317" t="str">
        <f t="shared" si="762"/>
        <v/>
      </c>
      <c r="AD71" s="479"/>
      <c r="AE71" s="479"/>
      <c r="AF71" s="479"/>
      <c r="AG71" s="423"/>
      <c r="AH71" s="820"/>
      <c r="AI71" s="480"/>
      <c r="AJ71" s="660"/>
      <c r="AK71" s="524" t="str">
        <f t="shared" si="763"/>
        <v/>
      </c>
      <c r="AL71" s="729">
        <f>SUMIF($J$4:$J$18,"Imprensa",$S$4:$S$18)</f>
        <v>0</v>
      </c>
      <c r="AM71" s="730">
        <f>SUMIF($J$4:$J$18,"Imprensa",$T$4:$T$18)</f>
        <v>0</v>
      </c>
      <c r="AN71" s="426">
        <f t="shared" si="764"/>
        <v>0</v>
      </c>
      <c r="AO71" s="427" t="str">
        <f t="shared" si="765"/>
        <v/>
      </c>
      <c r="AP71" s="426" t="str">
        <f t="shared" si="766"/>
        <v/>
      </c>
      <c r="AQ71" s="426"/>
      <c r="AR71" s="426"/>
      <c r="AS71" s="428"/>
      <c r="AT71" s="429"/>
      <c r="AU71" s="430"/>
      <c r="AV71" s="431"/>
      <c r="AW71" s="432"/>
      <c r="AX71" s="430"/>
      <c r="AY71" s="431">
        <f t="shared" si="767"/>
        <v>0</v>
      </c>
      <c r="AZ71" s="426"/>
      <c r="BA71" s="435" t="str">
        <f t="shared" si="768"/>
        <v/>
      </c>
      <c r="BB71" s="435"/>
      <c r="BC71" s="426"/>
      <c r="BD71" s="426">
        <f t="array" ref="BD71">IF(SUM((BC71=$BC$3:BC70)*1)=0,BC71,0)</f>
        <v>0</v>
      </c>
      <c r="BE71" s="426"/>
      <c r="BF71" s="426"/>
      <c r="BG71" s="426">
        <f t="array" ref="BG71">IF(SUM((BF71=$BF$3:BF70)*1)=0,BF71,0)</f>
        <v>0</v>
      </c>
      <c r="BH71" s="426"/>
      <c r="BI71" s="426"/>
      <c r="BJ71" s="426"/>
      <c r="BK71" s="426"/>
      <c r="BL71" s="426"/>
      <c r="BM71" s="426"/>
      <c r="BN71" s="426"/>
      <c r="BO71" s="426"/>
      <c r="BP71" s="433">
        <f t="shared" si="769"/>
        <v>0</v>
      </c>
      <c r="BQ71" s="426"/>
      <c r="BR71" s="434"/>
      <c r="BS71" s="426"/>
      <c r="BT71" s="433"/>
      <c r="BU71" s="435"/>
      <c r="BV71" s="435" t="str">
        <f t="shared" si="770"/>
        <v/>
      </c>
      <c r="BW71" s="435" t="str">
        <f t="shared" si="798"/>
        <v/>
      </c>
      <c r="BX71" s="435"/>
      <c r="BY71" s="435"/>
      <c r="BZ71" s="435"/>
      <c r="CA71" s="435"/>
      <c r="CB71" s="435"/>
      <c r="CC71" s="435"/>
      <c r="CD71" s="435"/>
      <c r="CE71" s="435"/>
      <c r="CF71" s="435"/>
      <c r="CG71" s="435"/>
      <c r="CH71" s="435"/>
      <c r="CI71" s="435"/>
      <c r="CJ71" s="426" t="str">
        <f t="shared" si="799"/>
        <v/>
      </c>
      <c r="CK71" s="435"/>
      <c r="CL71" s="426"/>
      <c r="CM71" s="435"/>
      <c r="CN71" s="426"/>
      <c r="CO71" s="426"/>
      <c r="CP71" s="426"/>
      <c r="CQ71" s="426"/>
      <c r="CR71" s="426"/>
      <c r="CS71" s="426"/>
      <c r="CT71" s="426"/>
      <c r="CU71" s="426"/>
      <c r="CV71" s="426"/>
      <c r="CW71" s="426"/>
      <c r="CX71" s="426"/>
      <c r="CY71" s="426">
        <v>68</v>
      </c>
      <c r="CZ71" s="426"/>
      <c r="DA71" s="426"/>
      <c r="DB71" s="426"/>
      <c r="DC71" s="426" t="s">
        <v>811</v>
      </c>
      <c r="DD71" s="426" t="s">
        <v>971</v>
      </c>
      <c r="DE71" s="435" t="str">
        <f t="shared" si="800"/>
        <v/>
      </c>
      <c r="DF71" s="435" t="str">
        <f t="shared" si="801"/>
        <v/>
      </c>
      <c r="DG71" s="435" t="str">
        <f t="shared" si="802"/>
        <v/>
      </c>
      <c r="DH71" s="435" t="str">
        <f t="shared" si="803"/>
        <v/>
      </c>
      <c r="DI71" s="435" t="str">
        <f t="shared" si="804"/>
        <v/>
      </c>
      <c r="DJ71" s="435" t="str">
        <f t="shared" si="805"/>
        <v/>
      </c>
      <c r="DK71" s="435" t="str">
        <f t="shared" si="771"/>
        <v/>
      </c>
      <c r="DL71" s="435" t="str">
        <f t="shared" si="772"/>
        <v/>
      </c>
      <c r="DM71" s="435" t="str">
        <f t="shared" si="806"/>
        <v/>
      </c>
      <c r="DN71" s="435" t="str">
        <f t="shared" si="807"/>
        <v/>
      </c>
      <c r="DO71" s="435" t="str">
        <f t="shared" si="773"/>
        <v/>
      </c>
      <c r="DP71" s="435" t="str">
        <f t="shared" si="774"/>
        <v/>
      </c>
      <c r="DQ71" s="435" t="str">
        <f t="shared" si="808"/>
        <v/>
      </c>
      <c r="DR71" s="435" t="str">
        <f t="shared" si="809"/>
        <v/>
      </c>
      <c r="DS71" s="435" t="str">
        <f t="shared" si="775"/>
        <v/>
      </c>
      <c r="DT71" s="435" t="str">
        <f t="shared" si="776"/>
        <v/>
      </c>
      <c r="DU71" s="435" t="str">
        <f t="shared" si="810"/>
        <v/>
      </c>
      <c r="DV71" s="435" t="str">
        <f t="shared" si="811"/>
        <v/>
      </c>
      <c r="DW71" s="435" t="str">
        <f t="shared" si="777"/>
        <v/>
      </c>
      <c r="DX71" s="435" t="str">
        <f t="shared" si="778"/>
        <v/>
      </c>
      <c r="DY71" s="435" t="str">
        <f t="shared" si="812"/>
        <v/>
      </c>
      <c r="DZ71" s="435" t="str">
        <f t="shared" si="813"/>
        <v/>
      </c>
      <c r="EA71" s="435" t="str">
        <f t="shared" si="779"/>
        <v/>
      </c>
      <c r="EB71" s="435" t="str">
        <f t="shared" si="780"/>
        <v/>
      </c>
      <c r="EC71" s="435" t="str">
        <f t="shared" si="781"/>
        <v/>
      </c>
      <c r="ED71" s="435" t="str">
        <f t="shared" si="782"/>
        <v/>
      </c>
      <c r="EE71" s="435" t="str">
        <f t="shared" si="783"/>
        <v/>
      </c>
      <c r="EF71" s="435" t="str">
        <f t="shared" si="784"/>
        <v/>
      </c>
      <c r="EG71" s="435" t="str">
        <f t="shared" si="785"/>
        <v/>
      </c>
      <c r="EH71" s="435" t="str">
        <f t="shared" si="786"/>
        <v/>
      </c>
      <c r="EI71" s="435" t="str">
        <f t="shared" si="787"/>
        <v/>
      </c>
      <c r="EJ71" s="435" t="str">
        <f t="shared" si="788"/>
        <v/>
      </c>
      <c r="EK71" s="485"/>
      <c r="EL71" s="485"/>
      <c r="EM71" s="485"/>
      <c r="EN71" s="485"/>
      <c r="EO71" s="448"/>
      <c r="EP71" s="448"/>
      <c r="EQ71" s="448"/>
      <c r="ER71" s="448"/>
      <c r="ES71" s="448"/>
      <c r="ET71" s="435"/>
      <c r="EU71" s="435"/>
      <c r="EV71" s="435"/>
      <c r="EW71" s="435"/>
      <c r="EX71" s="426"/>
      <c r="EY71" s="426"/>
      <c r="EZ71" s="426"/>
      <c r="FA71" s="427"/>
      <c r="FB71" s="427">
        <f t="array" ref="FB71">IF(SUM((FA71=$FA$3:FA70)*1)=0,FA71,0)</f>
        <v>0</v>
      </c>
      <c r="FC71" s="427"/>
      <c r="FD71" s="427"/>
      <c r="FE71" s="427">
        <f t="array" ref="FE71">IF(SUM((FD71=$FD$3:FD70)*1)=0,FD71,0)</f>
        <v>0</v>
      </c>
      <c r="FF71" s="427"/>
      <c r="FG71" s="427"/>
      <c r="FH71" s="427"/>
      <c r="FI71" s="427">
        <f t="array" ref="FI71">IF(SUM((FH71=$FH$3:FH70)*1)=0,FH71,0)</f>
        <v>0</v>
      </c>
      <c r="FJ71" s="427"/>
      <c r="FK71" s="427"/>
      <c r="FL71" s="427">
        <f t="array" ref="FL71">IF(SUM((FK71=$FK$3:FK70)*1)=0,FK71,0)</f>
        <v>0</v>
      </c>
      <c r="FM71" s="427"/>
      <c r="FN71" s="427"/>
      <c r="FO71" s="427"/>
      <c r="FP71" s="427">
        <f t="array" ref="FP71">IF(SUM((FO71=$FO$3:FO70)*1)=0,FO71,0)</f>
        <v>0</v>
      </c>
      <c r="FQ71" s="427"/>
      <c r="FR71" s="427"/>
      <c r="FS71" s="427">
        <f t="array" ref="FS71">IF(SUM((FR71=$FR$3:FR70)*1)=0,FR71,0)</f>
        <v>0</v>
      </c>
      <c r="FT71" s="427"/>
      <c r="FU71" s="427"/>
      <c r="FV71" s="427"/>
      <c r="FW71" s="427">
        <f t="array" ref="FW71">IF(SUM((FV71=$FV$3:FV70)*1)=0,FV71,0)</f>
        <v>0</v>
      </c>
      <c r="FX71" s="427"/>
      <c r="FY71" s="427"/>
      <c r="FZ71" s="427">
        <f t="array" ref="FZ71">IF(SUM((FY71=$FY$3:FY70)*1)=0,FY71,0)</f>
        <v>0</v>
      </c>
      <c r="GA71" s="427"/>
      <c r="GB71" s="427"/>
      <c r="GC71" s="427"/>
      <c r="GD71" s="427">
        <f t="array" ref="GD71">IF(SUM((GC71=$GC$3:GC70)*1)=0,GC71,0)</f>
        <v>0</v>
      </c>
      <c r="GE71" s="427"/>
      <c r="GF71" s="427"/>
      <c r="GG71" s="427">
        <f t="array" ref="GG71">IF(SUM((GF71=$GF$3:GF70)*1)=0,GF71,0)</f>
        <v>0</v>
      </c>
      <c r="GH71" s="427"/>
      <c r="GI71" s="427"/>
      <c r="GJ71" s="427"/>
      <c r="GK71" s="798">
        <f t="array" ref="GK71">IF(SUM((GJ71=$GJ$3:GJ70)*1)=0,GJ71,0)</f>
        <v>0</v>
      </c>
      <c r="GL71" s="427"/>
      <c r="GM71" s="427"/>
      <c r="GN71" s="798">
        <f t="array" ref="GN71">IF(SUM((GM71=$GM$3:GM70)*1)=0,GM71,0)</f>
        <v>0</v>
      </c>
      <c r="GO71" s="427"/>
      <c r="GP71" s="427"/>
      <c r="GQ71" s="427"/>
      <c r="GR71" s="798">
        <f t="array" ref="GR71">IF(SUM((GQ71=$GQ$3:GQ70)*1)=0,GQ71,0)</f>
        <v>0</v>
      </c>
      <c r="GS71" s="427"/>
      <c r="GT71" s="427"/>
      <c r="GU71" s="798">
        <f t="array" ref="GU71">IF(SUM((GT71=$GT$3:GT70)*1)=0,GT71,0)</f>
        <v>0</v>
      </c>
      <c r="GV71" s="427"/>
      <c r="GW71" s="427"/>
      <c r="GX71" s="427"/>
      <c r="GY71" s="798">
        <f t="array" ref="GY71">IF(SUM((GX71=$GX$3:GX70)*1)=0,GX71,0)</f>
        <v>0</v>
      </c>
      <c r="GZ71" s="427"/>
      <c r="HA71" s="427"/>
      <c r="HB71" s="798">
        <f t="array" ref="HB71">IF(SUM((HA71=$HA$3:HA70)*1)=0,HA71,0)</f>
        <v>0</v>
      </c>
      <c r="HC71" s="427"/>
      <c r="HD71" s="427"/>
      <c r="HE71" s="769" t="str">
        <f t="shared" si="889"/>
        <v/>
      </c>
      <c r="HF71" s="768" t="str">
        <f t="shared" ref="HF71" si="910">IF(HE71&lt;0,"Invadiu REP-BA-C","")</f>
        <v/>
      </c>
      <c r="HG71" s="769" t="str">
        <f t="shared" si="891"/>
        <v/>
      </c>
      <c r="HH71" s="768" t="str">
        <f t="shared" si="815"/>
        <v/>
      </c>
      <c r="HI71" s="728" t="str">
        <f t="shared" si="892"/>
        <v/>
      </c>
      <c r="HJ71" s="768" t="str">
        <f t="shared" si="816"/>
        <v/>
      </c>
      <c r="HK71" s="728" t="str">
        <f t="shared" si="893"/>
        <v/>
      </c>
      <c r="HL71" s="768" t="str">
        <f t="shared" si="817"/>
        <v/>
      </c>
      <c r="HM71" s="769" t="str">
        <f t="shared" si="818"/>
        <v/>
      </c>
      <c r="HN71" s="768" t="str">
        <f t="shared" ref="HN71" si="911">IF(HM71&lt;0,"Invadiu REP-BA-C","")</f>
        <v/>
      </c>
      <c r="HO71" s="769" t="str">
        <f t="shared" si="820"/>
        <v/>
      </c>
      <c r="HP71" s="768" t="str">
        <f t="shared" si="821"/>
        <v/>
      </c>
      <c r="HQ71" s="728" t="str">
        <f t="shared" si="822"/>
        <v/>
      </c>
      <c r="HR71" s="768" t="str">
        <f t="shared" si="823"/>
        <v/>
      </c>
      <c r="HS71" s="728" t="str">
        <f t="shared" si="824"/>
        <v/>
      </c>
      <c r="HT71" s="768" t="str">
        <f t="shared" si="825"/>
        <v/>
      </c>
      <c r="HU71" s="769" t="str">
        <f t="shared" si="826"/>
        <v/>
      </c>
      <c r="HV71" s="768" t="str">
        <f t="shared" ref="HV71" si="912">IF(HU71&lt;0,"Invadiu REP-BA-C","")</f>
        <v/>
      </c>
      <c r="HW71" s="769" t="str">
        <f t="shared" si="828"/>
        <v/>
      </c>
      <c r="HX71" s="768" t="str">
        <f t="shared" si="829"/>
        <v/>
      </c>
      <c r="HY71" s="728" t="str">
        <f t="shared" si="830"/>
        <v/>
      </c>
      <c r="HZ71" s="768" t="str">
        <f t="shared" si="831"/>
        <v/>
      </c>
      <c r="IA71" s="728" t="str">
        <f t="shared" si="832"/>
        <v/>
      </c>
      <c r="IB71" s="768" t="str">
        <f t="shared" si="833"/>
        <v/>
      </c>
      <c r="IC71" s="769" t="str">
        <f t="shared" si="834"/>
        <v/>
      </c>
      <c r="ID71" s="768" t="str">
        <f t="shared" ref="ID71" si="913">IF(IC71&lt;0,"Invadiu REP-BA-C","")</f>
        <v/>
      </c>
      <c r="IE71" s="769" t="str">
        <f t="shared" si="836"/>
        <v/>
      </c>
      <c r="IF71" s="768" t="str">
        <f t="shared" si="837"/>
        <v/>
      </c>
      <c r="IG71" s="728" t="str">
        <f t="shared" si="838"/>
        <v/>
      </c>
      <c r="IH71" s="768" t="str">
        <f t="shared" si="839"/>
        <v/>
      </c>
      <c r="II71" s="728" t="str">
        <f t="shared" si="840"/>
        <v/>
      </c>
      <c r="IJ71" s="768" t="str">
        <f t="shared" si="841"/>
        <v/>
      </c>
      <c r="IK71" s="769" t="str">
        <f t="shared" si="842"/>
        <v/>
      </c>
      <c r="IL71" s="768" t="str">
        <f t="shared" ref="IL71" si="914">IF(IK71&lt;0,"Invadiu REP-BA-C","")</f>
        <v/>
      </c>
      <c r="IM71" s="769" t="str">
        <f t="shared" si="844"/>
        <v/>
      </c>
      <c r="IN71" s="768" t="str">
        <f t="shared" si="845"/>
        <v/>
      </c>
      <c r="IO71" s="728" t="str">
        <f t="shared" si="846"/>
        <v/>
      </c>
      <c r="IP71" s="768" t="str">
        <f t="shared" si="847"/>
        <v/>
      </c>
      <c r="IQ71" s="728" t="str">
        <f t="shared" si="848"/>
        <v/>
      </c>
      <c r="IR71" s="768" t="str">
        <f t="shared" si="849"/>
        <v/>
      </c>
      <c r="IS71" s="769" t="str">
        <f t="shared" si="850"/>
        <v/>
      </c>
      <c r="IT71" s="768" t="str">
        <f t="shared" ref="IT71" si="915">IF(IS71&lt;0,"Invadiu REP-BA-C","")</f>
        <v/>
      </c>
      <c r="IU71" s="769" t="str">
        <f t="shared" si="852"/>
        <v/>
      </c>
      <c r="IV71" s="768" t="str">
        <f t="shared" si="853"/>
        <v/>
      </c>
      <c r="IW71" s="728" t="str">
        <f t="shared" si="854"/>
        <v/>
      </c>
      <c r="IX71" s="768" t="str">
        <f t="shared" si="855"/>
        <v/>
      </c>
      <c r="IY71" s="728" t="str">
        <f t="shared" si="856"/>
        <v/>
      </c>
      <c r="IZ71" s="768" t="str">
        <f t="shared" si="857"/>
        <v/>
      </c>
      <c r="JA71" s="769" t="str">
        <f t="shared" si="858"/>
        <v/>
      </c>
      <c r="JB71" s="768" t="str">
        <f t="shared" ref="JB71" si="916">IF(JA71&lt;0,"Invadiu REP-BA-C","")</f>
        <v/>
      </c>
      <c r="JC71" s="769" t="str">
        <f t="shared" si="860"/>
        <v/>
      </c>
      <c r="JD71" s="768" t="str">
        <f t="shared" si="861"/>
        <v/>
      </c>
      <c r="JE71" s="728" t="str">
        <f t="shared" si="862"/>
        <v/>
      </c>
      <c r="JF71" s="768" t="str">
        <f t="shared" si="863"/>
        <v/>
      </c>
      <c r="JG71" s="728" t="str">
        <f t="shared" si="864"/>
        <v/>
      </c>
      <c r="JH71" s="768" t="str">
        <f t="shared" si="865"/>
        <v/>
      </c>
      <c r="JI71" s="769" t="str">
        <f t="shared" si="866"/>
        <v/>
      </c>
      <c r="JJ71" s="768" t="str">
        <f t="shared" ref="JJ71" si="917">IF(JI71&lt;0,"Invadiu REP-BA-C","")</f>
        <v/>
      </c>
      <c r="JK71" s="769" t="str">
        <f t="shared" si="868"/>
        <v/>
      </c>
      <c r="JL71" s="768" t="str">
        <f t="shared" si="869"/>
        <v/>
      </c>
      <c r="JM71" s="728" t="str">
        <f t="shared" si="870"/>
        <v/>
      </c>
      <c r="JN71" s="768" t="str">
        <f t="shared" si="871"/>
        <v/>
      </c>
      <c r="JO71" s="728" t="str">
        <f t="shared" si="872"/>
        <v/>
      </c>
      <c r="JP71" s="768" t="str">
        <f t="shared" si="873"/>
        <v/>
      </c>
      <c r="JQ71" s="769" t="str">
        <f t="shared" si="874"/>
        <v/>
      </c>
      <c r="JR71" s="768" t="str">
        <f t="shared" ref="JR71" si="918">IF(JQ71&lt;0,"Invadiu REP-BA-C","")</f>
        <v/>
      </c>
      <c r="JS71" s="769" t="str">
        <f t="shared" si="876"/>
        <v/>
      </c>
      <c r="JT71" s="768" t="str">
        <f t="shared" si="877"/>
        <v/>
      </c>
      <c r="JU71" s="728" t="str">
        <f t="shared" si="878"/>
        <v/>
      </c>
      <c r="JV71" s="768" t="str">
        <f t="shared" si="879"/>
        <v/>
      </c>
      <c r="JW71" s="728" t="str">
        <f t="shared" si="880"/>
        <v/>
      </c>
      <c r="JX71" s="768" t="str">
        <f t="shared" si="881"/>
        <v/>
      </c>
      <c r="JY71" s="768" t="str">
        <f t="shared" si="882"/>
        <v/>
      </c>
      <c r="JZ71" s="485" t="str">
        <f>IF(JY71="","",IF(AND(C71=$C$164,JY71&lt;&gt;""),Verificarcpf(D71),IF(AND(C71=$C$165,JY71&lt;&gt;""),VerificarCNPJ(D71))))</f>
        <v/>
      </c>
      <c r="KA71" s="768" t="str">
        <f t="shared" si="883"/>
        <v/>
      </c>
      <c r="KB71" s="485">
        <f t="shared" si="884"/>
        <v>0</v>
      </c>
      <c r="KC71" s="768">
        <f t="shared" si="885"/>
        <v>0</v>
      </c>
      <c r="KD71" s="485">
        <f t="shared" si="886"/>
        <v>0</v>
      </c>
      <c r="KE71" s="448"/>
      <c r="KF71" s="548"/>
      <c r="KG71" s="548"/>
      <c r="KH71" s="548"/>
      <c r="KI71" s="548"/>
      <c r="KJ71" s="548" t="str">
        <f t="shared" si="887"/>
        <v/>
      </c>
      <c r="KK71" s="548"/>
      <c r="KL71" s="548"/>
      <c r="KM71" s="548">
        <f t="array" ref="KM71">IF(SUM((KL71=$KL$3:KL70)*1)=0,KL71,0)</f>
        <v>0</v>
      </c>
      <c r="KN71" s="548"/>
      <c r="KO71" s="548"/>
      <c r="KP71" s="548"/>
      <c r="KQ71" s="548"/>
      <c r="KR71" s="548" t="str">
        <f t="shared" si="888"/>
        <v/>
      </c>
      <c r="KS71" s="548"/>
      <c r="KT71" s="548"/>
      <c r="KU71" s="548"/>
      <c r="KV71" s="548"/>
      <c r="KW71" s="548"/>
      <c r="KX71" s="548"/>
      <c r="KY71" s="548"/>
      <c r="KZ71" s="548"/>
      <c r="LA71" s="548"/>
      <c r="LB71" s="548"/>
      <c r="LC71" s="485" t="str">
        <f t="shared" si="902"/>
        <v/>
      </c>
      <c r="LD71" s="548"/>
      <c r="LE71" s="548"/>
      <c r="LF71" s="548"/>
      <c r="LG71" s="548"/>
      <c r="LH71" s="548"/>
      <c r="LI71" s="548"/>
      <c r="LJ71" s="548"/>
      <c r="LK71" s="548"/>
      <c r="LL71" s="548"/>
      <c r="LM71" s="548"/>
      <c r="LN71" s="548"/>
      <c r="LO71" s="548"/>
      <c r="LP71" s="485" t="str">
        <f t="shared" si="903"/>
        <v/>
      </c>
      <c r="LQ71" s="548"/>
      <c r="LR71" s="548"/>
      <c r="LS71" s="548"/>
      <c r="LT71" s="548"/>
      <c r="LU71" s="548"/>
      <c r="LV71" s="548"/>
      <c r="LW71" s="548"/>
      <c r="LX71" s="548"/>
      <c r="LY71" s="548"/>
      <c r="LZ71" s="548"/>
      <c r="MA71" s="548"/>
      <c r="MB71" s="548"/>
      <c r="MC71" s="485" t="str">
        <f t="shared" si="904"/>
        <v/>
      </c>
      <c r="MD71" s="548"/>
      <c r="ME71" s="548"/>
      <c r="MF71" s="548"/>
      <c r="MG71" s="548"/>
      <c r="MH71" s="548"/>
      <c r="MI71" s="548"/>
      <c r="MJ71" s="548"/>
      <c r="MK71" s="548"/>
      <c r="ML71" s="548"/>
      <c r="MM71" s="548"/>
      <c r="MN71" s="548"/>
      <c r="MO71" s="548"/>
      <c r="MP71" s="485" t="str">
        <f t="shared" si="905"/>
        <v/>
      </c>
      <c r="MQ71" s="548"/>
      <c r="MR71" s="548"/>
      <c r="MS71" s="548"/>
      <c r="MT71" s="548"/>
      <c r="MU71" s="548"/>
      <c r="MV71" s="548"/>
      <c r="MW71" s="548"/>
      <c r="MX71" s="548"/>
      <c r="MY71" s="548"/>
      <c r="MZ71" s="548"/>
      <c r="NA71" s="548"/>
      <c r="NB71" s="548"/>
      <c r="NC71" s="485" t="str">
        <f t="shared" si="906"/>
        <v/>
      </c>
      <c r="ND71" s="548"/>
      <c r="NE71" s="548"/>
      <c r="NF71" s="548"/>
      <c r="NG71" s="548"/>
      <c r="NH71" s="548"/>
      <c r="NI71" s="548"/>
      <c r="NJ71" s="548"/>
      <c r="NK71" s="548"/>
      <c r="NL71" s="548"/>
      <c r="NM71" s="548"/>
      <c r="NN71" s="548"/>
      <c r="NO71" s="548"/>
      <c r="NP71" s="485" t="str">
        <f t="shared" si="907"/>
        <v/>
      </c>
      <c r="NQ71" s="548"/>
      <c r="NR71" s="548"/>
      <c r="NS71" s="548"/>
      <c r="NT71" s="548"/>
      <c r="NU71" s="548"/>
      <c r="NV71" s="548"/>
      <c r="NW71" s="548"/>
      <c r="NX71" s="548"/>
      <c r="NY71" s="548"/>
      <c r="NZ71" s="548"/>
      <c r="OA71" s="548"/>
      <c r="OB71" s="548"/>
      <c r="OC71" s="485" t="str">
        <f t="shared" si="908"/>
        <v/>
      </c>
      <c r="OD71" s="548"/>
      <c r="OE71" s="548"/>
      <c r="OF71" s="548"/>
      <c r="OG71" s="548"/>
      <c r="OH71" s="548"/>
      <c r="OI71" s="548"/>
      <c r="OJ71" s="548"/>
      <c r="OK71" s="548"/>
      <c r="OL71" s="548"/>
      <c r="OM71" s="548"/>
      <c r="ON71" s="548"/>
      <c r="OO71" s="548"/>
      <c r="OP71" s="548"/>
      <c r="OQ71" s="548"/>
      <c r="OR71" s="548"/>
      <c r="OS71" s="548"/>
      <c r="OT71" s="548"/>
      <c r="OU71" s="548"/>
      <c r="OV71" s="548"/>
      <c r="OW71" s="548"/>
      <c r="OX71" s="548"/>
      <c r="OY71" s="548"/>
      <c r="OZ71" s="548"/>
      <c r="PA71" s="548"/>
      <c r="PB71" s="548"/>
      <c r="PC71" s="548"/>
      <c r="PD71" s="548"/>
      <c r="PE71" s="548"/>
      <c r="PF71" s="548"/>
      <c r="PG71" s="548"/>
      <c r="PH71" s="548"/>
      <c r="PI71" s="548"/>
      <c r="PJ71" s="548"/>
      <c r="PK71" s="548"/>
      <c r="PL71" s="548"/>
      <c r="PM71" s="548"/>
      <c r="PN71" s="548"/>
      <c r="PO71" s="548"/>
      <c r="PP71" s="548"/>
      <c r="PQ71" s="548"/>
      <c r="PR71" s="548"/>
      <c r="PS71" s="548"/>
      <c r="PT71" s="548"/>
      <c r="PU71" s="548"/>
      <c r="PV71" s="548"/>
      <c r="PW71" s="548"/>
      <c r="PX71" s="548"/>
      <c r="PY71" s="548"/>
      <c r="PZ71" s="548"/>
      <c r="QA71" s="548"/>
      <c r="QB71" s="548"/>
      <c r="QC71" s="548"/>
      <c r="QD71" s="548"/>
      <c r="QE71" s="548"/>
      <c r="QF71" s="548"/>
      <c r="QG71" s="548"/>
      <c r="QH71" s="548"/>
      <c r="QI71" s="548"/>
      <c r="QJ71" s="548"/>
      <c r="QK71" s="548"/>
      <c r="QL71" s="548"/>
      <c r="QM71" s="548"/>
      <c r="QN71" s="548"/>
      <c r="QO71" s="548"/>
      <c r="QP71" s="548"/>
      <c r="QQ71" s="1009"/>
      <c r="QR71" s="548"/>
      <c r="QS71" s="548"/>
      <c r="QT71" s="548"/>
      <c r="QU71" s="548"/>
      <c r="QV71" s="548"/>
      <c r="QW71" s="548"/>
      <c r="QX71" s="548"/>
      <c r="QY71" s="548"/>
      <c r="QZ71" s="548"/>
      <c r="RA71" s="548"/>
      <c r="RB71" s="548"/>
      <c r="RC71" s="548"/>
      <c r="RD71" s="548"/>
      <c r="RE71" s="548"/>
      <c r="RF71" s="548"/>
      <c r="RG71" s="548"/>
      <c r="RH71" s="548"/>
      <c r="RI71" s="548"/>
      <c r="RJ71" s="548"/>
      <c r="RK71" s="548"/>
      <c r="RL71" s="548"/>
      <c r="RM71" s="548"/>
      <c r="RN71" s="548"/>
      <c r="RO71" s="548"/>
      <c r="RP71" s="548"/>
      <c r="RQ71" s="548"/>
      <c r="RR71" s="548"/>
      <c r="RS71" s="548"/>
      <c r="RT71" s="548"/>
      <c r="RU71" s="548"/>
      <c r="RV71" s="548"/>
      <c r="RW71" s="548"/>
      <c r="RX71" s="548"/>
      <c r="RY71" s="548"/>
      <c r="RZ71" s="548"/>
      <c r="SA71" s="548"/>
      <c r="SB71" s="548"/>
      <c r="SC71" s="548"/>
      <c r="SD71" s="548"/>
      <c r="SE71" s="548"/>
      <c r="SF71" s="548"/>
      <c r="SG71" s="548"/>
      <c r="SH71" s="548"/>
      <c r="SI71" s="548"/>
      <c r="SJ71" s="548"/>
      <c r="SK71" s="548"/>
      <c r="SL71" s="548"/>
      <c r="SM71" s="548"/>
      <c r="SN71" s="548"/>
      <c r="SO71" s="548"/>
      <c r="SP71" s="548"/>
      <c r="SQ71" s="548"/>
      <c r="SR71" s="548"/>
      <c r="SS71" s="548"/>
      <c r="ST71" s="548"/>
      <c r="SU71" s="548"/>
      <c r="SV71" s="548"/>
      <c r="SW71" s="548"/>
      <c r="SX71" s="548"/>
      <c r="SY71" s="548"/>
      <c r="SZ71" s="548"/>
      <c r="TA71" s="548"/>
      <c r="TB71" s="548"/>
      <c r="TC71" s="548"/>
      <c r="TD71" s="548"/>
      <c r="TE71" s="548"/>
      <c r="TF71" s="548"/>
      <c r="TG71" s="548"/>
      <c r="TH71" s="548"/>
      <c r="TI71" s="548"/>
      <c r="TJ71" s="548"/>
      <c r="TK71" s="548"/>
      <c r="TL71" s="548"/>
      <c r="TM71" s="548"/>
      <c r="TN71" s="548"/>
      <c r="TO71" s="548"/>
      <c r="TP71" s="548"/>
      <c r="TQ71" s="548"/>
      <c r="TR71" s="548"/>
      <c r="TS71" s="548"/>
      <c r="TT71" s="548"/>
      <c r="TU71" s="548"/>
      <c r="TV71" s="548"/>
      <c r="TW71" s="548"/>
      <c r="TX71" s="548"/>
      <c r="TY71" s="548"/>
      <c r="TZ71" s="548"/>
      <c r="UA71" s="548"/>
      <c r="UB71" s="548"/>
      <c r="UC71" s="548"/>
      <c r="UD71" s="548"/>
      <c r="UE71" s="548"/>
      <c r="UF71" s="548"/>
      <c r="UG71" s="548"/>
      <c r="UH71" s="548"/>
      <c r="UI71" s="548"/>
      <c r="UJ71" s="548"/>
      <c r="UK71" s="548"/>
      <c r="UL71" s="548"/>
      <c r="UM71" s="548"/>
      <c r="UN71" s="548"/>
      <c r="UO71" s="548"/>
      <c r="UP71" s="548"/>
      <c r="UQ71" s="548"/>
      <c r="UR71" s="548"/>
      <c r="US71" s="548"/>
      <c r="UT71" s="548"/>
      <c r="UU71" s="548"/>
      <c r="UV71" s="548"/>
      <c r="UW71" s="548"/>
      <c r="UX71" s="548"/>
      <c r="UY71" s="548"/>
      <c r="UZ71" s="548"/>
      <c r="VA71" s="548"/>
      <c r="VB71" s="548"/>
      <c r="VC71" s="548"/>
      <c r="VD71" s="548"/>
      <c r="VE71" s="548"/>
      <c r="VF71" s="548"/>
      <c r="VG71" s="548"/>
      <c r="VH71" s="548"/>
      <c r="VI71" s="548"/>
      <c r="VJ71" s="548"/>
      <c r="VK71" s="548"/>
      <c r="VL71" s="548"/>
      <c r="VM71" s="548"/>
      <c r="VN71" s="548"/>
      <c r="VO71" s="548"/>
      <c r="VP71" s="548"/>
      <c r="VQ71" s="548"/>
      <c r="VR71" s="548"/>
      <c r="VS71" s="548"/>
      <c r="VT71" s="548"/>
      <c r="VU71" s="548"/>
      <c r="VV71" s="548"/>
      <c r="VW71" s="548"/>
      <c r="VX71" s="548"/>
      <c r="VY71" s="548"/>
      <c r="VZ71" s="548"/>
      <c r="WA71" s="548"/>
      <c r="WB71" s="548"/>
      <c r="WC71" s="548"/>
      <c r="WD71" s="548"/>
      <c r="WE71" s="548"/>
      <c r="WF71" s="548"/>
      <c r="WG71" s="548"/>
      <c r="WH71" s="548"/>
      <c r="WI71" s="548"/>
      <c r="WJ71" s="548"/>
      <c r="WK71" s="548"/>
      <c r="WL71" s="548"/>
      <c r="WM71" s="548"/>
      <c r="WN71" s="548"/>
      <c r="WO71" s="548"/>
      <c r="WP71" s="548"/>
      <c r="WQ71" s="548"/>
      <c r="WR71" s="548"/>
      <c r="WS71" s="548"/>
      <c r="WT71" s="548"/>
      <c r="WU71" s="548"/>
      <c r="WV71" s="548"/>
      <c r="WW71" s="548"/>
      <c r="WX71" s="548"/>
      <c r="WY71" s="548"/>
      <c r="WZ71" s="548"/>
      <c r="XA71" s="548"/>
      <c r="XB71" s="548"/>
      <c r="XC71" s="548"/>
      <c r="XD71" s="548"/>
      <c r="XE71" s="548"/>
      <c r="XF71" s="548"/>
      <c r="XG71" s="548"/>
      <c r="XH71" s="548"/>
      <c r="XI71" s="548"/>
      <c r="XJ71" s="548"/>
      <c r="XK71" s="548"/>
      <c r="XL71" s="548"/>
      <c r="XM71" s="548"/>
      <c r="XN71" s="548"/>
      <c r="XO71" s="548"/>
      <c r="XP71" s="548"/>
      <c r="XQ71" s="548"/>
      <c r="XR71" s="548"/>
      <c r="XS71" s="548"/>
      <c r="XT71" s="548"/>
      <c r="XU71" s="548"/>
      <c r="XV71" s="548"/>
      <c r="XW71" s="548"/>
      <c r="XX71" s="548"/>
      <c r="XY71" s="548"/>
      <c r="XZ71" s="548"/>
      <c r="YA71" s="548"/>
      <c r="YB71" s="548"/>
      <c r="YC71" s="548"/>
      <c r="YD71" s="548"/>
      <c r="YE71" s="548"/>
      <c r="YF71" s="548"/>
      <c r="YG71" s="548"/>
      <c r="YH71" s="548"/>
      <c r="YI71" s="548"/>
      <c r="YJ71" s="548"/>
      <c r="YK71" s="548"/>
      <c r="YL71" s="548"/>
      <c r="YM71" s="548"/>
      <c r="YN71" s="548"/>
      <c r="YO71" s="548"/>
      <c r="YP71" s="548"/>
      <c r="YQ71" s="548"/>
      <c r="YR71" s="548"/>
      <c r="YS71" s="548"/>
      <c r="YT71" s="548"/>
      <c r="YU71" s="548"/>
      <c r="YV71" s="548"/>
      <c r="YW71" s="548"/>
      <c r="YX71" s="548"/>
      <c r="YY71" s="548"/>
      <c r="YZ71" s="548"/>
      <c r="ZA71" s="548"/>
      <c r="ZB71" s="548"/>
      <c r="ZC71" s="548"/>
      <c r="ZD71" s="548"/>
      <c r="ZE71" s="548"/>
      <c r="ZF71" s="548"/>
      <c r="ZG71" s="548"/>
      <c r="ZH71" s="548"/>
      <c r="ZI71" s="548"/>
      <c r="ZJ71" s="548"/>
      <c r="ZK71" s="548"/>
      <c r="ZL71" s="548"/>
      <c r="ZM71" s="548"/>
      <c r="ZN71" s="548"/>
      <c r="ZO71" s="548"/>
      <c r="ZP71" s="548"/>
      <c r="ZQ71" s="548"/>
      <c r="ZR71" s="548"/>
      <c r="ZS71" s="548"/>
      <c r="ZT71" s="548"/>
      <c r="ZU71" s="548"/>
      <c r="ZV71" s="548"/>
      <c r="ZW71" s="548"/>
      <c r="ZX71" s="548"/>
      <c r="ZY71" s="548"/>
      <c r="ZZ71" s="548"/>
      <c r="AAA71" s="548"/>
      <c r="AAB71" s="548"/>
      <c r="AAC71" s="548"/>
      <c r="AAD71" s="548"/>
      <c r="AAE71" s="548"/>
      <c r="AAF71" s="548"/>
      <c r="AAG71" s="548"/>
      <c r="AAH71" s="548"/>
      <c r="AAI71" s="548"/>
      <c r="AAJ71" s="548"/>
      <c r="AAK71" s="548"/>
      <c r="AAL71" s="548"/>
      <c r="AAM71" s="548"/>
      <c r="AAN71" s="548"/>
      <c r="AAO71" s="548"/>
      <c r="AAP71" s="548"/>
      <c r="AAQ71" s="548"/>
      <c r="AAR71" s="548"/>
      <c r="AAS71" s="548"/>
      <c r="AAT71" s="548"/>
      <c r="AAU71" s="548"/>
      <c r="AAV71" s="548"/>
      <c r="AAW71" s="548"/>
      <c r="AAX71" s="548"/>
      <c r="AAY71" s="548"/>
      <c r="AAZ71" s="548"/>
      <c r="ABA71" s="548"/>
      <c r="ABB71" s="548"/>
      <c r="ABC71" s="548"/>
      <c r="ABD71" s="548"/>
      <c r="ABE71" s="548"/>
      <c r="ABF71" s="548"/>
      <c r="ABG71" s="548"/>
      <c r="ABH71" s="548"/>
      <c r="ABI71" s="548"/>
      <c r="ABJ71" s="548"/>
      <c r="ABK71" s="548"/>
      <c r="ABL71" s="548"/>
      <c r="ABM71" s="548"/>
      <c r="ABN71" s="548"/>
      <c r="ABO71" s="548"/>
      <c r="ABP71" s="548"/>
      <c r="ABQ71" s="548"/>
      <c r="ABR71" s="548"/>
      <c r="ABS71" s="548"/>
    </row>
    <row r="72" spans="1:747" customFormat="1" ht="15" customHeight="1" x14ac:dyDescent="0.2">
      <c r="A72" s="424" t="str">
        <f t="shared" si="909"/>
        <v/>
      </c>
      <c r="B72" s="415"/>
      <c r="C72" s="525"/>
      <c r="D72" s="750"/>
      <c r="E72" s="416" t="str">
        <f t="shared" si="751"/>
        <v/>
      </c>
      <c r="F72" s="527" t="str">
        <f t="shared" si="752"/>
        <v/>
      </c>
      <c r="G72" s="417"/>
      <c r="H72" s="583" t="str">
        <f t="shared" si="753"/>
        <v/>
      </c>
      <c r="I72" s="424"/>
      <c r="J72" s="419"/>
      <c r="K72" s="418"/>
      <c r="L72" s="419"/>
      <c r="M72" s="415"/>
      <c r="N72" s="420"/>
      <c r="O72" s="421"/>
      <c r="P72" s="561"/>
      <c r="Q72" s="422"/>
      <c r="R72" s="561" t="str">
        <f t="shared" si="754"/>
        <v/>
      </c>
      <c r="S72" s="664"/>
      <c r="T72" s="663"/>
      <c r="U72" s="580">
        <f t="shared" si="755"/>
        <v>0</v>
      </c>
      <c r="V72" s="418"/>
      <c r="W72" s="582" t="str">
        <f t="shared" si="756"/>
        <v/>
      </c>
      <c r="X72" s="479" t="str">
        <f t="shared" si="757"/>
        <v/>
      </c>
      <c r="Y72" s="582" t="str">
        <f t="shared" si="758"/>
        <v/>
      </c>
      <c r="Z72" s="317" t="str">
        <f t="shared" si="759"/>
        <v/>
      </c>
      <c r="AA72" s="317" t="str">
        <f t="shared" si="760"/>
        <v/>
      </c>
      <c r="AB72" s="317">
        <f t="shared" si="761"/>
        <v>0</v>
      </c>
      <c r="AC72" s="317" t="str">
        <f t="shared" si="762"/>
        <v/>
      </c>
      <c r="AD72" s="479"/>
      <c r="AE72" s="479"/>
      <c r="AF72" s="479"/>
      <c r="AG72" s="423"/>
      <c r="AH72" s="820"/>
      <c r="AI72" s="480"/>
      <c r="AJ72" s="660"/>
      <c r="AK72" s="524" t="str">
        <f t="shared" si="763"/>
        <v/>
      </c>
      <c r="AL72" s="731">
        <f>SUMIF($J$4:$J$32,"Imprensa",$S$4:$S$32)</f>
        <v>0</v>
      </c>
      <c r="AM72" s="732">
        <f>SUMIF($J$4:$J$32,"Imprensa",$T$4:$T$32)</f>
        <v>0</v>
      </c>
      <c r="AN72" s="426">
        <f t="shared" si="764"/>
        <v>0</v>
      </c>
      <c r="AO72" s="427" t="str">
        <f t="shared" si="765"/>
        <v/>
      </c>
      <c r="AP72" s="426" t="str">
        <f t="shared" si="766"/>
        <v/>
      </c>
      <c r="AQ72" s="426"/>
      <c r="AR72" s="426"/>
      <c r="AS72" s="428"/>
      <c r="AT72" s="429"/>
      <c r="AU72" s="430"/>
      <c r="AV72" s="431"/>
      <c r="AW72" s="432"/>
      <c r="AX72" s="430"/>
      <c r="AY72" s="431">
        <f t="shared" si="767"/>
        <v>0</v>
      </c>
      <c r="AZ72" s="426"/>
      <c r="BA72" s="435" t="str">
        <f t="shared" si="768"/>
        <v/>
      </c>
      <c r="BB72" s="435"/>
      <c r="BC72" s="426"/>
      <c r="BD72" s="426">
        <f t="array" ref="BD72">IF(SUM((BC72=$BC$3:BC71)*1)=0,BC72,0)</f>
        <v>0</v>
      </c>
      <c r="BE72" s="426"/>
      <c r="BF72" s="426"/>
      <c r="BG72" s="426">
        <f t="array" ref="BG72">IF(SUM((BF72=$BF$3:BF71)*1)=0,BF72,0)</f>
        <v>0</v>
      </c>
      <c r="BH72" s="426"/>
      <c r="BI72" s="426"/>
      <c r="BJ72" s="426"/>
      <c r="BK72" s="426"/>
      <c r="BL72" s="426"/>
      <c r="BM72" s="426"/>
      <c r="BN72" s="426"/>
      <c r="BO72" s="426"/>
      <c r="BP72" s="433">
        <f t="shared" si="769"/>
        <v>0</v>
      </c>
      <c r="BQ72" s="426"/>
      <c r="BR72" s="434"/>
      <c r="BS72" s="426"/>
      <c r="BT72" s="433"/>
      <c r="BU72" s="435"/>
      <c r="BV72" s="435" t="str">
        <f t="shared" si="770"/>
        <v/>
      </c>
      <c r="BW72" s="435" t="str">
        <f t="shared" si="798"/>
        <v/>
      </c>
      <c r="BX72" s="435"/>
      <c r="BY72" s="435"/>
      <c r="BZ72" s="435"/>
      <c r="CA72" s="435"/>
      <c r="CB72" s="435"/>
      <c r="CC72" s="435"/>
      <c r="CD72" s="435"/>
      <c r="CE72" s="435"/>
      <c r="CF72" s="435"/>
      <c r="CG72" s="435"/>
      <c r="CH72" s="435"/>
      <c r="CI72" s="435"/>
      <c r="CJ72" s="426" t="str">
        <f t="shared" si="799"/>
        <v/>
      </c>
      <c r="CK72" s="435"/>
      <c r="CL72" s="426"/>
      <c r="CM72" s="435"/>
      <c r="CN72" s="426"/>
      <c r="CO72" s="426"/>
      <c r="CP72" s="426"/>
      <c r="CQ72" s="426"/>
      <c r="CR72" s="426"/>
      <c r="CS72" s="426"/>
      <c r="CT72" s="426"/>
      <c r="CU72" s="426"/>
      <c r="CV72" s="426"/>
      <c r="CW72" s="426"/>
      <c r="CX72" s="426"/>
      <c r="CY72" s="426">
        <v>69</v>
      </c>
      <c r="CZ72" s="426"/>
      <c r="DA72" s="426"/>
      <c r="DB72" s="426"/>
      <c r="DC72" s="426" t="s">
        <v>812</v>
      </c>
      <c r="DD72" s="426" t="s">
        <v>972</v>
      </c>
      <c r="DE72" s="435" t="str">
        <f t="shared" si="800"/>
        <v/>
      </c>
      <c r="DF72" s="435" t="str">
        <f t="shared" si="801"/>
        <v/>
      </c>
      <c r="DG72" s="435" t="str">
        <f t="shared" si="802"/>
        <v/>
      </c>
      <c r="DH72" s="435" t="str">
        <f t="shared" si="803"/>
        <v/>
      </c>
      <c r="DI72" s="435" t="str">
        <f t="shared" si="804"/>
        <v/>
      </c>
      <c r="DJ72" s="435" t="str">
        <f t="shared" si="805"/>
        <v/>
      </c>
      <c r="DK72" s="435" t="str">
        <f t="shared" si="771"/>
        <v/>
      </c>
      <c r="DL72" s="435" t="str">
        <f t="shared" si="772"/>
        <v/>
      </c>
      <c r="DM72" s="435" t="str">
        <f t="shared" si="806"/>
        <v/>
      </c>
      <c r="DN72" s="435" t="str">
        <f t="shared" si="807"/>
        <v/>
      </c>
      <c r="DO72" s="435" t="str">
        <f t="shared" si="773"/>
        <v/>
      </c>
      <c r="DP72" s="435" t="str">
        <f t="shared" si="774"/>
        <v/>
      </c>
      <c r="DQ72" s="435" t="str">
        <f t="shared" si="808"/>
        <v/>
      </c>
      <c r="DR72" s="435" t="str">
        <f t="shared" si="809"/>
        <v/>
      </c>
      <c r="DS72" s="435" t="str">
        <f t="shared" si="775"/>
        <v/>
      </c>
      <c r="DT72" s="435" t="str">
        <f t="shared" si="776"/>
        <v/>
      </c>
      <c r="DU72" s="435" t="str">
        <f t="shared" si="810"/>
        <v/>
      </c>
      <c r="DV72" s="435" t="str">
        <f t="shared" si="811"/>
        <v/>
      </c>
      <c r="DW72" s="435" t="str">
        <f t="shared" si="777"/>
        <v/>
      </c>
      <c r="DX72" s="435" t="str">
        <f t="shared" si="778"/>
        <v/>
      </c>
      <c r="DY72" s="435" t="str">
        <f t="shared" si="812"/>
        <v/>
      </c>
      <c r="DZ72" s="435" t="str">
        <f t="shared" si="813"/>
        <v/>
      </c>
      <c r="EA72" s="435" t="str">
        <f t="shared" si="779"/>
        <v/>
      </c>
      <c r="EB72" s="435" t="str">
        <f t="shared" si="780"/>
        <v/>
      </c>
      <c r="EC72" s="435" t="str">
        <f t="shared" si="781"/>
        <v/>
      </c>
      <c r="ED72" s="435" t="str">
        <f t="shared" si="782"/>
        <v/>
      </c>
      <c r="EE72" s="435" t="str">
        <f t="shared" si="783"/>
        <v/>
      </c>
      <c r="EF72" s="435" t="str">
        <f t="shared" si="784"/>
        <v/>
      </c>
      <c r="EG72" s="435" t="str">
        <f t="shared" si="785"/>
        <v/>
      </c>
      <c r="EH72" s="435" t="str">
        <f t="shared" si="786"/>
        <v/>
      </c>
      <c r="EI72" s="435" t="str">
        <f t="shared" si="787"/>
        <v/>
      </c>
      <c r="EJ72" s="435" t="str">
        <f t="shared" si="788"/>
        <v/>
      </c>
      <c r="EK72" s="485"/>
      <c r="EL72" s="485"/>
      <c r="EM72" s="485"/>
      <c r="EN72" s="485"/>
      <c r="EO72" s="448"/>
      <c r="EP72" s="448"/>
      <c r="EQ72" s="448"/>
      <c r="ER72" s="448"/>
      <c r="ES72" s="448"/>
      <c r="ET72" s="435"/>
      <c r="EU72" s="435"/>
      <c r="EV72" s="435"/>
      <c r="EW72" s="435"/>
      <c r="EX72" s="426"/>
      <c r="EY72" s="426"/>
      <c r="EZ72" s="426"/>
      <c r="FA72" s="427"/>
      <c r="FB72" s="427">
        <f t="array" ref="FB72">IF(SUM((FA72=$FA$3:FA71)*1)=0,FA72,0)</f>
        <v>0</v>
      </c>
      <c r="FC72" s="427"/>
      <c r="FD72" s="427"/>
      <c r="FE72" s="427">
        <f t="array" ref="FE72">IF(SUM((FD72=$FD$3:FD71)*1)=0,FD72,0)</f>
        <v>0</v>
      </c>
      <c r="FF72" s="427"/>
      <c r="FG72" s="427"/>
      <c r="FH72" s="427"/>
      <c r="FI72" s="427">
        <f t="array" ref="FI72">IF(SUM((FH72=$FH$3:FH71)*1)=0,FH72,0)</f>
        <v>0</v>
      </c>
      <c r="FJ72" s="427"/>
      <c r="FK72" s="427"/>
      <c r="FL72" s="427">
        <f t="array" ref="FL72">IF(SUM((FK72=$FK$3:FK71)*1)=0,FK72,0)</f>
        <v>0</v>
      </c>
      <c r="FM72" s="427"/>
      <c r="FN72" s="427"/>
      <c r="FO72" s="427"/>
      <c r="FP72" s="427">
        <f t="array" ref="FP72">IF(SUM((FO72=$FO$3:FO71)*1)=0,FO72,0)</f>
        <v>0</v>
      </c>
      <c r="FQ72" s="427"/>
      <c r="FR72" s="427"/>
      <c r="FS72" s="427">
        <f t="array" ref="FS72">IF(SUM((FR72=$FR$3:FR71)*1)=0,FR72,0)</f>
        <v>0</v>
      </c>
      <c r="FT72" s="427"/>
      <c r="FU72" s="427"/>
      <c r="FV72" s="427"/>
      <c r="FW72" s="427">
        <f t="array" ref="FW72">IF(SUM((FV72=$FV$3:FV71)*1)=0,FV72,0)</f>
        <v>0</v>
      </c>
      <c r="FX72" s="427"/>
      <c r="FY72" s="427"/>
      <c r="FZ72" s="427">
        <f t="array" ref="FZ72">IF(SUM((FY72=$FY$3:FY71)*1)=0,FY72,0)</f>
        <v>0</v>
      </c>
      <c r="GA72" s="427"/>
      <c r="GB72" s="427"/>
      <c r="GC72" s="427"/>
      <c r="GD72" s="427">
        <f t="array" ref="GD72">IF(SUM((GC72=$GC$3:GC71)*1)=0,GC72,0)</f>
        <v>0</v>
      </c>
      <c r="GE72" s="427"/>
      <c r="GF72" s="427"/>
      <c r="GG72" s="427">
        <f t="array" ref="GG72">IF(SUM((GF72=$GF$3:GF71)*1)=0,GF72,0)</f>
        <v>0</v>
      </c>
      <c r="GH72" s="427"/>
      <c r="GI72" s="427"/>
      <c r="GJ72" s="427"/>
      <c r="GK72" s="798">
        <f t="array" ref="GK72">IF(SUM((GJ72=$GJ$3:GJ71)*1)=0,GJ72,0)</f>
        <v>0</v>
      </c>
      <c r="GL72" s="427"/>
      <c r="GM72" s="427"/>
      <c r="GN72" s="798">
        <f t="array" ref="GN72">IF(SUM((GM72=$GM$3:GM71)*1)=0,GM72,0)</f>
        <v>0</v>
      </c>
      <c r="GO72" s="427"/>
      <c r="GP72" s="427"/>
      <c r="GQ72" s="427"/>
      <c r="GR72" s="798">
        <f t="array" ref="GR72">IF(SUM((GQ72=$GQ$3:GQ71)*1)=0,GQ72,0)</f>
        <v>0</v>
      </c>
      <c r="GS72" s="427"/>
      <c r="GT72" s="427"/>
      <c r="GU72" s="798">
        <f t="array" ref="GU72">IF(SUM((GT72=$GT$3:GT71)*1)=0,GT72,0)</f>
        <v>0</v>
      </c>
      <c r="GV72" s="427"/>
      <c r="GW72" s="427"/>
      <c r="GX72" s="427"/>
      <c r="GY72" s="798">
        <f t="array" ref="GY72">IF(SUM((GX72=$GX$3:GX71)*1)=0,GX72,0)</f>
        <v>0</v>
      </c>
      <c r="GZ72" s="427"/>
      <c r="HA72" s="427"/>
      <c r="HB72" s="798">
        <f t="array" ref="HB72">IF(SUM((HA72=$HA$3:HA71)*1)=0,HA72,0)</f>
        <v>0</v>
      </c>
      <c r="HC72" s="427"/>
      <c r="HD72" s="427"/>
      <c r="HE72" s="769" t="str">
        <f t="shared" si="889"/>
        <v/>
      </c>
      <c r="HF72" s="768" t="str">
        <f t="shared" ref="HF72" si="919">IF(HE72&lt;0,"Invadiu REP-BA-C","")</f>
        <v/>
      </c>
      <c r="HG72" s="769" t="str">
        <f t="shared" si="891"/>
        <v/>
      </c>
      <c r="HH72" s="768" t="str">
        <f t="shared" si="815"/>
        <v/>
      </c>
      <c r="HI72" s="728" t="str">
        <f t="shared" si="892"/>
        <v/>
      </c>
      <c r="HJ72" s="768" t="str">
        <f t="shared" si="816"/>
        <v/>
      </c>
      <c r="HK72" s="728" t="str">
        <f t="shared" si="893"/>
        <v/>
      </c>
      <c r="HL72" s="768" t="str">
        <f t="shared" si="817"/>
        <v/>
      </c>
      <c r="HM72" s="769" t="str">
        <f t="shared" si="818"/>
        <v/>
      </c>
      <c r="HN72" s="768" t="str">
        <f t="shared" ref="HN72" si="920">IF(HM72&lt;0,"Invadiu REP-BA-C","")</f>
        <v/>
      </c>
      <c r="HO72" s="769" t="str">
        <f t="shared" si="820"/>
        <v/>
      </c>
      <c r="HP72" s="768" t="str">
        <f t="shared" si="821"/>
        <v/>
      </c>
      <c r="HQ72" s="728" t="str">
        <f t="shared" si="822"/>
        <v/>
      </c>
      <c r="HR72" s="768" t="str">
        <f t="shared" si="823"/>
        <v/>
      </c>
      <c r="HS72" s="728" t="str">
        <f t="shared" si="824"/>
        <v/>
      </c>
      <c r="HT72" s="768" t="str">
        <f t="shared" si="825"/>
        <v/>
      </c>
      <c r="HU72" s="769" t="str">
        <f t="shared" si="826"/>
        <v/>
      </c>
      <c r="HV72" s="768" t="str">
        <f t="shared" ref="HV72" si="921">IF(HU72&lt;0,"Invadiu REP-BA-C","")</f>
        <v/>
      </c>
      <c r="HW72" s="769" t="str">
        <f t="shared" si="828"/>
        <v/>
      </c>
      <c r="HX72" s="768" t="str">
        <f t="shared" si="829"/>
        <v/>
      </c>
      <c r="HY72" s="728" t="str">
        <f t="shared" si="830"/>
        <v/>
      </c>
      <c r="HZ72" s="768" t="str">
        <f t="shared" si="831"/>
        <v/>
      </c>
      <c r="IA72" s="728" t="str">
        <f t="shared" si="832"/>
        <v/>
      </c>
      <c r="IB72" s="768" t="str">
        <f t="shared" si="833"/>
        <v/>
      </c>
      <c r="IC72" s="769" t="str">
        <f t="shared" si="834"/>
        <v/>
      </c>
      <c r="ID72" s="768" t="str">
        <f t="shared" ref="ID72" si="922">IF(IC72&lt;0,"Invadiu REP-BA-C","")</f>
        <v/>
      </c>
      <c r="IE72" s="769" t="str">
        <f t="shared" si="836"/>
        <v/>
      </c>
      <c r="IF72" s="768" t="str">
        <f t="shared" si="837"/>
        <v/>
      </c>
      <c r="IG72" s="728" t="str">
        <f t="shared" si="838"/>
        <v/>
      </c>
      <c r="IH72" s="768" t="str">
        <f t="shared" si="839"/>
        <v/>
      </c>
      <c r="II72" s="728" t="str">
        <f t="shared" si="840"/>
        <v/>
      </c>
      <c r="IJ72" s="768" t="str">
        <f t="shared" si="841"/>
        <v/>
      </c>
      <c r="IK72" s="769" t="str">
        <f t="shared" si="842"/>
        <v/>
      </c>
      <c r="IL72" s="768" t="str">
        <f t="shared" ref="IL72" si="923">IF(IK72&lt;0,"Invadiu REP-BA-C","")</f>
        <v/>
      </c>
      <c r="IM72" s="769" t="str">
        <f t="shared" si="844"/>
        <v/>
      </c>
      <c r="IN72" s="768" t="str">
        <f t="shared" si="845"/>
        <v/>
      </c>
      <c r="IO72" s="728" t="str">
        <f t="shared" si="846"/>
        <v/>
      </c>
      <c r="IP72" s="768" t="str">
        <f t="shared" si="847"/>
        <v/>
      </c>
      <c r="IQ72" s="728" t="str">
        <f t="shared" si="848"/>
        <v/>
      </c>
      <c r="IR72" s="768" t="str">
        <f t="shared" si="849"/>
        <v/>
      </c>
      <c r="IS72" s="769" t="str">
        <f t="shared" si="850"/>
        <v/>
      </c>
      <c r="IT72" s="768" t="str">
        <f t="shared" ref="IT72" si="924">IF(IS72&lt;0,"Invadiu REP-BA-C","")</f>
        <v/>
      </c>
      <c r="IU72" s="769" t="str">
        <f t="shared" si="852"/>
        <v/>
      </c>
      <c r="IV72" s="768" t="str">
        <f t="shared" si="853"/>
        <v/>
      </c>
      <c r="IW72" s="728" t="str">
        <f t="shared" si="854"/>
        <v/>
      </c>
      <c r="IX72" s="768" t="str">
        <f t="shared" si="855"/>
        <v/>
      </c>
      <c r="IY72" s="728" t="str">
        <f t="shared" si="856"/>
        <v/>
      </c>
      <c r="IZ72" s="768" t="str">
        <f t="shared" si="857"/>
        <v/>
      </c>
      <c r="JA72" s="769" t="str">
        <f t="shared" si="858"/>
        <v/>
      </c>
      <c r="JB72" s="768" t="str">
        <f t="shared" ref="JB72" si="925">IF(JA72&lt;0,"Invadiu REP-BA-C","")</f>
        <v/>
      </c>
      <c r="JC72" s="769" t="str">
        <f t="shared" si="860"/>
        <v/>
      </c>
      <c r="JD72" s="768" t="str">
        <f t="shared" si="861"/>
        <v/>
      </c>
      <c r="JE72" s="728" t="str">
        <f t="shared" si="862"/>
        <v/>
      </c>
      <c r="JF72" s="768" t="str">
        <f t="shared" si="863"/>
        <v/>
      </c>
      <c r="JG72" s="728" t="str">
        <f t="shared" si="864"/>
        <v/>
      </c>
      <c r="JH72" s="768" t="str">
        <f t="shared" si="865"/>
        <v/>
      </c>
      <c r="JI72" s="769" t="str">
        <f t="shared" si="866"/>
        <v/>
      </c>
      <c r="JJ72" s="768" t="str">
        <f t="shared" ref="JJ72" si="926">IF(JI72&lt;0,"Invadiu REP-BA-C","")</f>
        <v/>
      </c>
      <c r="JK72" s="769" t="str">
        <f t="shared" si="868"/>
        <v/>
      </c>
      <c r="JL72" s="768" t="str">
        <f t="shared" si="869"/>
        <v/>
      </c>
      <c r="JM72" s="728" t="str">
        <f t="shared" si="870"/>
        <v/>
      </c>
      <c r="JN72" s="768" t="str">
        <f t="shared" si="871"/>
        <v/>
      </c>
      <c r="JO72" s="728" t="str">
        <f t="shared" si="872"/>
        <v/>
      </c>
      <c r="JP72" s="768" t="str">
        <f t="shared" si="873"/>
        <v/>
      </c>
      <c r="JQ72" s="769" t="str">
        <f t="shared" si="874"/>
        <v/>
      </c>
      <c r="JR72" s="768" t="str">
        <f t="shared" ref="JR72" si="927">IF(JQ72&lt;0,"Invadiu REP-BA-C","")</f>
        <v/>
      </c>
      <c r="JS72" s="769" t="str">
        <f t="shared" si="876"/>
        <v/>
      </c>
      <c r="JT72" s="768" t="str">
        <f t="shared" si="877"/>
        <v/>
      </c>
      <c r="JU72" s="728" t="str">
        <f t="shared" si="878"/>
        <v/>
      </c>
      <c r="JV72" s="768" t="str">
        <f t="shared" si="879"/>
        <v/>
      </c>
      <c r="JW72" s="728" t="str">
        <f t="shared" si="880"/>
        <v/>
      </c>
      <c r="JX72" s="768" t="str">
        <f t="shared" si="881"/>
        <v/>
      </c>
      <c r="JY72" s="768" t="str">
        <f t="shared" si="882"/>
        <v/>
      </c>
      <c r="JZ72" s="485" t="str">
        <f>IF(JY72="","",IF(AND(C72=$C$164,JY72&lt;&gt;""),Verificarcpf(D72),IF(AND(C72=$C$165,JY72&lt;&gt;""),VerificarCNPJ(D72))))</f>
        <v/>
      </c>
      <c r="KA72" s="768" t="str">
        <f t="shared" si="883"/>
        <v/>
      </c>
      <c r="KB72" s="485">
        <f t="shared" si="884"/>
        <v>0</v>
      </c>
      <c r="KC72" s="768">
        <f t="shared" si="885"/>
        <v>0</v>
      </c>
      <c r="KD72" s="485">
        <f t="shared" si="886"/>
        <v>0</v>
      </c>
      <c r="KE72" s="448"/>
      <c r="KF72" s="548"/>
      <c r="KG72" s="548"/>
      <c r="KH72" s="548"/>
      <c r="KI72" s="548"/>
      <c r="KJ72" s="548" t="str">
        <f t="shared" si="887"/>
        <v/>
      </c>
      <c r="KK72" s="548"/>
      <c r="KL72" s="548"/>
      <c r="KM72" s="548">
        <f t="array" ref="KM72">IF(SUM((KL72=$KL$3:KL71)*1)=0,KL72,0)</f>
        <v>0</v>
      </c>
      <c r="KN72" s="548"/>
      <c r="KO72" s="548"/>
      <c r="KP72" s="548"/>
      <c r="KQ72" s="548"/>
      <c r="KR72" s="548" t="str">
        <f t="shared" si="888"/>
        <v/>
      </c>
      <c r="KS72" s="548"/>
      <c r="KT72" s="548"/>
      <c r="KU72" s="548"/>
      <c r="KV72" s="548"/>
      <c r="KW72" s="548"/>
      <c r="KX72" s="548"/>
      <c r="KY72" s="548"/>
      <c r="KZ72" s="548"/>
      <c r="LA72" s="548"/>
      <c r="LB72" s="548"/>
      <c r="LC72" s="485" t="str">
        <f t="shared" si="902"/>
        <v/>
      </c>
      <c r="LD72" s="548"/>
      <c r="LE72" s="548"/>
      <c r="LF72" s="548"/>
      <c r="LG72" s="548"/>
      <c r="LH72" s="548"/>
      <c r="LI72" s="548"/>
      <c r="LJ72" s="548"/>
      <c r="LK72" s="548"/>
      <c r="LL72" s="548"/>
      <c r="LM72" s="548"/>
      <c r="LN72" s="548"/>
      <c r="LO72" s="548"/>
      <c r="LP72" s="485" t="str">
        <f t="shared" si="903"/>
        <v/>
      </c>
      <c r="LQ72" s="548"/>
      <c r="LR72" s="548"/>
      <c r="LS72" s="548"/>
      <c r="LT72" s="548"/>
      <c r="LU72" s="548"/>
      <c r="LV72" s="548"/>
      <c r="LW72" s="548"/>
      <c r="LX72" s="548"/>
      <c r="LY72" s="548"/>
      <c r="LZ72" s="548"/>
      <c r="MA72" s="548"/>
      <c r="MB72" s="548"/>
      <c r="MC72" s="485" t="str">
        <f t="shared" si="904"/>
        <v/>
      </c>
      <c r="MD72" s="548"/>
      <c r="ME72" s="548"/>
      <c r="MF72" s="548"/>
      <c r="MG72" s="548"/>
      <c r="MH72" s="548"/>
      <c r="MI72" s="548"/>
      <c r="MJ72" s="548"/>
      <c r="MK72" s="548"/>
      <c r="ML72" s="548"/>
      <c r="MM72" s="548"/>
      <c r="MN72" s="548"/>
      <c r="MO72" s="548"/>
      <c r="MP72" s="485" t="str">
        <f t="shared" si="905"/>
        <v/>
      </c>
      <c r="MQ72" s="548"/>
      <c r="MR72" s="548"/>
      <c r="MS72" s="548"/>
      <c r="MT72" s="548"/>
      <c r="MU72" s="548"/>
      <c r="MV72" s="548"/>
      <c r="MW72" s="548"/>
      <c r="MX72" s="548"/>
      <c r="MY72" s="548"/>
      <c r="MZ72" s="548"/>
      <c r="NA72" s="548"/>
      <c r="NB72" s="548"/>
      <c r="NC72" s="485" t="str">
        <f t="shared" si="906"/>
        <v/>
      </c>
      <c r="ND72" s="548"/>
      <c r="NE72" s="548"/>
      <c r="NF72" s="548"/>
      <c r="NG72" s="548"/>
      <c r="NH72" s="548"/>
      <c r="NI72" s="548"/>
      <c r="NJ72" s="548"/>
      <c r="NK72" s="548"/>
      <c r="NL72" s="548"/>
      <c r="NM72" s="548"/>
      <c r="NN72" s="548"/>
      <c r="NO72" s="548"/>
      <c r="NP72" s="485" t="str">
        <f t="shared" si="907"/>
        <v/>
      </c>
      <c r="NQ72" s="548"/>
      <c r="NR72" s="548"/>
      <c r="NS72" s="548"/>
      <c r="NT72" s="548"/>
      <c r="NU72" s="548"/>
      <c r="NV72" s="548"/>
      <c r="NW72" s="548"/>
      <c r="NX72" s="548"/>
      <c r="NY72" s="548"/>
      <c r="NZ72" s="548"/>
      <c r="OA72" s="548"/>
      <c r="OB72" s="548"/>
      <c r="OC72" s="485" t="str">
        <f t="shared" si="908"/>
        <v/>
      </c>
      <c r="OD72" s="548"/>
      <c r="OE72" s="548"/>
      <c r="OF72" s="548"/>
      <c r="OG72" s="548"/>
      <c r="OH72" s="548"/>
      <c r="OI72" s="548"/>
      <c r="OJ72" s="548"/>
      <c r="OK72" s="548"/>
      <c r="OL72" s="548"/>
      <c r="OM72" s="548"/>
      <c r="ON72" s="548"/>
      <c r="OO72" s="548"/>
      <c r="OP72" s="548"/>
      <c r="OQ72" s="548"/>
      <c r="OR72" s="548"/>
      <c r="OS72" s="548"/>
      <c r="OT72" s="548"/>
      <c r="OU72" s="548"/>
      <c r="OV72" s="548"/>
      <c r="OW72" s="548"/>
      <c r="OX72" s="548"/>
      <c r="OY72" s="548"/>
      <c r="OZ72" s="548"/>
      <c r="PA72" s="548"/>
      <c r="PB72" s="548"/>
      <c r="PC72" s="548"/>
      <c r="PD72" s="548"/>
      <c r="PE72" s="548"/>
      <c r="PF72" s="548"/>
      <c r="PG72" s="548"/>
      <c r="PH72" s="548"/>
      <c r="PI72" s="548"/>
      <c r="PJ72" s="548"/>
      <c r="PK72" s="548"/>
      <c r="PL72" s="548"/>
      <c r="PM72" s="548"/>
      <c r="PN72" s="548"/>
      <c r="PO72" s="548"/>
      <c r="PP72" s="548"/>
      <c r="PQ72" s="548"/>
      <c r="PR72" s="548"/>
      <c r="PS72" s="548"/>
      <c r="PT72" s="548"/>
      <c r="PU72" s="548"/>
      <c r="PV72" s="548"/>
      <c r="PW72" s="548"/>
      <c r="PX72" s="548"/>
      <c r="PY72" s="548"/>
      <c r="PZ72" s="548"/>
      <c r="QA72" s="548"/>
      <c r="QB72" s="548"/>
      <c r="QC72" s="548"/>
      <c r="QD72" s="548"/>
      <c r="QE72" s="548"/>
      <c r="QF72" s="548"/>
      <c r="QG72" s="548"/>
      <c r="QH72" s="548"/>
      <c r="QI72" s="548"/>
      <c r="QJ72" s="548"/>
      <c r="QK72" s="548"/>
      <c r="QL72" s="548"/>
      <c r="QM72" s="548"/>
      <c r="QN72" s="548"/>
      <c r="QO72" s="548"/>
      <c r="QP72" s="548"/>
      <c r="QQ72" s="1009"/>
      <c r="QR72" s="548"/>
      <c r="QS72" s="548"/>
      <c r="QT72" s="548"/>
      <c r="QU72" s="548"/>
      <c r="QV72" s="548"/>
      <c r="QW72" s="548"/>
      <c r="QX72" s="548"/>
      <c r="QY72" s="548"/>
      <c r="QZ72" s="548"/>
      <c r="RA72" s="548"/>
      <c r="RB72" s="548"/>
      <c r="RC72" s="548"/>
      <c r="RD72" s="548"/>
      <c r="RE72" s="548"/>
      <c r="RF72" s="548"/>
      <c r="RG72" s="548"/>
      <c r="RH72" s="548"/>
      <c r="RI72" s="548"/>
      <c r="RJ72" s="548"/>
      <c r="RK72" s="548"/>
      <c r="RL72" s="548"/>
      <c r="RM72" s="548"/>
      <c r="RN72" s="548"/>
      <c r="RO72" s="548"/>
      <c r="RP72" s="548"/>
      <c r="RQ72" s="548"/>
      <c r="RR72" s="548"/>
      <c r="RS72" s="548"/>
      <c r="RT72" s="548"/>
      <c r="RU72" s="548"/>
      <c r="RV72" s="548"/>
      <c r="RW72" s="548"/>
      <c r="RX72" s="548"/>
      <c r="RY72" s="548"/>
      <c r="RZ72" s="548"/>
      <c r="SA72" s="548"/>
      <c r="SB72" s="548"/>
      <c r="SC72" s="548"/>
      <c r="SD72" s="548"/>
      <c r="SE72" s="548"/>
      <c r="SF72" s="548"/>
      <c r="SG72" s="548"/>
      <c r="SH72" s="548"/>
      <c r="SI72" s="548"/>
      <c r="SJ72" s="548"/>
      <c r="SK72" s="548"/>
      <c r="SL72" s="548"/>
      <c r="SM72" s="548"/>
      <c r="SN72" s="548"/>
      <c r="SO72" s="548"/>
      <c r="SP72" s="548"/>
      <c r="SQ72" s="548"/>
      <c r="SR72" s="548"/>
      <c r="SS72" s="548"/>
      <c r="ST72" s="548"/>
      <c r="SU72" s="548"/>
      <c r="SV72" s="548"/>
      <c r="SW72" s="548"/>
      <c r="SX72" s="548"/>
      <c r="SY72" s="548"/>
      <c r="SZ72" s="548"/>
      <c r="TA72" s="548"/>
      <c r="TB72" s="548"/>
      <c r="TC72" s="548"/>
      <c r="TD72" s="548"/>
      <c r="TE72" s="548"/>
      <c r="TF72" s="548"/>
      <c r="TG72" s="548"/>
      <c r="TH72" s="548"/>
      <c r="TI72" s="548"/>
      <c r="TJ72" s="548"/>
      <c r="TK72" s="548"/>
      <c r="TL72" s="548"/>
      <c r="TM72" s="548"/>
      <c r="TN72" s="548"/>
      <c r="TO72" s="548"/>
      <c r="TP72" s="548"/>
      <c r="TQ72" s="548"/>
      <c r="TR72" s="548"/>
      <c r="TS72" s="548"/>
      <c r="TT72" s="548"/>
      <c r="TU72" s="548"/>
      <c r="TV72" s="548"/>
      <c r="TW72" s="548"/>
      <c r="TX72" s="548"/>
      <c r="TY72" s="548"/>
      <c r="TZ72" s="548"/>
      <c r="UA72" s="548"/>
      <c r="UB72" s="548"/>
      <c r="UC72" s="548"/>
      <c r="UD72" s="548"/>
      <c r="UE72" s="548"/>
      <c r="UF72" s="548"/>
      <c r="UG72" s="548"/>
      <c r="UH72" s="548"/>
      <c r="UI72" s="548"/>
      <c r="UJ72" s="548"/>
      <c r="UK72" s="548"/>
      <c r="UL72" s="548"/>
      <c r="UM72" s="548"/>
      <c r="UN72" s="548"/>
      <c r="UO72" s="548"/>
      <c r="UP72" s="548"/>
      <c r="UQ72" s="548"/>
      <c r="UR72" s="548"/>
      <c r="US72" s="548"/>
      <c r="UT72" s="548"/>
      <c r="UU72" s="548"/>
      <c r="UV72" s="548"/>
      <c r="UW72" s="548"/>
      <c r="UX72" s="548"/>
      <c r="UY72" s="548"/>
      <c r="UZ72" s="548"/>
      <c r="VA72" s="548"/>
      <c r="VB72" s="548"/>
      <c r="VC72" s="548"/>
      <c r="VD72" s="548"/>
      <c r="VE72" s="548"/>
      <c r="VF72" s="548"/>
      <c r="VG72" s="548"/>
      <c r="VH72" s="548"/>
      <c r="VI72" s="548"/>
      <c r="VJ72" s="548"/>
      <c r="VK72" s="548"/>
      <c r="VL72" s="548"/>
      <c r="VM72" s="548"/>
      <c r="VN72" s="548"/>
      <c r="VO72" s="548"/>
      <c r="VP72" s="548"/>
      <c r="VQ72" s="548"/>
      <c r="VR72" s="548"/>
      <c r="VS72" s="548"/>
      <c r="VT72" s="548"/>
      <c r="VU72" s="548"/>
      <c r="VV72" s="548"/>
      <c r="VW72" s="548"/>
      <c r="VX72" s="548"/>
      <c r="VY72" s="548"/>
      <c r="VZ72" s="548"/>
      <c r="WA72" s="548"/>
      <c r="WB72" s="548"/>
      <c r="WC72" s="548"/>
      <c r="WD72" s="548"/>
      <c r="WE72" s="548"/>
      <c r="WF72" s="548"/>
      <c r="WG72" s="548"/>
      <c r="WH72" s="548"/>
      <c r="WI72" s="548"/>
      <c r="WJ72" s="548"/>
      <c r="WK72" s="548"/>
      <c r="WL72" s="548"/>
      <c r="WM72" s="548"/>
      <c r="WN72" s="548"/>
      <c r="WO72" s="548"/>
      <c r="WP72" s="548"/>
      <c r="WQ72" s="548"/>
      <c r="WR72" s="548"/>
      <c r="WS72" s="548"/>
      <c r="WT72" s="548"/>
      <c r="WU72" s="548"/>
      <c r="WV72" s="548"/>
      <c r="WW72" s="548"/>
      <c r="WX72" s="548"/>
      <c r="WY72" s="548"/>
      <c r="WZ72" s="548"/>
      <c r="XA72" s="548"/>
      <c r="XB72" s="548"/>
      <c r="XC72" s="548"/>
      <c r="XD72" s="548"/>
      <c r="XE72" s="548"/>
      <c r="XF72" s="548"/>
      <c r="XG72" s="548"/>
      <c r="XH72" s="548"/>
      <c r="XI72" s="548"/>
      <c r="XJ72" s="548"/>
      <c r="XK72" s="548"/>
      <c r="XL72" s="548"/>
      <c r="XM72" s="548"/>
      <c r="XN72" s="548"/>
      <c r="XO72" s="548"/>
      <c r="XP72" s="548"/>
      <c r="XQ72" s="548"/>
      <c r="XR72" s="548"/>
      <c r="XS72" s="548"/>
      <c r="XT72" s="548"/>
      <c r="XU72" s="548"/>
      <c r="XV72" s="548"/>
      <c r="XW72" s="548"/>
      <c r="XX72" s="548"/>
      <c r="XY72" s="548"/>
      <c r="XZ72" s="548"/>
      <c r="YA72" s="548"/>
      <c r="YB72" s="548"/>
      <c r="YC72" s="548"/>
      <c r="YD72" s="548"/>
      <c r="YE72" s="548"/>
      <c r="YF72" s="548"/>
      <c r="YG72" s="548"/>
      <c r="YH72" s="548"/>
      <c r="YI72" s="548"/>
      <c r="YJ72" s="548"/>
      <c r="YK72" s="548"/>
      <c r="YL72" s="548"/>
      <c r="YM72" s="548"/>
      <c r="YN72" s="548"/>
      <c r="YO72" s="548"/>
      <c r="YP72" s="548"/>
      <c r="YQ72" s="548"/>
      <c r="YR72" s="548"/>
      <c r="YS72" s="548"/>
      <c r="YT72" s="548"/>
      <c r="YU72" s="548"/>
      <c r="YV72" s="548"/>
      <c r="YW72" s="548"/>
      <c r="YX72" s="548"/>
      <c r="YY72" s="548"/>
      <c r="YZ72" s="548"/>
      <c r="ZA72" s="548"/>
      <c r="ZB72" s="548"/>
      <c r="ZC72" s="548"/>
      <c r="ZD72" s="548"/>
      <c r="ZE72" s="548"/>
      <c r="ZF72" s="548"/>
      <c r="ZG72" s="548"/>
      <c r="ZH72" s="548"/>
      <c r="ZI72" s="548"/>
      <c r="ZJ72" s="548"/>
      <c r="ZK72" s="548"/>
      <c r="ZL72" s="548"/>
      <c r="ZM72" s="548"/>
      <c r="ZN72" s="548"/>
      <c r="ZO72" s="548"/>
      <c r="ZP72" s="548"/>
      <c r="ZQ72" s="548"/>
      <c r="ZR72" s="548"/>
      <c r="ZS72" s="548"/>
      <c r="ZT72" s="548"/>
      <c r="ZU72" s="548"/>
      <c r="ZV72" s="548"/>
      <c r="ZW72" s="548"/>
      <c r="ZX72" s="548"/>
      <c r="ZY72" s="548"/>
      <c r="ZZ72" s="548"/>
      <c r="AAA72" s="548"/>
      <c r="AAB72" s="548"/>
      <c r="AAC72" s="548"/>
      <c r="AAD72" s="548"/>
      <c r="AAE72" s="548"/>
      <c r="AAF72" s="548"/>
      <c r="AAG72" s="548"/>
      <c r="AAH72" s="548"/>
      <c r="AAI72" s="548"/>
      <c r="AAJ72" s="548"/>
      <c r="AAK72" s="548"/>
      <c r="AAL72" s="548"/>
      <c r="AAM72" s="548"/>
      <c r="AAN72" s="548"/>
      <c r="AAO72" s="548"/>
      <c r="AAP72" s="548"/>
      <c r="AAQ72" s="548"/>
      <c r="AAR72" s="548"/>
      <c r="AAS72" s="548"/>
      <c r="AAT72" s="548"/>
      <c r="AAU72" s="548"/>
      <c r="AAV72" s="548"/>
      <c r="AAW72" s="548"/>
      <c r="AAX72" s="548"/>
      <c r="AAY72" s="548"/>
      <c r="AAZ72" s="548"/>
      <c r="ABA72" s="548"/>
      <c r="ABB72" s="548"/>
      <c r="ABC72" s="548"/>
      <c r="ABD72" s="548"/>
      <c r="ABE72" s="548"/>
      <c r="ABF72" s="548"/>
      <c r="ABG72" s="548"/>
      <c r="ABH72" s="548"/>
      <c r="ABI72" s="548"/>
      <c r="ABJ72" s="548"/>
      <c r="ABK72" s="548"/>
      <c r="ABL72" s="548"/>
      <c r="ABM72" s="548"/>
      <c r="ABN72" s="548"/>
      <c r="ABO72" s="548"/>
      <c r="ABP72" s="548"/>
      <c r="ABQ72" s="548"/>
      <c r="ABR72" s="548"/>
      <c r="ABS72" s="548"/>
    </row>
    <row r="73" spans="1:747" customFormat="1" ht="15" customHeight="1" x14ac:dyDescent="0.2">
      <c r="A73" s="424" t="str">
        <f t="shared" si="909"/>
        <v/>
      </c>
      <c r="B73" s="415"/>
      <c r="C73" s="525"/>
      <c r="D73" s="750"/>
      <c r="E73" s="416" t="str">
        <f t="shared" si="751"/>
        <v/>
      </c>
      <c r="F73" s="527" t="str">
        <f t="shared" si="752"/>
        <v/>
      </c>
      <c r="G73" s="417"/>
      <c r="H73" s="583" t="str">
        <f t="shared" si="753"/>
        <v/>
      </c>
      <c r="I73" s="424"/>
      <c r="J73" s="419"/>
      <c r="K73" s="418"/>
      <c r="L73" s="419"/>
      <c r="M73" s="415"/>
      <c r="N73" s="420"/>
      <c r="O73" s="421"/>
      <c r="P73" s="561"/>
      <c r="Q73" s="422"/>
      <c r="R73" s="561" t="str">
        <f t="shared" si="754"/>
        <v/>
      </c>
      <c r="S73" s="664"/>
      <c r="T73" s="663"/>
      <c r="U73" s="580">
        <f t="shared" si="755"/>
        <v>0</v>
      </c>
      <c r="V73" s="418"/>
      <c r="W73" s="582" t="str">
        <f t="shared" si="756"/>
        <v/>
      </c>
      <c r="X73" s="479" t="str">
        <f t="shared" si="757"/>
        <v/>
      </c>
      <c r="Y73" s="582" t="str">
        <f t="shared" si="758"/>
        <v/>
      </c>
      <c r="Z73" s="317" t="str">
        <f t="shared" si="759"/>
        <v/>
      </c>
      <c r="AA73" s="317" t="str">
        <f t="shared" si="760"/>
        <v/>
      </c>
      <c r="AB73" s="317">
        <f t="shared" si="761"/>
        <v>0</v>
      </c>
      <c r="AC73" s="317" t="str">
        <f t="shared" si="762"/>
        <v/>
      </c>
      <c r="AD73" s="479"/>
      <c r="AE73" s="479"/>
      <c r="AF73" s="479"/>
      <c r="AG73" s="423"/>
      <c r="AH73" s="820"/>
      <c r="AI73" s="480"/>
      <c r="AJ73" s="660"/>
      <c r="AK73" s="524" t="str">
        <f t="shared" si="763"/>
        <v/>
      </c>
      <c r="AL73" s="731">
        <f>SUMIF($J$4:$J$46,"Imprensa",$S$4:$S$46)</f>
        <v>0</v>
      </c>
      <c r="AM73" s="732">
        <f>SUMIF($J$4:$J$46,"Imprensa",$T$4:$T$46)</f>
        <v>0</v>
      </c>
      <c r="AN73" s="426">
        <f t="shared" si="764"/>
        <v>0</v>
      </c>
      <c r="AO73" s="427" t="str">
        <f t="shared" si="765"/>
        <v/>
      </c>
      <c r="AP73" s="426" t="str">
        <f t="shared" si="766"/>
        <v/>
      </c>
      <c r="AQ73" s="426"/>
      <c r="AR73" s="426"/>
      <c r="AS73" s="428"/>
      <c r="AT73" s="429"/>
      <c r="AU73" s="430"/>
      <c r="AV73" s="431"/>
      <c r="AW73" s="432"/>
      <c r="AX73" s="430"/>
      <c r="AY73" s="431">
        <f t="shared" si="767"/>
        <v>0</v>
      </c>
      <c r="AZ73" s="426"/>
      <c r="BA73" s="435" t="str">
        <f t="shared" si="768"/>
        <v/>
      </c>
      <c r="BB73" s="435"/>
      <c r="BC73" s="426"/>
      <c r="BD73" s="426">
        <f t="array" ref="BD73">IF(SUM((BC73=$BC$3:BC72)*1)=0,BC73,0)</f>
        <v>0</v>
      </c>
      <c r="BE73" s="426"/>
      <c r="BF73" s="426"/>
      <c r="BG73" s="426">
        <f t="array" ref="BG73">IF(SUM((BF73=$BF$3:BF72)*1)=0,BF73,0)</f>
        <v>0</v>
      </c>
      <c r="BH73" s="426"/>
      <c r="BI73" s="426"/>
      <c r="BJ73" s="426"/>
      <c r="BK73" s="426"/>
      <c r="BL73" s="426"/>
      <c r="BM73" s="426"/>
      <c r="BN73" s="426"/>
      <c r="BO73" s="426"/>
      <c r="BP73" s="433">
        <f t="shared" si="769"/>
        <v>0</v>
      </c>
      <c r="BQ73" s="426"/>
      <c r="BR73" s="434"/>
      <c r="BS73" s="426"/>
      <c r="BT73" s="433"/>
      <c r="BU73" s="435"/>
      <c r="BV73" s="435" t="str">
        <f t="shared" si="770"/>
        <v/>
      </c>
      <c r="BW73" s="435" t="str">
        <f t="shared" si="798"/>
        <v/>
      </c>
      <c r="BX73" s="435"/>
      <c r="BY73" s="435"/>
      <c r="BZ73" s="435"/>
      <c r="CA73" s="435"/>
      <c r="CB73" s="435"/>
      <c r="CC73" s="435"/>
      <c r="CD73" s="435"/>
      <c r="CE73" s="435"/>
      <c r="CF73" s="435"/>
      <c r="CG73" s="435"/>
      <c r="CH73" s="435"/>
      <c r="CI73" s="435"/>
      <c r="CJ73" s="426" t="str">
        <f t="shared" si="799"/>
        <v/>
      </c>
      <c r="CK73" s="435"/>
      <c r="CL73" s="426"/>
      <c r="CM73" s="435"/>
      <c r="CN73" s="426"/>
      <c r="CO73" s="426"/>
      <c r="CP73" s="426"/>
      <c r="CQ73" s="426"/>
      <c r="CR73" s="426"/>
      <c r="CS73" s="426"/>
      <c r="CT73" s="426"/>
      <c r="CU73" s="426"/>
      <c r="CV73" s="426"/>
      <c r="CW73" s="426"/>
      <c r="CX73" s="426"/>
      <c r="CY73" s="426">
        <v>70</v>
      </c>
      <c r="CZ73" s="426"/>
      <c r="DA73" s="426"/>
      <c r="DB73" s="426"/>
      <c r="DC73" s="426" t="s">
        <v>813</v>
      </c>
      <c r="DD73" s="426" t="s">
        <v>973</v>
      </c>
      <c r="DE73" s="435" t="str">
        <f t="shared" si="800"/>
        <v/>
      </c>
      <c r="DF73" s="435" t="str">
        <f t="shared" si="801"/>
        <v/>
      </c>
      <c r="DG73" s="435" t="str">
        <f t="shared" si="802"/>
        <v/>
      </c>
      <c r="DH73" s="435" t="str">
        <f t="shared" si="803"/>
        <v/>
      </c>
      <c r="DI73" s="435" t="str">
        <f t="shared" si="804"/>
        <v/>
      </c>
      <c r="DJ73" s="435" t="str">
        <f t="shared" si="805"/>
        <v/>
      </c>
      <c r="DK73" s="435" t="str">
        <f t="shared" si="771"/>
        <v/>
      </c>
      <c r="DL73" s="435" t="str">
        <f t="shared" si="772"/>
        <v/>
      </c>
      <c r="DM73" s="435" t="str">
        <f t="shared" si="806"/>
        <v/>
      </c>
      <c r="DN73" s="435" t="str">
        <f t="shared" si="807"/>
        <v/>
      </c>
      <c r="DO73" s="435" t="str">
        <f t="shared" si="773"/>
        <v/>
      </c>
      <c r="DP73" s="435" t="str">
        <f t="shared" si="774"/>
        <v/>
      </c>
      <c r="DQ73" s="435" t="str">
        <f t="shared" si="808"/>
        <v/>
      </c>
      <c r="DR73" s="435" t="str">
        <f t="shared" si="809"/>
        <v/>
      </c>
      <c r="DS73" s="435" t="str">
        <f t="shared" si="775"/>
        <v/>
      </c>
      <c r="DT73" s="435" t="str">
        <f t="shared" si="776"/>
        <v/>
      </c>
      <c r="DU73" s="435" t="str">
        <f t="shared" si="810"/>
        <v/>
      </c>
      <c r="DV73" s="435" t="str">
        <f t="shared" si="811"/>
        <v/>
      </c>
      <c r="DW73" s="435" t="str">
        <f t="shared" si="777"/>
        <v/>
      </c>
      <c r="DX73" s="435" t="str">
        <f t="shared" si="778"/>
        <v/>
      </c>
      <c r="DY73" s="435" t="str">
        <f t="shared" si="812"/>
        <v/>
      </c>
      <c r="DZ73" s="435" t="str">
        <f t="shared" si="813"/>
        <v/>
      </c>
      <c r="EA73" s="435" t="str">
        <f t="shared" si="779"/>
        <v/>
      </c>
      <c r="EB73" s="435" t="str">
        <f t="shared" si="780"/>
        <v/>
      </c>
      <c r="EC73" s="435" t="str">
        <f t="shared" si="781"/>
        <v/>
      </c>
      <c r="ED73" s="435" t="str">
        <f t="shared" si="782"/>
        <v/>
      </c>
      <c r="EE73" s="435" t="str">
        <f t="shared" si="783"/>
        <v/>
      </c>
      <c r="EF73" s="435" t="str">
        <f t="shared" si="784"/>
        <v/>
      </c>
      <c r="EG73" s="435" t="str">
        <f t="shared" si="785"/>
        <v/>
      </c>
      <c r="EH73" s="435" t="str">
        <f t="shared" si="786"/>
        <v/>
      </c>
      <c r="EI73" s="435" t="str">
        <f t="shared" si="787"/>
        <v/>
      </c>
      <c r="EJ73" s="435" t="str">
        <f t="shared" si="788"/>
        <v/>
      </c>
      <c r="EK73" s="485"/>
      <c r="EL73" s="485"/>
      <c r="EM73" s="485"/>
      <c r="EN73" s="485"/>
      <c r="EO73" s="448"/>
      <c r="EP73" s="448"/>
      <c r="EQ73" s="448"/>
      <c r="ER73" s="448"/>
      <c r="ES73" s="448"/>
      <c r="ET73" s="435"/>
      <c r="EU73" s="435"/>
      <c r="EV73" s="435"/>
      <c r="EW73" s="435"/>
      <c r="EX73" s="426"/>
      <c r="EY73" s="426"/>
      <c r="EZ73" s="426"/>
      <c r="FA73" s="427"/>
      <c r="FB73" s="427">
        <f t="array" ref="FB73">IF(SUM((FA73=$FA$3:FA72)*1)=0,FA73,0)</f>
        <v>0</v>
      </c>
      <c r="FC73" s="427"/>
      <c r="FD73" s="427"/>
      <c r="FE73" s="427">
        <f t="array" ref="FE73">IF(SUM((FD73=$FD$3:FD72)*1)=0,FD73,0)</f>
        <v>0</v>
      </c>
      <c r="FF73" s="427"/>
      <c r="FG73" s="427"/>
      <c r="FH73" s="427"/>
      <c r="FI73" s="427">
        <f t="array" ref="FI73">IF(SUM((FH73=$FH$3:FH72)*1)=0,FH73,0)</f>
        <v>0</v>
      </c>
      <c r="FJ73" s="427"/>
      <c r="FK73" s="427"/>
      <c r="FL73" s="427">
        <f t="array" ref="FL73">IF(SUM((FK73=$FK$3:FK72)*1)=0,FK73,0)</f>
        <v>0</v>
      </c>
      <c r="FM73" s="427"/>
      <c r="FN73" s="427"/>
      <c r="FO73" s="427"/>
      <c r="FP73" s="427">
        <f t="array" ref="FP73">IF(SUM((FO73=$FO$3:FO72)*1)=0,FO73,0)</f>
        <v>0</v>
      </c>
      <c r="FQ73" s="427"/>
      <c r="FR73" s="427"/>
      <c r="FS73" s="427">
        <f t="array" ref="FS73">IF(SUM((FR73=$FR$3:FR72)*1)=0,FR73,0)</f>
        <v>0</v>
      </c>
      <c r="FT73" s="427"/>
      <c r="FU73" s="427"/>
      <c r="FV73" s="427"/>
      <c r="FW73" s="427">
        <f t="array" ref="FW73">IF(SUM((FV73=$FV$3:FV72)*1)=0,FV73,0)</f>
        <v>0</v>
      </c>
      <c r="FX73" s="427"/>
      <c r="FY73" s="427"/>
      <c r="FZ73" s="427">
        <f t="array" ref="FZ73">IF(SUM((FY73=$FY$3:FY72)*1)=0,FY73,0)</f>
        <v>0</v>
      </c>
      <c r="GA73" s="427"/>
      <c r="GB73" s="427"/>
      <c r="GC73" s="427"/>
      <c r="GD73" s="427">
        <f t="array" ref="GD73">IF(SUM((GC73=$GC$3:GC72)*1)=0,GC73,0)</f>
        <v>0</v>
      </c>
      <c r="GE73" s="427"/>
      <c r="GF73" s="427"/>
      <c r="GG73" s="427">
        <f t="array" ref="GG73">IF(SUM((GF73=$GF$3:GF72)*1)=0,GF73,0)</f>
        <v>0</v>
      </c>
      <c r="GH73" s="427"/>
      <c r="GI73" s="427"/>
      <c r="GJ73" s="427"/>
      <c r="GK73" s="798">
        <f t="array" ref="GK73">IF(SUM((GJ73=$GJ$3:GJ72)*1)=0,GJ73,0)</f>
        <v>0</v>
      </c>
      <c r="GL73" s="427"/>
      <c r="GM73" s="427"/>
      <c r="GN73" s="798">
        <f t="array" ref="GN73">IF(SUM((GM73=$GM$3:GM72)*1)=0,GM73,0)</f>
        <v>0</v>
      </c>
      <c r="GO73" s="427"/>
      <c r="GP73" s="427"/>
      <c r="GQ73" s="427"/>
      <c r="GR73" s="798">
        <f t="array" ref="GR73">IF(SUM((GQ73=$GQ$3:GQ72)*1)=0,GQ73,0)</f>
        <v>0</v>
      </c>
      <c r="GS73" s="427"/>
      <c r="GT73" s="427"/>
      <c r="GU73" s="798">
        <f t="array" ref="GU73">IF(SUM((GT73=$GT$3:GT72)*1)=0,GT73,0)</f>
        <v>0</v>
      </c>
      <c r="GV73" s="427"/>
      <c r="GW73" s="427"/>
      <c r="GX73" s="427"/>
      <c r="GY73" s="798">
        <f t="array" ref="GY73">IF(SUM((GX73=$GX$3:GX72)*1)=0,GX73,0)</f>
        <v>0</v>
      </c>
      <c r="GZ73" s="427"/>
      <c r="HA73" s="427"/>
      <c r="HB73" s="798">
        <f t="array" ref="HB73">IF(SUM((HA73=$HA$3:HA72)*1)=0,HA73,0)</f>
        <v>0</v>
      </c>
      <c r="HC73" s="427"/>
      <c r="HD73" s="427"/>
      <c r="HE73" s="769" t="str">
        <f t="shared" si="889"/>
        <v/>
      </c>
      <c r="HF73" s="768" t="str">
        <f t="shared" ref="HF73" si="928">IF(HE73&lt;0,"Invadiu REP-BA-C","")</f>
        <v/>
      </c>
      <c r="HG73" s="769" t="str">
        <f t="shared" si="891"/>
        <v/>
      </c>
      <c r="HH73" s="768" t="str">
        <f t="shared" si="815"/>
        <v/>
      </c>
      <c r="HI73" s="728" t="str">
        <f t="shared" si="892"/>
        <v/>
      </c>
      <c r="HJ73" s="768" t="str">
        <f t="shared" si="816"/>
        <v/>
      </c>
      <c r="HK73" s="728" t="str">
        <f t="shared" si="893"/>
        <v/>
      </c>
      <c r="HL73" s="768" t="str">
        <f t="shared" si="817"/>
        <v/>
      </c>
      <c r="HM73" s="769" t="str">
        <f t="shared" si="818"/>
        <v/>
      </c>
      <c r="HN73" s="768" t="str">
        <f t="shared" ref="HN73" si="929">IF(HM73&lt;0,"Invadiu REP-BA-C","")</f>
        <v/>
      </c>
      <c r="HO73" s="769" t="str">
        <f t="shared" si="820"/>
        <v/>
      </c>
      <c r="HP73" s="768" t="str">
        <f t="shared" si="821"/>
        <v/>
      </c>
      <c r="HQ73" s="728" t="str">
        <f t="shared" si="822"/>
        <v/>
      </c>
      <c r="HR73" s="768" t="str">
        <f t="shared" si="823"/>
        <v/>
      </c>
      <c r="HS73" s="728" t="str">
        <f t="shared" si="824"/>
        <v/>
      </c>
      <c r="HT73" s="768" t="str">
        <f t="shared" si="825"/>
        <v/>
      </c>
      <c r="HU73" s="769" t="str">
        <f t="shared" si="826"/>
        <v/>
      </c>
      <c r="HV73" s="768" t="str">
        <f t="shared" ref="HV73" si="930">IF(HU73&lt;0,"Invadiu REP-BA-C","")</f>
        <v/>
      </c>
      <c r="HW73" s="769" t="str">
        <f t="shared" si="828"/>
        <v/>
      </c>
      <c r="HX73" s="768" t="str">
        <f t="shared" si="829"/>
        <v/>
      </c>
      <c r="HY73" s="728" t="str">
        <f t="shared" si="830"/>
        <v/>
      </c>
      <c r="HZ73" s="768" t="str">
        <f t="shared" si="831"/>
        <v/>
      </c>
      <c r="IA73" s="728" t="str">
        <f t="shared" si="832"/>
        <v/>
      </c>
      <c r="IB73" s="768" t="str">
        <f t="shared" si="833"/>
        <v/>
      </c>
      <c r="IC73" s="769" t="str">
        <f t="shared" si="834"/>
        <v/>
      </c>
      <c r="ID73" s="768" t="str">
        <f t="shared" ref="ID73" si="931">IF(IC73&lt;0,"Invadiu REP-BA-C","")</f>
        <v/>
      </c>
      <c r="IE73" s="769" t="str">
        <f t="shared" si="836"/>
        <v/>
      </c>
      <c r="IF73" s="768" t="str">
        <f t="shared" si="837"/>
        <v/>
      </c>
      <c r="IG73" s="728" t="str">
        <f t="shared" si="838"/>
        <v/>
      </c>
      <c r="IH73" s="768" t="str">
        <f t="shared" si="839"/>
        <v/>
      </c>
      <c r="II73" s="728" t="str">
        <f t="shared" si="840"/>
        <v/>
      </c>
      <c r="IJ73" s="768" t="str">
        <f t="shared" si="841"/>
        <v/>
      </c>
      <c r="IK73" s="769" t="str">
        <f t="shared" si="842"/>
        <v/>
      </c>
      <c r="IL73" s="768" t="str">
        <f t="shared" ref="IL73" si="932">IF(IK73&lt;0,"Invadiu REP-BA-C","")</f>
        <v/>
      </c>
      <c r="IM73" s="769" t="str">
        <f t="shared" si="844"/>
        <v/>
      </c>
      <c r="IN73" s="768" t="str">
        <f t="shared" si="845"/>
        <v/>
      </c>
      <c r="IO73" s="728" t="str">
        <f t="shared" si="846"/>
        <v/>
      </c>
      <c r="IP73" s="768" t="str">
        <f t="shared" si="847"/>
        <v/>
      </c>
      <c r="IQ73" s="728" t="str">
        <f t="shared" si="848"/>
        <v/>
      </c>
      <c r="IR73" s="768" t="str">
        <f t="shared" si="849"/>
        <v/>
      </c>
      <c r="IS73" s="769" t="str">
        <f t="shared" si="850"/>
        <v/>
      </c>
      <c r="IT73" s="768" t="str">
        <f t="shared" ref="IT73" si="933">IF(IS73&lt;0,"Invadiu REP-BA-C","")</f>
        <v/>
      </c>
      <c r="IU73" s="769" t="str">
        <f t="shared" si="852"/>
        <v/>
      </c>
      <c r="IV73" s="768" t="str">
        <f t="shared" si="853"/>
        <v/>
      </c>
      <c r="IW73" s="728" t="str">
        <f t="shared" si="854"/>
        <v/>
      </c>
      <c r="IX73" s="768" t="str">
        <f t="shared" si="855"/>
        <v/>
      </c>
      <c r="IY73" s="728" t="str">
        <f t="shared" si="856"/>
        <v/>
      </c>
      <c r="IZ73" s="768" t="str">
        <f t="shared" si="857"/>
        <v/>
      </c>
      <c r="JA73" s="769" t="str">
        <f t="shared" si="858"/>
        <v/>
      </c>
      <c r="JB73" s="768" t="str">
        <f t="shared" ref="JB73" si="934">IF(JA73&lt;0,"Invadiu REP-BA-C","")</f>
        <v/>
      </c>
      <c r="JC73" s="769" t="str">
        <f t="shared" si="860"/>
        <v/>
      </c>
      <c r="JD73" s="768" t="str">
        <f t="shared" si="861"/>
        <v/>
      </c>
      <c r="JE73" s="728" t="str">
        <f t="shared" si="862"/>
        <v/>
      </c>
      <c r="JF73" s="768" t="str">
        <f t="shared" si="863"/>
        <v/>
      </c>
      <c r="JG73" s="728" t="str">
        <f t="shared" si="864"/>
        <v/>
      </c>
      <c r="JH73" s="768" t="str">
        <f t="shared" si="865"/>
        <v/>
      </c>
      <c r="JI73" s="769" t="str">
        <f t="shared" si="866"/>
        <v/>
      </c>
      <c r="JJ73" s="768" t="str">
        <f t="shared" ref="JJ73" si="935">IF(JI73&lt;0,"Invadiu REP-BA-C","")</f>
        <v/>
      </c>
      <c r="JK73" s="769" t="str">
        <f t="shared" si="868"/>
        <v/>
      </c>
      <c r="JL73" s="768" t="str">
        <f t="shared" si="869"/>
        <v/>
      </c>
      <c r="JM73" s="728" t="str">
        <f t="shared" si="870"/>
        <v/>
      </c>
      <c r="JN73" s="768" t="str">
        <f t="shared" si="871"/>
        <v/>
      </c>
      <c r="JO73" s="728" t="str">
        <f t="shared" si="872"/>
        <v/>
      </c>
      <c r="JP73" s="768" t="str">
        <f t="shared" si="873"/>
        <v/>
      </c>
      <c r="JQ73" s="769" t="str">
        <f t="shared" si="874"/>
        <v/>
      </c>
      <c r="JR73" s="768" t="str">
        <f t="shared" ref="JR73" si="936">IF(JQ73&lt;0,"Invadiu REP-BA-C","")</f>
        <v/>
      </c>
      <c r="JS73" s="769" t="str">
        <f t="shared" si="876"/>
        <v/>
      </c>
      <c r="JT73" s="768" t="str">
        <f t="shared" si="877"/>
        <v/>
      </c>
      <c r="JU73" s="728" t="str">
        <f t="shared" si="878"/>
        <v/>
      </c>
      <c r="JV73" s="768" t="str">
        <f t="shared" si="879"/>
        <v/>
      </c>
      <c r="JW73" s="728" t="str">
        <f t="shared" si="880"/>
        <v/>
      </c>
      <c r="JX73" s="768" t="str">
        <f t="shared" si="881"/>
        <v/>
      </c>
      <c r="JY73" s="768" t="str">
        <f t="shared" si="882"/>
        <v/>
      </c>
      <c r="JZ73" s="485" t="str">
        <f>IF(JY73="","",IF(AND(C73=$C$164,JY73&lt;&gt;""),Verificarcpf(D73),IF(AND(C73=$C$165,JY73&lt;&gt;""),VerificarCNPJ(D73))))</f>
        <v/>
      </c>
      <c r="KA73" s="768" t="str">
        <f t="shared" si="883"/>
        <v/>
      </c>
      <c r="KB73" s="485">
        <f t="shared" si="884"/>
        <v>0</v>
      </c>
      <c r="KC73" s="768">
        <f t="shared" si="885"/>
        <v>0</v>
      </c>
      <c r="KD73" s="485">
        <f t="shared" si="886"/>
        <v>0</v>
      </c>
      <c r="KE73" s="448"/>
      <c r="KF73" s="548"/>
      <c r="KG73" s="548"/>
      <c r="KH73" s="548"/>
      <c r="KI73" s="548"/>
      <c r="KJ73" s="548" t="str">
        <f t="shared" si="887"/>
        <v/>
      </c>
      <c r="KK73" s="548"/>
      <c r="KL73" s="548"/>
      <c r="KM73" s="548">
        <f t="array" ref="KM73">IF(SUM((KL73=$KL$3:KL72)*1)=0,KL73,0)</f>
        <v>0</v>
      </c>
      <c r="KN73" s="548"/>
      <c r="KO73" s="548"/>
      <c r="KP73" s="548"/>
      <c r="KQ73" s="548"/>
      <c r="KR73" s="548" t="str">
        <f t="shared" si="888"/>
        <v/>
      </c>
      <c r="KS73" s="548"/>
      <c r="KT73" s="548"/>
      <c r="KU73" s="548"/>
      <c r="KV73" s="548"/>
      <c r="KW73" s="548"/>
      <c r="KX73" s="548"/>
      <c r="KY73" s="548"/>
      <c r="KZ73" s="548"/>
      <c r="LA73" s="548"/>
      <c r="LB73" s="548"/>
      <c r="LC73" s="485" t="str">
        <f t="shared" si="902"/>
        <v/>
      </c>
      <c r="LD73" s="548"/>
      <c r="LE73" s="548"/>
      <c r="LF73" s="548"/>
      <c r="LG73" s="548"/>
      <c r="LH73" s="548"/>
      <c r="LI73" s="548"/>
      <c r="LJ73" s="548"/>
      <c r="LK73" s="548"/>
      <c r="LL73" s="548"/>
      <c r="LM73" s="548"/>
      <c r="LN73" s="548"/>
      <c r="LO73" s="548"/>
      <c r="LP73" s="485" t="str">
        <f t="shared" si="903"/>
        <v/>
      </c>
      <c r="LQ73" s="548"/>
      <c r="LR73" s="548"/>
      <c r="LS73" s="548"/>
      <c r="LT73" s="548"/>
      <c r="LU73" s="548"/>
      <c r="LV73" s="548"/>
      <c r="LW73" s="548"/>
      <c r="LX73" s="548"/>
      <c r="LY73" s="548"/>
      <c r="LZ73" s="548"/>
      <c r="MA73" s="548"/>
      <c r="MB73" s="548"/>
      <c r="MC73" s="485" t="str">
        <f t="shared" si="904"/>
        <v/>
      </c>
      <c r="MD73" s="548"/>
      <c r="ME73" s="548"/>
      <c r="MF73" s="548"/>
      <c r="MG73" s="548"/>
      <c r="MH73" s="548"/>
      <c r="MI73" s="548"/>
      <c r="MJ73" s="548"/>
      <c r="MK73" s="548"/>
      <c r="ML73" s="548"/>
      <c r="MM73" s="548"/>
      <c r="MN73" s="548"/>
      <c r="MO73" s="548"/>
      <c r="MP73" s="485" t="str">
        <f t="shared" si="905"/>
        <v/>
      </c>
      <c r="MQ73" s="548"/>
      <c r="MR73" s="548"/>
      <c r="MS73" s="548"/>
      <c r="MT73" s="548"/>
      <c r="MU73" s="548"/>
      <c r="MV73" s="548"/>
      <c r="MW73" s="548"/>
      <c r="MX73" s="548"/>
      <c r="MY73" s="548"/>
      <c r="MZ73" s="548"/>
      <c r="NA73" s="548"/>
      <c r="NB73" s="548"/>
      <c r="NC73" s="485" t="str">
        <f t="shared" si="906"/>
        <v/>
      </c>
      <c r="ND73" s="548"/>
      <c r="NE73" s="548"/>
      <c r="NF73" s="548"/>
      <c r="NG73" s="548"/>
      <c r="NH73" s="548"/>
      <c r="NI73" s="548"/>
      <c r="NJ73" s="548"/>
      <c r="NK73" s="548"/>
      <c r="NL73" s="548"/>
      <c r="NM73" s="548"/>
      <c r="NN73" s="548"/>
      <c r="NO73" s="548"/>
      <c r="NP73" s="485" t="str">
        <f t="shared" si="907"/>
        <v/>
      </c>
      <c r="NQ73" s="548"/>
      <c r="NR73" s="548"/>
      <c r="NS73" s="548"/>
      <c r="NT73" s="548"/>
      <c r="NU73" s="548"/>
      <c r="NV73" s="548"/>
      <c r="NW73" s="548"/>
      <c r="NX73" s="548"/>
      <c r="NY73" s="548"/>
      <c r="NZ73" s="548"/>
      <c r="OA73" s="548"/>
      <c r="OB73" s="548"/>
      <c r="OC73" s="485" t="str">
        <f t="shared" si="908"/>
        <v/>
      </c>
      <c r="OD73" s="548"/>
      <c r="OE73" s="548"/>
      <c r="OF73" s="548"/>
      <c r="OG73" s="548"/>
      <c r="OH73" s="548"/>
      <c r="OI73" s="548"/>
      <c r="OJ73" s="548"/>
      <c r="OK73" s="548"/>
      <c r="OL73" s="548"/>
      <c r="OM73" s="548"/>
      <c r="ON73" s="548"/>
      <c r="OO73" s="548"/>
      <c r="OP73" s="548"/>
      <c r="OQ73" s="548"/>
      <c r="OR73" s="548"/>
      <c r="OS73" s="548"/>
      <c r="OT73" s="548"/>
      <c r="OU73" s="548"/>
      <c r="OV73" s="548"/>
      <c r="OW73" s="548"/>
      <c r="OX73" s="548"/>
      <c r="OY73" s="548"/>
      <c r="OZ73" s="548"/>
      <c r="PA73" s="548"/>
      <c r="PB73" s="548"/>
      <c r="PC73" s="548"/>
      <c r="PD73" s="548"/>
      <c r="PE73" s="548"/>
      <c r="PF73" s="548"/>
      <c r="PG73" s="548"/>
      <c r="PH73" s="548"/>
      <c r="PI73" s="548"/>
      <c r="PJ73" s="548"/>
      <c r="PK73" s="548"/>
      <c r="PL73" s="548"/>
      <c r="PM73" s="548"/>
      <c r="PN73" s="548"/>
      <c r="PO73" s="548"/>
      <c r="PP73" s="548"/>
      <c r="PQ73" s="548"/>
      <c r="PR73" s="548"/>
      <c r="PS73" s="548"/>
      <c r="PT73" s="548"/>
      <c r="PU73" s="548"/>
      <c r="PV73" s="548"/>
      <c r="PW73" s="548"/>
      <c r="PX73" s="548"/>
      <c r="PY73" s="548"/>
      <c r="PZ73" s="548"/>
      <c r="QA73" s="548"/>
      <c r="QB73" s="548"/>
      <c r="QC73" s="548"/>
      <c r="QD73" s="548"/>
      <c r="QE73" s="548"/>
      <c r="QF73" s="548"/>
      <c r="QG73" s="548"/>
      <c r="QH73" s="548"/>
      <c r="QI73" s="548"/>
      <c r="QJ73" s="548"/>
      <c r="QK73" s="548"/>
      <c r="QL73" s="548"/>
      <c r="QM73" s="548"/>
      <c r="QN73" s="548"/>
      <c r="QO73" s="548"/>
      <c r="QP73" s="548"/>
      <c r="QQ73" s="1009"/>
      <c r="QR73" s="548"/>
      <c r="QS73" s="548"/>
      <c r="QT73" s="548"/>
      <c r="QU73" s="548"/>
      <c r="QV73" s="548"/>
      <c r="QW73" s="548"/>
      <c r="QX73" s="548"/>
      <c r="QY73" s="548"/>
      <c r="QZ73" s="548"/>
      <c r="RA73" s="548"/>
      <c r="RB73" s="548"/>
      <c r="RC73" s="548"/>
      <c r="RD73" s="548"/>
      <c r="RE73" s="548"/>
      <c r="RF73" s="548"/>
      <c r="RG73" s="548"/>
      <c r="RH73" s="548"/>
      <c r="RI73" s="548"/>
      <c r="RJ73" s="548"/>
      <c r="RK73" s="548"/>
      <c r="RL73" s="548"/>
      <c r="RM73" s="548"/>
      <c r="RN73" s="548"/>
      <c r="RO73" s="548"/>
      <c r="RP73" s="548"/>
      <c r="RQ73" s="548"/>
      <c r="RR73" s="548"/>
      <c r="RS73" s="548"/>
      <c r="RT73" s="548"/>
      <c r="RU73" s="548"/>
      <c r="RV73" s="548"/>
      <c r="RW73" s="548"/>
      <c r="RX73" s="548"/>
      <c r="RY73" s="548"/>
      <c r="RZ73" s="548"/>
      <c r="SA73" s="548"/>
      <c r="SB73" s="548"/>
      <c r="SC73" s="548"/>
      <c r="SD73" s="548"/>
      <c r="SE73" s="548"/>
      <c r="SF73" s="548"/>
      <c r="SG73" s="548"/>
      <c r="SH73" s="548"/>
      <c r="SI73" s="548"/>
      <c r="SJ73" s="548"/>
      <c r="SK73" s="548"/>
      <c r="SL73" s="548"/>
      <c r="SM73" s="548"/>
      <c r="SN73" s="548"/>
      <c r="SO73" s="548"/>
      <c r="SP73" s="548"/>
      <c r="SQ73" s="548"/>
      <c r="SR73" s="548"/>
      <c r="SS73" s="548"/>
      <c r="ST73" s="548"/>
      <c r="SU73" s="548"/>
      <c r="SV73" s="548"/>
      <c r="SW73" s="548"/>
      <c r="SX73" s="548"/>
      <c r="SY73" s="548"/>
      <c r="SZ73" s="548"/>
      <c r="TA73" s="548"/>
      <c r="TB73" s="548"/>
      <c r="TC73" s="548"/>
      <c r="TD73" s="548"/>
      <c r="TE73" s="548"/>
      <c r="TF73" s="548"/>
      <c r="TG73" s="548"/>
      <c r="TH73" s="548"/>
      <c r="TI73" s="548"/>
      <c r="TJ73" s="548"/>
      <c r="TK73" s="548"/>
      <c r="TL73" s="548"/>
      <c r="TM73" s="548"/>
      <c r="TN73" s="548"/>
      <c r="TO73" s="548"/>
      <c r="TP73" s="548"/>
      <c r="TQ73" s="548"/>
      <c r="TR73" s="548"/>
      <c r="TS73" s="548"/>
      <c r="TT73" s="548"/>
      <c r="TU73" s="548"/>
      <c r="TV73" s="548"/>
      <c r="TW73" s="548"/>
      <c r="TX73" s="548"/>
      <c r="TY73" s="548"/>
      <c r="TZ73" s="548"/>
      <c r="UA73" s="548"/>
      <c r="UB73" s="548"/>
      <c r="UC73" s="548"/>
      <c r="UD73" s="548"/>
      <c r="UE73" s="548"/>
      <c r="UF73" s="548"/>
      <c r="UG73" s="548"/>
      <c r="UH73" s="548"/>
      <c r="UI73" s="548"/>
      <c r="UJ73" s="548"/>
      <c r="UK73" s="548"/>
      <c r="UL73" s="548"/>
      <c r="UM73" s="548"/>
      <c r="UN73" s="548"/>
      <c r="UO73" s="548"/>
      <c r="UP73" s="548"/>
      <c r="UQ73" s="548"/>
      <c r="UR73" s="548"/>
      <c r="US73" s="548"/>
      <c r="UT73" s="548"/>
      <c r="UU73" s="548"/>
      <c r="UV73" s="548"/>
      <c r="UW73" s="548"/>
      <c r="UX73" s="548"/>
      <c r="UY73" s="548"/>
      <c r="UZ73" s="548"/>
      <c r="VA73" s="548"/>
      <c r="VB73" s="548"/>
      <c r="VC73" s="548"/>
      <c r="VD73" s="548"/>
      <c r="VE73" s="548"/>
      <c r="VF73" s="548"/>
      <c r="VG73" s="548"/>
      <c r="VH73" s="548"/>
      <c r="VI73" s="548"/>
      <c r="VJ73" s="548"/>
      <c r="VK73" s="548"/>
      <c r="VL73" s="548"/>
      <c r="VM73" s="548"/>
      <c r="VN73" s="548"/>
      <c r="VO73" s="548"/>
      <c r="VP73" s="548"/>
      <c r="VQ73" s="548"/>
      <c r="VR73" s="548"/>
      <c r="VS73" s="548"/>
      <c r="VT73" s="548"/>
      <c r="VU73" s="548"/>
      <c r="VV73" s="548"/>
      <c r="VW73" s="548"/>
      <c r="VX73" s="548"/>
      <c r="VY73" s="548"/>
      <c r="VZ73" s="548"/>
      <c r="WA73" s="548"/>
      <c r="WB73" s="548"/>
      <c r="WC73" s="548"/>
      <c r="WD73" s="548"/>
      <c r="WE73" s="548"/>
      <c r="WF73" s="548"/>
      <c r="WG73" s="548"/>
      <c r="WH73" s="548"/>
      <c r="WI73" s="548"/>
      <c r="WJ73" s="548"/>
      <c r="WK73" s="548"/>
      <c r="WL73" s="548"/>
      <c r="WM73" s="548"/>
      <c r="WN73" s="548"/>
      <c r="WO73" s="548"/>
      <c r="WP73" s="548"/>
      <c r="WQ73" s="548"/>
      <c r="WR73" s="548"/>
      <c r="WS73" s="548"/>
      <c r="WT73" s="548"/>
      <c r="WU73" s="548"/>
      <c r="WV73" s="548"/>
      <c r="WW73" s="548"/>
      <c r="WX73" s="548"/>
      <c r="WY73" s="548"/>
      <c r="WZ73" s="548"/>
      <c r="XA73" s="548"/>
      <c r="XB73" s="548"/>
      <c r="XC73" s="548"/>
      <c r="XD73" s="548"/>
      <c r="XE73" s="548"/>
      <c r="XF73" s="548"/>
      <c r="XG73" s="548"/>
      <c r="XH73" s="548"/>
      <c r="XI73" s="548"/>
      <c r="XJ73" s="548"/>
      <c r="XK73" s="548"/>
      <c r="XL73" s="548"/>
      <c r="XM73" s="548"/>
      <c r="XN73" s="548"/>
      <c r="XO73" s="548"/>
      <c r="XP73" s="548"/>
      <c r="XQ73" s="548"/>
      <c r="XR73" s="548"/>
      <c r="XS73" s="548"/>
      <c r="XT73" s="548"/>
      <c r="XU73" s="548"/>
      <c r="XV73" s="548"/>
      <c r="XW73" s="548"/>
      <c r="XX73" s="548"/>
      <c r="XY73" s="548"/>
      <c r="XZ73" s="548"/>
      <c r="YA73" s="548"/>
      <c r="YB73" s="548"/>
      <c r="YC73" s="548"/>
      <c r="YD73" s="548"/>
      <c r="YE73" s="548"/>
      <c r="YF73" s="548"/>
      <c r="YG73" s="548"/>
      <c r="YH73" s="548"/>
      <c r="YI73" s="548"/>
      <c r="YJ73" s="548"/>
      <c r="YK73" s="548"/>
      <c r="YL73" s="548"/>
      <c r="YM73" s="548"/>
      <c r="YN73" s="548"/>
      <c r="YO73" s="548"/>
      <c r="YP73" s="548"/>
      <c r="YQ73" s="548"/>
      <c r="YR73" s="548"/>
      <c r="YS73" s="548"/>
      <c r="YT73" s="548"/>
      <c r="YU73" s="548"/>
      <c r="YV73" s="548"/>
      <c r="YW73" s="548"/>
      <c r="YX73" s="548"/>
      <c r="YY73" s="548"/>
      <c r="YZ73" s="548"/>
      <c r="ZA73" s="548"/>
      <c r="ZB73" s="548"/>
      <c r="ZC73" s="548"/>
      <c r="ZD73" s="548"/>
      <c r="ZE73" s="548"/>
      <c r="ZF73" s="548"/>
      <c r="ZG73" s="548"/>
      <c r="ZH73" s="548"/>
      <c r="ZI73" s="548"/>
      <c r="ZJ73" s="548"/>
      <c r="ZK73" s="548"/>
      <c r="ZL73" s="548"/>
      <c r="ZM73" s="548"/>
      <c r="ZN73" s="548"/>
      <c r="ZO73" s="548"/>
      <c r="ZP73" s="548"/>
      <c r="ZQ73" s="548"/>
      <c r="ZR73" s="548"/>
      <c r="ZS73" s="548"/>
      <c r="ZT73" s="548"/>
      <c r="ZU73" s="548"/>
      <c r="ZV73" s="548"/>
      <c r="ZW73" s="548"/>
      <c r="ZX73" s="548"/>
      <c r="ZY73" s="548"/>
      <c r="ZZ73" s="548"/>
      <c r="AAA73" s="548"/>
      <c r="AAB73" s="548"/>
      <c r="AAC73" s="548"/>
      <c r="AAD73" s="548"/>
      <c r="AAE73" s="548"/>
      <c r="AAF73" s="548"/>
      <c r="AAG73" s="548"/>
      <c r="AAH73" s="548"/>
      <c r="AAI73" s="548"/>
      <c r="AAJ73" s="548"/>
      <c r="AAK73" s="548"/>
      <c r="AAL73" s="548"/>
      <c r="AAM73" s="548"/>
      <c r="AAN73" s="548"/>
      <c r="AAO73" s="548"/>
      <c r="AAP73" s="548"/>
      <c r="AAQ73" s="548"/>
      <c r="AAR73" s="548"/>
      <c r="AAS73" s="548"/>
      <c r="AAT73" s="548"/>
      <c r="AAU73" s="548"/>
      <c r="AAV73" s="548"/>
      <c r="AAW73" s="548"/>
      <c r="AAX73" s="548"/>
      <c r="AAY73" s="548"/>
      <c r="AAZ73" s="548"/>
      <c r="ABA73" s="548"/>
      <c r="ABB73" s="548"/>
      <c r="ABC73" s="548"/>
      <c r="ABD73" s="548"/>
      <c r="ABE73" s="548"/>
      <c r="ABF73" s="548"/>
      <c r="ABG73" s="548"/>
      <c r="ABH73" s="548"/>
      <c r="ABI73" s="548"/>
      <c r="ABJ73" s="548"/>
      <c r="ABK73" s="548"/>
      <c r="ABL73" s="548"/>
      <c r="ABM73" s="548"/>
      <c r="ABN73" s="548"/>
      <c r="ABO73" s="548"/>
      <c r="ABP73" s="548"/>
      <c r="ABQ73" s="548"/>
      <c r="ABR73" s="548"/>
      <c r="ABS73" s="548"/>
    </row>
    <row r="74" spans="1:747" customFormat="1" ht="15" customHeight="1" x14ac:dyDescent="0.2">
      <c r="A74" s="424" t="str">
        <f t="shared" si="909"/>
        <v/>
      </c>
      <c r="B74" s="439"/>
      <c r="C74" s="526"/>
      <c r="D74" s="751"/>
      <c r="E74" s="416" t="str">
        <f t="shared" si="751"/>
        <v/>
      </c>
      <c r="F74" s="527" t="str">
        <f t="shared" si="752"/>
        <v/>
      </c>
      <c r="G74" s="417"/>
      <c r="H74" s="584" t="str">
        <f t="shared" si="753"/>
        <v/>
      </c>
      <c r="I74" s="608"/>
      <c r="J74" s="441"/>
      <c r="K74" s="440"/>
      <c r="L74" s="441"/>
      <c r="M74" s="439"/>
      <c r="N74" s="442"/>
      <c r="O74" s="443"/>
      <c r="P74" s="562"/>
      <c r="Q74" s="444"/>
      <c r="R74" s="562" t="str">
        <f t="shared" si="754"/>
        <v/>
      </c>
      <c r="S74" s="665"/>
      <c r="T74" s="663"/>
      <c r="U74" s="580">
        <f t="shared" si="755"/>
        <v>0</v>
      </c>
      <c r="V74" s="440"/>
      <c r="W74" s="582" t="str">
        <f t="shared" si="756"/>
        <v/>
      </c>
      <c r="X74" s="479" t="str">
        <f t="shared" si="757"/>
        <v/>
      </c>
      <c r="Y74" s="582" t="str">
        <f t="shared" si="758"/>
        <v/>
      </c>
      <c r="Z74" s="317" t="str">
        <f t="shared" si="759"/>
        <v/>
      </c>
      <c r="AA74" s="317" t="str">
        <f t="shared" si="760"/>
        <v/>
      </c>
      <c r="AB74" s="317">
        <f t="shared" si="761"/>
        <v>0</v>
      </c>
      <c r="AC74" s="317" t="str">
        <f t="shared" si="762"/>
        <v/>
      </c>
      <c r="AD74" s="479"/>
      <c r="AE74" s="479"/>
      <c r="AF74" s="479"/>
      <c r="AG74" s="546"/>
      <c r="AH74" s="821"/>
      <c r="AI74" s="547"/>
      <c r="AJ74" s="661"/>
      <c r="AK74" s="524" t="str">
        <f t="shared" si="763"/>
        <v/>
      </c>
      <c r="AL74" s="731">
        <f>SUMIF($J$4:$J$60,"Imprensa",$S$4:$S$60)</f>
        <v>0</v>
      </c>
      <c r="AM74" s="732">
        <f>SUMIF($J$4:$J$60,"Imprensa",$T$4:$T$60)</f>
        <v>0</v>
      </c>
      <c r="AN74" s="426">
        <f t="shared" si="764"/>
        <v>0</v>
      </c>
      <c r="AO74" s="427" t="str">
        <f t="shared" si="765"/>
        <v/>
      </c>
      <c r="AP74" s="426" t="str">
        <f t="shared" si="766"/>
        <v/>
      </c>
      <c r="AQ74" s="426"/>
      <c r="AR74" s="426"/>
      <c r="AS74" s="428"/>
      <c r="AT74" s="429"/>
      <c r="AU74" s="430"/>
      <c r="AV74" s="431"/>
      <c r="AW74" s="432"/>
      <c r="AX74" s="430"/>
      <c r="AY74" s="431">
        <f t="shared" si="767"/>
        <v>0</v>
      </c>
      <c r="AZ74" s="426"/>
      <c r="BA74" s="435" t="str">
        <f t="shared" si="768"/>
        <v/>
      </c>
      <c r="BB74" s="435"/>
      <c r="BC74" s="426"/>
      <c r="BD74" s="426">
        <f t="array" ref="BD74">IF(SUM((BC74=$BC$3:BC73)*1)=0,BC74,0)</f>
        <v>0</v>
      </c>
      <c r="BE74" s="426"/>
      <c r="BF74" s="426"/>
      <c r="BG74" s="426">
        <f t="array" ref="BG74">IF(SUM((BF74=$BF$3:BF73)*1)=0,BF74,0)</f>
        <v>0</v>
      </c>
      <c r="BH74" s="426"/>
      <c r="BI74" s="426"/>
      <c r="BJ74" s="426"/>
      <c r="BK74" s="426"/>
      <c r="BL74" s="426"/>
      <c r="BM74" s="426"/>
      <c r="BN74" s="426"/>
      <c r="BO74" s="426"/>
      <c r="BP74" s="433">
        <f t="shared" si="769"/>
        <v>0</v>
      </c>
      <c r="BQ74" s="426"/>
      <c r="BR74" s="434"/>
      <c r="BS74" s="426"/>
      <c r="BT74" s="433"/>
      <c r="BU74" s="435"/>
      <c r="BV74" s="435" t="str">
        <f t="shared" si="770"/>
        <v/>
      </c>
      <c r="BW74" s="435" t="str">
        <f t="shared" si="798"/>
        <v/>
      </c>
      <c r="BX74" s="435"/>
      <c r="BY74" s="435"/>
      <c r="BZ74" s="435"/>
      <c r="CA74" s="435"/>
      <c r="CB74" s="435"/>
      <c r="CC74" s="435"/>
      <c r="CD74" s="435"/>
      <c r="CE74" s="435"/>
      <c r="CF74" s="435"/>
      <c r="CG74" s="435"/>
      <c r="CH74" s="435"/>
      <c r="CI74" s="435"/>
      <c r="CJ74" s="426" t="str">
        <f t="shared" si="799"/>
        <v/>
      </c>
      <c r="CK74" s="435"/>
      <c r="CL74" s="426"/>
      <c r="CM74" s="435"/>
      <c r="CN74" s="426"/>
      <c r="CO74" s="426"/>
      <c r="CP74" s="426"/>
      <c r="CQ74" s="426"/>
      <c r="CR74" s="426"/>
      <c r="CS74" s="426"/>
      <c r="CT74" s="426"/>
      <c r="CU74" s="426"/>
      <c r="CV74" s="426"/>
      <c r="CW74" s="426"/>
      <c r="CX74" s="426"/>
      <c r="CY74" s="426">
        <v>71</v>
      </c>
      <c r="CZ74" s="426"/>
      <c r="DA74" s="426"/>
      <c r="DB74" s="426"/>
      <c r="DC74" s="426" t="s">
        <v>814</v>
      </c>
      <c r="DD74" s="426" t="s">
        <v>974</v>
      </c>
      <c r="DE74" s="435" t="str">
        <f t="shared" si="800"/>
        <v/>
      </c>
      <c r="DF74" s="435" t="str">
        <f t="shared" si="801"/>
        <v/>
      </c>
      <c r="DG74" s="435" t="str">
        <f t="shared" si="802"/>
        <v/>
      </c>
      <c r="DH74" s="435" t="str">
        <f t="shared" si="803"/>
        <v/>
      </c>
      <c r="DI74" s="435" t="str">
        <f t="shared" si="804"/>
        <v/>
      </c>
      <c r="DJ74" s="435" t="str">
        <f t="shared" si="805"/>
        <v/>
      </c>
      <c r="DK74" s="435" t="str">
        <f t="shared" si="771"/>
        <v/>
      </c>
      <c r="DL74" s="435" t="str">
        <f t="shared" si="772"/>
        <v/>
      </c>
      <c r="DM74" s="435" t="str">
        <f t="shared" si="806"/>
        <v/>
      </c>
      <c r="DN74" s="435" t="str">
        <f t="shared" si="807"/>
        <v/>
      </c>
      <c r="DO74" s="435" t="str">
        <f t="shared" si="773"/>
        <v/>
      </c>
      <c r="DP74" s="435" t="str">
        <f t="shared" si="774"/>
        <v/>
      </c>
      <c r="DQ74" s="435" t="str">
        <f t="shared" si="808"/>
        <v/>
      </c>
      <c r="DR74" s="435" t="str">
        <f t="shared" si="809"/>
        <v/>
      </c>
      <c r="DS74" s="435" t="str">
        <f t="shared" si="775"/>
        <v/>
      </c>
      <c r="DT74" s="435" t="str">
        <f t="shared" si="776"/>
        <v/>
      </c>
      <c r="DU74" s="435" t="str">
        <f t="shared" si="810"/>
        <v/>
      </c>
      <c r="DV74" s="435" t="str">
        <f t="shared" si="811"/>
        <v/>
      </c>
      <c r="DW74" s="435" t="str">
        <f t="shared" si="777"/>
        <v/>
      </c>
      <c r="DX74" s="435" t="str">
        <f t="shared" si="778"/>
        <v/>
      </c>
      <c r="DY74" s="435" t="str">
        <f t="shared" si="812"/>
        <v/>
      </c>
      <c r="DZ74" s="435" t="str">
        <f t="shared" si="813"/>
        <v/>
      </c>
      <c r="EA74" s="435" t="str">
        <f t="shared" si="779"/>
        <v/>
      </c>
      <c r="EB74" s="435" t="str">
        <f t="shared" si="780"/>
        <v/>
      </c>
      <c r="EC74" s="435" t="str">
        <f t="shared" si="781"/>
        <v/>
      </c>
      <c r="ED74" s="435" t="str">
        <f t="shared" si="782"/>
        <v/>
      </c>
      <c r="EE74" s="435" t="str">
        <f t="shared" si="783"/>
        <v/>
      </c>
      <c r="EF74" s="435" t="str">
        <f t="shared" si="784"/>
        <v/>
      </c>
      <c r="EG74" s="435" t="str">
        <f t="shared" si="785"/>
        <v/>
      </c>
      <c r="EH74" s="435" t="str">
        <f t="shared" si="786"/>
        <v/>
      </c>
      <c r="EI74" s="435" t="str">
        <f t="shared" si="787"/>
        <v/>
      </c>
      <c r="EJ74" s="435" t="str">
        <f t="shared" si="788"/>
        <v/>
      </c>
      <c r="EK74" s="485"/>
      <c r="EL74" s="485"/>
      <c r="EM74" s="485"/>
      <c r="EN74" s="485"/>
      <c r="EO74" s="448"/>
      <c r="EP74" s="448"/>
      <c r="EQ74" s="448"/>
      <c r="ER74" s="448"/>
      <c r="ES74" s="448"/>
      <c r="ET74" s="435"/>
      <c r="EU74" s="435"/>
      <c r="EV74" s="435"/>
      <c r="EW74" s="435"/>
      <c r="EX74" s="426"/>
      <c r="EY74" s="426"/>
      <c r="EZ74" s="426"/>
      <c r="FA74" s="427"/>
      <c r="FB74" s="427">
        <f t="array" ref="FB74">IF(SUM((FA74=$FA$3:FA73)*1)=0,FA74,0)</f>
        <v>0</v>
      </c>
      <c r="FC74" s="427"/>
      <c r="FD74" s="427"/>
      <c r="FE74" s="427">
        <f t="array" ref="FE74">IF(SUM((FD74=$FD$3:FD73)*1)=0,FD74,0)</f>
        <v>0</v>
      </c>
      <c r="FF74" s="427"/>
      <c r="FG74" s="427"/>
      <c r="FH74" s="427"/>
      <c r="FI74" s="427">
        <f t="array" ref="FI74">IF(SUM((FH74=$FH$3:FH73)*1)=0,FH74,0)</f>
        <v>0</v>
      </c>
      <c r="FJ74" s="427"/>
      <c r="FK74" s="427"/>
      <c r="FL74" s="427">
        <f t="array" ref="FL74">IF(SUM((FK74=$FK$3:FK73)*1)=0,FK74,0)</f>
        <v>0</v>
      </c>
      <c r="FM74" s="427"/>
      <c r="FN74" s="427"/>
      <c r="FO74" s="427"/>
      <c r="FP74" s="427">
        <f t="array" ref="FP74">IF(SUM((FO74=$FO$3:FO73)*1)=0,FO74,0)</f>
        <v>0</v>
      </c>
      <c r="FQ74" s="427"/>
      <c r="FR74" s="427"/>
      <c r="FS74" s="427">
        <f t="array" ref="FS74">IF(SUM((FR74=$FR$3:FR73)*1)=0,FR74,0)</f>
        <v>0</v>
      </c>
      <c r="FT74" s="427"/>
      <c r="FU74" s="427"/>
      <c r="FV74" s="427"/>
      <c r="FW74" s="427">
        <f t="array" ref="FW74">IF(SUM((FV74=$FV$3:FV73)*1)=0,FV74,0)</f>
        <v>0</v>
      </c>
      <c r="FX74" s="427"/>
      <c r="FY74" s="427"/>
      <c r="FZ74" s="427">
        <f t="array" ref="FZ74">IF(SUM((FY74=$FY$3:FY73)*1)=0,FY74,0)</f>
        <v>0</v>
      </c>
      <c r="GA74" s="427"/>
      <c r="GB74" s="427"/>
      <c r="GC74" s="427"/>
      <c r="GD74" s="427">
        <f t="array" ref="GD74">IF(SUM((GC74=$GC$3:GC73)*1)=0,GC74,0)</f>
        <v>0</v>
      </c>
      <c r="GE74" s="427"/>
      <c r="GF74" s="427"/>
      <c r="GG74" s="427">
        <f t="array" ref="GG74">IF(SUM((GF74=$GF$3:GF73)*1)=0,GF74,0)</f>
        <v>0</v>
      </c>
      <c r="GH74" s="427"/>
      <c r="GI74" s="427"/>
      <c r="GJ74" s="427"/>
      <c r="GK74" s="798">
        <f t="array" ref="GK74">IF(SUM((GJ74=$GJ$3:GJ73)*1)=0,GJ74,0)</f>
        <v>0</v>
      </c>
      <c r="GL74" s="427"/>
      <c r="GM74" s="427"/>
      <c r="GN74" s="798">
        <f t="array" ref="GN74">IF(SUM((GM74=$GM$3:GM73)*1)=0,GM74,0)</f>
        <v>0</v>
      </c>
      <c r="GO74" s="427"/>
      <c r="GP74" s="427"/>
      <c r="GQ74" s="427"/>
      <c r="GR74" s="798">
        <f t="array" ref="GR74">IF(SUM((GQ74=$GQ$3:GQ73)*1)=0,GQ74,0)</f>
        <v>0</v>
      </c>
      <c r="GS74" s="427"/>
      <c r="GT74" s="427"/>
      <c r="GU74" s="798">
        <f t="array" ref="GU74">IF(SUM((GT74=$GT$3:GT73)*1)=0,GT74,0)</f>
        <v>0</v>
      </c>
      <c r="GV74" s="427"/>
      <c r="GW74" s="427"/>
      <c r="GX74" s="427"/>
      <c r="GY74" s="798">
        <f t="array" ref="GY74">IF(SUM((GX74=$GX$3:GX73)*1)=0,GX74,0)</f>
        <v>0</v>
      </c>
      <c r="GZ74" s="427"/>
      <c r="HA74" s="427"/>
      <c r="HB74" s="798">
        <f t="array" ref="HB74">IF(SUM((HA74=$HA$3:HA73)*1)=0,HA74,0)</f>
        <v>0</v>
      </c>
      <c r="HC74" s="427"/>
      <c r="HD74" s="427"/>
      <c r="HE74" s="769" t="str">
        <f t="shared" si="889"/>
        <v/>
      </c>
      <c r="HF74" s="768" t="str">
        <f t="shared" ref="HF74" si="937">IF(HE74&lt;0,"Invadiu REP-BA-C","")</f>
        <v/>
      </c>
      <c r="HG74" s="769" t="str">
        <f t="shared" si="891"/>
        <v/>
      </c>
      <c r="HH74" s="768" t="str">
        <f t="shared" si="815"/>
        <v/>
      </c>
      <c r="HI74" s="728" t="str">
        <f t="shared" si="892"/>
        <v/>
      </c>
      <c r="HJ74" s="768" t="str">
        <f t="shared" si="816"/>
        <v/>
      </c>
      <c r="HK74" s="728" t="str">
        <f t="shared" si="893"/>
        <v/>
      </c>
      <c r="HL74" s="768" t="str">
        <f t="shared" si="817"/>
        <v/>
      </c>
      <c r="HM74" s="769" t="str">
        <f t="shared" si="818"/>
        <v/>
      </c>
      <c r="HN74" s="768" t="str">
        <f t="shared" ref="HN74" si="938">IF(HM74&lt;0,"Invadiu REP-BA-C","")</f>
        <v/>
      </c>
      <c r="HO74" s="769" t="str">
        <f t="shared" si="820"/>
        <v/>
      </c>
      <c r="HP74" s="768" t="str">
        <f t="shared" si="821"/>
        <v/>
      </c>
      <c r="HQ74" s="728" t="str">
        <f t="shared" si="822"/>
        <v/>
      </c>
      <c r="HR74" s="768" t="str">
        <f t="shared" si="823"/>
        <v/>
      </c>
      <c r="HS74" s="728" t="str">
        <f t="shared" si="824"/>
        <v/>
      </c>
      <c r="HT74" s="768" t="str">
        <f t="shared" si="825"/>
        <v/>
      </c>
      <c r="HU74" s="769" t="str">
        <f t="shared" si="826"/>
        <v/>
      </c>
      <c r="HV74" s="768" t="str">
        <f t="shared" ref="HV74" si="939">IF(HU74&lt;0,"Invadiu REP-BA-C","")</f>
        <v/>
      </c>
      <c r="HW74" s="769" t="str">
        <f t="shared" si="828"/>
        <v/>
      </c>
      <c r="HX74" s="768" t="str">
        <f t="shared" si="829"/>
        <v/>
      </c>
      <c r="HY74" s="728" t="str">
        <f t="shared" si="830"/>
        <v/>
      </c>
      <c r="HZ74" s="768" t="str">
        <f t="shared" si="831"/>
        <v/>
      </c>
      <c r="IA74" s="728" t="str">
        <f t="shared" si="832"/>
        <v/>
      </c>
      <c r="IB74" s="768" t="str">
        <f t="shared" si="833"/>
        <v/>
      </c>
      <c r="IC74" s="769" t="str">
        <f t="shared" si="834"/>
        <v/>
      </c>
      <c r="ID74" s="768" t="str">
        <f t="shared" ref="ID74" si="940">IF(IC74&lt;0,"Invadiu REP-BA-C","")</f>
        <v/>
      </c>
      <c r="IE74" s="769" t="str">
        <f t="shared" si="836"/>
        <v/>
      </c>
      <c r="IF74" s="768" t="str">
        <f t="shared" si="837"/>
        <v/>
      </c>
      <c r="IG74" s="728" t="str">
        <f t="shared" si="838"/>
        <v/>
      </c>
      <c r="IH74" s="768" t="str">
        <f t="shared" si="839"/>
        <v/>
      </c>
      <c r="II74" s="728" t="str">
        <f t="shared" si="840"/>
        <v/>
      </c>
      <c r="IJ74" s="768" t="str">
        <f t="shared" si="841"/>
        <v/>
      </c>
      <c r="IK74" s="769" t="str">
        <f t="shared" si="842"/>
        <v/>
      </c>
      <c r="IL74" s="768" t="str">
        <f t="shared" ref="IL74" si="941">IF(IK74&lt;0,"Invadiu REP-BA-C","")</f>
        <v/>
      </c>
      <c r="IM74" s="769" t="str">
        <f t="shared" si="844"/>
        <v/>
      </c>
      <c r="IN74" s="768" t="str">
        <f t="shared" si="845"/>
        <v/>
      </c>
      <c r="IO74" s="728" t="str">
        <f t="shared" si="846"/>
        <v/>
      </c>
      <c r="IP74" s="768" t="str">
        <f t="shared" si="847"/>
        <v/>
      </c>
      <c r="IQ74" s="728" t="str">
        <f t="shared" si="848"/>
        <v/>
      </c>
      <c r="IR74" s="768" t="str">
        <f t="shared" si="849"/>
        <v/>
      </c>
      <c r="IS74" s="769" t="str">
        <f t="shared" si="850"/>
        <v/>
      </c>
      <c r="IT74" s="768" t="str">
        <f t="shared" ref="IT74" si="942">IF(IS74&lt;0,"Invadiu REP-BA-C","")</f>
        <v/>
      </c>
      <c r="IU74" s="769" t="str">
        <f t="shared" si="852"/>
        <v/>
      </c>
      <c r="IV74" s="768" t="str">
        <f t="shared" si="853"/>
        <v/>
      </c>
      <c r="IW74" s="728" t="str">
        <f t="shared" si="854"/>
        <v/>
      </c>
      <c r="IX74" s="768" t="str">
        <f t="shared" si="855"/>
        <v/>
      </c>
      <c r="IY74" s="728" t="str">
        <f t="shared" si="856"/>
        <v/>
      </c>
      <c r="IZ74" s="768" t="str">
        <f t="shared" si="857"/>
        <v/>
      </c>
      <c r="JA74" s="769" t="str">
        <f t="shared" si="858"/>
        <v/>
      </c>
      <c r="JB74" s="768" t="str">
        <f t="shared" ref="JB74" si="943">IF(JA74&lt;0,"Invadiu REP-BA-C","")</f>
        <v/>
      </c>
      <c r="JC74" s="769" t="str">
        <f t="shared" si="860"/>
        <v/>
      </c>
      <c r="JD74" s="768" t="str">
        <f t="shared" si="861"/>
        <v/>
      </c>
      <c r="JE74" s="728" t="str">
        <f t="shared" si="862"/>
        <v/>
      </c>
      <c r="JF74" s="768" t="str">
        <f t="shared" si="863"/>
        <v/>
      </c>
      <c r="JG74" s="728" t="str">
        <f t="shared" si="864"/>
        <v/>
      </c>
      <c r="JH74" s="768" t="str">
        <f t="shared" si="865"/>
        <v/>
      </c>
      <c r="JI74" s="769" t="str">
        <f t="shared" si="866"/>
        <v/>
      </c>
      <c r="JJ74" s="768" t="str">
        <f t="shared" ref="JJ74" si="944">IF(JI74&lt;0,"Invadiu REP-BA-C","")</f>
        <v/>
      </c>
      <c r="JK74" s="769" t="str">
        <f t="shared" si="868"/>
        <v/>
      </c>
      <c r="JL74" s="768" t="str">
        <f t="shared" si="869"/>
        <v/>
      </c>
      <c r="JM74" s="728" t="str">
        <f t="shared" si="870"/>
        <v/>
      </c>
      <c r="JN74" s="768" t="str">
        <f t="shared" si="871"/>
        <v/>
      </c>
      <c r="JO74" s="728" t="str">
        <f t="shared" si="872"/>
        <v/>
      </c>
      <c r="JP74" s="768" t="str">
        <f t="shared" si="873"/>
        <v/>
      </c>
      <c r="JQ74" s="769" t="str">
        <f t="shared" si="874"/>
        <v/>
      </c>
      <c r="JR74" s="768" t="str">
        <f t="shared" ref="JR74" si="945">IF(JQ74&lt;0,"Invadiu REP-BA-C","")</f>
        <v/>
      </c>
      <c r="JS74" s="769" t="str">
        <f t="shared" si="876"/>
        <v/>
      </c>
      <c r="JT74" s="768" t="str">
        <f t="shared" si="877"/>
        <v/>
      </c>
      <c r="JU74" s="728" t="str">
        <f t="shared" si="878"/>
        <v/>
      </c>
      <c r="JV74" s="768" t="str">
        <f t="shared" si="879"/>
        <v/>
      </c>
      <c r="JW74" s="728" t="str">
        <f t="shared" si="880"/>
        <v/>
      </c>
      <c r="JX74" s="768" t="str">
        <f t="shared" si="881"/>
        <v/>
      </c>
      <c r="JY74" s="768" t="str">
        <f t="shared" si="882"/>
        <v/>
      </c>
      <c r="JZ74" s="485" t="str">
        <f>IF(JY74="","",IF(AND(C74=$C$164,JY74&lt;&gt;""),Verificarcpf(D74),IF(AND(C74=$C$165,JY74&lt;&gt;""),VerificarCNPJ(D74))))</f>
        <v/>
      </c>
      <c r="KA74" s="768" t="str">
        <f t="shared" si="883"/>
        <v/>
      </c>
      <c r="KB74" s="485">
        <f t="shared" si="884"/>
        <v>0</v>
      </c>
      <c r="KC74" s="768">
        <f t="shared" si="885"/>
        <v>0</v>
      </c>
      <c r="KD74" s="485">
        <f t="shared" si="886"/>
        <v>0</v>
      </c>
      <c r="KE74" s="448"/>
      <c r="KF74" s="548"/>
      <c r="KG74" s="548"/>
      <c r="KH74" s="548"/>
      <c r="KI74" s="548"/>
      <c r="KJ74" s="548" t="str">
        <f t="shared" si="887"/>
        <v/>
      </c>
      <c r="KK74" s="548"/>
      <c r="KL74" s="548"/>
      <c r="KM74" s="548">
        <f t="array" ref="KM74">IF(SUM((KL74=$KL$3:KL73)*1)=0,KL74,0)</f>
        <v>0</v>
      </c>
      <c r="KN74" s="548"/>
      <c r="KO74" s="548"/>
      <c r="KP74" s="548"/>
      <c r="KQ74" s="548"/>
      <c r="KR74" s="548" t="str">
        <f t="shared" si="888"/>
        <v/>
      </c>
      <c r="KS74" s="548"/>
      <c r="KT74" s="548"/>
      <c r="KU74" s="548"/>
      <c r="KV74" s="548"/>
      <c r="KW74" s="548"/>
      <c r="KX74" s="548"/>
      <c r="KY74" s="548"/>
      <c r="KZ74" s="548"/>
      <c r="LA74" s="548"/>
      <c r="LB74" s="548"/>
      <c r="LC74" s="485" t="str">
        <f t="shared" si="902"/>
        <v/>
      </c>
      <c r="LD74" s="548"/>
      <c r="LE74" s="548"/>
      <c r="LF74" s="548"/>
      <c r="LG74" s="548"/>
      <c r="LH74" s="548"/>
      <c r="LI74" s="548"/>
      <c r="LJ74" s="548"/>
      <c r="LK74" s="548"/>
      <c r="LL74" s="548"/>
      <c r="LM74" s="548"/>
      <c r="LN74" s="548"/>
      <c r="LO74" s="548"/>
      <c r="LP74" s="485" t="str">
        <f t="shared" si="903"/>
        <v/>
      </c>
      <c r="LQ74" s="548"/>
      <c r="LR74" s="548"/>
      <c r="LS74" s="548"/>
      <c r="LT74" s="548"/>
      <c r="LU74" s="548"/>
      <c r="LV74" s="548"/>
      <c r="LW74" s="548"/>
      <c r="LX74" s="548"/>
      <c r="LY74" s="548"/>
      <c r="LZ74" s="548"/>
      <c r="MA74" s="548"/>
      <c r="MB74" s="548"/>
      <c r="MC74" s="485" t="str">
        <f t="shared" si="904"/>
        <v/>
      </c>
      <c r="MD74" s="548"/>
      <c r="ME74" s="548"/>
      <c r="MF74" s="548"/>
      <c r="MG74" s="548"/>
      <c r="MH74" s="548"/>
      <c r="MI74" s="548"/>
      <c r="MJ74" s="548"/>
      <c r="MK74" s="548"/>
      <c r="ML74" s="548"/>
      <c r="MM74" s="548"/>
      <c r="MN74" s="548"/>
      <c r="MO74" s="548"/>
      <c r="MP74" s="485" t="str">
        <f t="shared" si="905"/>
        <v/>
      </c>
      <c r="MQ74" s="548"/>
      <c r="MR74" s="548"/>
      <c r="MS74" s="548"/>
      <c r="MT74" s="548"/>
      <c r="MU74" s="548"/>
      <c r="MV74" s="548"/>
      <c r="MW74" s="548"/>
      <c r="MX74" s="548"/>
      <c r="MY74" s="548"/>
      <c r="MZ74" s="548"/>
      <c r="NA74" s="548"/>
      <c r="NB74" s="548"/>
      <c r="NC74" s="485" t="str">
        <f t="shared" si="906"/>
        <v/>
      </c>
      <c r="ND74" s="548"/>
      <c r="NE74" s="548"/>
      <c r="NF74" s="548"/>
      <c r="NG74" s="548"/>
      <c r="NH74" s="548"/>
      <c r="NI74" s="548"/>
      <c r="NJ74" s="548"/>
      <c r="NK74" s="548"/>
      <c r="NL74" s="548"/>
      <c r="NM74" s="548"/>
      <c r="NN74" s="548"/>
      <c r="NO74" s="548"/>
      <c r="NP74" s="485" t="str">
        <f t="shared" si="907"/>
        <v/>
      </c>
      <c r="NQ74" s="548"/>
      <c r="NR74" s="548"/>
      <c r="NS74" s="548"/>
      <c r="NT74" s="548"/>
      <c r="NU74" s="548"/>
      <c r="NV74" s="548"/>
      <c r="NW74" s="548"/>
      <c r="NX74" s="548"/>
      <c r="NY74" s="548"/>
      <c r="NZ74" s="548"/>
      <c r="OA74" s="548"/>
      <c r="OB74" s="548"/>
      <c r="OC74" s="485" t="str">
        <f t="shared" si="908"/>
        <v/>
      </c>
      <c r="OD74" s="548"/>
      <c r="OE74" s="548"/>
      <c r="OF74" s="548"/>
      <c r="OG74" s="548"/>
      <c r="OH74" s="548"/>
      <c r="OI74" s="548"/>
      <c r="OJ74" s="548"/>
      <c r="OK74" s="548"/>
      <c r="OL74" s="548"/>
      <c r="OM74" s="548"/>
      <c r="ON74" s="548"/>
      <c r="OO74" s="548"/>
      <c r="OP74" s="548"/>
      <c r="OQ74" s="548"/>
      <c r="OR74" s="548"/>
      <c r="OS74" s="548"/>
      <c r="OT74" s="548"/>
      <c r="OU74" s="548"/>
      <c r="OV74" s="548"/>
      <c r="OW74" s="548"/>
      <c r="OX74" s="548"/>
      <c r="OY74" s="548"/>
      <c r="OZ74" s="548"/>
      <c r="PA74" s="548"/>
      <c r="PB74" s="548"/>
      <c r="PC74" s="548"/>
      <c r="PD74" s="548"/>
      <c r="PE74" s="548"/>
      <c r="PF74" s="548"/>
      <c r="PG74" s="548"/>
      <c r="PH74" s="548"/>
      <c r="PI74" s="548"/>
      <c r="PJ74" s="548"/>
      <c r="PK74" s="548"/>
      <c r="PL74" s="548"/>
      <c r="PM74" s="548"/>
      <c r="PN74" s="548"/>
      <c r="PO74" s="548"/>
      <c r="PP74" s="548"/>
      <c r="PQ74" s="548"/>
      <c r="PR74" s="548"/>
      <c r="PS74" s="548"/>
      <c r="PT74" s="548"/>
      <c r="PU74" s="548"/>
      <c r="PV74" s="548"/>
      <c r="PW74" s="548"/>
      <c r="PX74" s="548"/>
      <c r="PY74" s="548"/>
      <c r="PZ74" s="548"/>
      <c r="QA74" s="548"/>
      <c r="QB74" s="548"/>
      <c r="QC74" s="548"/>
      <c r="QD74" s="548"/>
      <c r="QE74" s="548"/>
      <c r="QF74" s="548"/>
      <c r="QG74" s="548"/>
      <c r="QH74" s="548"/>
      <c r="QI74" s="548"/>
      <c r="QJ74" s="548"/>
      <c r="QK74" s="548"/>
      <c r="QL74" s="548"/>
      <c r="QM74" s="548"/>
      <c r="QN74" s="548"/>
      <c r="QO74" s="548"/>
      <c r="QP74" s="548"/>
      <c r="QQ74" s="1009"/>
      <c r="QR74" s="548"/>
      <c r="QS74" s="548"/>
      <c r="QT74" s="548"/>
      <c r="QU74" s="548"/>
      <c r="QV74" s="548"/>
      <c r="QW74" s="548"/>
      <c r="QX74" s="548"/>
      <c r="QY74" s="548"/>
      <c r="QZ74" s="548"/>
      <c r="RA74" s="548"/>
      <c r="RB74" s="548"/>
      <c r="RC74" s="548"/>
      <c r="RD74" s="548"/>
      <c r="RE74" s="548"/>
      <c r="RF74" s="548"/>
      <c r="RG74" s="548"/>
      <c r="RH74" s="548"/>
      <c r="RI74" s="548"/>
      <c r="RJ74" s="548"/>
      <c r="RK74" s="548"/>
      <c r="RL74" s="548"/>
      <c r="RM74" s="548"/>
      <c r="RN74" s="548"/>
      <c r="RO74" s="548"/>
      <c r="RP74" s="548"/>
      <c r="RQ74" s="548"/>
      <c r="RR74" s="548"/>
      <c r="RS74" s="548"/>
      <c r="RT74" s="548"/>
      <c r="RU74" s="548"/>
      <c r="RV74" s="548"/>
      <c r="RW74" s="548"/>
      <c r="RX74" s="548"/>
      <c r="RY74" s="548"/>
      <c r="RZ74" s="548"/>
      <c r="SA74" s="548"/>
      <c r="SB74" s="548"/>
      <c r="SC74" s="548"/>
      <c r="SD74" s="548"/>
      <c r="SE74" s="548"/>
      <c r="SF74" s="548"/>
      <c r="SG74" s="548"/>
      <c r="SH74" s="548"/>
      <c r="SI74" s="548"/>
      <c r="SJ74" s="548"/>
      <c r="SK74" s="548"/>
      <c r="SL74" s="548"/>
      <c r="SM74" s="548"/>
      <c r="SN74" s="548"/>
      <c r="SO74" s="548"/>
      <c r="SP74" s="548"/>
      <c r="SQ74" s="548"/>
      <c r="SR74" s="548"/>
      <c r="SS74" s="548"/>
      <c r="ST74" s="548"/>
      <c r="SU74" s="548"/>
      <c r="SV74" s="548"/>
      <c r="SW74" s="548"/>
      <c r="SX74" s="548"/>
      <c r="SY74" s="548"/>
      <c r="SZ74" s="548"/>
      <c r="TA74" s="548"/>
      <c r="TB74" s="548"/>
      <c r="TC74" s="548"/>
      <c r="TD74" s="548"/>
      <c r="TE74" s="548"/>
      <c r="TF74" s="548"/>
      <c r="TG74" s="548"/>
      <c r="TH74" s="548"/>
      <c r="TI74" s="548"/>
      <c r="TJ74" s="548"/>
      <c r="TK74" s="548"/>
      <c r="TL74" s="548"/>
      <c r="TM74" s="548"/>
      <c r="TN74" s="548"/>
      <c r="TO74" s="548"/>
      <c r="TP74" s="548"/>
      <c r="TQ74" s="548"/>
      <c r="TR74" s="548"/>
      <c r="TS74" s="548"/>
      <c r="TT74" s="548"/>
      <c r="TU74" s="548"/>
      <c r="TV74" s="548"/>
      <c r="TW74" s="548"/>
      <c r="TX74" s="548"/>
      <c r="TY74" s="548"/>
      <c r="TZ74" s="548"/>
      <c r="UA74" s="548"/>
      <c r="UB74" s="548"/>
      <c r="UC74" s="548"/>
      <c r="UD74" s="548"/>
      <c r="UE74" s="548"/>
      <c r="UF74" s="548"/>
      <c r="UG74" s="548"/>
      <c r="UH74" s="548"/>
      <c r="UI74" s="548"/>
      <c r="UJ74" s="548"/>
      <c r="UK74" s="548"/>
      <c r="UL74" s="548"/>
      <c r="UM74" s="548"/>
      <c r="UN74" s="548"/>
      <c r="UO74" s="548"/>
      <c r="UP74" s="548"/>
      <c r="UQ74" s="548"/>
      <c r="UR74" s="548"/>
      <c r="US74" s="548"/>
      <c r="UT74" s="548"/>
      <c r="UU74" s="548"/>
      <c r="UV74" s="548"/>
      <c r="UW74" s="548"/>
      <c r="UX74" s="548"/>
      <c r="UY74" s="548"/>
      <c r="UZ74" s="548"/>
      <c r="VA74" s="548"/>
      <c r="VB74" s="548"/>
      <c r="VC74" s="548"/>
      <c r="VD74" s="548"/>
      <c r="VE74" s="548"/>
      <c r="VF74" s="548"/>
      <c r="VG74" s="548"/>
      <c r="VH74" s="548"/>
      <c r="VI74" s="548"/>
      <c r="VJ74" s="548"/>
      <c r="VK74" s="548"/>
      <c r="VL74" s="548"/>
      <c r="VM74" s="548"/>
      <c r="VN74" s="548"/>
      <c r="VO74" s="548"/>
      <c r="VP74" s="548"/>
      <c r="VQ74" s="548"/>
      <c r="VR74" s="548"/>
      <c r="VS74" s="548"/>
      <c r="VT74" s="548"/>
      <c r="VU74" s="548"/>
      <c r="VV74" s="548"/>
      <c r="VW74" s="548"/>
      <c r="VX74" s="548"/>
      <c r="VY74" s="548"/>
      <c r="VZ74" s="548"/>
      <c r="WA74" s="548"/>
      <c r="WB74" s="548"/>
      <c r="WC74" s="548"/>
      <c r="WD74" s="548"/>
      <c r="WE74" s="548"/>
      <c r="WF74" s="548"/>
      <c r="WG74" s="548"/>
      <c r="WH74" s="548"/>
      <c r="WI74" s="548"/>
      <c r="WJ74" s="548"/>
      <c r="WK74" s="548"/>
      <c r="WL74" s="548"/>
      <c r="WM74" s="548"/>
      <c r="WN74" s="548"/>
      <c r="WO74" s="548"/>
      <c r="WP74" s="548"/>
      <c r="WQ74" s="548"/>
      <c r="WR74" s="548"/>
      <c r="WS74" s="548"/>
      <c r="WT74" s="548"/>
      <c r="WU74" s="548"/>
      <c r="WV74" s="548"/>
      <c r="WW74" s="548"/>
      <c r="WX74" s="548"/>
      <c r="WY74" s="548"/>
      <c r="WZ74" s="548"/>
      <c r="XA74" s="548"/>
      <c r="XB74" s="548"/>
      <c r="XC74" s="548"/>
      <c r="XD74" s="548"/>
      <c r="XE74" s="548"/>
      <c r="XF74" s="548"/>
      <c r="XG74" s="548"/>
      <c r="XH74" s="548"/>
      <c r="XI74" s="548"/>
      <c r="XJ74" s="548"/>
      <c r="XK74" s="548"/>
      <c r="XL74" s="548"/>
      <c r="XM74" s="548"/>
      <c r="XN74" s="548"/>
      <c r="XO74" s="548"/>
      <c r="XP74" s="548"/>
      <c r="XQ74" s="548"/>
      <c r="XR74" s="548"/>
      <c r="XS74" s="548"/>
      <c r="XT74" s="548"/>
      <c r="XU74" s="548"/>
      <c r="XV74" s="548"/>
      <c r="XW74" s="548"/>
      <c r="XX74" s="548"/>
      <c r="XY74" s="548"/>
      <c r="XZ74" s="548"/>
      <c r="YA74" s="548"/>
      <c r="YB74" s="548"/>
      <c r="YC74" s="548"/>
      <c r="YD74" s="548"/>
      <c r="YE74" s="548"/>
      <c r="YF74" s="548"/>
      <c r="YG74" s="548"/>
      <c r="YH74" s="548"/>
      <c r="YI74" s="548"/>
      <c r="YJ74" s="548"/>
      <c r="YK74" s="548"/>
      <c r="YL74" s="548"/>
      <c r="YM74" s="548"/>
      <c r="YN74" s="548"/>
      <c r="YO74" s="548"/>
      <c r="YP74" s="548"/>
      <c r="YQ74" s="548"/>
      <c r="YR74" s="548"/>
      <c r="YS74" s="548"/>
      <c r="YT74" s="548"/>
      <c r="YU74" s="548"/>
      <c r="YV74" s="548"/>
      <c r="YW74" s="548"/>
      <c r="YX74" s="548"/>
      <c r="YY74" s="548"/>
      <c r="YZ74" s="548"/>
      <c r="ZA74" s="548"/>
      <c r="ZB74" s="548"/>
      <c r="ZC74" s="548"/>
      <c r="ZD74" s="548"/>
      <c r="ZE74" s="548"/>
      <c r="ZF74" s="548"/>
      <c r="ZG74" s="548"/>
      <c r="ZH74" s="548"/>
      <c r="ZI74" s="548"/>
      <c r="ZJ74" s="548"/>
      <c r="ZK74" s="548"/>
      <c r="ZL74" s="548"/>
      <c r="ZM74" s="548"/>
      <c r="ZN74" s="548"/>
      <c r="ZO74" s="548"/>
      <c r="ZP74" s="548"/>
      <c r="ZQ74" s="548"/>
      <c r="ZR74" s="548"/>
      <c r="ZS74" s="548"/>
      <c r="ZT74" s="548"/>
      <c r="ZU74" s="548"/>
      <c r="ZV74" s="548"/>
      <c r="ZW74" s="548"/>
      <c r="ZX74" s="548"/>
      <c r="ZY74" s="548"/>
      <c r="ZZ74" s="548"/>
      <c r="AAA74" s="548"/>
      <c r="AAB74" s="548"/>
      <c r="AAC74" s="548"/>
      <c r="AAD74" s="548"/>
      <c r="AAE74" s="548"/>
      <c r="AAF74" s="548"/>
      <c r="AAG74" s="548"/>
      <c r="AAH74" s="548"/>
      <c r="AAI74" s="548"/>
      <c r="AAJ74" s="548"/>
      <c r="AAK74" s="548"/>
      <c r="AAL74" s="548"/>
      <c r="AAM74" s="548"/>
      <c r="AAN74" s="548"/>
      <c r="AAO74" s="548"/>
      <c r="AAP74" s="548"/>
      <c r="AAQ74" s="548"/>
      <c r="AAR74" s="548"/>
      <c r="AAS74" s="548"/>
      <c r="AAT74" s="548"/>
      <c r="AAU74" s="548"/>
      <c r="AAV74" s="548"/>
      <c r="AAW74" s="548"/>
      <c r="AAX74" s="548"/>
      <c r="AAY74" s="548"/>
      <c r="AAZ74" s="548"/>
      <c r="ABA74" s="548"/>
      <c r="ABB74" s="548"/>
      <c r="ABC74" s="548"/>
      <c r="ABD74" s="548"/>
      <c r="ABE74" s="548"/>
      <c r="ABF74" s="548"/>
      <c r="ABG74" s="548"/>
      <c r="ABH74" s="548"/>
      <c r="ABI74" s="548"/>
      <c r="ABJ74" s="548"/>
      <c r="ABK74" s="548"/>
      <c r="ABL74" s="548"/>
      <c r="ABM74" s="548"/>
      <c r="ABN74" s="548"/>
      <c r="ABO74" s="548"/>
      <c r="ABP74" s="548"/>
      <c r="ABQ74" s="548"/>
      <c r="ABR74" s="548"/>
      <c r="ABS74" s="548"/>
    </row>
    <row r="75" spans="1:747" customFormat="1" ht="15" customHeight="1" x14ac:dyDescent="0.2">
      <c r="A75" s="424" t="str">
        <f t="shared" si="909"/>
        <v/>
      </c>
      <c r="B75" s="415"/>
      <c r="C75" s="525"/>
      <c r="D75" s="750"/>
      <c r="E75" s="416" t="str">
        <f t="shared" si="751"/>
        <v/>
      </c>
      <c r="F75" s="527" t="str">
        <f t="shared" si="752"/>
        <v/>
      </c>
      <c r="G75" s="417"/>
      <c r="H75" s="585" t="str">
        <f t="shared" si="753"/>
        <v/>
      </c>
      <c r="I75" s="424"/>
      <c r="J75" s="419"/>
      <c r="K75" s="418"/>
      <c r="L75" s="419"/>
      <c r="M75" s="415"/>
      <c r="N75" s="420"/>
      <c r="O75" s="421"/>
      <c r="P75" s="561"/>
      <c r="Q75" s="422"/>
      <c r="R75" s="561" t="str">
        <f t="shared" si="754"/>
        <v/>
      </c>
      <c r="S75" s="664"/>
      <c r="T75" s="663"/>
      <c r="U75" s="580">
        <f t="shared" si="755"/>
        <v>0</v>
      </c>
      <c r="V75" s="418"/>
      <c r="W75" s="582" t="str">
        <f t="shared" si="756"/>
        <v/>
      </c>
      <c r="X75" s="479" t="str">
        <f t="shared" si="757"/>
        <v/>
      </c>
      <c r="Y75" s="582" t="str">
        <f t="shared" si="758"/>
        <v/>
      </c>
      <c r="Z75" s="317" t="str">
        <f t="shared" si="759"/>
        <v/>
      </c>
      <c r="AA75" s="317" t="str">
        <f t="shared" si="760"/>
        <v/>
      </c>
      <c r="AB75" s="317">
        <f t="shared" si="761"/>
        <v>0</v>
      </c>
      <c r="AC75" s="317" t="str">
        <f t="shared" si="762"/>
        <v/>
      </c>
      <c r="AD75" s="479"/>
      <c r="AE75" s="479"/>
      <c r="AF75" s="479"/>
      <c r="AG75" s="423"/>
      <c r="AH75" s="820"/>
      <c r="AI75" s="437"/>
      <c r="AJ75" s="660"/>
      <c r="AK75" s="524" t="str">
        <f t="shared" si="763"/>
        <v/>
      </c>
      <c r="AL75" s="731">
        <f>SUMIF($J$4:$J$74,"Imprensa",$S$4:$S$74)</f>
        <v>0</v>
      </c>
      <c r="AM75" s="732">
        <f>SUMIF($J$4:$J$74,"Imprensa",$T$4:$T$74)</f>
        <v>0</v>
      </c>
      <c r="AN75" s="426">
        <f t="shared" si="764"/>
        <v>0</v>
      </c>
      <c r="AO75" s="427" t="str">
        <f t="shared" si="765"/>
        <v/>
      </c>
      <c r="AP75" s="426" t="str">
        <f t="shared" si="766"/>
        <v/>
      </c>
      <c r="AQ75" s="426"/>
      <c r="AR75" s="426"/>
      <c r="AS75" s="428"/>
      <c r="AT75" s="429"/>
      <c r="AU75" s="430"/>
      <c r="AV75" s="431"/>
      <c r="AW75" s="432"/>
      <c r="AX75" s="430"/>
      <c r="AY75" s="431">
        <f t="shared" si="767"/>
        <v>0</v>
      </c>
      <c r="AZ75" s="426"/>
      <c r="BA75" s="435" t="str">
        <f t="shared" si="768"/>
        <v/>
      </c>
      <c r="BB75" s="435"/>
      <c r="BC75" s="426"/>
      <c r="BD75" s="426">
        <f t="array" ref="BD75">IF(SUM((BC75=$BC$3:BC74)*1)=0,BC75,0)</f>
        <v>0</v>
      </c>
      <c r="BE75" s="426"/>
      <c r="BF75" s="426"/>
      <c r="BG75" s="426">
        <f t="array" ref="BG75">IF(SUM((BF75=$BF$3:BF74)*1)=0,BF75,0)</f>
        <v>0</v>
      </c>
      <c r="BH75" s="426"/>
      <c r="BI75" s="426"/>
      <c r="BJ75" s="426"/>
      <c r="BK75" s="426"/>
      <c r="BL75" s="426"/>
      <c r="BM75" s="426"/>
      <c r="BN75" s="426"/>
      <c r="BO75" s="426"/>
      <c r="BP75" s="433">
        <f t="shared" si="769"/>
        <v>0</v>
      </c>
      <c r="BQ75" s="426"/>
      <c r="BR75" s="434"/>
      <c r="BS75" s="426"/>
      <c r="BT75" s="433"/>
      <c r="BU75" s="435"/>
      <c r="BV75" s="435" t="str">
        <f t="shared" si="770"/>
        <v/>
      </c>
      <c r="BW75" s="435" t="str">
        <f t="shared" si="798"/>
        <v/>
      </c>
      <c r="BX75" s="435"/>
      <c r="BY75" s="435"/>
      <c r="BZ75" s="435"/>
      <c r="CA75" s="435"/>
      <c r="CB75" s="435"/>
      <c r="CC75" s="435"/>
      <c r="CD75" s="435"/>
      <c r="CE75" s="435"/>
      <c r="CF75" s="435"/>
      <c r="CG75" s="435"/>
      <c r="CH75" s="435"/>
      <c r="CI75" s="435"/>
      <c r="CJ75" s="426" t="str">
        <f t="shared" si="799"/>
        <v/>
      </c>
      <c r="CK75" s="435"/>
      <c r="CL75" s="426"/>
      <c r="CM75" s="435"/>
      <c r="CN75" s="426"/>
      <c r="CO75" s="426"/>
      <c r="CP75" s="426"/>
      <c r="CQ75" s="426"/>
      <c r="CR75" s="426"/>
      <c r="CS75" s="426"/>
      <c r="CT75" s="426"/>
      <c r="CU75" s="426"/>
      <c r="CV75" s="426"/>
      <c r="CW75" s="493"/>
      <c r="CX75" s="493"/>
      <c r="CY75" s="426">
        <v>72</v>
      </c>
      <c r="CZ75" s="493"/>
      <c r="DA75" s="493"/>
      <c r="DB75" s="493"/>
      <c r="DC75" s="426" t="s">
        <v>815</v>
      </c>
      <c r="DD75" s="426" t="s">
        <v>975</v>
      </c>
      <c r="DE75" s="435" t="str">
        <f t="shared" si="800"/>
        <v/>
      </c>
      <c r="DF75" s="435" t="str">
        <f t="shared" si="801"/>
        <v/>
      </c>
      <c r="DG75" s="435" t="str">
        <f t="shared" si="802"/>
        <v/>
      </c>
      <c r="DH75" s="435" t="str">
        <f t="shared" si="803"/>
        <v/>
      </c>
      <c r="DI75" s="435" t="str">
        <f t="shared" si="804"/>
        <v/>
      </c>
      <c r="DJ75" s="435" t="str">
        <f t="shared" si="805"/>
        <v/>
      </c>
      <c r="DK75" s="435" t="str">
        <f t="shared" si="771"/>
        <v/>
      </c>
      <c r="DL75" s="435" t="str">
        <f t="shared" si="772"/>
        <v/>
      </c>
      <c r="DM75" s="435" t="str">
        <f t="shared" si="806"/>
        <v/>
      </c>
      <c r="DN75" s="435" t="str">
        <f t="shared" si="807"/>
        <v/>
      </c>
      <c r="DO75" s="435" t="str">
        <f t="shared" si="773"/>
        <v/>
      </c>
      <c r="DP75" s="435" t="str">
        <f t="shared" si="774"/>
        <v/>
      </c>
      <c r="DQ75" s="435" t="str">
        <f t="shared" si="808"/>
        <v/>
      </c>
      <c r="DR75" s="435" t="str">
        <f t="shared" si="809"/>
        <v/>
      </c>
      <c r="DS75" s="435" t="str">
        <f t="shared" si="775"/>
        <v/>
      </c>
      <c r="DT75" s="435" t="str">
        <f t="shared" si="776"/>
        <v/>
      </c>
      <c r="DU75" s="435" t="str">
        <f t="shared" si="810"/>
        <v/>
      </c>
      <c r="DV75" s="435" t="str">
        <f t="shared" si="811"/>
        <v/>
      </c>
      <c r="DW75" s="435" t="str">
        <f t="shared" si="777"/>
        <v/>
      </c>
      <c r="DX75" s="435" t="str">
        <f t="shared" si="778"/>
        <v/>
      </c>
      <c r="DY75" s="435" t="str">
        <f t="shared" si="812"/>
        <v/>
      </c>
      <c r="DZ75" s="435" t="str">
        <f t="shared" si="813"/>
        <v/>
      </c>
      <c r="EA75" s="435" t="str">
        <f t="shared" si="779"/>
        <v/>
      </c>
      <c r="EB75" s="435" t="str">
        <f t="shared" si="780"/>
        <v/>
      </c>
      <c r="EC75" s="435" t="str">
        <f t="shared" si="781"/>
        <v/>
      </c>
      <c r="ED75" s="435" t="str">
        <f t="shared" si="782"/>
        <v/>
      </c>
      <c r="EE75" s="435" t="str">
        <f t="shared" si="783"/>
        <v/>
      </c>
      <c r="EF75" s="435" t="str">
        <f t="shared" si="784"/>
        <v/>
      </c>
      <c r="EG75" s="435" t="str">
        <f t="shared" si="785"/>
        <v/>
      </c>
      <c r="EH75" s="435" t="str">
        <f t="shared" si="786"/>
        <v/>
      </c>
      <c r="EI75" s="435" t="str">
        <f t="shared" si="787"/>
        <v/>
      </c>
      <c r="EJ75" s="435" t="str">
        <f t="shared" si="788"/>
        <v/>
      </c>
      <c r="EK75" s="485"/>
      <c r="EL75" s="485"/>
      <c r="EM75" s="485"/>
      <c r="EN75" s="485"/>
      <c r="EO75" s="448"/>
      <c r="EP75" s="448"/>
      <c r="EQ75" s="448"/>
      <c r="ER75" s="448"/>
      <c r="ES75" s="448"/>
      <c r="ET75" s="435"/>
      <c r="EU75" s="435"/>
      <c r="EV75" s="435"/>
      <c r="EW75" s="435"/>
      <c r="EX75" s="426"/>
      <c r="EY75" s="426"/>
      <c r="EZ75" s="426"/>
      <c r="FA75" s="863"/>
      <c r="FB75" s="427">
        <f t="array" ref="FB75">IF(SUM((FA75=$FA$3:FA74)*1)=0,FA75,0)</f>
        <v>0</v>
      </c>
      <c r="FC75" s="863"/>
      <c r="FD75" s="863"/>
      <c r="FE75" s="863">
        <f t="array" ref="FE75">IF(SUM((FD75=$FD$3:FD74)*1)=0,FD75,0)</f>
        <v>0</v>
      </c>
      <c r="FF75" s="863"/>
      <c r="FG75" s="863"/>
      <c r="FH75" s="863"/>
      <c r="FI75" s="427">
        <f t="array" ref="FI75">IF(SUM((FH75=$FH$3:FH74)*1)=0,FH75,0)</f>
        <v>0</v>
      </c>
      <c r="FJ75" s="863"/>
      <c r="FK75" s="863"/>
      <c r="FL75" s="863">
        <f t="array" ref="FL75">IF(SUM((FK75=$FK$3:FK74)*1)=0,FK75,0)</f>
        <v>0</v>
      </c>
      <c r="FM75" s="863"/>
      <c r="FN75" s="863"/>
      <c r="FO75" s="863"/>
      <c r="FP75" s="427">
        <f t="array" ref="FP75">IF(SUM((FO75=$FO$3:FO74)*1)=0,FO75,0)</f>
        <v>0</v>
      </c>
      <c r="FQ75" s="863"/>
      <c r="FR75" s="863"/>
      <c r="FS75" s="863">
        <f t="array" ref="FS75">IF(SUM((FR75=$FR$3:FR74)*1)=0,FR75,0)</f>
        <v>0</v>
      </c>
      <c r="FT75" s="863"/>
      <c r="FU75" s="863"/>
      <c r="FV75" s="863"/>
      <c r="FW75" s="427">
        <f t="array" ref="FW75">IF(SUM((FV75=$FV$3:FV74)*1)=0,FV75,0)</f>
        <v>0</v>
      </c>
      <c r="FX75" s="863"/>
      <c r="FY75" s="863"/>
      <c r="FZ75" s="863">
        <f t="array" ref="FZ75">IF(SUM((FY75=$FY$3:FY74)*1)=0,FY75,0)</f>
        <v>0</v>
      </c>
      <c r="GA75" s="863"/>
      <c r="GB75" s="863"/>
      <c r="GC75" s="863"/>
      <c r="GD75" s="427">
        <f t="array" ref="GD75">IF(SUM((GC75=$GC$3:GC74)*1)=0,GC75,0)</f>
        <v>0</v>
      </c>
      <c r="GE75" s="863"/>
      <c r="GF75" s="863"/>
      <c r="GG75" s="863">
        <f t="array" ref="GG75">IF(SUM((GF75=$GF$3:GF74)*1)=0,GF75,0)</f>
        <v>0</v>
      </c>
      <c r="GH75" s="863"/>
      <c r="GI75" s="863"/>
      <c r="GJ75" s="863"/>
      <c r="GK75" s="798">
        <f t="array" ref="GK75">IF(SUM((GJ75=$GJ$3:GJ74)*1)=0,GJ75,0)</f>
        <v>0</v>
      </c>
      <c r="GL75" s="863"/>
      <c r="GM75" s="863"/>
      <c r="GN75" s="798">
        <f t="array" ref="GN75">IF(SUM((GM75=$GM$3:GM74)*1)=0,GM75,0)</f>
        <v>0</v>
      </c>
      <c r="GO75" s="863"/>
      <c r="GP75" s="863"/>
      <c r="GQ75" s="863"/>
      <c r="GR75" s="798">
        <f t="array" ref="GR75">IF(SUM((GQ75=$GQ$3:GQ74)*1)=0,GQ75,0)</f>
        <v>0</v>
      </c>
      <c r="GS75" s="863"/>
      <c r="GT75" s="863"/>
      <c r="GU75" s="798">
        <f t="array" ref="GU75">IF(SUM((GT75=$GT$3:GT74)*1)=0,GT75,0)</f>
        <v>0</v>
      </c>
      <c r="GV75" s="863"/>
      <c r="GW75" s="863"/>
      <c r="GX75" s="863"/>
      <c r="GY75" s="798">
        <f t="array" ref="GY75">IF(SUM((GX75=$GX$3:GX74)*1)=0,GX75,0)</f>
        <v>0</v>
      </c>
      <c r="GZ75" s="863"/>
      <c r="HA75" s="863"/>
      <c r="HB75" s="798">
        <f t="array" ref="HB75">IF(SUM((HA75=$HA$3:HA74)*1)=0,HA75,0)</f>
        <v>0</v>
      </c>
      <c r="HC75" s="863"/>
      <c r="HD75" s="863"/>
      <c r="HE75" s="769" t="str">
        <f t="shared" si="889"/>
        <v/>
      </c>
      <c r="HF75" s="768" t="str">
        <f t="shared" ref="HF75" si="946">IF(HE75&lt;0,"Invadiu REP-BA-C","")</f>
        <v/>
      </c>
      <c r="HG75" s="769" t="str">
        <f t="shared" si="891"/>
        <v/>
      </c>
      <c r="HH75" s="768" t="str">
        <f t="shared" si="815"/>
        <v/>
      </c>
      <c r="HI75" s="728" t="str">
        <f t="shared" si="892"/>
        <v/>
      </c>
      <c r="HJ75" s="768" t="str">
        <f t="shared" si="816"/>
        <v/>
      </c>
      <c r="HK75" s="728" t="str">
        <f t="shared" si="893"/>
        <v/>
      </c>
      <c r="HL75" s="768" t="str">
        <f t="shared" si="817"/>
        <v/>
      </c>
      <c r="HM75" s="769" t="str">
        <f t="shared" si="818"/>
        <v/>
      </c>
      <c r="HN75" s="768" t="str">
        <f t="shared" ref="HN75" si="947">IF(HM75&lt;0,"Invadiu REP-BA-C","")</f>
        <v/>
      </c>
      <c r="HO75" s="769" t="str">
        <f t="shared" si="820"/>
        <v/>
      </c>
      <c r="HP75" s="768" t="str">
        <f t="shared" si="821"/>
        <v/>
      </c>
      <c r="HQ75" s="728" t="str">
        <f t="shared" si="822"/>
        <v/>
      </c>
      <c r="HR75" s="768" t="str">
        <f t="shared" si="823"/>
        <v/>
      </c>
      <c r="HS75" s="728" t="str">
        <f t="shared" si="824"/>
        <v/>
      </c>
      <c r="HT75" s="768" t="str">
        <f t="shared" si="825"/>
        <v/>
      </c>
      <c r="HU75" s="769" t="str">
        <f t="shared" si="826"/>
        <v/>
      </c>
      <c r="HV75" s="768" t="str">
        <f t="shared" ref="HV75" si="948">IF(HU75&lt;0,"Invadiu REP-BA-C","")</f>
        <v/>
      </c>
      <c r="HW75" s="769" t="str">
        <f t="shared" si="828"/>
        <v/>
      </c>
      <c r="HX75" s="768" t="str">
        <f t="shared" si="829"/>
        <v/>
      </c>
      <c r="HY75" s="728" t="str">
        <f t="shared" si="830"/>
        <v/>
      </c>
      <c r="HZ75" s="768" t="str">
        <f t="shared" si="831"/>
        <v/>
      </c>
      <c r="IA75" s="728" t="str">
        <f t="shared" si="832"/>
        <v/>
      </c>
      <c r="IB75" s="768" t="str">
        <f t="shared" si="833"/>
        <v/>
      </c>
      <c r="IC75" s="769" t="str">
        <f t="shared" si="834"/>
        <v/>
      </c>
      <c r="ID75" s="768" t="str">
        <f t="shared" ref="ID75" si="949">IF(IC75&lt;0,"Invadiu REP-BA-C","")</f>
        <v/>
      </c>
      <c r="IE75" s="769" t="str">
        <f t="shared" si="836"/>
        <v/>
      </c>
      <c r="IF75" s="768" t="str">
        <f t="shared" si="837"/>
        <v/>
      </c>
      <c r="IG75" s="728" t="str">
        <f t="shared" si="838"/>
        <v/>
      </c>
      <c r="IH75" s="768" t="str">
        <f t="shared" si="839"/>
        <v/>
      </c>
      <c r="II75" s="728" t="str">
        <f t="shared" si="840"/>
        <v/>
      </c>
      <c r="IJ75" s="768" t="str">
        <f t="shared" si="841"/>
        <v/>
      </c>
      <c r="IK75" s="769" t="str">
        <f t="shared" si="842"/>
        <v/>
      </c>
      <c r="IL75" s="768" t="str">
        <f t="shared" ref="IL75" si="950">IF(IK75&lt;0,"Invadiu REP-BA-C","")</f>
        <v/>
      </c>
      <c r="IM75" s="769" t="str">
        <f t="shared" si="844"/>
        <v/>
      </c>
      <c r="IN75" s="768" t="str">
        <f t="shared" si="845"/>
        <v/>
      </c>
      <c r="IO75" s="728" t="str">
        <f t="shared" si="846"/>
        <v/>
      </c>
      <c r="IP75" s="768" t="str">
        <f t="shared" si="847"/>
        <v/>
      </c>
      <c r="IQ75" s="728" t="str">
        <f t="shared" si="848"/>
        <v/>
      </c>
      <c r="IR75" s="768" t="str">
        <f t="shared" si="849"/>
        <v/>
      </c>
      <c r="IS75" s="769" t="str">
        <f t="shared" si="850"/>
        <v/>
      </c>
      <c r="IT75" s="768" t="str">
        <f t="shared" ref="IT75" si="951">IF(IS75&lt;0,"Invadiu REP-BA-C","")</f>
        <v/>
      </c>
      <c r="IU75" s="769" t="str">
        <f t="shared" si="852"/>
        <v/>
      </c>
      <c r="IV75" s="768" t="str">
        <f t="shared" si="853"/>
        <v/>
      </c>
      <c r="IW75" s="728" t="str">
        <f t="shared" si="854"/>
        <v/>
      </c>
      <c r="IX75" s="768" t="str">
        <f t="shared" si="855"/>
        <v/>
      </c>
      <c r="IY75" s="728" t="str">
        <f t="shared" si="856"/>
        <v/>
      </c>
      <c r="IZ75" s="768" t="str">
        <f t="shared" si="857"/>
        <v/>
      </c>
      <c r="JA75" s="769" t="str">
        <f t="shared" si="858"/>
        <v/>
      </c>
      <c r="JB75" s="768" t="str">
        <f t="shared" ref="JB75" si="952">IF(JA75&lt;0,"Invadiu REP-BA-C","")</f>
        <v/>
      </c>
      <c r="JC75" s="769" t="str">
        <f t="shared" si="860"/>
        <v/>
      </c>
      <c r="JD75" s="768" t="str">
        <f t="shared" si="861"/>
        <v/>
      </c>
      <c r="JE75" s="728" t="str">
        <f t="shared" si="862"/>
        <v/>
      </c>
      <c r="JF75" s="768" t="str">
        <f t="shared" si="863"/>
        <v/>
      </c>
      <c r="JG75" s="728" t="str">
        <f t="shared" si="864"/>
        <v/>
      </c>
      <c r="JH75" s="768" t="str">
        <f t="shared" si="865"/>
        <v/>
      </c>
      <c r="JI75" s="769" t="str">
        <f t="shared" si="866"/>
        <v/>
      </c>
      <c r="JJ75" s="768" t="str">
        <f t="shared" ref="JJ75" si="953">IF(JI75&lt;0,"Invadiu REP-BA-C","")</f>
        <v/>
      </c>
      <c r="JK75" s="769" t="str">
        <f t="shared" si="868"/>
        <v/>
      </c>
      <c r="JL75" s="768" t="str">
        <f t="shared" si="869"/>
        <v/>
      </c>
      <c r="JM75" s="728" t="str">
        <f t="shared" si="870"/>
        <v/>
      </c>
      <c r="JN75" s="768" t="str">
        <f t="shared" si="871"/>
        <v/>
      </c>
      <c r="JO75" s="728" t="str">
        <f t="shared" si="872"/>
        <v/>
      </c>
      <c r="JP75" s="768" t="str">
        <f t="shared" si="873"/>
        <v/>
      </c>
      <c r="JQ75" s="769" t="str">
        <f t="shared" si="874"/>
        <v/>
      </c>
      <c r="JR75" s="768" t="str">
        <f t="shared" ref="JR75" si="954">IF(JQ75&lt;0,"Invadiu REP-BA-C","")</f>
        <v/>
      </c>
      <c r="JS75" s="769" t="str">
        <f t="shared" si="876"/>
        <v/>
      </c>
      <c r="JT75" s="768" t="str">
        <f t="shared" si="877"/>
        <v/>
      </c>
      <c r="JU75" s="728" t="str">
        <f t="shared" si="878"/>
        <v/>
      </c>
      <c r="JV75" s="768" t="str">
        <f t="shared" si="879"/>
        <v/>
      </c>
      <c r="JW75" s="728" t="str">
        <f t="shared" si="880"/>
        <v/>
      </c>
      <c r="JX75" s="768" t="str">
        <f t="shared" si="881"/>
        <v/>
      </c>
      <c r="JY75" s="768" t="str">
        <f t="shared" si="882"/>
        <v/>
      </c>
      <c r="JZ75" s="485" t="str">
        <f>IF(JY75="","",IF(AND(C75=$C$164,JY75&lt;&gt;""),Verificarcpf(D75),IF(AND(C75=$C$165,JY75&lt;&gt;""),VerificarCNPJ(D75))))</f>
        <v/>
      </c>
      <c r="KA75" s="768" t="str">
        <f t="shared" si="883"/>
        <v/>
      </c>
      <c r="KB75" s="485">
        <f t="shared" si="884"/>
        <v>0</v>
      </c>
      <c r="KC75" s="768">
        <f t="shared" si="885"/>
        <v>0</v>
      </c>
      <c r="KD75" s="485">
        <f t="shared" si="886"/>
        <v>0</v>
      </c>
      <c r="KE75" s="448"/>
      <c r="KF75" s="548"/>
      <c r="KG75" s="548"/>
      <c r="KH75" s="548"/>
      <c r="KI75" s="548"/>
      <c r="KJ75" s="548" t="str">
        <f t="shared" si="887"/>
        <v/>
      </c>
      <c r="KK75" s="548"/>
      <c r="KL75" s="548"/>
      <c r="KM75" s="548">
        <f t="array" ref="KM75">IF(SUM((KL75=$KL$3:KL74)*1)=0,KL75,0)</f>
        <v>0</v>
      </c>
      <c r="KN75" s="548"/>
      <c r="KO75" s="548"/>
      <c r="KP75" s="548"/>
      <c r="KQ75" s="548"/>
      <c r="KR75" s="548" t="str">
        <f t="shared" si="888"/>
        <v/>
      </c>
      <c r="KS75" s="548"/>
      <c r="KT75" s="548"/>
      <c r="KU75" s="548"/>
      <c r="KV75" s="548"/>
      <c r="KW75" s="548"/>
      <c r="KX75" s="548"/>
      <c r="KY75" s="548"/>
      <c r="KZ75" s="548"/>
      <c r="LA75" s="548"/>
      <c r="LB75" s="548"/>
      <c r="LC75" s="485" t="str">
        <f t="shared" si="902"/>
        <v/>
      </c>
      <c r="LD75" s="548"/>
      <c r="LE75" s="548"/>
      <c r="LF75" s="548"/>
      <c r="LG75" s="548"/>
      <c r="LH75" s="548"/>
      <c r="LI75" s="548"/>
      <c r="LJ75" s="548"/>
      <c r="LK75" s="548"/>
      <c r="LL75" s="548"/>
      <c r="LM75" s="548"/>
      <c r="LN75" s="548"/>
      <c r="LO75" s="548"/>
      <c r="LP75" s="485" t="str">
        <f t="shared" si="903"/>
        <v/>
      </c>
      <c r="LQ75" s="548"/>
      <c r="LR75" s="548"/>
      <c r="LS75" s="548"/>
      <c r="LT75" s="548"/>
      <c r="LU75" s="548"/>
      <c r="LV75" s="548"/>
      <c r="LW75" s="548"/>
      <c r="LX75" s="548"/>
      <c r="LY75" s="548"/>
      <c r="LZ75" s="548"/>
      <c r="MA75" s="548"/>
      <c r="MB75" s="548"/>
      <c r="MC75" s="485" t="str">
        <f t="shared" si="904"/>
        <v/>
      </c>
      <c r="MD75" s="548"/>
      <c r="ME75" s="548"/>
      <c r="MF75" s="548"/>
      <c r="MG75" s="548"/>
      <c r="MH75" s="548"/>
      <c r="MI75" s="548"/>
      <c r="MJ75" s="548"/>
      <c r="MK75" s="548"/>
      <c r="ML75" s="548"/>
      <c r="MM75" s="548"/>
      <c r="MN75" s="548"/>
      <c r="MO75" s="548"/>
      <c r="MP75" s="485" t="str">
        <f t="shared" si="905"/>
        <v/>
      </c>
      <c r="MQ75" s="548"/>
      <c r="MR75" s="548"/>
      <c r="MS75" s="548"/>
      <c r="MT75" s="548"/>
      <c r="MU75" s="548"/>
      <c r="MV75" s="548"/>
      <c r="MW75" s="548"/>
      <c r="MX75" s="548"/>
      <c r="MY75" s="548"/>
      <c r="MZ75" s="548"/>
      <c r="NA75" s="548"/>
      <c r="NB75" s="548"/>
      <c r="NC75" s="485" t="str">
        <f t="shared" si="906"/>
        <v/>
      </c>
      <c r="ND75" s="548"/>
      <c r="NE75" s="548"/>
      <c r="NF75" s="548"/>
      <c r="NG75" s="548"/>
      <c r="NH75" s="548"/>
      <c r="NI75" s="548"/>
      <c r="NJ75" s="548"/>
      <c r="NK75" s="548"/>
      <c r="NL75" s="548"/>
      <c r="NM75" s="548"/>
      <c r="NN75" s="548"/>
      <c r="NO75" s="548"/>
      <c r="NP75" s="485" t="str">
        <f t="shared" si="907"/>
        <v/>
      </c>
      <c r="NQ75" s="548"/>
      <c r="NR75" s="548"/>
      <c r="NS75" s="548"/>
      <c r="NT75" s="548"/>
      <c r="NU75" s="548"/>
      <c r="NV75" s="548"/>
      <c r="NW75" s="548"/>
      <c r="NX75" s="548"/>
      <c r="NY75" s="548"/>
      <c r="NZ75" s="548"/>
      <c r="OA75" s="548"/>
      <c r="OB75" s="548"/>
      <c r="OC75" s="485" t="str">
        <f t="shared" si="908"/>
        <v/>
      </c>
      <c r="OD75" s="548"/>
      <c r="OE75" s="548"/>
      <c r="OF75" s="548"/>
      <c r="OG75" s="548"/>
      <c r="OH75" s="548"/>
      <c r="OI75" s="548"/>
      <c r="OJ75" s="548"/>
      <c r="OK75" s="548"/>
      <c r="OL75" s="548"/>
      <c r="OM75" s="548"/>
      <c r="ON75" s="548"/>
      <c r="OO75" s="548"/>
      <c r="OP75" s="548"/>
      <c r="OQ75" s="548"/>
      <c r="OR75" s="548"/>
      <c r="OS75" s="548"/>
      <c r="OT75" s="548"/>
      <c r="OU75" s="548"/>
      <c r="OV75" s="548"/>
      <c r="OW75" s="548"/>
      <c r="OX75" s="548"/>
      <c r="OY75" s="548"/>
      <c r="OZ75" s="548"/>
      <c r="PA75" s="548"/>
      <c r="PB75" s="548"/>
      <c r="PC75" s="548"/>
      <c r="PD75" s="548"/>
      <c r="PE75" s="548"/>
      <c r="PF75" s="548"/>
      <c r="PG75" s="548"/>
      <c r="PH75" s="548"/>
      <c r="PI75" s="548"/>
      <c r="PJ75" s="548"/>
      <c r="PK75" s="548"/>
      <c r="PL75" s="548"/>
      <c r="PM75" s="548"/>
      <c r="PN75" s="548"/>
      <c r="PO75" s="548"/>
      <c r="PP75" s="548"/>
      <c r="PQ75" s="548"/>
      <c r="PR75" s="548"/>
      <c r="PS75" s="548"/>
      <c r="PT75" s="548"/>
      <c r="PU75" s="548"/>
      <c r="PV75" s="548"/>
      <c r="PW75" s="548"/>
      <c r="PX75" s="548"/>
      <c r="PY75" s="548"/>
      <c r="PZ75" s="548"/>
      <c r="QA75" s="548"/>
      <c r="QB75" s="548"/>
      <c r="QC75" s="548"/>
      <c r="QD75" s="548"/>
      <c r="QE75" s="548"/>
      <c r="QF75" s="548"/>
      <c r="QG75" s="548"/>
      <c r="QH75" s="548"/>
      <c r="QI75" s="548"/>
      <c r="QJ75" s="548"/>
      <c r="QK75" s="548"/>
      <c r="QL75" s="548"/>
      <c r="QM75" s="548"/>
      <c r="QN75" s="548"/>
      <c r="QO75" s="548"/>
      <c r="QP75" s="548"/>
      <c r="QQ75" s="1009"/>
      <c r="QR75" s="548"/>
      <c r="QS75" s="548"/>
      <c r="QT75" s="548"/>
      <c r="QU75" s="548"/>
      <c r="QV75" s="548"/>
      <c r="QW75" s="548"/>
      <c r="QX75" s="548"/>
      <c r="QY75" s="548"/>
      <c r="QZ75" s="548"/>
      <c r="RA75" s="548"/>
      <c r="RB75" s="548"/>
      <c r="RC75" s="548"/>
      <c r="RD75" s="548"/>
      <c r="RE75" s="548"/>
      <c r="RF75" s="548"/>
      <c r="RG75" s="548"/>
      <c r="RH75" s="548"/>
      <c r="RI75" s="548"/>
      <c r="RJ75" s="548"/>
      <c r="RK75" s="548"/>
      <c r="RL75" s="548"/>
      <c r="RM75" s="548"/>
      <c r="RN75" s="548"/>
      <c r="RO75" s="548"/>
      <c r="RP75" s="548"/>
      <c r="RQ75" s="548"/>
      <c r="RR75" s="548"/>
      <c r="RS75" s="548"/>
      <c r="RT75" s="548"/>
      <c r="RU75" s="548"/>
      <c r="RV75" s="548"/>
      <c r="RW75" s="548"/>
      <c r="RX75" s="548"/>
      <c r="RY75" s="548"/>
      <c r="RZ75" s="548"/>
      <c r="SA75" s="548"/>
      <c r="SB75" s="548"/>
      <c r="SC75" s="548"/>
      <c r="SD75" s="548"/>
      <c r="SE75" s="548"/>
      <c r="SF75" s="548"/>
      <c r="SG75" s="548"/>
      <c r="SH75" s="548"/>
      <c r="SI75" s="548"/>
      <c r="SJ75" s="548"/>
      <c r="SK75" s="548"/>
      <c r="SL75" s="548"/>
      <c r="SM75" s="548"/>
      <c r="SN75" s="548"/>
      <c r="SO75" s="548"/>
      <c r="SP75" s="548"/>
      <c r="SQ75" s="548"/>
      <c r="SR75" s="548"/>
      <c r="SS75" s="548"/>
      <c r="ST75" s="548"/>
      <c r="SU75" s="548"/>
      <c r="SV75" s="548"/>
      <c r="SW75" s="548"/>
      <c r="SX75" s="548"/>
      <c r="SY75" s="548"/>
      <c r="SZ75" s="548"/>
      <c r="TA75" s="548"/>
      <c r="TB75" s="548"/>
      <c r="TC75" s="548"/>
      <c r="TD75" s="548"/>
      <c r="TE75" s="548"/>
      <c r="TF75" s="548"/>
      <c r="TG75" s="548"/>
      <c r="TH75" s="548"/>
      <c r="TI75" s="548"/>
      <c r="TJ75" s="548"/>
      <c r="TK75" s="548"/>
      <c r="TL75" s="548"/>
      <c r="TM75" s="548"/>
      <c r="TN75" s="548"/>
      <c r="TO75" s="548"/>
      <c r="TP75" s="548"/>
      <c r="TQ75" s="548"/>
      <c r="TR75" s="548"/>
      <c r="TS75" s="548"/>
      <c r="TT75" s="548"/>
      <c r="TU75" s="548"/>
      <c r="TV75" s="548"/>
      <c r="TW75" s="548"/>
      <c r="TX75" s="548"/>
      <c r="TY75" s="548"/>
      <c r="TZ75" s="548"/>
      <c r="UA75" s="548"/>
      <c r="UB75" s="548"/>
      <c r="UC75" s="548"/>
      <c r="UD75" s="548"/>
      <c r="UE75" s="548"/>
      <c r="UF75" s="548"/>
      <c r="UG75" s="548"/>
      <c r="UH75" s="548"/>
      <c r="UI75" s="548"/>
      <c r="UJ75" s="548"/>
      <c r="UK75" s="548"/>
      <c r="UL75" s="548"/>
      <c r="UM75" s="548"/>
      <c r="UN75" s="548"/>
      <c r="UO75" s="548"/>
      <c r="UP75" s="548"/>
      <c r="UQ75" s="548"/>
      <c r="UR75" s="548"/>
      <c r="US75" s="548"/>
      <c r="UT75" s="548"/>
      <c r="UU75" s="548"/>
      <c r="UV75" s="548"/>
      <c r="UW75" s="548"/>
      <c r="UX75" s="548"/>
      <c r="UY75" s="548"/>
      <c r="UZ75" s="548"/>
      <c r="VA75" s="548"/>
      <c r="VB75" s="548"/>
      <c r="VC75" s="548"/>
      <c r="VD75" s="548"/>
      <c r="VE75" s="548"/>
      <c r="VF75" s="548"/>
      <c r="VG75" s="548"/>
      <c r="VH75" s="548"/>
      <c r="VI75" s="548"/>
      <c r="VJ75" s="548"/>
      <c r="VK75" s="548"/>
      <c r="VL75" s="548"/>
      <c r="VM75" s="548"/>
      <c r="VN75" s="548"/>
      <c r="VO75" s="548"/>
      <c r="VP75" s="548"/>
      <c r="VQ75" s="548"/>
      <c r="VR75" s="548"/>
      <c r="VS75" s="548"/>
      <c r="VT75" s="548"/>
      <c r="VU75" s="548"/>
      <c r="VV75" s="548"/>
      <c r="VW75" s="548"/>
      <c r="VX75" s="548"/>
      <c r="VY75" s="548"/>
      <c r="VZ75" s="548"/>
      <c r="WA75" s="548"/>
      <c r="WB75" s="548"/>
      <c r="WC75" s="548"/>
      <c r="WD75" s="548"/>
      <c r="WE75" s="548"/>
      <c r="WF75" s="548"/>
      <c r="WG75" s="548"/>
      <c r="WH75" s="548"/>
      <c r="WI75" s="548"/>
      <c r="WJ75" s="548"/>
      <c r="WK75" s="548"/>
      <c r="WL75" s="548"/>
      <c r="WM75" s="548"/>
      <c r="WN75" s="548"/>
      <c r="WO75" s="548"/>
      <c r="WP75" s="548"/>
      <c r="WQ75" s="548"/>
      <c r="WR75" s="548"/>
      <c r="WS75" s="548"/>
      <c r="WT75" s="548"/>
      <c r="WU75" s="548"/>
      <c r="WV75" s="548"/>
      <c r="WW75" s="548"/>
      <c r="WX75" s="548"/>
      <c r="WY75" s="548"/>
      <c r="WZ75" s="548"/>
      <c r="XA75" s="548"/>
      <c r="XB75" s="548"/>
      <c r="XC75" s="548"/>
      <c r="XD75" s="548"/>
      <c r="XE75" s="548"/>
      <c r="XF75" s="548"/>
      <c r="XG75" s="548"/>
      <c r="XH75" s="548"/>
      <c r="XI75" s="548"/>
      <c r="XJ75" s="548"/>
      <c r="XK75" s="548"/>
      <c r="XL75" s="548"/>
      <c r="XM75" s="548"/>
      <c r="XN75" s="548"/>
      <c r="XO75" s="548"/>
      <c r="XP75" s="548"/>
      <c r="XQ75" s="548"/>
      <c r="XR75" s="548"/>
      <c r="XS75" s="548"/>
      <c r="XT75" s="548"/>
      <c r="XU75" s="548"/>
      <c r="XV75" s="548"/>
      <c r="XW75" s="548"/>
      <c r="XX75" s="548"/>
      <c r="XY75" s="548"/>
      <c r="XZ75" s="548"/>
      <c r="YA75" s="548"/>
      <c r="YB75" s="548"/>
      <c r="YC75" s="548"/>
      <c r="YD75" s="548"/>
      <c r="YE75" s="548"/>
      <c r="YF75" s="548"/>
      <c r="YG75" s="548"/>
      <c r="YH75" s="548"/>
      <c r="YI75" s="548"/>
      <c r="YJ75" s="548"/>
      <c r="YK75" s="548"/>
      <c r="YL75" s="548"/>
      <c r="YM75" s="548"/>
      <c r="YN75" s="548"/>
      <c r="YO75" s="548"/>
      <c r="YP75" s="548"/>
      <c r="YQ75" s="548"/>
      <c r="YR75" s="548"/>
      <c r="YS75" s="548"/>
      <c r="YT75" s="548"/>
      <c r="YU75" s="548"/>
      <c r="YV75" s="548"/>
      <c r="YW75" s="548"/>
      <c r="YX75" s="548"/>
      <c r="YY75" s="548"/>
      <c r="YZ75" s="548"/>
      <c r="ZA75" s="548"/>
      <c r="ZB75" s="548"/>
      <c r="ZC75" s="548"/>
      <c r="ZD75" s="548"/>
      <c r="ZE75" s="548"/>
      <c r="ZF75" s="548"/>
      <c r="ZG75" s="548"/>
      <c r="ZH75" s="548"/>
      <c r="ZI75" s="548"/>
      <c r="ZJ75" s="548"/>
      <c r="ZK75" s="548"/>
      <c r="ZL75" s="548"/>
      <c r="ZM75" s="548"/>
      <c r="ZN75" s="548"/>
      <c r="ZO75" s="548"/>
      <c r="ZP75" s="548"/>
      <c r="ZQ75" s="548"/>
      <c r="ZR75" s="548"/>
      <c r="ZS75" s="548"/>
      <c r="ZT75" s="548"/>
      <c r="ZU75" s="548"/>
      <c r="ZV75" s="548"/>
      <c r="ZW75" s="548"/>
      <c r="ZX75" s="548"/>
      <c r="ZY75" s="548"/>
      <c r="ZZ75" s="548"/>
      <c r="AAA75" s="548"/>
      <c r="AAB75" s="548"/>
      <c r="AAC75" s="548"/>
      <c r="AAD75" s="548"/>
      <c r="AAE75" s="548"/>
      <c r="AAF75" s="548"/>
      <c r="AAG75" s="548"/>
      <c r="AAH75" s="548"/>
      <c r="AAI75" s="548"/>
      <c r="AAJ75" s="548"/>
      <c r="AAK75" s="548"/>
      <c r="AAL75" s="548"/>
      <c r="AAM75" s="548"/>
      <c r="AAN75" s="548"/>
      <c r="AAO75" s="548"/>
      <c r="AAP75" s="548"/>
      <c r="AAQ75" s="548"/>
      <c r="AAR75" s="548"/>
      <c r="AAS75" s="548"/>
      <c r="AAT75" s="548"/>
      <c r="AAU75" s="548"/>
      <c r="AAV75" s="548"/>
      <c r="AAW75" s="548"/>
      <c r="AAX75" s="548"/>
      <c r="AAY75" s="548"/>
      <c r="AAZ75" s="548"/>
      <c r="ABA75" s="548"/>
      <c r="ABB75" s="548"/>
      <c r="ABC75" s="548"/>
      <c r="ABD75" s="548"/>
      <c r="ABE75" s="548"/>
      <c r="ABF75" s="548"/>
      <c r="ABG75" s="548"/>
      <c r="ABH75" s="548"/>
      <c r="ABI75" s="548"/>
      <c r="ABJ75" s="548"/>
      <c r="ABK75" s="548"/>
      <c r="ABL75" s="548"/>
      <c r="ABM75" s="548"/>
      <c r="ABN75" s="548"/>
      <c r="ABO75" s="548"/>
      <c r="ABP75" s="548"/>
      <c r="ABQ75" s="548"/>
      <c r="ABR75" s="548"/>
      <c r="ABS75" s="548"/>
    </row>
    <row r="76" spans="1:747" customFormat="1" ht="15" customHeight="1" x14ac:dyDescent="0.2">
      <c r="A76" s="424" t="str">
        <f t="shared" si="909"/>
        <v/>
      </c>
      <c r="B76" s="415"/>
      <c r="C76" s="525"/>
      <c r="D76" s="750"/>
      <c r="E76" s="416" t="str">
        <f t="shared" si="751"/>
        <v/>
      </c>
      <c r="F76" s="527" t="str">
        <f t="shared" si="752"/>
        <v/>
      </c>
      <c r="G76" s="417"/>
      <c r="H76" s="585" t="str">
        <f t="shared" si="753"/>
        <v/>
      </c>
      <c r="I76" s="424"/>
      <c r="J76" s="419"/>
      <c r="K76" s="418"/>
      <c r="L76" s="419"/>
      <c r="M76" s="415"/>
      <c r="N76" s="420"/>
      <c r="O76" s="421"/>
      <c r="P76" s="561"/>
      <c r="Q76" s="422"/>
      <c r="R76" s="561" t="str">
        <f t="shared" si="754"/>
        <v/>
      </c>
      <c r="S76" s="664"/>
      <c r="T76" s="663"/>
      <c r="U76" s="580">
        <f t="shared" si="755"/>
        <v>0</v>
      </c>
      <c r="V76" s="418"/>
      <c r="W76" s="582" t="str">
        <f t="shared" si="756"/>
        <v/>
      </c>
      <c r="X76" s="479" t="str">
        <f t="shared" si="757"/>
        <v/>
      </c>
      <c r="Y76" s="582" t="str">
        <f t="shared" si="758"/>
        <v/>
      </c>
      <c r="Z76" s="317" t="str">
        <f t="shared" si="759"/>
        <v/>
      </c>
      <c r="AA76" s="317" t="str">
        <f t="shared" si="760"/>
        <v/>
      </c>
      <c r="AB76" s="317">
        <f t="shared" si="761"/>
        <v>0</v>
      </c>
      <c r="AC76" s="317" t="str">
        <f t="shared" si="762"/>
        <v/>
      </c>
      <c r="AD76" s="479"/>
      <c r="AE76" s="479"/>
      <c r="AF76" s="479"/>
      <c r="AG76" s="423"/>
      <c r="AH76" s="820"/>
      <c r="AI76" s="437"/>
      <c r="AJ76" s="660"/>
      <c r="AK76" s="524" t="str">
        <f t="shared" si="763"/>
        <v/>
      </c>
      <c r="AL76" s="731">
        <f>SUMIF($J$4:$J$88,"Imprensa",$S$4:$S$88)</f>
        <v>0</v>
      </c>
      <c r="AM76" s="732">
        <f>SUMIF($J$4:$J$88,"Imprensa",$T$4:$T$88)</f>
        <v>0</v>
      </c>
      <c r="AN76" s="426">
        <f t="shared" si="764"/>
        <v>0</v>
      </c>
      <c r="AO76" s="427" t="str">
        <f t="shared" si="765"/>
        <v/>
      </c>
      <c r="AP76" s="426" t="str">
        <f t="shared" si="766"/>
        <v/>
      </c>
      <c r="AQ76" s="426"/>
      <c r="AR76" s="426"/>
      <c r="AS76" s="428"/>
      <c r="AT76" s="429"/>
      <c r="AU76" s="430"/>
      <c r="AV76" s="431"/>
      <c r="AW76" s="432"/>
      <c r="AX76" s="430"/>
      <c r="AY76" s="431">
        <f t="shared" si="767"/>
        <v>0</v>
      </c>
      <c r="AZ76" s="426"/>
      <c r="BA76" s="435" t="str">
        <f t="shared" si="768"/>
        <v/>
      </c>
      <c r="BB76" s="435"/>
      <c r="BC76" s="426"/>
      <c r="BD76" s="426">
        <f t="array" ref="BD76">IF(SUM((BC76=$BC$3:BC75)*1)=0,BC76,0)</f>
        <v>0</v>
      </c>
      <c r="BE76" s="426"/>
      <c r="BF76" s="426"/>
      <c r="BG76" s="426">
        <f t="array" ref="BG76">IF(SUM((BF76=$BF$3:BF75)*1)=0,BF76,0)</f>
        <v>0</v>
      </c>
      <c r="BH76" s="426"/>
      <c r="BI76" s="426"/>
      <c r="BJ76" s="426"/>
      <c r="BK76" s="426"/>
      <c r="BL76" s="426"/>
      <c r="BM76" s="426"/>
      <c r="BN76" s="426"/>
      <c r="BO76" s="426"/>
      <c r="BP76" s="433">
        <f t="shared" si="769"/>
        <v>0</v>
      </c>
      <c r="BQ76" s="426"/>
      <c r="BR76" s="434"/>
      <c r="BS76" s="426"/>
      <c r="BT76" s="433"/>
      <c r="BU76" s="435"/>
      <c r="BV76" s="435" t="str">
        <f t="shared" si="770"/>
        <v/>
      </c>
      <c r="BW76" s="435" t="str">
        <f t="shared" si="798"/>
        <v/>
      </c>
      <c r="BX76" s="435"/>
      <c r="BY76" s="435"/>
      <c r="BZ76" s="435"/>
      <c r="CA76" s="435"/>
      <c r="CB76" s="435"/>
      <c r="CC76" s="435"/>
      <c r="CD76" s="435"/>
      <c r="CE76" s="435"/>
      <c r="CF76" s="435"/>
      <c r="CG76" s="435"/>
      <c r="CH76" s="435"/>
      <c r="CI76" s="435"/>
      <c r="CJ76" s="426" t="str">
        <f t="shared" si="799"/>
        <v/>
      </c>
      <c r="CK76" s="435"/>
      <c r="CL76" s="426"/>
      <c r="CM76" s="435"/>
      <c r="CN76" s="426"/>
      <c r="CO76" s="426"/>
      <c r="CP76" s="426"/>
      <c r="CQ76" s="426"/>
      <c r="CR76" s="426"/>
      <c r="CS76" s="426"/>
      <c r="CT76" s="426"/>
      <c r="CU76" s="426"/>
      <c r="CV76" s="426"/>
      <c r="CW76" s="493"/>
      <c r="CX76" s="493"/>
      <c r="CY76" s="426">
        <v>73</v>
      </c>
      <c r="CZ76" s="493"/>
      <c r="DA76" s="493"/>
      <c r="DB76" s="493"/>
      <c r="DC76" s="426" t="s">
        <v>816</v>
      </c>
      <c r="DD76" s="426" t="s">
        <v>976</v>
      </c>
      <c r="DE76" s="435" t="str">
        <f t="shared" si="800"/>
        <v/>
      </c>
      <c r="DF76" s="435" t="str">
        <f t="shared" si="801"/>
        <v/>
      </c>
      <c r="DG76" s="435" t="str">
        <f t="shared" si="802"/>
        <v/>
      </c>
      <c r="DH76" s="435" t="str">
        <f t="shared" si="803"/>
        <v/>
      </c>
      <c r="DI76" s="435" t="str">
        <f t="shared" si="804"/>
        <v/>
      </c>
      <c r="DJ76" s="435" t="str">
        <f t="shared" si="805"/>
        <v/>
      </c>
      <c r="DK76" s="435" t="str">
        <f t="shared" si="771"/>
        <v/>
      </c>
      <c r="DL76" s="435" t="str">
        <f t="shared" si="772"/>
        <v/>
      </c>
      <c r="DM76" s="435" t="str">
        <f t="shared" si="806"/>
        <v/>
      </c>
      <c r="DN76" s="435" t="str">
        <f t="shared" si="807"/>
        <v/>
      </c>
      <c r="DO76" s="435" t="str">
        <f t="shared" si="773"/>
        <v/>
      </c>
      <c r="DP76" s="435" t="str">
        <f t="shared" si="774"/>
        <v/>
      </c>
      <c r="DQ76" s="435" t="str">
        <f t="shared" si="808"/>
        <v/>
      </c>
      <c r="DR76" s="435" t="str">
        <f t="shared" si="809"/>
        <v/>
      </c>
      <c r="DS76" s="435" t="str">
        <f t="shared" si="775"/>
        <v/>
      </c>
      <c r="DT76" s="435" t="str">
        <f t="shared" si="776"/>
        <v/>
      </c>
      <c r="DU76" s="435" t="str">
        <f t="shared" si="810"/>
        <v/>
      </c>
      <c r="DV76" s="435" t="str">
        <f t="shared" si="811"/>
        <v/>
      </c>
      <c r="DW76" s="435" t="str">
        <f t="shared" si="777"/>
        <v/>
      </c>
      <c r="DX76" s="435" t="str">
        <f t="shared" si="778"/>
        <v/>
      </c>
      <c r="DY76" s="435" t="str">
        <f t="shared" si="812"/>
        <v/>
      </c>
      <c r="DZ76" s="435" t="str">
        <f t="shared" si="813"/>
        <v/>
      </c>
      <c r="EA76" s="435" t="str">
        <f t="shared" si="779"/>
        <v/>
      </c>
      <c r="EB76" s="435" t="str">
        <f t="shared" si="780"/>
        <v/>
      </c>
      <c r="EC76" s="435" t="str">
        <f t="shared" si="781"/>
        <v/>
      </c>
      <c r="ED76" s="435" t="str">
        <f t="shared" si="782"/>
        <v/>
      </c>
      <c r="EE76" s="435" t="str">
        <f t="shared" si="783"/>
        <v/>
      </c>
      <c r="EF76" s="435" t="str">
        <f t="shared" si="784"/>
        <v/>
      </c>
      <c r="EG76" s="435" t="str">
        <f t="shared" si="785"/>
        <v/>
      </c>
      <c r="EH76" s="435" t="str">
        <f t="shared" si="786"/>
        <v/>
      </c>
      <c r="EI76" s="435" t="str">
        <f t="shared" si="787"/>
        <v/>
      </c>
      <c r="EJ76" s="435" t="str">
        <f t="shared" si="788"/>
        <v/>
      </c>
      <c r="EK76" s="485"/>
      <c r="EL76" s="485"/>
      <c r="EM76" s="485"/>
      <c r="EN76" s="485"/>
      <c r="EO76" s="448"/>
      <c r="EP76" s="448"/>
      <c r="EQ76" s="448"/>
      <c r="ER76" s="448"/>
      <c r="ES76" s="448"/>
      <c r="ET76" s="435"/>
      <c r="EU76" s="435"/>
      <c r="EV76" s="435"/>
      <c r="EW76" s="435"/>
      <c r="EX76" s="426"/>
      <c r="EY76" s="426"/>
      <c r="EZ76" s="426"/>
      <c r="FA76" s="863"/>
      <c r="FB76" s="427">
        <f t="array" ref="FB76">IF(SUM((FA76=$FA$3:FA75)*1)=0,FA76,0)</f>
        <v>0</v>
      </c>
      <c r="FC76" s="863"/>
      <c r="FD76" s="863"/>
      <c r="FE76" s="863">
        <f t="array" ref="FE76">IF(SUM((FD76=$FD$3:FD75)*1)=0,FD76,0)</f>
        <v>0</v>
      </c>
      <c r="FF76" s="863"/>
      <c r="FG76" s="863"/>
      <c r="FH76" s="863"/>
      <c r="FI76" s="427">
        <f t="array" ref="FI76">IF(SUM((FH76=$FH$3:FH75)*1)=0,FH76,0)</f>
        <v>0</v>
      </c>
      <c r="FJ76" s="863"/>
      <c r="FK76" s="863"/>
      <c r="FL76" s="863">
        <f t="array" ref="FL76">IF(SUM((FK76=$FK$3:FK75)*1)=0,FK76,0)</f>
        <v>0</v>
      </c>
      <c r="FM76" s="863"/>
      <c r="FN76" s="863"/>
      <c r="FO76" s="863"/>
      <c r="FP76" s="427">
        <f t="array" ref="FP76">IF(SUM((FO76=$FO$3:FO75)*1)=0,FO76,0)</f>
        <v>0</v>
      </c>
      <c r="FQ76" s="863"/>
      <c r="FR76" s="863"/>
      <c r="FS76" s="863">
        <f t="array" ref="FS76">IF(SUM((FR76=$FR$3:FR75)*1)=0,FR76,0)</f>
        <v>0</v>
      </c>
      <c r="FT76" s="863"/>
      <c r="FU76" s="863"/>
      <c r="FV76" s="863"/>
      <c r="FW76" s="427">
        <f t="array" ref="FW76">IF(SUM((FV76=$FV$3:FV75)*1)=0,FV76,0)</f>
        <v>0</v>
      </c>
      <c r="FX76" s="863"/>
      <c r="FY76" s="863"/>
      <c r="FZ76" s="863">
        <f t="array" ref="FZ76">IF(SUM((FY76=$FY$3:FY75)*1)=0,FY76,0)</f>
        <v>0</v>
      </c>
      <c r="GA76" s="863"/>
      <c r="GB76" s="863"/>
      <c r="GC76" s="863"/>
      <c r="GD76" s="427">
        <f t="array" ref="GD76">IF(SUM((GC76=$GC$3:GC75)*1)=0,GC76,0)</f>
        <v>0</v>
      </c>
      <c r="GE76" s="863"/>
      <c r="GF76" s="863"/>
      <c r="GG76" s="863">
        <f t="array" ref="GG76">IF(SUM((GF76=$GF$3:GF75)*1)=0,GF76,0)</f>
        <v>0</v>
      </c>
      <c r="GH76" s="863"/>
      <c r="GI76" s="863"/>
      <c r="GJ76" s="863"/>
      <c r="GK76" s="798">
        <f t="array" ref="GK76">IF(SUM((GJ76=$GJ$3:GJ75)*1)=0,GJ76,0)</f>
        <v>0</v>
      </c>
      <c r="GL76" s="863"/>
      <c r="GM76" s="863"/>
      <c r="GN76" s="798">
        <f t="array" ref="GN76">IF(SUM((GM76=$GM$3:GM75)*1)=0,GM76,0)</f>
        <v>0</v>
      </c>
      <c r="GO76" s="863"/>
      <c r="GP76" s="863"/>
      <c r="GQ76" s="863"/>
      <c r="GR76" s="798">
        <f t="array" ref="GR76">IF(SUM((GQ76=$GQ$3:GQ75)*1)=0,GQ76,0)</f>
        <v>0</v>
      </c>
      <c r="GS76" s="863"/>
      <c r="GT76" s="863"/>
      <c r="GU76" s="798">
        <f t="array" ref="GU76">IF(SUM((GT76=$GT$3:GT75)*1)=0,GT76,0)</f>
        <v>0</v>
      </c>
      <c r="GV76" s="863"/>
      <c r="GW76" s="863"/>
      <c r="GX76" s="863"/>
      <c r="GY76" s="798">
        <f t="array" ref="GY76">IF(SUM((GX76=$GX$3:GX75)*1)=0,GX76,0)</f>
        <v>0</v>
      </c>
      <c r="GZ76" s="863"/>
      <c r="HA76" s="863"/>
      <c r="HB76" s="798">
        <f t="array" ref="HB76">IF(SUM((HA76=$HA$3:HA75)*1)=0,HA76,0)</f>
        <v>0</v>
      </c>
      <c r="HC76" s="863"/>
      <c r="HD76" s="863"/>
      <c r="HE76" s="769" t="str">
        <f t="shared" si="889"/>
        <v/>
      </c>
      <c r="HF76" s="768" t="str">
        <f t="shared" ref="HF76" si="955">IF(HE76&lt;0,"Invadiu REP-BA-C","")</f>
        <v/>
      </c>
      <c r="HG76" s="769" t="str">
        <f t="shared" si="891"/>
        <v/>
      </c>
      <c r="HH76" s="768" t="str">
        <f t="shared" si="815"/>
        <v/>
      </c>
      <c r="HI76" s="728" t="str">
        <f t="shared" si="892"/>
        <v/>
      </c>
      <c r="HJ76" s="768" t="str">
        <f t="shared" si="816"/>
        <v/>
      </c>
      <c r="HK76" s="728" t="str">
        <f t="shared" si="893"/>
        <v/>
      </c>
      <c r="HL76" s="768" t="str">
        <f t="shared" si="817"/>
        <v/>
      </c>
      <c r="HM76" s="769" t="str">
        <f t="shared" si="818"/>
        <v/>
      </c>
      <c r="HN76" s="768" t="str">
        <f t="shared" ref="HN76" si="956">IF(HM76&lt;0,"Invadiu REP-BA-C","")</f>
        <v/>
      </c>
      <c r="HO76" s="769" t="str">
        <f t="shared" si="820"/>
        <v/>
      </c>
      <c r="HP76" s="768" t="str">
        <f t="shared" si="821"/>
        <v/>
      </c>
      <c r="HQ76" s="728" t="str">
        <f t="shared" si="822"/>
        <v/>
      </c>
      <c r="HR76" s="768" t="str">
        <f t="shared" si="823"/>
        <v/>
      </c>
      <c r="HS76" s="728" t="str">
        <f t="shared" si="824"/>
        <v/>
      </c>
      <c r="HT76" s="768" t="str">
        <f t="shared" si="825"/>
        <v/>
      </c>
      <c r="HU76" s="769" t="str">
        <f t="shared" si="826"/>
        <v/>
      </c>
      <c r="HV76" s="768" t="str">
        <f t="shared" ref="HV76" si="957">IF(HU76&lt;0,"Invadiu REP-BA-C","")</f>
        <v/>
      </c>
      <c r="HW76" s="769" t="str">
        <f t="shared" si="828"/>
        <v/>
      </c>
      <c r="HX76" s="768" t="str">
        <f t="shared" si="829"/>
        <v/>
      </c>
      <c r="HY76" s="728" t="str">
        <f t="shared" si="830"/>
        <v/>
      </c>
      <c r="HZ76" s="768" t="str">
        <f t="shared" si="831"/>
        <v/>
      </c>
      <c r="IA76" s="728" t="str">
        <f t="shared" si="832"/>
        <v/>
      </c>
      <c r="IB76" s="768" t="str">
        <f t="shared" si="833"/>
        <v/>
      </c>
      <c r="IC76" s="769" t="str">
        <f t="shared" si="834"/>
        <v/>
      </c>
      <c r="ID76" s="768" t="str">
        <f t="shared" ref="ID76" si="958">IF(IC76&lt;0,"Invadiu REP-BA-C","")</f>
        <v/>
      </c>
      <c r="IE76" s="769" t="str">
        <f t="shared" si="836"/>
        <v/>
      </c>
      <c r="IF76" s="768" t="str">
        <f t="shared" si="837"/>
        <v/>
      </c>
      <c r="IG76" s="728" t="str">
        <f t="shared" si="838"/>
        <v/>
      </c>
      <c r="IH76" s="768" t="str">
        <f t="shared" si="839"/>
        <v/>
      </c>
      <c r="II76" s="728" t="str">
        <f t="shared" si="840"/>
        <v/>
      </c>
      <c r="IJ76" s="768" t="str">
        <f t="shared" si="841"/>
        <v/>
      </c>
      <c r="IK76" s="769" t="str">
        <f t="shared" si="842"/>
        <v/>
      </c>
      <c r="IL76" s="768" t="str">
        <f t="shared" ref="IL76" si="959">IF(IK76&lt;0,"Invadiu REP-BA-C","")</f>
        <v/>
      </c>
      <c r="IM76" s="769" t="str">
        <f t="shared" si="844"/>
        <v/>
      </c>
      <c r="IN76" s="768" t="str">
        <f t="shared" si="845"/>
        <v/>
      </c>
      <c r="IO76" s="728" t="str">
        <f t="shared" si="846"/>
        <v/>
      </c>
      <c r="IP76" s="768" t="str">
        <f t="shared" si="847"/>
        <v/>
      </c>
      <c r="IQ76" s="728" t="str">
        <f t="shared" si="848"/>
        <v/>
      </c>
      <c r="IR76" s="768" t="str">
        <f t="shared" si="849"/>
        <v/>
      </c>
      <c r="IS76" s="769" t="str">
        <f t="shared" si="850"/>
        <v/>
      </c>
      <c r="IT76" s="768" t="str">
        <f t="shared" ref="IT76" si="960">IF(IS76&lt;0,"Invadiu REP-BA-C","")</f>
        <v/>
      </c>
      <c r="IU76" s="769" t="str">
        <f t="shared" si="852"/>
        <v/>
      </c>
      <c r="IV76" s="768" t="str">
        <f t="shared" si="853"/>
        <v/>
      </c>
      <c r="IW76" s="728" t="str">
        <f t="shared" si="854"/>
        <v/>
      </c>
      <c r="IX76" s="768" t="str">
        <f t="shared" si="855"/>
        <v/>
      </c>
      <c r="IY76" s="728" t="str">
        <f t="shared" si="856"/>
        <v/>
      </c>
      <c r="IZ76" s="768" t="str">
        <f t="shared" si="857"/>
        <v/>
      </c>
      <c r="JA76" s="769" t="str">
        <f t="shared" si="858"/>
        <v/>
      </c>
      <c r="JB76" s="768" t="str">
        <f t="shared" ref="JB76" si="961">IF(JA76&lt;0,"Invadiu REP-BA-C","")</f>
        <v/>
      </c>
      <c r="JC76" s="769" t="str">
        <f t="shared" si="860"/>
        <v/>
      </c>
      <c r="JD76" s="768" t="str">
        <f t="shared" si="861"/>
        <v/>
      </c>
      <c r="JE76" s="728" t="str">
        <f t="shared" si="862"/>
        <v/>
      </c>
      <c r="JF76" s="768" t="str">
        <f t="shared" si="863"/>
        <v/>
      </c>
      <c r="JG76" s="728" t="str">
        <f t="shared" si="864"/>
        <v/>
      </c>
      <c r="JH76" s="768" t="str">
        <f t="shared" si="865"/>
        <v/>
      </c>
      <c r="JI76" s="769" t="str">
        <f t="shared" si="866"/>
        <v/>
      </c>
      <c r="JJ76" s="768" t="str">
        <f t="shared" ref="JJ76" si="962">IF(JI76&lt;0,"Invadiu REP-BA-C","")</f>
        <v/>
      </c>
      <c r="JK76" s="769" t="str">
        <f t="shared" si="868"/>
        <v/>
      </c>
      <c r="JL76" s="768" t="str">
        <f t="shared" si="869"/>
        <v/>
      </c>
      <c r="JM76" s="728" t="str">
        <f t="shared" si="870"/>
        <v/>
      </c>
      <c r="JN76" s="768" t="str">
        <f t="shared" si="871"/>
        <v/>
      </c>
      <c r="JO76" s="728" t="str">
        <f t="shared" si="872"/>
        <v/>
      </c>
      <c r="JP76" s="768" t="str">
        <f t="shared" si="873"/>
        <v/>
      </c>
      <c r="JQ76" s="769" t="str">
        <f t="shared" si="874"/>
        <v/>
      </c>
      <c r="JR76" s="768" t="str">
        <f t="shared" ref="JR76" si="963">IF(JQ76&lt;0,"Invadiu REP-BA-C","")</f>
        <v/>
      </c>
      <c r="JS76" s="769" t="str">
        <f t="shared" si="876"/>
        <v/>
      </c>
      <c r="JT76" s="768" t="str">
        <f t="shared" si="877"/>
        <v/>
      </c>
      <c r="JU76" s="728" t="str">
        <f t="shared" si="878"/>
        <v/>
      </c>
      <c r="JV76" s="768" t="str">
        <f t="shared" si="879"/>
        <v/>
      </c>
      <c r="JW76" s="728" t="str">
        <f t="shared" si="880"/>
        <v/>
      </c>
      <c r="JX76" s="768" t="str">
        <f t="shared" si="881"/>
        <v/>
      </c>
      <c r="JY76" s="768" t="str">
        <f t="shared" si="882"/>
        <v/>
      </c>
      <c r="JZ76" s="485" t="str">
        <f>IF(JY76="","",IF(AND(C76=$C$164,JY76&lt;&gt;""),Verificarcpf(D76),IF(AND(C76=$C$165,JY76&lt;&gt;""),VerificarCNPJ(D76))))</f>
        <v/>
      </c>
      <c r="KA76" s="768" t="str">
        <f t="shared" si="883"/>
        <v/>
      </c>
      <c r="KB76" s="485">
        <f t="shared" si="884"/>
        <v>0</v>
      </c>
      <c r="KC76" s="768">
        <f t="shared" si="885"/>
        <v>0</v>
      </c>
      <c r="KD76" s="485">
        <f t="shared" si="886"/>
        <v>0</v>
      </c>
      <c r="KE76" s="448"/>
      <c r="KF76" s="548"/>
      <c r="KG76" s="548"/>
      <c r="KH76" s="548"/>
      <c r="KI76" s="548"/>
      <c r="KJ76" s="548" t="str">
        <f t="shared" si="887"/>
        <v/>
      </c>
      <c r="KK76" s="548"/>
      <c r="KL76" s="548"/>
      <c r="KM76" s="548">
        <f t="array" ref="KM76">IF(SUM((KL76=$KL$3:KL75)*1)=0,KL76,0)</f>
        <v>0</v>
      </c>
      <c r="KN76" s="548"/>
      <c r="KO76" s="548"/>
      <c r="KP76" s="548"/>
      <c r="KQ76" s="548"/>
      <c r="KR76" s="548" t="str">
        <f t="shared" si="888"/>
        <v/>
      </c>
      <c r="KS76" s="548"/>
      <c r="KT76" s="548"/>
      <c r="KU76" s="548"/>
      <c r="KV76" s="548"/>
      <c r="KW76" s="548"/>
      <c r="KX76" s="548"/>
      <c r="KY76" s="548"/>
      <c r="KZ76" s="548"/>
      <c r="LA76" s="548"/>
      <c r="LB76" s="548"/>
      <c r="LC76" s="485" t="str">
        <f t="shared" si="902"/>
        <v/>
      </c>
      <c r="LD76" s="548"/>
      <c r="LE76" s="548"/>
      <c r="LF76" s="548"/>
      <c r="LG76" s="548"/>
      <c r="LH76" s="548"/>
      <c r="LI76" s="548"/>
      <c r="LJ76" s="548"/>
      <c r="LK76" s="548"/>
      <c r="LL76" s="548"/>
      <c r="LM76" s="548"/>
      <c r="LN76" s="548"/>
      <c r="LO76" s="548"/>
      <c r="LP76" s="485" t="str">
        <f t="shared" si="903"/>
        <v/>
      </c>
      <c r="LQ76" s="548"/>
      <c r="LR76" s="548"/>
      <c r="LS76" s="548"/>
      <c r="LT76" s="548"/>
      <c r="LU76" s="548"/>
      <c r="LV76" s="548"/>
      <c r="LW76" s="548"/>
      <c r="LX76" s="548"/>
      <c r="LY76" s="548"/>
      <c r="LZ76" s="548"/>
      <c r="MA76" s="548"/>
      <c r="MB76" s="548"/>
      <c r="MC76" s="485" t="str">
        <f t="shared" si="904"/>
        <v/>
      </c>
      <c r="MD76" s="548"/>
      <c r="ME76" s="548"/>
      <c r="MF76" s="548"/>
      <c r="MG76" s="548"/>
      <c r="MH76" s="548"/>
      <c r="MI76" s="548"/>
      <c r="MJ76" s="548"/>
      <c r="MK76" s="548"/>
      <c r="ML76" s="548"/>
      <c r="MM76" s="548"/>
      <c r="MN76" s="548"/>
      <c r="MO76" s="548"/>
      <c r="MP76" s="485" t="str">
        <f t="shared" si="905"/>
        <v/>
      </c>
      <c r="MQ76" s="548"/>
      <c r="MR76" s="548"/>
      <c r="MS76" s="548"/>
      <c r="MT76" s="548"/>
      <c r="MU76" s="548"/>
      <c r="MV76" s="548"/>
      <c r="MW76" s="548"/>
      <c r="MX76" s="548"/>
      <c r="MY76" s="548"/>
      <c r="MZ76" s="548"/>
      <c r="NA76" s="548"/>
      <c r="NB76" s="548"/>
      <c r="NC76" s="485" t="str">
        <f t="shared" si="906"/>
        <v/>
      </c>
      <c r="ND76" s="548"/>
      <c r="NE76" s="548"/>
      <c r="NF76" s="548"/>
      <c r="NG76" s="548"/>
      <c r="NH76" s="548"/>
      <c r="NI76" s="548"/>
      <c r="NJ76" s="548"/>
      <c r="NK76" s="548"/>
      <c r="NL76" s="548"/>
      <c r="NM76" s="548"/>
      <c r="NN76" s="548"/>
      <c r="NO76" s="548"/>
      <c r="NP76" s="485" t="str">
        <f t="shared" si="907"/>
        <v/>
      </c>
      <c r="NQ76" s="548"/>
      <c r="NR76" s="548"/>
      <c r="NS76" s="548"/>
      <c r="NT76" s="548"/>
      <c r="NU76" s="548"/>
      <c r="NV76" s="548"/>
      <c r="NW76" s="548"/>
      <c r="NX76" s="548"/>
      <c r="NY76" s="548"/>
      <c r="NZ76" s="548"/>
      <c r="OA76" s="548"/>
      <c r="OB76" s="548"/>
      <c r="OC76" s="485" t="str">
        <f t="shared" si="908"/>
        <v/>
      </c>
      <c r="OD76" s="548"/>
      <c r="OE76" s="548"/>
      <c r="OF76" s="548"/>
      <c r="OG76" s="548"/>
      <c r="OH76" s="548"/>
      <c r="OI76" s="548"/>
      <c r="OJ76" s="548"/>
      <c r="OK76" s="548"/>
      <c r="OL76" s="548"/>
      <c r="OM76" s="548"/>
      <c r="ON76" s="548"/>
      <c r="OO76" s="548"/>
      <c r="OP76" s="548"/>
      <c r="OQ76" s="548"/>
      <c r="OR76" s="548"/>
      <c r="OS76" s="548"/>
      <c r="OT76" s="548"/>
      <c r="OU76" s="548"/>
      <c r="OV76" s="548"/>
      <c r="OW76" s="548"/>
      <c r="OX76" s="548"/>
      <c r="OY76" s="548"/>
      <c r="OZ76" s="548"/>
      <c r="PA76" s="548"/>
      <c r="PB76" s="548"/>
      <c r="PC76" s="548"/>
      <c r="PD76" s="548"/>
      <c r="PE76" s="548"/>
      <c r="PF76" s="548"/>
      <c r="PG76" s="548"/>
      <c r="PH76" s="548"/>
      <c r="PI76" s="548"/>
      <c r="PJ76" s="548"/>
      <c r="PK76" s="548"/>
      <c r="PL76" s="548"/>
      <c r="PM76" s="548"/>
      <c r="PN76" s="548"/>
      <c r="PO76" s="548"/>
      <c r="PP76" s="548"/>
      <c r="PQ76" s="548"/>
      <c r="PR76" s="548"/>
      <c r="PS76" s="548"/>
      <c r="PT76" s="548"/>
      <c r="PU76" s="548"/>
      <c r="PV76" s="548"/>
      <c r="PW76" s="548"/>
      <c r="PX76" s="548"/>
      <c r="PY76" s="548"/>
      <c r="PZ76" s="548"/>
      <c r="QA76" s="548"/>
      <c r="QB76" s="548"/>
      <c r="QC76" s="548"/>
      <c r="QD76" s="548"/>
      <c r="QE76" s="548"/>
      <c r="QF76" s="548"/>
      <c r="QG76" s="548"/>
      <c r="QH76" s="548"/>
      <c r="QI76" s="548"/>
      <c r="QJ76" s="548"/>
      <c r="QK76" s="548"/>
      <c r="QL76" s="548"/>
      <c r="QM76" s="548"/>
      <c r="QN76" s="548"/>
      <c r="QO76" s="548"/>
      <c r="QP76" s="548"/>
      <c r="QQ76" s="1009"/>
      <c r="QR76" s="548"/>
      <c r="QS76" s="548"/>
      <c r="QT76" s="548"/>
      <c r="QU76" s="548"/>
      <c r="QV76" s="548"/>
      <c r="QW76" s="548"/>
      <c r="QX76" s="548"/>
      <c r="QY76" s="548"/>
      <c r="QZ76" s="548"/>
      <c r="RA76" s="548"/>
      <c r="RB76" s="548"/>
      <c r="RC76" s="548"/>
      <c r="RD76" s="548"/>
      <c r="RE76" s="548"/>
      <c r="RF76" s="548"/>
      <c r="RG76" s="548"/>
      <c r="RH76" s="548"/>
      <c r="RI76" s="548"/>
      <c r="RJ76" s="548"/>
      <c r="RK76" s="548"/>
      <c r="RL76" s="548"/>
      <c r="RM76" s="548"/>
      <c r="RN76" s="548"/>
      <c r="RO76" s="548"/>
      <c r="RP76" s="548"/>
      <c r="RQ76" s="548"/>
      <c r="RR76" s="548"/>
      <c r="RS76" s="548"/>
      <c r="RT76" s="548"/>
      <c r="RU76" s="548"/>
      <c r="RV76" s="548"/>
      <c r="RW76" s="548"/>
      <c r="RX76" s="548"/>
      <c r="RY76" s="548"/>
      <c r="RZ76" s="548"/>
      <c r="SA76" s="548"/>
      <c r="SB76" s="548"/>
      <c r="SC76" s="548"/>
      <c r="SD76" s="548"/>
      <c r="SE76" s="548"/>
      <c r="SF76" s="548"/>
      <c r="SG76" s="548"/>
      <c r="SH76" s="548"/>
      <c r="SI76" s="548"/>
      <c r="SJ76" s="548"/>
      <c r="SK76" s="548"/>
      <c r="SL76" s="548"/>
      <c r="SM76" s="548"/>
      <c r="SN76" s="548"/>
      <c r="SO76" s="548"/>
      <c r="SP76" s="548"/>
      <c r="SQ76" s="548"/>
      <c r="SR76" s="548"/>
      <c r="SS76" s="548"/>
      <c r="ST76" s="548"/>
      <c r="SU76" s="548"/>
      <c r="SV76" s="548"/>
      <c r="SW76" s="548"/>
      <c r="SX76" s="548"/>
      <c r="SY76" s="548"/>
      <c r="SZ76" s="548"/>
      <c r="TA76" s="548"/>
      <c r="TB76" s="548"/>
      <c r="TC76" s="548"/>
      <c r="TD76" s="548"/>
      <c r="TE76" s="548"/>
      <c r="TF76" s="548"/>
      <c r="TG76" s="548"/>
      <c r="TH76" s="548"/>
      <c r="TI76" s="548"/>
      <c r="TJ76" s="548"/>
      <c r="TK76" s="548"/>
      <c r="TL76" s="548"/>
      <c r="TM76" s="548"/>
      <c r="TN76" s="548"/>
      <c r="TO76" s="548"/>
      <c r="TP76" s="548"/>
      <c r="TQ76" s="548"/>
      <c r="TR76" s="548"/>
      <c r="TS76" s="548"/>
      <c r="TT76" s="548"/>
      <c r="TU76" s="548"/>
      <c r="TV76" s="548"/>
      <c r="TW76" s="548"/>
      <c r="TX76" s="548"/>
      <c r="TY76" s="548"/>
      <c r="TZ76" s="548"/>
      <c r="UA76" s="548"/>
      <c r="UB76" s="548"/>
      <c r="UC76" s="548"/>
      <c r="UD76" s="548"/>
      <c r="UE76" s="548"/>
      <c r="UF76" s="548"/>
      <c r="UG76" s="548"/>
      <c r="UH76" s="548"/>
      <c r="UI76" s="548"/>
      <c r="UJ76" s="548"/>
      <c r="UK76" s="548"/>
      <c r="UL76" s="548"/>
      <c r="UM76" s="548"/>
      <c r="UN76" s="548"/>
      <c r="UO76" s="548"/>
      <c r="UP76" s="548"/>
      <c r="UQ76" s="548"/>
      <c r="UR76" s="548"/>
      <c r="US76" s="548"/>
      <c r="UT76" s="548"/>
      <c r="UU76" s="548"/>
      <c r="UV76" s="548"/>
      <c r="UW76" s="548"/>
      <c r="UX76" s="548"/>
      <c r="UY76" s="548"/>
      <c r="UZ76" s="548"/>
      <c r="VA76" s="548"/>
      <c r="VB76" s="548"/>
      <c r="VC76" s="548"/>
      <c r="VD76" s="548"/>
      <c r="VE76" s="548"/>
      <c r="VF76" s="548"/>
      <c r="VG76" s="548"/>
      <c r="VH76" s="548"/>
      <c r="VI76" s="548"/>
      <c r="VJ76" s="548"/>
      <c r="VK76" s="548"/>
      <c r="VL76" s="548"/>
      <c r="VM76" s="548"/>
      <c r="VN76" s="548"/>
      <c r="VO76" s="548"/>
      <c r="VP76" s="548"/>
      <c r="VQ76" s="548"/>
      <c r="VR76" s="548"/>
      <c r="VS76" s="548"/>
      <c r="VT76" s="548"/>
      <c r="VU76" s="548"/>
      <c r="VV76" s="548"/>
      <c r="VW76" s="548"/>
      <c r="VX76" s="548"/>
      <c r="VY76" s="548"/>
      <c r="VZ76" s="548"/>
      <c r="WA76" s="548"/>
      <c r="WB76" s="548"/>
      <c r="WC76" s="548"/>
      <c r="WD76" s="548"/>
      <c r="WE76" s="548"/>
      <c r="WF76" s="548"/>
      <c r="WG76" s="548"/>
      <c r="WH76" s="548"/>
      <c r="WI76" s="548"/>
      <c r="WJ76" s="548"/>
      <c r="WK76" s="548"/>
      <c r="WL76" s="548"/>
      <c r="WM76" s="548"/>
      <c r="WN76" s="548"/>
      <c r="WO76" s="548"/>
      <c r="WP76" s="548"/>
      <c r="WQ76" s="548"/>
      <c r="WR76" s="548"/>
      <c r="WS76" s="548"/>
      <c r="WT76" s="548"/>
      <c r="WU76" s="548"/>
      <c r="WV76" s="548"/>
      <c r="WW76" s="548"/>
      <c r="WX76" s="548"/>
      <c r="WY76" s="548"/>
      <c r="WZ76" s="548"/>
      <c r="XA76" s="548"/>
      <c r="XB76" s="548"/>
      <c r="XC76" s="548"/>
      <c r="XD76" s="548"/>
      <c r="XE76" s="548"/>
      <c r="XF76" s="548"/>
      <c r="XG76" s="548"/>
      <c r="XH76" s="548"/>
      <c r="XI76" s="548"/>
      <c r="XJ76" s="548"/>
      <c r="XK76" s="548"/>
      <c r="XL76" s="548"/>
      <c r="XM76" s="548"/>
      <c r="XN76" s="548"/>
      <c r="XO76" s="548"/>
      <c r="XP76" s="548"/>
      <c r="XQ76" s="548"/>
      <c r="XR76" s="548"/>
      <c r="XS76" s="548"/>
      <c r="XT76" s="548"/>
      <c r="XU76" s="548"/>
      <c r="XV76" s="548"/>
      <c r="XW76" s="548"/>
      <c r="XX76" s="548"/>
      <c r="XY76" s="548"/>
      <c r="XZ76" s="548"/>
      <c r="YA76" s="548"/>
      <c r="YB76" s="548"/>
      <c r="YC76" s="548"/>
      <c r="YD76" s="548"/>
      <c r="YE76" s="548"/>
      <c r="YF76" s="548"/>
      <c r="YG76" s="548"/>
      <c r="YH76" s="548"/>
      <c r="YI76" s="548"/>
      <c r="YJ76" s="548"/>
      <c r="YK76" s="548"/>
      <c r="YL76" s="548"/>
      <c r="YM76" s="548"/>
      <c r="YN76" s="548"/>
      <c r="YO76" s="548"/>
      <c r="YP76" s="548"/>
      <c r="YQ76" s="548"/>
      <c r="YR76" s="548"/>
      <c r="YS76" s="548"/>
      <c r="YT76" s="548"/>
      <c r="YU76" s="548"/>
      <c r="YV76" s="548"/>
      <c r="YW76" s="548"/>
      <c r="YX76" s="548"/>
      <c r="YY76" s="548"/>
      <c r="YZ76" s="548"/>
      <c r="ZA76" s="548"/>
      <c r="ZB76" s="548"/>
      <c r="ZC76" s="548"/>
      <c r="ZD76" s="548"/>
      <c r="ZE76" s="548"/>
      <c r="ZF76" s="548"/>
      <c r="ZG76" s="548"/>
      <c r="ZH76" s="548"/>
      <c r="ZI76" s="548"/>
      <c r="ZJ76" s="548"/>
      <c r="ZK76" s="548"/>
      <c r="ZL76" s="548"/>
      <c r="ZM76" s="548"/>
      <c r="ZN76" s="548"/>
      <c r="ZO76" s="548"/>
      <c r="ZP76" s="548"/>
      <c r="ZQ76" s="548"/>
      <c r="ZR76" s="548"/>
      <c r="ZS76" s="548"/>
      <c r="ZT76" s="548"/>
      <c r="ZU76" s="548"/>
      <c r="ZV76" s="548"/>
      <c r="ZW76" s="548"/>
      <c r="ZX76" s="548"/>
      <c r="ZY76" s="548"/>
      <c r="ZZ76" s="548"/>
      <c r="AAA76" s="548"/>
      <c r="AAB76" s="548"/>
      <c r="AAC76" s="548"/>
      <c r="AAD76" s="548"/>
      <c r="AAE76" s="548"/>
      <c r="AAF76" s="548"/>
      <c r="AAG76" s="548"/>
      <c r="AAH76" s="548"/>
      <c r="AAI76" s="548"/>
      <c r="AAJ76" s="548"/>
      <c r="AAK76" s="548"/>
      <c r="AAL76" s="548"/>
      <c r="AAM76" s="548"/>
      <c r="AAN76" s="548"/>
      <c r="AAO76" s="548"/>
      <c r="AAP76" s="548"/>
      <c r="AAQ76" s="548"/>
      <c r="AAR76" s="548"/>
      <c r="AAS76" s="548"/>
      <c r="AAT76" s="548"/>
      <c r="AAU76" s="548"/>
      <c r="AAV76" s="548"/>
      <c r="AAW76" s="548"/>
      <c r="AAX76" s="548"/>
      <c r="AAY76" s="548"/>
      <c r="AAZ76" s="548"/>
      <c r="ABA76" s="548"/>
      <c r="ABB76" s="548"/>
      <c r="ABC76" s="548"/>
      <c r="ABD76" s="548"/>
      <c r="ABE76" s="548"/>
      <c r="ABF76" s="548"/>
      <c r="ABG76" s="548"/>
      <c r="ABH76" s="548"/>
      <c r="ABI76" s="548"/>
      <c r="ABJ76" s="548"/>
      <c r="ABK76" s="548"/>
      <c r="ABL76" s="548"/>
      <c r="ABM76" s="548"/>
      <c r="ABN76" s="548"/>
      <c r="ABO76" s="548"/>
      <c r="ABP76" s="548"/>
      <c r="ABQ76" s="548"/>
      <c r="ABR76" s="548"/>
      <c r="ABS76" s="548"/>
    </row>
    <row r="77" spans="1:747" customFormat="1" ht="15" customHeight="1" x14ac:dyDescent="0.2">
      <c r="A77" s="424" t="str">
        <f t="shared" si="909"/>
        <v/>
      </c>
      <c r="B77" s="415"/>
      <c r="C77" s="525"/>
      <c r="D77" s="750"/>
      <c r="E77" s="416" t="str">
        <f t="shared" si="751"/>
        <v/>
      </c>
      <c r="F77" s="527" t="str">
        <f t="shared" si="752"/>
        <v/>
      </c>
      <c r="G77" s="417"/>
      <c r="H77" s="585" t="str">
        <f t="shared" si="753"/>
        <v/>
      </c>
      <c r="I77" s="424"/>
      <c r="J77" s="419"/>
      <c r="K77" s="418"/>
      <c r="L77" s="419"/>
      <c r="M77" s="415"/>
      <c r="N77" s="420"/>
      <c r="O77" s="421"/>
      <c r="P77" s="561"/>
      <c r="Q77" s="422"/>
      <c r="R77" s="561" t="str">
        <f t="shared" si="754"/>
        <v/>
      </c>
      <c r="S77" s="664"/>
      <c r="T77" s="663"/>
      <c r="U77" s="580">
        <f t="shared" si="755"/>
        <v>0</v>
      </c>
      <c r="V77" s="418"/>
      <c r="W77" s="582" t="str">
        <f t="shared" si="756"/>
        <v/>
      </c>
      <c r="X77" s="479" t="str">
        <f t="shared" si="757"/>
        <v/>
      </c>
      <c r="Y77" s="582" t="str">
        <f t="shared" si="758"/>
        <v/>
      </c>
      <c r="Z77" s="317" t="str">
        <f t="shared" si="759"/>
        <v/>
      </c>
      <c r="AA77" s="317" t="str">
        <f t="shared" si="760"/>
        <v/>
      </c>
      <c r="AB77" s="317">
        <f t="shared" si="761"/>
        <v>0</v>
      </c>
      <c r="AC77" s="317" t="str">
        <f t="shared" si="762"/>
        <v/>
      </c>
      <c r="AD77" s="479"/>
      <c r="AE77" s="479"/>
      <c r="AF77" s="479"/>
      <c r="AG77" s="423"/>
      <c r="AH77" s="820"/>
      <c r="AI77" s="437"/>
      <c r="AJ77" s="660"/>
      <c r="AK77" s="524" t="str">
        <f t="shared" si="763"/>
        <v/>
      </c>
      <c r="AL77" s="731">
        <f>SUMIF($J$4:$J$102,"Imprensa",$S$4:$S$102)</f>
        <v>0</v>
      </c>
      <c r="AM77" s="732">
        <f>SUMIF($J$4:$J$102,"Imprensa",$T$4:$T$102)</f>
        <v>0</v>
      </c>
      <c r="AN77" s="426">
        <f t="shared" si="764"/>
        <v>0</v>
      </c>
      <c r="AO77" s="427" t="str">
        <f t="shared" si="765"/>
        <v/>
      </c>
      <c r="AP77" s="426" t="str">
        <f t="shared" si="766"/>
        <v/>
      </c>
      <c r="AQ77" s="426"/>
      <c r="AR77" s="426"/>
      <c r="AS77" s="428"/>
      <c r="AT77" s="429"/>
      <c r="AU77" s="430"/>
      <c r="AV77" s="431"/>
      <c r="AW77" s="432"/>
      <c r="AX77" s="430"/>
      <c r="AY77" s="431">
        <f t="shared" si="767"/>
        <v>0</v>
      </c>
      <c r="AZ77" s="426"/>
      <c r="BA77" s="435" t="str">
        <f t="shared" si="768"/>
        <v/>
      </c>
      <c r="BB77" s="435"/>
      <c r="BC77" s="426"/>
      <c r="BD77" s="426">
        <f t="array" ref="BD77">IF(SUM((BC77=$BC$3:BC76)*1)=0,BC77,0)</f>
        <v>0</v>
      </c>
      <c r="BE77" s="426"/>
      <c r="BF77" s="426"/>
      <c r="BG77" s="426">
        <f t="array" ref="BG77">IF(SUM((BF77=$BF$3:BF76)*1)=0,BF77,0)</f>
        <v>0</v>
      </c>
      <c r="BH77" s="426"/>
      <c r="BI77" s="426"/>
      <c r="BJ77" s="426"/>
      <c r="BK77" s="426"/>
      <c r="BL77" s="426"/>
      <c r="BM77" s="426"/>
      <c r="BN77" s="426"/>
      <c r="BO77" s="426"/>
      <c r="BP77" s="433">
        <f t="shared" si="769"/>
        <v>0</v>
      </c>
      <c r="BQ77" s="426"/>
      <c r="BR77" s="434"/>
      <c r="BS77" s="426"/>
      <c r="BT77" s="433"/>
      <c r="BU77" s="435"/>
      <c r="BV77" s="435" t="str">
        <f t="shared" si="770"/>
        <v/>
      </c>
      <c r="BW77" s="435" t="str">
        <f t="shared" si="798"/>
        <v/>
      </c>
      <c r="BX77" s="435"/>
      <c r="BY77" s="435"/>
      <c r="BZ77" s="435"/>
      <c r="CA77" s="435"/>
      <c r="CB77" s="435"/>
      <c r="CC77" s="435"/>
      <c r="CD77" s="435"/>
      <c r="CE77" s="435"/>
      <c r="CF77" s="435"/>
      <c r="CG77" s="435"/>
      <c r="CH77" s="435"/>
      <c r="CI77" s="435"/>
      <c r="CJ77" s="426" t="str">
        <f t="shared" si="799"/>
        <v/>
      </c>
      <c r="CK77" s="435"/>
      <c r="CL77" s="426"/>
      <c r="CM77" s="435"/>
      <c r="CN77" s="426"/>
      <c r="CO77" s="426"/>
      <c r="CP77" s="426"/>
      <c r="CQ77" s="426"/>
      <c r="CR77" s="426"/>
      <c r="CS77" s="426"/>
      <c r="CT77" s="426"/>
      <c r="CU77" s="426"/>
      <c r="CV77" s="426"/>
      <c r="CW77" s="493"/>
      <c r="CX77" s="493"/>
      <c r="CY77" s="426">
        <v>74</v>
      </c>
      <c r="CZ77" s="493"/>
      <c r="DA77" s="493"/>
      <c r="DB77" s="493"/>
      <c r="DC77" s="426" t="s">
        <v>817</v>
      </c>
      <c r="DD77" s="426" t="s">
        <v>977</v>
      </c>
      <c r="DE77" s="435" t="str">
        <f t="shared" si="800"/>
        <v/>
      </c>
      <c r="DF77" s="435" t="str">
        <f t="shared" si="801"/>
        <v/>
      </c>
      <c r="DG77" s="435" t="str">
        <f t="shared" si="802"/>
        <v/>
      </c>
      <c r="DH77" s="435" t="str">
        <f t="shared" si="803"/>
        <v/>
      </c>
      <c r="DI77" s="435" t="str">
        <f t="shared" si="804"/>
        <v/>
      </c>
      <c r="DJ77" s="435" t="str">
        <f t="shared" si="805"/>
        <v/>
      </c>
      <c r="DK77" s="435" t="str">
        <f t="shared" si="771"/>
        <v/>
      </c>
      <c r="DL77" s="435" t="str">
        <f t="shared" si="772"/>
        <v/>
      </c>
      <c r="DM77" s="435" t="str">
        <f t="shared" si="806"/>
        <v/>
      </c>
      <c r="DN77" s="435" t="str">
        <f t="shared" si="807"/>
        <v/>
      </c>
      <c r="DO77" s="435" t="str">
        <f t="shared" si="773"/>
        <v/>
      </c>
      <c r="DP77" s="435" t="str">
        <f t="shared" si="774"/>
        <v/>
      </c>
      <c r="DQ77" s="435" t="str">
        <f t="shared" si="808"/>
        <v/>
      </c>
      <c r="DR77" s="435" t="str">
        <f t="shared" si="809"/>
        <v/>
      </c>
      <c r="DS77" s="435" t="str">
        <f t="shared" si="775"/>
        <v/>
      </c>
      <c r="DT77" s="435" t="str">
        <f t="shared" si="776"/>
        <v/>
      </c>
      <c r="DU77" s="435" t="str">
        <f t="shared" si="810"/>
        <v/>
      </c>
      <c r="DV77" s="435" t="str">
        <f t="shared" si="811"/>
        <v/>
      </c>
      <c r="DW77" s="435" t="str">
        <f t="shared" si="777"/>
        <v/>
      </c>
      <c r="DX77" s="435" t="str">
        <f t="shared" si="778"/>
        <v/>
      </c>
      <c r="DY77" s="435" t="str">
        <f t="shared" si="812"/>
        <v/>
      </c>
      <c r="DZ77" s="435" t="str">
        <f t="shared" si="813"/>
        <v/>
      </c>
      <c r="EA77" s="435" t="str">
        <f t="shared" si="779"/>
        <v/>
      </c>
      <c r="EB77" s="435" t="str">
        <f t="shared" si="780"/>
        <v/>
      </c>
      <c r="EC77" s="435" t="str">
        <f t="shared" si="781"/>
        <v/>
      </c>
      <c r="ED77" s="435" t="str">
        <f t="shared" si="782"/>
        <v/>
      </c>
      <c r="EE77" s="435" t="str">
        <f t="shared" si="783"/>
        <v/>
      </c>
      <c r="EF77" s="435" t="str">
        <f t="shared" si="784"/>
        <v/>
      </c>
      <c r="EG77" s="435" t="str">
        <f t="shared" si="785"/>
        <v/>
      </c>
      <c r="EH77" s="435" t="str">
        <f t="shared" si="786"/>
        <v/>
      </c>
      <c r="EI77" s="435" t="str">
        <f t="shared" si="787"/>
        <v/>
      </c>
      <c r="EJ77" s="435" t="str">
        <f t="shared" si="788"/>
        <v/>
      </c>
      <c r="EK77" s="485"/>
      <c r="EL77" s="485"/>
      <c r="EM77" s="485"/>
      <c r="EN77" s="485"/>
      <c r="EO77" s="448"/>
      <c r="EP77" s="448"/>
      <c r="EQ77" s="448"/>
      <c r="ER77" s="448"/>
      <c r="ES77" s="448"/>
      <c r="ET77" s="435"/>
      <c r="EU77" s="435"/>
      <c r="EV77" s="435"/>
      <c r="EW77" s="435"/>
      <c r="EX77" s="426"/>
      <c r="EY77" s="426"/>
      <c r="EZ77" s="426"/>
      <c r="FA77" s="863"/>
      <c r="FB77" s="427">
        <f t="array" ref="FB77">IF(SUM((FA77=$FA$3:FA76)*1)=0,FA77,0)</f>
        <v>0</v>
      </c>
      <c r="FC77" s="863"/>
      <c r="FD77" s="863"/>
      <c r="FE77" s="863">
        <f t="array" ref="FE77">IF(SUM((FD77=$FD$3:FD76)*1)=0,FD77,0)</f>
        <v>0</v>
      </c>
      <c r="FF77" s="863"/>
      <c r="FG77" s="863"/>
      <c r="FH77" s="863"/>
      <c r="FI77" s="427">
        <f t="array" ref="FI77">IF(SUM((FH77=$FH$3:FH76)*1)=0,FH77,0)</f>
        <v>0</v>
      </c>
      <c r="FJ77" s="863"/>
      <c r="FK77" s="863"/>
      <c r="FL77" s="863">
        <f t="array" ref="FL77">IF(SUM((FK77=$FK$3:FK76)*1)=0,FK77,0)</f>
        <v>0</v>
      </c>
      <c r="FM77" s="863"/>
      <c r="FN77" s="863"/>
      <c r="FO77" s="863"/>
      <c r="FP77" s="427">
        <f t="array" ref="FP77">IF(SUM((FO77=$FO$3:FO76)*1)=0,FO77,0)</f>
        <v>0</v>
      </c>
      <c r="FQ77" s="863"/>
      <c r="FR77" s="863"/>
      <c r="FS77" s="863">
        <f t="array" ref="FS77">IF(SUM((FR77=$FR$3:FR76)*1)=0,FR77,0)</f>
        <v>0</v>
      </c>
      <c r="FT77" s="863"/>
      <c r="FU77" s="863"/>
      <c r="FV77" s="863"/>
      <c r="FW77" s="427">
        <f t="array" ref="FW77">IF(SUM((FV77=$FV$3:FV76)*1)=0,FV77,0)</f>
        <v>0</v>
      </c>
      <c r="FX77" s="863"/>
      <c r="FY77" s="863"/>
      <c r="FZ77" s="863">
        <f t="array" ref="FZ77">IF(SUM((FY77=$FY$3:FY76)*1)=0,FY77,0)</f>
        <v>0</v>
      </c>
      <c r="GA77" s="863"/>
      <c r="GB77" s="863"/>
      <c r="GC77" s="863"/>
      <c r="GD77" s="427">
        <f t="array" ref="GD77">IF(SUM((GC77=$GC$3:GC76)*1)=0,GC77,0)</f>
        <v>0</v>
      </c>
      <c r="GE77" s="863"/>
      <c r="GF77" s="863"/>
      <c r="GG77" s="863">
        <f t="array" ref="GG77">IF(SUM((GF77=$GF$3:GF76)*1)=0,GF77,0)</f>
        <v>0</v>
      </c>
      <c r="GH77" s="863"/>
      <c r="GI77" s="863"/>
      <c r="GJ77" s="863"/>
      <c r="GK77" s="798">
        <f t="array" ref="GK77">IF(SUM((GJ77=$GJ$3:GJ76)*1)=0,GJ77,0)</f>
        <v>0</v>
      </c>
      <c r="GL77" s="863"/>
      <c r="GM77" s="863"/>
      <c r="GN77" s="798">
        <f t="array" ref="GN77">IF(SUM((GM77=$GM$3:GM76)*1)=0,GM77,0)</f>
        <v>0</v>
      </c>
      <c r="GO77" s="863"/>
      <c r="GP77" s="863"/>
      <c r="GQ77" s="863"/>
      <c r="GR77" s="798">
        <f t="array" ref="GR77">IF(SUM((GQ77=$GQ$3:GQ76)*1)=0,GQ77,0)</f>
        <v>0</v>
      </c>
      <c r="GS77" s="863"/>
      <c r="GT77" s="863"/>
      <c r="GU77" s="798">
        <f t="array" ref="GU77">IF(SUM((GT77=$GT$3:GT76)*1)=0,GT77,0)</f>
        <v>0</v>
      </c>
      <c r="GV77" s="863"/>
      <c r="GW77" s="863"/>
      <c r="GX77" s="863"/>
      <c r="GY77" s="798">
        <f t="array" ref="GY77">IF(SUM((GX77=$GX$3:GX76)*1)=0,GX77,0)</f>
        <v>0</v>
      </c>
      <c r="GZ77" s="863"/>
      <c r="HA77" s="863"/>
      <c r="HB77" s="798">
        <f t="array" ref="HB77">IF(SUM((HA77=$HA$3:HA76)*1)=0,HA77,0)</f>
        <v>0</v>
      </c>
      <c r="HC77" s="863"/>
      <c r="HD77" s="863"/>
      <c r="HE77" s="769" t="str">
        <f t="shared" si="889"/>
        <v/>
      </c>
      <c r="HF77" s="768" t="str">
        <f t="shared" ref="HF77" si="964">IF(HE77&lt;0,"Invadiu REP-BA-C","")</f>
        <v/>
      </c>
      <c r="HG77" s="769" t="str">
        <f t="shared" si="891"/>
        <v/>
      </c>
      <c r="HH77" s="768" t="str">
        <f t="shared" si="815"/>
        <v/>
      </c>
      <c r="HI77" s="728" t="str">
        <f t="shared" si="892"/>
        <v/>
      </c>
      <c r="HJ77" s="768" t="str">
        <f t="shared" si="816"/>
        <v/>
      </c>
      <c r="HK77" s="728" t="str">
        <f t="shared" si="893"/>
        <v/>
      </c>
      <c r="HL77" s="768" t="str">
        <f t="shared" si="817"/>
        <v/>
      </c>
      <c r="HM77" s="769" t="str">
        <f t="shared" si="818"/>
        <v/>
      </c>
      <c r="HN77" s="768" t="str">
        <f t="shared" ref="HN77" si="965">IF(HM77&lt;0,"Invadiu REP-BA-C","")</f>
        <v/>
      </c>
      <c r="HO77" s="769" t="str">
        <f t="shared" si="820"/>
        <v/>
      </c>
      <c r="HP77" s="768" t="str">
        <f t="shared" si="821"/>
        <v/>
      </c>
      <c r="HQ77" s="728" t="str">
        <f t="shared" si="822"/>
        <v/>
      </c>
      <c r="HR77" s="768" t="str">
        <f t="shared" si="823"/>
        <v/>
      </c>
      <c r="HS77" s="728" t="str">
        <f t="shared" si="824"/>
        <v/>
      </c>
      <c r="HT77" s="768" t="str">
        <f t="shared" si="825"/>
        <v/>
      </c>
      <c r="HU77" s="769" t="str">
        <f t="shared" si="826"/>
        <v/>
      </c>
      <c r="HV77" s="768" t="str">
        <f t="shared" ref="HV77" si="966">IF(HU77&lt;0,"Invadiu REP-BA-C","")</f>
        <v/>
      </c>
      <c r="HW77" s="769" t="str">
        <f t="shared" si="828"/>
        <v/>
      </c>
      <c r="HX77" s="768" t="str">
        <f t="shared" si="829"/>
        <v/>
      </c>
      <c r="HY77" s="728" t="str">
        <f t="shared" si="830"/>
        <v/>
      </c>
      <c r="HZ77" s="768" t="str">
        <f t="shared" si="831"/>
        <v/>
      </c>
      <c r="IA77" s="728" t="str">
        <f t="shared" si="832"/>
        <v/>
      </c>
      <c r="IB77" s="768" t="str">
        <f t="shared" si="833"/>
        <v/>
      </c>
      <c r="IC77" s="769" t="str">
        <f t="shared" si="834"/>
        <v/>
      </c>
      <c r="ID77" s="768" t="str">
        <f t="shared" ref="ID77" si="967">IF(IC77&lt;0,"Invadiu REP-BA-C","")</f>
        <v/>
      </c>
      <c r="IE77" s="769" t="str">
        <f t="shared" si="836"/>
        <v/>
      </c>
      <c r="IF77" s="768" t="str">
        <f t="shared" si="837"/>
        <v/>
      </c>
      <c r="IG77" s="728" t="str">
        <f t="shared" si="838"/>
        <v/>
      </c>
      <c r="IH77" s="768" t="str">
        <f t="shared" si="839"/>
        <v/>
      </c>
      <c r="II77" s="728" t="str">
        <f t="shared" si="840"/>
        <v/>
      </c>
      <c r="IJ77" s="768" t="str">
        <f t="shared" si="841"/>
        <v/>
      </c>
      <c r="IK77" s="769" t="str">
        <f t="shared" si="842"/>
        <v/>
      </c>
      <c r="IL77" s="768" t="str">
        <f t="shared" ref="IL77" si="968">IF(IK77&lt;0,"Invadiu REP-BA-C","")</f>
        <v/>
      </c>
      <c r="IM77" s="769" t="str">
        <f t="shared" si="844"/>
        <v/>
      </c>
      <c r="IN77" s="768" t="str">
        <f t="shared" si="845"/>
        <v/>
      </c>
      <c r="IO77" s="728" t="str">
        <f t="shared" si="846"/>
        <v/>
      </c>
      <c r="IP77" s="768" t="str">
        <f t="shared" si="847"/>
        <v/>
      </c>
      <c r="IQ77" s="728" t="str">
        <f t="shared" si="848"/>
        <v/>
      </c>
      <c r="IR77" s="768" t="str">
        <f t="shared" si="849"/>
        <v/>
      </c>
      <c r="IS77" s="769" t="str">
        <f t="shared" si="850"/>
        <v/>
      </c>
      <c r="IT77" s="768" t="str">
        <f t="shared" ref="IT77" si="969">IF(IS77&lt;0,"Invadiu REP-BA-C","")</f>
        <v/>
      </c>
      <c r="IU77" s="769" t="str">
        <f t="shared" si="852"/>
        <v/>
      </c>
      <c r="IV77" s="768" t="str">
        <f t="shared" si="853"/>
        <v/>
      </c>
      <c r="IW77" s="728" t="str">
        <f t="shared" si="854"/>
        <v/>
      </c>
      <c r="IX77" s="768" t="str">
        <f t="shared" si="855"/>
        <v/>
      </c>
      <c r="IY77" s="728" t="str">
        <f t="shared" si="856"/>
        <v/>
      </c>
      <c r="IZ77" s="768" t="str">
        <f t="shared" si="857"/>
        <v/>
      </c>
      <c r="JA77" s="769" t="str">
        <f t="shared" si="858"/>
        <v/>
      </c>
      <c r="JB77" s="768" t="str">
        <f t="shared" ref="JB77" si="970">IF(JA77&lt;0,"Invadiu REP-BA-C","")</f>
        <v/>
      </c>
      <c r="JC77" s="769" t="str">
        <f t="shared" si="860"/>
        <v/>
      </c>
      <c r="JD77" s="768" t="str">
        <f t="shared" si="861"/>
        <v/>
      </c>
      <c r="JE77" s="728" t="str">
        <f t="shared" si="862"/>
        <v/>
      </c>
      <c r="JF77" s="768" t="str">
        <f t="shared" si="863"/>
        <v/>
      </c>
      <c r="JG77" s="728" t="str">
        <f t="shared" si="864"/>
        <v/>
      </c>
      <c r="JH77" s="768" t="str">
        <f t="shared" si="865"/>
        <v/>
      </c>
      <c r="JI77" s="769" t="str">
        <f t="shared" si="866"/>
        <v/>
      </c>
      <c r="JJ77" s="768" t="str">
        <f t="shared" ref="JJ77" si="971">IF(JI77&lt;0,"Invadiu REP-BA-C","")</f>
        <v/>
      </c>
      <c r="JK77" s="769" t="str">
        <f t="shared" si="868"/>
        <v/>
      </c>
      <c r="JL77" s="768" t="str">
        <f t="shared" si="869"/>
        <v/>
      </c>
      <c r="JM77" s="728" t="str">
        <f t="shared" si="870"/>
        <v/>
      </c>
      <c r="JN77" s="768" t="str">
        <f t="shared" si="871"/>
        <v/>
      </c>
      <c r="JO77" s="728" t="str">
        <f t="shared" si="872"/>
        <v/>
      </c>
      <c r="JP77" s="768" t="str">
        <f t="shared" si="873"/>
        <v/>
      </c>
      <c r="JQ77" s="769" t="str">
        <f t="shared" si="874"/>
        <v/>
      </c>
      <c r="JR77" s="768" t="str">
        <f t="shared" ref="JR77" si="972">IF(JQ77&lt;0,"Invadiu REP-BA-C","")</f>
        <v/>
      </c>
      <c r="JS77" s="769" t="str">
        <f t="shared" si="876"/>
        <v/>
      </c>
      <c r="JT77" s="768" t="str">
        <f t="shared" si="877"/>
        <v/>
      </c>
      <c r="JU77" s="728" t="str">
        <f t="shared" si="878"/>
        <v/>
      </c>
      <c r="JV77" s="768" t="str">
        <f t="shared" si="879"/>
        <v/>
      </c>
      <c r="JW77" s="728" t="str">
        <f t="shared" si="880"/>
        <v/>
      </c>
      <c r="JX77" s="768" t="str">
        <f t="shared" si="881"/>
        <v/>
      </c>
      <c r="JY77" s="768" t="str">
        <f t="shared" si="882"/>
        <v/>
      </c>
      <c r="JZ77" s="485" t="str">
        <f>IF(JY77="","",IF(AND(C77=$C$164,JY77&lt;&gt;""),Verificarcpf(D77),IF(AND(C77=$C$165,JY77&lt;&gt;""),VerificarCNPJ(D77))))</f>
        <v/>
      </c>
      <c r="KA77" s="768" t="str">
        <f t="shared" si="883"/>
        <v/>
      </c>
      <c r="KB77" s="485">
        <f t="shared" si="884"/>
        <v>0</v>
      </c>
      <c r="KC77" s="768">
        <f t="shared" si="885"/>
        <v>0</v>
      </c>
      <c r="KD77" s="485">
        <f t="shared" si="886"/>
        <v>0</v>
      </c>
      <c r="KE77" s="448"/>
      <c r="KF77" s="548"/>
      <c r="KG77" s="548"/>
      <c r="KH77" s="548"/>
      <c r="KI77" s="548"/>
      <c r="KJ77" s="548" t="str">
        <f t="shared" si="887"/>
        <v/>
      </c>
      <c r="KK77" s="548"/>
      <c r="KL77" s="548"/>
      <c r="KM77" s="548">
        <f t="array" ref="KM77">IF(SUM((KL77=$KL$3:KL76)*1)=0,KL77,0)</f>
        <v>0</v>
      </c>
      <c r="KN77" s="548"/>
      <c r="KO77" s="548"/>
      <c r="KP77" s="548"/>
      <c r="KQ77" s="548"/>
      <c r="KR77" s="548" t="str">
        <f t="shared" si="888"/>
        <v/>
      </c>
      <c r="KS77" s="548"/>
      <c r="KT77" s="548"/>
      <c r="KU77" s="548"/>
      <c r="KV77" s="548"/>
      <c r="KW77" s="548"/>
      <c r="KX77" s="548"/>
      <c r="KY77" s="548"/>
      <c r="KZ77" s="548"/>
      <c r="LA77" s="548"/>
      <c r="LB77" s="548"/>
      <c r="LC77" s="485" t="str">
        <f t="shared" si="902"/>
        <v/>
      </c>
      <c r="LD77" s="548"/>
      <c r="LE77" s="548"/>
      <c r="LF77" s="548"/>
      <c r="LG77" s="548"/>
      <c r="LH77" s="548"/>
      <c r="LI77" s="548"/>
      <c r="LJ77" s="548"/>
      <c r="LK77" s="548"/>
      <c r="LL77" s="548"/>
      <c r="LM77" s="548"/>
      <c r="LN77" s="548"/>
      <c r="LO77" s="548"/>
      <c r="LP77" s="485" t="str">
        <f t="shared" si="903"/>
        <v/>
      </c>
      <c r="LQ77" s="548"/>
      <c r="LR77" s="548"/>
      <c r="LS77" s="548"/>
      <c r="LT77" s="548"/>
      <c r="LU77" s="548"/>
      <c r="LV77" s="548"/>
      <c r="LW77" s="548"/>
      <c r="LX77" s="548"/>
      <c r="LY77" s="548"/>
      <c r="LZ77" s="548"/>
      <c r="MA77" s="548"/>
      <c r="MB77" s="548"/>
      <c r="MC77" s="485" t="str">
        <f t="shared" si="904"/>
        <v/>
      </c>
      <c r="MD77" s="548"/>
      <c r="ME77" s="548"/>
      <c r="MF77" s="548"/>
      <c r="MG77" s="548"/>
      <c r="MH77" s="548"/>
      <c r="MI77" s="548"/>
      <c r="MJ77" s="548"/>
      <c r="MK77" s="548"/>
      <c r="ML77" s="548"/>
      <c r="MM77" s="548"/>
      <c r="MN77" s="548"/>
      <c r="MO77" s="548"/>
      <c r="MP77" s="485" t="str">
        <f t="shared" si="905"/>
        <v/>
      </c>
      <c r="MQ77" s="548"/>
      <c r="MR77" s="548"/>
      <c r="MS77" s="548"/>
      <c r="MT77" s="548"/>
      <c r="MU77" s="548"/>
      <c r="MV77" s="548"/>
      <c r="MW77" s="548"/>
      <c r="MX77" s="548"/>
      <c r="MY77" s="548"/>
      <c r="MZ77" s="548"/>
      <c r="NA77" s="548"/>
      <c r="NB77" s="548"/>
      <c r="NC77" s="485" t="str">
        <f t="shared" si="906"/>
        <v/>
      </c>
      <c r="ND77" s="548"/>
      <c r="NE77" s="548"/>
      <c r="NF77" s="548"/>
      <c r="NG77" s="548"/>
      <c r="NH77" s="548"/>
      <c r="NI77" s="548"/>
      <c r="NJ77" s="548"/>
      <c r="NK77" s="548"/>
      <c r="NL77" s="548"/>
      <c r="NM77" s="548"/>
      <c r="NN77" s="548"/>
      <c r="NO77" s="548"/>
      <c r="NP77" s="485" t="str">
        <f t="shared" si="907"/>
        <v/>
      </c>
      <c r="NQ77" s="548"/>
      <c r="NR77" s="548"/>
      <c r="NS77" s="548"/>
      <c r="NT77" s="548"/>
      <c r="NU77" s="548"/>
      <c r="NV77" s="548"/>
      <c r="NW77" s="548"/>
      <c r="NX77" s="548"/>
      <c r="NY77" s="548"/>
      <c r="NZ77" s="548"/>
      <c r="OA77" s="548"/>
      <c r="OB77" s="548"/>
      <c r="OC77" s="485" t="str">
        <f t="shared" si="908"/>
        <v/>
      </c>
      <c r="OD77" s="548"/>
      <c r="OE77" s="548"/>
      <c r="OF77" s="548"/>
      <c r="OG77" s="548"/>
      <c r="OH77" s="548"/>
      <c r="OI77" s="548"/>
      <c r="OJ77" s="548"/>
      <c r="OK77" s="548"/>
      <c r="OL77" s="548"/>
      <c r="OM77" s="548"/>
      <c r="ON77" s="548"/>
      <c r="OO77" s="548"/>
      <c r="OP77" s="548"/>
      <c r="OQ77" s="548"/>
      <c r="OR77" s="548"/>
      <c r="OS77" s="548"/>
      <c r="OT77" s="548"/>
      <c r="OU77" s="548"/>
      <c r="OV77" s="548"/>
      <c r="OW77" s="548"/>
      <c r="OX77" s="548"/>
      <c r="OY77" s="548"/>
      <c r="OZ77" s="548"/>
      <c r="PA77" s="548"/>
      <c r="PB77" s="548"/>
      <c r="PC77" s="548"/>
      <c r="PD77" s="548"/>
      <c r="PE77" s="548"/>
      <c r="PF77" s="548"/>
      <c r="PG77" s="548"/>
      <c r="PH77" s="548"/>
      <c r="PI77" s="548"/>
      <c r="PJ77" s="548"/>
      <c r="PK77" s="548"/>
      <c r="PL77" s="548"/>
      <c r="PM77" s="548"/>
      <c r="PN77" s="548"/>
      <c r="PO77" s="548"/>
      <c r="PP77" s="548"/>
      <c r="PQ77" s="548"/>
      <c r="PR77" s="548"/>
      <c r="PS77" s="548"/>
      <c r="PT77" s="548"/>
      <c r="PU77" s="548"/>
      <c r="PV77" s="548"/>
      <c r="PW77" s="548"/>
      <c r="PX77" s="548"/>
      <c r="PY77" s="548"/>
      <c r="PZ77" s="548"/>
      <c r="QA77" s="548"/>
      <c r="QB77" s="548"/>
      <c r="QC77" s="548"/>
      <c r="QD77" s="548"/>
      <c r="QE77" s="548"/>
      <c r="QF77" s="548"/>
      <c r="QG77" s="548"/>
      <c r="QH77" s="548"/>
      <c r="QI77" s="548"/>
      <c r="QJ77" s="548"/>
      <c r="QK77" s="548"/>
      <c r="QL77" s="548"/>
      <c r="QM77" s="548"/>
      <c r="QN77" s="548"/>
      <c r="QO77" s="548"/>
      <c r="QP77" s="548"/>
      <c r="QQ77" s="1009"/>
      <c r="QR77" s="548"/>
      <c r="QS77" s="548"/>
      <c r="QT77" s="548"/>
      <c r="QU77" s="548"/>
      <c r="QV77" s="548"/>
      <c r="QW77" s="548"/>
      <c r="QX77" s="548"/>
      <c r="QY77" s="548"/>
      <c r="QZ77" s="548"/>
      <c r="RA77" s="548"/>
      <c r="RB77" s="548"/>
      <c r="RC77" s="548"/>
      <c r="RD77" s="548"/>
      <c r="RE77" s="548"/>
      <c r="RF77" s="548"/>
      <c r="RG77" s="548"/>
      <c r="RH77" s="548"/>
      <c r="RI77" s="548"/>
      <c r="RJ77" s="548"/>
      <c r="RK77" s="548"/>
      <c r="RL77" s="548"/>
      <c r="RM77" s="548"/>
      <c r="RN77" s="548"/>
      <c r="RO77" s="548"/>
      <c r="RP77" s="548"/>
      <c r="RQ77" s="548"/>
      <c r="RR77" s="548"/>
      <c r="RS77" s="548"/>
      <c r="RT77" s="548"/>
      <c r="RU77" s="548"/>
      <c r="RV77" s="548"/>
      <c r="RW77" s="548"/>
      <c r="RX77" s="548"/>
      <c r="RY77" s="548"/>
      <c r="RZ77" s="548"/>
      <c r="SA77" s="548"/>
      <c r="SB77" s="548"/>
      <c r="SC77" s="548"/>
      <c r="SD77" s="548"/>
      <c r="SE77" s="548"/>
      <c r="SF77" s="548"/>
      <c r="SG77" s="548"/>
      <c r="SH77" s="548"/>
      <c r="SI77" s="548"/>
      <c r="SJ77" s="548"/>
      <c r="SK77" s="548"/>
      <c r="SL77" s="548"/>
      <c r="SM77" s="548"/>
      <c r="SN77" s="548"/>
      <c r="SO77" s="548"/>
      <c r="SP77" s="548"/>
      <c r="SQ77" s="548"/>
      <c r="SR77" s="548"/>
      <c r="SS77" s="548"/>
      <c r="ST77" s="548"/>
      <c r="SU77" s="548"/>
      <c r="SV77" s="548"/>
      <c r="SW77" s="548"/>
      <c r="SX77" s="548"/>
      <c r="SY77" s="548"/>
      <c r="SZ77" s="548"/>
      <c r="TA77" s="548"/>
      <c r="TB77" s="548"/>
      <c r="TC77" s="548"/>
      <c r="TD77" s="548"/>
      <c r="TE77" s="548"/>
      <c r="TF77" s="548"/>
      <c r="TG77" s="548"/>
      <c r="TH77" s="548"/>
      <c r="TI77" s="548"/>
      <c r="TJ77" s="548"/>
      <c r="TK77" s="548"/>
      <c r="TL77" s="548"/>
      <c r="TM77" s="548"/>
      <c r="TN77" s="548"/>
      <c r="TO77" s="548"/>
      <c r="TP77" s="548"/>
      <c r="TQ77" s="548"/>
      <c r="TR77" s="548"/>
      <c r="TS77" s="548"/>
      <c r="TT77" s="548"/>
      <c r="TU77" s="548"/>
      <c r="TV77" s="548"/>
      <c r="TW77" s="548"/>
      <c r="TX77" s="548"/>
      <c r="TY77" s="548"/>
      <c r="TZ77" s="548"/>
      <c r="UA77" s="548"/>
      <c r="UB77" s="548"/>
      <c r="UC77" s="548"/>
      <c r="UD77" s="548"/>
      <c r="UE77" s="548"/>
      <c r="UF77" s="548"/>
      <c r="UG77" s="548"/>
      <c r="UH77" s="548"/>
      <c r="UI77" s="548"/>
      <c r="UJ77" s="548"/>
      <c r="UK77" s="548"/>
      <c r="UL77" s="548"/>
      <c r="UM77" s="548"/>
      <c r="UN77" s="548"/>
      <c r="UO77" s="548"/>
      <c r="UP77" s="548"/>
      <c r="UQ77" s="548"/>
      <c r="UR77" s="548"/>
      <c r="US77" s="548"/>
      <c r="UT77" s="548"/>
      <c r="UU77" s="548"/>
      <c r="UV77" s="548"/>
      <c r="UW77" s="548"/>
      <c r="UX77" s="548"/>
      <c r="UY77" s="548"/>
      <c r="UZ77" s="548"/>
      <c r="VA77" s="548"/>
      <c r="VB77" s="548"/>
      <c r="VC77" s="548"/>
      <c r="VD77" s="548"/>
      <c r="VE77" s="548"/>
      <c r="VF77" s="548"/>
      <c r="VG77" s="548"/>
      <c r="VH77" s="548"/>
      <c r="VI77" s="548"/>
      <c r="VJ77" s="548"/>
      <c r="VK77" s="548"/>
      <c r="VL77" s="548"/>
      <c r="VM77" s="548"/>
      <c r="VN77" s="548"/>
      <c r="VO77" s="548"/>
      <c r="VP77" s="548"/>
      <c r="VQ77" s="548"/>
      <c r="VR77" s="548"/>
      <c r="VS77" s="548"/>
      <c r="VT77" s="548"/>
      <c r="VU77" s="548"/>
      <c r="VV77" s="548"/>
      <c r="VW77" s="548"/>
      <c r="VX77" s="548"/>
      <c r="VY77" s="548"/>
      <c r="VZ77" s="548"/>
      <c r="WA77" s="548"/>
      <c r="WB77" s="548"/>
      <c r="WC77" s="548"/>
      <c r="WD77" s="548"/>
      <c r="WE77" s="548"/>
      <c r="WF77" s="548"/>
      <c r="WG77" s="548"/>
      <c r="WH77" s="548"/>
      <c r="WI77" s="548"/>
      <c r="WJ77" s="548"/>
      <c r="WK77" s="548"/>
      <c r="WL77" s="548"/>
      <c r="WM77" s="548"/>
      <c r="WN77" s="548"/>
      <c r="WO77" s="548"/>
      <c r="WP77" s="548"/>
      <c r="WQ77" s="548"/>
      <c r="WR77" s="548"/>
      <c r="WS77" s="548"/>
      <c r="WT77" s="548"/>
      <c r="WU77" s="548"/>
      <c r="WV77" s="548"/>
      <c r="WW77" s="548"/>
      <c r="WX77" s="548"/>
      <c r="WY77" s="548"/>
      <c r="WZ77" s="548"/>
      <c r="XA77" s="548"/>
      <c r="XB77" s="548"/>
      <c r="XC77" s="548"/>
      <c r="XD77" s="548"/>
      <c r="XE77" s="548"/>
      <c r="XF77" s="548"/>
      <c r="XG77" s="548"/>
      <c r="XH77" s="548"/>
      <c r="XI77" s="548"/>
      <c r="XJ77" s="548"/>
      <c r="XK77" s="548"/>
      <c r="XL77" s="548"/>
      <c r="XM77" s="548"/>
      <c r="XN77" s="548"/>
      <c r="XO77" s="548"/>
      <c r="XP77" s="548"/>
      <c r="XQ77" s="548"/>
      <c r="XR77" s="548"/>
      <c r="XS77" s="548"/>
      <c r="XT77" s="548"/>
      <c r="XU77" s="548"/>
      <c r="XV77" s="548"/>
      <c r="XW77" s="548"/>
      <c r="XX77" s="548"/>
      <c r="XY77" s="548"/>
      <c r="XZ77" s="548"/>
      <c r="YA77" s="548"/>
      <c r="YB77" s="548"/>
      <c r="YC77" s="548"/>
      <c r="YD77" s="548"/>
      <c r="YE77" s="548"/>
      <c r="YF77" s="548"/>
      <c r="YG77" s="548"/>
      <c r="YH77" s="548"/>
      <c r="YI77" s="548"/>
      <c r="YJ77" s="548"/>
      <c r="YK77" s="548"/>
      <c r="YL77" s="548"/>
      <c r="YM77" s="548"/>
      <c r="YN77" s="548"/>
      <c r="YO77" s="548"/>
      <c r="YP77" s="548"/>
      <c r="YQ77" s="548"/>
      <c r="YR77" s="548"/>
      <c r="YS77" s="548"/>
      <c r="YT77" s="548"/>
      <c r="YU77" s="548"/>
      <c r="YV77" s="548"/>
      <c r="YW77" s="548"/>
      <c r="YX77" s="548"/>
      <c r="YY77" s="548"/>
      <c r="YZ77" s="548"/>
      <c r="ZA77" s="548"/>
      <c r="ZB77" s="548"/>
      <c r="ZC77" s="548"/>
      <c r="ZD77" s="548"/>
      <c r="ZE77" s="548"/>
      <c r="ZF77" s="548"/>
      <c r="ZG77" s="548"/>
      <c r="ZH77" s="548"/>
      <c r="ZI77" s="548"/>
      <c r="ZJ77" s="548"/>
      <c r="ZK77" s="548"/>
      <c r="ZL77" s="548"/>
      <c r="ZM77" s="548"/>
      <c r="ZN77" s="548"/>
      <c r="ZO77" s="548"/>
      <c r="ZP77" s="548"/>
      <c r="ZQ77" s="548"/>
      <c r="ZR77" s="548"/>
      <c r="ZS77" s="548"/>
      <c r="ZT77" s="548"/>
      <c r="ZU77" s="548"/>
      <c r="ZV77" s="548"/>
      <c r="ZW77" s="548"/>
      <c r="ZX77" s="548"/>
      <c r="ZY77" s="548"/>
      <c r="ZZ77" s="548"/>
      <c r="AAA77" s="548"/>
      <c r="AAB77" s="548"/>
      <c r="AAC77" s="548"/>
      <c r="AAD77" s="548"/>
      <c r="AAE77" s="548"/>
      <c r="AAF77" s="548"/>
      <c r="AAG77" s="548"/>
      <c r="AAH77" s="548"/>
      <c r="AAI77" s="548"/>
      <c r="AAJ77" s="548"/>
      <c r="AAK77" s="548"/>
      <c r="AAL77" s="548"/>
      <c r="AAM77" s="548"/>
      <c r="AAN77" s="548"/>
      <c r="AAO77" s="548"/>
      <c r="AAP77" s="548"/>
      <c r="AAQ77" s="548"/>
      <c r="AAR77" s="548"/>
      <c r="AAS77" s="548"/>
      <c r="AAT77" s="548"/>
      <c r="AAU77" s="548"/>
      <c r="AAV77" s="548"/>
      <c r="AAW77" s="548"/>
      <c r="AAX77" s="548"/>
      <c r="AAY77" s="548"/>
      <c r="AAZ77" s="548"/>
      <c r="ABA77" s="548"/>
      <c r="ABB77" s="548"/>
      <c r="ABC77" s="548"/>
      <c r="ABD77" s="548"/>
      <c r="ABE77" s="548"/>
      <c r="ABF77" s="548"/>
      <c r="ABG77" s="548"/>
      <c r="ABH77" s="548"/>
      <c r="ABI77" s="548"/>
      <c r="ABJ77" s="548"/>
      <c r="ABK77" s="548"/>
      <c r="ABL77" s="548"/>
      <c r="ABM77" s="548"/>
      <c r="ABN77" s="548"/>
      <c r="ABO77" s="548"/>
      <c r="ABP77" s="548"/>
      <c r="ABQ77" s="548"/>
      <c r="ABR77" s="548"/>
      <c r="ABS77" s="548"/>
    </row>
    <row r="78" spans="1:747" customFormat="1" ht="15" customHeight="1" x14ac:dyDescent="0.2">
      <c r="A78" s="424" t="str">
        <f t="shared" si="909"/>
        <v/>
      </c>
      <c r="B78" s="415"/>
      <c r="C78" s="525"/>
      <c r="D78" s="750"/>
      <c r="E78" s="416" t="str">
        <f t="shared" si="751"/>
        <v/>
      </c>
      <c r="F78" s="527" t="str">
        <f t="shared" si="752"/>
        <v/>
      </c>
      <c r="G78" s="417"/>
      <c r="H78" s="585" t="str">
        <f t="shared" si="753"/>
        <v/>
      </c>
      <c r="I78" s="424"/>
      <c r="J78" s="419"/>
      <c r="K78" s="418"/>
      <c r="L78" s="419"/>
      <c r="M78" s="415"/>
      <c r="N78" s="420"/>
      <c r="O78" s="421"/>
      <c r="P78" s="561"/>
      <c r="Q78" s="422"/>
      <c r="R78" s="561" t="str">
        <f t="shared" si="754"/>
        <v/>
      </c>
      <c r="S78" s="664"/>
      <c r="T78" s="663"/>
      <c r="U78" s="580">
        <f t="shared" si="755"/>
        <v>0</v>
      </c>
      <c r="V78" s="418"/>
      <c r="W78" s="582" t="str">
        <f t="shared" si="756"/>
        <v/>
      </c>
      <c r="X78" s="479" t="str">
        <f t="shared" si="757"/>
        <v/>
      </c>
      <c r="Y78" s="582" t="str">
        <f t="shared" si="758"/>
        <v/>
      </c>
      <c r="Z78" s="317" t="str">
        <f t="shared" si="759"/>
        <v/>
      </c>
      <c r="AA78" s="317" t="str">
        <f t="shared" si="760"/>
        <v/>
      </c>
      <c r="AB78" s="317">
        <f t="shared" si="761"/>
        <v>0</v>
      </c>
      <c r="AC78" s="317" t="str">
        <f t="shared" si="762"/>
        <v/>
      </c>
      <c r="AD78" s="479"/>
      <c r="AE78" s="479"/>
      <c r="AF78" s="479"/>
      <c r="AG78" s="423"/>
      <c r="AH78" s="820"/>
      <c r="AI78" s="437"/>
      <c r="AJ78" s="660"/>
      <c r="AK78" s="524" t="str">
        <f t="shared" si="763"/>
        <v/>
      </c>
      <c r="AL78" s="731">
        <f>SUMIF($J$4:$J$116,"Imprensa",$S$4:$S$116)</f>
        <v>0</v>
      </c>
      <c r="AM78" s="732">
        <f>SUMIF($J$4:$J$116,"Imprensa",$T$4:$T$116)</f>
        <v>0</v>
      </c>
      <c r="AN78" s="426">
        <f t="shared" si="764"/>
        <v>0</v>
      </c>
      <c r="AO78" s="427" t="str">
        <f t="shared" si="765"/>
        <v/>
      </c>
      <c r="AP78" s="426" t="str">
        <f t="shared" si="766"/>
        <v/>
      </c>
      <c r="AQ78" s="426"/>
      <c r="AR78" s="426"/>
      <c r="AS78" s="428"/>
      <c r="AT78" s="429"/>
      <c r="AU78" s="430"/>
      <c r="AV78" s="431"/>
      <c r="AW78" s="432"/>
      <c r="AX78" s="430"/>
      <c r="AY78" s="431">
        <f t="shared" si="767"/>
        <v>0</v>
      </c>
      <c r="AZ78" s="426"/>
      <c r="BA78" s="435" t="str">
        <f t="shared" si="768"/>
        <v/>
      </c>
      <c r="BB78" s="435"/>
      <c r="BC78" s="426"/>
      <c r="BD78" s="426">
        <f t="array" ref="BD78">IF(SUM((BC78=$BC$3:BC77)*1)=0,BC78,0)</f>
        <v>0</v>
      </c>
      <c r="BE78" s="426"/>
      <c r="BF78" s="426"/>
      <c r="BG78" s="426">
        <f t="array" ref="BG78">IF(SUM((BF78=$BF$3:BF77)*1)=0,BF78,0)</f>
        <v>0</v>
      </c>
      <c r="BH78" s="426"/>
      <c r="BI78" s="426"/>
      <c r="BJ78" s="426"/>
      <c r="BK78" s="426"/>
      <c r="BL78" s="426"/>
      <c r="BM78" s="426"/>
      <c r="BN78" s="426"/>
      <c r="BO78" s="426"/>
      <c r="BP78" s="433">
        <f t="shared" si="769"/>
        <v>0</v>
      </c>
      <c r="BQ78" s="426"/>
      <c r="BR78" s="434"/>
      <c r="BS78" s="426"/>
      <c r="BT78" s="433"/>
      <c r="BU78" s="435"/>
      <c r="BV78" s="435" t="str">
        <f t="shared" si="770"/>
        <v/>
      </c>
      <c r="BW78" s="435" t="str">
        <f t="shared" si="798"/>
        <v/>
      </c>
      <c r="BX78" s="435"/>
      <c r="BY78" s="435"/>
      <c r="BZ78" s="435"/>
      <c r="CA78" s="435"/>
      <c r="CB78" s="435"/>
      <c r="CC78" s="435"/>
      <c r="CD78" s="435"/>
      <c r="CE78" s="435"/>
      <c r="CF78" s="435"/>
      <c r="CG78" s="435"/>
      <c r="CH78" s="435"/>
      <c r="CI78" s="435"/>
      <c r="CJ78" s="426" t="str">
        <f t="shared" si="799"/>
        <v/>
      </c>
      <c r="CK78" s="435"/>
      <c r="CL78" s="426"/>
      <c r="CM78" s="435"/>
      <c r="CN78" s="426"/>
      <c r="CO78" s="426"/>
      <c r="CP78" s="426"/>
      <c r="CQ78" s="426"/>
      <c r="CR78" s="426"/>
      <c r="CS78" s="426"/>
      <c r="CT78" s="426"/>
      <c r="CU78" s="426"/>
      <c r="CV78" s="426"/>
      <c r="CW78" s="493"/>
      <c r="CX78" s="493"/>
      <c r="CY78" s="426">
        <v>75</v>
      </c>
      <c r="CZ78" s="493"/>
      <c r="DA78" s="493"/>
      <c r="DB78" s="493"/>
      <c r="DC78" s="426" t="s">
        <v>818</v>
      </c>
      <c r="DD78" s="426" t="s">
        <v>978</v>
      </c>
      <c r="DE78" s="435" t="str">
        <f t="shared" si="800"/>
        <v/>
      </c>
      <c r="DF78" s="435" t="str">
        <f t="shared" si="801"/>
        <v/>
      </c>
      <c r="DG78" s="435" t="str">
        <f t="shared" si="802"/>
        <v/>
      </c>
      <c r="DH78" s="435" t="str">
        <f t="shared" si="803"/>
        <v/>
      </c>
      <c r="DI78" s="435" t="str">
        <f t="shared" si="804"/>
        <v/>
      </c>
      <c r="DJ78" s="435" t="str">
        <f t="shared" si="805"/>
        <v/>
      </c>
      <c r="DK78" s="435" t="str">
        <f t="shared" si="771"/>
        <v/>
      </c>
      <c r="DL78" s="435" t="str">
        <f t="shared" si="772"/>
        <v/>
      </c>
      <c r="DM78" s="435" t="str">
        <f t="shared" si="806"/>
        <v/>
      </c>
      <c r="DN78" s="435" t="str">
        <f t="shared" si="807"/>
        <v/>
      </c>
      <c r="DO78" s="435" t="str">
        <f t="shared" si="773"/>
        <v/>
      </c>
      <c r="DP78" s="435" t="str">
        <f t="shared" si="774"/>
        <v/>
      </c>
      <c r="DQ78" s="435" t="str">
        <f t="shared" si="808"/>
        <v/>
      </c>
      <c r="DR78" s="435" t="str">
        <f t="shared" si="809"/>
        <v/>
      </c>
      <c r="DS78" s="435" t="str">
        <f t="shared" si="775"/>
        <v/>
      </c>
      <c r="DT78" s="435" t="str">
        <f t="shared" si="776"/>
        <v/>
      </c>
      <c r="DU78" s="435" t="str">
        <f t="shared" si="810"/>
        <v/>
      </c>
      <c r="DV78" s="435" t="str">
        <f t="shared" si="811"/>
        <v/>
      </c>
      <c r="DW78" s="435" t="str">
        <f t="shared" si="777"/>
        <v/>
      </c>
      <c r="DX78" s="435" t="str">
        <f t="shared" si="778"/>
        <v/>
      </c>
      <c r="DY78" s="435" t="str">
        <f t="shared" si="812"/>
        <v/>
      </c>
      <c r="DZ78" s="435" t="str">
        <f t="shared" si="813"/>
        <v/>
      </c>
      <c r="EA78" s="435" t="str">
        <f t="shared" si="779"/>
        <v/>
      </c>
      <c r="EB78" s="435" t="str">
        <f t="shared" si="780"/>
        <v/>
      </c>
      <c r="EC78" s="435" t="str">
        <f t="shared" si="781"/>
        <v/>
      </c>
      <c r="ED78" s="435" t="str">
        <f t="shared" si="782"/>
        <v/>
      </c>
      <c r="EE78" s="435" t="str">
        <f t="shared" si="783"/>
        <v/>
      </c>
      <c r="EF78" s="435" t="str">
        <f t="shared" si="784"/>
        <v/>
      </c>
      <c r="EG78" s="435" t="str">
        <f t="shared" si="785"/>
        <v/>
      </c>
      <c r="EH78" s="435" t="str">
        <f t="shared" si="786"/>
        <v/>
      </c>
      <c r="EI78" s="435" t="str">
        <f t="shared" si="787"/>
        <v/>
      </c>
      <c r="EJ78" s="435" t="str">
        <f t="shared" si="788"/>
        <v/>
      </c>
      <c r="EK78" s="485"/>
      <c r="EL78" s="485"/>
      <c r="EM78" s="485"/>
      <c r="EN78" s="485"/>
      <c r="EO78" s="448"/>
      <c r="EP78" s="448"/>
      <c r="EQ78" s="448"/>
      <c r="ER78" s="448"/>
      <c r="ES78" s="448"/>
      <c r="ET78" s="435"/>
      <c r="EU78" s="435"/>
      <c r="EV78" s="435"/>
      <c r="EW78" s="435"/>
      <c r="EX78" s="426"/>
      <c r="EY78" s="426"/>
      <c r="EZ78" s="426"/>
      <c r="FA78" s="863"/>
      <c r="FB78" s="427">
        <f t="array" ref="FB78">IF(SUM((FA78=$FA$3:FA77)*1)=0,FA78,0)</f>
        <v>0</v>
      </c>
      <c r="FC78" s="863"/>
      <c r="FD78" s="863"/>
      <c r="FE78" s="863">
        <f t="array" ref="FE78">IF(SUM((FD78=$FD$3:FD77)*1)=0,FD78,0)</f>
        <v>0</v>
      </c>
      <c r="FF78" s="863"/>
      <c r="FG78" s="863"/>
      <c r="FH78" s="863"/>
      <c r="FI78" s="427">
        <f t="array" ref="FI78">IF(SUM((FH78=$FH$3:FH77)*1)=0,FH78,0)</f>
        <v>0</v>
      </c>
      <c r="FJ78" s="863"/>
      <c r="FK78" s="863"/>
      <c r="FL78" s="863">
        <f t="array" ref="FL78">IF(SUM((FK78=$FK$3:FK77)*1)=0,FK78,0)</f>
        <v>0</v>
      </c>
      <c r="FM78" s="863"/>
      <c r="FN78" s="863"/>
      <c r="FO78" s="863"/>
      <c r="FP78" s="427">
        <f t="array" ref="FP78">IF(SUM((FO78=$FO$3:FO77)*1)=0,FO78,0)</f>
        <v>0</v>
      </c>
      <c r="FQ78" s="863"/>
      <c r="FR78" s="863"/>
      <c r="FS78" s="863">
        <f t="array" ref="FS78">IF(SUM((FR78=$FR$3:FR77)*1)=0,FR78,0)</f>
        <v>0</v>
      </c>
      <c r="FT78" s="863"/>
      <c r="FU78" s="863"/>
      <c r="FV78" s="863"/>
      <c r="FW78" s="427">
        <f t="array" ref="FW78">IF(SUM((FV78=$FV$3:FV77)*1)=0,FV78,0)</f>
        <v>0</v>
      </c>
      <c r="FX78" s="863"/>
      <c r="FY78" s="863"/>
      <c r="FZ78" s="863">
        <f t="array" ref="FZ78">IF(SUM((FY78=$FY$3:FY77)*1)=0,FY78,0)</f>
        <v>0</v>
      </c>
      <c r="GA78" s="863"/>
      <c r="GB78" s="863"/>
      <c r="GC78" s="863"/>
      <c r="GD78" s="427">
        <f t="array" ref="GD78">IF(SUM((GC78=$GC$3:GC77)*1)=0,GC78,0)</f>
        <v>0</v>
      </c>
      <c r="GE78" s="863"/>
      <c r="GF78" s="863"/>
      <c r="GG78" s="863">
        <f t="array" ref="GG78">IF(SUM((GF78=$GF$3:GF77)*1)=0,GF78,0)</f>
        <v>0</v>
      </c>
      <c r="GH78" s="863"/>
      <c r="GI78" s="863"/>
      <c r="GJ78" s="863"/>
      <c r="GK78" s="798">
        <f t="array" ref="GK78">IF(SUM((GJ78=$GJ$3:GJ77)*1)=0,GJ78,0)</f>
        <v>0</v>
      </c>
      <c r="GL78" s="863"/>
      <c r="GM78" s="863"/>
      <c r="GN78" s="798">
        <f t="array" ref="GN78">IF(SUM((GM78=$GM$3:GM77)*1)=0,GM78,0)</f>
        <v>0</v>
      </c>
      <c r="GO78" s="863"/>
      <c r="GP78" s="863"/>
      <c r="GQ78" s="863"/>
      <c r="GR78" s="798">
        <f t="array" ref="GR78">IF(SUM((GQ78=$GQ$3:GQ77)*1)=0,GQ78,0)</f>
        <v>0</v>
      </c>
      <c r="GS78" s="863"/>
      <c r="GT78" s="863"/>
      <c r="GU78" s="798">
        <f t="array" ref="GU78">IF(SUM((GT78=$GT$3:GT77)*1)=0,GT78,0)</f>
        <v>0</v>
      </c>
      <c r="GV78" s="863"/>
      <c r="GW78" s="863"/>
      <c r="GX78" s="863"/>
      <c r="GY78" s="798">
        <f t="array" ref="GY78">IF(SUM((GX78=$GX$3:GX77)*1)=0,GX78,0)</f>
        <v>0</v>
      </c>
      <c r="GZ78" s="863"/>
      <c r="HA78" s="863"/>
      <c r="HB78" s="798">
        <f t="array" ref="HB78">IF(SUM((HA78=$HA$3:HA77)*1)=0,HA78,0)</f>
        <v>0</v>
      </c>
      <c r="HC78" s="863"/>
      <c r="HD78" s="863"/>
      <c r="HE78" s="769" t="str">
        <f t="shared" si="889"/>
        <v/>
      </c>
      <c r="HF78" s="768" t="str">
        <f t="shared" ref="HF78" si="973">IF(HE78&lt;0,"Invadiu REP-BA-C","")</f>
        <v/>
      </c>
      <c r="HG78" s="769" t="str">
        <f t="shared" si="891"/>
        <v/>
      </c>
      <c r="HH78" s="768" t="str">
        <f t="shared" si="815"/>
        <v/>
      </c>
      <c r="HI78" s="728" t="str">
        <f t="shared" si="892"/>
        <v/>
      </c>
      <c r="HJ78" s="768" t="str">
        <f t="shared" si="816"/>
        <v/>
      </c>
      <c r="HK78" s="728" t="str">
        <f t="shared" si="893"/>
        <v/>
      </c>
      <c r="HL78" s="768" t="str">
        <f t="shared" si="817"/>
        <v/>
      </c>
      <c r="HM78" s="769" t="str">
        <f t="shared" si="818"/>
        <v/>
      </c>
      <c r="HN78" s="768" t="str">
        <f t="shared" ref="HN78" si="974">IF(HM78&lt;0,"Invadiu REP-BA-C","")</f>
        <v/>
      </c>
      <c r="HO78" s="769" t="str">
        <f t="shared" si="820"/>
        <v/>
      </c>
      <c r="HP78" s="768" t="str">
        <f t="shared" si="821"/>
        <v/>
      </c>
      <c r="HQ78" s="728" t="str">
        <f t="shared" si="822"/>
        <v/>
      </c>
      <c r="HR78" s="768" t="str">
        <f t="shared" si="823"/>
        <v/>
      </c>
      <c r="HS78" s="728" t="str">
        <f t="shared" si="824"/>
        <v/>
      </c>
      <c r="HT78" s="768" t="str">
        <f t="shared" si="825"/>
        <v/>
      </c>
      <c r="HU78" s="769" t="str">
        <f t="shared" si="826"/>
        <v/>
      </c>
      <c r="HV78" s="768" t="str">
        <f t="shared" ref="HV78" si="975">IF(HU78&lt;0,"Invadiu REP-BA-C","")</f>
        <v/>
      </c>
      <c r="HW78" s="769" t="str">
        <f t="shared" si="828"/>
        <v/>
      </c>
      <c r="HX78" s="768" t="str">
        <f t="shared" si="829"/>
        <v/>
      </c>
      <c r="HY78" s="728" t="str">
        <f t="shared" si="830"/>
        <v/>
      </c>
      <c r="HZ78" s="768" t="str">
        <f t="shared" si="831"/>
        <v/>
      </c>
      <c r="IA78" s="728" t="str">
        <f t="shared" si="832"/>
        <v/>
      </c>
      <c r="IB78" s="768" t="str">
        <f t="shared" si="833"/>
        <v/>
      </c>
      <c r="IC78" s="769" t="str">
        <f t="shared" si="834"/>
        <v/>
      </c>
      <c r="ID78" s="768" t="str">
        <f t="shared" ref="ID78" si="976">IF(IC78&lt;0,"Invadiu REP-BA-C","")</f>
        <v/>
      </c>
      <c r="IE78" s="769" t="str">
        <f t="shared" si="836"/>
        <v/>
      </c>
      <c r="IF78" s="768" t="str">
        <f t="shared" si="837"/>
        <v/>
      </c>
      <c r="IG78" s="728" t="str">
        <f t="shared" si="838"/>
        <v/>
      </c>
      <c r="IH78" s="768" t="str">
        <f t="shared" si="839"/>
        <v/>
      </c>
      <c r="II78" s="728" t="str">
        <f t="shared" si="840"/>
        <v/>
      </c>
      <c r="IJ78" s="768" t="str">
        <f t="shared" si="841"/>
        <v/>
      </c>
      <c r="IK78" s="769" t="str">
        <f t="shared" si="842"/>
        <v/>
      </c>
      <c r="IL78" s="768" t="str">
        <f t="shared" ref="IL78" si="977">IF(IK78&lt;0,"Invadiu REP-BA-C","")</f>
        <v/>
      </c>
      <c r="IM78" s="769" t="str">
        <f t="shared" si="844"/>
        <v/>
      </c>
      <c r="IN78" s="768" t="str">
        <f t="shared" si="845"/>
        <v/>
      </c>
      <c r="IO78" s="728" t="str">
        <f t="shared" si="846"/>
        <v/>
      </c>
      <c r="IP78" s="768" t="str">
        <f t="shared" si="847"/>
        <v/>
      </c>
      <c r="IQ78" s="728" t="str">
        <f t="shared" si="848"/>
        <v/>
      </c>
      <c r="IR78" s="768" t="str">
        <f t="shared" si="849"/>
        <v/>
      </c>
      <c r="IS78" s="769" t="str">
        <f t="shared" si="850"/>
        <v/>
      </c>
      <c r="IT78" s="768" t="str">
        <f t="shared" ref="IT78" si="978">IF(IS78&lt;0,"Invadiu REP-BA-C","")</f>
        <v/>
      </c>
      <c r="IU78" s="769" t="str">
        <f t="shared" si="852"/>
        <v/>
      </c>
      <c r="IV78" s="768" t="str">
        <f t="shared" si="853"/>
        <v/>
      </c>
      <c r="IW78" s="728" t="str">
        <f t="shared" si="854"/>
        <v/>
      </c>
      <c r="IX78" s="768" t="str">
        <f t="shared" si="855"/>
        <v/>
      </c>
      <c r="IY78" s="728" t="str">
        <f t="shared" si="856"/>
        <v/>
      </c>
      <c r="IZ78" s="768" t="str">
        <f t="shared" si="857"/>
        <v/>
      </c>
      <c r="JA78" s="769" t="str">
        <f t="shared" si="858"/>
        <v/>
      </c>
      <c r="JB78" s="768" t="str">
        <f t="shared" ref="JB78" si="979">IF(JA78&lt;0,"Invadiu REP-BA-C","")</f>
        <v/>
      </c>
      <c r="JC78" s="769" t="str">
        <f t="shared" si="860"/>
        <v/>
      </c>
      <c r="JD78" s="768" t="str">
        <f t="shared" si="861"/>
        <v/>
      </c>
      <c r="JE78" s="728" t="str">
        <f t="shared" si="862"/>
        <v/>
      </c>
      <c r="JF78" s="768" t="str">
        <f t="shared" si="863"/>
        <v/>
      </c>
      <c r="JG78" s="728" t="str">
        <f t="shared" si="864"/>
        <v/>
      </c>
      <c r="JH78" s="768" t="str">
        <f t="shared" si="865"/>
        <v/>
      </c>
      <c r="JI78" s="769" t="str">
        <f t="shared" si="866"/>
        <v/>
      </c>
      <c r="JJ78" s="768" t="str">
        <f t="shared" ref="JJ78" si="980">IF(JI78&lt;0,"Invadiu REP-BA-C","")</f>
        <v/>
      </c>
      <c r="JK78" s="769" t="str">
        <f t="shared" si="868"/>
        <v/>
      </c>
      <c r="JL78" s="768" t="str">
        <f t="shared" si="869"/>
        <v/>
      </c>
      <c r="JM78" s="728" t="str">
        <f t="shared" si="870"/>
        <v/>
      </c>
      <c r="JN78" s="768" t="str">
        <f t="shared" si="871"/>
        <v/>
      </c>
      <c r="JO78" s="728" t="str">
        <f t="shared" si="872"/>
        <v/>
      </c>
      <c r="JP78" s="768" t="str">
        <f t="shared" si="873"/>
        <v/>
      </c>
      <c r="JQ78" s="769" t="str">
        <f t="shared" si="874"/>
        <v/>
      </c>
      <c r="JR78" s="768" t="str">
        <f t="shared" ref="JR78" si="981">IF(JQ78&lt;0,"Invadiu REP-BA-C","")</f>
        <v/>
      </c>
      <c r="JS78" s="769" t="str">
        <f t="shared" si="876"/>
        <v/>
      </c>
      <c r="JT78" s="768" t="str">
        <f t="shared" si="877"/>
        <v/>
      </c>
      <c r="JU78" s="728" t="str">
        <f t="shared" si="878"/>
        <v/>
      </c>
      <c r="JV78" s="768" t="str">
        <f t="shared" si="879"/>
        <v/>
      </c>
      <c r="JW78" s="728" t="str">
        <f t="shared" si="880"/>
        <v/>
      </c>
      <c r="JX78" s="768" t="str">
        <f t="shared" si="881"/>
        <v/>
      </c>
      <c r="JY78" s="768" t="str">
        <f t="shared" si="882"/>
        <v/>
      </c>
      <c r="JZ78" s="485" t="str">
        <f>IF(JY78="","",IF(AND(C78=$C$164,JY78&lt;&gt;""),Verificarcpf(D78),IF(AND(C78=$C$165,JY78&lt;&gt;""),VerificarCNPJ(D78))))</f>
        <v/>
      </c>
      <c r="KA78" s="768" t="str">
        <f t="shared" si="883"/>
        <v/>
      </c>
      <c r="KB78" s="485">
        <f t="shared" si="884"/>
        <v>0</v>
      </c>
      <c r="KC78" s="768">
        <f t="shared" si="885"/>
        <v>0</v>
      </c>
      <c r="KD78" s="485">
        <f t="shared" si="886"/>
        <v>0</v>
      </c>
      <c r="KE78" s="448"/>
      <c r="KF78" s="548"/>
      <c r="KG78" s="548"/>
      <c r="KH78" s="548"/>
      <c r="KI78" s="548"/>
      <c r="KJ78" s="548" t="str">
        <f t="shared" si="887"/>
        <v/>
      </c>
      <c r="KK78" s="548"/>
      <c r="KL78" s="548"/>
      <c r="KM78" s="548">
        <f t="array" ref="KM78">IF(SUM((KL78=$KL$3:KL77)*1)=0,KL78,0)</f>
        <v>0</v>
      </c>
      <c r="KN78" s="548"/>
      <c r="KO78" s="548"/>
      <c r="KP78" s="548"/>
      <c r="KQ78" s="548"/>
      <c r="KR78" s="548" t="str">
        <f t="shared" si="888"/>
        <v/>
      </c>
      <c r="KS78" s="548"/>
      <c r="KT78" s="548"/>
      <c r="KU78" s="548"/>
      <c r="KV78" s="548"/>
      <c r="KW78" s="548"/>
      <c r="KX78" s="548"/>
      <c r="KY78" s="548"/>
      <c r="KZ78" s="548"/>
      <c r="LA78" s="548"/>
      <c r="LB78" s="548"/>
      <c r="LC78" s="485" t="str">
        <f t="shared" si="902"/>
        <v/>
      </c>
      <c r="LD78" s="548"/>
      <c r="LE78" s="548"/>
      <c r="LF78" s="548"/>
      <c r="LG78" s="548"/>
      <c r="LH78" s="548"/>
      <c r="LI78" s="548"/>
      <c r="LJ78" s="548"/>
      <c r="LK78" s="548"/>
      <c r="LL78" s="548"/>
      <c r="LM78" s="548"/>
      <c r="LN78" s="548"/>
      <c r="LO78" s="548"/>
      <c r="LP78" s="485" t="str">
        <f t="shared" si="903"/>
        <v/>
      </c>
      <c r="LQ78" s="548"/>
      <c r="LR78" s="548"/>
      <c r="LS78" s="548"/>
      <c r="LT78" s="548"/>
      <c r="LU78" s="548"/>
      <c r="LV78" s="548"/>
      <c r="LW78" s="548"/>
      <c r="LX78" s="548"/>
      <c r="LY78" s="548"/>
      <c r="LZ78" s="548"/>
      <c r="MA78" s="548"/>
      <c r="MB78" s="548"/>
      <c r="MC78" s="485" t="str">
        <f t="shared" si="904"/>
        <v/>
      </c>
      <c r="MD78" s="548"/>
      <c r="ME78" s="548"/>
      <c r="MF78" s="548"/>
      <c r="MG78" s="548"/>
      <c r="MH78" s="548"/>
      <c r="MI78" s="548"/>
      <c r="MJ78" s="548"/>
      <c r="MK78" s="548"/>
      <c r="ML78" s="548"/>
      <c r="MM78" s="548"/>
      <c r="MN78" s="548"/>
      <c r="MO78" s="548"/>
      <c r="MP78" s="485" t="str">
        <f t="shared" si="905"/>
        <v/>
      </c>
      <c r="MQ78" s="548"/>
      <c r="MR78" s="548"/>
      <c r="MS78" s="548"/>
      <c r="MT78" s="548"/>
      <c r="MU78" s="548"/>
      <c r="MV78" s="548"/>
      <c r="MW78" s="548"/>
      <c r="MX78" s="548"/>
      <c r="MY78" s="548"/>
      <c r="MZ78" s="548"/>
      <c r="NA78" s="548"/>
      <c r="NB78" s="548"/>
      <c r="NC78" s="485" t="str">
        <f t="shared" si="906"/>
        <v/>
      </c>
      <c r="ND78" s="548"/>
      <c r="NE78" s="548"/>
      <c r="NF78" s="548"/>
      <c r="NG78" s="548"/>
      <c r="NH78" s="548"/>
      <c r="NI78" s="548"/>
      <c r="NJ78" s="548"/>
      <c r="NK78" s="548"/>
      <c r="NL78" s="548"/>
      <c r="NM78" s="548"/>
      <c r="NN78" s="548"/>
      <c r="NO78" s="548"/>
      <c r="NP78" s="485" t="str">
        <f t="shared" si="907"/>
        <v/>
      </c>
      <c r="NQ78" s="548"/>
      <c r="NR78" s="548"/>
      <c r="NS78" s="548"/>
      <c r="NT78" s="548"/>
      <c r="NU78" s="548"/>
      <c r="NV78" s="548"/>
      <c r="NW78" s="548"/>
      <c r="NX78" s="548"/>
      <c r="NY78" s="548"/>
      <c r="NZ78" s="548"/>
      <c r="OA78" s="548"/>
      <c r="OB78" s="548"/>
      <c r="OC78" s="485" t="str">
        <f t="shared" si="908"/>
        <v/>
      </c>
      <c r="OD78" s="548"/>
      <c r="OE78" s="548"/>
      <c r="OF78" s="548"/>
      <c r="OG78" s="548"/>
      <c r="OH78" s="548"/>
      <c r="OI78" s="548"/>
      <c r="OJ78" s="548"/>
      <c r="OK78" s="548"/>
      <c r="OL78" s="548"/>
      <c r="OM78" s="548"/>
      <c r="ON78" s="548"/>
      <c r="OO78" s="548"/>
      <c r="OP78" s="548"/>
      <c r="OQ78" s="548"/>
      <c r="OR78" s="548"/>
      <c r="OS78" s="548"/>
      <c r="OT78" s="548"/>
      <c r="OU78" s="548"/>
      <c r="OV78" s="548"/>
      <c r="OW78" s="548"/>
      <c r="OX78" s="548"/>
      <c r="OY78" s="548"/>
      <c r="OZ78" s="548"/>
      <c r="PA78" s="548"/>
      <c r="PB78" s="548"/>
      <c r="PC78" s="548"/>
      <c r="PD78" s="548"/>
      <c r="PE78" s="548"/>
      <c r="PF78" s="548"/>
      <c r="PG78" s="548"/>
      <c r="PH78" s="548"/>
      <c r="PI78" s="548"/>
      <c r="PJ78" s="548"/>
      <c r="PK78" s="548"/>
      <c r="PL78" s="548"/>
      <c r="PM78" s="548"/>
      <c r="PN78" s="548"/>
      <c r="PO78" s="548"/>
      <c r="PP78" s="548"/>
      <c r="PQ78" s="548"/>
      <c r="PR78" s="548"/>
      <c r="PS78" s="548"/>
      <c r="PT78" s="548"/>
      <c r="PU78" s="548"/>
      <c r="PV78" s="548"/>
      <c r="PW78" s="548"/>
      <c r="PX78" s="548"/>
      <c r="PY78" s="548"/>
      <c r="PZ78" s="548"/>
      <c r="QA78" s="548"/>
      <c r="QB78" s="548"/>
      <c r="QC78" s="548"/>
      <c r="QD78" s="548"/>
      <c r="QE78" s="548"/>
      <c r="QF78" s="548"/>
      <c r="QG78" s="548"/>
      <c r="QH78" s="548"/>
      <c r="QI78" s="548"/>
      <c r="QJ78" s="548"/>
      <c r="QK78" s="548"/>
      <c r="QL78" s="548"/>
      <c r="QM78" s="548"/>
      <c r="QN78" s="548"/>
      <c r="QO78" s="548"/>
      <c r="QP78" s="548"/>
      <c r="QQ78" s="1009"/>
      <c r="QR78" s="548"/>
      <c r="QS78" s="548"/>
      <c r="QT78" s="548"/>
      <c r="QU78" s="548"/>
      <c r="QV78" s="548"/>
      <c r="QW78" s="548"/>
      <c r="QX78" s="548"/>
      <c r="QY78" s="548"/>
      <c r="QZ78" s="548"/>
      <c r="RA78" s="548"/>
      <c r="RB78" s="548"/>
      <c r="RC78" s="548"/>
      <c r="RD78" s="548"/>
      <c r="RE78" s="548"/>
      <c r="RF78" s="548"/>
      <c r="RG78" s="548"/>
      <c r="RH78" s="548"/>
      <c r="RI78" s="548"/>
      <c r="RJ78" s="548"/>
      <c r="RK78" s="548"/>
      <c r="RL78" s="548"/>
      <c r="RM78" s="548"/>
      <c r="RN78" s="548"/>
      <c r="RO78" s="548"/>
      <c r="RP78" s="548"/>
      <c r="RQ78" s="548"/>
      <c r="RR78" s="548"/>
      <c r="RS78" s="548"/>
      <c r="RT78" s="548"/>
      <c r="RU78" s="548"/>
      <c r="RV78" s="548"/>
      <c r="RW78" s="548"/>
      <c r="RX78" s="548"/>
      <c r="RY78" s="548"/>
      <c r="RZ78" s="548"/>
      <c r="SA78" s="548"/>
      <c r="SB78" s="548"/>
      <c r="SC78" s="548"/>
      <c r="SD78" s="548"/>
      <c r="SE78" s="548"/>
      <c r="SF78" s="548"/>
      <c r="SG78" s="548"/>
      <c r="SH78" s="548"/>
      <c r="SI78" s="548"/>
      <c r="SJ78" s="548"/>
      <c r="SK78" s="548"/>
      <c r="SL78" s="548"/>
      <c r="SM78" s="548"/>
      <c r="SN78" s="548"/>
      <c r="SO78" s="548"/>
      <c r="SP78" s="548"/>
      <c r="SQ78" s="548"/>
      <c r="SR78" s="548"/>
      <c r="SS78" s="548"/>
      <c r="ST78" s="548"/>
      <c r="SU78" s="548"/>
      <c r="SV78" s="548"/>
      <c r="SW78" s="548"/>
      <c r="SX78" s="548"/>
      <c r="SY78" s="548"/>
      <c r="SZ78" s="548"/>
      <c r="TA78" s="548"/>
      <c r="TB78" s="548"/>
      <c r="TC78" s="548"/>
      <c r="TD78" s="548"/>
      <c r="TE78" s="548"/>
      <c r="TF78" s="548"/>
      <c r="TG78" s="548"/>
      <c r="TH78" s="548"/>
      <c r="TI78" s="548"/>
      <c r="TJ78" s="548"/>
      <c r="TK78" s="548"/>
      <c r="TL78" s="548"/>
      <c r="TM78" s="548"/>
      <c r="TN78" s="548"/>
      <c r="TO78" s="548"/>
      <c r="TP78" s="548"/>
      <c r="TQ78" s="548"/>
      <c r="TR78" s="548"/>
      <c r="TS78" s="548"/>
      <c r="TT78" s="548"/>
      <c r="TU78" s="548"/>
      <c r="TV78" s="548"/>
      <c r="TW78" s="548"/>
      <c r="TX78" s="548"/>
      <c r="TY78" s="548"/>
      <c r="TZ78" s="548"/>
      <c r="UA78" s="548"/>
      <c r="UB78" s="548"/>
      <c r="UC78" s="548"/>
      <c r="UD78" s="548"/>
      <c r="UE78" s="548"/>
      <c r="UF78" s="548"/>
      <c r="UG78" s="548"/>
      <c r="UH78" s="548"/>
      <c r="UI78" s="548"/>
      <c r="UJ78" s="548"/>
      <c r="UK78" s="548"/>
      <c r="UL78" s="548"/>
      <c r="UM78" s="548"/>
      <c r="UN78" s="548"/>
      <c r="UO78" s="548"/>
      <c r="UP78" s="548"/>
      <c r="UQ78" s="548"/>
      <c r="UR78" s="548"/>
      <c r="US78" s="548"/>
      <c r="UT78" s="548"/>
      <c r="UU78" s="548"/>
      <c r="UV78" s="548"/>
      <c r="UW78" s="548"/>
      <c r="UX78" s="548"/>
      <c r="UY78" s="548"/>
      <c r="UZ78" s="548"/>
      <c r="VA78" s="548"/>
      <c r="VB78" s="548"/>
      <c r="VC78" s="548"/>
      <c r="VD78" s="548"/>
      <c r="VE78" s="548"/>
      <c r="VF78" s="548"/>
      <c r="VG78" s="548"/>
      <c r="VH78" s="548"/>
      <c r="VI78" s="548"/>
      <c r="VJ78" s="548"/>
      <c r="VK78" s="548"/>
      <c r="VL78" s="548"/>
      <c r="VM78" s="548"/>
      <c r="VN78" s="548"/>
      <c r="VO78" s="548"/>
      <c r="VP78" s="548"/>
      <c r="VQ78" s="548"/>
      <c r="VR78" s="548"/>
      <c r="VS78" s="548"/>
      <c r="VT78" s="548"/>
      <c r="VU78" s="548"/>
      <c r="VV78" s="548"/>
      <c r="VW78" s="548"/>
      <c r="VX78" s="548"/>
      <c r="VY78" s="548"/>
      <c r="VZ78" s="548"/>
      <c r="WA78" s="548"/>
      <c r="WB78" s="548"/>
      <c r="WC78" s="548"/>
      <c r="WD78" s="548"/>
      <c r="WE78" s="548"/>
      <c r="WF78" s="548"/>
      <c r="WG78" s="548"/>
      <c r="WH78" s="548"/>
      <c r="WI78" s="548"/>
      <c r="WJ78" s="548"/>
      <c r="WK78" s="548"/>
      <c r="WL78" s="548"/>
      <c r="WM78" s="548"/>
      <c r="WN78" s="548"/>
      <c r="WO78" s="548"/>
      <c r="WP78" s="548"/>
      <c r="WQ78" s="548"/>
      <c r="WR78" s="548"/>
      <c r="WS78" s="548"/>
      <c r="WT78" s="548"/>
      <c r="WU78" s="548"/>
      <c r="WV78" s="548"/>
      <c r="WW78" s="548"/>
      <c r="WX78" s="548"/>
      <c r="WY78" s="548"/>
      <c r="WZ78" s="548"/>
      <c r="XA78" s="548"/>
      <c r="XB78" s="548"/>
      <c r="XC78" s="548"/>
      <c r="XD78" s="548"/>
      <c r="XE78" s="548"/>
      <c r="XF78" s="548"/>
      <c r="XG78" s="548"/>
      <c r="XH78" s="548"/>
      <c r="XI78" s="548"/>
      <c r="XJ78" s="548"/>
      <c r="XK78" s="548"/>
      <c r="XL78" s="548"/>
      <c r="XM78" s="548"/>
      <c r="XN78" s="548"/>
      <c r="XO78" s="548"/>
      <c r="XP78" s="548"/>
      <c r="XQ78" s="548"/>
      <c r="XR78" s="548"/>
      <c r="XS78" s="548"/>
      <c r="XT78" s="548"/>
      <c r="XU78" s="548"/>
      <c r="XV78" s="548"/>
      <c r="XW78" s="548"/>
      <c r="XX78" s="548"/>
      <c r="XY78" s="548"/>
      <c r="XZ78" s="548"/>
      <c r="YA78" s="548"/>
      <c r="YB78" s="548"/>
      <c r="YC78" s="548"/>
      <c r="YD78" s="548"/>
      <c r="YE78" s="548"/>
      <c r="YF78" s="548"/>
      <c r="YG78" s="548"/>
      <c r="YH78" s="548"/>
      <c r="YI78" s="548"/>
      <c r="YJ78" s="548"/>
      <c r="YK78" s="548"/>
      <c r="YL78" s="548"/>
      <c r="YM78" s="548"/>
      <c r="YN78" s="548"/>
      <c r="YO78" s="548"/>
      <c r="YP78" s="548"/>
      <c r="YQ78" s="548"/>
      <c r="YR78" s="548"/>
      <c r="YS78" s="548"/>
      <c r="YT78" s="548"/>
      <c r="YU78" s="548"/>
      <c r="YV78" s="548"/>
      <c r="YW78" s="548"/>
      <c r="YX78" s="548"/>
      <c r="YY78" s="548"/>
      <c r="YZ78" s="548"/>
      <c r="ZA78" s="548"/>
      <c r="ZB78" s="548"/>
      <c r="ZC78" s="548"/>
      <c r="ZD78" s="548"/>
      <c r="ZE78" s="548"/>
      <c r="ZF78" s="548"/>
      <c r="ZG78" s="548"/>
      <c r="ZH78" s="548"/>
      <c r="ZI78" s="548"/>
      <c r="ZJ78" s="548"/>
      <c r="ZK78" s="548"/>
      <c r="ZL78" s="548"/>
      <c r="ZM78" s="548"/>
      <c r="ZN78" s="548"/>
      <c r="ZO78" s="548"/>
      <c r="ZP78" s="548"/>
      <c r="ZQ78" s="548"/>
      <c r="ZR78" s="548"/>
      <c r="ZS78" s="548"/>
      <c r="ZT78" s="548"/>
      <c r="ZU78" s="548"/>
      <c r="ZV78" s="548"/>
      <c r="ZW78" s="548"/>
      <c r="ZX78" s="548"/>
      <c r="ZY78" s="548"/>
      <c r="ZZ78" s="548"/>
      <c r="AAA78" s="548"/>
      <c r="AAB78" s="548"/>
      <c r="AAC78" s="548"/>
      <c r="AAD78" s="548"/>
      <c r="AAE78" s="548"/>
      <c r="AAF78" s="548"/>
      <c r="AAG78" s="548"/>
      <c r="AAH78" s="548"/>
      <c r="AAI78" s="548"/>
      <c r="AAJ78" s="548"/>
      <c r="AAK78" s="548"/>
      <c r="AAL78" s="548"/>
      <c r="AAM78" s="548"/>
      <c r="AAN78" s="548"/>
      <c r="AAO78" s="548"/>
      <c r="AAP78" s="548"/>
      <c r="AAQ78" s="548"/>
      <c r="AAR78" s="548"/>
      <c r="AAS78" s="548"/>
      <c r="AAT78" s="548"/>
      <c r="AAU78" s="548"/>
      <c r="AAV78" s="548"/>
      <c r="AAW78" s="548"/>
      <c r="AAX78" s="548"/>
      <c r="AAY78" s="548"/>
      <c r="AAZ78" s="548"/>
      <c r="ABA78" s="548"/>
      <c r="ABB78" s="548"/>
      <c r="ABC78" s="548"/>
      <c r="ABD78" s="548"/>
      <c r="ABE78" s="548"/>
      <c r="ABF78" s="548"/>
      <c r="ABG78" s="548"/>
      <c r="ABH78" s="548"/>
      <c r="ABI78" s="548"/>
      <c r="ABJ78" s="548"/>
      <c r="ABK78" s="548"/>
      <c r="ABL78" s="548"/>
      <c r="ABM78" s="548"/>
      <c r="ABN78" s="548"/>
      <c r="ABO78" s="548"/>
      <c r="ABP78" s="548"/>
      <c r="ABQ78" s="548"/>
      <c r="ABR78" s="548"/>
      <c r="ABS78" s="548"/>
    </row>
    <row r="79" spans="1:747" customFormat="1" ht="15" customHeight="1" x14ac:dyDescent="0.2">
      <c r="A79" s="424" t="str">
        <f t="shared" si="909"/>
        <v/>
      </c>
      <c r="B79" s="415"/>
      <c r="C79" s="525"/>
      <c r="D79" s="750"/>
      <c r="E79" s="416" t="str">
        <f t="shared" si="751"/>
        <v/>
      </c>
      <c r="F79" s="527" t="str">
        <f t="shared" si="752"/>
        <v/>
      </c>
      <c r="G79" s="417"/>
      <c r="H79" s="585" t="str">
        <f t="shared" si="753"/>
        <v/>
      </c>
      <c r="I79" s="424"/>
      <c r="J79" s="419"/>
      <c r="K79" s="418"/>
      <c r="L79" s="419"/>
      <c r="M79" s="415"/>
      <c r="N79" s="420"/>
      <c r="O79" s="421"/>
      <c r="P79" s="561"/>
      <c r="Q79" s="422"/>
      <c r="R79" s="561" t="str">
        <f t="shared" si="754"/>
        <v/>
      </c>
      <c r="S79" s="664"/>
      <c r="T79" s="663"/>
      <c r="U79" s="580">
        <f t="shared" si="755"/>
        <v>0</v>
      </c>
      <c r="V79" s="418"/>
      <c r="W79" s="582" t="str">
        <f t="shared" si="756"/>
        <v/>
      </c>
      <c r="X79" s="479" t="str">
        <f t="shared" si="757"/>
        <v/>
      </c>
      <c r="Y79" s="582" t="str">
        <f t="shared" si="758"/>
        <v/>
      </c>
      <c r="Z79" s="317" t="str">
        <f t="shared" si="759"/>
        <v/>
      </c>
      <c r="AA79" s="317" t="str">
        <f t="shared" si="760"/>
        <v/>
      </c>
      <c r="AB79" s="317">
        <f t="shared" si="761"/>
        <v>0</v>
      </c>
      <c r="AC79" s="317" t="str">
        <f t="shared" si="762"/>
        <v/>
      </c>
      <c r="AD79" s="479"/>
      <c r="AE79" s="479"/>
      <c r="AF79" s="479"/>
      <c r="AG79" s="423"/>
      <c r="AH79" s="820"/>
      <c r="AI79" s="437"/>
      <c r="AJ79" s="660"/>
      <c r="AK79" s="524" t="str">
        <f t="shared" si="763"/>
        <v/>
      </c>
      <c r="AL79" s="731">
        <f>SUMIF($J$4:$J$130,"Imprensa",$S$4:$S$130)</f>
        <v>0</v>
      </c>
      <c r="AM79" s="732">
        <f>SUMIF($J$4:$J$130,"Imprensa",$T$4:$T$130)</f>
        <v>0</v>
      </c>
      <c r="AN79" s="426">
        <f t="shared" si="764"/>
        <v>0</v>
      </c>
      <c r="AO79" s="427" t="str">
        <f t="shared" si="765"/>
        <v/>
      </c>
      <c r="AP79" s="426" t="str">
        <f t="shared" si="766"/>
        <v/>
      </c>
      <c r="AQ79" s="426"/>
      <c r="AR79" s="426"/>
      <c r="AS79" s="428"/>
      <c r="AT79" s="429"/>
      <c r="AU79" s="430"/>
      <c r="AV79" s="431"/>
      <c r="AW79" s="432"/>
      <c r="AX79" s="430"/>
      <c r="AY79" s="431">
        <f t="shared" si="767"/>
        <v>0</v>
      </c>
      <c r="AZ79" s="426"/>
      <c r="BA79" s="435" t="str">
        <f t="shared" si="768"/>
        <v/>
      </c>
      <c r="BB79" s="435"/>
      <c r="BC79" s="426"/>
      <c r="BD79" s="426">
        <f t="array" ref="BD79">IF(SUM((BC79=$BC$3:BC78)*1)=0,BC79,0)</f>
        <v>0</v>
      </c>
      <c r="BE79" s="426"/>
      <c r="BF79" s="426"/>
      <c r="BG79" s="426">
        <f t="array" ref="BG79">IF(SUM((BF79=$BF$3:BF78)*1)=0,BF79,0)</f>
        <v>0</v>
      </c>
      <c r="BH79" s="426"/>
      <c r="BI79" s="426"/>
      <c r="BJ79" s="426"/>
      <c r="BK79" s="426"/>
      <c r="BL79" s="426"/>
      <c r="BM79" s="426"/>
      <c r="BN79" s="426"/>
      <c r="BO79" s="426"/>
      <c r="BP79" s="433">
        <f t="shared" si="769"/>
        <v>0</v>
      </c>
      <c r="BQ79" s="426"/>
      <c r="BR79" s="434"/>
      <c r="BS79" s="426"/>
      <c r="BT79" s="433"/>
      <c r="BU79" s="435"/>
      <c r="BV79" s="435" t="str">
        <f t="shared" si="770"/>
        <v/>
      </c>
      <c r="BW79" s="435" t="str">
        <f t="shared" si="798"/>
        <v/>
      </c>
      <c r="BX79" s="435"/>
      <c r="BY79" s="435"/>
      <c r="BZ79" s="435"/>
      <c r="CA79" s="435"/>
      <c r="CB79" s="435"/>
      <c r="CC79" s="435"/>
      <c r="CD79" s="435"/>
      <c r="CE79" s="435"/>
      <c r="CF79" s="435"/>
      <c r="CG79" s="435"/>
      <c r="CH79" s="435"/>
      <c r="CI79" s="435"/>
      <c r="CJ79" s="426" t="str">
        <f t="shared" si="799"/>
        <v/>
      </c>
      <c r="CK79" s="435"/>
      <c r="CL79" s="426"/>
      <c r="CM79" s="435"/>
      <c r="CN79" s="426"/>
      <c r="CO79" s="426"/>
      <c r="CP79" s="426"/>
      <c r="CQ79" s="426"/>
      <c r="CR79" s="426"/>
      <c r="CS79" s="426"/>
      <c r="CT79" s="426"/>
      <c r="CU79" s="426"/>
      <c r="CV79" s="426"/>
      <c r="CW79" s="493"/>
      <c r="CX79" s="493"/>
      <c r="CY79" s="426">
        <v>76</v>
      </c>
      <c r="CZ79" s="493"/>
      <c r="DA79" s="493"/>
      <c r="DB79" s="493"/>
      <c r="DC79" s="426" t="s">
        <v>819</v>
      </c>
      <c r="DD79" s="426" t="s">
        <v>979</v>
      </c>
      <c r="DE79" s="435" t="str">
        <f t="shared" si="800"/>
        <v/>
      </c>
      <c r="DF79" s="435" t="str">
        <f t="shared" si="801"/>
        <v/>
      </c>
      <c r="DG79" s="435" t="str">
        <f t="shared" si="802"/>
        <v/>
      </c>
      <c r="DH79" s="435" t="str">
        <f t="shared" si="803"/>
        <v/>
      </c>
      <c r="DI79" s="435" t="str">
        <f t="shared" si="804"/>
        <v/>
      </c>
      <c r="DJ79" s="435" t="str">
        <f t="shared" si="805"/>
        <v/>
      </c>
      <c r="DK79" s="435" t="str">
        <f t="shared" si="771"/>
        <v/>
      </c>
      <c r="DL79" s="435" t="str">
        <f t="shared" si="772"/>
        <v/>
      </c>
      <c r="DM79" s="435" t="str">
        <f t="shared" si="806"/>
        <v/>
      </c>
      <c r="DN79" s="435" t="str">
        <f t="shared" si="807"/>
        <v/>
      </c>
      <c r="DO79" s="435" t="str">
        <f t="shared" si="773"/>
        <v/>
      </c>
      <c r="DP79" s="435" t="str">
        <f t="shared" si="774"/>
        <v/>
      </c>
      <c r="DQ79" s="435" t="str">
        <f t="shared" si="808"/>
        <v/>
      </c>
      <c r="DR79" s="435" t="str">
        <f t="shared" si="809"/>
        <v/>
      </c>
      <c r="DS79" s="435" t="str">
        <f t="shared" si="775"/>
        <v/>
      </c>
      <c r="DT79" s="435" t="str">
        <f t="shared" si="776"/>
        <v/>
      </c>
      <c r="DU79" s="435" t="str">
        <f t="shared" si="810"/>
        <v/>
      </c>
      <c r="DV79" s="435" t="str">
        <f t="shared" si="811"/>
        <v/>
      </c>
      <c r="DW79" s="435" t="str">
        <f t="shared" si="777"/>
        <v/>
      </c>
      <c r="DX79" s="435" t="str">
        <f t="shared" si="778"/>
        <v/>
      </c>
      <c r="DY79" s="435" t="str">
        <f t="shared" si="812"/>
        <v/>
      </c>
      <c r="DZ79" s="435" t="str">
        <f t="shared" si="813"/>
        <v/>
      </c>
      <c r="EA79" s="435" t="str">
        <f t="shared" si="779"/>
        <v/>
      </c>
      <c r="EB79" s="435" t="str">
        <f t="shared" si="780"/>
        <v/>
      </c>
      <c r="EC79" s="435" t="str">
        <f t="shared" si="781"/>
        <v/>
      </c>
      <c r="ED79" s="435" t="str">
        <f t="shared" si="782"/>
        <v/>
      </c>
      <c r="EE79" s="435" t="str">
        <f t="shared" si="783"/>
        <v/>
      </c>
      <c r="EF79" s="435" t="str">
        <f t="shared" si="784"/>
        <v/>
      </c>
      <c r="EG79" s="435" t="str">
        <f t="shared" si="785"/>
        <v/>
      </c>
      <c r="EH79" s="435" t="str">
        <f t="shared" si="786"/>
        <v/>
      </c>
      <c r="EI79" s="435" t="str">
        <f t="shared" si="787"/>
        <v/>
      </c>
      <c r="EJ79" s="435" t="str">
        <f t="shared" si="788"/>
        <v/>
      </c>
      <c r="EK79" s="485"/>
      <c r="EL79" s="485"/>
      <c r="EM79" s="485"/>
      <c r="EN79" s="485"/>
      <c r="EO79" s="448"/>
      <c r="EP79" s="448"/>
      <c r="EQ79" s="448"/>
      <c r="ER79" s="448"/>
      <c r="ES79" s="448"/>
      <c r="ET79" s="435"/>
      <c r="EU79" s="435"/>
      <c r="EV79" s="435"/>
      <c r="EW79" s="435"/>
      <c r="EX79" s="426"/>
      <c r="EY79" s="426"/>
      <c r="EZ79" s="426"/>
      <c r="FA79" s="863"/>
      <c r="FB79" s="427">
        <f t="array" ref="FB79">IF(SUM((FA79=$FA$3:FA78)*1)=0,FA79,0)</f>
        <v>0</v>
      </c>
      <c r="FC79" s="863"/>
      <c r="FD79" s="863"/>
      <c r="FE79" s="863">
        <f t="array" ref="FE79">IF(SUM((FD79=$FD$3:FD78)*1)=0,FD79,0)</f>
        <v>0</v>
      </c>
      <c r="FF79" s="863"/>
      <c r="FG79" s="863"/>
      <c r="FH79" s="863"/>
      <c r="FI79" s="427">
        <f t="array" ref="FI79">IF(SUM((FH79=$FH$3:FH78)*1)=0,FH79,0)</f>
        <v>0</v>
      </c>
      <c r="FJ79" s="863"/>
      <c r="FK79" s="863"/>
      <c r="FL79" s="863">
        <f t="array" ref="FL79">IF(SUM((FK79=$FK$3:FK78)*1)=0,FK79,0)</f>
        <v>0</v>
      </c>
      <c r="FM79" s="863"/>
      <c r="FN79" s="863"/>
      <c r="FO79" s="863"/>
      <c r="FP79" s="427">
        <f t="array" ref="FP79">IF(SUM((FO79=$FO$3:FO78)*1)=0,FO79,0)</f>
        <v>0</v>
      </c>
      <c r="FQ79" s="863"/>
      <c r="FR79" s="863"/>
      <c r="FS79" s="863">
        <f t="array" ref="FS79">IF(SUM((FR79=$FR$3:FR78)*1)=0,FR79,0)</f>
        <v>0</v>
      </c>
      <c r="FT79" s="863"/>
      <c r="FU79" s="863"/>
      <c r="FV79" s="863"/>
      <c r="FW79" s="427">
        <f t="array" ref="FW79">IF(SUM((FV79=$FV$3:FV78)*1)=0,FV79,0)</f>
        <v>0</v>
      </c>
      <c r="FX79" s="863"/>
      <c r="FY79" s="863"/>
      <c r="FZ79" s="863">
        <f t="array" ref="FZ79">IF(SUM((FY79=$FY$3:FY78)*1)=0,FY79,0)</f>
        <v>0</v>
      </c>
      <c r="GA79" s="863"/>
      <c r="GB79" s="863"/>
      <c r="GC79" s="863"/>
      <c r="GD79" s="427">
        <f t="array" ref="GD79">IF(SUM((GC79=$GC$3:GC78)*1)=0,GC79,0)</f>
        <v>0</v>
      </c>
      <c r="GE79" s="863"/>
      <c r="GF79" s="863"/>
      <c r="GG79" s="863">
        <f t="array" ref="GG79">IF(SUM((GF79=$GF$3:GF78)*1)=0,GF79,0)</f>
        <v>0</v>
      </c>
      <c r="GH79" s="863"/>
      <c r="GI79" s="863"/>
      <c r="GJ79" s="863"/>
      <c r="GK79" s="798">
        <f t="array" ref="GK79">IF(SUM((GJ79=$GJ$3:GJ78)*1)=0,GJ79,0)</f>
        <v>0</v>
      </c>
      <c r="GL79" s="863"/>
      <c r="GM79" s="863"/>
      <c r="GN79" s="798">
        <f t="array" ref="GN79">IF(SUM((GM79=$GM$3:GM78)*1)=0,GM79,0)</f>
        <v>0</v>
      </c>
      <c r="GO79" s="863"/>
      <c r="GP79" s="863"/>
      <c r="GQ79" s="863"/>
      <c r="GR79" s="798">
        <f t="array" ref="GR79">IF(SUM((GQ79=$GQ$3:GQ78)*1)=0,GQ79,0)</f>
        <v>0</v>
      </c>
      <c r="GS79" s="863"/>
      <c r="GT79" s="863"/>
      <c r="GU79" s="798">
        <f t="array" ref="GU79">IF(SUM((GT79=$GT$3:GT78)*1)=0,GT79,0)</f>
        <v>0</v>
      </c>
      <c r="GV79" s="863"/>
      <c r="GW79" s="863"/>
      <c r="GX79" s="863"/>
      <c r="GY79" s="798">
        <f t="array" ref="GY79">IF(SUM((GX79=$GX$3:GX78)*1)=0,GX79,0)</f>
        <v>0</v>
      </c>
      <c r="GZ79" s="863"/>
      <c r="HA79" s="863"/>
      <c r="HB79" s="798">
        <f t="array" ref="HB79">IF(SUM((HA79=$HA$3:HA78)*1)=0,HA79,0)</f>
        <v>0</v>
      </c>
      <c r="HC79" s="863"/>
      <c r="HD79" s="863"/>
      <c r="HE79" s="769" t="str">
        <f t="shared" si="889"/>
        <v/>
      </c>
      <c r="HF79" s="768" t="str">
        <f t="shared" ref="HF79" si="982">IF(HE79&lt;0,"Invadiu REP-BA-C","")</f>
        <v/>
      </c>
      <c r="HG79" s="769" t="str">
        <f t="shared" si="891"/>
        <v/>
      </c>
      <c r="HH79" s="768" t="str">
        <f t="shared" si="815"/>
        <v/>
      </c>
      <c r="HI79" s="728" t="str">
        <f t="shared" si="892"/>
        <v/>
      </c>
      <c r="HJ79" s="768" t="str">
        <f t="shared" si="816"/>
        <v/>
      </c>
      <c r="HK79" s="728" t="str">
        <f t="shared" si="893"/>
        <v/>
      </c>
      <c r="HL79" s="768" t="str">
        <f t="shared" si="817"/>
        <v/>
      </c>
      <c r="HM79" s="769" t="str">
        <f t="shared" si="818"/>
        <v/>
      </c>
      <c r="HN79" s="768" t="str">
        <f t="shared" ref="HN79" si="983">IF(HM79&lt;0,"Invadiu REP-BA-C","")</f>
        <v/>
      </c>
      <c r="HO79" s="769" t="str">
        <f t="shared" si="820"/>
        <v/>
      </c>
      <c r="HP79" s="768" t="str">
        <f t="shared" si="821"/>
        <v/>
      </c>
      <c r="HQ79" s="728" t="str">
        <f t="shared" si="822"/>
        <v/>
      </c>
      <c r="HR79" s="768" t="str">
        <f t="shared" si="823"/>
        <v/>
      </c>
      <c r="HS79" s="728" t="str">
        <f t="shared" si="824"/>
        <v/>
      </c>
      <c r="HT79" s="768" t="str">
        <f t="shared" si="825"/>
        <v/>
      </c>
      <c r="HU79" s="769" t="str">
        <f t="shared" si="826"/>
        <v/>
      </c>
      <c r="HV79" s="768" t="str">
        <f t="shared" ref="HV79" si="984">IF(HU79&lt;0,"Invadiu REP-BA-C","")</f>
        <v/>
      </c>
      <c r="HW79" s="769" t="str">
        <f t="shared" si="828"/>
        <v/>
      </c>
      <c r="HX79" s="768" t="str">
        <f t="shared" si="829"/>
        <v/>
      </c>
      <c r="HY79" s="728" t="str">
        <f t="shared" si="830"/>
        <v/>
      </c>
      <c r="HZ79" s="768" t="str">
        <f t="shared" si="831"/>
        <v/>
      </c>
      <c r="IA79" s="728" t="str">
        <f t="shared" si="832"/>
        <v/>
      </c>
      <c r="IB79" s="768" t="str">
        <f t="shared" si="833"/>
        <v/>
      </c>
      <c r="IC79" s="769" t="str">
        <f t="shared" si="834"/>
        <v/>
      </c>
      <c r="ID79" s="768" t="str">
        <f t="shared" ref="ID79" si="985">IF(IC79&lt;0,"Invadiu REP-BA-C","")</f>
        <v/>
      </c>
      <c r="IE79" s="769" t="str">
        <f t="shared" si="836"/>
        <v/>
      </c>
      <c r="IF79" s="768" t="str">
        <f t="shared" si="837"/>
        <v/>
      </c>
      <c r="IG79" s="728" t="str">
        <f t="shared" si="838"/>
        <v/>
      </c>
      <c r="IH79" s="768" t="str">
        <f t="shared" si="839"/>
        <v/>
      </c>
      <c r="II79" s="728" t="str">
        <f t="shared" si="840"/>
        <v/>
      </c>
      <c r="IJ79" s="768" t="str">
        <f t="shared" si="841"/>
        <v/>
      </c>
      <c r="IK79" s="769" t="str">
        <f t="shared" si="842"/>
        <v/>
      </c>
      <c r="IL79" s="768" t="str">
        <f t="shared" ref="IL79" si="986">IF(IK79&lt;0,"Invadiu REP-BA-C","")</f>
        <v/>
      </c>
      <c r="IM79" s="769" t="str">
        <f t="shared" si="844"/>
        <v/>
      </c>
      <c r="IN79" s="768" t="str">
        <f t="shared" si="845"/>
        <v/>
      </c>
      <c r="IO79" s="728" t="str">
        <f t="shared" si="846"/>
        <v/>
      </c>
      <c r="IP79" s="768" t="str">
        <f t="shared" si="847"/>
        <v/>
      </c>
      <c r="IQ79" s="728" t="str">
        <f t="shared" si="848"/>
        <v/>
      </c>
      <c r="IR79" s="768" t="str">
        <f t="shared" si="849"/>
        <v/>
      </c>
      <c r="IS79" s="769" t="str">
        <f t="shared" si="850"/>
        <v/>
      </c>
      <c r="IT79" s="768" t="str">
        <f t="shared" ref="IT79" si="987">IF(IS79&lt;0,"Invadiu REP-BA-C","")</f>
        <v/>
      </c>
      <c r="IU79" s="769" t="str">
        <f t="shared" si="852"/>
        <v/>
      </c>
      <c r="IV79" s="768" t="str">
        <f t="shared" si="853"/>
        <v/>
      </c>
      <c r="IW79" s="728" t="str">
        <f t="shared" si="854"/>
        <v/>
      </c>
      <c r="IX79" s="768" t="str">
        <f t="shared" si="855"/>
        <v/>
      </c>
      <c r="IY79" s="728" t="str">
        <f t="shared" si="856"/>
        <v/>
      </c>
      <c r="IZ79" s="768" t="str">
        <f t="shared" si="857"/>
        <v/>
      </c>
      <c r="JA79" s="769" t="str">
        <f t="shared" si="858"/>
        <v/>
      </c>
      <c r="JB79" s="768" t="str">
        <f t="shared" ref="JB79" si="988">IF(JA79&lt;0,"Invadiu REP-BA-C","")</f>
        <v/>
      </c>
      <c r="JC79" s="769" t="str">
        <f t="shared" si="860"/>
        <v/>
      </c>
      <c r="JD79" s="768" t="str">
        <f t="shared" si="861"/>
        <v/>
      </c>
      <c r="JE79" s="728" t="str">
        <f t="shared" si="862"/>
        <v/>
      </c>
      <c r="JF79" s="768" t="str">
        <f t="shared" si="863"/>
        <v/>
      </c>
      <c r="JG79" s="728" t="str">
        <f t="shared" si="864"/>
        <v/>
      </c>
      <c r="JH79" s="768" t="str">
        <f t="shared" si="865"/>
        <v/>
      </c>
      <c r="JI79" s="769" t="str">
        <f t="shared" si="866"/>
        <v/>
      </c>
      <c r="JJ79" s="768" t="str">
        <f t="shared" ref="JJ79" si="989">IF(JI79&lt;0,"Invadiu REP-BA-C","")</f>
        <v/>
      </c>
      <c r="JK79" s="769" t="str">
        <f t="shared" si="868"/>
        <v/>
      </c>
      <c r="JL79" s="768" t="str">
        <f t="shared" si="869"/>
        <v/>
      </c>
      <c r="JM79" s="728" t="str">
        <f t="shared" si="870"/>
        <v/>
      </c>
      <c r="JN79" s="768" t="str">
        <f t="shared" si="871"/>
        <v/>
      </c>
      <c r="JO79" s="728" t="str">
        <f t="shared" si="872"/>
        <v/>
      </c>
      <c r="JP79" s="768" t="str">
        <f t="shared" si="873"/>
        <v/>
      </c>
      <c r="JQ79" s="769" t="str">
        <f t="shared" si="874"/>
        <v/>
      </c>
      <c r="JR79" s="768" t="str">
        <f t="shared" ref="JR79" si="990">IF(JQ79&lt;0,"Invadiu REP-BA-C","")</f>
        <v/>
      </c>
      <c r="JS79" s="769" t="str">
        <f t="shared" si="876"/>
        <v/>
      </c>
      <c r="JT79" s="768" t="str">
        <f t="shared" si="877"/>
        <v/>
      </c>
      <c r="JU79" s="728" t="str">
        <f t="shared" si="878"/>
        <v/>
      </c>
      <c r="JV79" s="768" t="str">
        <f t="shared" si="879"/>
        <v/>
      </c>
      <c r="JW79" s="728" t="str">
        <f t="shared" si="880"/>
        <v/>
      </c>
      <c r="JX79" s="768" t="str">
        <f t="shared" si="881"/>
        <v/>
      </c>
      <c r="JY79" s="768" t="str">
        <f t="shared" si="882"/>
        <v/>
      </c>
      <c r="JZ79" s="485" t="str">
        <f>IF(JY79="","",IF(AND(C79=$C$164,JY79&lt;&gt;""),Verificarcpf(D79),IF(AND(C79=$C$165,JY79&lt;&gt;""),VerificarCNPJ(D79))))</f>
        <v/>
      </c>
      <c r="KA79" s="768" t="str">
        <f t="shared" si="883"/>
        <v/>
      </c>
      <c r="KB79" s="485">
        <f t="shared" si="884"/>
        <v>0</v>
      </c>
      <c r="KC79" s="768">
        <f t="shared" si="885"/>
        <v>0</v>
      </c>
      <c r="KD79" s="485">
        <f t="shared" si="886"/>
        <v>0</v>
      </c>
      <c r="KE79" s="448"/>
      <c r="KF79" s="548"/>
      <c r="KG79" s="548"/>
      <c r="KH79" s="548"/>
      <c r="KI79" s="548"/>
      <c r="KJ79" s="548" t="str">
        <f t="shared" si="887"/>
        <v/>
      </c>
      <c r="KK79" s="548"/>
      <c r="KL79" s="548"/>
      <c r="KM79" s="548">
        <f t="array" ref="KM79">IF(SUM((KL79=$KL$3:KL78)*1)=0,KL79,0)</f>
        <v>0</v>
      </c>
      <c r="KN79" s="548"/>
      <c r="KO79" s="548"/>
      <c r="KP79" s="548"/>
      <c r="KQ79" s="548"/>
      <c r="KR79" s="548" t="str">
        <f t="shared" si="888"/>
        <v/>
      </c>
      <c r="KS79" s="548"/>
      <c r="KT79" s="548"/>
      <c r="KU79" s="548"/>
      <c r="KV79" s="548"/>
      <c r="KW79" s="548"/>
      <c r="KX79" s="548"/>
      <c r="KY79" s="548"/>
      <c r="KZ79" s="548"/>
      <c r="LA79" s="548"/>
      <c r="LB79" s="548"/>
      <c r="LC79" s="485" t="str">
        <f t="shared" si="902"/>
        <v/>
      </c>
      <c r="LD79" s="548"/>
      <c r="LE79" s="548"/>
      <c r="LF79" s="548"/>
      <c r="LG79" s="548"/>
      <c r="LH79" s="548"/>
      <c r="LI79" s="548"/>
      <c r="LJ79" s="548"/>
      <c r="LK79" s="548"/>
      <c r="LL79" s="548"/>
      <c r="LM79" s="548"/>
      <c r="LN79" s="548"/>
      <c r="LO79" s="548"/>
      <c r="LP79" s="485" t="str">
        <f t="shared" si="903"/>
        <v/>
      </c>
      <c r="LQ79" s="548"/>
      <c r="LR79" s="548"/>
      <c r="LS79" s="548"/>
      <c r="LT79" s="548"/>
      <c r="LU79" s="548"/>
      <c r="LV79" s="548"/>
      <c r="LW79" s="548"/>
      <c r="LX79" s="548"/>
      <c r="LY79" s="548"/>
      <c r="LZ79" s="548"/>
      <c r="MA79" s="548"/>
      <c r="MB79" s="548"/>
      <c r="MC79" s="485" t="str">
        <f t="shared" si="904"/>
        <v/>
      </c>
      <c r="MD79" s="548"/>
      <c r="ME79" s="548"/>
      <c r="MF79" s="548"/>
      <c r="MG79" s="548"/>
      <c r="MH79" s="548"/>
      <c r="MI79" s="548"/>
      <c r="MJ79" s="548"/>
      <c r="MK79" s="548"/>
      <c r="ML79" s="548"/>
      <c r="MM79" s="548"/>
      <c r="MN79" s="548"/>
      <c r="MO79" s="548"/>
      <c r="MP79" s="485" t="str">
        <f t="shared" si="905"/>
        <v/>
      </c>
      <c r="MQ79" s="548"/>
      <c r="MR79" s="548"/>
      <c r="MS79" s="548"/>
      <c r="MT79" s="548"/>
      <c r="MU79" s="548"/>
      <c r="MV79" s="548"/>
      <c r="MW79" s="548"/>
      <c r="MX79" s="548"/>
      <c r="MY79" s="548"/>
      <c r="MZ79" s="548"/>
      <c r="NA79" s="548"/>
      <c r="NB79" s="548"/>
      <c r="NC79" s="485" t="str">
        <f t="shared" si="906"/>
        <v/>
      </c>
      <c r="ND79" s="548"/>
      <c r="NE79" s="548"/>
      <c r="NF79" s="548"/>
      <c r="NG79" s="548"/>
      <c r="NH79" s="548"/>
      <c r="NI79" s="548"/>
      <c r="NJ79" s="548"/>
      <c r="NK79" s="548"/>
      <c r="NL79" s="548"/>
      <c r="NM79" s="548"/>
      <c r="NN79" s="548"/>
      <c r="NO79" s="548"/>
      <c r="NP79" s="485" t="str">
        <f t="shared" si="907"/>
        <v/>
      </c>
      <c r="NQ79" s="548"/>
      <c r="NR79" s="548"/>
      <c r="NS79" s="548"/>
      <c r="NT79" s="548"/>
      <c r="NU79" s="548"/>
      <c r="NV79" s="548"/>
      <c r="NW79" s="548"/>
      <c r="NX79" s="548"/>
      <c r="NY79" s="548"/>
      <c r="NZ79" s="548"/>
      <c r="OA79" s="548"/>
      <c r="OB79" s="548"/>
      <c r="OC79" s="485" t="str">
        <f t="shared" si="908"/>
        <v/>
      </c>
      <c r="OD79" s="548"/>
      <c r="OE79" s="548"/>
      <c r="OF79" s="548"/>
      <c r="OG79" s="548"/>
      <c r="OH79" s="548"/>
      <c r="OI79" s="548"/>
      <c r="OJ79" s="548"/>
      <c r="OK79" s="548"/>
      <c r="OL79" s="548"/>
      <c r="OM79" s="548"/>
      <c r="ON79" s="548"/>
      <c r="OO79" s="548"/>
      <c r="OP79" s="548"/>
      <c r="OQ79" s="548"/>
      <c r="OR79" s="548"/>
      <c r="OS79" s="548"/>
      <c r="OT79" s="548"/>
      <c r="OU79" s="548"/>
      <c r="OV79" s="548"/>
      <c r="OW79" s="548"/>
      <c r="OX79" s="548"/>
      <c r="OY79" s="548"/>
      <c r="OZ79" s="548"/>
      <c r="PA79" s="548"/>
      <c r="PB79" s="548"/>
      <c r="PC79" s="548"/>
      <c r="PD79" s="548"/>
      <c r="PE79" s="548"/>
      <c r="PF79" s="548"/>
      <c r="PG79" s="548"/>
      <c r="PH79" s="548"/>
      <c r="PI79" s="548"/>
      <c r="PJ79" s="548"/>
      <c r="PK79" s="548"/>
      <c r="PL79" s="548"/>
      <c r="PM79" s="548"/>
      <c r="PN79" s="548"/>
      <c r="PO79" s="548"/>
      <c r="PP79" s="548"/>
      <c r="PQ79" s="548"/>
      <c r="PR79" s="548"/>
      <c r="PS79" s="548"/>
      <c r="PT79" s="548"/>
      <c r="PU79" s="548"/>
      <c r="PV79" s="548"/>
      <c r="PW79" s="548"/>
      <c r="PX79" s="548"/>
      <c r="PY79" s="548"/>
      <c r="PZ79" s="548"/>
      <c r="QA79" s="548"/>
      <c r="QB79" s="548"/>
      <c r="QC79" s="548"/>
      <c r="QD79" s="548"/>
      <c r="QE79" s="548"/>
      <c r="QF79" s="548"/>
      <c r="QG79" s="548"/>
      <c r="QH79" s="548"/>
      <c r="QI79" s="548"/>
      <c r="QJ79" s="548"/>
      <c r="QK79" s="548"/>
      <c r="QL79" s="548"/>
      <c r="QM79" s="548"/>
      <c r="QN79" s="548"/>
      <c r="QO79" s="548"/>
      <c r="QP79" s="548"/>
      <c r="QQ79" s="1009"/>
      <c r="QR79" s="548"/>
      <c r="QS79" s="548"/>
      <c r="QT79" s="548"/>
      <c r="QU79" s="548"/>
      <c r="QV79" s="548"/>
      <c r="QW79" s="548"/>
      <c r="QX79" s="548"/>
      <c r="QY79" s="548"/>
      <c r="QZ79" s="548"/>
      <c r="RA79" s="548"/>
      <c r="RB79" s="548"/>
      <c r="RC79" s="548"/>
      <c r="RD79" s="548"/>
      <c r="RE79" s="548"/>
      <c r="RF79" s="548"/>
      <c r="RG79" s="548"/>
      <c r="RH79" s="548"/>
      <c r="RI79" s="548"/>
      <c r="RJ79" s="548"/>
      <c r="RK79" s="548"/>
      <c r="RL79" s="548"/>
      <c r="RM79" s="548"/>
      <c r="RN79" s="548"/>
      <c r="RO79" s="548"/>
      <c r="RP79" s="548"/>
      <c r="RQ79" s="548"/>
      <c r="RR79" s="548"/>
      <c r="RS79" s="548"/>
      <c r="RT79" s="548"/>
      <c r="RU79" s="548"/>
      <c r="RV79" s="548"/>
      <c r="RW79" s="548"/>
      <c r="RX79" s="548"/>
      <c r="RY79" s="548"/>
      <c r="RZ79" s="548"/>
      <c r="SA79" s="548"/>
      <c r="SB79" s="548"/>
      <c r="SC79" s="548"/>
      <c r="SD79" s="548"/>
      <c r="SE79" s="548"/>
      <c r="SF79" s="548"/>
      <c r="SG79" s="548"/>
      <c r="SH79" s="548"/>
      <c r="SI79" s="548"/>
      <c r="SJ79" s="548"/>
      <c r="SK79" s="548"/>
      <c r="SL79" s="548"/>
      <c r="SM79" s="548"/>
      <c r="SN79" s="548"/>
      <c r="SO79" s="548"/>
      <c r="SP79" s="548"/>
      <c r="SQ79" s="548"/>
      <c r="SR79" s="548"/>
      <c r="SS79" s="548"/>
      <c r="ST79" s="548"/>
      <c r="SU79" s="548"/>
      <c r="SV79" s="548"/>
      <c r="SW79" s="548"/>
      <c r="SX79" s="548"/>
      <c r="SY79" s="548"/>
      <c r="SZ79" s="548"/>
      <c r="TA79" s="548"/>
      <c r="TB79" s="548"/>
      <c r="TC79" s="548"/>
      <c r="TD79" s="548"/>
      <c r="TE79" s="548"/>
      <c r="TF79" s="548"/>
      <c r="TG79" s="548"/>
      <c r="TH79" s="548"/>
      <c r="TI79" s="548"/>
      <c r="TJ79" s="548"/>
      <c r="TK79" s="548"/>
      <c r="TL79" s="548"/>
      <c r="TM79" s="548"/>
      <c r="TN79" s="548"/>
      <c r="TO79" s="548"/>
      <c r="TP79" s="548"/>
      <c r="TQ79" s="548"/>
      <c r="TR79" s="548"/>
      <c r="TS79" s="548"/>
      <c r="TT79" s="548"/>
      <c r="TU79" s="548"/>
      <c r="TV79" s="548"/>
      <c r="TW79" s="548"/>
      <c r="TX79" s="548"/>
      <c r="TY79" s="548"/>
      <c r="TZ79" s="548"/>
      <c r="UA79" s="548"/>
      <c r="UB79" s="548"/>
      <c r="UC79" s="548"/>
      <c r="UD79" s="548"/>
      <c r="UE79" s="548"/>
      <c r="UF79" s="548"/>
      <c r="UG79" s="548"/>
      <c r="UH79" s="548"/>
      <c r="UI79" s="548"/>
      <c r="UJ79" s="548"/>
      <c r="UK79" s="548"/>
      <c r="UL79" s="548"/>
      <c r="UM79" s="548"/>
      <c r="UN79" s="548"/>
      <c r="UO79" s="548"/>
      <c r="UP79" s="548"/>
      <c r="UQ79" s="548"/>
      <c r="UR79" s="548"/>
      <c r="US79" s="548"/>
      <c r="UT79" s="548"/>
      <c r="UU79" s="548"/>
      <c r="UV79" s="548"/>
      <c r="UW79" s="548"/>
      <c r="UX79" s="548"/>
      <c r="UY79" s="548"/>
      <c r="UZ79" s="548"/>
      <c r="VA79" s="548"/>
      <c r="VB79" s="548"/>
      <c r="VC79" s="548"/>
      <c r="VD79" s="548"/>
      <c r="VE79" s="548"/>
      <c r="VF79" s="548"/>
      <c r="VG79" s="548"/>
      <c r="VH79" s="548"/>
      <c r="VI79" s="548"/>
      <c r="VJ79" s="548"/>
      <c r="VK79" s="548"/>
      <c r="VL79" s="548"/>
      <c r="VM79" s="548"/>
      <c r="VN79" s="548"/>
      <c r="VO79" s="548"/>
      <c r="VP79" s="548"/>
      <c r="VQ79" s="548"/>
      <c r="VR79" s="548"/>
      <c r="VS79" s="548"/>
      <c r="VT79" s="548"/>
      <c r="VU79" s="548"/>
      <c r="VV79" s="548"/>
      <c r="VW79" s="548"/>
      <c r="VX79" s="548"/>
      <c r="VY79" s="548"/>
      <c r="VZ79" s="548"/>
      <c r="WA79" s="548"/>
      <c r="WB79" s="548"/>
      <c r="WC79" s="548"/>
      <c r="WD79" s="548"/>
      <c r="WE79" s="548"/>
      <c r="WF79" s="548"/>
      <c r="WG79" s="548"/>
      <c r="WH79" s="548"/>
      <c r="WI79" s="548"/>
      <c r="WJ79" s="548"/>
      <c r="WK79" s="548"/>
      <c r="WL79" s="548"/>
      <c r="WM79" s="548"/>
      <c r="WN79" s="548"/>
      <c r="WO79" s="548"/>
      <c r="WP79" s="548"/>
      <c r="WQ79" s="548"/>
      <c r="WR79" s="548"/>
      <c r="WS79" s="548"/>
      <c r="WT79" s="548"/>
      <c r="WU79" s="548"/>
      <c r="WV79" s="548"/>
      <c r="WW79" s="548"/>
      <c r="WX79" s="548"/>
      <c r="WY79" s="548"/>
      <c r="WZ79" s="548"/>
      <c r="XA79" s="548"/>
      <c r="XB79" s="548"/>
      <c r="XC79" s="548"/>
      <c r="XD79" s="548"/>
      <c r="XE79" s="548"/>
      <c r="XF79" s="548"/>
      <c r="XG79" s="548"/>
      <c r="XH79" s="548"/>
      <c r="XI79" s="548"/>
      <c r="XJ79" s="548"/>
      <c r="XK79" s="548"/>
      <c r="XL79" s="548"/>
      <c r="XM79" s="548"/>
      <c r="XN79" s="548"/>
      <c r="XO79" s="548"/>
      <c r="XP79" s="548"/>
      <c r="XQ79" s="548"/>
      <c r="XR79" s="548"/>
      <c r="XS79" s="548"/>
      <c r="XT79" s="548"/>
      <c r="XU79" s="548"/>
      <c r="XV79" s="548"/>
      <c r="XW79" s="548"/>
      <c r="XX79" s="548"/>
      <c r="XY79" s="548"/>
      <c r="XZ79" s="548"/>
      <c r="YA79" s="548"/>
      <c r="YB79" s="548"/>
      <c r="YC79" s="548"/>
      <c r="YD79" s="548"/>
      <c r="YE79" s="548"/>
      <c r="YF79" s="548"/>
      <c r="YG79" s="548"/>
      <c r="YH79" s="548"/>
      <c r="YI79" s="548"/>
      <c r="YJ79" s="548"/>
      <c r="YK79" s="548"/>
      <c r="YL79" s="548"/>
      <c r="YM79" s="548"/>
      <c r="YN79" s="548"/>
      <c r="YO79" s="548"/>
      <c r="YP79" s="548"/>
      <c r="YQ79" s="548"/>
      <c r="YR79" s="548"/>
      <c r="YS79" s="548"/>
      <c r="YT79" s="548"/>
      <c r="YU79" s="548"/>
      <c r="YV79" s="548"/>
      <c r="YW79" s="548"/>
      <c r="YX79" s="548"/>
      <c r="YY79" s="548"/>
      <c r="YZ79" s="548"/>
      <c r="ZA79" s="548"/>
      <c r="ZB79" s="548"/>
      <c r="ZC79" s="548"/>
      <c r="ZD79" s="548"/>
      <c r="ZE79" s="548"/>
      <c r="ZF79" s="548"/>
      <c r="ZG79" s="548"/>
      <c r="ZH79" s="548"/>
      <c r="ZI79" s="548"/>
      <c r="ZJ79" s="548"/>
      <c r="ZK79" s="548"/>
      <c r="ZL79" s="548"/>
      <c r="ZM79" s="548"/>
      <c r="ZN79" s="548"/>
      <c r="ZO79" s="548"/>
      <c r="ZP79" s="548"/>
      <c r="ZQ79" s="548"/>
      <c r="ZR79" s="548"/>
      <c r="ZS79" s="548"/>
      <c r="ZT79" s="548"/>
      <c r="ZU79" s="548"/>
      <c r="ZV79" s="548"/>
      <c r="ZW79" s="548"/>
      <c r="ZX79" s="548"/>
      <c r="ZY79" s="548"/>
      <c r="ZZ79" s="548"/>
      <c r="AAA79" s="548"/>
      <c r="AAB79" s="548"/>
      <c r="AAC79" s="548"/>
      <c r="AAD79" s="548"/>
      <c r="AAE79" s="548"/>
      <c r="AAF79" s="548"/>
      <c r="AAG79" s="548"/>
      <c r="AAH79" s="548"/>
      <c r="AAI79" s="548"/>
      <c r="AAJ79" s="548"/>
      <c r="AAK79" s="548"/>
      <c r="AAL79" s="548"/>
      <c r="AAM79" s="548"/>
      <c r="AAN79" s="548"/>
      <c r="AAO79" s="548"/>
      <c r="AAP79" s="548"/>
      <c r="AAQ79" s="548"/>
      <c r="AAR79" s="548"/>
      <c r="AAS79" s="548"/>
      <c r="AAT79" s="548"/>
      <c r="AAU79" s="548"/>
      <c r="AAV79" s="548"/>
      <c r="AAW79" s="548"/>
      <c r="AAX79" s="548"/>
      <c r="AAY79" s="548"/>
      <c r="AAZ79" s="548"/>
      <c r="ABA79" s="548"/>
      <c r="ABB79" s="548"/>
      <c r="ABC79" s="548"/>
      <c r="ABD79" s="548"/>
      <c r="ABE79" s="548"/>
      <c r="ABF79" s="548"/>
      <c r="ABG79" s="548"/>
      <c r="ABH79" s="548"/>
      <c r="ABI79" s="548"/>
      <c r="ABJ79" s="548"/>
      <c r="ABK79" s="548"/>
      <c r="ABL79" s="548"/>
      <c r="ABM79" s="548"/>
      <c r="ABN79" s="548"/>
      <c r="ABO79" s="548"/>
      <c r="ABP79" s="548"/>
      <c r="ABQ79" s="548"/>
      <c r="ABR79" s="548"/>
      <c r="ABS79" s="548"/>
    </row>
    <row r="80" spans="1:747" customFormat="1" ht="15" customHeight="1" x14ac:dyDescent="0.2">
      <c r="A80" s="424" t="str">
        <f t="shared" si="909"/>
        <v/>
      </c>
      <c r="B80" s="415"/>
      <c r="C80" s="525"/>
      <c r="D80" s="750"/>
      <c r="E80" s="416" t="str">
        <f t="shared" si="751"/>
        <v/>
      </c>
      <c r="F80" s="527" t="str">
        <f t="shared" si="752"/>
        <v/>
      </c>
      <c r="G80" s="417"/>
      <c r="H80" s="585" t="str">
        <f t="shared" si="753"/>
        <v/>
      </c>
      <c r="I80" s="424"/>
      <c r="J80" s="419"/>
      <c r="K80" s="418"/>
      <c r="L80" s="419"/>
      <c r="M80" s="415"/>
      <c r="N80" s="420"/>
      <c r="O80" s="421"/>
      <c r="P80" s="561"/>
      <c r="Q80" s="422"/>
      <c r="R80" s="561" t="str">
        <f t="shared" si="754"/>
        <v/>
      </c>
      <c r="S80" s="664"/>
      <c r="T80" s="663"/>
      <c r="U80" s="580">
        <f t="shared" si="755"/>
        <v>0</v>
      </c>
      <c r="V80" s="418"/>
      <c r="W80" s="582" t="str">
        <f t="shared" si="756"/>
        <v/>
      </c>
      <c r="X80" s="479" t="str">
        <f t="shared" si="757"/>
        <v/>
      </c>
      <c r="Y80" s="582" t="str">
        <f t="shared" si="758"/>
        <v/>
      </c>
      <c r="Z80" s="317" t="str">
        <f t="shared" si="759"/>
        <v/>
      </c>
      <c r="AA80" s="317" t="str">
        <f t="shared" si="760"/>
        <v/>
      </c>
      <c r="AB80" s="317">
        <f t="shared" si="761"/>
        <v>0</v>
      </c>
      <c r="AC80" s="317" t="str">
        <f t="shared" si="762"/>
        <v/>
      </c>
      <c r="AD80" s="479"/>
      <c r="AE80" s="479"/>
      <c r="AF80" s="479"/>
      <c r="AG80" s="423"/>
      <c r="AH80" s="820"/>
      <c r="AI80" s="437"/>
      <c r="AJ80" s="660"/>
      <c r="AK80" s="524" t="str">
        <f t="shared" si="763"/>
        <v/>
      </c>
      <c r="AL80" s="731">
        <f>SUMIF($J$4:$J$144,"Imprensa",$S$4:$S$144)</f>
        <v>0</v>
      </c>
      <c r="AM80" s="732">
        <f>SUMIF($J$4:$J$144,"Imprensa",$T$4:$T$144)</f>
        <v>0</v>
      </c>
      <c r="AN80" s="426">
        <f t="shared" si="764"/>
        <v>0</v>
      </c>
      <c r="AO80" s="427" t="str">
        <f t="shared" si="765"/>
        <v/>
      </c>
      <c r="AP80" s="426" t="str">
        <f t="shared" si="766"/>
        <v/>
      </c>
      <c r="AQ80" s="426"/>
      <c r="AR80" s="426"/>
      <c r="AS80" s="428"/>
      <c r="AT80" s="429"/>
      <c r="AU80" s="430"/>
      <c r="AV80" s="431"/>
      <c r="AW80" s="432"/>
      <c r="AX80" s="430"/>
      <c r="AY80" s="431">
        <f t="shared" si="767"/>
        <v>0</v>
      </c>
      <c r="AZ80" s="426"/>
      <c r="BA80" s="435" t="str">
        <f t="shared" si="768"/>
        <v/>
      </c>
      <c r="BB80" s="435"/>
      <c r="BC80" s="426"/>
      <c r="BD80" s="426">
        <f t="array" ref="BD80">IF(SUM((BC80=$BC$3:BC79)*1)=0,BC80,0)</f>
        <v>0</v>
      </c>
      <c r="BE80" s="426"/>
      <c r="BF80" s="426"/>
      <c r="BG80" s="426">
        <f t="array" ref="BG80">IF(SUM((BF80=$BF$3:BF79)*1)=0,BF80,0)</f>
        <v>0</v>
      </c>
      <c r="BH80" s="426"/>
      <c r="BI80" s="426"/>
      <c r="BJ80" s="426"/>
      <c r="BK80" s="426"/>
      <c r="BL80" s="426"/>
      <c r="BM80" s="426"/>
      <c r="BN80" s="426"/>
      <c r="BO80" s="426"/>
      <c r="BP80" s="433">
        <f t="shared" si="769"/>
        <v>0</v>
      </c>
      <c r="BQ80" s="426"/>
      <c r="BR80" s="434"/>
      <c r="BS80" s="426"/>
      <c r="BT80" s="433"/>
      <c r="BU80" s="435"/>
      <c r="BV80" s="435" t="str">
        <f t="shared" si="770"/>
        <v/>
      </c>
      <c r="BW80" s="435" t="str">
        <f t="shared" si="798"/>
        <v/>
      </c>
      <c r="BX80" s="435"/>
      <c r="BY80" s="435"/>
      <c r="BZ80" s="435"/>
      <c r="CA80" s="435"/>
      <c r="CB80" s="435"/>
      <c r="CC80" s="435"/>
      <c r="CD80" s="435"/>
      <c r="CE80" s="435"/>
      <c r="CF80" s="435"/>
      <c r="CG80" s="435"/>
      <c r="CH80" s="435"/>
      <c r="CI80" s="435"/>
      <c r="CJ80" s="426" t="str">
        <f t="shared" si="799"/>
        <v/>
      </c>
      <c r="CK80" s="435"/>
      <c r="CL80" s="426"/>
      <c r="CM80" s="435"/>
      <c r="CN80" s="426"/>
      <c r="CO80" s="426"/>
      <c r="CP80" s="426"/>
      <c r="CQ80" s="426"/>
      <c r="CR80" s="426"/>
      <c r="CS80" s="426"/>
      <c r="CT80" s="426"/>
      <c r="CU80" s="426"/>
      <c r="CV80" s="426"/>
      <c r="CW80" s="493"/>
      <c r="CX80" s="493"/>
      <c r="CY80" s="426">
        <v>77</v>
      </c>
      <c r="CZ80" s="493"/>
      <c r="DA80" s="493"/>
      <c r="DB80" s="493"/>
      <c r="DC80" s="426" t="s">
        <v>820</v>
      </c>
      <c r="DD80" s="426" t="s">
        <v>980</v>
      </c>
      <c r="DE80" s="435" t="str">
        <f t="shared" si="800"/>
        <v/>
      </c>
      <c r="DF80" s="435" t="str">
        <f t="shared" si="801"/>
        <v/>
      </c>
      <c r="DG80" s="435" t="str">
        <f t="shared" si="802"/>
        <v/>
      </c>
      <c r="DH80" s="435" t="str">
        <f t="shared" si="803"/>
        <v/>
      </c>
      <c r="DI80" s="435" t="str">
        <f t="shared" si="804"/>
        <v/>
      </c>
      <c r="DJ80" s="435" t="str">
        <f t="shared" si="805"/>
        <v/>
      </c>
      <c r="DK80" s="435" t="str">
        <f t="shared" si="771"/>
        <v/>
      </c>
      <c r="DL80" s="435" t="str">
        <f t="shared" si="772"/>
        <v/>
      </c>
      <c r="DM80" s="435" t="str">
        <f t="shared" si="806"/>
        <v/>
      </c>
      <c r="DN80" s="435" t="str">
        <f t="shared" si="807"/>
        <v/>
      </c>
      <c r="DO80" s="435" t="str">
        <f t="shared" si="773"/>
        <v/>
      </c>
      <c r="DP80" s="435" t="str">
        <f t="shared" si="774"/>
        <v/>
      </c>
      <c r="DQ80" s="435" t="str">
        <f t="shared" si="808"/>
        <v/>
      </c>
      <c r="DR80" s="435" t="str">
        <f t="shared" si="809"/>
        <v/>
      </c>
      <c r="DS80" s="435" t="str">
        <f t="shared" si="775"/>
        <v/>
      </c>
      <c r="DT80" s="435" t="str">
        <f t="shared" si="776"/>
        <v/>
      </c>
      <c r="DU80" s="435" t="str">
        <f t="shared" si="810"/>
        <v/>
      </c>
      <c r="DV80" s="435" t="str">
        <f t="shared" si="811"/>
        <v/>
      </c>
      <c r="DW80" s="435" t="str">
        <f t="shared" si="777"/>
        <v/>
      </c>
      <c r="DX80" s="435" t="str">
        <f t="shared" si="778"/>
        <v/>
      </c>
      <c r="DY80" s="435" t="str">
        <f t="shared" si="812"/>
        <v/>
      </c>
      <c r="DZ80" s="435" t="str">
        <f t="shared" si="813"/>
        <v/>
      </c>
      <c r="EA80" s="435" t="str">
        <f t="shared" si="779"/>
        <v/>
      </c>
      <c r="EB80" s="435" t="str">
        <f t="shared" si="780"/>
        <v/>
      </c>
      <c r="EC80" s="435" t="str">
        <f t="shared" si="781"/>
        <v/>
      </c>
      <c r="ED80" s="435" t="str">
        <f t="shared" si="782"/>
        <v/>
      </c>
      <c r="EE80" s="435" t="str">
        <f t="shared" si="783"/>
        <v/>
      </c>
      <c r="EF80" s="435" t="str">
        <f t="shared" si="784"/>
        <v/>
      </c>
      <c r="EG80" s="435" t="str">
        <f t="shared" si="785"/>
        <v/>
      </c>
      <c r="EH80" s="435" t="str">
        <f t="shared" si="786"/>
        <v/>
      </c>
      <c r="EI80" s="435" t="str">
        <f t="shared" si="787"/>
        <v/>
      </c>
      <c r="EJ80" s="435" t="str">
        <f t="shared" si="788"/>
        <v/>
      </c>
      <c r="EK80" s="485"/>
      <c r="EL80" s="485"/>
      <c r="EM80" s="485"/>
      <c r="EN80" s="485"/>
      <c r="EO80" s="448"/>
      <c r="EP80" s="448"/>
      <c r="EQ80" s="448"/>
      <c r="ER80" s="448"/>
      <c r="ES80" s="448"/>
      <c r="ET80" s="435"/>
      <c r="EU80" s="435"/>
      <c r="EV80" s="435"/>
      <c r="EW80" s="435"/>
      <c r="EX80" s="426"/>
      <c r="EY80" s="426"/>
      <c r="EZ80" s="426"/>
      <c r="FA80" s="863"/>
      <c r="FB80" s="427">
        <f t="array" ref="FB80">IF(SUM((FA80=$FA$3:FA79)*1)=0,FA80,0)</f>
        <v>0</v>
      </c>
      <c r="FC80" s="863"/>
      <c r="FD80" s="863"/>
      <c r="FE80" s="863">
        <f t="array" ref="FE80">IF(SUM((FD80=$FD$3:FD79)*1)=0,FD80,0)</f>
        <v>0</v>
      </c>
      <c r="FF80" s="863"/>
      <c r="FG80" s="863"/>
      <c r="FH80" s="863"/>
      <c r="FI80" s="427">
        <f t="array" ref="FI80">IF(SUM((FH80=$FH$3:FH79)*1)=0,FH80,0)</f>
        <v>0</v>
      </c>
      <c r="FJ80" s="863"/>
      <c r="FK80" s="863"/>
      <c r="FL80" s="863">
        <f t="array" ref="FL80">IF(SUM((FK80=$FK$3:FK79)*1)=0,FK80,0)</f>
        <v>0</v>
      </c>
      <c r="FM80" s="863"/>
      <c r="FN80" s="863"/>
      <c r="FO80" s="863"/>
      <c r="FP80" s="427">
        <f t="array" ref="FP80">IF(SUM((FO80=$FO$3:FO79)*1)=0,FO80,0)</f>
        <v>0</v>
      </c>
      <c r="FQ80" s="863"/>
      <c r="FR80" s="863"/>
      <c r="FS80" s="863">
        <f t="array" ref="FS80">IF(SUM((FR80=$FR$3:FR79)*1)=0,FR80,0)</f>
        <v>0</v>
      </c>
      <c r="FT80" s="863"/>
      <c r="FU80" s="863"/>
      <c r="FV80" s="863"/>
      <c r="FW80" s="427">
        <f t="array" ref="FW80">IF(SUM((FV80=$FV$3:FV79)*1)=0,FV80,0)</f>
        <v>0</v>
      </c>
      <c r="FX80" s="863"/>
      <c r="FY80" s="863"/>
      <c r="FZ80" s="863">
        <f t="array" ref="FZ80">IF(SUM((FY80=$FY$3:FY79)*1)=0,FY80,0)</f>
        <v>0</v>
      </c>
      <c r="GA80" s="863"/>
      <c r="GB80" s="863"/>
      <c r="GC80" s="863"/>
      <c r="GD80" s="427">
        <f t="array" ref="GD80">IF(SUM((GC80=$GC$3:GC79)*1)=0,GC80,0)</f>
        <v>0</v>
      </c>
      <c r="GE80" s="863"/>
      <c r="GF80" s="863"/>
      <c r="GG80" s="863">
        <f t="array" ref="GG80">IF(SUM((GF80=$GF$3:GF79)*1)=0,GF80,0)</f>
        <v>0</v>
      </c>
      <c r="GH80" s="863"/>
      <c r="GI80" s="863"/>
      <c r="GJ80" s="863"/>
      <c r="GK80" s="798">
        <f t="array" ref="GK80">IF(SUM((GJ80=$GJ$3:GJ79)*1)=0,GJ80,0)</f>
        <v>0</v>
      </c>
      <c r="GL80" s="863"/>
      <c r="GM80" s="863"/>
      <c r="GN80" s="798">
        <f t="array" ref="GN80">IF(SUM((GM80=$GM$3:GM79)*1)=0,GM80,0)</f>
        <v>0</v>
      </c>
      <c r="GO80" s="863"/>
      <c r="GP80" s="863"/>
      <c r="GQ80" s="863"/>
      <c r="GR80" s="798">
        <f t="array" ref="GR80">IF(SUM((GQ80=$GQ$3:GQ79)*1)=0,GQ80,0)</f>
        <v>0</v>
      </c>
      <c r="GS80" s="863"/>
      <c r="GT80" s="863"/>
      <c r="GU80" s="798">
        <f t="array" ref="GU80">IF(SUM((GT80=$GT$3:GT79)*1)=0,GT80,0)</f>
        <v>0</v>
      </c>
      <c r="GV80" s="863"/>
      <c r="GW80" s="863"/>
      <c r="GX80" s="863"/>
      <c r="GY80" s="798">
        <f t="array" ref="GY80">IF(SUM((GX80=$GX$3:GX79)*1)=0,GX80,0)</f>
        <v>0</v>
      </c>
      <c r="GZ80" s="863"/>
      <c r="HA80" s="863"/>
      <c r="HB80" s="798">
        <f t="array" ref="HB80">IF(SUM((HA80=$HA$3:HA79)*1)=0,HA80,0)</f>
        <v>0</v>
      </c>
      <c r="HC80" s="863"/>
      <c r="HD80" s="863"/>
      <c r="HE80" s="769" t="str">
        <f t="shared" si="889"/>
        <v/>
      </c>
      <c r="HF80" s="768" t="str">
        <f t="shared" ref="HF80" si="991">IF(HE80&lt;0,"Invadiu REP-BA-C","")</f>
        <v/>
      </c>
      <c r="HG80" s="769" t="str">
        <f t="shared" si="891"/>
        <v/>
      </c>
      <c r="HH80" s="768" t="str">
        <f t="shared" si="815"/>
        <v/>
      </c>
      <c r="HI80" s="728" t="str">
        <f t="shared" si="892"/>
        <v/>
      </c>
      <c r="HJ80" s="768" t="str">
        <f t="shared" si="816"/>
        <v/>
      </c>
      <c r="HK80" s="728" t="str">
        <f t="shared" si="893"/>
        <v/>
      </c>
      <c r="HL80" s="768" t="str">
        <f t="shared" si="817"/>
        <v/>
      </c>
      <c r="HM80" s="769" t="str">
        <f t="shared" si="818"/>
        <v/>
      </c>
      <c r="HN80" s="768" t="str">
        <f t="shared" ref="HN80" si="992">IF(HM80&lt;0,"Invadiu REP-BA-C","")</f>
        <v/>
      </c>
      <c r="HO80" s="769" t="str">
        <f t="shared" si="820"/>
        <v/>
      </c>
      <c r="HP80" s="768" t="str">
        <f t="shared" si="821"/>
        <v/>
      </c>
      <c r="HQ80" s="728" t="str">
        <f t="shared" si="822"/>
        <v/>
      </c>
      <c r="HR80" s="768" t="str">
        <f t="shared" si="823"/>
        <v/>
      </c>
      <c r="HS80" s="728" t="str">
        <f t="shared" si="824"/>
        <v/>
      </c>
      <c r="HT80" s="768" t="str">
        <f t="shared" si="825"/>
        <v/>
      </c>
      <c r="HU80" s="769" t="str">
        <f t="shared" si="826"/>
        <v/>
      </c>
      <c r="HV80" s="768" t="str">
        <f t="shared" ref="HV80" si="993">IF(HU80&lt;0,"Invadiu REP-BA-C","")</f>
        <v/>
      </c>
      <c r="HW80" s="769" t="str">
        <f t="shared" si="828"/>
        <v/>
      </c>
      <c r="HX80" s="768" t="str">
        <f t="shared" si="829"/>
        <v/>
      </c>
      <c r="HY80" s="728" t="str">
        <f t="shared" si="830"/>
        <v/>
      </c>
      <c r="HZ80" s="768" t="str">
        <f t="shared" si="831"/>
        <v/>
      </c>
      <c r="IA80" s="728" t="str">
        <f t="shared" si="832"/>
        <v/>
      </c>
      <c r="IB80" s="768" t="str">
        <f t="shared" si="833"/>
        <v/>
      </c>
      <c r="IC80" s="769" t="str">
        <f t="shared" si="834"/>
        <v/>
      </c>
      <c r="ID80" s="768" t="str">
        <f t="shared" ref="ID80" si="994">IF(IC80&lt;0,"Invadiu REP-BA-C","")</f>
        <v/>
      </c>
      <c r="IE80" s="769" t="str">
        <f t="shared" si="836"/>
        <v/>
      </c>
      <c r="IF80" s="768" t="str">
        <f t="shared" si="837"/>
        <v/>
      </c>
      <c r="IG80" s="728" t="str">
        <f t="shared" si="838"/>
        <v/>
      </c>
      <c r="IH80" s="768" t="str">
        <f t="shared" si="839"/>
        <v/>
      </c>
      <c r="II80" s="728" t="str">
        <f t="shared" si="840"/>
        <v/>
      </c>
      <c r="IJ80" s="768" t="str">
        <f t="shared" si="841"/>
        <v/>
      </c>
      <c r="IK80" s="769" t="str">
        <f t="shared" si="842"/>
        <v/>
      </c>
      <c r="IL80" s="768" t="str">
        <f t="shared" ref="IL80" si="995">IF(IK80&lt;0,"Invadiu REP-BA-C","")</f>
        <v/>
      </c>
      <c r="IM80" s="769" t="str">
        <f t="shared" si="844"/>
        <v/>
      </c>
      <c r="IN80" s="768" t="str">
        <f t="shared" si="845"/>
        <v/>
      </c>
      <c r="IO80" s="728" t="str">
        <f t="shared" si="846"/>
        <v/>
      </c>
      <c r="IP80" s="768" t="str">
        <f t="shared" si="847"/>
        <v/>
      </c>
      <c r="IQ80" s="728" t="str">
        <f t="shared" si="848"/>
        <v/>
      </c>
      <c r="IR80" s="768" t="str">
        <f t="shared" si="849"/>
        <v/>
      </c>
      <c r="IS80" s="769" t="str">
        <f t="shared" si="850"/>
        <v/>
      </c>
      <c r="IT80" s="768" t="str">
        <f t="shared" ref="IT80" si="996">IF(IS80&lt;0,"Invadiu REP-BA-C","")</f>
        <v/>
      </c>
      <c r="IU80" s="769" t="str">
        <f t="shared" si="852"/>
        <v/>
      </c>
      <c r="IV80" s="768" t="str">
        <f t="shared" si="853"/>
        <v/>
      </c>
      <c r="IW80" s="728" t="str">
        <f t="shared" si="854"/>
        <v/>
      </c>
      <c r="IX80" s="768" t="str">
        <f t="shared" si="855"/>
        <v/>
      </c>
      <c r="IY80" s="728" t="str">
        <f t="shared" si="856"/>
        <v/>
      </c>
      <c r="IZ80" s="768" t="str">
        <f t="shared" si="857"/>
        <v/>
      </c>
      <c r="JA80" s="769" t="str">
        <f t="shared" si="858"/>
        <v/>
      </c>
      <c r="JB80" s="768" t="str">
        <f t="shared" ref="JB80" si="997">IF(JA80&lt;0,"Invadiu REP-BA-C","")</f>
        <v/>
      </c>
      <c r="JC80" s="769" t="str">
        <f t="shared" si="860"/>
        <v/>
      </c>
      <c r="JD80" s="768" t="str">
        <f t="shared" si="861"/>
        <v/>
      </c>
      <c r="JE80" s="728" t="str">
        <f t="shared" si="862"/>
        <v/>
      </c>
      <c r="JF80" s="768" t="str">
        <f t="shared" si="863"/>
        <v/>
      </c>
      <c r="JG80" s="728" t="str">
        <f t="shared" si="864"/>
        <v/>
      </c>
      <c r="JH80" s="768" t="str">
        <f t="shared" si="865"/>
        <v/>
      </c>
      <c r="JI80" s="769" t="str">
        <f t="shared" si="866"/>
        <v/>
      </c>
      <c r="JJ80" s="768" t="str">
        <f t="shared" ref="JJ80" si="998">IF(JI80&lt;0,"Invadiu REP-BA-C","")</f>
        <v/>
      </c>
      <c r="JK80" s="769" t="str">
        <f t="shared" si="868"/>
        <v/>
      </c>
      <c r="JL80" s="768" t="str">
        <f t="shared" si="869"/>
        <v/>
      </c>
      <c r="JM80" s="728" t="str">
        <f t="shared" si="870"/>
        <v/>
      </c>
      <c r="JN80" s="768" t="str">
        <f t="shared" si="871"/>
        <v/>
      </c>
      <c r="JO80" s="728" t="str">
        <f t="shared" si="872"/>
        <v/>
      </c>
      <c r="JP80" s="768" t="str">
        <f t="shared" si="873"/>
        <v/>
      </c>
      <c r="JQ80" s="769" t="str">
        <f t="shared" si="874"/>
        <v/>
      </c>
      <c r="JR80" s="768" t="str">
        <f t="shared" ref="JR80" si="999">IF(JQ80&lt;0,"Invadiu REP-BA-C","")</f>
        <v/>
      </c>
      <c r="JS80" s="769" t="str">
        <f t="shared" si="876"/>
        <v/>
      </c>
      <c r="JT80" s="768" t="str">
        <f t="shared" si="877"/>
        <v/>
      </c>
      <c r="JU80" s="728" t="str">
        <f t="shared" si="878"/>
        <v/>
      </c>
      <c r="JV80" s="768" t="str">
        <f t="shared" si="879"/>
        <v/>
      </c>
      <c r="JW80" s="728" t="str">
        <f t="shared" si="880"/>
        <v/>
      </c>
      <c r="JX80" s="768" t="str">
        <f t="shared" si="881"/>
        <v/>
      </c>
      <c r="JY80" s="768" t="str">
        <f t="shared" si="882"/>
        <v/>
      </c>
      <c r="JZ80" s="485" t="str">
        <f>IF(JY80="","",IF(AND(C80=$C$164,JY80&lt;&gt;""),Verificarcpf(D80),IF(AND(C80=$C$165,JY80&lt;&gt;""),VerificarCNPJ(D80))))</f>
        <v/>
      </c>
      <c r="KA80" s="768" t="str">
        <f t="shared" si="883"/>
        <v/>
      </c>
      <c r="KB80" s="485">
        <f t="shared" si="884"/>
        <v>0</v>
      </c>
      <c r="KC80" s="768">
        <f t="shared" si="885"/>
        <v>0</v>
      </c>
      <c r="KD80" s="485">
        <f t="shared" si="886"/>
        <v>0</v>
      </c>
      <c r="KE80" s="448"/>
      <c r="KF80" s="548"/>
      <c r="KG80" s="548"/>
      <c r="KH80" s="548"/>
      <c r="KI80" s="548"/>
      <c r="KJ80" s="548" t="str">
        <f t="shared" si="887"/>
        <v/>
      </c>
      <c r="KK80" s="548"/>
      <c r="KL80" s="548"/>
      <c r="KM80" s="548">
        <f t="array" ref="KM80">IF(SUM((KL80=$KL$3:KL79)*1)=0,KL80,0)</f>
        <v>0</v>
      </c>
      <c r="KN80" s="548"/>
      <c r="KO80" s="548"/>
      <c r="KP80" s="548"/>
      <c r="KQ80" s="548"/>
      <c r="KR80" s="548" t="str">
        <f t="shared" si="888"/>
        <v/>
      </c>
      <c r="KS80" s="548"/>
      <c r="KT80" s="548"/>
      <c r="KU80" s="548"/>
      <c r="KV80" s="548"/>
      <c r="KW80" s="548"/>
      <c r="KX80" s="548"/>
      <c r="KY80" s="548"/>
      <c r="KZ80" s="548"/>
      <c r="LA80" s="548"/>
      <c r="LB80" s="548"/>
      <c r="LC80" s="485" t="str">
        <f t="shared" si="902"/>
        <v/>
      </c>
      <c r="LD80" s="548"/>
      <c r="LE80" s="548"/>
      <c r="LF80" s="548"/>
      <c r="LG80" s="548"/>
      <c r="LH80" s="548"/>
      <c r="LI80" s="548"/>
      <c r="LJ80" s="548"/>
      <c r="LK80" s="548"/>
      <c r="LL80" s="548"/>
      <c r="LM80" s="548"/>
      <c r="LN80" s="548"/>
      <c r="LO80" s="548"/>
      <c r="LP80" s="485" t="str">
        <f t="shared" si="903"/>
        <v/>
      </c>
      <c r="LQ80" s="548"/>
      <c r="LR80" s="548"/>
      <c r="LS80" s="548"/>
      <c r="LT80" s="548"/>
      <c r="LU80" s="548"/>
      <c r="LV80" s="548"/>
      <c r="LW80" s="548"/>
      <c r="LX80" s="548"/>
      <c r="LY80" s="548"/>
      <c r="LZ80" s="548"/>
      <c r="MA80" s="548"/>
      <c r="MB80" s="548"/>
      <c r="MC80" s="485" t="str">
        <f t="shared" si="904"/>
        <v/>
      </c>
      <c r="MD80" s="548"/>
      <c r="ME80" s="548"/>
      <c r="MF80" s="548"/>
      <c r="MG80" s="548"/>
      <c r="MH80" s="548"/>
      <c r="MI80" s="548"/>
      <c r="MJ80" s="548"/>
      <c r="MK80" s="548"/>
      <c r="ML80" s="548"/>
      <c r="MM80" s="548"/>
      <c r="MN80" s="548"/>
      <c r="MO80" s="548"/>
      <c r="MP80" s="485" t="str">
        <f t="shared" si="905"/>
        <v/>
      </c>
      <c r="MQ80" s="548"/>
      <c r="MR80" s="548"/>
      <c r="MS80" s="548"/>
      <c r="MT80" s="548"/>
      <c r="MU80" s="548"/>
      <c r="MV80" s="548"/>
      <c r="MW80" s="548"/>
      <c r="MX80" s="548"/>
      <c r="MY80" s="548"/>
      <c r="MZ80" s="548"/>
      <c r="NA80" s="548"/>
      <c r="NB80" s="548"/>
      <c r="NC80" s="485" t="str">
        <f t="shared" si="906"/>
        <v/>
      </c>
      <c r="ND80" s="548"/>
      <c r="NE80" s="548"/>
      <c r="NF80" s="548"/>
      <c r="NG80" s="548"/>
      <c r="NH80" s="548"/>
      <c r="NI80" s="548"/>
      <c r="NJ80" s="548"/>
      <c r="NK80" s="548"/>
      <c r="NL80" s="548"/>
      <c r="NM80" s="548"/>
      <c r="NN80" s="548"/>
      <c r="NO80" s="548"/>
      <c r="NP80" s="485" t="str">
        <f t="shared" si="907"/>
        <v/>
      </c>
      <c r="NQ80" s="548"/>
      <c r="NR80" s="548"/>
      <c r="NS80" s="548"/>
      <c r="NT80" s="548"/>
      <c r="NU80" s="548"/>
      <c r="NV80" s="548"/>
      <c r="NW80" s="548"/>
      <c r="NX80" s="548"/>
      <c r="NY80" s="548"/>
      <c r="NZ80" s="548"/>
      <c r="OA80" s="548"/>
      <c r="OB80" s="548"/>
      <c r="OC80" s="485" t="str">
        <f t="shared" si="908"/>
        <v/>
      </c>
      <c r="OD80" s="548"/>
      <c r="OE80" s="548"/>
      <c r="OF80" s="548"/>
      <c r="OG80" s="548"/>
      <c r="OH80" s="548"/>
      <c r="OI80" s="548"/>
      <c r="OJ80" s="548"/>
      <c r="OK80" s="548"/>
      <c r="OL80" s="548"/>
      <c r="OM80" s="548"/>
      <c r="ON80" s="548"/>
      <c r="OO80" s="548"/>
      <c r="OP80" s="548"/>
      <c r="OQ80" s="548"/>
      <c r="OR80" s="548"/>
      <c r="OS80" s="548"/>
      <c r="OT80" s="548"/>
      <c r="OU80" s="548"/>
      <c r="OV80" s="548"/>
      <c r="OW80" s="548"/>
      <c r="OX80" s="548"/>
      <c r="OY80" s="548"/>
      <c r="OZ80" s="548"/>
      <c r="PA80" s="548"/>
      <c r="PB80" s="548"/>
      <c r="PC80" s="548"/>
      <c r="PD80" s="548"/>
      <c r="PE80" s="548"/>
      <c r="PF80" s="548"/>
      <c r="PG80" s="548"/>
      <c r="PH80" s="548"/>
      <c r="PI80" s="548"/>
      <c r="PJ80" s="548"/>
      <c r="PK80" s="548"/>
      <c r="PL80" s="548"/>
      <c r="PM80" s="548"/>
      <c r="PN80" s="548"/>
      <c r="PO80" s="548"/>
      <c r="PP80" s="548"/>
      <c r="PQ80" s="548"/>
      <c r="PR80" s="548"/>
      <c r="PS80" s="548"/>
      <c r="PT80" s="548"/>
      <c r="PU80" s="548"/>
      <c r="PV80" s="548"/>
      <c r="PW80" s="548"/>
      <c r="PX80" s="548"/>
      <c r="PY80" s="548"/>
      <c r="PZ80" s="548"/>
      <c r="QA80" s="548"/>
      <c r="QB80" s="548"/>
      <c r="QC80" s="548"/>
      <c r="QD80" s="548"/>
      <c r="QE80" s="548"/>
      <c r="QF80" s="548"/>
      <c r="QG80" s="548"/>
      <c r="QH80" s="548"/>
      <c r="QI80" s="548"/>
      <c r="QJ80" s="548"/>
      <c r="QK80" s="548"/>
      <c r="QL80" s="548"/>
      <c r="QM80" s="548"/>
      <c r="QN80" s="548"/>
      <c r="QO80" s="548"/>
      <c r="QP80" s="548"/>
      <c r="QQ80" s="1009"/>
      <c r="QR80" s="548"/>
      <c r="QS80" s="548"/>
      <c r="QT80" s="548"/>
      <c r="QU80" s="548"/>
      <c r="QV80" s="548"/>
      <c r="QW80" s="548"/>
      <c r="QX80" s="548"/>
      <c r="QY80" s="548"/>
      <c r="QZ80" s="548"/>
      <c r="RA80" s="548"/>
      <c r="RB80" s="548"/>
      <c r="RC80" s="548"/>
      <c r="RD80" s="548"/>
      <c r="RE80" s="548"/>
      <c r="RF80" s="548"/>
      <c r="RG80" s="548"/>
      <c r="RH80" s="548"/>
      <c r="RI80" s="548"/>
      <c r="RJ80" s="548"/>
      <c r="RK80" s="548"/>
      <c r="RL80" s="548"/>
      <c r="RM80" s="548"/>
      <c r="RN80" s="548"/>
      <c r="RO80" s="548"/>
      <c r="RP80" s="548"/>
      <c r="RQ80" s="548"/>
      <c r="RR80" s="548"/>
      <c r="RS80" s="548"/>
      <c r="RT80" s="548"/>
      <c r="RU80" s="548"/>
      <c r="RV80" s="548"/>
      <c r="RW80" s="548"/>
      <c r="RX80" s="548"/>
      <c r="RY80" s="548"/>
      <c r="RZ80" s="548"/>
      <c r="SA80" s="548"/>
      <c r="SB80" s="548"/>
      <c r="SC80" s="548"/>
      <c r="SD80" s="548"/>
      <c r="SE80" s="548"/>
      <c r="SF80" s="548"/>
      <c r="SG80" s="548"/>
      <c r="SH80" s="548"/>
      <c r="SI80" s="548"/>
      <c r="SJ80" s="548"/>
      <c r="SK80" s="548"/>
      <c r="SL80" s="548"/>
      <c r="SM80" s="548"/>
      <c r="SN80" s="548"/>
      <c r="SO80" s="548"/>
      <c r="SP80" s="548"/>
      <c r="SQ80" s="548"/>
      <c r="SR80" s="548"/>
      <c r="SS80" s="548"/>
      <c r="ST80" s="548"/>
      <c r="SU80" s="548"/>
      <c r="SV80" s="548"/>
      <c r="SW80" s="548"/>
      <c r="SX80" s="548"/>
      <c r="SY80" s="548"/>
      <c r="SZ80" s="548"/>
      <c r="TA80" s="548"/>
      <c r="TB80" s="548"/>
      <c r="TC80" s="548"/>
      <c r="TD80" s="548"/>
      <c r="TE80" s="548"/>
      <c r="TF80" s="548"/>
      <c r="TG80" s="548"/>
      <c r="TH80" s="548"/>
      <c r="TI80" s="548"/>
      <c r="TJ80" s="548"/>
      <c r="TK80" s="548"/>
      <c r="TL80" s="548"/>
      <c r="TM80" s="548"/>
      <c r="TN80" s="548"/>
      <c r="TO80" s="548"/>
      <c r="TP80" s="548"/>
      <c r="TQ80" s="548"/>
      <c r="TR80" s="548"/>
      <c r="TS80" s="548"/>
      <c r="TT80" s="548"/>
      <c r="TU80" s="548"/>
      <c r="TV80" s="548"/>
      <c r="TW80" s="548"/>
      <c r="TX80" s="548"/>
      <c r="TY80" s="548"/>
      <c r="TZ80" s="548"/>
      <c r="UA80" s="548"/>
      <c r="UB80" s="548"/>
      <c r="UC80" s="548"/>
      <c r="UD80" s="548"/>
      <c r="UE80" s="548"/>
      <c r="UF80" s="548"/>
      <c r="UG80" s="548"/>
      <c r="UH80" s="548"/>
      <c r="UI80" s="548"/>
      <c r="UJ80" s="548"/>
      <c r="UK80" s="548"/>
      <c r="UL80" s="548"/>
      <c r="UM80" s="548"/>
      <c r="UN80" s="548"/>
      <c r="UO80" s="548"/>
      <c r="UP80" s="548"/>
      <c r="UQ80" s="548"/>
      <c r="UR80" s="548"/>
      <c r="US80" s="548"/>
      <c r="UT80" s="548"/>
      <c r="UU80" s="548"/>
      <c r="UV80" s="548"/>
      <c r="UW80" s="548"/>
      <c r="UX80" s="548"/>
      <c r="UY80" s="548"/>
      <c r="UZ80" s="548"/>
      <c r="VA80" s="548"/>
      <c r="VB80" s="548"/>
      <c r="VC80" s="548"/>
      <c r="VD80" s="548"/>
      <c r="VE80" s="548"/>
      <c r="VF80" s="548"/>
      <c r="VG80" s="548"/>
      <c r="VH80" s="548"/>
      <c r="VI80" s="548"/>
      <c r="VJ80" s="548"/>
      <c r="VK80" s="548"/>
      <c r="VL80" s="548"/>
      <c r="VM80" s="548"/>
      <c r="VN80" s="548"/>
      <c r="VO80" s="548"/>
      <c r="VP80" s="548"/>
      <c r="VQ80" s="548"/>
      <c r="VR80" s="548"/>
      <c r="VS80" s="548"/>
      <c r="VT80" s="548"/>
      <c r="VU80" s="548"/>
      <c r="VV80" s="548"/>
      <c r="VW80" s="548"/>
      <c r="VX80" s="548"/>
      <c r="VY80" s="548"/>
      <c r="VZ80" s="548"/>
      <c r="WA80" s="548"/>
      <c r="WB80" s="548"/>
      <c r="WC80" s="548"/>
      <c r="WD80" s="548"/>
      <c r="WE80" s="548"/>
      <c r="WF80" s="548"/>
      <c r="WG80" s="548"/>
      <c r="WH80" s="548"/>
      <c r="WI80" s="548"/>
      <c r="WJ80" s="548"/>
      <c r="WK80" s="548"/>
      <c r="WL80" s="548"/>
      <c r="WM80" s="548"/>
      <c r="WN80" s="548"/>
      <c r="WO80" s="548"/>
      <c r="WP80" s="548"/>
      <c r="WQ80" s="548"/>
      <c r="WR80" s="548"/>
      <c r="WS80" s="548"/>
      <c r="WT80" s="548"/>
      <c r="WU80" s="548"/>
      <c r="WV80" s="548"/>
      <c r="WW80" s="548"/>
      <c r="WX80" s="548"/>
      <c r="WY80" s="548"/>
      <c r="WZ80" s="548"/>
      <c r="XA80" s="548"/>
      <c r="XB80" s="548"/>
      <c r="XC80" s="548"/>
      <c r="XD80" s="548"/>
      <c r="XE80" s="548"/>
      <c r="XF80" s="548"/>
      <c r="XG80" s="548"/>
      <c r="XH80" s="548"/>
      <c r="XI80" s="548"/>
      <c r="XJ80" s="548"/>
      <c r="XK80" s="548"/>
      <c r="XL80" s="548"/>
      <c r="XM80" s="548"/>
      <c r="XN80" s="548"/>
      <c r="XO80" s="548"/>
      <c r="XP80" s="548"/>
      <c r="XQ80" s="548"/>
      <c r="XR80" s="548"/>
      <c r="XS80" s="548"/>
      <c r="XT80" s="548"/>
      <c r="XU80" s="548"/>
      <c r="XV80" s="548"/>
      <c r="XW80" s="548"/>
      <c r="XX80" s="548"/>
      <c r="XY80" s="548"/>
      <c r="XZ80" s="548"/>
      <c r="YA80" s="548"/>
      <c r="YB80" s="548"/>
      <c r="YC80" s="548"/>
      <c r="YD80" s="548"/>
      <c r="YE80" s="548"/>
      <c r="YF80" s="548"/>
      <c r="YG80" s="548"/>
      <c r="YH80" s="548"/>
      <c r="YI80" s="548"/>
      <c r="YJ80" s="548"/>
      <c r="YK80" s="548"/>
      <c r="YL80" s="548"/>
      <c r="YM80" s="548"/>
      <c r="YN80" s="548"/>
      <c r="YO80" s="548"/>
      <c r="YP80" s="548"/>
      <c r="YQ80" s="548"/>
      <c r="YR80" s="548"/>
      <c r="YS80" s="548"/>
      <c r="YT80" s="548"/>
      <c r="YU80" s="548"/>
      <c r="YV80" s="548"/>
      <c r="YW80" s="548"/>
      <c r="YX80" s="548"/>
      <c r="YY80" s="548"/>
      <c r="YZ80" s="548"/>
      <c r="ZA80" s="548"/>
      <c r="ZB80" s="548"/>
      <c r="ZC80" s="548"/>
      <c r="ZD80" s="548"/>
      <c r="ZE80" s="548"/>
      <c r="ZF80" s="548"/>
      <c r="ZG80" s="548"/>
      <c r="ZH80" s="548"/>
      <c r="ZI80" s="548"/>
      <c r="ZJ80" s="548"/>
      <c r="ZK80" s="548"/>
      <c r="ZL80" s="548"/>
      <c r="ZM80" s="548"/>
      <c r="ZN80" s="548"/>
      <c r="ZO80" s="548"/>
      <c r="ZP80" s="548"/>
      <c r="ZQ80" s="548"/>
      <c r="ZR80" s="548"/>
      <c r="ZS80" s="548"/>
      <c r="ZT80" s="548"/>
      <c r="ZU80" s="548"/>
      <c r="ZV80" s="548"/>
      <c r="ZW80" s="548"/>
      <c r="ZX80" s="548"/>
      <c r="ZY80" s="548"/>
      <c r="ZZ80" s="548"/>
      <c r="AAA80" s="548"/>
      <c r="AAB80" s="548"/>
      <c r="AAC80" s="548"/>
      <c r="AAD80" s="548"/>
      <c r="AAE80" s="548"/>
      <c r="AAF80" s="548"/>
      <c r="AAG80" s="548"/>
      <c r="AAH80" s="548"/>
      <c r="AAI80" s="548"/>
      <c r="AAJ80" s="548"/>
      <c r="AAK80" s="548"/>
      <c r="AAL80" s="548"/>
      <c r="AAM80" s="548"/>
      <c r="AAN80" s="548"/>
      <c r="AAO80" s="548"/>
      <c r="AAP80" s="548"/>
      <c r="AAQ80" s="548"/>
      <c r="AAR80" s="548"/>
      <c r="AAS80" s="548"/>
      <c r="AAT80" s="548"/>
      <c r="AAU80" s="548"/>
      <c r="AAV80" s="548"/>
      <c r="AAW80" s="548"/>
      <c r="AAX80" s="548"/>
      <c r="AAY80" s="548"/>
      <c r="AAZ80" s="548"/>
      <c r="ABA80" s="548"/>
      <c r="ABB80" s="548"/>
      <c r="ABC80" s="548"/>
      <c r="ABD80" s="548"/>
      <c r="ABE80" s="548"/>
      <c r="ABF80" s="548"/>
      <c r="ABG80" s="548"/>
      <c r="ABH80" s="548"/>
      <c r="ABI80" s="548"/>
      <c r="ABJ80" s="548"/>
      <c r="ABK80" s="548"/>
      <c r="ABL80" s="548"/>
      <c r="ABM80" s="548"/>
      <c r="ABN80" s="548"/>
      <c r="ABO80" s="548"/>
      <c r="ABP80" s="548"/>
      <c r="ABQ80" s="548"/>
      <c r="ABR80" s="548"/>
      <c r="ABS80" s="548"/>
    </row>
    <row r="81" spans="1:747" customFormat="1" ht="15" customHeight="1" x14ac:dyDescent="0.2">
      <c r="A81" s="424" t="str">
        <f t="shared" si="909"/>
        <v/>
      </c>
      <c r="B81" s="415"/>
      <c r="C81" s="525"/>
      <c r="D81" s="750"/>
      <c r="E81" s="416" t="str">
        <f t="shared" si="751"/>
        <v/>
      </c>
      <c r="F81" s="527" t="str">
        <f t="shared" si="752"/>
        <v/>
      </c>
      <c r="G81" s="417"/>
      <c r="H81" s="585" t="str">
        <f t="shared" si="753"/>
        <v/>
      </c>
      <c r="I81" s="424"/>
      <c r="J81" s="419"/>
      <c r="K81" s="418"/>
      <c r="L81" s="419"/>
      <c r="M81" s="415"/>
      <c r="N81" s="420"/>
      <c r="O81" s="421"/>
      <c r="P81" s="561"/>
      <c r="Q81" s="422"/>
      <c r="R81" s="561" t="str">
        <f t="shared" si="754"/>
        <v/>
      </c>
      <c r="S81" s="664"/>
      <c r="T81" s="663"/>
      <c r="U81" s="580">
        <f t="shared" si="755"/>
        <v>0</v>
      </c>
      <c r="V81" s="418"/>
      <c r="W81" s="582" t="str">
        <f t="shared" si="756"/>
        <v/>
      </c>
      <c r="X81" s="479" t="str">
        <f t="shared" si="757"/>
        <v/>
      </c>
      <c r="Y81" s="582" t="str">
        <f t="shared" si="758"/>
        <v/>
      </c>
      <c r="Z81" s="317" t="str">
        <f t="shared" si="759"/>
        <v/>
      </c>
      <c r="AA81" s="317" t="str">
        <f t="shared" si="760"/>
        <v/>
      </c>
      <c r="AB81" s="317">
        <f t="shared" si="761"/>
        <v>0</v>
      </c>
      <c r="AC81" s="317" t="str">
        <f t="shared" si="762"/>
        <v/>
      </c>
      <c r="AD81" s="479"/>
      <c r="AE81" s="479"/>
      <c r="AF81" s="479"/>
      <c r="AG81" s="423"/>
      <c r="AH81" s="820"/>
      <c r="AI81" s="437"/>
      <c r="AJ81" s="660"/>
      <c r="AK81" s="524" t="str">
        <f t="shared" si="763"/>
        <v/>
      </c>
      <c r="AL81" s="731">
        <f>SUMIF($J$4:$J$158,"Imprensa",$S$4:$S$158)</f>
        <v>0</v>
      </c>
      <c r="AM81" s="732">
        <f>SUMIF($J$4:$J$158,"Imprensa",$T$4:$T$158)</f>
        <v>0</v>
      </c>
      <c r="AN81" s="426">
        <f t="shared" si="764"/>
        <v>0</v>
      </c>
      <c r="AO81" s="427" t="str">
        <f t="shared" si="765"/>
        <v/>
      </c>
      <c r="AP81" s="426" t="str">
        <f t="shared" si="766"/>
        <v/>
      </c>
      <c r="AQ81" s="426"/>
      <c r="AR81" s="426"/>
      <c r="AS81" s="428"/>
      <c r="AT81" s="429"/>
      <c r="AU81" s="430"/>
      <c r="AV81" s="431"/>
      <c r="AW81" s="432"/>
      <c r="AX81" s="430"/>
      <c r="AY81" s="431">
        <f t="shared" si="767"/>
        <v>0</v>
      </c>
      <c r="AZ81" s="426"/>
      <c r="BA81" s="435" t="str">
        <f t="shared" si="768"/>
        <v/>
      </c>
      <c r="BB81" s="435"/>
      <c r="BC81" s="426"/>
      <c r="BD81" s="426">
        <f t="array" ref="BD81">IF(SUM((BC81=$BC$3:BC80)*1)=0,BC81,0)</f>
        <v>0</v>
      </c>
      <c r="BE81" s="426"/>
      <c r="BF81" s="426"/>
      <c r="BG81" s="426">
        <f t="array" ref="BG81">IF(SUM((BF81=$BF$3:BF80)*1)=0,BF81,0)</f>
        <v>0</v>
      </c>
      <c r="BH81" s="426"/>
      <c r="BI81" s="426"/>
      <c r="BJ81" s="426"/>
      <c r="BK81" s="426"/>
      <c r="BL81" s="426"/>
      <c r="BM81" s="426"/>
      <c r="BN81" s="426"/>
      <c r="BO81" s="426"/>
      <c r="BP81" s="433">
        <f t="shared" si="769"/>
        <v>0</v>
      </c>
      <c r="BQ81" s="426"/>
      <c r="BR81" s="434"/>
      <c r="BS81" s="426"/>
      <c r="BT81" s="433"/>
      <c r="BU81" s="435"/>
      <c r="BV81" s="435" t="str">
        <f t="shared" si="770"/>
        <v/>
      </c>
      <c r="BW81" s="435" t="str">
        <f t="shared" si="798"/>
        <v/>
      </c>
      <c r="BX81" s="435"/>
      <c r="BY81" s="435"/>
      <c r="BZ81" s="435"/>
      <c r="CA81" s="435"/>
      <c r="CB81" s="435"/>
      <c r="CC81" s="435"/>
      <c r="CD81" s="435"/>
      <c r="CE81" s="435"/>
      <c r="CF81" s="435"/>
      <c r="CG81" s="435"/>
      <c r="CH81" s="435"/>
      <c r="CI81" s="435"/>
      <c r="CJ81" s="426" t="str">
        <f t="shared" si="799"/>
        <v/>
      </c>
      <c r="CK81" s="435"/>
      <c r="CL81" s="426"/>
      <c r="CM81" s="435"/>
      <c r="CN81" s="426"/>
      <c r="CO81" s="426"/>
      <c r="CP81" s="426"/>
      <c r="CQ81" s="426"/>
      <c r="CR81" s="426"/>
      <c r="CS81" s="426"/>
      <c r="CT81" s="426"/>
      <c r="CU81" s="426"/>
      <c r="CV81" s="426"/>
      <c r="CW81" s="493"/>
      <c r="CX81" s="493"/>
      <c r="CY81" s="426">
        <v>78</v>
      </c>
      <c r="CZ81" s="493"/>
      <c r="DA81" s="493"/>
      <c r="DB81" s="493"/>
      <c r="DC81" s="426" t="s">
        <v>821</v>
      </c>
      <c r="DD81" s="426" t="s">
        <v>981</v>
      </c>
      <c r="DE81" s="435" t="str">
        <f t="shared" si="800"/>
        <v/>
      </c>
      <c r="DF81" s="435" t="str">
        <f t="shared" si="801"/>
        <v/>
      </c>
      <c r="DG81" s="435" t="str">
        <f t="shared" si="802"/>
        <v/>
      </c>
      <c r="DH81" s="435" t="str">
        <f t="shared" si="803"/>
        <v/>
      </c>
      <c r="DI81" s="435" t="str">
        <f t="shared" si="804"/>
        <v/>
      </c>
      <c r="DJ81" s="435" t="str">
        <f t="shared" si="805"/>
        <v/>
      </c>
      <c r="DK81" s="435" t="str">
        <f t="shared" si="771"/>
        <v/>
      </c>
      <c r="DL81" s="435" t="str">
        <f t="shared" si="772"/>
        <v/>
      </c>
      <c r="DM81" s="435" t="str">
        <f t="shared" si="806"/>
        <v/>
      </c>
      <c r="DN81" s="435" t="str">
        <f t="shared" si="807"/>
        <v/>
      </c>
      <c r="DO81" s="435" t="str">
        <f t="shared" si="773"/>
        <v/>
      </c>
      <c r="DP81" s="435" t="str">
        <f t="shared" si="774"/>
        <v/>
      </c>
      <c r="DQ81" s="435" t="str">
        <f t="shared" si="808"/>
        <v/>
      </c>
      <c r="DR81" s="435" t="str">
        <f t="shared" si="809"/>
        <v/>
      </c>
      <c r="DS81" s="435" t="str">
        <f t="shared" si="775"/>
        <v/>
      </c>
      <c r="DT81" s="435" t="str">
        <f t="shared" si="776"/>
        <v/>
      </c>
      <c r="DU81" s="435" t="str">
        <f t="shared" si="810"/>
        <v/>
      </c>
      <c r="DV81" s="435" t="str">
        <f t="shared" si="811"/>
        <v/>
      </c>
      <c r="DW81" s="435" t="str">
        <f t="shared" si="777"/>
        <v/>
      </c>
      <c r="DX81" s="435" t="str">
        <f t="shared" si="778"/>
        <v/>
      </c>
      <c r="DY81" s="435" t="str">
        <f t="shared" si="812"/>
        <v/>
      </c>
      <c r="DZ81" s="435" t="str">
        <f t="shared" si="813"/>
        <v/>
      </c>
      <c r="EA81" s="435" t="str">
        <f t="shared" si="779"/>
        <v/>
      </c>
      <c r="EB81" s="435" t="str">
        <f t="shared" si="780"/>
        <v/>
      </c>
      <c r="EC81" s="435" t="str">
        <f t="shared" si="781"/>
        <v/>
      </c>
      <c r="ED81" s="435" t="str">
        <f t="shared" si="782"/>
        <v/>
      </c>
      <c r="EE81" s="435" t="str">
        <f t="shared" si="783"/>
        <v/>
      </c>
      <c r="EF81" s="435" t="str">
        <f t="shared" si="784"/>
        <v/>
      </c>
      <c r="EG81" s="435" t="str">
        <f t="shared" si="785"/>
        <v/>
      </c>
      <c r="EH81" s="435" t="str">
        <f t="shared" si="786"/>
        <v/>
      </c>
      <c r="EI81" s="435" t="str">
        <f t="shared" si="787"/>
        <v/>
      </c>
      <c r="EJ81" s="435" t="str">
        <f t="shared" si="788"/>
        <v/>
      </c>
      <c r="EK81" s="485"/>
      <c r="EL81" s="485"/>
      <c r="EM81" s="485"/>
      <c r="EN81" s="485"/>
      <c r="EO81" s="448"/>
      <c r="EP81" s="448"/>
      <c r="EQ81" s="448"/>
      <c r="ER81" s="448"/>
      <c r="ES81" s="448"/>
      <c r="ET81" s="435"/>
      <c r="EU81" s="435"/>
      <c r="EV81" s="435"/>
      <c r="EW81" s="435"/>
      <c r="EX81" s="426"/>
      <c r="EY81" s="426"/>
      <c r="EZ81" s="426"/>
      <c r="FA81" s="863"/>
      <c r="FB81" s="427">
        <f t="array" ref="FB81">IF(SUM((FA81=$FA$3:FA80)*1)=0,FA81,0)</f>
        <v>0</v>
      </c>
      <c r="FC81" s="863"/>
      <c r="FD81" s="863"/>
      <c r="FE81" s="863">
        <f t="array" ref="FE81">IF(SUM((FD81=$FD$3:FD80)*1)=0,FD81,0)</f>
        <v>0</v>
      </c>
      <c r="FF81" s="863"/>
      <c r="FG81" s="863"/>
      <c r="FH81" s="863"/>
      <c r="FI81" s="427">
        <f t="array" ref="FI81">IF(SUM((FH81=$FH$3:FH80)*1)=0,FH81,0)</f>
        <v>0</v>
      </c>
      <c r="FJ81" s="863"/>
      <c r="FK81" s="863"/>
      <c r="FL81" s="863">
        <f t="array" ref="FL81">IF(SUM((FK81=$FK$3:FK80)*1)=0,FK81,0)</f>
        <v>0</v>
      </c>
      <c r="FM81" s="863"/>
      <c r="FN81" s="863"/>
      <c r="FO81" s="863"/>
      <c r="FP81" s="427">
        <f t="array" ref="FP81">IF(SUM((FO81=$FO$3:FO80)*1)=0,FO81,0)</f>
        <v>0</v>
      </c>
      <c r="FQ81" s="863"/>
      <c r="FR81" s="863"/>
      <c r="FS81" s="863">
        <f t="array" ref="FS81">IF(SUM((FR81=$FR$3:FR80)*1)=0,FR81,0)</f>
        <v>0</v>
      </c>
      <c r="FT81" s="863"/>
      <c r="FU81" s="863"/>
      <c r="FV81" s="863"/>
      <c r="FW81" s="427">
        <f t="array" ref="FW81">IF(SUM((FV81=$FV$3:FV80)*1)=0,FV81,0)</f>
        <v>0</v>
      </c>
      <c r="FX81" s="863"/>
      <c r="FY81" s="863"/>
      <c r="FZ81" s="863">
        <f t="array" ref="FZ81">IF(SUM((FY81=$FY$3:FY80)*1)=0,FY81,0)</f>
        <v>0</v>
      </c>
      <c r="GA81" s="863"/>
      <c r="GB81" s="863"/>
      <c r="GC81" s="863"/>
      <c r="GD81" s="427">
        <f t="array" ref="GD81">IF(SUM((GC81=$GC$3:GC80)*1)=0,GC81,0)</f>
        <v>0</v>
      </c>
      <c r="GE81" s="863"/>
      <c r="GF81" s="863"/>
      <c r="GG81" s="863">
        <f t="array" ref="GG81">IF(SUM((GF81=$GF$3:GF80)*1)=0,GF81,0)</f>
        <v>0</v>
      </c>
      <c r="GH81" s="863"/>
      <c r="GI81" s="863"/>
      <c r="GJ81" s="863"/>
      <c r="GK81" s="798">
        <f t="array" ref="GK81">IF(SUM((GJ81=$GJ$3:GJ80)*1)=0,GJ81,0)</f>
        <v>0</v>
      </c>
      <c r="GL81" s="863"/>
      <c r="GM81" s="863"/>
      <c r="GN81" s="798">
        <f t="array" ref="GN81">IF(SUM((GM81=$GM$3:GM80)*1)=0,GM81,0)</f>
        <v>0</v>
      </c>
      <c r="GO81" s="863"/>
      <c r="GP81" s="863"/>
      <c r="GQ81" s="863"/>
      <c r="GR81" s="798">
        <f t="array" ref="GR81">IF(SUM((GQ81=$GQ$3:GQ80)*1)=0,GQ81,0)</f>
        <v>0</v>
      </c>
      <c r="GS81" s="863"/>
      <c r="GT81" s="863"/>
      <c r="GU81" s="798">
        <f t="array" ref="GU81">IF(SUM((GT81=$GT$3:GT80)*1)=0,GT81,0)</f>
        <v>0</v>
      </c>
      <c r="GV81" s="863"/>
      <c r="GW81" s="863"/>
      <c r="GX81" s="863"/>
      <c r="GY81" s="798">
        <f t="array" ref="GY81">IF(SUM((GX81=$GX$3:GX80)*1)=0,GX81,0)</f>
        <v>0</v>
      </c>
      <c r="GZ81" s="863"/>
      <c r="HA81" s="863"/>
      <c r="HB81" s="798">
        <f t="array" ref="HB81">IF(SUM((HA81=$HA$3:HA80)*1)=0,HA81,0)</f>
        <v>0</v>
      </c>
      <c r="HC81" s="863"/>
      <c r="HD81" s="863"/>
      <c r="HE81" s="769" t="str">
        <f t="shared" si="889"/>
        <v/>
      </c>
      <c r="HF81" s="768" t="str">
        <f t="shared" ref="HF81" si="1000">IF(HE81&lt;0,"Invadiu REP-BA-C","")</f>
        <v/>
      </c>
      <c r="HG81" s="769" t="str">
        <f t="shared" si="891"/>
        <v/>
      </c>
      <c r="HH81" s="768" t="str">
        <f t="shared" si="815"/>
        <v/>
      </c>
      <c r="HI81" s="728" t="str">
        <f t="shared" si="892"/>
        <v/>
      </c>
      <c r="HJ81" s="768" t="str">
        <f t="shared" si="816"/>
        <v/>
      </c>
      <c r="HK81" s="728" t="str">
        <f t="shared" si="893"/>
        <v/>
      </c>
      <c r="HL81" s="768" t="str">
        <f t="shared" si="817"/>
        <v/>
      </c>
      <c r="HM81" s="769" t="str">
        <f t="shared" si="818"/>
        <v/>
      </c>
      <c r="HN81" s="768" t="str">
        <f t="shared" ref="HN81" si="1001">IF(HM81&lt;0,"Invadiu REP-BA-C","")</f>
        <v/>
      </c>
      <c r="HO81" s="769" t="str">
        <f t="shared" si="820"/>
        <v/>
      </c>
      <c r="HP81" s="768" t="str">
        <f t="shared" si="821"/>
        <v/>
      </c>
      <c r="HQ81" s="728" t="str">
        <f t="shared" si="822"/>
        <v/>
      </c>
      <c r="HR81" s="768" t="str">
        <f t="shared" si="823"/>
        <v/>
      </c>
      <c r="HS81" s="728" t="str">
        <f t="shared" si="824"/>
        <v/>
      </c>
      <c r="HT81" s="768" t="str">
        <f t="shared" si="825"/>
        <v/>
      </c>
      <c r="HU81" s="769" t="str">
        <f t="shared" si="826"/>
        <v/>
      </c>
      <c r="HV81" s="768" t="str">
        <f t="shared" ref="HV81" si="1002">IF(HU81&lt;0,"Invadiu REP-BA-C","")</f>
        <v/>
      </c>
      <c r="HW81" s="769" t="str">
        <f t="shared" si="828"/>
        <v/>
      </c>
      <c r="HX81" s="768" t="str">
        <f t="shared" si="829"/>
        <v/>
      </c>
      <c r="HY81" s="728" t="str">
        <f t="shared" si="830"/>
        <v/>
      </c>
      <c r="HZ81" s="768" t="str">
        <f t="shared" si="831"/>
        <v/>
      </c>
      <c r="IA81" s="728" t="str">
        <f t="shared" si="832"/>
        <v/>
      </c>
      <c r="IB81" s="768" t="str">
        <f t="shared" si="833"/>
        <v/>
      </c>
      <c r="IC81" s="769" t="str">
        <f t="shared" si="834"/>
        <v/>
      </c>
      <c r="ID81" s="768" t="str">
        <f t="shared" ref="ID81" si="1003">IF(IC81&lt;0,"Invadiu REP-BA-C","")</f>
        <v/>
      </c>
      <c r="IE81" s="769" t="str">
        <f t="shared" si="836"/>
        <v/>
      </c>
      <c r="IF81" s="768" t="str">
        <f t="shared" si="837"/>
        <v/>
      </c>
      <c r="IG81" s="728" t="str">
        <f t="shared" si="838"/>
        <v/>
      </c>
      <c r="IH81" s="768" t="str">
        <f t="shared" si="839"/>
        <v/>
      </c>
      <c r="II81" s="728" t="str">
        <f t="shared" si="840"/>
        <v/>
      </c>
      <c r="IJ81" s="768" t="str">
        <f t="shared" si="841"/>
        <v/>
      </c>
      <c r="IK81" s="769" t="str">
        <f t="shared" si="842"/>
        <v/>
      </c>
      <c r="IL81" s="768" t="str">
        <f t="shared" ref="IL81" si="1004">IF(IK81&lt;0,"Invadiu REP-BA-C","")</f>
        <v/>
      </c>
      <c r="IM81" s="769" t="str">
        <f t="shared" si="844"/>
        <v/>
      </c>
      <c r="IN81" s="768" t="str">
        <f t="shared" si="845"/>
        <v/>
      </c>
      <c r="IO81" s="728" t="str">
        <f t="shared" si="846"/>
        <v/>
      </c>
      <c r="IP81" s="768" t="str">
        <f t="shared" si="847"/>
        <v/>
      </c>
      <c r="IQ81" s="728" t="str">
        <f t="shared" si="848"/>
        <v/>
      </c>
      <c r="IR81" s="768" t="str">
        <f t="shared" si="849"/>
        <v/>
      </c>
      <c r="IS81" s="769" t="str">
        <f t="shared" si="850"/>
        <v/>
      </c>
      <c r="IT81" s="768" t="str">
        <f t="shared" ref="IT81" si="1005">IF(IS81&lt;0,"Invadiu REP-BA-C","")</f>
        <v/>
      </c>
      <c r="IU81" s="769" t="str">
        <f t="shared" si="852"/>
        <v/>
      </c>
      <c r="IV81" s="768" t="str">
        <f t="shared" si="853"/>
        <v/>
      </c>
      <c r="IW81" s="728" t="str">
        <f t="shared" si="854"/>
        <v/>
      </c>
      <c r="IX81" s="768" t="str">
        <f t="shared" si="855"/>
        <v/>
      </c>
      <c r="IY81" s="728" t="str">
        <f t="shared" si="856"/>
        <v/>
      </c>
      <c r="IZ81" s="768" t="str">
        <f t="shared" si="857"/>
        <v/>
      </c>
      <c r="JA81" s="769" t="str">
        <f t="shared" si="858"/>
        <v/>
      </c>
      <c r="JB81" s="768" t="str">
        <f t="shared" ref="JB81" si="1006">IF(JA81&lt;0,"Invadiu REP-BA-C","")</f>
        <v/>
      </c>
      <c r="JC81" s="769" t="str">
        <f t="shared" si="860"/>
        <v/>
      </c>
      <c r="JD81" s="768" t="str">
        <f t="shared" si="861"/>
        <v/>
      </c>
      <c r="JE81" s="728" t="str">
        <f t="shared" si="862"/>
        <v/>
      </c>
      <c r="JF81" s="768" t="str">
        <f t="shared" si="863"/>
        <v/>
      </c>
      <c r="JG81" s="728" t="str">
        <f t="shared" si="864"/>
        <v/>
      </c>
      <c r="JH81" s="768" t="str">
        <f t="shared" si="865"/>
        <v/>
      </c>
      <c r="JI81" s="769" t="str">
        <f t="shared" si="866"/>
        <v/>
      </c>
      <c r="JJ81" s="768" t="str">
        <f t="shared" ref="JJ81" si="1007">IF(JI81&lt;0,"Invadiu REP-BA-C","")</f>
        <v/>
      </c>
      <c r="JK81" s="769" t="str">
        <f t="shared" si="868"/>
        <v/>
      </c>
      <c r="JL81" s="768" t="str">
        <f t="shared" si="869"/>
        <v/>
      </c>
      <c r="JM81" s="728" t="str">
        <f t="shared" si="870"/>
        <v/>
      </c>
      <c r="JN81" s="768" t="str">
        <f t="shared" si="871"/>
        <v/>
      </c>
      <c r="JO81" s="728" t="str">
        <f t="shared" si="872"/>
        <v/>
      </c>
      <c r="JP81" s="768" t="str">
        <f t="shared" si="873"/>
        <v/>
      </c>
      <c r="JQ81" s="769" t="str">
        <f t="shared" si="874"/>
        <v/>
      </c>
      <c r="JR81" s="768" t="str">
        <f t="shared" ref="JR81" si="1008">IF(JQ81&lt;0,"Invadiu REP-BA-C","")</f>
        <v/>
      </c>
      <c r="JS81" s="769" t="str">
        <f t="shared" si="876"/>
        <v/>
      </c>
      <c r="JT81" s="768" t="str">
        <f t="shared" si="877"/>
        <v/>
      </c>
      <c r="JU81" s="728" t="str">
        <f t="shared" si="878"/>
        <v/>
      </c>
      <c r="JV81" s="768" t="str">
        <f t="shared" si="879"/>
        <v/>
      </c>
      <c r="JW81" s="728" t="str">
        <f t="shared" si="880"/>
        <v/>
      </c>
      <c r="JX81" s="768" t="str">
        <f t="shared" si="881"/>
        <v/>
      </c>
      <c r="JY81" s="768" t="str">
        <f t="shared" si="882"/>
        <v/>
      </c>
      <c r="JZ81" s="485" t="str">
        <f>IF(JY81="","",IF(AND(C81=$C$164,JY81&lt;&gt;""),Verificarcpf(D81),IF(AND(C81=$C$165,JY81&lt;&gt;""),VerificarCNPJ(D81))))</f>
        <v/>
      </c>
      <c r="KA81" s="768" t="str">
        <f t="shared" si="883"/>
        <v/>
      </c>
      <c r="KB81" s="485">
        <f t="shared" si="884"/>
        <v>0</v>
      </c>
      <c r="KC81" s="768">
        <f t="shared" si="885"/>
        <v>0</v>
      </c>
      <c r="KD81" s="485">
        <f t="shared" si="886"/>
        <v>0</v>
      </c>
      <c r="KE81" s="448"/>
      <c r="KF81" s="548"/>
      <c r="KG81" s="548"/>
      <c r="KH81" s="548"/>
      <c r="KI81" s="548"/>
      <c r="KJ81" s="548" t="str">
        <f t="shared" si="887"/>
        <v/>
      </c>
      <c r="KK81" s="548"/>
      <c r="KL81" s="548"/>
      <c r="KM81" s="548">
        <f t="array" ref="KM81">IF(SUM((KL81=$KL$3:KL80)*1)=0,KL81,0)</f>
        <v>0</v>
      </c>
      <c r="KN81" s="548"/>
      <c r="KO81" s="548"/>
      <c r="KP81" s="548"/>
      <c r="KQ81" s="548"/>
      <c r="KR81" s="548" t="str">
        <f t="shared" si="888"/>
        <v/>
      </c>
      <c r="KS81" s="548"/>
      <c r="KT81" s="548"/>
      <c r="KU81" s="548"/>
      <c r="KV81" s="548"/>
      <c r="KW81" s="548"/>
      <c r="KX81" s="548"/>
      <c r="KY81" s="548"/>
      <c r="KZ81" s="548"/>
      <c r="LA81" s="548"/>
      <c r="LB81" s="548"/>
      <c r="LC81" s="485" t="str">
        <f t="shared" si="902"/>
        <v/>
      </c>
      <c r="LD81" s="548"/>
      <c r="LE81" s="548"/>
      <c r="LF81" s="548"/>
      <c r="LG81" s="548"/>
      <c r="LH81" s="548"/>
      <c r="LI81" s="548"/>
      <c r="LJ81" s="548"/>
      <c r="LK81" s="548"/>
      <c r="LL81" s="548"/>
      <c r="LM81" s="548"/>
      <c r="LN81" s="548"/>
      <c r="LO81" s="548"/>
      <c r="LP81" s="485" t="str">
        <f t="shared" si="903"/>
        <v/>
      </c>
      <c r="LQ81" s="548"/>
      <c r="LR81" s="548"/>
      <c r="LS81" s="548"/>
      <c r="LT81" s="548"/>
      <c r="LU81" s="548"/>
      <c r="LV81" s="548"/>
      <c r="LW81" s="548"/>
      <c r="LX81" s="548"/>
      <c r="LY81" s="548"/>
      <c r="LZ81" s="548"/>
      <c r="MA81" s="548"/>
      <c r="MB81" s="548"/>
      <c r="MC81" s="485" t="str">
        <f t="shared" si="904"/>
        <v/>
      </c>
      <c r="MD81" s="548"/>
      <c r="ME81" s="548"/>
      <c r="MF81" s="548"/>
      <c r="MG81" s="548"/>
      <c r="MH81" s="548"/>
      <c r="MI81" s="548"/>
      <c r="MJ81" s="548"/>
      <c r="MK81" s="548"/>
      <c r="ML81" s="548"/>
      <c r="MM81" s="548"/>
      <c r="MN81" s="548"/>
      <c r="MO81" s="548"/>
      <c r="MP81" s="485" t="str">
        <f t="shared" si="905"/>
        <v/>
      </c>
      <c r="MQ81" s="548"/>
      <c r="MR81" s="548"/>
      <c r="MS81" s="548"/>
      <c r="MT81" s="548"/>
      <c r="MU81" s="548"/>
      <c r="MV81" s="548"/>
      <c r="MW81" s="548"/>
      <c r="MX81" s="548"/>
      <c r="MY81" s="548"/>
      <c r="MZ81" s="548"/>
      <c r="NA81" s="548"/>
      <c r="NB81" s="548"/>
      <c r="NC81" s="485" t="str">
        <f t="shared" si="906"/>
        <v/>
      </c>
      <c r="ND81" s="548"/>
      <c r="NE81" s="548"/>
      <c r="NF81" s="548"/>
      <c r="NG81" s="548"/>
      <c r="NH81" s="548"/>
      <c r="NI81" s="548"/>
      <c r="NJ81" s="548"/>
      <c r="NK81" s="548"/>
      <c r="NL81" s="548"/>
      <c r="NM81" s="548"/>
      <c r="NN81" s="548"/>
      <c r="NO81" s="548"/>
      <c r="NP81" s="485" t="str">
        <f t="shared" si="907"/>
        <v/>
      </c>
      <c r="NQ81" s="548"/>
      <c r="NR81" s="548"/>
      <c r="NS81" s="548"/>
      <c r="NT81" s="548"/>
      <c r="NU81" s="548"/>
      <c r="NV81" s="548"/>
      <c r="NW81" s="548"/>
      <c r="NX81" s="548"/>
      <c r="NY81" s="548"/>
      <c r="NZ81" s="548"/>
      <c r="OA81" s="548"/>
      <c r="OB81" s="548"/>
      <c r="OC81" s="485" t="str">
        <f t="shared" si="908"/>
        <v/>
      </c>
      <c r="OD81" s="548"/>
      <c r="OE81" s="548"/>
      <c r="OF81" s="548"/>
      <c r="OG81" s="548"/>
      <c r="OH81" s="548"/>
      <c r="OI81" s="548"/>
      <c r="OJ81" s="548"/>
      <c r="OK81" s="548"/>
      <c r="OL81" s="548"/>
      <c r="OM81" s="548"/>
      <c r="ON81" s="548"/>
      <c r="OO81" s="548"/>
      <c r="OP81" s="548"/>
      <c r="OQ81" s="548"/>
      <c r="OR81" s="548"/>
      <c r="OS81" s="548"/>
      <c r="OT81" s="548"/>
      <c r="OU81" s="548"/>
      <c r="OV81" s="548"/>
      <c r="OW81" s="548"/>
      <c r="OX81" s="548"/>
      <c r="OY81" s="548"/>
      <c r="OZ81" s="548"/>
      <c r="PA81" s="548"/>
      <c r="PB81" s="548"/>
      <c r="PC81" s="548"/>
      <c r="PD81" s="548"/>
      <c r="PE81" s="548"/>
      <c r="PF81" s="548"/>
      <c r="PG81" s="548"/>
      <c r="PH81" s="548"/>
      <c r="PI81" s="548"/>
      <c r="PJ81" s="548"/>
      <c r="PK81" s="548"/>
      <c r="PL81" s="548"/>
      <c r="PM81" s="548"/>
      <c r="PN81" s="548"/>
      <c r="PO81" s="548"/>
      <c r="PP81" s="548"/>
      <c r="PQ81" s="548"/>
      <c r="PR81" s="548"/>
      <c r="PS81" s="548"/>
      <c r="PT81" s="548"/>
      <c r="PU81" s="548"/>
      <c r="PV81" s="548"/>
      <c r="PW81" s="548"/>
      <c r="PX81" s="548"/>
      <c r="PY81" s="548"/>
      <c r="PZ81" s="548"/>
      <c r="QA81" s="548"/>
      <c r="QB81" s="548"/>
      <c r="QC81" s="548"/>
      <c r="QD81" s="548"/>
      <c r="QE81" s="548"/>
      <c r="QF81" s="548"/>
      <c r="QG81" s="548"/>
      <c r="QH81" s="548"/>
      <c r="QI81" s="548"/>
      <c r="QJ81" s="548"/>
      <c r="QK81" s="548"/>
      <c r="QL81" s="548"/>
      <c r="QM81" s="548"/>
      <c r="QN81" s="548"/>
      <c r="QO81" s="548"/>
      <c r="QP81" s="548"/>
      <c r="QQ81" s="1009"/>
      <c r="QR81" s="548"/>
      <c r="QS81" s="548"/>
      <c r="QT81" s="548"/>
      <c r="QU81" s="548"/>
      <c r="QV81" s="548"/>
      <c r="QW81" s="548"/>
      <c r="QX81" s="548"/>
      <c r="QY81" s="548"/>
      <c r="QZ81" s="548"/>
      <c r="RA81" s="548"/>
      <c r="RB81" s="548"/>
      <c r="RC81" s="548"/>
      <c r="RD81" s="548"/>
      <c r="RE81" s="548"/>
      <c r="RF81" s="548"/>
      <c r="RG81" s="548"/>
      <c r="RH81" s="548"/>
      <c r="RI81" s="548"/>
      <c r="RJ81" s="548"/>
      <c r="RK81" s="548"/>
      <c r="RL81" s="548"/>
      <c r="RM81" s="548"/>
      <c r="RN81" s="548"/>
      <c r="RO81" s="548"/>
      <c r="RP81" s="548"/>
      <c r="RQ81" s="548"/>
      <c r="RR81" s="548"/>
      <c r="RS81" s="548"/>
      <c r="RT81" s="548"/>
      <c r="RU81" s="548"/>
      <c r="RV81" s="548"/>
      <c r="RW81" s="548"/>
      <c r="RX81" s="548"/>
      <c r="RY81" s="548"/>
      <c r="RZ81" s="548"/>
      <c r="SA81" s="548"/>
      <c r="SB81" s="548"/>
      <c r="SC81" s="548"/>
      <c r="SD81" s="548"/>
      <c r="SE81" s="548"/>
      <c r="SF81" s="548"/>
      <c r="SG81" s="548"/>
      <c r="SH81" s="548"/>
      <c r="SI81" s="548"/>
      <c r="SJ81" s="548"/>
      <c r="SK81" s="548"/>
      <c r="SL81" s="548"/>
      <c r="SM81" s="548"/>
      <c r="SN81" s="548"/>
      <c r="SO81" s="548"/>
      <c r="SP81" s="548"/>
      <c r="SQ81" s="548"/>
      <c r="SR81" s="548"/>
      <c r="SS81" s="548"/>
      <c r="ST81" s="548"/>
      <c r="SU81" s="548"/>
      <c r="SV81" s="548"/>
      <c r="SW81" s="548"/>
      <c r="SX81" s="548"/>
      <c r="SY81" s="548"/>
      <c r="SZ81" s="548"/>
      <c r="TA81" s="548"/>
      <c r="TB81" s="548"/>
      <c r="TC81" s="548"/>
      <c r="TD81" s="548"/>
      <c r="TE81" s="548"/>
      <c r="TF81" s="548"/>
      <c r="TG81" s="548"/>
      <c r="TH81" s="548"/>
      <c r="TI81" s="548"/>
      <c r="TJ81" s="548"/>
      <c r="TK81" s="548"/>
      <c r="TL81" s="548"/>
      <c r="TM81" s="548"/>
      <c r="TN81" s="548"/>
      <c r="TO81" s="548"/>
      <c r="TP81" s="548"/>
      <c r="TQ81" s="548"/>
      <c r="TR81" s="548"/>
      <c r="TS81" s="548"/>
      <c r="TT81" s="548"/>
      <c r="TU81" s="548"/>
      <c r="TV81" s="548"/>
      <c r="TW81" s="548"/>
      <c r="TX81" s="548"/>
      <c r="TY81" s="548"/>
      <c r="TZ81" s="548"/>
      <c r="UA81" s="548"/>
      <c r="UB81" s="548"/>
      <c r="UC81" s="548"/>
      <c r="UD81" s="548"/>
      <c r="UE81" s="548"/>
      <c r="UF81" s="548"/>
      <c r="UG81" s="548"/>
      <c r="UH81" s="548"/>
      <c r="UI81" s="548"/>
      <c r="UJ81" s="548"/>
      <c r="UK81" s="548"/>
      <c r="UL81" s="548"/>
      <c r="UM81" s="548"/>
      <c r="UN81" s="548"/>
      <c r="UO81" s="548"/>
      <c r="UP81" s="548"/>
      <c r="UQ81" s="548"/>
      <c r="UR81" s="548"/>
      <c r="US81" s="548"/>
      <c r="UT81" s="548"/>
      <c r="UU81" s="548"/>
      <c r="UV81" s="548"/>
      <c r="UW81" s="548"/>
      <c r="UX81" s="548"/>
      <c r="UY81" s="548"/>
      <c r="UZ81" s="548"/>
      <c r="VA81" s="548"/>
      <c r="VB81" s="548"/>
      <c r="VC81" s="548"/>
      <c r="VD81" s="548"/>
      <c r="VE81" s="548"/>
      <c r="VF81" s="548"/>
      <c r="VG81" s="548"/>
      <c r="VH81" s="548"/>
      <c r="VI81" s="548"/>
      <c r="VJ81" s="548"/>
      <c r="VK81" s="548"/>
      <c r="VL81" s="548"/>
      <c r="VM81" s="548"/>
      <c r="VN81" s="548"/>
      <c r="VO81" s="548"/>
      <c r="VP81" s="548"/>
      <c r="VQ81" s="548"/>
      <c r="VR81" s="548"/>
      <c r="VS81" s="548"/>
      <c r="VT81" s="548"/>
      <c r="VU81" s="548"/>
      <c r="VV81" s="548"/>
      <c r="VW81" s="548"/>
      <c r="VX81" s="548"/>
      <c r="VY81" s="548"/>
      <c r="VZ81" s="548"/>
      <c r="WA81" s="548"/>
      <c r="WB81" s="548"/>
      <c r="WC81" s="548"/>
      <c r="WD81" s="548"/>
      <c r="WE81" s="548"/>
      <c r="WF81" s="548"/>
      <c r="WG81" s="548"/>
      <c r="WH81" s="548"/>
      <c r="WI81" s="548"/>
      <c r="WJ81" s="548"/>
      <c r="WK81" s="548"/>
      <c r="WL81" s="548"/>
      <c r="WM81" s="548"/>
      <c r="WN81" s="548"/>
      <c r="WO81" s="548"/>
      <c r="WP81" s="548"/>
      <c r="WQ81" s="548"/>
      <c r="WR81" s="548"/>
      <c r="WS81" s="548"/>
      <c r="WT81" s="548"/>
      <c r="WU81" s="548"/>
      <c r="WV81" s="548"/>
      <c r="WW81" s="548"/>
      <c r="WX81" s="548"/>
      <c r="WY81" s="548"/>
      <c r="WZ81" s="548"/>
      <c r="XA81" s="548"/>
      <c r="XB81" s="548"/>
      <c r="XC81" s="548"/>
      <c r="XD81" s="548"/>
      <c r="XE81" s="548"/>
      <c r="XF81" s="548"/>
      <c r="XG81" s="548"/>
      <c r="XH81" s="548"/>
      <c r="XI81" s="548"/>
      <c r="XJ81" s="548"/>
      <c r="XK81" s="548"/>
      <c r="XL81" s="548"/>
      <c r="XM81" s="548"/>
      <c r="XN81" s="548"/>
      <c r="XO81" s="548"/>
      <c r="XP81" s="548"/>
      <c r="XQ81" s="548"/>
      <c r="XR81" s="548"/>
      <c r="XS81" s="548"/>
      <c r="XT81" s="548"/>
      <c r="XU81" s="548"/>
      <c r="XV81" s="548"/>
      <c r="XW81" s="548"/>
      <c r="XX81" s="548"/>
      <c r="XY81" s="548"/>
      <c r="XZ81" s="548"/>
      <c r="YA81" s="548"/>
      <c r="YB81" s="548"/>
      <c r="YC81" s="548"/>
      <c r="YD81" s="548"/>
      <c r="YE81" s="548"/>
      <c r="YF81" s="548"/>
      <c r="YG81" s="548"/>
      <c r="YH81" s="548"/>
      <c r="YI81" s="548"/>
      <c r="YJ81" s="548"/>
      <c r="YK81" s="548"/>
      <c r="YL81" s="548"/>
      <c r="YM81" s="548"/>
      <c r="YN81" s="548"/>
      <c r="YO81" s="548"/>
      <c r="YP81" s="548"/>
      <c r="YQ81" s="548"/>
      <c r="YR81" s="548"/>
      <c r="YS81" s="548"/>
      <c r="YT81" s="548"/>
      <c r="YU81" s="548"/>
      <c r="YV81" s="548"/>
      <c r="YW81" s="548"/>
      <c r="YX81" s="548"/>
      <c r="YY81" s="548"/>
      <c r="YZ81" s="548"/>
      <c r="ZA81" s="548"/>
      <c r="ZB81" s="548"/>
      <c r="ZC81" s="548"/>
      <c r="ZD81" s="548"/>
      <c r="ZE81" s="548"/>
      <c r="ZF81" s="548"/>
      <c r="ZG81" s="548"/>
      <c r="ZH81" s="548"/>
      <c r="ZI81" s="548"/>
      <c r="ZJ81" s="548"/>
      <c r="ZK81" s="548"/>
      <c r="ZL81" s="548"/>
      <c r="ZM81" s="548"/>
      <c r="ZN81" s="548"/>
      <c r="ZO81" s="548"/>
      <c r="ZP81" s="548"/>
      <c r="ZQ81" s="548"/>
      <c r="ZR81" s="548"/>
      <c r="ZS81" s="548"/>
      <c r="ZT81" s="548"/>
      <c r="ZU81" s="548"/>
      <c r="ZV81" s="548"/>
      <c r="ZW81" s="548"/>
      <c r="ZX81" s="548"/>
      <c r="ZY81" s="548"/>
      <c r="ZZ81" s="548"/>
      <c r="AAA81" s="548"/>
      <c r="AAB81" s="548"/>
      <c r="AAC81" s="548"/>
      <c r="AAD81" s="548"/>
      <c r="AAE81" s="548"/>
      <c r="AAF81" s="548"/>
      <c r="AAG81" s="548"/>
      <c r="AAH81" s="548"/>
      <c r="AAI81" s="548"/>
      <c r="AAJ81" s="548"/>
      <c r="AAK81" s="548"/>
      <c r="AAL81" s="548"/>
      <c r="AAM81" s="548"/>
      <c r="AAN81" s="548"/>
      <c r="AAO81" s="548"/>
      <c r="AAP81" s="548"/>
      <c r="AAQ81" s="548"/>
      <c r="AAR81" s="548"/>
      <c r="AAS81" s="548"/>
      <c r="AAT81" s="548"/>
      <c r="AAU81" s="548"/>
      <c r="AAV81" s="548"/>
      <c r="AAW81" s="548"/>
      <c r="AAX81" s="548"/>
      <c r="AAY81" s="548"/>
      <c r="AAZ81" s="548"/>
      <c r="ABA81" s="548"/>
      <c r="ABB81" s="548"/>
      <c r="ABC81" s="548"/>
      <c r="ABD81" s="548"/>
      <c r="ABE81" s="548"/>
      <c r="ABF81" s="548"/>
      <c r="ABG81" s="548"/>
      <c r="ABH81" s="548"/>
      <c r="ABI81" s="548"/>
      <c r="ABJ81" s="548"/>
      <c r="ABK81" s="548"/>
      <c r="ABL81" s="548"/>
      <c r="ABM81" s="548"/>
      <c r="ABN81" s="548"/>
      <c r="ABO81" s="548"/>
      <c r="ABP81" s="548"/>
      <c r="ABQ81" s="548"/>
      <c r="ABR81" s="548"/>
      <c r="ABS81" s="548"/>
    </row>
    <row r="82" spans="1:747" customFormat="1" ht="15" customHeight="1" thickBot="1" x14ac:dyDescent="0.25">
      <c r="A82" s="424" t="str">
        <f t="shared" si="909"/>
        <v/>
      </c>
      <c r="B82" s="415"/>
      <c r="C82" s="525"/>
      <c r="D82" s="750"/>
      <c r="E82" s="416" t="str">
        <f t="shared" si="751"/>
        <v/>
      </c>
      <c r="F82" s="527" t="str">
        <f t="shared" si="752"/>
        <v/>
      </c>
      <c r="G82" s="417"/>
      <c r="H82" s="585" t="str">
        <f t="shared" si="753"/>
        <v/>
      </c>
      <c r="I82" s="424"/>
      <c r="J82" s="419"/>
      <c r="K82" s="418"/>
      <c r="L82" s="419"/>
      <c r="M82" s="415"/>
      <c r="N82" s="420"/>
      <c r="O82" s="421"/>
      <c r="P82" s="561"/>
      <c r="Q82" s="422"/>
      <c r="R82" s="561" t="str">
        <f t="shared" si="754"/>
        <v/>
      </c>
      <c r="S82" s="664"/>
      <c r="T82" s="663"/>
      <c r="U82" s="580">
        <f t="shared" si="755"/>
        <v>0</v>
      </c>
      <c r="V82" s="418"/>
      <c r="W82" s="582" t="str">
        <f t="shared" si="756"/>
        <v/>
      </c>
      <c r="X82" s="479" t="str">
        <f t="shared" si="757"/>
        <v/>
      </c>
      <c r="Y82" s="582" t="str">
        <f t="shared" si="758"/>
        <v/>
      </c>
      <c r="Z82" s="317" t="str">
        <f t="shared" si="759"/>
        <v/>
      </c>
      <c r="AA82" s="317" t="str">
        <f t="shared" si="760"/>
        <v/>
      </c>
      <c r="AB82" s="317">
        <f t="shared" si="761"/>
        <v>0</v>
      </c>
      <c r="AC82" s="317" t="str">
        <f t="shared" si="762"/>
        <v/>
      </c>
      <c r="AD82" s="479"/>
      <c r="AE82" s="479"/>
      <c r="AF82" s="479"/>
      <c r="AG82" s="423"/>
      <c r="AH82" s="820"/>
      <c r="AI82" s="437"/>
      <c r="AJ82" s="660"/>
      <c r="AK82" s="524" t="str">
        <f t="shared" si="763"/>
        <v/>
      </c>
      <c r="AL82" s="731">
        <f>SUMIF($J$4:$J$163,"Imprensa",$S$4:$S$163)</f>
        <v>0</v>
      </c>
      <c r="AM82" s="816">
        <f>SUMIF($J$4:$J$163,"Imprensa",$T$4:$T$163)</f>
        <v>0</v>
      </c>
      <c r="AN82" s="426">
        <f t="shared" si="764"/>
        <v>0</v>
      </c>
      <c r="AO82" s="798" t="str">
        <f t="shared" si="765"/>
        <v/>
      </c>
      <c r="AP82" s="768" t="str">
        <f t="shared" si="766"/>
        <v/>
      </c>
      <c r="AQ82" s="768"/>
      <c r="AR82" s="768"/>
      <c r="AS82" s="803"/>
      <c r="AT82" s="804"/>
      <c r="AU82" s="805"/>
      <c r="AV82" s="806"/>
      <c r="AW82" s="800"/>
      <c r="AX82" s="805"/>
      <c r="AY82" s="806">
        <f t="shared" si="767"/>
        <v>0</v>
      </c>
      <c r="AZ82" s="768"/>
      <c r="BA82" s="435" t="str">
        <f t="shared" si="768"/>
        <v/>
      </c>
      <c r="BB82" s="435"/>
      <c r="BC82" s="426"/>
      <c r="BD82" s="426">
        <f t="array" ref="BD82">IF(SUM((BC82=$BC$3:BC81)*1)=0,BC82,0)</f>
        <v>0</v>
      </c>
      <c r="BE82" s="426"/>
      <c r="BF82" s="426"/>
      <c r="BG82" s="426">
        <f t="array" ref="BG82">IF(SUM((BF82=$BF$3:BF81)*1)=0,BF82,0)</f>
        <v>0</v>
      </c>
      <c r="BH82" s="426"/>
      <c r="BI82" s="426"/>
      <c r="BJ82" s="426"/>
      <c r="BK82" s="426"/>
      <c r="BL82" s="426"/>
      <c r="BM82" s="426"/>
      <c r="BN82" s="426"/>
      <c r="BO82" s="426"/>
      <c r="BP82" s="433">
        <f t="shared" si="769"/>
        <v>0</v>
      </c>
      <c r="BQ82" s="426"/>
      <c r="BR82" s="434"/>
      <c r="BS82" s="426"/>
      <c r="BT82" s="433"/>
      <c r="BU82" s="435"/>
      <c r="BV82" s="435" t="str">
        <f t="shared" si="770"/>
        <v/>
      </c>
      <c r="BW82" s="435" t="str">
        <f t="shared" si="798"/>
        <v/>
      </c>
      <c r="BX82" s="435"/>
      <c r="BY82" s="435"/>
      <c r="BZ82" s="435"/>
      <c r="CA82" s="435"/>
      <c r="CB82" s="435"/>
      <c r="CC82" s="435"/>
      <c r="CD82" s="435"/>
      <c r="CE82" s="435"/>
      <c r="CF82" s="435"/>
      <c r="CG82" s="435"/>
      <c r="CH82" s="435"/>
      <c r="CI82" s="435"/>
      <c r="CJ82" s="426" t="str">
        <f t="shared" si="799"/>
        <v/>
      </c>
      <c r="CK82" s="435"/>
      <c r="CL82" s="426"/>
      <c r="CM82" s="435"/>
      <c r="CN82" s="426"/>
      <c r="CO82" s="426"/>
      <c r="CP82" s="426"/>
      <c r="CQ82" s="426"/>
      <c r="CR82" s="426"/>
      <c r="CS82" s="426"/>
      <c r="CT82" s="426"/>
      <c r="CU82" s="426"/>
      <c r="CV82" s="426"/>
      <c r="CW82" s="493"/>
      <c r="CX82" s="493"/>
      <c r="CY82" s="426">
        <v>79</v>
      </c>
      <c r="CZ82" s="493"/>
      <c r="DA82" s="493"/>
      <c r="DB82" s="493"/>
      <c r="DC82" s="426" t="s">
        <v>822</v>
      </c>
      <c r="DD82" s="426" t="s">
        <v>982</v>
      </c>
      <c r="DE82" s="435" t="str">
        <f t="shared" si="800"/>
        <v/>
      </c>
      <c r="DF82" s="435" t="str">
        <f t="shared" si="801"/>
        <v/>
      </c>
      <c r="DG82" s="435" t="str">
        <f t="shared" si="802"/>
        <v/>
      </c>
      <c r="DH82" s="435" t="str">
        <f t="shared" si="803"/>
        <v/>
      </c>
      <c r="DI82" s="435" t="str">
        <f t="shared" si="804"/>
        <v/>
      </c>
      <c r="DJ82" s="435" t="str">
        <f t="shared" si="805"/>
        <v/>
      </c>
      <c r="DK82" s="435" t="str">
        <f t="shared" si="771"/>
        <v/>
      </c>
      <c r="DL82" s="435" t="str">
        <f t="shared" si="772"/>
        <v/>
      </c>
      <c r="DM82" s="435" t="str">
        <f t="shared" si="806"/>
        <v/>
      </c>
      <c r="DN82" s="435" t="str">
        <f t="shared" si="807"/>
        <v/>
      </c>
      <c r="DO82" s="435" t="str">
        <f t="shared" si="773"/>
        <v/>
      </c>
      <c r="DP82" s="435" t="str">
        <f t="shared" si="774"/>
        <v/>
      </c>
      <c r="DQ82" s="435" t="str">
        <f t="shared" si="808"/>
        <v/>
      </c>
      <c r="DR82" s="435" t="str">
        <f t="shared" si="809"/>
        <v/>
      </c>
      <c r="DS82" s="435" t="str">
        <f t="shared" si="775"/>
        <v/>
      </c>
      <c r="DT82" s="435" t="str">
        <f t="shared" si="776"/>
        <v/>
      </c>
      <c r="DU82" s="435" t="str">
        <f t="shared" si="810"/>
        <v/>
      </c>
      <c r="DV82" s="435" t="str">
        <f t="shared" si="811"/>
        <v/>
      </c>
      <c r="DW82" s="435" t="str">
        <f t="shared" si="777"/>
        <v/>
      </c>
      <c r="DX82" s="435" t="str">
        <f t="shared" si="778"/>
        <v/>
      </c>
      <c r="DY82" s="435" t="str">
        <f t="shared" si="812"/>
        <v/>
      </c>
      <c r="DZ82" s="435" t="str">
        <f t="shared" si="813"/>
        <v/>
      </c>
      <c r="EA82" s="435" t="str">
        <f t="shared" si="779"/>
        <v/>
      </c>
      <c r="EB82" s="435" t="str">
        <f t="shared" si="780"/>
        <v/>
      </c>
      <c r="EC82" s="435" t="str">
        <f t="shared" si="781"/>
        <v/>
      </c>
      <c r="ED82" s="435" t="str">
        <f t="shared" si="782"/>
        <v/>
      </c>
      <c r="EE82" s="435" t="str">
        <f t="shared" si="783"/>
        <v/>
      </c>
      <c r="EF82" s="435" t="str">
        <f t="shared" si="784"/>
        <v/>
      </c>
      <c r="EG82" s="435" t="str">
        <f t="shared" si="785"/>
        <v/>
      </c>
      <c r="EH82" s="435" t="str">
        <f t="shared" si="786"/>
        <v/>
      </c>
      <c r="EI82" s="435" t="str">
        <f t="shared" si="787"/>
        <v/>
      </c>
      <c r="EJ82" s="435" t="str">
        <f t="shared" si="788"/>
        <v/>
      </c>
      <c r="EK82" s="485"/>
      <c r="EL82" s="485"/>
      <c r="EM82" s="485"/>
      <c r="EN82" s="485"/>
      <c r="EO82" s="448"/>
      <c r="EP82" s="448"/>
      <c r="EQ82" s="448"/>
      <c r="ER82" s="448"/>
      <c r="ES82" s="448"/>
      <c r="ET82" s="435"/>
      <c r="EU82" s="435"/>
      <c r="EV82" s="435"/>
      <c r="EW82" s="435"/>
      <c r="EX82" s="426"/>
      <c r="EY82" s="426"/>
      <c r="EZ82" s="426"/>
      <c r="FA82" s="863"/>
      <c r="FB82" s="427">
        <f t="array" ref="FB82">IF(SUM((FA82=$FA$3:FA81)*1)=0,FA82,0)</f>
        <v>0</v>
      </c>
      <c r="FC82" s="863"/>
      <c r="FD82" s="863"/>
      <c r="FE82" s="863">
        <f t="array" ref="FE82">IF(SUM((FD82=$FD$3:FD81)*1)=0,FD82,0)</f>
        <v>0</v>
      </c>
      <c r="FF82" s="863"/>
      <c r="FG82" s="863"/>
      <c r="FH82" s="863"/>
      <c r="FI82" s="427">
        <f t="array" ref="FI82">IF(SUM((FH82=$FH$3:FH81)*1)=0,FH82,0)</f>
        <v>0</v>
      </c>
      <c r="FJ82" s="863"/>
      <c r="FK82" s="863"/>
      <c r="FL82" s="863">
        <f t="array" ref="FL82">IF(SUM((FK82=$FK$3:FK81)*1)=0,FK82,0)</f>
        <v>0</v>
      </c>
      <c r="FM82" s="863"/>
      <c r="FN82" s="863"/>
      <c r="FO82" s="863"/>
      <c r="FP82" s="427">
        <f t="array" ref="FP82">IF(SUM((FO82=$FO$3:FO81)*1)=0,FO82,0)</f>
        <v>0</v>
      </c>
      <c r="FQ82" s="863"/>
      <c r="FR82" s="863"/>
      <c r="FS82" s="863">
        <f t="array" ref="FS82">IF(SUM((FR82=$FR$3:FR81)*1)=0,FR82,0)</f>
        <v>0</v>
      </c>
      <c r="FT82" s="863"/>
      <c r="FU82" s="863"/>
      <c r="FV82" s="863"/>
      <c r="FW82" s="427">
        <f t="array" ref="FW82">IF(SUM((FV82=$FV$3:FV81)*1)=0,FV82,0)</f>
        <v>0</v>
      </c>
      <c r="FX82" s="863"/>
      <c r="FY82" s="863"/>
      <c r="FZ82" s="863">
        <f t="array" ref="FZ82">IF(SUM((FY82=$FY$3:FY81)*1)=0,FY82,0)</f>
        <v>0</v>
      </c>
      <c r="GA82" s="863"/>
      <c r="GB82" s="863"/>
      <c r="GC82" s="863"/>
      <c r="GD82" s="427">
        <f t="array" ref="GD82">IF(SUM((GC82=$GC$3:GC81)*1)=0,GC82,0)</f>
        <v>0</v>
      </c>
      <c r="GE82" s="863"/>
      <c r="GF82" s="863"/>
      <c r="GG82" s="863">
        <f t="array" ref="GG82">IF(SUM((GF82=$GF$3:GF81)*1)=0,GF82,0)</f>
        <v>0</v>
      </c>
      <c r="GH82" s="863"/>
      <c r="GI82" s="863"/>
      <c r="GJ82" s="863"/>
      <c r="GK82" s="798">
        <f t="array" ref="GK82">IF(SUM((GJ82=$GJ$3:GJ81)*1)=0,GJ82,0)</f>
        <v>0</v>
      </c>
      <c r="GL82" s="863"/>
      <c r="GM82" s="863"/>
      <c r="GN82" s="798">
        <f t="array" ref="GN82">IF(SUM((GM82=$GM$3:GM81)*1)=0,GM82,0)</f>
        <v>0</v>
      </c>
      <c r="GO82" s="863"/>
      <c r="GP82" s="863"/>
      <c r="GQ82" s="863"/>
      <c r="GR82" s="798">
        <f t="array" ref="GR82">IF(SUM((GQ82=$GQ$3:GQ81)*1)=0,GQ82,0)</f>
        <v>0</v>
      </c>
      <c r="GS82" s="863"/>
      <c r="GT82" s="863"/>
      <c r="GU82" s="798">
        <f t="array" ref="GU82">IF(SUM((GT82=$GT$3:GT81)*1)=0,GT82,0)</f>
        <v>0</v>
      </c>
      <c r="GV82" s="863"/>
      <c r="GW82" s="863"/>
      <c r="GX82" s="863"/>
      <c r="GY82" s="798">
        <f t="array" ref="GY82">IF(SUM((GX82=$GX$3:GX81)*1)=0,GX82,0)</f>
        <v>0</v>
      </c>
      <c r="GZ82" s="863"/>
      <c r="HA82" s="863"/>
      <c r="HB82" s="798">
        <f t="array" ref="HB82">IF(SUM((HA82=$HA$3:HA81)*1)=0,HA82,0)</f>
        <v>0</v>
      </c>
      <c r="HC82" s="863"/>
      <c r="HD82" s="863"/>
      <c r="HE82" s="769" t="str">
        <f t="shared" si="889"/>
        <v/>
      </c>
      <c r="HF82" s="768" t="str">
        <f t="shared" ref="HF82" si="1009">IF(HE82&lt;0,"Invadiu REP-BA-C","")</f>
        <v/>
      </c>
      <c r="HG82" s="769" t="str">
        <f t="shared" si="891"/>
        <v/>
      </c>
      <c r="HH82" s="768" t="str">
        <f t="shared" si="815"/>
        <v/>
      </c>
      <c r="HI82" s="728" t="str">
        <f t="shared" si="892"/>
        <v/>
      </c>
      <c r="HJ82" s="768" t="str">
        <f t="shared" si="816"/>
        <v/>
      </c>
      <c r="HK82" s="728" t="str">
        <f t="shared" si="893"/>
        <v/>
      </c>
      <c r="HL82" s="768" t="str">
        <f t="shared" si="817"/>
        <v/>
      </c>
      <c r="HM82" s="769" t="str">
        <f t="shared" si="818"/>
        <v/>
      </c>
      <c r="HN82" s="768" t="str">
        <f t="shared" ref="HN82" si="1010">IF(HM82&lt;0,"Invadiu REP-BA-C","")</f>
        <v/>
      </c>
      <c r="HO82" s="769" t="str">
        <f t="shared" si="820"/>
        <v/>
      </c>
      <c r="HP82" s="768" t="str">
        <f t="shared" si="821"/>
        <v/>
      </c>
      <c r="HQ82" s="728" t="str">
        <f t="shared" si="822"/>
        <v/>
      </c>
      <c r="HR82" s="768" t="str">
        <f t="shared" si="823"/>
        <v/>
      </c>
      <c r="HS82" s="728" t="str">
        <f t="shared" si="824"/>
        <v/>
      </c>
      <c r="HT82" s="768" t="str">
        <f t="shared" si="825"/>
        <v/>
      </c>
      <c r="HU82" s="769" t="str">
        <f t="shared" si="826"/>
        <v/>
      </c>
      <c r="HV82" s="768" t="str">
        <f t="shared" ref="HV82" si="1011">IF(HU82&lt;0,"Invadiu REP-BA-C","")</f>
        <v/>
      </c>
      <c r="HW82" s="769" t="str">
        <f t="shared" si="828"/>
        <v/>
      </c>
      <c r="HX82" s="768" t="str">
        <f t="shared" si="829"/>
        <v/>
      </c>
      <c r="HY82" s="728" t="str">
        <f t="shared" si="830"/>
        <v/>
      </c>
      <c r="HZ82" s="768" t="str">
        <f t="shared" si="831"/>
        <v/>
      </c>
      <c r="IA82" s="728" t="str">
        <f t="shared" si="832"/>
        <v/>
      </c>
      <c r="IB82" s="768" t="str">
        <f t="shared" si="833"/>
        <v/>
      </c>
      <c r="IC82" s="769" t="str">
        <f t="shared" si="834"/>
        <v/>
      </c>
      <c r="ID82" s="768" t="str">
        <f t="shared" ref="ID82" si="1012">IF(IC82&lt;0,"Invadiu REP-BA-C","")</f>
        <v/>
      </c>
      <c r="IE82" s="769" t="str">
        <f t="shared" si="836"/>
        <v/>
      </c>
      <c r="IF82" s="768" t="str">
        <f t="shared" si="837"/>
        <v/>
      </c>
      <c r="IG82" s="728" t="str">
        <f t="shared" si="838"/>
        <v/>
      </c>
      <c r="IH82" s="768" t="str">
        <f t="shared" si="839"/>
        <v/>
      </c>
      <c r="II82" s="728" t="str">
        <f t="shared" si="840"/>
        <v/>
      </c>
      <c r="IJ82" s="768" t="str">
        <f t="shared" si="841"/>
        <v/>
      </c>
      <c r="IK82" s="769" t="str">
        <f t="shared" si="842"/>
        <v/>
      </c>
      <c r="IL82" s="768" t="str">
        <f t="shared" ref="IL82" si="1013">IF(IK82&lt;0,"Invadiu REP-BA-C","")</f>
        <v/>
      </c>
      <c r="IM82" s="769" t="str">
        <f t="shared" si="844"/>
        <v/>
      </c>
      <c r="IN82" s="768" t="str">
        <f t="shared" si="845"/>
        <v/>
      </c>
      <c r="IO82" s="728" t="str">
        <f t="shared" si="846"/>
        <v/>
      </c>
      <c r="IP82" s="768" t="str">
        <f t="shared" si="847"/>
        <v/>
      </c>
      <c r="IQ82" s="728" t="str">
        <f t="shared" si="848"/>
        <v/>
      </c>
      <c r="IR82" s="768" t="str">
        <f t="shared" si="849"/>
        <v/>
      </c>
      <c r="IS82" s="769" t="str">
        <f t="shared" si="850"/>
        <v/>
      </c>
      <c r="IT82" s="768" t="str">
        <f t="shared" ref="IT82" si="1014">IF(IS82&lt;0,"Invadiu REP-BA-C","")</f>
        <v/>
      </c>
      <c r="IU82" s="769" t="str">
        <f t="shared" si="852"/>
        <v/>
      </c>
      <c r="IV82" s="768" t="str">
        <f t="shared" si="853"/>
        <v/>
      </c>
      <c r="IW82" s="728" t="str">
        <f t="shared" si="854"/>
        <v/>
      </c>
      <c r="IX82" s="768" t="str">
        <f t="shared" si="855"/>
        <v/>
      </c>
      <c r="IY82" s="728" t="str">
        <f t="shared" si="856"/>
        <v/>
      </c>
      <c r="IZ82" s="768" t="str">
        <f t="shared" si="857"/>
        <v/>
      </c>
      <c r="JA82" s="769" t="str">
        <f t="shared" si="858"/>
        <v/>
      </c>
      <c r="JB82" s="768" t="str">
        <f t="shared" ref="JB82" si="1015">IF(JA82&lt;0,"Invadiu REP-BA-C","")</f>
        <v/>
      </c>
      <c r="JC82" s="769" t="str">
        <f t="shared" si="860"/>
        <v/>
      </c>
      <c r="JD82" s="768" t="str">
        <f t="shared" si="861"/>
        <v/>
      </c>
      <c r="JE82" s="728" t="str">
        <f t="shared" si="862"/>
        <v/>
      </c>
      <c r="JF82" s="768" t="str">
        <f t="shared" si="863"/>
        <v/>
      </c>
      <c r="JG82" s="728" t="str">
        <f t="shared" si="864"/>
        <v/>
      </c>
      <c r="JH82" s="768" t="str">
        <f t="shared" si="865"/>
        <v/>
      </c>
      <c r="JI82" s="769" t="str">
        <f t="shared" si="866"/>
        <v/>
      </c>
      <c r="JJ82" s="768" t="str">
        <f t="shared" ref="JJ82" si="1016">IF(JI82&lt;0,"Invadiu REP-BA-C","")</f>
        <v/>
      </c>
      <c r="JK82" s="769" t="str">
        <f t="shared" si="868"/>
        <v/>
      </c>
      <c r="JL82" s="768" t="str">
        <f t="shared" si="869"/>
        <v/>
      </c>
      <c r="JM82" s="728" t="str">
        <f t="shared" si="870"/>
        <v/>
      </c>
      <c r="JN82" s="768" t="str">
        <f t="shared" si="871"/>
        <v/>
      </c>
      <c r="JO82" s="728" t="str">
        <f t="shared" si="872"/>
        <v/>
      </c>
      <c r="JP82" s="768" t="str">
        <f t="shared" si="873"/>
        <v/>
      </c>
      <c r="JQ82" s="769" t="str">
        <f t="shared" si="874"/>
        <v/>
      </c>
      <c r="JR82" s="768" t="str">
        <f t="shared" ref="JR82" si="1017">IF(JQ82&lt;0,"Invadiu REP-BA-C","")</f>
        <v/>
      </c>
      <c r="JS82" s="769" t="str">
        <f t="shared" si="876"/>
        <v/>
      </c>
      <c r="JT82" s="768" t="str">
        <f t="shared" si="877"/>
        <v/>
      </c>
      <c r="JU82" s="728" t="str">
        <f t="shared" si="878"/>
        <v/>
      </c>
      <c r="JV82" s="768" t="str">
        <f t="shared" si="879"/>
        <v/>
      </c>
      <c r="JW82" s="728" t="str">
        <f t="shared" si="880"/>
        <v/>
      </c>
      <c r="JX82" s="768" t="str">
        <f t="shared" si="881"/>
        <v/>
      </c>
      <c r="JY82" s="768" t="str">
        <f t="shared" si="882"/>
        <v/>
      </c>
      <c r="JZ82" s="485" t="str">
        <f>IF(JY82="","",IF(AND(C82=$C$164,JY82&lt;&gt;""),Verificarcpf(D82),IF(AND(C82=$C$165,JY82&lt;&gt;""),VerificarCNPJ(D82))))</f>
        <v/>
      </c>
      <c r="KA82" s="768" t="str">
        <f t="shared" si="883"/>
        <v/>
      </c>
      <c r="KB82" s="485">
        <f t="shared" si="884"/>
        <v>0</v>
      </c>
      <c r="KC82" s="768">
        <f t="shared" si="885"/>
        <v>0</v>
      </c>
      <c r="KD82" s="485">
        <f t="shared" si="886"/>
        <v>0</v>
      </c>
      <c r="KE82" s="448"/>
      <c r="KF82" s="548"/>
      <c r="KG82" s="548"/>
      <c r="KH82" s="548"/>
      <c r="KI82" s="548"/>
      <c r="KJ82" s="548" t="str">
        <f t="shared" si="887"/>
        <v/>
      </c>
      <c r="KK82" s="548"/>
      <c r="KL82" s="548"/>
      <c r="KM82" s="548">
        <f t="array" ref="KM82">IF(SUM((KL82=$KL$3:KL81)*1)=0,KL82,0)</f>
        <v>0</v>
      </c>
      <c r="KN82" s="548"/>
      <c r="KO82" s="548"/>
      <c r="KP82" s="548"/>
      <c r="KQ82" s="548"/>
      <c r="KR82" s="548" t="str">
        <f t="shared" si="888"/>
        <v/>
      </c>
      <c r="KS82" s="548"/>
      <c r="KT82" s="548"/>
      <c r="KU82" s="548"/>
      <c r="KV82" s="548"/>
      <c r="KW82" s="548"/>
      <c r="KX82" s="548"/>
      <c r="KY82" s="548"/>
      <c r="KZ82" s="548"/>
      <c r="LA82" s="548"/>
      <c r="LB82" s="548"/>
      <c r="LC82" s="485" t="str">
        <f t="shared" si="902"/>
        <v/>
      </c>
      <c r="LD82" s="548"/>
      <c r="LE82" s="548"/>
      <c r="LF82" s="548"/>
      <c r="LG82" s="548"/>
      <c r="LH82" s="548"/>
      <c r="LI82" s="548"/>
      <c r="LJ82" s="548"/>
      <c r="LK82" s="548"/>
      <c r="LL82" s="548"/>
      <c r="LM82" s="548"/>
      <c r="LN82" s="548"/>
      <c r="LO82" s="548"/>
      <c r="LP82" s="485" t="str">
        <f t="shared" si="903"/>
        <v/>
      </c>
      <c r="LQ82" s="548"/>
      <c r="LR82" s="548"/>
      <c r="LS82" s="548"/>
      <c r="LT82" s="548"/>
      <c r="LU82" s="548"/>
      <c r="LV82" s="548"/>
      <c r="LW82" s="548"/>
      <c r="LX82" s="548"/>
      <c r="LY82" s="548"/>
      <c r="LZ82" s="548"/>
      <c r="MA82" s="548"/>
      <c r="MB82" s="548"/>
      <c r="MC82" s="485" t="str">
        <f t="shared" si="904"/>
        <v/>
      </c>
      <c r="MD82" s="548"/>
      <c r="ME82" s="548"/>
      <c r="MF82" s="548"/>
      <c r="MG82" s="548"/>
      <c r="MH82" s="548"/>
      <c r="MI82" s="548"/>
      <c r="MJ82" s="548"/>
      <c r="MK82" s="548"/>
      <c r="ML82" s="548"/>
      <c r="MM82" s="548"/>
      <c r="MN82" s="548"/>
      <c r="MO82" s="548"/>
      <c r="MP82" s="485" t="str">
        <f t="shared" si="905"/>
        <v/>
      </c>
      <c r="MQ82" s="548"/>
      <c r="MR82" s="548"/>
      <c r="MS82" s="548"/>
      <c r="MT82" s="548"/>
      <c r="MU82" s="548"/>
      <c r="MV82" s="548"/>
      <c r="MW82" s="548"/>
      <c r="MX82" s="548"/>
      <c r="MY82" s="548"/>
      <c r="MZ82" s="548"/>
      <c r="NA82" s="548"/>
      <c r="NB82" s="548"/>
      <c r="NC82" s="485" t="str">
        <f t="shared" si="906"/>
        <v/>
      </c>
      <c r="ND82" s="548"/>
      <c r="NE82" s="548"/>
      <c r="NF82" s="548"/>
      <c r="NG82" s="548"/>
      <c r="NH82" s="548"/>
      <c r="NI82" s="548"/>
      <c r="NJ82" s="548"/>
      <c r="NK82" s="548"/>
      <c r="NL82" s="548"/>
      <c r="NM82" s="548"/>
      <c r="NN82" s="548"/>
      <c r="NO82" s="548"/>
      <c r="NP82" s="485" t="str">
        <f t="shared" si="907"/>
        <v/>
      </c>
      <c r="NQ82" s="548"/>
      <c r="NR82" s="548"/>
      <c r="NS82" s="548"/>
      <c r="NT82" s="548"/>
      <c r="NU82" s="548"/>
      <c r="NV82" s="548"/>
      <c r="NW82" s="548"/>
      <c r="NX82" s="548"/>
      <c r="NY82" s="548"/>
      <c r="NZ82" s="548"/>
      <c r="OA82" s="548"/>
      <c r="OB82" s="548"/>
      <c r="OC82" s="485" t="str">
        <f t="shared" si="908"/>
        <v/>
      </c>
      <c r="OD82" s="548"/>
      <c r="OE82" s="548"/>
      <c r="OF82" s="548"/>
      <c r="OG82" s="548"/>
      <c r="OH82" s="548"/>
      <c r="OI82" s="548"/>
      <c r="OJ82" s="548"/>
      <c r="OK82" s="548"/>
      <c r="OL82" s="548"/>
      <c r="OM82" s="548"/>
      <c r="ON82" s="548"/>
      <c r="OO82" s="548"/>
      <c r="OP82" s="548"/>
      <c r="OQ82" s="548"/>
      <c r="OR82" s="548"/>
      <c r="OS82" s="548"/>
      <c r="OT82" s="548"/>
      <c r="OU82" s="548"/>
      <c r="OV82" s="548"/>
      <c r="OW82" s="548"/>
      <c r="OX82" s="548"/>
      <c r="OY82" s="548"/>
      <c r="OZ82" s="548"/>
      <c r="PA82" s="548"/>
      <c r="PB82" s="548"/>
      <c r="PC82" s="548"/>
      <c r="PD82" s="548"/>
      <c r="PE82" s="548"/>
      <c r="PF82" s="548"/>
      <c r="PG82" s="548"/>
      <c r="PH82" s="548"/>
      <c r="PI82" s="548"/>
      <c r="PJ82" s="548"/>
      <c r="PK82" s="548"/>
      <c r="PL82" s="548"/>
      <c r="PM82" s="548"/>
      <c r="PN82" s="548"/>
      <c r="PO82" s="548"/>
      <c r="PP82" s="548"/>
      <c r="PQ82" s="548"/>
      <c r="PR82" s="548"/>
      <c r="PS82" s="548"/>
      <c r="PT82" s="548"/>
      <c r="PU82" s="548"/>
      <c r="PV82" s="548"/>
      <c r="PW82" s="548"/>
      <c r="PX82" s="548"/>
      <c r="PY82" s="548"/>
      <c r="PZ82" s="548"/>
      <c r="QA82" s="548"/>
      <c r="QB82" s="548"/>
      <c r="QC82" s="548"/>
      <c r="QD82" s="548"/>
      <c r="QE82" s="548"/>
      <c r="QF82" s="548"/>
      <c r="QG82" s="548"/>
      <c r="QH82" s="548"/>
      <c r="QI82" s="548"/>
      <c r="QJ82" s="548"/>
      <c r="QK82" s="548"/>
      <c r="QL82" s="548"/>
      <c r="QM82" s="548"/>
      <c r="QN82" s="548"/>
      <c r="QO82" s="548"/>
      <c r="QP82" s="548"/>
      <c r="QQ82" s="1009"/>
      <c r="QR82" s="548"/>
      <c r="QS82" s="548"/>
      <c r="QT82" s="548"/>
      <c r="QU82" s="548"/>
      <c r="QV82" s="548"/>
      <c r="QW82" s="548"/>
      <c r="QX82" s="548"/>
      <c r="QY82" s="548"/>
      <c r="QZ82" s="548"/>
      <c r="RA82" s="548"/>
      <c r="RB82" s="548"/>
      <c r="RC82" s="548"/>
      <c r="RD82" s="548"/>
      <c r="RE82" s="548"/>
      <c r="RF82" s="548"/>
      <c r="RG82" s="548"/>
      <c r="RH82" s="548"/>
      <c r="RI82" s="548"/>
      <c r="RJ82" s="548"/>
      <c r="RK82" s="548"/>
      <c r="RL82" s="548"/>
      <c r="RM82" s="548"/>
      <c r="RN82" s="548"/>
      <c r="RO82" s="548"/>
      <c r="RP82" s="548"/>
      <c r="RQ82" s="548"/>
      <c r="RR82" s="548"/>
      <c r="RS82" s="548"/>
      <c r="RT82" s="548"/>
      <c r="RU82" s="548"/>
      <c r="RV82" s="548"/>
      <c r="RW82" s="548"/>
      <c r="RX82" s="548"/>
      <c r="RY82" s="548"/>
      <c r="RZ82" s="548"/>
      <c r="SA82" s="548"/>
      <c r="SB82" s="548"/>
      <c r="SC82" s="548"/>
      <c r="SD82" s="548"/>
      <c r="SE82" s="548"/>
      <c r="SF82" s="548"/>
      <c r="SG82" s="548"/>
      <c r="SH82" s="548"/>
      <c r="SI82" s="548"/>
      <c r="SJ82" s="548"/>
      <c r="SK82" s="548"/>
      <c r="SL82" s="548"/>
      <c r="SM82" s="548"/>
      <c r="SN82" s="548"/>
      <c r="SO82" s="548"/>
      <c r="SP82" s="548"/>
      <c r="SQ82" s="548"/>
      <c r="SR82" s="548"/>
      <c r="SS82" s="548"/>
      <c r="ST82" s="548"/>
      <c r="SU82" s="548"/>
      <c r="SV82" s="548"/>
      <c r="SW82" s="548"/>
      <c r="SX82" s="548"/>
      <c r="SY82" s="548"/>
      <c r="SZ82" s="548"/>
      <c r="TA82" s="548"/>
      <c r="TB82" s="548"/>
      <c r="TC82" s="548"/>
      <c r="TD82" s="548"/>
      <c r="TE82" s="548"/>
      <c r="TF82" s="548"/>
      <c r="TG82" s="548"/>
      <c r="TH82" s="548"/>
      <c r="TI82" s="548"/>
      <c r="TJ82" s="548"/>
      <c r="TK82" s="548"/>
      <c r="TL82" s="548"/>
      <c r="TM82" s="548"/>
      <c r="TN82" s="548"/>
      <c r="TO82" s="548"/>
      <c r="TP82" s="548"/>
      <c r="TQ82" s="548"/>
      <c r="TR82" s="548"/>
      <c r="TS82" s="548"/>
      <c r="TT82" s="548"/>
      <c r="TU82" s="548"/>
      <c r="TV82" s="548"/>
      <c r="TW82" s="548"/>
      <c r="TX82" s="548"/>
      <c r="TY82" s="548"/>
      <c r="TZ82" s="548"/>
      <c r="UA82" s="548"/>
      <c r="UB82" s="548"/>
      <c r="UC82" s="548"/>
      <c r="UD82" s="548"/>
      <c r="UE82" s="548"/>
      <c r="UF82" s="548"/>
      <c r="UG82" s="548"/>
      <c r="UH82" s="548"/>
      <c r="UI82" s="548"/>
      <c r="UJ82" s="548"/>
      <c r="UK82" s="548"/>
      <c r="UL82" s="548"/>
      <c r="UM82" s="548"/>
      <c r="UN82" s="548"/>
      <c r="UO82" s="548"/>
      <c r="UP82" s="548"/>
      <c r="UQ82" s="548"/>
      <c r="UR82" s="548"/>
      <c r="US82" s="548"/>
      <c r="UT82" s="548"/>
      <c r="UU82" s="548"/>
      <c r="UV82" s="548"/>
      <c r="UW82" s="548"/>
      <c r="UX82" s="548"/>
      <c r="UY82" s="548"/>
      <c r="UZ82" s="548"/>
      <c r="VA82" s="548"/>
      <c r="VB82" s="548"/>
      <c r="VC82" s="548"/>
      <c r="VD82" s="548"/>
      <c r="VE82" s="548"/>
      <c r="VF82" s="548"/>
      <c r="VG82" s="548"/>
      <c r="VH82" s="548"/>
      <c r="VI82" s="548"/>
      <c r="VJ82" s="548"/>
      <c r="VK82" s="548"/>
      <c r="VL82" s="548"/>
      <c r="VM82" s="548"/>
      <c r="VN82" s="548"/>
      <c r="VO82" s="548"/>
      <c r="VP82" s="548"/>
      <c r="VQ82" s="548"/>
      <c r="VR82" s="548"/>
      <c r="VS82" s="548"/>
      <c r="VT82" s="548"/>
      <c r="VU82" s="548"/>
      <c r="VV82" s="548"/>
      <c r="VW82" s="548"/>
      <c r="VX82" s="548"/>
      <c r="VY82" s="548"/>
      <c r="VZ82" s="548"/>
      <c r="WA82" s="548"/>
      <c r="WB82" s="548"/>
      <c r="WC82" s="548"/>
      <c r="WD82" s="548"/>
      <c r="WE82" s="548"/>
      <c r="WF82" s="548"/>
      <c r="WG82" s="548"/>
      <c r="WH82" s="548"/>
      <c r="WI82" s="548"/>
      <c r="WJ82" s="548"/>
      <c r="WK82" s="548"/>
      <c r="WL82" s="548"/>
      <c r="WM82" s="548"/>
      <c r="WN82" s="548"/>
      <c r="WO82" s="548"/>
      <c r="WP82" s="548"/>
      <c r="WQ82" s="548"/>
      <c r="WR82" s="548"/>
      <c r="WS82" s="548"/>
      <c r="WT82" s="548"/>
      <c r="WU82" s="548"/>
      <c r="WV82" s="548"/>
      <c r="WW82" s="548"/>
      <c r="WX82" s="548"/>
      <c r="WY82" s="548"/>
      <c r="WZ82" s="548"/>
      <c r="XA82" s="548"/>
      <c r="XB82" s="548"/>
      <c r="XC82" s="548"/>
      <c r="XD82" s="548"/>
      <c r="XE82" s="548"/>
      <c r="XF82" s="548"/>
      <c r="XG82" s="548"/>
      <c r="XH82" s="548"/>
      <c r="XI82" s="548"/>
      <c r="XJ82" s="548"/>
      <c r="XK82" s="548"/>
      <c r="XL82" s="548"/>
      <c r="XM82" s="548"/>
      <c r="XN82" s="548"/>
      <c r="XO82" s="548"/>
      <c r="XP82" s="548"/>
      <c r="XQ82" s="548"/>
      <c r="XR82" s="548"/>
      <c r="XS82" s="548"/>
      <c r="XT82" s="548"/>
      <c r="XU82" s="548"/>
      <c r="XV82" s="548"/>
      <c r="XW82" s="548"/>
      <c r="XX82" s="548"/>
      <c r="XY82" s="548"/>
      <c r="XZ82" s="548"/>
      <c r="YA82" s="548"/>
      <c r="YB82" s="548"/>
      <c r="YC82" s="548"/>
      <c r="YD82" s="548"/>
      <c r="YE82" s="548"/>
      <c r="YF82" s="548"/>
      <c r="YG82" s="548"/>
      <c r="YH82" s="548"/>
      <c r="YI82" s="548"/>
      <c r="YJ82" s="548"/>
      <c r="YK82" s="548"/>
      <c r="YL82" s="548"/>
      <c r="YM82" s="548"/>
      <c r="YN82" s="548"/>
      <c r="YO82" s="548"/>
      <c r="YP82" s="548"/>
      <c r="YQ82" s="548"/>
      <c r="YR82" s="548"/>
      <c r="YS82" s="548"/>
      <c r="YT82" s="548"/>
      <c r="YU82" s="548"/>
      <c r="YV82" s="548"/>
      <c r="YW82" s="548"/>
      <c r="YX82" s="548"/>
      <c r="YY82" s="548"/>
      <c r="YZ82" s="548"/>
      <c r="ZA82" s="548"/>
      <c r="ZB82" s="548"/>
      <c r="ZC82" s="548"/>
      <c r="ZD82" s="548"/>
      <c r="ZE82" s="548"/>
      <c r="ZF82" s="548"/>
      <c r="ZG82" s="548"/>
      <c r="ZH82" s="548"/>
      <c r="ZI82" s="548"/>
      <c r="ZJ82" s="548"/>
      <c r="ZK82" s="548"/>
      <c r="ZL82" s="548"/>
      <c r="ZM82" s="548"/>
      <c r="ZN82" s="548"/>
      <c r="ZO82" s="548"/>
      <c r="ZP82" s="548"/>
      <c r="ZQ82" s="548"/>
      <c r="ZR82" s="548"/>
      <c r="ZS82" s="548"/>
      <c r="ZT82" s="548"/>
      <c r="ZU82" s="548"/>
      <c r="ZV82" s="548"/>
      <c r="ZW82" s="548"/>
      <c r="ZX82" s="548"/>
      <c r="ZY82" s="548"/>
      <c r="ZZ82" s="548"/>
      <c r="AAA82" s="548"/>
      <c r="AAB82" s="548"/>
      <c r="AAC82" s="548"/>
      <c r="AAD82" s="548"/>
      <c r="AAE82" s="548"/>
      <c r="AAF82" s="548"/>
      <c r="AAG82" s="548"/>
      <c r="AAH82" s="548"/>
      <c r="AAI82" s="548"/>
      <c r="AAJ82" s="548"/>
      <c r="AAK82" s="548"/>
      <c r="AAL82" s="548"/>
      <c r="AAM82" s="548"/>
      <c r="AAN82" s="548"/>
      <c r="AAO82" s="548"/>
      <c r="AAP82" s="548"/>
      <c r="AAQ82" s="548"/>
      <c r="AAR82" s="548"/>
      <c r="AAS82" s="548"/>
      <c r="AAT82" s="548"/>
      <c r="AAU82" s="548"/>
      <c r="AAV82" s="548"/>
      <c r="AAW82" s="548"/>
      <c r="AAX82" s="548"/>
      <c r="AAY82" s="548"/>
      <c r="AAZ82" s="548"/>
      <c r="ABA82" s="548"/>
      <c r="ABB82" s="548"/>
      <c r="ABC82" s="548"/>
      <c r="ABD82" s="548"/>
      <c r="ABE82" s="548"/>
      <c r="ABF82" s="548"/>
      <c r="ABG82" s="548"/>
      <c r="ABH82" s="548"/>
      <c r="ABI82" s="548"/>
      <c r="ABJ82" s="548"/>
      <c r="ABK82" s="548"/>
      <c r="ABL82" s="548"/>
      <c r="ABM82" s="548"/>
      <c r="ABN82" s="548"/>
      <c r="ABO82" s="548"/>
      <c r="ABP82" s="548"/>
      <c r="ABQ82" s="548"/>
      <c r="ABR82" s="548"/>
      <c r="ABS82" s="548"/>
    </row>
    <row r="83" spans="1:747" customFormat="1" ht="15" customHeight="1" thickBot="1" x14ac:dyDescent="0.25">
      <c r="A83" s="424" t="str">
        <f t="shared" si="909"/>
        <v/>
      </c>
      <c r="B83" s="415"/>
      <c r="C83" s="525"/>
      <c r="D83" s="750"/>
      <c r="E83" s="416" t="str">
        <f t="shared" si="751"/>
        <v/>
      </c>
      <c r="F83" s="527" t="str">
        <f t="shared" si="752"/>
        <v/>
      </c>
      <c r="G83" s="417"/>
      <c r="H83" s="585" t="str">
        <f t="shared" si="753"/>
        <v/>
      </c>
      <c r="I83" s="424"/>
      <c r="J83" s="419"/>
      <c r="K83" s="418"/>
      <c r="L83" s="419"/>
      <c r="M83" s="415"/>
      <c r="N83" s="420"/>
      <c r="O83" s="421"/>
      <c r="P83" s="561"/>
      <c r="Q83" s="422"/>
      <c r="R83" s="561" t="str">
        <f t="shared" si="754"/>
        <v/>
      </c>
      <c r="S83" s="664"/>
      <c r="T83" s="663"/>
      <c r="U83" s="580">
        <f t="shared" si="755"/>
        <v>0</v>
      </c>
      <c r="V83" s="418"/>
      <c r="W83" s="582" t="str">
        <f t="shared" si="756"/>
        <v/>
      </c>
      <c r="X83" s="479" t="str">
        <f t="shared" si="757"/>
        <v/>
      </c>
      <c r="Y83" s="582" t="str">
        <f t="shared" si="758"/>
        <v/>
      </c>
      <c r="Z83" s="317" t="str">
        <f t="shared" si="759"/>
        <v/>
      </c>
      <c r="AA83" s="317" t="str">
        <f t="shared" si="760"/>
        <v/>
      </c>
      <c r="AB83" s="317">
        <f t="shared" si="761"/>
        <v>0</v>
      </c>
      <c r="AC83" s="317" t="str">
        <f t="shared" si="762"/>
        <v/>
      </c>
      <c r="AD83" s="479"/>
      <c r="AE83" s="479"/>
      <c r="AF83" s="479"/>
      <c r="AG83" s="423"/>
      <c r="AH83" s="820"/>
      <c r="AI83" s="437"/>
      <c r="AJ83" s="660"/>
      <c r="AK83" s="524" t="str">
        <f t="shared" si="763"/>
        <v/>
      </c>
      <c r="AL83" s="748" t="str">
        <f>IF(Dados!$E$3="","",($IK$2+$IM$2)-$AL$82)</f>
        <v/>
      </c>
      <c r="AM83" s="753" t="str">
        <f>IF(Dados!$E$3="","",($IO$2+$IQ$2)-$AM$82)</f>
        <v/>
      </c>
      <c r="AN83" s="426">
        <f t="shared" si="764"/>
        <v>0</v>
      </c>
      <c r="AO83" s="427" t="str">
        <f t="shared" si="765"/>
        <v/>
      </c>
      <c r="AP83" s="426" t="str">
        <f t="shared" si="766"/>
        <v/>
      </c>
      <c r="AQ83" s="426"/>
      <c r="AR83" s="426"/>
      <c r="AS83" s="428"/>
      <c r="AT83" s="429"/>
      <c r="AU83" s="430"/>
      <c r="AV83" s="431"/>
      <c r="AW83" s="432"/>
      <c r="AX83" s="430"/>
      <c r="AY83" s="431">
        <f t="shared" si="767"/>
        <v>0</v>
      </c>
      <c r="AZ83" s="426"/>
      <c r="BA83" s="435" t="str">
        <f t="shared" si="768"/>
        <v/>
      </c>
      <c r="BB83" s="435"/>
      <c r="BC83" s="426"/>
      <c r="BD83" s="426">
        <f t="array" ref="BD83">IF(SUM((BC83=$BC$3:BC82)*1)=0,BC83,0)</f>
        <v>0</v>
      </c>
      <c r="BE83" s="426"/>
      <c r="BF83" s="426"/>
      <c r="BG83" s="426">
        <f t="array" ref="BG83">IF(SUM((BF83=$BF$3:BF82)*1)=0,BF83,0)</f>
        <v>0</v>
      </c>
      <c r="BH83" s="426"/>
      <c r="BI83" s="426"/>
      <c r="BJ83" s="426"/>
      <c r="BK83" s="426"/>
      <c r="BL83" s="426"/>
      <c r="BM83" s="426"/>
      <c r="BN83" s="426"/>
      <c r="BO83" s="426"/>
      <c r="BP83" s="433">
        <f t="shared" si="769"/>
        <v>0</v>
      </c>
      <c r="BQ83" s="426"/>
      <c r="BR83" s="434"/>
      <c r="BS83" s="426"/>
      <c r="BT83" s="433"/>
      <c r="BU83" s="435"/>
      <c r="BV83" s="435" t="str">
        <f t="shared" si="770"/>
        <v/>
      </c>
      <c r="BW83" s="435" t="str">
        <f t="shared" si="798"/>
        <v/>
      </c>
      <c r="BX83" s="435"/>
      <c r="BY83" s="435"/>
      <c r="BZ83" s="435"/>
      <c r="CA83" s="435"/>
      <c r="CB83" s="435"/>
      <c r="CC83" s="435"/>
      <c r="CD83" s="435"/>
      <c r="CE83" s="435"/>
      <c r="CF83" s="435"/>
      <c r="CG83" s="435"/>
      <c r="CH83" s="435"/>
      <c r="CI83" s="435"/>
      <c r="CJ83" s="426" t="str">
        <f t="shared" si="799"/>
        <v/>
      </c>
      <c r="CK83" s="435"/>
      <c r="CL83" s="426"/>
      <c r="CM83" s="435"/>
      <c r="CN83" s="426"/>
      <c r="CO83" s="426"/>
      <c r="CP83" s="426"/>
      <c r="CQ83" s="426"/>
      <c r="CR83" s="426"/>
      <c r="CS83" s="426"/>
      <c r="CT83" s="426"/>
      <c r="CU83" s="426"/>
      <c r="CV83" s="426"/>
      <c r="CW83" s="493"/>
      <c r="CX83" s="493"/>
      <c r="CY83" s="426">
        <v>80</v>
      </c>
      <c r="CZ83" s="493"/>
      <c r="DA83" s="493"/>
      <c r="DB83" s="493"/>
      <c r="DC83" s="426" t="s">
        <v>823</v>
      </c>
      <c r="DD83" s="426" t="s">
        <v>983</v>
      </c>
      <c r="DE83" s="435" t="str">
        <f t="shared" si="800"/>
        <v/>
      </c>
      <c r="DF83" s="435" t="str">
        <f t="shared" si="801"/>
        <v/>
      </c>
      <c r="DG83" s="435" t="str">
        <f t="shared" si="802"/>
        <v/>
      </c>
      <c r="DH83" s="435" t="str">
        <f t="shared" si="803"/>
        <v/>
      </c>
      <c r="DI83" s="435" t="str">
        <f t="shared" si="804"/>
        <v/>
      </c>
      <c r="DJ83" s="435" t="str">
        <f t="shared" si="805"/>
        <v/>
      </c>
      <c r="DK83" s="435" t="str">
        <f t="shared" si="771"/>
        <v/>
      </c>
      <c r="DL83" s="435" t="str">
        <f t="shared" si="772"/>
        <v/>
      </c>
      <c r="DM83" s="435" t="str">
        <f t="shared" si="806"/>
        <v/>
      </c>
      <c r="DN83" s="435" t="str">
        <f t="shared" si="807"/>
        <v/>
      </c>
      <c r="DO83" s="435" t="str">
        <f t="shared" si="773"/>
        <v/>
      </c>
      <c r="DP83" s="435" t="str">
        <f t="shared" si="774"/>
        <v/>
      </c>
      <c r="DQ83" s="435" t="str">
        <f t="shared" si="808"/>
        <v/>
      </c>
      <c r="DR83" s="435" t="str">
        <f t="shared" si="809"/>
        <v/>
      </c>
      <c r="DS83" s="435" t="str">
        <f t="shared" si="775"/>
        <v/>
      </c>
      <c r="DT83" s="435" t="str">
        <f t="shared" si="776"/>
        <v/>
      </c>
      <c r="DU83" s="435" t="str">
        <f t="shared" si="810"/>
        <v/>
      </c>
      <c r="DV83" s="435" t="str">
        <f t="shared" si="811"/>
        <v/>
      </c>
      <c r="DW83" s="435" t="str">
        <f t="shared" si="777"/>
        <v/>
      </c>
      <c r="DX83" s="435" t="str">
        <f t="shared" si="778"/>
        <v/>
      </c>
      <c r="DY83" s="435" t="str">
        <f t="shared" si="812"/>
        <v/>
      </c>
      <c r="DZ83" s="435" t="str">
        <f t="shared" si="813"/>
        <v/>
      </c>
      <c r="EA83" s="435" t="str">
        <f t="shared" si="779"/>
        <v/>
      </c>
      <c r="EB83" s="435" t="str">
        <f t="shared" si="780"/>
        <v/>
      </c>
      <c r="EC83" s="435" t="str">
        <f t="shared" si="781"/>
        <v/>
      </c>
      <c r="ED83" s="435" t="str">
        <f t="shared" si="782"/>
        <v/>
      </c>
      <c r="EE83" s="435" t="str">
        <f t="shared" si="783"/>
        <v/>
      </c>
      <c r="EF83" s="435" t="str">
        <f t="shared" si="784"/>
        <v/>
      </c>
      <c r="EG83" s="435" t="str">
        <f t="shared" si="785"/>
        <v/>
      </c>
      <c r="EH83" s="435" t="str">
        <f t="shared" si="786"/>
        <v/>
      </c>
      <c r="EI83" s="435" t="str">
        <f t="shared" si="787"/>
        <v/>
      </c>
      <c r="EJ83" s="435" t="str">
        <f t="shared" si="788"/>
        <v/>
      </c>
      <c r="EK83" s="485"/>
      <c r="EL83" s="485"/>
      <c r="EM83" s="485"/>
      <c r="EN83" s="485"/>
      <c r="EO83" s="448"/>
      <c r="EP83" s="448"/>
      <c r="EQ83" s="448"/>
      <c r="ER83" s="448"/>
      <c r="ES83" s="448"/>
      <c r="ET83" s="435"/>
      <c r="EU83" s="435"/>
      <c r="EV83" s="435"/>
      <c r="EW83" s="435"/>
      <c r="EX83" s="426"/>
      <c r="EY83" s="426"/>
      <c r="EZ83" s="426"/>
      <c r="FA83" s="863"/>
      <c r="FB83" s="427">
        <f t="array" ref="FB83">IF(SUM((FA83=$FA$3:FA82)*1)=0,FA83,0)</f>
        <v>0</v>
      </c>
      <c r="FC83" s="863"/>
      <c r="FD83" s="863"/>
      <c r="FE83" s="863">
        <f t="array" ref="FE83">IF(SUM((FD83=$FD$3:FD82)*1)=0,FD83,0)</f>
        <v>0</v>
      </c>
      <c r="FF83" s="863"/>
      <c r="FG83" s="863"/>
      <c r="FH83" s="863"/>
      <c r="FI83" s="427">
        <f t="array" ref="FI83">IF(SUM((FH83=$FH$3:FH82)*1)=0,FH83,0)</f>
        <v>0</v>
      </c>
      <c r="FJ83" s="863"/>
      <c r="FK83" s="863"/>
      <c r="FL83" s="863">
        <f t="array" ref="FL83">IF(SUM((FK83=$FK$3:FK82)*1)=0,FK83,0)</f>
        <v>0</v>
      </c>
      <c r="FM83" s="863"/>
      <c r="FN83" s="863"/>
      <c r="FO83" s="863"/>
      <c r="FP83" s="427">
        <f t="array" ref="FP83">IF(SUM((FO83=$FO$3:FO82)*1)=0,FO83,0)</f>
        <v>0</v>
      </c>
      <c r="FQ83" s="863"/>
      <c r="FR83" s="863"/>
      <c r="FS83" s="863">
        <f t="array" ref="FS83">IF(SUM((FR83=$FR$3:FR82)*1)=0,FR83,0)</f>
        <v>0</v>
      </c>
      <c r="FT83" s="863"/>
      <c r="FU83" s="863"/>
      <c r="FV83" s="863"/>
      <c r="FW83" s="427">
        <f t="array" ref="FW83">IF(SUM((FV83=$FV$3:FV82)*1)=0,FV83,0)</f>
        <v>0</v>
      </c>
      <c r="FX83" s="863"/>
      <c r="FY83" s="863"/>
      <c r="FZ83" s="863">
        <f t="array" ref="FZ83">IF(SUM((FY83=$FY$3:FY82)*1)=0,FY83,0)</f>
        <v>0</v>
      </c>
      <c r="GA83" s="863"/>
      <c r="GB83" s="863"/>
      <c r="GC83" s="863"/>
      <c r="GD83" s="427">
        <f t="array" ref="GD83">IF(SUM((GC83=$GC$3:GC82)*1)=0,GC83,0)</f>
        <v>0</v>
      </c>
      <c r="GE83" s="863"/>
      <c r="GF83" s="863"/>
      <c r="GG83" s="863">
        <f t="array" ref="GG83">IF(SUM((GF83=$GF$3:GF82)*1)=0,GF83,0)</f>
        <v>0</v>
      </c>
      <c r="GH83" s="863"/>
      <c r="GI83" s="863"/>
      <c r="GJ83" s="863"/>
      <c r="GK83" s="798">
        <f t="array" ref="GK83">IF(SUM((GJ83=$GJ$3:GJ82)*1)=0,GJ83,0)</f>
        <v>0</v>
      </c>
      <c r="GL83" s="863"/>
      <c r="GM83" s="863"/>
      <c r="GN83" s="798">
        <f t="array" ref="GN83">IF(SUM((GM83=$GM$3:GM82)*1)=0,GM83,0)</f>
        <v>0</v>
      </c>
      <c r="GO83" s="863"/>
      <c r="GP83" s="863"/>
      <c r="GQ83" s="863"/>
      <c r="GR83" s="798">
        <f t="array" ref="GR83">IF(SUM((GQ83=$GQ$3:GQ82)*1)=0,GQ83,0)</f>
        <v>0</v>
      </c>
      <c r="GS83" s="863"/>
      <c r="GT83" s="863"/>
      <c r="GU83" s="798">
        <f t="array" ref="GU83">IF(SUM((GT83=$GT$3:GT82)*1)=0,GT83,0)</f>
        <v>0</v>
      </c>
      <c r="GV83" s="863"/>
      <c r="GW83" s="863"/>
      <c r="GX83" s="863"/>
      <c r="GY83" s="798">
        <f t="array" ref="GY83">IF(SUM((GX83=$GX$3:GX82)*1)=0,GX83,0)</f>
        <v>0</v>
      </c>
      <c r="GZ83" s="863"/>
      <c r="HA83" s="863"/>
      <c r="HB83" s="798">
        <f t="array" ref="HB83">IF(SUM((HA83=$HA$3:HA82)*1)=0,HA83,0)</f>
        <v>0</v>
      </c>
      <c r="HC83" s="863"/>
      <c r="HD83" s="863"/>
      <c r="HE83" s="769" t="str">
        <f t="shared" si="889"/>
        <v/>
      </c>
      <c r="HF83" s="768" t="str">
        <f t="shared" ref="HF83" si="1018">IF(HE83&lt;0,"Invadiu REP-BA-C","")</f>
        <v/>
      </c>
      <c r="HG83" s="769" t="str">
        <f t="shared" si="891"/>
        <v/>
      </c>
      <c r="HH83" s="768" t="str">
        <f t="shared" si="815"/>
        <v/>
      </c>
      <c r="HI83" s="728" t="str">
        <f t="shared" si="892"/>
        <v/>
      </c>
      <c r="HJ83" s="768" t="str">
        <f t="shared" si="816"/>
        <v/>
      </c>
      <c r="HK83" s="728" t="str">
        <f t="shared" si="893"/>
        <v/>
      </c>
      <c r="HL83" s="768" t="str">
        <f t="shared" si="817"/>
        <v/>
      </c>
      <c r="HM83" s="769" t="str">
        <f t="shared" si="818"/>
        <v/>
      </c>
      <c r="HN83" s="768" t="str">
        <f t="shared" ref="HN83" si="1019">IF(HM83&lt;0,"Invadiu REP-BA-C","")</f>
        <v/>
      </c>
      <c r="HO83" s="769" t="str">
        <f t="shared" si="820"/>
        <v/>
      </c>
      <c r="HP83" s="768" t="str">
        <f t="shared" si="821"/>
        <v/>
      </c>
      <c r="HQ83" s="728" t="str">
        <f t="shared" si="822"/>
        <v/>
      </c>
      <c r="HR83" s="768" t="str">
        <f t="shared" si="823"/>
        <v/>
      </c>
      <c r="HS83" s="728" t="str">
        <f t="shared" si="824"/>
        <v/>
      </c>
      <c r="HT83" s="768" t="str">
        <f t="shared" si="825"/>
        <v/>
      </c>
      <c r="HU83" s="769" t="str">
        <f t="shared" si="826"/>
        <v/>
      </c>
      <c r="HV83" s="768" t="str">
        <f t="shared" ref="HV83" si="1020">IF(HU83&lt;0,"Invadiu REP-BA-C","")</f>
        <v/>
      </c>
      <c r="HW83" s="769" t="str">
        <f t="shared" si="828"/>
        <v/>
      </c>
      <c r="HX83" s="768" t="str">
        <f t="shared" si="829"/>
        <v/>
      </c>
      <c r="HY83" s="728" t="str">
        <f t="shared" si="830"/>
        <v/>
      </c>
      <c r="HZ83" s="768" t="str">
        <f t="shared" si="831"/>
        <v/>
      </c>
      <c r="IA83" s="728" t="str">
        <f t="shared" si="832"/>
        <v/>
      </c>
      <c r="IB83" s="768" t="str">
        <f t="shared" si="833"/>
        <v/>
      </c>
      <c r="IC83" s="769" t="str">
        <f t="shared" si="834"/>
        <v/>
      </c>
      <c r="ID83" s="768" t="str">
        <f t="shared" ref="ID83" si="1021">IF(IC83&lt;0,"Invadiu REP-BA-C","")</f>
        <v/>
      </c>
      <c r="IE83" s="769" t="str">
        <f t="shared" si="836"/>
        <v/>
      </c>
      <c r="IF83" s="768" t="str">
        <f t="shared" si="837"/>
        <v/>
      </c>
      <c r="IG83" s="728" t="str">
        <f t="shared" si="838"/>
        <v/>
      </c>
      <c r="IH83" s="768" t="str">
        <f t="shared" si="839"/>
        <v/>
      </c>
      <c r="II83" s="728" t="str">
        <f t="shared" si="840"/>
        <v/>
      </c>
      <c r="IJ83" s="768" t="str">
        <f t="shared" si="841"/>
        <v/>
      </c>
      <c r="IK83" s="769" t="str">
        <f t="shared" si="842"/>
        <v/>
      </c>
      <c r="IL83" s="768" t="str">
        <f t="shared" ref="IL83" si="1022">IF(IK83&lt;0,"Invadiu REP-BA-C","")</f>
        <v/>
      </c>
      <c r="IM83" s="769" t="str">
        <f t="shared" si="844"/>
        <v/>
      </c>
      <c r="IN83" s="768" t="str">
        <f t="shared" si="845"/>
        <v/>
      </c>
      <c r="IO83" s="728" t="str">
        <f t="shared" si="846"/>
        <v/>
      </c>
      <c r="IP83" s="768" t="str">
        <f t="shared" si="847"/>
        <v/>
      </c>
      <c r="IQ83" s="728" t="str">
        <f t="shared" si="848"/>
        <v/>
      </c>
      <c r="IR83" s="768" t="str">
        <f t="shared" si="849"/>
        <v/>
      </c>
      <c r="IS83" s="769" t="str">
        <f t="shared" si="850"/>
        <v/>
      </c>
      <c r="IT83" s="768" t="str">
        <f t="shared" ref="IT83" si="1023">IF(IS83&lt;0,"Invadiu REP-BA-C","")</f>
        <v/>
      </c>
      <c r="IU83" s="769" t="str">
        <f t="shared" si="852"/>
        <v/>
      </c>
      <c r="IV83" s="768" t="str">
        <f t="shared" si="853"/>
        <v/>
      </c>
      <c r="IW83" s="728" t="str">
        <f t="shared" si="854"/>
        <v/>
      </c>
      <c r="IX83" s="768" t="str">
        <f t="shared" si="855"/>
        <v/>
      </c>
      <c r="IY83" s="728" t="str">
        <f t="shared" si="856"/>
        <v/>
      </c>
      <c r="IZ83" s="768" t="str">
        <f t="shared" si="857"/>
        <v/>
      </c>
      <c r="JA83" s="769" t="str">
        <f t="shared" si="858"/>
        <v/>
      </c>
      <c r="JB83" s="768" t="str">
        <f t="shared" ref="JB83" si="1024">IF(JA83&lt;0,"Invadiu REP-BA-C","")</f>
        <v/>
      </c>
      <c r="JC83" s="769" t="str">
        <f t="shared" si="860"/>
        <v/>
      </c>
      <c r="JD83" s="768" t="str">
        <f t="shared" si="861"/>
        <v/>
      </c>
      <c r="JE83" s="728" t="str">
        <f t="shared" si="862"/>
        <v/>
      </c>
      <c r="JF83" s="768" t="str">
        <f t="shared" si="863"/>
        <v/>
      </c>
      <c r="JG83" s="728" t="str">
        <f t="shared" si="864"/>
        <v/>
      </c>
      <c r="JH83" s="768" t="str">
        <f t="shared" si="865"/>
        <v/>
      </c>
      <c r="JI83" s="769" t="str">
        <f t="shared" si="866"/>
        <v/>
      </c>
      <c r="JJ83" s="768" t="str">
        <f t="shared" ref="JJ83" si="1025">IF(JI83&lt;0,"Invadiu REP-BA-C","")</f>
        <v/>
      </c>
      <c r="JK83" s="769" t="str">
        <f t="shared" si="868"/>
        <v/>
      </c>
      <c r="JL83" s="768" t="str">
        <f t="shared" si="869"/>
        <v/>
      </c>
      <c r="JM83" s="728" t="str">
        <f t="shared" si="870"/>
        <v/>
      </c>
      <c r="JN83" s="768" t="str">
        <f t="shared" si="871"/>
        <v/>
      </c>
      <c r="JO83" s="728" t="str">
        <f t="shared" si="872"/>
        <v/>
      </c>
      <c r="JP83" s="768" t="str">
        <f t="shared" si="873"/>
        <v/>
      </c>
      <c r="JQ83" s="769" t="str">
        <f t="shared" si="874"/>
        <v/>
      </c>
      <c r="JR83" s="768" t="str">
        <f t="shared" ref="JR83" si="1026">IF(JQ83&lt;0,"Invadiu REP-BA-C","")</f>
        <v/>
      </c>
      <c r="JS83" s="769" t="str">
        <f t="shared" si="876"/>
        <v/>
      </c>
      <c r="JT83" s="768" t="str">
        <f t="shared" si="877"/>
        <v/>
      </c>
      <c r="JU83" s="728" t="str">
        <f t="shared" si="878"/>
        <v/>
      </c>
      <c r="JV83" s="768" t="str">
        <f t="shared" si="879"/>
        <v/>
      </c>
      <c r="JW83" s="728" t="str">
        <f t="shared" si="880"/>
        <v/>
      </c>
      <c r="JX83" s="768" t="str">
        <f t="shared" si="881"/>
        <v/>
      </c>
      <c r="JY83" s="768" t="str">
        <f t="shared" si="882"/>
        <v/>
      </c>
      <c r="JZ83" s="485" t="str">
        <f>IF(JY83="","",IF(AND(C83=$C$164,JY83&lt;&gt;""),Verificarcpf(D83),IF(AND(C83=$C$165,JY83&lt;&gt;""),VerificarCNPJ(D83))))</f>
        <v/>
      </c>
      <c r="KA83" s="768" t="str">
        <f t="shared" si="883"/>
        <v/>
      </c>
      <c r="KB83" s="485">
        <f t="shared" si="884"/>
        <v>0</v>
      </c>
      <c r="KC83" s="768">
        <f t="shared" si="885"/>
        <v>0</v>
      </c>
      <c r="KD83" s="485">
        <f t="shared" si="886"/>
        <v>0</v>
      </c>
      <c r="KE83" s="448"/>
      <c r="KF83" s="548"/>
      <c r="KG83" s="548"/>
      <c r="KH83" s="548"/>
      <c r="KI83" s="548"/>
      <c r="KJ83" s="548" t="str">
        <f t="shared" si="887"/>
        <v/>
      </c>
      <c r="KK83" s="548"/>
      <c r="KL83" s="548"/>
      <c r="KM83" s="548">
        <f t="array" ref="KM83">IF(SUM((KL83=$KL$3:KL82)*1)=0,KL83,0)</f>
        <v>0</v>
      </c>
      <c r="KN83" s="548"/>
      <c r="KO83" s="548"/>
      <c r="KP83" s="548"/>
      <c r="KQ83" s="548"/>
      <c r="KR83" s="548" t="str">
        <f t="shared" si="888"/>
        <v/>
      </c>
      <c r="KS83" s="548"/>
      <c r="KT83" s="548"/>
      <c r="KU83" s="548"/>
      <c r="KV83" s="548"/>
      <c r="KW83" s="548"/>
      <c r="KX83" s="548"/>
      <c r="KY83" s="548"/>
      <c r="KZ83" s="548"/>
      <c r="LA83" s="548"/>
      <c r="LB83" s="548"/>
      <c r="LC83" s="485" t="str">
        <f t="shared" si="902"/>
        <v/>
      </c>
      <c r="LD83" s="548"/>
      <c r="LE83" s="548"/>
      <c r="LF83" s="548"/>
      <c r="LG83" s="548"/>
      <c r="LH83" s="548"/>
      <c r="LI83" s="548"/>
      <c r="LJ83" s="548"/>
      <c r="LK83" s="548"/>
      <c r="LL83" s="548"/>
      <c r="LM83" s="548"/>
      <c r="LN83" s="548"/>
      <c r="LO83" s="548"/>
      <c r="LP83" s="485" t="str">
        <f t="shared" si="903"/>
        <v/>
      </c>
      <c r="LQ83" s="548"/>
      <c r="LR83" s="548"/>
      <c r="LS83" s="548"/>
      <c r="LT83" s="548"/>
      <c r="LU83" s="548"/>
      <c r="LV83" s="548"/>
      <c r="LW83" s="548"/>
      <c r="LX83" s="548"/>
      <c r="LY83" s="548"/>
      <c r="LZ83" s="548"/>
      <c r="MA83" s="548"/>
      <c r="MB83" s="548"/>
      <c r="MC83" s="485" t="str">
        <f t="shared" si="904"/>
        <v/>
      </c>
      <c r="MD83" s="548"/>
      <c r="ME83" s="548"/>
      <c r="MF83" s="548"/>
      <c r="MG83" s="548"/>
      <c r="MH83" s="548"/>
      <c r="MI83" s="548"/>
      <c r="MJ83" s="548"/>
      <c r="MK83" s="548"/>
      <c r="ML83" s="548"/>
      <c r="MM83" s="548"/>
      <c r="MN83" s="548"/>
      <c r="MO83" s="548"/>
      <c r="MP83" s="485" t="str">
        <f t="shared" si="905"/>
        <v/>
      </c>
      <c r="MQ83" s="548"/>
      <c r="MR83" s="548"/>
      <c r="MS83" s="548"/>
      <c r="MT83" s="548"/>
      <c r="MU83" s="548"/>
      <c r="MV83" s="548"/>
      <c r="MW83" s="548"/>
      <c r="MX83" s="548"/>
      <c r="MY83" s="548"/>
      <c r="MZ83" s="548"/>
      <c r="NA83" s="548"/>
      <c r="NB83" s="548"/>
      <c r="NC83" s="485" t="str">
        <f t="shared" si="906"/>
        <v/>
      </c>
      <c r="ND83" s="548"/>
      <c r="NE83" s="548"/>
      <c r="NF83" s="548"/>
      <c r="NG83" s="548"/>
      <c r="NH83" s="548"/>
      <c r="NI83" s="548"/>
      <c r="NJ83" s="548"/>
      <c r="NK83" s="548"/>
      <c r="NL83" s="548"/>
      <c r="NM83" s="548"/>
      <c r="NN83" s="548"/>
      <c r="NO83" s="548"/>
      <c r="NP83" s="485" t="str">
        <f t="shared" si="907"/>
        <v/>
      </c>
      <c r="NQ83" s="548"/>
      <c r="NR83" s="548"/>
      <c r="NS83" s="548"/>
      <c r="NT83" s="548"/>
      <c r="NU83" s="548"/>
      <c r="NV83" s="548"/>
      <c r="NW83" s="548"/>
      <c r="NX83" s="548"/>
      <c r="NY83" s="548"/>
      <c r="NZ83" s="548"/>
      <c r="OA83" s="548"/>
      <c r="OB83" s="548"/>
      <c r="OC83" s="485" t="str">
        <f t="shared" si="908"/>
        <v/>
      </c>
      <c r="OD83" s="548"/>
      <c r="OE83" s="548"/>
      <c r="OF83" s="548"/>
      <c r="OG83" s="548"/>
      <c r="OH83" s="548"/>
      <c r="OI83" s="548"/>
      <c r="OJ83" s="548"/>
      <c r="OK83" s="548"/>
      <c r="OL83" s="548"/>
      <c r="OM83" s="548"/>
      <c r="ON83" s="548"/>
      <c r="OO83" s="548"/>
      <c r="OP83" s="548"/>
      <c r="OQ83" s="548"/>
      <c r="OR83" s="548"/>
      <c r="OS83" s="548"/>
      <c r="OT83" s="548"/>
      <c r="OU83" s="548"/>
      <c r="OV83" s="548"/>
      <c r="OW83" s="548"/>
      <c r="OX83" s="548"/>
      <c r="OY83" s="548"/>
      <c r="OZ83" s="548"/>
      <c r="PA83" s="548"/>
      <c r="PB83" s="548"/>
      <c r="PC83" s="548"/>
      <c r="PD83" s="548"/>
      <c r="PE83" s="548"/>
      <c r="PF83" s="548"/>
      <c r="PG83" s="548"/>
      <c r="PH83" s="548"/>
      <c r="PI83" s="548"/>
      <c r="PJ83" s="548"/>
      <c r="PK83" s="548"/>
      <c r="PL83" s="548"/>
      <c r="PM83" s="548"/>
      <c r="PN83" s="548"/>
      <c r="PO83" s="548"/>
      <c r="PP83" s="548"/>
      <c r="PQ83" s="548"/>
      <c r="PR83" s="548"/>
      <c r="PS83" s="548"/>
      <c r="PT83" s="548"/>
      <c r="PU83" s="548"/>
      <c r="PV83" s="548"/>
      <c r="PW83" s="548"/>
      <c r="PX83" s="548"/>
      <c r="PY83" s="548"/>
      <c r="PZ83" s="548"/>
      <c r="QA83" s="548"/>
      <c r="QB83" s="548"/>
      <c r="QC83" s="548"/>
      <c r="QD83" s="548"/>
      <c r="QE83" s="548"/>
      <c r="QF83" s="548"/>
      <c r="QG83" s="548"/>
      <c r="QH83" s="548"/>
      <c r="QI83" s="548"/>
      <c r="QJ83" s="548"/>
      <c r="QK83" s="548"/>
      <c r="QL83" s="548"/>
      <c r="QM83" s="548"/>
      <c r="QN83" s="548"/>
      <c r="QO83" s="548"/>
      <c r="QP83" s="548"/>
      <c r="QQ83" s="1009"/>
      <c r="QR83" s="548"/>
      <c r="QS83" s="548"/>
      <c r="QT83" s="548"/>
      <c r="QU83" s="548"/>
      <c r="QV83" s="548"/>
      <c r="QW83" s="548"/>
      <c r="QX83" s="548"/>
      <c r="QY83" s="548"/>
      <c r="QZ83" s="548"/>
      <c r="RA83" s="548"/>
      <c r="RB83" s="548"/>
      <c r="RC83" s="548"/>
      <c r="RD83" s="548"/>
      <c r="RE83" s="548"/>
      <c r="RF83" s="548"/>
      <c r="RG83" s="548"/>
      <c r="RH83" s="548"/>
      <c r="RI83" s="548"/>
      <c r="RJ83" s="548"/>
      <c r="RK83" s="548"/>
      <c r="RL83" s="548"/>
      <c r="RM83" s="548"/>
      <c r="RN83" s="548"/>
      <c r="RO83" s="548"/>
      <c r="RP83" s="548"/>
      <c r="RQ83" s="548"/>
      <c r="RR83" s="548"/>
      <c r="RS83" s="548"/>
      <c r="RT83" s="548"/>
      <c r="RU83" s="548"/>
      <c r="RV83" s="548"/>
      <c r="RW83" s="548"/>
      <c r="RX83" s="548"/>
      <c r="RY83" s="548"/>
      <c r="RZ83" s="548"/>
      <c r="SA83" s="548"/>
      <c r="SB83" s="548"/>
      <c r="SC83" s="548"/>
      <c r="SD83" s="548"/>
      <c r="SE83" s="548"/>
      <c r="SF83" s="548"/>
      <c r="SG83" s="548"/>
      <c r="SH83" s="548"/>
      <c r="SI83" s="548"/>
      <c r="SJ83" s="548"/>
      <c r="SK83" s="548"/>
      <c r="SL83" s="548"/>
      <c r="SM83" s="548"/>
      <c r="SN83" s="548"/>
      <c r="SO83" s="548"/>
      <c r="SP83" s="548"/>
      <c r="SQ83" s="548"/>
      <c r="SR83" s="548"/>
      <c r="SS83" s="548"/>
      <c r="ST83" s="548"/>
      <c r="SU83" s="548"/>
      <c r="SV83" s="548"/>
      <c r="SW83" s="548"/>
      <c r="SX83" s="548"/>
      <c r="SY83" s="548"/>
      <c r="SZ83" s="548"/>
      <c r="TA83" s="548"/>
      <c r="TB83" s="548"/>
      <c r="TC83" s="548"/>
      <c r="TD83" s="548"/>
      <c r="TE83" s="548"/>
      <c r="TF83" s="548"/>
      <c r="TG83" s="548"/>
      <c r="TH83" s="548"/>
      <c r="TI83" s="548"/>
      <c r="TJ83" s="548"/>
      <c r="TK83" s="548"/>
      <c r="TL83" s="548"/>
      <c r="TM83" s="548"/>
      <c r="TN83" s="548"/>
      <c r="TO83" s="548"/>
      <c r="TP83" s="548"/>
      <c r="TQ83" s="548"/>
      <c r="TR83" s="548"/>
      <c r="TS83" s="548"/>
      <c r="TT83" s="548"/>
      <c r="TU83" s="548"/>
      <c r="TV83" s="548"/>
      <c r="TW83" s="548"/>
      <c r="TX83" s="548"/>
      <c r="TY83" s="548"/>
      <c r="TZ83" s="548"/>
      <c r="UA83" s="548"/>
      <c r="UB83" s="548"/>
      <c r="UC83" s="548"/>
      <c r="UD83" s="548"/>
      <c r="UE83" s="548"/>
      <c r="UF83" s="548"/>
      <c r="UG83" s="548"/>
      <c r="UH83" s="548"/>
      <c r="UI83" s="548"/>
      <c r="UJ83" s="548"/>
      <c r="UK83" s="548"/>
      <c r="UL83" s="548"/>
      <c r="UM83" s="548"/>
      <c r="UN83" s="548"/>
      <c r="UO83" s="548"/>
      <c r="UP83" s="548"/>
      <c r="UQ83" s="548"/>
      <c r="UR83" s="548"/>
      <c r="US83" s="548"/>
      <c r="UT83" s="548"/>
      <c r="UU83" s="548"/>
      <c r="UV83" s="548"/>
      <c r="UW83" s="548"/>
      <c r="UX83" s="548"/>
      <c r="UY83" s="548"/>
      <c r="UZ83" s="548"/>
      <c r="VA83" s="548"/>
      <c r="VB83" s="548"/>
      <c r="VC83" s="548"/>
      <c r="VD83" s="548"/>
      <c r="VE83" s="548"/>
      <c r="VF83" s="548"/>
      <c r="VG83" s="548"/>
      <c r="VH83" s="548"/>
      <c r="VI83" s="548"/>
      <c r="VJ83" s="548"/>
      <c r="VK83" s="548"/>
      <c r="VL83" s="548"/>
      <c r="VM83" s="548"/>
      <c r="VN83" s="548"/>
      <c r="VO83" s="548"/>
      <c r="VP83" s="548"/>
      <c r="VQ83" s="548"/>
      <c r="VR83" s="548"/>
      <c r="VS83" s="548"/>
      <c r="VT83" s="548"/>
      <c r="VU83" s="548"/>
      <c r="VV83" s="548"/>
      <c r="VW83" s="548"/>
      <c r="VX83" s="548"/>
      <c r="VY83" s="548"/>
      <c r="VZ83" s="548"/>
      <c r="WA83" s="548"/>
      <c r="WB83" s="548"/>
      <c r="WC83" s="548"/>
      <c r="WD83" s="548"/>
      <c r="WE83" s="548"/>
      <c r="WF83" s="548"/>
      <c r="WG83" s="548"/>
      <c r="WH83" s="548"/>
      <c r="WI83" s="548"/>
      <c r="WJ83" s="548"/>
      <c r="WK83" s="548"/>
      <c r="WL83" s="548"/>
      <c r="WM83" s="548"/>
      <c r="WN83" s="548"/>
      <c r="WO83" s="548"/>
      <c r="WP83" s="548"/>
      <c r="WQ83" s="548"/>
      <c r="WR83" s="548"/>
      <c r="WS83" s="548"/>
      <c r="WT83" s="548"/>
      <c r="WU83" s="548"/>
      <c r="WV83" s="548"/>
      <c r="WW83" s="548"/>
      <c r="WX83" s="548"/>
      <c r="WY83" s="548"/>
      <c r="WZ83" s="548"/>
      <c r="XA83" s="548"/>
      <c r="XB83" s="548"/>
      <c r="XC83" s="548"/>
      <c r="XD83" s="548"/>
      <c r="XE83" s="548"/>
      <c r="XF83" s="548"/>
      <c r="XG83" s="548"/>
      <c r="XH83" s="548"/>
      <c r="XI83" s="548"/>
      <c r="XJ83" s="548"/>
      <c r="XK83" s="548"/>
      <c r="XL83" s="548"/>
      <c r="XM83" s="548"/>
      <c r="XN83" s="548"/>
      <c r="XO83" s="548"/>
      <c r="XP83" s="548"/>
      <c r="XQ83" s="548"/>
      <c r="XR83" s="548"/>
      <c r="XS83" s="548"/>
      <c r="XT83" s="548"/>
      <c r="XU83" s="548"/>
      <c r="XV83" s="548"/>
      <c r="XW83" s="548"/>
      <c r="XX83" s="548"/>
      <c r="XY83" s="548"/>
      <c r="XZ83" s="548"/>
      <c r="YA83" s="548"/>
      <c r="YB83" s="548"/>
      <c r="YC83" s="548"/>
      <c r="YD83" s="548"/>
      <c r="YE83" s="548"/>
      <c r="YF83" s="548"/>
      <c r="YG83" s="548"/>
      <c r="YH83" s="548"/>
      <c r="YI83" s="548"/>
      <c r="YJ83" s="548"/>
      <c r="YK83" s="548"/>
      <c r="YL83" s="548"/>
      <c r="YM83" s="548"/>
      <c r="YN83" s="548"/>
      <c r="YO83" s="548"/>
      <c r="YP83" s="548"/>
      <c r="YQ83" s="548"/>
      <c r="YR83" s="548"/>
      <c r="YS83" s="548"/>
      <c r="YT83" s="548"/>
      <c r="YU83" s="548"/>
      <c r="YV83" s="548"/>
      <c r="YW83" s="548"/>
      <c r="YX83" s="548"/>
      <c r="YY83" s="548"/>
      <c r="YZ83" s="548"/>
      <c r="ZA83" s="548"/>
      <c r="ZB83" s="548"/>
      <c r="ZC83" s="548"/>
      <c r="ZD83" s="548"/>
      <c r="ZE83" s="548"/>
      <c r="ZF83" s="548"/>
      <c r="ZG83" s="548"/>
      <c r="ZH83" s="548"/>
      <c r="ZI83" s="548"/>
      <c r="ZJ83" s="548"/>
      <c r="ZK83" s="548"/>
      <c r="ZL83" s="548"/>
      <c r="ZM83" s="548"/>
      <c r="ZN83" s="548"/>
      <c r="ZO83" s="548"/>
      <c r="ZP83" s="548"/>
      <c r="ZQ83" s="548"/>
      <c r="ZR83" s="548"/>
      <c r="ZS83" s="548"/>
      <c r="ZT83" s="548"/>
      <c r="ZU83" s="548"/>
      <c r="ZV83" s="548"/>
      <c r="ZW83" s="548"/>
      <c r="ZX83" s="548"/>
      <c r="ZY83" s="548"/>
      <c r="ZZ83" s="548"/>
      <c r="AAA83" s="548"/>
      <c r="AAB83" s="548"/>
      <c r="AAC83" s="548"/>
      <c r="AAD83" s="548"/>
      <c r="AAE83" s="548"/>
      <c r="AAF83" s="548"/>
      <c r="AAG83" s="548"/>
      <c r="AAH83" s="548"/>
      <c r="AAI83" s="548"/>
      <c r="AAJ83" s="548"/>
      <c r="AAK83" s="548"/>
      <c r="AAL83" s="548"/>
      <c r="AAM83" s="548"/>
      <c r="AAN83" s="548"/>
      <c r="AAO83" s="548"/>
      <c r="AAP83" s="548"/>
      <c r="AAQ83" s="548"/>
      <c r="AAR83" s="548"/>
      <c r="AAS83" s="548"/>
      <c r="AAT83" s="548"/>
      <c r="AAU83" s="548"/>
      <c r="AAV83" s="548"/>
      <c r="AAW83" s="548"/>
      <c r="AAX83" s="548"/>
      <c r="AAY83" s="548"/>
      <c r="AAZ83" s="548"/>
      <c r="ABA83" s="548"/>
      <c r="ABB83" s="548"/>
      <c r="ABC83" s="548"/>
      <c r="ABD83" s="548"/>
      <c r="ABE83" s="548"/>
      <c r="ABF83" s="548"/>
      <c r="ABG83" s="548"/>
      <c r="ABH83" s="548"/>
      <c r="ABI83" s="548"/>
      <c r="ABJ83" s="548"/>
      <c r="ABK83" s="548"/>
      <c r="ABL83" s="548"/>
      <c r="ABM83" s="548"/>
      <c r="ABN83" s="548"/>
      <c r="ABO83" s="548"/>
      <c r="ABP83" s="548"/>
      <c r="ABQ83" s="548"/>
      <c r="ABR83" s="548"/>
      <c r="ABS83" s="548"/>
    </row>
    <row r="84" spans="1:747" customFormat="1" ht="15" customHeight="1" thickBot="1" x14ac:dyDescent="0.25">
      <c r="A84" s="424" t="str">
        <f t="shared" si="909"/>
        <v/>
      </c>
      <c r="B84" s="415"/>
      <c r="C84" s="525"/>
      <c r="D84" s="750"/>
      <c r="E84" s="416" t="str">
        <f t="shared" si="751"/>
        <v/>
      </c>
      <c r="F84" s="527" t="str">
        <f t="shared" si="752"/>
        <v/>
      </c>
      <c r="G84" s="417"/>
      <c r="H84" s="585" t="str">
        <f t="shared" si="753"/>
        <v/>
      </c>
      <c r="I84" s="424"/>
      <c r="J84" s="419"/>
      <c r="K84" s="418"/>
      <c r="L84" s="419"/>
      <c r="M84" s="415"/>
      <c r="N84" s="420"/>
      <c r="O84" s="421"/>
      <c r="P84" s="561"/>
      <c r="Q84" s="422"/>
      <c r="R84" s="561" t="str">
        <f t="shared" si="754"/>
        <v/>
      </c>
      <c r="S84" s="664"/>
      <c r="T84" s="663"/>
      <c r="U84" s="580">
        <f t="shared" si="755"/>
        <v>0</v>
      </c>
      <c r="V84" s="418"/>
      <c r="W84" s="582" t="str">
        <f t="shared" si="756"/>
        <v/>
      </c>
      <c r="X84" s="479" t="str">
        <f t="shared" si="757"/>
        <v/>
      </c>
      <c r="Y84" s="582" t="str">
        <f t="shared" si="758"/>
        <v/>
      </c>
      <c r="Z84" s="317" t="str">
        <f t="shared" si="759"/>
        <v/>
      </c>
      <c r="AA84" s="317" t="str">
        <f t="shared" si="760"/>
        <v/>
      </c>
      <c r="AB84" s="317">
        <f t="shared" si="761"/>
        <v>0</v>
      </c>
      <c r="AC84" s="317" t="str">
        <f t="shared" si="762"/>
        <v/>
      </c>
      <c r="AD84" s="479"/>
      <c r="AE84" s="479"/>
      <c r="AF84" s="479"/>
      <c r="AG84" s="423"/>
      <c r="AH84" s="820"/>
      <c r="AI84" s="437"/>
      <c r="AJ84" s="660"/>
      <c r="AK84" s="524" t="str">
        <f t="shared" si="763"/>
        <v/>
      </c>
      <c r="AL84" s="1956" t="s">
        <v>707</v>
      </c>
      <c r="AM84" s="1957"/>
      <c r="AN84" s="426">
        <f t="shared" si="764"/>
        <v>0</v>
      </c>
      <c r="AO84" s="427" t="str">
        <f t="shared" si="765"/>
        <v/>
      </c>
      <c r="AP84" s="768" t="str">
        <f t="shared" si="766"/>
        <v/>
      </c>
      <c r="AQ84" s="426"/>
      <c r="AR84" s="426"/>
      <c r="AS84" s="428"/>
      <c r="AT84" s="429"/>
      <c r="AU84" s="430"/>
      <c r="AV84" s="431"/>
      <c r="AW84" s="432"/>
      <c r="AX84" s="430"/>
      <c r="AY84" s="431">
        <f t="shared" si="767"/>
        <v>0</v>
      </c>
      <c r="AZ84" s="426"/>
      <c r="BA84" s="435" t="str">
        <f t="shared" si="768"/>
        <v/>
      </c>
      <c r="BB84" s="435"/>
      <c r="BC84" s="426"/>
      <c r="BD84" s="426">
        <f t="array" ref="BD84">IF(SUM((BC84=$BC$3:BC83)*1)=0,BC84,0)</f>
        <v>0</v>
      </c>
      <c r="BE84" s="426"/>
      <c r="BF84" s="426"/>
      <c r="BG84" s="426">
        <f t="array" ref="BG84">IF(SUM((BF84=$BF$3:BF83)*1)=0,BF84,0)</f>
        <v>0</v>
      </c>
      <c r="BH84" s="426"/>
      <c r="BI84" s="426"/>
      <c r="BJ84" s="426"/>
      <c r="BK84" s="426"/>
      <c r="BL84" s="426"/>
      <c r="BM84" s="426"/>
      <c r="BN84" s="426"/>
      <c r="BO84" s="426"/>
      <c r="BP84" s="433">
        <f t="shared" si="769"/>
        <v>0</v>
      </c>
      <c r="BQ84" s="426"/>
      <c r="BR84" s="434"/>
      <c r="BS84" s="426"/>
      <c r="BT84" s="433"/>
      <c r="BU84" s="435"/>
      <c r="BV84" s="435" t="str">
        <f t="shared" si="770"/>
        <v/>
      </c>
      <c r="BW84" s="435" t="str">
        <f t="shared" si="798"/>
        <v/>
      </c>
      <c r="BX84" s="435"/>
      <c r="BY84" s="435"/>
      <c r="BZ84" s="435"/>
      <c r="CA84" s="435"/>
      <c r="CB84" s="435"/>
      <c r="CC84" s="435"/>
      <c r="CD84" s="435"/>
      <c r="CE84" s="435"/>
      <c r="CF84" s="435"/>
      <c r="CG84" s="435"/>
      <c r="CH84" s="435"/>
      <c r="CI84" s="435"/>
      <c r="CJ84" s="426" t="str">
        <f t="shared" si="799"/>
        <v/>
      </c>
      <c r="CK84" s="435"/>
      <c r="CL84" s="426"/>
      <c r="CM84" s="435"/>
      <c r="CN84" s="426"/>
      <c r="CO84" s="426"/>
      <c r="CP84" s="426"/>
      <c r="CQ84" s="426"/>
      <c r="CR84" s="426"/>
      <c r="CS84" s="426"/>
      <c r="CT84" s="426"/>
      <c r="CU84" s="426"/>
      <c r="CV84" s="426"/>
      <c r="CW84" s="493"/>
      <c r="CX84" s="493"/>
      <c r="CY84" s="426">
        <v>81</v>
      </c>
      <c r="CZ84" s="493"/>
      <c r="DA84" s="493"/>
      <c r="DB84" s="493"/>
      <c r="DC84" s="426" t="s">
        <v>824</v>
      </c>
      <c r="DD84" s="426" t="s">
        <v>984</v>
      </c>
      <c r="DE84" s="435" t="str">
        <f t="shared" si="800"/>
        <v/>
      </c>
      <c r="DF84" s="435" t="str">
        <f t="shared" si="801"/>
        <v/>
      </c>
      <c r="DG84" s="435" t="str">
        <f t="shared" si="802"/>
        <v/>
      </c>
      <c r="DH84" s="435" t="str">
        <f t="shared" si="803"/>
        <v/>
      </c>
      <c r="DI84" s="435" t="str">
        <f t="shared" si="804"/>
        <v/>
      </c>
      <c r="DJ84" s="435" t="str">
        <f t="shared" si="805"/>
        <v/>
      </c>
      <c r="DK84" s="435" t="str">
        <f t="shared" si="771"/>
        <v/>
      </c>
      <c r="DL84" s="435" t="str">
        <f t="shared" si="772"/>
        <v/>
      </c>
      <c r="DM84" s="435" t="str">
        <f t="shared" si="806"/>
        <v/>
      </c>
      <c r="DN84" s="435" t="str">
        <f t="shared" si="807"/>
        <v/>
      </c>
      <c r="DO84" s="435" t="str">
        <f t="shared" si="773"/>
        <v/>
      </c>
      <c r="DP84" s="435" t="str">
        <f t="shared" si="774"/>
        <v/>
      </c>
      <c r="DQ84" s="435" t="str">
        <f t="shared" si="808"/>
        <v/>
      </c>
      <c r="DR84" s="435" t="str">
        <f t="shared" si="809"/>
        <v/>
      </c>
      <c r="DS84" s="435" t="str">
        <f t="shared" si="775"/>
        <v/>
      </c>
      <c r="DT84" s="435" t="str">
        <f t="shared" si="776"/>
        <v/>
      </c>
      <c r="DU84" s="435" t="str">
        <f t="shared" si="810"/>
        <v/>
      </c>
      <c r="DV84" s="435" t="str">
        <f t="shared" si="811"/>
        <v/>
      </c>
      <c r="DW84" s="435" t="str">
        <f t="shared" si="777"/>
        <v/>
      </c>
      <c r="DX84" s="435" t="str">
        <f t="shared" si="778"/>
        <v/>
      </c>
      <c r="DY84" s="435" t="str">
        <f t="shared" si="812"/>
        <v/>
      </c>
      <c r="DZ84" s="435" t="str">
        <f t="shared" si="813"/>
        <v/>
      </c>
      <c r="EA84" s="435" t="str">
        <f t="shared" si="779"/>
        <v/>
      </c>
      <c r="EB84" s="435" t="str">
        <f t="shared" si="780"/>
        <v/>
      </c>
      <c r="EC84" s="435" t="str">
        <f t="shared" si="781"/>
        <v/>
      </c>
      <c r="ED84" s="435" t="str">
        <f t="shared" si="782"/>
        <v/>
      </c>
      <c r="EE84" s="435" t="str">
        <f t="shared" si="783"/>
        <v/>
      </c>
      <c r="EF84" s="435" t="str">
        <f t="shared" si="784"/>
        <v/>
      </c>
      <c r="EG84" s="435" t="str">
        <f t="shared" si="785"/>
        <v/>
      </c>
      <c r="EH84" s="435" t="str">
        <f t="shared" si="786"/>
        <v/>
      </c>
      <c r="EI84" s="435" t="str">
        <f t="shared" si="787"/>
        <v/>
      </c>
      <c r="EJ84" s="435" t="str">
        <f t="shared" si="788"/>
        <v/>
      </c>
      <c r="EK84" s="485"/>
      <c r="EL84" s="485"/>
      <c r="EM84" s="485"/>
      <c r="EN84" s="485"/>
      <c r="EO84" s="448"/>
      <c r="EP84" s="448"/>
      <c r="EQ84" s="448"/>
      <c r="ER84" s="448"/>
      <c r="ES84" s="448"/>
      <c r="ET84" s="435"/>
      <c r="EU84" s="435"/>
      <c r="EV84" s="435"/>
      <c r="EW84" s="435"/>
      <c r="EX84" s="426"/>
      <c r="EY84" s="426"/>
      <c r="EZ84" s="426"/>
      <c r="FA84" s="863"/>
      <c r="FB84" s="427">
        <f t="array" ref="FB84">IF(SUM((FA84=$FA$3:FA83)*1)=0,FA84,0)</f>
        <v>0</v>
      </c>
      <c r="FC84" s="863"/>
      <c r="FD84" s="863"/>
      <c r="FE84" s="863">
        <f t="array" ref="FE84">IF(SUM((FD84=$FD$3:FD83)*1)=0,FD84,0)</f>
        <v>0</v>
      </c>
      <c r="FF84" s="863"/>
      <c r="FG84" s="863"/>
      <c r="FH84" s="863"/>
      <c r="FI84" s="427">
        <f t="array" ref="FI84">IF(SUM((FH84=$FH$3:FH83)*1)=0,FH84,0)</f>
        <v>0</v>
      </c>
      <c r="FJ84" s="863"/>
      <c r="FK84" s="863"/>
      <c r="FL84" s="863">
        <f t="array" ref="FL84">IF(SUM((FK84=$FK$3:FK83)*1)=0,FK84,0)</f>
        <v>0</v>
      </c>
      <c r="FM84" s="863"/>
      <c r="FN84" s="863"/>
      <c r="FO84" s="863"/>
      <c r="FP84" s="427">
        <f t="array" ref="FP84">IF(SUM((FO84=$FO$3:FO83)*1)=0,FO84,0)</f>
        <v>0</v>
      </c>
      <c r="FQ84" s="863"/>
      <c r="FR84" s="863"/>
      <c r="FS84" s="863">
        <f t="array" ref="FS84">IF(SUM((FR84=$FR$3:FR83)*1)=0,FR84,0)</f>
        <v>0</v>
      </c>
      <c r="FT84" s="863"/>
      <c r="FU84" s="863"/>
      <c r="FV84" s="863"/>
      <c r="FW84" s="427">
        <f t="array" ref="FW84">IF(SUM((FV84=$FV$3:FV83)*1)=0,FV84,0)</f>
        <v>0</v>
      </c>
      <c r="FX84" s="863"/>
      <c r="FY84" s="863"/>
      <c r="FZ84" s="863">
        <f t="array" ref="FZ84">IF(SUM((FY84=$FY$3:FY83)*1)=0,FY84,0)</f>
        <v>0</v>
      </c>
      <c r="GA84" s="863"/>
      <c r="GB84" s="863"/>
      <c r="GC84" s="863"/>
      <c r="GD84" s="427">
        <f t="array" ref="GD84">IF(SUM((GC84=$GC$3:GC83)*1)=0,GC84,0)</f>
        <v>0</v>
      </c>
      <c r="GE84" s="863"/>
      <c r="GF84" s="863"/>
      <c r="GG84" s="863">
        <f t="array" ref="GG84">IF(SUM((GF84=$GF$3:GF83)*1)=0,GF84,0)</f>
        <v>0</v>
      </c>
      <c r="GH84" s="863"/>
      <c r="GI84" s="863"/>
      <c r="GJ84" s="863"/>
      <c r="GK84" s="798">
        <f t="array" ref="GK84">IF(SUM((GJ84=$GJ$3:GJ83)*1)=0,GJ84,0)</f>
        <v>0</v>
      </c>
      <c r="GL84" s="863"/>
      <c r="GM84" s="863"/>
      <c r="GN84" s="798">
        <f t="array" ref="GN84">IF(SUM((GM84=$GM$3:GM83)*1)=0,GM84,0)</f>
        <v>0</v>
      </c>
      <c r="GO84" s="863"/>
      <c r="GP84" s="863"/>
      <c r="GQ84" s="863"/>
      <c r="GR84" s="798">
        <f t="array" ref="GR84">IF(SUM((GQ84=$GQ$3:GQ83)*1)=0,GQ84,0)</f>
        <v>0</v>
      </c>
      <c r="GS84" s="863"/>
      <c r="GT84" s="863"/>
      <c r="GU84" s="798">
        <f t="array" ref="GU84">IF(SUM((GT84=$GT$3:GT83)*1)=0,GT84,0)</f>
        <v>0</v>
      </c>
      <c r="GV84" s="863"/>
      <c r="GW84" s="863"/>
      <c r="GX84" s="863"/>
      <c r="GY84" s="798">
        <f t="array" ref="GY84">IF(SUM((GX84=$GX$3:GX83)*1)=0,GX84,0)</f>
        <v>0</v>
      </c>
      <c r="GZ84" s="863"/>
      <c r="HA84" s="863"/>
      <c r="HB84" s="798">
        <f t="array" ref="HB84">IF(SUM((HA84=$HA$3:HA83)*1)=0,HA84,0)</f>
        <v>0</v>
      </c>
      <c r="HC84" s="863"/>
      <c r="HD84" s="863"/>
      <c r="HE84" s="769" t="str">
        <f t="shared" si="889"/>
        <v/>
      </c>
      <c r="HF84" s="768" t="str">
        <f t="shared" ref="HF84" si="1027">IF(HE84&lt;0,"Invadiu REP-BA-C","")</f>
        <v/>
      </c>
      <c r="HG84" s="769" t="str">
        <f t="shared" si="891"/>
        <v/>
      </c>
      <c r="HH84" s="768" t="str">
        <f t="shared" si="815"/>
        <v/>
      </c>
      <c r="HI84" s="728" t="str">
        <f t="shared" si="892"/>
        <v/>
      </c>
      <c r="HJ84" s="768" t="str">
        <f t="shared" si="816"/>
        <v/>
      </c>
      <c r="HK84" s="728" t="str">
        <f t="shared" si="893"/>
        <v/>
      </c>
      <c r="HL84" s="768" t="str">
        <f t="shared" si="817"/>
        <v/>
      </c>
      <c r="HM84" s="769" t="str">
        <f t="shared" si="818"/>
        <v/>
      </c>
      <c r="HN84" s="768" t="str">
        <f t="shared" ref="HN84" si="1028">IF(HM84&lt;0,"Invadiu REP-BA-C","")</f>
        <v/>
      </c>
      <c r="HO84" s="769" t="str">
        <f t="shared" si="820"/>
        <v/>
      </c>
      <c r="HP84" s="768" t="str">
        <f t="shared" si="821"/>
        <v/>
      </c>
      <c r="HQ84" s="728" t="str">
        <f t="shared" si="822"/>
        <v/>
      </c>
      <c r="HR84" s="768" t="str">
        <f t="shared" si="823"/>
        <v/>
      </c>
      <c r="HS84" s="728" t="str">
        <f t="shared" si="824"/>
        <v/>
      </c>
      <c r="HT84" s="768" t="str">
        <f t="shared" si="825"/>
        <v/>
      </c>
      <c r="HU84" s="769" t="str">
        <f t="shared" si="826"/>
        <v/>
      </c>
      <c r="HV84" s="768" t="str">
        <f t="shared" ref="HV84" si="1029">IF(HU84&lt;0,"Invadiu REP-BA-C","")</f>
        <v/>
      </c>
      <c r="HW84" s="769" t="str">
        <f t="shared" si="828"/>
        <v/>
      </c>
      <c r="HX84" s="768" t="str">
        <f t="shared" si="829"/>
        <v/>
      </c>
      <c r="HY84" s="728" t="str">
        <f t="shared" si="830"/>
        <v/>
      </c>
      <c r="HZ84" s="768" t="str">
        <f t="shared" si="831"/>
        <v/>
      </c>
      <c r="IA84" s="728" t="str">
        <f t="shared" si="832"/>
        <v/>
      </c>
      <c r="IB84" s="768" t="str">
        <f t="shared" si="833"/>
        <v/>
      </c>
      <c r="IC84" s="769" t="str">
        <f t="shared" si="834"/>
        <v/>
      </c>
      <c r="ID84" s="768" t="str">
        <f t="shared" ref="ID84" si="1030">IF(IC84&lt;0,"Invadiu REP-BA-C","")</f>
        <v/>
      </c>
      <c r="IE84" s="769" t="str">
        <f t="shared" si="836"/>
        <v/>
      </c>
      <c r="IF84" s="768" t="str">
        <f t="shared" si="837"/>
        <v/>
      </c>
      <c r="IG84" s="728" t="str">
        <f t="shared" si="838"/>
        <v/>
      </c>
      <c r="IH84" s="768" t="str">
        <f t="shared" si="839"/>
        <v/>
      </c>
      <c r="II84" s="728" t="str">
        <f t="shared" si="840"/>
        <v/>
      </c>
      <c r="IJ84" s="768" t="str">
        <f t="shared" si="841"/>
        <v/>
      </c>
      <c r="IK84" s="769" t="str">
        <f t="shared" si="842"/>
        <v/>
      </c>
      <c r="IL84" s="768" t="str">
        <f t="shared" ref="IL84" si="1031">IF(IK84&lt;0,"Invadiu REP-BA-C","")</f>
        <v/>
      </c>
      <c r="IM84" s="769" t="str">
        <f t="shared" si="844"/>
        <v/>
      </c>
      <c r="IN84" s="768" t="str">
        <f t="shared" si="845"/>
        <v/>
      </c>
      <c r="IO84" s="728" t="str">
        <f t="shared" si="846"/>
        <v/>
      </c>
      <c r="IP84" s="768" t="str">
        <f t="shared" si="847"/>
        <v/>
      </c>
      <c r="IQ84" s="728" t="str">
        <f t="shared" si="848"/>
        <v/>
      </c>
      <c r="IR84" s="768" t="str">
        <f t="shared" si="849"/>
        <v/>
      </c>
      <c r="IS84" s="769" t="str">
        <f t="shared" si="850"/>
        <v/>
      </c>
      <c r="IT84" s="768" t="str">
        <f t="shared" ref="IT84" si="1032">IF(IS84&lt;0,"Invadiu REP-BA-C","")</f>
        <v/>
      </c>
      <c r="IU84" s="769" t="str">
        <f t="shared" si="852"/>
        <v/>
      </c>
      <c r="IV84" s="768" t="str">
        <f t="shared" si="853"/>
        <v/>
      </c>
      <c r="IW84" s="728" t="str">
        <f t="shared" si="854"/>
        <v/>
      </c>
      <c r="IX84" s="768" t="str">
        <f t="shared" si="855"/>
        <v/>
      </c>
      <c r="IY84" s="728" t="str">
        <f t="shared" si="856"/>
        <v/>
      </c>
      <c r="IZ84" s="768" t="str">
        <f t="shared" si="857"/>
        <v/>
      </c>
      <c r="JA84" s="769" t="str">
        <f t="shared" si="858"/>
        <v/>
      </c>
      <c r="JB84" s="768" t="str">
        <f t="shared" ref="JB84" si="1033">IF(JA84&lt;0,"Invadiu REP-BA-C","")</f>
        <v/>
      </c>
      <c r="JC84" s="769" t="str">
        <f t="shared" si="860"/>
        <v/>
      </c>
      <c r="JD84" s="768" t="str">
        <f t="shared" si="861"/>
        <v/>
      </c>
      <c r="JE84" s="728" t="str">
        <f t="shared" si="862"/>
        <v/>
      </c>
      <c r="JF84" s="768" t="str">
        <f t="shared" si="863"/>
        <v/>
      </c>
      <c r="JG84" s="728" t="str">
        <f t="shared" si="864"/>
        <v/>
      </c>
      <c r="JH84" s="768" t="str">
        <f t="shared" si="865"/>
        <v/>
      </c>
      <c r="JI84" s="769" t="str">
        <f t="shared" si="866"/>
        <v/>
      </c>
      <c r="JJ84" s="768" t="str">
        <f t="shared" ref="JJ84" si="1034">IF(JI84&lt;0,"Invadiu REP-BA-C","")</f>
        <v/>
      </c>
      <c r="JK84" s="769" t="str">
        <f t="shared" si="868"/>
        <v/>
      </c>
      <c r="JL84" s="768" t="str">
        <f t="shared" si="869"/>
        <v/>
      </c>
      <c r="JM84" s="728" t="str">
        <f t="shared" si="870"/>
        <v/>
      </c>
      <c r="JN84" s="768" t="str">
        <f t="shared" si="871"/>
        <v/>
      </c>
      <c r="JO84" s="728" t="str">
        <f t="shared" si="872"/>
        <v/>
      </c>
      <c r="JP84" s="768" t="str">
        <f t="shared" si="873"/>
        <v/>
      </c>
      <c r="JQ84" s="769" t="str">
        <f t="shared" si="874"/>
        <v/>
      </c>
      <c r="JR84" s="768" t="str">
        <f t="shared" ref="JR84" si="1035">IF(JQ84&lt;0,"Invadiu REP-BA-C","")</f>
        <v/>
      </c>
      <c r="JS84" s="769" t="str">
        <f t="shared" si="876"/>
        <v/>
      </c>
      <c r="JT84" s="768" t="str">
        <f t="shared" si="877"/>
        <v/>
      </c>
      <c r="JU84" s="728" t="str">
        <f t="shared" si="878"/>
        <v/>
      </c>
      <c r="JV84" s="768" t="str">
        <f t="shared" si="879"/>
        <v/>
      </c>
      <c r="JW84" s="728" t="str">
        <f t="shared" si="880"/>
        <v/>
      </c>
      <c r="JX84" s="768" t="str">
        <f t="shared" si="881"/>
        <v/>
      </c>
      <c r="JY84" s="768" t="str">
        <f t="shared" si="882"/>
        <v/>
      </c>
      <c r="JZ84" s="485" t="str">
        <f>IF(JY84="","",IF(AND(C84=$C$164,JY84&lt;&gt;""),Verificarcpf(D84),IF(AND(C84=$C$165,JY84&lt;&gt;""),VerificarCNPJ(D84))))</f>
        <v/>
      </c>
      <c r="KA84" s="768" t="str">
        <f t="shared" si="883"/>
        <v/>
      </c>
      <c r="KB84" s="485">
        <f t="shared" si="884"/>
        <v>0</v>
      </c>
      <c r="KC84" s="768">
        <f t="shared" si="885"/>
        <v>0</v>
      </c>
      <c r="KD84" s="485">
        <f t="shared" si="886"/>
        <v>0</v>
      </c>
      <c r="KE84" s="448"/>
      <c r="KF84" s="548"/>
      <c r="KG84" s="548"/>
      <c r="KH84" s="548"/>
      <c r="KI84" s="548"/>
      <c r="KJ84" s="548" t="str">
        <f t="shared" si="887"/>
        <v/>
      </c>
      <c r="KK84" s="548"/>
      <c r="KL84" s="548"/>
      <c r="KM84" s="548">
        <f t="array" ref="KM84">IF(SUM((KL84=$KL$3:KL83)*1)=0,KL84,0)</f>
        <v>0</v>
      </c>
      <c r="KN84" s="548"/>
      <c r="KO84" s="548"/>
      <c r="KP84" s="548"/>
      <c r="KQ84" s="548"/>
      <c r="KR84" s="548" t="str">
        <f t="shared" si="888"/>
        <v/>
      </c>
      <c r="KS84" s="548"/>
      <c r="KT84" s="548"/>
      <c r="KU84" s="548"/>
      <c r="KV84" s="548"/>
      <c r="KW84" s="548"/>
      <c r="KX84" s="548"/>
      <c r="KY84" s="548"/>
      <c r="KZ84" s="548"/>
      <c r="LA84" s="548"/>
      <c r="LB84" s="548"/>
      <c r="LC84" s="485" t="str">
        <f t="shared" si="902"/>
        <v/>
      </c>
      <c r="LD84" s="548"/>
      <c r="LE84" s="548"/>
      <c r="LF84" s="548"/>
      <c r="LG84" s="548"/>
      <c r="LH84" s="548"/>
      <c r="LI84" s="548"/>
      <c r="LJ84" s="548"/>
      <c r="LK84" s="548"/>
      <c r="LL84" s="548"/>
      <c r="LM84" s="548"/>
      <c r="LN84" s="548"/>
      <c r="LO84" s="548"/>
      <c r="LP84" s="485" t="str">
        <f t="shared" si="903"/>
        <v/>
      </c>
      <c r="LQ84" s="548"/>
      <c r="LR84" s="548"/>
      <c r="LS84" s="548"/>
      <c r="LT84" s="548"/>
      <c r="LU84" s="548"/>
      <c r="LV84" s="548"/>
      <c r="LW84" s="548"/>
      <c r="LX84" s="548"/>
      <c r="LY84" s="548"/>
      <c r="LZ84" s="548"/>
      <c r="MA84" s="548"/>
      <c r="MB84" s="548"/>
      <c r="MC84" s="485" t="str">
        <f t="shared" si="904"/>
        <v/>
      </c>
      <c r="MD84" s="548"/>
      <c r="ME84" s="548"/>
      <c r="MF84" s="548"/>
      <c r="MG84" s="548"/>
      <c r="MH84" s="548"/>
      <c r="MI84" s="548"/>
      <c r="MJ84" s="548"/>
      <c r="MK84" s="548"/>
      <c r="ML84" s="548"/>
      <c r="MM84" s="548"/>
      <c r="MN84" s="548"/>
      <c r="MO84" s="548"/>
      <c r="MP84" s="485" t="str">
        <f t="shared" si="905"/>
        <v/>
      </c>
      <c r="MQ84" s="548"/>
      <c r="MR84" s="548"/>
      <c r="MS84" s="548"/>
      <c r="MT84" s="548"/>
      <c r="MU84" s="548"/>
      <c r="MV84" s="548"/>
      <c r="MW84" s="548"/>
      <c r="MX84" s="548"/>
      <c r="MY84" s="548"/>
      <c r="MZ84" s="548"/>
      <c r="NA84" s="548"/>
      <c r="NB84" s="548"/>
      <c r="NC84" s="485" t="str">
        <f t="shared" si="906"/>
        <v/>
      </c>
      <c r="ND84" s="548"/>
      <c r="NE84" s="548"/>
      <c r="NF84" s="548"/>
      <c r="NG84" s="548"/>
      <c r="NH84" s="548"/>
      <c r="NI84" s="548"/>
      <c r="NJ84" s="548"/>
      <c r="NK84" s="548"/>
      <c r="NL84" s="548"/>
      <c r="NM84" s="548"/>
      <c r="NN84" s="548"/>
      <c r="NO84" s="548"/>
      <c r="NP84" s="485" t="str">
        <f t="shared" si="907"/>
        <v/>
      </c>
      <c r="NQ84" s="548"/>
      <c r="NR84" s="548"/>
      <c r="NS84" s="548"/>
      <c r="NT84" s="548"/>
      <c r="NU84" s="548"/>
      <c r="NV84" s="548"/>
      <c r="NW84" s="548"/>
      <c r="NX84" s="548"/>
      <c r="NY84" s="548"/>
      <c r="NZ84" s="548"/>
      <c r="OA84" s="548"/>
      <c r="OB84" s="548"/>
      <c r="OC84" s="485" t="str">
        <f t="shared" si="908"/>
        <v/>
      </c>
      <c r="OD84" s="548"/>
      <c r="OE84" s="548"/>
      <c r="OF84" s="548"/>
      <c r="OG84" s="548"/>
      <c r="OH84" s="548"/>
      <c r="OI84" s="548"/>
      <c r="OJ84" s="548"/>
      <c r="OK84" s="548"/>
      <c r="OL84" s="548"/>
      <c r="OM84" s="548"/>
      <c r="ON84" s="548"/>
      <c r="OO84" s="548"/>
      <c r="OP84" s="548"/>
      <c r="OQ84" s="548"/>
      <c r="OR84" s="548"/>
      <c r="OS84" s="548"/>
      <c r="OT84" s="548"/>
      <c r="OU84" s="548"/>
      <c r="OV84" s="548"/>
      <c r="OW84" s="548"/>
      <c r="OX84" s="548"/>
      <c r="OY84" s="548"/>
      <c r="OZ84" s="548"/>
      <c r="PA84" s="548"/>
      <c r="PB84" s="548"/>
      <c r="PC84" s="548"/>
      <c r="PD84" s="548"/>
      <c r="PE84" s="548"/>
      <c r="PF84" s="548"/>
      <c r="PG84" s="548"/>
      <c r="PH84" s="548"/>
      <c r="PI84" s="548"/>
      <c r="PJ84" s="548"/>
      <c r="PK84" s="548"/>
      <c r="PL84" s="548"/>
      <c r="PM84" s="548"/>
      <c r="PN84" s="548"/>
      <c r="PO84" s="548"/>
      <c r="PP84" s="548"/>
      <c r="PQ84" s="548"/>
      <c r="PR84" s="548"/>
      <c r="PS84" s="548"/>
      <c r="PT84" s="548"/>
      <c r="PU84" s="548"/>
      <c r="PV84" s="548"/>
      <c r="PW84" s="548"/>
      <c r="PX84" s="548"/>
      <c r="PY84" s="548"/>
      <c r="PZ84" s="548"/>
      <c r="QA84" s="548"/>
      <c r="QB84" s="548"/>
      <c r="QC84" s="548"/>
      <c r="QD84" s="548"/>
      <c r="QE84" s="548"/>
      <c r="QF84" s="548"/>
      <c r="QG84" s="548"/>
      <c r="QH84" s="548"/>
      <c r="QI84" s="548"/>
      <c r="QJ84" s="548"/>
      <c r="QK84" s="548"/>
      <c r="QL84" s="548"/>
      <c r="QM84" s="548"/>
      <c r="QN84" s="548"/>
      <c r="QO84" s="548"/>
      <c r="QP84" s="548"/>
      <c r="QQ84" s="1009"/>
      <c r="QR84" s="548"/>
      <c r="QS84" s="548"/>
      <c r="QT84" s="548"/>
      <c r="QU84" s="548"/>
      <c r="QV84" s="548"/>
      <c r="QW84" s="548"/>
      <c r="QX84" s="548"/>
      <c r="QY84" s="548"/>
      <c r="QZ84" s="548"/>
      <c r="RA84" s="548"/>
      <c r="RB84" s="548"/>
      <c r="RC84" s="548"/>
      <c r="RD84" s="548"/>
      <c r="RE84" s="548"/>
      <c r="RF84" s="548"/>
      <c r="RG84" s="548"/>
      <c r="RH84" s="548"/>
      <c r="RI84" s="548"/>
      <c r="RJ84" s="548"/>
      <c r="RK84" s="548"/>
      <c r="RL84" s="548"/>
      <c r="RM84" s="548"/>
      <c r="RN84" s="548"/>
      <c r="RO84" s="548"/>
      <c r="RP84" s="548"/>
      <c r="RQ84" s="548"/>
      <c r="RR84" s="548"/>
      <c r="RS84" s="548"/>
      <c r="RT84" s="548"/>
      <c r="RU84" s="548"/>
      <c r="RV84" s="548"/>
      <c r="RW84" s="548"/>
      <c r="RX84" s="548"/>
      <c r="RY84" s="548"/>
      <c r="RZ84" s="548"/>
      <c r="SA84" s="548"/>
      <c r="SB84" s="548"/>
      <c r="SC84" s="548"/>
      <c r="SD84" s="548"/>
      <c r="SE84" s="548"/>
      <c r="SF84" s="548"/>
      <c r="SG84" s="548"/>
      <c r="SH84" s="548"/>
      <c r="SI84" s="548"/>
      <c r="SJ84" s="548"/>
      <c r="SK84" s="548"/>
      <c r="SL84" s="548"/>
      <c r="SM84" s="548"/>
      <c r="SN84" s="548"/>
      <c r="SO84" s="548"/>
      <c r="SP84" s="548"/>
      <c r="SQ84" s="548"/>
      <c r="SR84" s="548"/>
      <c r="SS84" s="548"/>
      <c r="ST84" s="548"/>
      <c r="SU84" s="548"/>
      <c r="SV84" s="548"/>
      <c r="SW84" s="548"/>
      <c r="SX84" s="548"/>
      <c r="SY84" s="548"/>
      <c r="SZ84" s="548"/>
      <c r="TA84" s="548"/>
      <c r="TB84" s="548"/>
      <c r="TC84" s="548"/>
      <c r="TD84" s="548"/>
      <c r="TE84" s="548"/>
      <c r="TF84" s="548"/>
      <c r="TG84" s="548"/>
      <c r="TH84" s="548"/>
      <c r="TI84" s="548"/>
      <c r="TJ84" s="548"/>
      <c r="TK84" s="548"/>
      <c r="TL84" s="548"/>
      <c r="TM84" s="548"/>
      <c r="TN84" s="548"/>
      <c r="TO84" s="548"/>
      <c r="TP84" s="548"/>
      <c r="TQ84" s="548"/>
      <c r="TR84" s="548"/>
      <c r="TS84" s="548"/>
      <c r="TT84" s="548"/>
      <c r="TU84" s="548"/>
      <c r="TV84" s="548"/>
      <c r="TW84" s="548"/>
      <c r="TX84" s="548"/>
      <c r="TY84" s="548"/>
      <c r="TZ84" s="548"/>
      <c r="UA84" s="548"/>
      <c r="UB84" s="548"/>
      <c r="UC84" s="548"/>
      <c r="UD84" s="548"/>
      <c r="UE84" s="548"/>
      <c r="UF84" s="548"/>
      <c r="UG84" s="548"/>
      <c r="UH84" s="548"/>
      <c r="UI84" s="548"/>
      <c r="UJ84" s="548"/>
      <c r="UK84" s="548"/>
      <c r="UL84" s="548"/>
      <c r="UM84" s="548"/>
      <c r="UN84" s="548"/>
      <c r="UO84" s="548"/>
      <c r="UP84" s="548"/>
      <c r="UQ84" s="548"/>
      <c r="UR84" s="548"/>
      <c r="US84" s="548"/>
      <c r="UT84" s="548"/>
      <c r="UU84" s="548"/>
      <c r="UV84" s="548"/>
      <c r="UW84" s="548"/>
      <c r="UX84" s="548"/>
      <c r="UY84" s="548"/>
      <c r="UZ84" s="548"/>
      <c r="VA84" s="548"/>
      <c r="VB84" s="548"/>
      <c r="VC84" s="548"/>
      <c r="VD84" s="548"/>
      <c r="VE84" s="548"/>
      <c r="VF84" s="548"/>
      <c r="VG84" s="548"/>
      <c r="VH84" s="548"/>
      <c r="VI84" s="548"/>
      <c r="VJ84" s="548"/>
      <c r="VK84" s="548"/>
      <c r="VL84" s="548"/>
      <c r="VM84" s="548"/>
      <c r="VN84" s="548"/>
      <c r="VO84" s="548"/>
      <c r="VP84" s="548"/>
      <c r="VQ84" s="548"/>
      <c r="VR84" s="548"/>
      <c r="VS84" s="548"/>
      <c r="VT84" s="548"/>
      <c r="VU84" s="548"/>
      <c r="VV84" s="548"/>
      <c r="VW84" s="548"/>
      <c r="VX84" s="548"/>
      <c r="VY84" s="548"/>
      <c r="VZ84" s="548"/>
      <c r="WA84" s="548"/>
      <c r="WB84" s="548"/>
      <c r="WC84" s="548"/>
      <c r="WD84" s="548"/>
      <c r="WE84" s="548"/>
      <c r="WF84" s="548"/>
      <c r="WG84" s="548"/>
      <c r="WH84" s="548"/>
      <c r="WI84" s="548"/>
      <c r="WJ84" s="548"/>
      <c r="WK84" s="548"/>
      <c r="WL84" s="548"/>
      <c r="WM84" s="548"/>
      <c r="WN84" s="548"/>
      <c r="WO84" s="548"/>
      <c r="WP84" s="548"/>
      <c r="WQ84" s="548"/>
      <c r="WR84" s="548"/>
      <c r="WS84" s="548"/>
      <c r="WT84" s="548"/>
      <c r="WU84" s="548"/>
      <c r="WV84" s="548"/>
      <c r="WW84" s="548"/>
      <c r="WX84" s="548"/>
      <c r="WY84" s="548"/>
      <c r="WZ84" s="548"/>
      <c r="XA84" s="548"/>
      <c r="XB84" s="548"/>
      <c r="XC84" s="548"/>
      <c r="XD84" s="548"/>
      <c r="XE84" s="548"/>
      <c r="XF84" s="548"/>
      <c r="XG84" s="548"/>
      <c r="XH84" s="548"/>
      <c r="XI84" s="548"/>
      <c r="XJ84" s="548"/>
      <c r="XK84" s="548"/>
      <c r="XL84" s="548"/>
      <c r="XM84" s="548"/>
      <c r="XN84" s="548"/>
      <c r="XO84" s="548"/>
      <c r="XP84" s="548"/>
      <c r="XQ84" s="548"/>
      <c r="XR84" s="548"/>
      <c r="XS84" s="548"/>
      <c r="XT84" s="548"/>
      <c r="XU84" s="548"/>
      <c r="XV84" s="548"/>
      <c r="XW84" s="548"/>
      <c r="XX84" s="548"/>
      <c r="XY84" s="548"/>
      <c r="XZ84" s="548"/>
      <c r="YA84" s="548"/>
      <c r="YB84" s="548"/>
      <c r="YC84" s="548"/>
      <c r="YD84" s="548"/>
      <c r="YE84" s="548"/>
      <c r="YF84" s="548"/>
      <c r="YG84" s="548"/>
      <c r="YH84" s="548"/>
      <c r="YI84" s="548"/>
      <c r="YJ84" s="548"/>
      <c r="YK84" s="548"/>
      <c r="YL84" s="548"/>
      <c r="YM84" s="548"/>
      <c r="YN84" s="548"/>
      <c r="YO84" s="548"/>
      <c r="YP84" s="548"/>
      <c r="YQ84" s="548"/>
      <c r="YR84" s="548"/>
      <c r="YS84" s="548"/>
      <c r="YT84" s="548"/>
      <c r="YU84" s="548"/>
      <c r="YV84" s="548"/>
      <c r="YW84" s="548"/>
      <c r="YX84" s="548"/>
      <c r="YY84" s="548"/>
      <c r="YZ84" s="548"/>
      <c r="ZA84" s="548"/>
      <c r="ZB84" s="548"/>
      <c r="ZC84" s="548"/>
      <c r="ZD84" s="548"/>
      <c r="ZE84" s="548"/>
      <c r="ZF84" s="548"/>
      <c r="ZG84" s="548"/>
      <c r="ZH84" s="548"/>
      <c r="ZI84" s="548"/>
      <c r="ZJ84" s="548"/>
      <c r="ZK84" s="548"/>
      <c r="ZL84" s="548"/>
      <c r="ZM84" s="548"/>
      <c r="ZN84" s="548"/>
      <c r="ZO84" s="548"/>
      <c r="ZP84" s="548"/>
      <c r="ZQ84" s="548"/>
      <c r="ZR84" s="548"/>
      <c r="ZS84" s="548"/>
      <c r="ZT84" s="548"/>
      <c r="ZU84" s="548"/>
      <c r="ZV84" s="548"/>
      <c r="ZW84" s="548"/>
      <c r="ZX84" s="548"/>
      <c r="ZY84" s="548"/>
      <c r="ZZ84" s="548"/>
      <c r="AAA84" s="548"/>
      <c r="AAB84" s="548"/>
      <c r="AAC84" s="548"/>
      <c r="AAD84" s="548"/>
      <c r="AAE84" s="548"/>
      <c r="AAF84" s="548"/>
      <c r="AAG84" s="548"/>
      <c r="AAH84" s="548"/>
      <c r="AAI84" s="548"/>
      <c r="AAJ84" s="548"/>
      <c r="AAK84" s="548"/>
      <c r="AAL84" s="548"/>
      <c r="AAM84" s="548"/>
      <c r="AAN84" s="548"/>
      <c r="AAO84" s="548"/>
      <c r="AAP84" s="548"/>
      <c r="AAQ84" s="548"/>
      <c r="AAR84" s="548"/>
      <c r="AAS84" s="548"/>
      <c r="AAT84" s="548"/>
      <c r="AAU84" s="548"/>
      <c r="AAV84" s="548"/>
      <c r="AAW84" s="548"/>
      <c r="AAX84" s="548"/>
      <c r="AAY84" s="548"/>
      <c r="AAZ84" s="548"/>
      <c r="ABA84" s="548"/>
      <c r="ABB84" s="548"/>
      <c r="ABC84" s="548"/>
      <c r="ABD84" s="548"/>
      <c r="ABE84" s="548"/>
      <c r="ABF84" s="548"/>
      <c r="ABG84" s="548"/>
      <c r="ABH84" s="548"/>
      <c r="ABI84" s="548"/>
      <c r="ABJ84" s="548"/>
      <c r="ABK84" s="548"/>
      <c r="ABL84" s="548"/>
      <c r="ABM84" s="548"/>
      <c r="ABN84" s="548"/>
      <c r="ABO84" s="548"/>
      <c r="ABP84" s="548"/>
      <c r="ABQ84" s="548"/>
      <c r="ABR84" s="548"/>
      <c r="ABS84" s="548"/>
    </row>
    <row r="85" spans="1:747" customFormat="1" ht="15" customHeight="1" x14ac:dyDescent="0.2">
      <c r="A85" s="424" t="str">
        <f t="shared" si="909"/>
        <v/>
      </c>
      <c r="B85" s="415"/>
      <c r="C85" s="525"/>
      <c r="D85" s="750"/>
      <c r="E85" s="416" t="str">
        <f t="shared" si="751"/>
        <v/>
      </c>
      <c r="F85" s="527" t="str">
        <f t="shared" si="752"/>
        <v/>
      </c>
      <c r="G85" s="417"/>
      <c r="H85" s="585" t="str">
        <f t="shared" si="753"/>
        <v/>
      </c>
      <c r="I85" s="424"/>
      <c r="J85" s="419"/>
      <c r="K85" s="418"/>
      <c r="L85" s="419"/>
      <c r="M85" s="415"/>
      <c r="N85" s="420"/>
      <c r="O85" s="421"/>
      <c r="P85" s="561"/>
      <c r="Q85" s="422"/>
      <c r="R85" s="561" t="str">
        <f t="shared" si="754"/>
        <v/>
      </c>
      <c r="S85" s="664"/>
      <c r="T85" s="663"/>
      <c r="U85" s="580">
        <f t="shared" si="755"/>
        <v>0</v>
      </c>
      <c r="V85" s="418"/>
      <c r="W85" s="582" t="str">
        <f t="shared" si="756"/>
        <v/>
      </c>
      <c r="X85" s="479" t="str">
        <f t="shared" si="757"/>
        <v/>
      </c>
      <c r="Y85" s="582" t="str">
        <f t="shared" si="758"/>
        <v/>
      </c>
      <c r="Z85" s="317" t="str">
        <f t="shared" si="759"/>
        <v/>
      </c>
      <c r="AA85" s="317" t="str">
        <f t="shared" si="760"/>
        <v/>
      </c>
      <c r="AB85" s="317">
        <f t="shared" si="761"/>
        <v>0</v>
      </c>
      <c r="AC85" s="317" t="str">
        <f t="shared" si="762"/>
        <v/>
      </c>
      <c r="AD85" s="479"/>
      <c r="AE85" s="479"/>
      <c r="AF85" s="479"/>
      <c r="AG85" s="423"/>
      <c r="AH85" s="820"/>
      <c r="AI85" s="437"/>
      <c r="AJ85" s="660"/>
      <c r="AK85" s="524" t="str">
        <f t="shared" si="763"/>
        <v/>
      </c>
      <c r="AL85" s="719" t="str">
        <f>$AL$5</f>
        <v>itens de Despesas</v>
      </c>
      <c r="AM85" s="719" t="str">
        <f>$AM$5</f>
        <v>total pag. Mod. 2</v>
      </c>
      <c r="AN85" s="426">
        <f t="shared" si="764"/>
        <v>0</v>
      </c>
      <c r="AO85" s="427" t="str">
        <f t="shared" si="765"/>
        <v/>
      </c>
      <c r="AP85" s="426" t="str">
        <f t="shared" si="766"/>
        <v/>
      </c>
      <c r="AQ85" s="426"/>
      <c r="AR85" s="426"/>
      <c r="AS85" s="428"/>
      <c r="AT85" s="429"/>
      <c r="AU85" s="430"/>
      <c r="AV85" s="431"/>
      <c r="AW85" s="432"/>
      <c r="AX85" s="430"/>
      <c r="AY85" s="431">
        <f t="shared" si="767"/>
        <v>0</v>
      </c>
      <c r="AZ85" s="426"/>
      <c r="BA85" s="435" t="str">
        <f t="shared" si="768"/>
        <v/>
      </c>
      <c r="BB85" s="435"/>
      <c r="BC85" s="426"/>
      <c r="BD85" s="426">
        <f t="array" ref="BD85">IF(SUM((BC85=$BC$3:BC84)*1)=0,BC85,0)</f>
        <v>0</v>
      </c>
      <c r="BE85" s="426"/>
      <c r="BF85" s="426"/>
      <c r="BG85" s="426">
        <f t="array" ref="BG85">IF(SUM((BF85=$BF$3:BF84)*1)=0,BF85,0)</f>
        <v>0</v>
      </c>
      <c r="BH85" s="426"/>
      <c r="BI85" s="426"/>
      <c r="BJ85" s="426"/>
      <c r="BK85" s="426"/>
      <c r="BL85" s="426"/>
      <c r="BM85" s="426"/>
      <c r="BN85" s="426"/>
      <c r="BO85" s="426"/>
      <c r="BP85" s="433">
        <f t="shared" si="769"/>
        <v>0</v>
      </c>
      <c r="BQ85" s="426"/>
      <c r="BR85" s="434"/>
      <c r="BS85" s="426"/>
      <c r="BT85" s="433"/>
      <c r="BU85" s="435"/>
      <c r="BV85" s="435" t="str">
        <f t="shared" si="770"/>
        <v/>
      </c>
      <c r="BW85" s="435" t="str">
        <f t="shared" si="798"/>
        <v/>
      </c>
      <c r="BX85" s="435"/>
      <c r="BY85" s="435"/>
      <c r="BZ85" s="435"/>
      <c r="CA85" s="435"/>
      <c r="CB85" s="435"/>
      <c r="CC85" s="435"/>
      <c r="CD85" s="435"/>
      <c r="CE85" s="435"/>
      <c r="CF85" s="435"/>
      <c r="CG85" s="435"/>
      <c r="CH85" s="435"/>
      <c r="CI85" s="435"/>
      <c r="CJ85" s="426" t="str">
        <f t="shared" si="799"/>
        <v/>
      </c>
      <c r="CK85" s="435"/>
      <c r="CL85" s="426"/>
      <c r="CM85" s="435"/>
      <c r="CN85" s="426"/>
      <c r="CO85" s="426"/>
      <c r="CP85" s="426"/>
      <c r="CQ85" s="426"/>
      <c r="CR85" s="426"/>
      <c r="CS85" s="426"/>
      <c r="CT85" s="426"/>
      <c r="CU85" s="426"/>
      <c r="CV85" s="426"/>
      <c r="CW85" s="493"/>
      <c r="CX85" s="493"/>
      <c r="CY85" s="426">
        <v>82</v>
      </c>
      <c r="CZ85" s="493"/>
      <c r="DA85" s="493"/>
      <c r="DB85" s="493"/>
      <c r="DC85" s="426" t="s">
        <v>825</v>
      </c>
      <c r="DD85" s="426" t="s">
        <v>985</v>
      </c>
      <c r="DE85" s="435" t="str">
        <f t="shared" si="800"/>
        <v/>
      </c>
      <c r="DF85" s="435" t="str">
        <f t="shared" si="801"/>
        <v/>
      </c>
      <c r="DG85" s="435" t="str">
        <f t="shared" si="802"/>
        <v/>
      </c>
      <c r="DH85" s="435" t="str">
        <f t="shared" si="803"/>
        <v/>
      </c>
      <c r="DI85" s="435" t="str">
        <f t="shared" si="804"/>
        <v/>
      </c>
      <c r="DJ85" s="435" t="str">
        <f t="shared" si="805"/>
        <v/>
      </c>
      <c r="DK85" s="435" t="str">
        <f t="shared" si="771"/>
        <v/>
      </c>
      <c r="DL85" s="435" t="str">
        <f t="shared" si="772"/>
        <v/>
      </c>
      <c r="DM85" s="435" t="str">
        <f t="shared" si="806"/>
        <v/>
      </c>
      <c r="DN85" s="435" t="str">
        <f t="shared" si="807"/>
        <v/>
      </c>
      <c r="DO85" s="435" t="str">
        <f t="shared" si="773"/>
        <v/>
      </c>
      <c r="DP85" s="435" t="str">
        <f t="shared" si="774"/>
        <v/>
      </c>
      <c r="DQ85" s="435" t="str">
        <f t="shared" si="808"/>
        <v/>
      </c>
      <c r="DR85" s="435" t="str">
        <f t="shared" si="809"/>
        <v/>
      </c>
      <c r="DS85" s="435" t="str">
        <f t="shared" si="775"/>
        <v/>
      </c>
      <c r="DT85" s="435" t="str">
        <f t="shared" si="776"/>
        <v/>
      </c>
      <c r="DU85" s="435" t="str">
        <f t="shared" si="810"/>
        <v/>
      </c>
      <c r="DV85" s="435" t="str">
        <f t="shared" si="811"/>
        <v/>
      </c>
      <c r="DW85" s="435" t="str">
        <f t="shared" si="777"/>
        <v/>
      </c>
      <c r="DX85" s="435" t="str">
        <f t="shared" si="778"/>
        <v/>
      </c>
      <c r="DY85" s="435" t="str">
        <f t="shared" si="812"/>
        <v/>
      </c>
      <c r="DZ85" s="435" t="str">
        <f t="shared" si="813"/>
        <v/>
      </c>
      <c r="EA85" s="435" t="str">
        <f t="shared" si="779"/>
        <v/>
      </c>
      <c r="EB85" s="435" t="str">
        <f t="shared" si="780"/>
        <v/>
      </c>
      <c r="EC85" s="435" t="str">
        <f t="shared" si="781"/>
        <v/>
      </c>
      <c r="ED85" s="435" t="str">
        <f t="shared" si="782"/>
        <v/>
      </c>
      <c r="EE85" s="435" t="str">
        <f t="shared" si="783"/>
        <v/>
      </c>
      <c r="EF85" s="435" t="str">
        <f t="shared" si="784"/>
        <v/>
      </c>
      <c r="EG85" s="435" t="str">
        <f t="shared" si="785"/>
        <v/>
      </c>
      <c r="EH85" s="435" t="str">
        <f t="shared" si="786"/>
        <v/>
      </c>
      <c r="EI85" s="435" t="str">
        <f t="shared" si="787"/>
        <v/>
      </c>
      <c r="EJ85" s="435" t="str">
        <f t="shared" si="788"/>
        <v/>
      </c>
      <c r="EK85" s="485"/>
      <c r="EL85" s="485"/>
      <c r="EM85" s="485"/>
      <c r="EN85" s="485"/>
      <c r="EO85" s="448"/>
      <c r="EP85" s="448"/>
      <c r="EQ85" s="448"/>
      <c r="ER85" s="448"/>
      <c r="ES85" s="448"/>
      <c r="ET85" s="435"/>
      <c r="EU85" s="435"/>
      <c r="EV85" s="435"/>
      <c r="EW85" s="435"/>
      <c r="EX85" s="426"/>
      <c r="EY85" s="426"/>
      <c r="EZ85" s="426"/>
      <c r="FA85" s="863"/>
      <c r="FB85" s="427">
        <f t="array" ref="FB85">IF(SUM((FA85=$FA$3:FA84)*1)=0,FA85,0)</f>
        <v>0</v>
      </c>
      <c r="FC85" s="863"/>
      <c r="FD85" s="863"/>
      <c r="FE85" s="863">
        <f t="array" ref="FE85">IF(SUM((FD85=$FD$3:FD84)*1)=0,FD85,0)</f>
        <v>0</v>
      </c>
      <c r="FF85" s="863"/>
      <c r="FG85" s="863"/>
      <c r="FH85" s="863"/>
      <c r="FI85" s="427">
        <f t="array" ref="FI85">IF(SUM((FH85=$FH$3:FH84)*1)=0,FH85,0)</f>
        <v>0</v>
      </c>
      <c r="FJ85" s="863"/>
      <c r="FK85" s="863"/>
      <c r="FL85" s="863">
        <f t="array" ref="FL85">IF(SUM((FK85=$FK$3:FK84)*1)=0,FK85,0)</f>
        <v>0</v>
      </c>
      <c r="FM85" s="863"/>
      <c r="FN85" s="863"/>
      <c r="FO85" s="863"/>
      <c r="FP85" s="427">
        <f t="array" ref="FP85">IF(SUM((FO85=$FO$3:FO84)*1)=0,FO85,0)</f>
        <v>0</v>
      </c>
      <c r="FQ85" s="863"/>
      <c r="FR85" s="863"/>
      <c r="FS85" s="863">
        <f t="array" ref="FS85">IF(SUM((FR85=$FR$3:FR84)*1)=0,FR85,0)</f>
        <v>0</v>
      </c>
      <c r="FT85" s="863"/>
      <c r="FU85" s="863"/>
      <c r="FV85" s="863"/>
      <c r="FW85" s="427">
        <f t="array" ref="FW85">IF(SUM((FV85=$FV$3:FV84)*1)=0,FV85,0)</f>
        <v>0</v>
      </c>
      <c r="FX85" s="863"/>
      <c r="FY85" s="863"/>
      <c r="FZ85" s="863">
        <f t="array" ref="FZ85">IF(SUM((FY85=$FY$3:FY84)*1)=0,FY85,0)</f>
        <v>0</v>
      </c>
      <c r="GA85" s="863"/>
      <c r="GB85" s="863"/>
      <c r="GC85" s="863"/>
      <c r="GD85" s="427">
        <f t="array" ref="GD85">IF(SUM((GC85=$GC$3:GC84)*1)=0,GC85,0)</f>
        <v>0</v>
      </c>
      <c r="GE85" s="863"/>
      <c r="GF85" s="863"/>
      <c r="GG85" s="863">
        <f t="array" ref="GG85">IF(SUM((GF85=$GF$3:GF84)*1)=0,GF85,0)</f>
        <v>0</v>
      </c>
      <c r="GH85" s="863"/>
      <c r="GI85" s="863"/>
      <c r="GJ85" s="863"/>
      <c r="GK85" s="798">
        <f t="array" ref="GK85">IF(SUM((GJ85=$GJ$3:GJ84)*1)=0,GJ85,0)</f>
        <v>0</v>
      </c>
      <c r="GL85" s="863"/>
      <c r="GM85" s="863"/>
      <c r="GN85" s="798">
        <f t="array" ref="GN85">IF(SUM((GM85=$GM$3:GM84)*1)=0,GM85,0)</f>
        <v>0</v>
      </c>
      <c r="GO85" s="863"/>
      <c r="GP85" s="863"/>
      <c r="GQ85" s="863"/>
      <c r="GR85" s="798">
        <f t="array" ref="GR85">IF(SUM((GQ85=$GQ$3:GQ84)*1)=0,GQ85,0)</f>
        <v>0</v>
      </c>
      <c r="GS85" s="863"/>
      <c r="GT85" s="863"/>
      <c r="GU85" s="798">
        <f t="array" ref="GU85">IF(SUM((GT85=$GT$3:GT84)*1)=0,GT85,0)</f>
        <v>0</v>
      </c>
      <c r="GV85" s="863"/>
      <c r="GW85" s="863"/>
      <c r="GX85" s="863"/>
      <c r="GY85" s="798">
        <f t="array" ref="GY85">IF(SUM((GX85=$GX$3:GX84)*1)=0,GX85,0)</f>
        <v>0</v>
      </c>
      <c r="GZ85" s="863"/>
      <c r="HA85" s="863"/>
      <c r="HB85" s="798">
        <f t="array" ref="HB85">IF(SUM((HA85=$HA$3:HA84)*1)=0,HA85,0)</f>
        <v>0</v>
      </c>
      <c r="HC85" s="863"/>
      <c r="HD85" s="863"/>
      <c r="HE85" s="769" t="str">
        <f t="shared" si="889"/>
        <v/>
      </c>
      <c r="HF85" s="768" t="str">
        <f t="shared" ref="HF85" si="1036">IF(HE85&lt;0,"Invadiu REP-BA-C","")</f>
        <v/>
      </c>
      <c r="HG85" s="769" t="str">
        <f t="shared" si="891"/>
        <v/>
      </c>
      <c r="HH85" s="768" t="str">
        <f t="shared" si="815"/>
        <v/>
      </c>
      <c r="HI85" s="728" t="str">
        <f t="shared" si="892"/>
        <v/>
      </c>
      <c r="HJ85" s="768" t="str">
        <f t="shared" si="816"/>
        <v/>
      </c>
      <c r="HK85" s="728" t="str">
        <f t="shared" si="893"/>
        <v/>
      </c>
      <c r="HL85" s="768" t="str">
        <f t="shared" si="817"/>
        <v/>
      </c>
      <c r="HM85" s="769" t="str">
        <f t="shared" si="818"/>
        <v/>
      </c>
      <c r="HN85" s="768" t="str">
        <f t="shared" ref="HN85" si="1037">IF(HM85&lt;0,"Invadiu REP-BA-C","")</f>
        <v/>
      </c>
      <c r="HO85" s="769" t="str">
        <f t="shared" si="820"/>
        <v/>
      </c>
      <c r="HP85" s="768" t="str">
        <f t="shared" si="821"/>
        <v/>
      </c>
      <c r="HQ85" s="728" t="str">
        <f t="shared" si="822"/>
        <v/>
      </c>
      <c r="HR85" s="768" t="str">
        <f t="shared" si="823"/>
        <v/>
      </c>
      <c r="HS85" s="728" t="str">
        <f t="shared" si="824"/>
        <v/>
      </c>
      <c r="HT85" s="768" t="str">
        <f t="shared" si="825"/>
        <v/>
      </c>
      <c r="HU85" s="769" t="str">
        <f t="shared" si="826"/>
        <v/>
      </c>
      <c r="HV85" s="768" t="str">
        <f t="shared" ref="HV85" si="1038">IF(HU85&lt;0,"Invadiu REP-BA-C","")</f>
        <v/>
      </c>
      <c r="HW85" s="769" t="str">
        <f t="shared" si="828"/>
        <v/>
      </c>
      <c r="HX85" s="768" t="str">
        <f t="shared" si="829"/>
        <v/>
      </c>
      <c r="HY85" s="728" t="str">
        <f t="shared" si="830"/>
        <v/>
      </c>
      <c r="HZ85" s="768" t="str">
        <f t="shared" si="831"/>
        <v/>
      </c>
      <c r="IA85" s="728" t="str">
        <f t="shared" si="832"/>
        <v/>
      </c>
      <c r="IB85" s="768" t="str">
        <f t="shared" si="833"/>
        <v/>
      </c>
      <c r="IC85" s="769" t="str">
        <f t="shared" si="834"/>
        <v/>
      </c>
      <c r="ID85" s="768" t="str">
        <f t="shared" ref="ID85" si="1039">IF(IC85&lt;0,"Invadiu REP-BA-C","")</f>
        <v/>
      </c>
      <c r="IE85" s="769" t="str">
        <f t="shared" si="836"/>
        <v/>
      </c>
      <c r="IF85" s="768" t="str">
        <f t="shared" si="837"/>
        <v/>
      </c>
      <c r="IG85" s="728" t="str">
        <f t="shared" si="838"/>
        <v/>
      </c>
      <c r="IH85" s="768" t="str">
        <f t="shared" si="839"/>
        <v/>
      </c>
      <c r="II85" s="728" t="str">
        <f t="shared" si="840"/>
        <v/>
      </c>
      <c r="IJ85" s="768" t="str">
        <f t="shared" si="841"/>
        <v/>
      </c>
      <c r="IK85" s="769" t="str">
        <f t="shared" si="842"/>
        <v/>
      </c>
      <c r="IL85" s="768" t="str">
        <f t="shared" ref="IL85" si="1040">IF(IK85&lt;0,"Invadiu REP-BA-C","")</f>
        <v/>
      </c>
      <c r="IM85" s="769" t="str">
        <f t="shared" si="844"/>
        <v/>
      </c>
      <c r="IN85" s="768" t="str">
        <f t="shared" si="845"/>
        <v/>
      </c>
      <c r="IO85" s="728" t="str">
        <f t="shared" si="846"/>
        <v/>
      </c>
      <c r="IP85" s="768" t="str">
        <f t="shared" si="847"/>
        <v/>
      </c>
      <c r="IQ85" s="728" t="str">
        <f t="shared" si="848"/>
        <v/>
      </c>
      <c r="IR85" s="768" t="str">
        <f t="shared" si="849"/>
        <v/>
      </c>
      <c r="IS85" s="769" t="str">
        <f t="shared" si="850"/>
        <v/>
      </c>
      <c r="IT85" s="768" t="str">
        <f t="shared" ref="IT85" si="1041">IF(IS85&lt;0,"Invadiu REP-BA-C","")</f>
        <v/>
      </c>
      <c r="IU85" s="769" t="str">
        <f t="shared" si="852"/>
        <v/>
      </c>
      <c r="IV85" s="768" t="str">
        <f t="shared" si="853"/>
        <v/>
      </c>
      <c r="IW85" s="728" t="str">
        <f t="shared" si="854"/>
        <v/>
      </c>
      <c r="IX85" s="768" t="str">
        <f t="shared" si="855"/>
        <v/>
      </c>
      <c r="IY85" s="728" t="str">
        <f t="shared" si="856"/>
        <v/>
      </c>
      <c r="IZ85" s="768" t="str">
        <f t="shared" si="857"/>
        <v/>
      </c>
      <c r="JA85" s="769" t="str">
        <f t="shared" si="858"/>
        <v/>
      </c>
      <c r="JB85" s="768" t="str">
        <f t="shared" ref="JB85" si="1042">IF(JA85&lt;0,"Invadiu REP-BA-C","")</f>
        <v/>
      </c>
      <c r="JC85" s="769" t="str">
        <f t="shared" si="860"/>
        <v/>
      </c>
      <c r="JD85" s="768" t="str">
        <f t="shared" si="861"/>
        <v/>
      </c>
      <c r="JE85" s="728" t="str">
        <f t="shared" si="862"/>
        <v/>
      </c>
      <c r="JF85" s="768" t="str">
        <f t="shared" si="863"/>
        <v/>
      </c>
      <c r="JG85" s="728" t="str">
        <f t="shared" si="864"/>
        <v/>
      </c>
      <c r="JH85" s="768" t="str">
        <f t="shared" si="865"/>
        <v/>
      </c>
      <c r="JI85" s="769" t="str">
        <f t="shared" si="866"/>
        <v/>
      </c>
      <c r="JJ85" s="768" t="str">
        <f t="shared" ref="JJ85" si="1043">IF(JI85&lt;0,"Invadiu REP-BA-C","")</f>
        <v/>
      </c>
      <c r="JK85" s="769" t="str">
        <f t="shared" si="868"/>
        <v/>
      </c>
      <c r="JL85" s="768" t="str">
        <f t="shared" si="869"/>
        <v/>
      </c>
      <c r="JM85" s="728" t="str">
        <f t="shared" si="870"/>
        <v/>
      </c>
      <c r="JN85" s="768" t="str">
        <f t="shared" si="871"/>
        <v/>
      </c>
      <c r="JO85" s="728" t="str">
        <f t="shared" si="872"/>
        <v/>
      </c>
      <c r="JP85" s="768" t="str">
        <f t="shared" si="873"/>
        <v/>
      </c>
      <c r="JQ85" s="769" t="str">
        <f t="shared" si="874"/>
        <v/>
      </c>
      <c r="JR85" s="768" t="str">
        <f t="shared" ref="JR85" si="1044">IF(JQ85&lt;0,"Invadiu REP-BA-C","")</f>
        <v/>
      </c>
      <c r="JS85" s="769" t="str">
        <f t="shared" si="876"/>
        <v/>
      </c>
      <c r="JT85" s="768" t="str">
        <f t="shared" si="877"/>
        <v/>
      </c>
      <c r="JU85" s="728" t="str">
        <f t="shared" si="878"/>
        <v/>
      </c>
      <c r="JV85" s="768" t="str">
        <f t="shared" si="879"/>
        <v/>
      </c>
      <c r="JW85" s="728" t="str">
        <f t="shared" si="880"/>
        <v/>
      </c>
      <c r="JX85" s="768" t="str">
        <f t="shared" si="881"/>
        <v/>
      </c>
      <c r="JY85" s="768" t="str">
        <f t="shared" si="882"/>
        <v/>
      </c>
      <c r="JZ85" s="485" t="str">
        <f>IF(JY85="","",IF(AND(C85=$C$164,JY85&lt;&gt;""),Verificarcpf(D85),IF(AND(C85=$C$165,JY85&lt;&gt;""),VerificarCNPJ(D85))))</f>
        <v/>
      </c>
      <c r="KA85" s="768" t="str">
        <f t="shared" si="883"/>
        <v/>
      </c>
      <c r="KB85" s="485">
        <f t="shared" si="884"/>
        <v>0</v>
      </c>
      <c r="KC85" s="768">
        <f t="shared" si="885"/>
        <v>0</v>
      </c>
      <c r="KD85" s="485">
        <f t="shared" si="886"/>
        <v>0</v>
      </c>
      <c r="KE85" s="448"/>
      <c r="KF85" s="548"/>
      <c r="KG85" s="548"/>
      <c r="KH85" s="548"/>
      <c r="KI85" s="548"/>
      <c r="KJ85" s="548" t="str">
        <f t="shared" si="887"/>
        <v/>
      </c>
      <c r="KK85" s="548"/>
      <c r="KL85" s="548"/>
      <c r="KM85" s="548">
        <f t="array" ref="KM85">IF(SUM((KL85=$KL$3:KL84)*1)=0,KL85,0)</f>
        <v>0</v>
      </c>
      <c r="KN85" s="548"/>
      <c r="KO85" s="548"/>
      <c r="KP85" s="548"/>
      <c r="KQ85" s="548"/>
      <c r="KR85" s="548" t="str">
        <f t="shared" si="888"/>
        <v/>
      </c>
      <c r="KS85" s="548"/>
      <c r="KT85" s="548"/>
      <c r="KU85" s="548"/>
      <c r="KV85" s="548"/>
      <c r="KW85" s="548"/>
      <c r="KX85" s="548"/>
      <c r="KY85" s="548"/>
      <c r="KZ85" s="548"/>
      <c r="LA85" s="548"/>
      <c r="LB85" s="548"/>
      <c r="LC85" s="485" t="str">
        <f t="shared" si="902"/>
        <v/>
      </c>
      <c r="LD85" s="548"/>
      <c r="LE85" s="548"/>
      <c r="LF85" s="548"/>
      <c r="LG85" s="548"/>
      <c r="LH85" s="548"/>
      <c r="LI85" s="548"/>
      <c r="LJ85" s="548"/>
      <c r="LK85" s="548"/>
      <c r="LL85" s="548"/>
      <c r="LM85" s="548"/>
      <c r="LN85" s="548"/>
      <c r="LO85" s="548"/>
      <c r="LP85" s="485" t="str">
        <f t="shared" si="903"/>
        <v/>
      </c>
      <c r="LQ85" s="548"/>
      <c r="LR85" s="548"/>
      <c r="LS85" s="548"/>
      <c r="LT85" s="548"/>
      <c r="LU85" s="548"/>
      <c r="LV85" s="548"/>
      <c r="LW85" s="548"/>
      <c r="LX85" s="548"/>
      <c r="LY85" s="548"/>
      <c r="LZ85" s="548"/>
      <c r="MA85" s="548"/>
      <c r="MB85" s="548"/>
      <c r="MC85" s="485" t="str">
        <f t="shared" si="904"/>
        <v/>
      </c>
      <c r="MD85" s="548"/>
      <c r="ME85" s="548"/>
      <c r="MF85" s="548"/>
      <c r="MG85" s="548"/>
      <c r="MH85" s="548"/>
      <c r="MI85" s="548"/>
      <c r="MJ85" s="548"/>
      <c r="MK85" s="548"/>
      <c r="ML85" s="548"/>
      <c r="MM85" s="548"/>
      <c r="MN85" s="548"/>
      <c r="MO85" s="548"/>
      <c r="MP85" s="485" t="str">
        <f t="shared" si="905"/>
        <v/>
      </c>
      <c r="MQ85" s="548"/>
      <c r="MR85" s="548"/>
      <c r="MS85" s="548"/>
      <c r="MT85" s="548"/>
      <c r="MU85" s="548"/>
      <c r="MV85" s="548"/>
      <c r="MW85" s="548"/>
      <c r="MX85" s="548"/>
      <c r="MY85" s="548"/>
      <c r="MZ85" s="548"/>
      <c r="NA85" s="548"/>
      <c r="NB85" s="548"/>
      <c r="NC85" s="485" t="str">
        <f t="shared" si="906"/>
        <v/>
      </c>
      <c r="ND85" s="548"/>
      <c r="NE85" s="548"/>
      <c r="NF85" s="548"/>
      <c r="NG85" s="548"/>
      <c r="NH85" s="548"/>
      <c r="NI85" s="548"/>
      <c r="NJ85" s="548"/>
      <c r="NK85" s="548"/>
      <c r="NL85" s="548"/>
      <c r="NM85" s="548"/>
      <c r="NN85" s="548"/>
      <c r="NO85" s="548"/>
      <c r="NP85" s="485" t="str">
        <f t="shared" si="907"/>
        <v/>
      </c>
      <c r="NQ85" s="548"/>
      <c r="NR85" s="548"/>
      <c r="NS85" s="548"/>
      <c r="NT85" s="548"/>
      <c r="NU85" s="548"/>
      <c r="NV85" s="548"/>
      <c r="NW85" s="548"/>
      <c r="NX85" s="548"/>
      <c r="NY85" s="548"/>
      <c r="NZ85" s="548"/>
      <c r="OA85" s="548"/>
      <c r="OB85" s="548"/>
      <c r="OC85" s="485" t="str">
        <f t="shared" si="908"/>
        <v/>
      </c>
      <c r="OD85" s="548"/>
      <c r="OE85" s="548"/>
      <c r="OF85" s="548"/>
      <c r="OG85" s="548"/>
      <c r="OH85" s="548"/>
      <c r="OI85" s="548"/>
      <c r="OJ85" s="548"/>
      <c r="OK85" s="548"/>
      <c r="OL85" s="548"/>
      <c r="OM85" s="548"/>
      <c r="ON85" s="548"/>
      <c r="OO85" s="548"/>
      <c r="OP85" s="548"/>
      <c r="OQ85" s="548"/>
      <c r="OR85" s="548"/>
      <c r="OS85" s="548"/>
      <c r="OT85" s="548"/>
      <c r="OU85" s="548"/>
      <c r="OV85" s="548"/>
      <c r="OW85" s="548"/>
      <c r="OX85" s="548"/>
      <c r="OY85" s="548"/>
      <c r="OZ85" s="548"/>
      <c r="PA85" s="548"/>
      <c r="PB85" s="548"/>
      <c r="PC85" s="548"/>
      <c r="PD85" s="548"/>
      <c r="PE85" s="548"/>
      <c r="PF85" s="548"/>
      <c r="PG85" s="548"/>
      <c r="PH85" s="548"/>
      <c r="PI85" s="548"/>
      <c r="PJ85" s="548"/>
      <c r="PK85" s="548"/>
      <c r="PL85" s="548"/>
      <c r="PM85" s="548"/>
      <c r="PN85" s="548"/>
      <c r="PO85" s="548"/>
      <c r="PP85" s="548"/>
      <c r="PQ85" s="548"/>
      <c r="PR85" s="548"/>
      <c r="PS85" s="548"/>
      <c r="PT85" s="548"/>
      <c r="PU85" s="548"/>
      <c r="PV85" s="548"/>
      <c r="PW85" s="548"/>
      <c r="PX85" s="548"/>
      <c r="PY85" s="548"/>
      <c r="PZ85" s="548"/>
      <c r="QA85" s="548"/>
      <c r="QB85" s="548"/>
      <c r="QC85" s="548"/>
      <c r="QD85" s="548"/>
      <c r="QE85" s="548"/>
      <c r="QF85" s="548"/>
      <c r="QG85" s="548"/>
      <c r="QH85" s="548"/>
      <c r="QI85" s="548"/>
      <c r="QJ85" s="548"/>
      <c r="QK85" s="548"/>
      <c r="QL85" s="548"/>
      <c r="QM85" s="548"/>
      <c r="QN85" s="548"/>
      <c r="QO85" s="548"/>
      <c r="QP85" s="548"/>
      <c r="QQ85" s="1009"/>
      <c r="QR85" s="548"/>
      <c r="QS85" s="548"/>
      <c r="QT85" s="548"/>
      <c r="QU85" s="548"/>
      <c r="QV85" s="548"/>
      <c r="QW85" s="548"/>
      <c r="QX85" s="548"/>
      <c r="QY85" s="548"/>
      <c r="QZ85" s="548"/>
      <c r="RA85" s="548"/>
      <c r="RB85" s="548"/>
      <c r="RC85" s="548"/>
      <c r="RD85" s="548"/>
      <c r="RE85" s="548"/>
      <c r="RF85" s="548"/>
      <c r="RG85" s="548"/>
      <c r="RH85" s="548"/>
      <c r="RI85" s="548"/>
      <c r="RJ85" s="548"/>
      <c r="RK85" s="548"/>
      <c r="RL85" s="548"/>
      <c r="RM85" s="548"/>
      <c r="RN85" s="548"/>
      <c r="RO85" s="548"/>
      <c r="RP85" s="548"/>
      <c r="RQ85" s="548"/>
      <c r="RR85" s="548"/>
      <c r="RS85" s="548"/>
      <c r="RT85" s="548"/>
      <c r="RU85" s="548"/>
      <c r="RV85" s="548"/>
      <c r="RW85" s="548"/>
      <c r="RX85" s="548"/>
      <c r="RY85" s="548"/>
      <c r="RZ85" s="548"/>
      <c r="SA85" s="548"/>
      <c r="SB85" s="548"/>
      <c r="SC85" s="548"/>
      <c r="SD85" s="548"/>
      <c r="SE85" s="548"/>
      <c r="SF85" s="548"/>
      <c r="SG85" s="548"/>
      <c r="SH85" s="548"/>
      <c r="SI85" s="548"/>
      <c r="SJ85" s="548"/>
      <c r="SK85" s="548"/>
      <c r="SL85" s="548"/>
      <c r="SM85" s="548"/>
      <c r="SN85" s="548"/>
      <c r="SO85" s="548"/>
      <c r="SP85" s="548"/>
      <c r="SQ85" s="548"/>
      <c r="SR85" s="548"/>
      <c r="SS85" s="548"/>
      <c r="ST85" s="548"/>
      <c r="SU85" s="548"/>
      <c r="SV85" s="548"/>
      <c r="SW85" s="548"/>
      <c r="SX85" s="548"/>
      <c r="SY85" s="548"/>
      <c r="SZ85" s="548"/>
      <c r="TA85" s="548"/>
      <c r="TB85" s="548"/>
      <c r="TC85" s="548"/>
      <c r="TD85" s="548"/>
      <c r="TE85" s="548"/>
      <c r="TF85" s="548"/>
      <c r="TG85" s="548"/>
      <c r="TH85" s="548"/>
      <c r="TI85" s="548"/>
      <c r="TJ85" s="548"/>
      <c r="TK85" s="548"/>
      <c r="TL85" s="548"/>
      <c r="TM85" s="548"/>
      <c r="TN85" s="548"/>
      <c r="TO85" s="548"/>
      <c r="TP85" s="548"/>
      <c r="TQ85" s="548"/>
      <c r="TR85" s="548"/>
      <c r="TS85" s="548"/>
      <c r="TT85" s="548"/>
      <c r="TU85" s="548"/>
      <c r="TV85" s="548"/>
      <c r="TW85" s="548"/>
      <c r="TX85" s="548"/>
      <c r="TY85" s="548"/>
      <c r="TZ85" s="548"/>
      <c r="UA85" s="548"/>
      <c r="UB85" s="548"/>
      <c r="UC85" s="548"/>
      <c r="UD85" s="548"/>
      <c r="UE85" s="548"/>
      <c r="UF85" s="548"/>
      <c r="UG85" s="548"/>
      <c r="UH85" s="548"/>
      <c r="UI85" s="548"/>
      <c r="UJ85" s="548"/>
      <c r="UK85" s="548"/>
      <c r="UL85" s="548"/>
      <c r="UM85" s="548"/>
      <c r="UN85" s="548"/>
      <c r="UO85" s="548"/>
      <c r="UP85" s="548"/>
      <c r="UQ85" s="548"/>
      <c r="UR85" s="548"/>
      <c r="US85" s="548"/>
      <c r="UT85" s="548"/>
      <c r="UU85" s="548"/>
      <c r="UV85" s="548"/>
      <c r="UW85" s="548"/>
      <c r="UX85" s="548"/>
      <c r="UY85" s="548"/>
      <c r="UZ85" s="548"/>
      <c r="VA85" s="548"/>
      <c r="VB85" s="548"/>
      <c r="VC85" s="548"/>
      <c r="VD85" s="548"/>
      <c r="VE85" s="548"/>
      <c r="VF85" s="548"/>
      <c r="VG85" s="548"/>
      <c r="VH85" s="548"/>
      <c r="VI85" s="548"/>
      <c r="VJ85" s="548"/>
      <c r="VK85" s="548"/>
      <c r="VL85" s="548"/>
      <c r="VM85" s="548"/>
      <c r="VN85" s="548"/>
      <c r="VO85" s="548"/>
      <c r="VP85" s="548"/>
      <c r="VQ85" s="548"/>
      <c r="VR85" s="548"/>
      <c r="VS85" s="548"/>
      <c r="VT85" s="548"/>
      <c r="VU85" s="548"/>
      <c r="VV85" s="548"/>
      <c r="VW85" s="548"/>
      <c r="VX85" s="548"/>
      <c r="VY85" s="548"/>
      <c r="VZ85" s="548"/>
      <c r="WA85" s="548"/>
      <c r="WB85" s="548"/>
      <c r="WC85" s="548"/>
      <c r="WD85" s="548"/>
      <c r="WE85" s="548"/>
      <c r="WF85" s="548"/>
      <c r="WG85" s="548"/>
      <c r="WH85" s="548"/>
      <c r="WI85" s="548"/>
      <c r="WJ85" s="548"/>
      <c r="WK85" s="548"/>
      <c r="WL85" s="548"/>
      <c r="WM85" s="548"/>
      <c r="WN85" s="548"/>
      <c r="WO85" s="548"/>
      <c r="WP85" s="548"/>
      <c r="WQ85" s="548"/>
      <c r="WR85" s="548"/>
      <c r="WS85" s="548"/>
      <c r="WT85" s="548"/>
      <c r="WU85" s="548"/>
      <c r="WV85" s="548"/>
      <c r="WW85" s="548"/>
      <c r="WX85" s="548"/>
      <c r="WY85" s="548"/>
      <c r="WZ85" s="548"/>
      <c r="XA85" s="548"/>
      <c r="XB85" s="548"/>
      <c r="XC85" s="548"/>
      <c r="XD85" s="548"/>
      <c r="XE85" s="548"/>
      <c r="XF85" s="548"/>
      <c r="XG85" s="548"/>
      <c r="XH85" s="548"/>
      <c r="XI85" s="548"/>
      <c r="XJ85" s="548"/>
      <c r="XK85" s="548"/>
      <c r="XL85" s="548"/>
      <c r="XM85" s="548"/>
      <c r="XN85" s="548"/>
      <c r="XO85" s="548"/>
      <c r="XP85" s="548"/>
      <c r="XQ85" s="548"/>
      <c r="XR85" s="548"/>
      <c r="XS85" s="548"/>
      <c r="XT85" s="548"/>
      <c r="XU85" s="548"/>
      <c r="XV85" s="548"/>
      <c r="XW85" s="548"/>
      <c r="XX85" s="548"/>
      <c r="XY85" s="548"/>
      <c r="XZ85" s="548"/>
      <c r="YA85" s="548"/>
      <c r="YB85" s="548"/>
      <c r="YC85" s="548"/>
      <c r="YD85" s="548"/>
      <c r="YE85" s="548"/>
      <c r="YF85" s="548"/>
      <c r="YG85" s="548"/>
      <c r="YH85" s="548"/>
      <c r="YI85" s="548"/>
      <c r="YJ85" s="548"/>
      <c r="YK85" s="548"/>
      <c r="YL85" s="548"/>
      <c r="YM85" s="548"/>
      <c r="YN85" s="548"/>
      <c r="YO85" s="548"/>
      <c r="YP85" s="548"/>
      <c r="YQ85" s="548"/>
      <c r="YR85" s="548"/>
      <c r="YS85" s="548"/>
      <c r="YT85" s="548"/>
      <c r="YU85" s="548"/>
      <c r="YV85" s="548"/>
      <c r="YW85" s="548"/>
      <c r="YX85" s="548"/>
      <c r="YY85" s="548"/>
      <c r="YZ85" s="548"/>
      <c r="ZA85" s="548"/>
      <c r="ZB85" s="548"/>
      <c r="ZC85" s="548"/>
      <c r="ZD85" s="548"/>
      <c r="ZE85" s="548"/>
      <c r="ZF85" s="548"/>
      <c r="ZG85" s="548"/>
      <c r="ZH85" s="548"/>
      <c r="ZI85" s="548"/>
      <c r="ZJ85" s="548"/>
      <c r="ZK85" s="548"/>
      <c r="ZL85" s="548"/>
      <c r="ZM85" s="548"/>
      <c r="ZN85" s="548"/>
      <c r="ZO85" s="548"/>
      <c r="ZP85" s="548"/>
      <c r="ZQ85" s="548"/>
      <c r="ZR85" s="548"/>
      <c r="ZS85" s="548"/>
      <c r="ZT85" s="548"/>
      <c r="ZU85" s="548"/>
      <c r="ZV85" s="548"/>
      <c r="ZW85" s="548"/>
      <c r="ZX85" s="548"/>
      <c r="ZY85" s="548"/>
      <c r="ZZ85" s="548"/>
      <c r="AAA85" s="548"/>
      <c r="AAB85" s="548"/>
      <c r="AAC85" s="548"/>
      <c r="AAD85" s="548"/>
      <c r="AAE85" s="548"/>
      <c r="AAF85" s="548"/>
      <c r="AAG85" s="548"/>
      <c r="AAH85" s="548"/>
      <c r="AAI85" s="548"/>
      <c r="AAJ85" s="548"/>
      <c r="AAK85" s="548"/>
      <c r="AAL85" s="548"/>
      <c r="AAM85" s="548"/>
      <c r="AAN85" s="548"/>
      <c r="AAO85" s="548"/>
      <c r="AAP85" s="548"/>
      <c r="AAQ85" s="548"/>
      <c r="AAR85" s="548"/>
      <c r="AAS85" s="548"/>
      <c r="AAT85" s="548"/>
      <c r="AAU85" s="548"/>
      <c r="AAV85" s="548"/>
      <c r="AAW85" s="548"/>
      <c r="AAX85" s="548"/>
      <c r="AAY85" s="548"/>
      <c r="AAZ85" s="548"/>
      <c r="ABA85" s="548"/>
      <c r="ABB85" s="548"/>
      <c r="ABC85" s="548"/>
      <c r="ABD85" s="548"/>
      <c r="ABE85" s="548"/>
      <c r="ABF85" s="548"/>
      <c r="ABG85" s="548"/>
      <c r="ABH85" s="548"/>
      <c r="ABI85" s="548"/>
      <c r="ABJ85" s="548"/>
      <c r="ABK85" s="548"/>
      <c r="ABL85" s="548"/>
      <c r="ABM85" s="548"/>
      <c r="ABN85" s="548"/>
      <c r="ABO85" s="548"/>
      <c r="ABP85" s="548"/>
      <c r="ABQ85" s="548"/>
      <c r="ABR85" s="548"/>
      <c r="ABS85" s="548"/>
    </row>
    <row r="86" spans="1:747" customFormat="1" ht="15" customHeight="1" thickBot="1" x14ac:dyDescent="0.25">
      <c r="A86" s="424" t="str">
        <f t="shared" si="909"/>
        <v/>
      </c>
      <c r="B86" s="415"/>
      <c r="C86" s="525"/>
      <c r="D86" s="750"/>
      <c r="E86" s="416" t="str">
        <f t="shared" si="751"/>
        <v/>
      </c>
      <c r="F86" s="527" t="str">
        <f t="shared" si="752"/>
        <v/>
      </c>
      <c r="G86" s="417"/>
      <c r="H86" s="585" t="str">
        <f t="shared" si="753"/>
        <v/>
      </c>
      <c r="I86" s="424"/>
      <c r="J86" s="419"/>
      <c r="K86" s="418"/>
      <c r="L86" s="419"/>
      <c r="M86" s="415"/>
      <c r="N86" s="420"/>
      <c r="O86" s="421"/>
      <c r="P86" s="561"/>
      <c r="Q86" s="422"/>
      <c r="R86" s="561" t="str">
        <f t="shared" si="754"/>
        <v/>
      </c>
      <c r="S86" s="664"/>
      <c r="T86" s="663"/>
      <c r="U86" s="580">
        <f t="shared" si="755"/>
        <v>0</v>
      </c>
      <c r="V86" s="418"/>
      <c r="W86" s="582" t="str">
        <f t="shared" si="756"/>
        <v/>
      </c>
      <c r="X86" s="479" t="str">
        <f t="shared" si="757"/>
        <v/>
      </c>
      <c r="Y86" s="582" t="str">
        <f t="shared" si="758"/>
        <v/>
      </c>
      <c r="Z86" s="317" t="str">
        <f t="shared" si="759"/>
        <v/>
      </c>
      <c r="AA86" s="317" t="str">
        <f t="shared" si="760"/>
        <v/>
      </c>
      <c r="AB86" s="317">
        <f t="shared" si="761"/>
        <v>0</v>
      </c>
      <c r="AC86" s="317" t="str">
        <f t="shared" si="762"/>
        <v/>
      </c>
      <c r="AD86" s="479"/>
      <c r="AE86" s="479"/>
      <c r="AF86" s="479"/>
      <c r="AG86" s="423"/>
      <c r="AH86" s="820"/>
      <c r="AI86" s="437"/>
      <c r="AJ86" s="660"/>
      <c r="AK86" s="524" t="str">
        <f t="shared" si="763"/>
        <v/>
      </c>
      <c r="AL86" s="507">
        <f>COUNTIF($J$4:$J$163,"Grêmio")</f>
        <v>0</v>
      </c>
      <c r="AM86" s="507">
        <f>IF(AL86&lt;=15,1,IF(AND(AL86&gt;15,AL86&lt;=29),2,IF(AND(AL86&gt;29,AL86&lt;=43),3,IF(AND(AL86&gt;43,AL86&lt;=57),4,IF(AND(AL86&gt;57,AL86&lt;=71),5,IF(AND(AL86&gt;71,AL86&lt;=85),6,IF(AND(AL86&gt;85,AL86&lt;=99),7,IF(AND(AL86&gt;99,AL86&lt;=113),8,IF(AND(AL86&gt;113,AL86&lt;=127),9,IF(AND(AL86&gt;127,AL86&lt;=141),10,IF(AND(AL86&gt;141,AL86&lt;=155),11,IF(AND(AL86&gt;155,AL86&lt;=160),12,$AN$1))))))))))))</f>
        <v>1</v>
      </c>
      <c r="AN86" s="426">
        <f t="shared" si="764"/>
        <v>0</v>
      </c>
      <c r="AO86" s="798" t="str">
        <f t="shared" si="765"/>
        <v/>
      </c>
      <c r="AP86" s="768" t="str">
        <f t="shared" si="766"/>
        <v/>
      </c>
      <c r="AQ86" s="768"/>
      <c r="AR86" s="768"/>
      <c r="AS86" s="803"/>
      <c r="AT86" s="804"/>
      <c r="AU86" s="805"/>
      <c r="AV86" s="806"/>
      <c r="AW86" s="800"/>
      <c r="AX86" s="805"/>
      <c r="AY86" s="806">
        <f t="shared" si="767"/>
        <v>0</v>
      </c>
      <c r="AZ86" s="426"/>
      <c r="BA86" s="435" t="str">
        <f t="shared" si="768"/>
        <v/>
      </c>
      <c r="BB86" s="435"/>
      <c r="BC86" s="426"/>
      <c r="BD86" s="426">
        <f t="array" ref="BD86">IF(SUM((BC86=$BC$3:BC85)*1)=0,BC86,0)</f>
        <v>0</v>
      </c>
      <c r="BE86" s="426"/>
      <c r="BF86" s="426"/>
      <c r="BG86" s="426">
        <f t="array" ref="BG86">IF(SUM((BF86=$BF$3:BF85)*1)=0,BF86,0)</f>
        <v>0</v>
      </c>
      <c r="BH86" s="426"/>
      <c r="BI86" s="426"/>
      <c r="BJ86" s="426"/>
      <c r="BK86" s="426"/>
      <c r="BL86" s="426"/>
      <c r="BM86" s="426"/>
      <c r="BN86" s="426"/>
      <c r="BO86" s="426"/>
      <c r="BP86" s="433">
        <f t="shared" si="769"/>
        <v>0</v>
      </c>
      <c r="BQ86" s="426"/>
      <c r="BR86" s="434"/>
      <c r="BS86" s="426"/>
      <c r="BT86" s="433"/>
      <c r="BU86" s="435"/>
      <c r="BV86" s="435" t="str">
        <f t="shared" si="770"/>
        <v/>
      </c>
      <c r="BW86" s="435" t="str">
        <f t="shared" si="798"/>
        <v/>
      </c>
      <c r="BX86" s="435"/>
      <c r="BY86" s="435"/>
      <c r="BZ86" s="435"/>
      <c r="CA86" s="435"/>
      <c r="CB86" s="435"/>
      <c r="CC86" s="435"/>
      <c r="CD86" s="435"/>
      <c r="CE86" s="435"/>
      <c r="CF86" s="435"/>
      <c r="CG86" s="435"/>
      <c r="CH86" s="435"/>
      <c r="CI86" s="435"/>
      <c r="CJ86" s="426" t="str">
        <f t="shared" si="799"/>
        <v/>
      </c>
      <c r="CK86" s="435"/>
      <c r="CL86" s="426"/>
      <c r="CM86" s="435"/>
      <c r="CN86" s="426"/>
      <c r="CO86" s="426"/>
      <c r="CP86" s="426"/>
      <c r="CQ86" s="426"/>
      <c r="CR86" s="426"/>
      <c r="CS86" s="426"/>
      <c r="CT86" s="426"/>
      <c r="CU86" s="426"/>
      <c r="CV86" s="426"/>
      <c r="CW86" s="493"/>
      <c r="CX86" s="493"/>
      <c r="CY86" s="426">
        <v>83</v>
      </c>
      <c r="CZ86" s="493"/>
      <c r="DA86" s="493"/>
      <c r="DB86" s="493"/>
      <c r="DC86" s="426" t="s">
        <v>826</v>
      </c>
      <c r="DD86" s="426" t="s">
        <v>986</v>
      </c>
      <c r="DE86" s="435" t="str">
        <f t="shared" si="800"/>
        <v/>
      </c>
      <c r="DF86" s="435" t="str">
        <f t="shared" si="801"/>
        <v/>
      </c>
      <c r="DG86" s="435" t="str">
        <f t="shared" si="802"/>
        <v/>
      </c>
      <c r="DH86" s="435" t="str">
        <f t="shared" si="803"/>
        <v/>
      </c>
      <c r="DI86" s="435" t="str">
        <f t="shared" si="804"/>
        <v/>
      </c>
      <c r="DJ86" s="435" t="str">
        <f t="shared" si="805"/>
        <v/>
      </c>
      <c r="DK86" s="435" t="str">
        <f t="shared" si="771"/>
        <v/>
      </c>
      <c r="DL86" s="435" t="str">
        <f t="shared" si="772"/>
        <v/>
      </c>
      <c r="DM86" s="435" t="str">
        <f t="shared" si="806"/>
        <v/>
      </c>
      <c r="DN86" s="435" t="str">
        <f t="shared" si="807"/>
        <v/>
      </c>
      <c r="DO86" s="435" t="str">
        <f t="shared" si="773"/>
        <v/>
      </c>
      <c r="DP86" s="435" t="str">
        <f t="shared" si="774"/>
        <v/>
      </c>
      <c r="DQ86" s="435" t="str">
        <f t="shared" si="808"/>
        <v/>
      </c>
      <c r="DR86" s="435" t="str">
        <f t="shared" si="809"/>
        <v/>
      </c>
      <c r="DS86" s="435" t="str">
        <f t="shared" si="775"/>
        <v/>
      </c>
      <c r="DT86" s="435" t="str">
        <f t="shared" si="776"/>
        <v/>
      </c>
      <c r="DU86" s="435" t="str">
        <f t="shared" si="810"/>
        <v/>
      </c>
      <c r="DV86" s="435" t="str">
        <f t="shared" si="811"/>
        <v/>
      </c>
      <c r="DW86" s="435" t="str">
        <f t="shared" si="777"/>
        <v/>
      </c>
      <c r="DX86" s="435" t="str">
        <f t="shared" si="778"/>
        <v/>
      </c>
      <c r="DY86" s="435" t="str">
        <f t="shared" si="812"/>
        <v/>
      </c>
      <c r="DZ86" s="435" t="str">
        <f t="shared" si="813"/>
        <v/>
      </c>
      <c r="EA86" s="435" t="str">
        <f t="shared" si="779"/>
        <v/>
      </c>
      <c r="EB86" s="435" t="str">
        <f t="shared" si="780"/>
        <v/>
      </c>
      <c r="EC86" s="435" t="str">
        <f t="shared" si="781"/>
        <v/>
      </c>
      <c r="ED86" s="435" t="str">
        <f t="shared" si="782"/>
        <v/>
      </c>
      <c r="EE86" s="435" t="str">
        <f t="shared" si="783"/>
        <v/>
      </c>
      <c r="EF86" s="435" t="str">
        <f t="shared" si="784"/>
        <v/>
      </c>
      <c r="EG86" s="435" t="str">
        <f t="shared" si="785"/>
        <v/>
      </c>
      <c r="EH86" s="435" t="str">
        <f t="shared" si="786"/>
        <v/>
      </c>
      <c r="EI86" s="435" t="str">
        <f t="shared" si="787"/>
        <v/>
      </c>
      <c r="EJ86" s="435" t="str">
        <f t="shared" si="788"/>
        <v/>
      </c>
      <c r="EK86" s="485"/>
      <c r="EL86" s="485"/>
      <c r="EM86" s="485"/>
      <c r="EN86" s="485"/>
      <c r="EO86" s="448"/>
      <c r="EP86" s="448"/>
      <c r="EQ86" s="448"/>
      <c r="ER86" s="448"/>
      <c r="ES86" s="448"/>
      <c r="ET86" s="435"/>
      <c r="EU86" s="435"/>
      <c r="EV86" s="435"/>
      <c r="EW86" s="435"/>
      <c r="EX86" s="426"/>
      <c r="EY86" s="426"/>
      <c r="EZ86" s="426"/>
      <c r="FA86" s="863"/>
      <c r="FB86" s="427">
        <f t="array" ref="FB86">IF(SUM((FA86=$FA$3:FA85)*1)=0,FA86,0)</f>
        <v>0</v>
      </c>
      <c r="FC86" s="863"/>
      <c r="FD86" s="863"/>
      <c r="FE86" s="863">
        <f t="array" ref="FE86">IF(SUM((FD86=$FD$3:FD85)*1)=0,FD86,0)</f>
        <v>0</v>
      </c>
      <c r="FF86" s="863"/>
      <c r="FG86" s="863"/>
      <c r="FH86" s="863"/>
      <c r="FI86" s="427">
        <f t="array" ref="FI86">IF(SUM((FH86=$FH$3:FH85)*1)=0,FH86,0)</f>
        <v>0</v>
      </c>
      <c r="FJ86" s="863"/>
      <c r="FK86" s="863"/>
      <c r="FL86" s="863">
        <f t="array" ref="FL86">IF(SUM((FK86=$FK$3:FK85)*1)=0,FK86,0)</f>
        <v>0</v>
      </c>
      <c r="FM86" s="863"/>
      <c r="FN86" s="863"/>
      <c r="FO86" s="863"/>
      <c r="FP86" s="427">
        <f t="array" ref="FP86">IF(SUM((FO86=$FO$3:FO85)*1)=0,FO86,0)</f>
        <v>0</v>
      </c>
      <c r="FQ86" s="863"/>
      <c r="FR86" s="863"/>
      <c r="FS86" s="863">
        <f t="array" ref="FS86">IF(SUM((FR86=$FR$3:FR85)*1)=0,FR86,0)</f>
        <v>0</v>
      </c>
      <c r="FT86" s="863"/>
      <c r="FU86" s="863"/>
      <c r="FV86" s="863"/>
      <c r="FW86" s="427">
        <f t="array" ref="FW86">IF(SUM((FV86=$FV$3:FV85)*1)=0,FV86,0)</f>
        <v>0</v>
      </c>
      <c r="FX86" s="863"/>
      <c r="FY86" s="863"/>
      <c r="FZ86" s="863">
        <f t="array" ref="FZ86">IF(SUM((FY86=$FY$3:FY85)*1)=0,FY86,0)</f>
        <v>0</v>
      </c>
      <c r="GA86" s="863"/>
      <c r="GB86" s="863"/>
      <c r="GC86" s="863"/>
      <c r="GD86" s="427">
        <f t="array" ref="GD86">IF(SUM((GC86=$GC$3:GC85)*1)=0,GC86,0)</f>
        <v>0</v>
      </c>
      <c r="GE86" s="863"/>
      <c r="GF86" s="863"/>
      <c r="GG86" s="863">
        <f t="array" ref="GG86">IF(SUM((GF86=$GF$3:GF85)*1)=0,GF86,0)</f>
        <v>0</v>
      </c>
      <c r="GH86" s="863"/>
      <c r="GI86" s="863"/>
      <c r="GJ86" s="863"/>
      <c r="GK86" s="798">
        <f t="array" ref="GK86">IF(SUM((GJ86=$GJ$3:GJ85)*1)=0,GJ86,0)</f>
        <v>0</v>
      </c>
      <c r="GL86" s="863"/>
      <c r="GM86" s="863"/>
      <c r="GN86" s="798">
        <f t="array" ref="GN86">IF(SUM((GM86=$GM$3:GM85)*1)=0,GM86,0)</f>
        <v>0</v>
      </c>
      <c r="GO86" s="863"/>
      <c r="GP86" s="863"/>
      <c r="GQ86" s="863"/>
      <c r="GR86" s="798">
        <f t="array" ref="GR86">IF(SUM((GQ86=$GQ$3:GQ85)*1)=0,GQ86,0)</f>
        <v>0</v>
      </c>
      <c r="GS86" s="863"/>
      <c r="GT86" s="863"/>
      <c r="GU86" s="798">
        <f t="array" ref="GU86">IF(SUM((GT86=$GT$3:GT85)*1)=0,GT86,0)</f>
        <v>0</v>
      </c>
      <c r="GV86" s="863"/>
      <c r="GW86" s="863"/>
      <c r="GX86" s="863"/>
      <c r="GY86" s="798">
        <f t="array" ref="GY86">IF(SUM((GX86=$GX$3:GX85)*1)=0,GX86,0)</f>
        <v>0</v>
      </c>
      <c r="GZ86" s="863"/>
      <c r="HA86" s="863"/>
      <c r="HB86" s="798">
        <f t="array" ref="HB86">IF(SUM((HA86=$HA$3:HA85)*1)=0,HA86,0)</f>
        <v>0</v>
      </c>
      <c r="HC86" s="863"/>
      <c r="HD86" s="863"/>
      <c r="HE86" s="769" t="str">
        <f t="shared" si="889"/>
        <v/>
      </c>
      <c r="HF86" s="768" t="str">
        <f t="shared" ref="HF86" si="1045">IF(HE86&lt;0,"Invadiu REP-BA-C","")</f>
        <v/>
      </c>
      <c r="HG86" s="769" t="str">
        <f t="shared" si="891"/>
        <v/>
      </c>
      <c r="HH86" s="768" t="str">
        <f t="shared" si="815"/>
        <v/>
      </c>
      <c r="HI86" s="728" t="str">
        <f t="shared" si="892"/>
        <v/>
      </c>
      <c r="HJ86" s="768" t="str">
        <f t="shared" si="816"/>
        <v/>
      </c>
      <c r="HK86" s="728" t="str">
        <f t="shared" si="893"/>
        <v/>
      </c>
      <c r="HL86" s="768" t="str">
        <f t="shared" si="817"/>
        <v/>
      </c>
      <c r="HM86" s="769" t="str">
        <f t="shared" si="818"/>
        <v/>
      </c>
      <c r="HN86" s="768" t="str">
        <f t="shared" ref="HN86" si="1046">IF(HM86&lt;0,"Invadiu REP-BA-C","")</f>
        <v/>
      </c>
      <c r="HO86" s="769" t="str">
        <f t="shared" si="820"/>
        <v/>
      </c>
      <c r="HP86" s="768" t="str">
        <f t="shared" si="821"/>
        <v/>
      </c>
      <c r="HQ86" s="728" t="str">
        <f t="shared" si="822"/>
        <v/>
      </c>
      <c r="HR86" s="768" t="str">
        <f t="shared" si="823"/>
        <v/>
      </c>
      <c r="HS86" s="728" t="str">
        <f t="shared" si="824"/>
        <v/>
      </c>
      <c r="HT86" s="768" t="str">
        <f t="shared" si="825"/>
        <v/>
      </c>
      <c r="HU86" s="769" t="str">
        <f t="shared" si="826"/>
        <v/>
      </c>
      <c r="HV86" s="768" t="str">
        <f t="shared" ref="HV86" si="1047">IF(HU86&lt;0,"Invadiu REP-BA-C","")</f>
        <v/>
      </c>
      <c r="HW86" s="769" t="str">
        <f t="shared" si="828"/>
        <v/>
      </c>
      <c r="HX86" s="768" t="str">
        <f t="shared" si="829"/>
        <v/>
      </c>
      <c r="HY86" s="728" t="str">
        <f t="shared" si="830"/>
        <v/>
      </c>
      <c r="HZ86" s="768" t="str">
        <f t="shared" si="831"/>
        <v/>
      </c>
      <c r="IA86" s="728" t="str">
        <f t="shared" si="832"/>
        <v/>
      </c>
      <c r="IB86" s="768" t="str">
        <f t="shared" si="833"/>
        <v/>
      </c>
      <c r="IC86" s="769" t="str">
        <f t="shared" si="834"/>
        <v/>
      </c>
      <c r="ID86" s="768" t="str">
        <f t="shared" ref="ID86" si="1048">IF(IC86&lt;0,"Invadiu REP-BA-C","")</f>
        <v/>
      </c>
      <c r="IE86" s="769" t="str">
        <f t="shared" si="836"/>
        <v/>
      </c>
      <c r="IF86" s="768" t="str">
        <f t="shared" si="837"/>
        <v/>
      </c>
      <c r="IG86" s="728" t="str">
        <f t="shared" si="838"/>
        <v/>
      </c>
      <c r="IH86" s="768" t="str">
        <f t="shared" si="839"/>
        <v/>
      </c>
      <c r="II86" s="728" t="str">
        <f t="shared" si="840"/>
        <v/>
      </c>
      <c r="IJ86" s="768" t="str">
        <f t="shared" si="841"/>
        <v/>
      </c>
      <c r="IK86" s="769" t="str">
        <f t="shared" si="842"/>
        <v/>
      </c>
      <c r="IL86" s="768" t="str">
        <f t="shared" ref="IL86" si="1049">IF(IK86&lt;0,"Invadiu REP-BA-C","")</f>
        <v/>
      </c>
      <c r="IM86" s="769" t="str">
        <f t="shared" si="844"/>
        <v/>
      </c>
      <c r="IN86" s="768" t="str">
        <f t="shared" si="845"/>
        <v/>
      </c>
      <c r="IO86" s="728" t="str">
        <f t="shared" si="846"/>
        <v/>
      </c>
      <c r="IP86" s="768" t="str">
        <f t="shared" si="847"/>
        <v/>
      </c>
      <c r="IQ86" s="728" t="str">
        <f t="shared" si="848"/>
        <v/>
      </c>
      <c r="IR86" s="768" t="str">
        <f t="shared" si="849"/>
        <v/>
      </c>
      <c r="IS86" s="769" t="str">
        <f t="shared" si="850"/>
        <v/>
      </c>
      <c r="IT86" s="768" t="str">
        <f t="shared" ref="IT86" si="1050">IF(IS86&lt;0,"Invadiu REP-BA-C","")</f>
        <v/>
      </c>
      <c r="IU86" s="769" t="str">
        <f t="shared" si="852"/>
        <v/>
      </c>
      <c r="IV86" s="768" t="str">
        <f t="shared" si="853"/>
        <v/>
      </c>
      <c r="IW86" s="728" t="str">
        <f t="shared" si="854"/>
        <v/>
      </c>
      <c r="IX86" s="768" t="str">
        <f t="shared" si="855"/>
        <v/>
      </c>
      <c r="IY86" s="728" t="str">
        <f t="shared" si="856"/>
        <v/>
      </c>
      <c r="IZ86" s="768" t="str">
        <f t="shared" si="857"/>
        <v/>
      </c>
      <c r="JA86" s="769" t="str">
        <f t="shared" si="858"/>
        <v/>
      </c>
      <c r="JB86" s="768" t="str">
        <f t="shared" ref="JB86" si="1051">IF(JA86&lt;0,"Invadiu REP-BA-C","")</f>
        <v/>
      </c>
      <c r="JC86" s="769" t="str">
        <f t="shared" si="860"/>
        <v/>
      </c>
      <c r="JD86" s="768" t="str">
        <f t="shared" si="861"/>
        <v/>
      </c>
      <c r="JE86" s="728" t="str">
        <f t="shared" si="862"/>
        <v/>
      </c>
      <c r="JF86" s="768" t="str">
        <f t="shared" si="863"/>
        <v/>
      </c>
      <c r="JG86" s="728" t="str">
        <f t="shared" si="864"/>
        <v/>
      </c>
      <c r="JH86" s="768" t="str">
        <f t="shared" si="865"/>
        <v/>
      </c>
      <c r="JI86" s="769" t="str">
        <f t="shared" si="866"/>
        <v/>
      </c>
      <c r="JJ86" s="768" t="str">
        <f t="shared" ref="JJ86" si="1052">IF(JI86&lt;0,"Invadiu REP-BA-C","")</f>
        <v/>
      </c>
      <c r="JK86" s="769" t="str">
        <f t="shared" si="868"/>
        <v/>
      </c>
      <c r="JL86" s="768" t="str">
        <f t="shared" si="869"/>
        <v/>
      </c>
      <c r="JM86" s="728" t="str">
        <f t="shared" si="870"/>
        <v/>
      </c>
      <c r="JN86" s="768" t="str">
        <f t="shared" si="871"/>
        <v/>
      </c>
      <c r="JO86" s="728" t="str">
        <f t="shared" si="872"/>
        <v/>
      </c>
      <c r="JP86" s="768" t="str">
        <f t="shared" si="873"/>
        <v/>
      </c>
      <c r="JQ86" s="769" t="str">
        <f t="shared" si="874"/>
        <v/>
      </c>
      <c r="JR86" s="768" t="str">
        <f t="shared" ref="JR86" si="1053">IF(JQ86&lt;0,"Invadiu REP-BA-C","")</f>
        <v/>
      </c>
      <c r="JS86" s="769" t="str">
        <f t="shared" si="876"/>
        <v/>
      </c>
      <c r="JT86" s="768" t="str">
        <f t="shared" si="877"/>
        <v/>
      </c>
      <c r="JU86" s="728" t="str">
        <f t="shared" si="878"/>
        <v/>
      </c>
      <c r="JV86" s="768" t="str">
        <f t="shared" si="879"/>
        <v/>
      </c>
      <c r="JW86" s="728" t="str">
        <f t="shared" si="880"/>
        <v/>
      </c>
      <c r="JX86" s="768" t="str">
        <f t="shared" si="881"/>
        <v/>
      </c>
      <c r="JY86" s="768" t="str">
        <f t="shared" si="882"/>
        <v/>
      </c>
      <c r="JZ86" s="485" t="str">
        <f>IF(JY86="","",IF(AND(C86=$C$164,JY86&lt;&gt;""),Verificarcpf(D86),IF(AND(C86=$C$165,JY86&lt;&gt;""),VerificarCNPJ(D86))))</f>
        <v/>
      </c>
      <c r="KA86" s="768" t="str">
        <f t="shared" si="883"/>
        <v/>
      </c>
      <c r="KB86" s="485">
        <f t="shared" si="884"/>
        <v>0</v>
      </c>
      <c r="KC86" s="768">
        <f t="shared" si="885"/>
        <v>0</v>
      </c>
      <c r="KD86" s="485">
        <f t="shared" si="886"/>
        <v>0</v>
      </c>
      <c r="KE86" s="448"/>
      <c r="KF86" s="548"/>
      <c r="KG86" s="548"/>
      <c r="KH86" s="548"/>
      <c r="KI86" s="548"/>
      <c r="KJ86" s="548" t="str">
        <f t="shared" si="887"/>
        <v/>
      </c>
      <c r="KK86" s="548"/>
      <c r="KL86" s="548"/>
      <c r="KM86" s="548">
        <f t="array" ref="KM86">IF(SUM((KL86=$KL$3:KL85)*1)=0,KL86,0)</f>
        <v>0</v>
      </c>
      <c r="KN86" s="548"/>
      <c r="KO86" s="548"/>
      <c r="KP86" s="548"/>
      <c r="KQ86" s="548"/>
      <c r="KR86" s="548" t="str">
        <f t="shared" si="888"/>
        <v/>
      </c>
      <c r="KS86" s="548"/>
      <c r="KT86" s="548"/>
      <c r="KU86" s="548"/>
      <c r="KV86" s="548"/>
      <c r="KW86" s="548"/>
      <c r="KX86" s="548"/>
      <c r="KY86" s="548"/>
      <c r="KZ86" s="548"/>
      <c r="LA86" s="548"/>
      <c r="LB86" s="548"/>
      <c r="LC86" s="485" t="str">
        <f t="shared" si="902"/>
        <v/>
      </c>
      <c r="LD86" s="548"/>
      <c r="LE86" s="548"/>
      <c r="LF86" s="548"/>
      <c r="LG86" s="548"/>
      <c r="LH86" s="548"/>
      <c r="LI86" s="548"/>
      <c r="LJ86" s="548"/>
      <c r="LK86" s="548"/>
      <c r="LL86" s="548"/>
      <c r="LM86" s="548"/>
      <c r="LN86" s="548"/>
      <c r="LO86" s="548"/>
      <c r="LP86" s="485" t="str">
        <f t="shared" si="903"/>
        <v/>
      </c>
      <c r="LQ86" s="548"/>
      <c r="LR86" s="548"/>
      <c r="LS86" s="548"/>
      <c r="LT86" s="548"/>
      <c r="LU86" s="548"/>
      <c r="LV86" s="548"/>
      <c r="LW86" s="548"/>
      <c r="LX86" s="548"/>
      <c r="LY86" s="548"/>
      <c r="LZ86" s="548"/>
      <c r="MA86" s="548"/>
      <c r="MB86" s="548"/>
      <c r="MC86" s="485" t="str">
        <f t="shared" si="904"/>
        <v/>
      </c>
      <c r="MD86" s="548"/>
      <c r="ME86" s="548"/>
      <c r="MF86" s="548"/>
      <c r="MG86" s="548"/>
      <c r="MH86" s="548"/>
      <c r="MI86" s="548"/>
      <c r="MJ86" s="548"/>
      <c r="MK86" s="548"/>
      <c r="ML86" s="548"/>
      <c r="MM86" s="548"/>
      <c r="MN86" s="548"/>
      <c r="MO86" s="548"/>
      <c r="MP86" s="485" t="str">
        <f t="shared" si="905"/>
        <v/>
      </c>
      <c r="MQ86" s="548"/>
      <c r="MR86" s="548"/>
      <c r="MS86" s="548"/>
      <c r="MT86" s="548"/>
      <c r="MU86" s="548"/>
      <c r="MV86" s="548"/>
      <c r="MW86" s="548"/>
      <c r="MX86" s="548"/>
      <c r="MY86" s="548"/>
      <c r="MZ86" s="548"/>
      <c r="NA86" s="548"/>
      <c r="NB86" s="548"/>
      <c r="NC86" s="485" t="str">
        <f t="shared" si="906"/>
        <v/>
      </c>
      <c r="ND86" s="548"/>
      <c r="NE86" s="548"/>
      <c r="NF86" s="548"/>
      <c r="NG86" s="548"/>
      <c r="NH86" s="548"/>
      <c r="NI86" s="548"/>
      <c r="NJ86" s="548"/>
      <c r="NK86" s="548"/>
      <c r="NL86" s="548"/>
      <c r="NM86" s="548"/>
      <c r="NN86" s="548"/>
      <c r="NO86" s="548"/>
      <c r="NP86" s="485" t="str">
        <f t="shared" si="907"/>
        <v/>
      </c>
      <c r="NQ86" s="548"/>
      <c r="NR86" s="548"/>
      <c r="NS86" s="548"/>
      <c r="NT86" s="548"/>
      <c r="NU86" s="548"/>
      <c r="NV86" s="548"/>
      <c r="NW86" s="548"/>
      <c r="NX86" s="548"/>
      <c r="NY86" s="548"/>
      <c r="NZ86" s="548"/>
      <c r="OA86" s="548"/>
      <c r="OB86" s="548"/>
      <c r="OC86" s="485" t="str">
        <f t="shared" si="908"/>
        <v/>
      </c>
      <c r="OD86" s="548"/>
      <c r="OE86" s="548"/>
      <c r="OF86" s="548"/>
      <c r="OG86" s="548"/>
      <c r="OH86" s="548"/>
      <c r="OI86" s="548"/>
      <c r="OJ86" s="548"/>
      <c r="OK86" s="548"/>
      <c r="OL86" s="548"/>
      <c r="OM86" s="548"/>
      <c r="ON86" s="548"/>
      <c r="OO86" s="548"/>
      <c r="OP86" s="548"/>
      <c r="OQ86" s="548"/>
      <c r="OR86" s="548"/>
      <c r="OS86" s="548"/>
      <c r="OT86" s="548"/>
      <c r="OU86" s="548"/>
      <c r="OV86" s="548"/>
      <c r="OW86" s="548"/>
      <c r="OX86" s="548"/>
      <c r="OY86" s="548"/>
      <c r="OZ86" s="548"/>
      <c r="PA86" s="548"/>
      <c r="PB86" s="548"/>
      <c r="PC86" s="548"/>
      <c r="PD86" s="548"/>
      <c r="PE86" s="548"/>
      <c r="PF86" s="548"/>
      <c r="PG86" s="548"/>
      <c r="PH86" s="548"/>
      <c r="PI86" s="548"/>
      <c r="PJ86" s="548"/>
      <c r="PK86" s="548"/>
      <c r="PL86" s="548"/>
      <c r="PM86" s="548"/>
      <c r="PN86" s="548"/>
      <c r="PO86" s="548"/>
      <c r="PP86" s="548"/>
      <c r="PQ86" s="548"/>
      <c r="PR86" s="548"/>
      <c r="PS86" s="548"/>
      <c r="PT86" s="548"/>
      <c r="PU86" s="548"/>
      <c r="PV86" s="548"/>
      <c r="PW86" s="548"/>
      <c r="PX86" s="548"/>
      <c r="PY86" s="548"/>
      <c r="PZ86" s="548"/>
      <c r="QA86" s="548"/>
      <c r="QB86" s="548"/>
      <c r="QC86" s="548"/>
      <c r="QD86" s="548"/>
      <c r="QE86" s="548"/>
      <c r="QF86" s="548"/>
      <c r="QG86" s="548"/>
      <c r="QH86" s="548"/>
      <c r="QI86" s="548"/>
      <c r="QJ86" s="548"/>
      <c r="QK86" s="548"/>
      <c r="QL86" s="548"/>
      <c r="QM86" s="548"/>
      <c r="QN86" s="548"/>
      <c r="QO86" s="548"/>
      <c r="QP86" s="548"/>
      <c r="QQ86" s="1009"/>
      <c r="QR86" s="548"/>
      <c r="QS86" s="548"/>
      <c r="QT86" s="548"/>
      <c r="QU86" s="548"/>
      <c r="QV86" s="548"/>
      <c r="QW86" s="548"/>
      <c r="QX86" s="548"/>
      <c r="QY86" s="548"/>
      <c r="QZ86" s="548"/>
      <c r="RA86" s="548"/>
      <c r="RB86" s="548"/>
      <c r="RC86" s="548"/>
      <c r="RD86" s="548"/>
      <c r="RE86" s="548"/>
      <c r="RF86" s="548"/>
      <c r="RG86" s="548"/>
      <c r="RH86" s="548"/>
      <c r="RI86" s="548"/>
      <c r="RJ86" s="548"/>
      <c r="RK86" s="548"/>
      <c r="RL86" s="548"/>
      <c r="RM86" s="548"/>
      <c r="RN86" s="548"/>
      <c r="RO86" s="548"/>
      <c r="RP86" s="548"/>
      <c r="RQ86" s="548"/>
      <c r="RR86" s="548"/>
      <c r="RS86" s="548"/>
      <c r="RT86" s="548"/>
      <c r="RU86" s="548"/>
      <c r="RV86" s="548"/>
      <c r="RW86" s="548"/>
      <c r="RX86" s="548"/>
      <c r="RY86" s="548"/>
      <c r="RZ86" s="548"/>
      <c r="SA86" s="548"/>
      <c r="SB86" s="548"/>
      <c r="SC86" s="548"/>
      <c r="SD86" s="548"/>
      <c r="SE86" s="548"/>
      <c r="SF86" s="548"/>
      <c r="SG86" s="548"/>
      <c r="SH86" s="548"/>
      <c r="SI86" s="548"/>
      <c r="SJ86" s="548"/>
      <c r="SK86" s="548"/>
      <c r="SL86" s="548"/>
      <c r="SM86" s="548"/>
      <c r="SN86" s="548"/>
      <c r="SO86" s="548"/>
      <c r="SP86" s="548"/>
      <c r="SQ86" s="548"/>
      <c r="SR86" s="548"/>
      <c r="SS86" s="548"/>
      <c r="ST86" s="548"/>
      <c r="SU86" s="548"/>
      <c r="SV86" s="548"/>
      <c r="SW86" s="548"/>
      <c r="SX86" s="548"/>
      <c r="SY86" s="548"/>
      <c r="SZ86" s="548"/>
      <c r="TA86" s="548"/>
      <c r="TB86" s="548"/>
      <c r="TC86" s="548"/>
      <c r="TD86" s="548"/>
      <c r="TE86" s="548"/>
      <c r="TF86" s="548"/>
      <c r="TG86" s="548"/>
      <c r="TH86" s="548"/>
      <c r="TI86" s="548"/>
      <c r="TJ86" s="548"/>
      <c r="TK86" s="548"/>
      <c r="TL86" s="548"/>
      <c r="TM86" s="548"/>
      <c r="TN86" s="548"/>
      <c r="TO86" s="548"/>
      <c r="TP86" s="548"/>
      <c r="TQ86" s="548"/>
      <c r="TR86" s="548"/>
      <c r="TS86" s="548"/>
      <c r="TT86" s="548"/>
      <c r="TU86" s="548"/>
      <c r="TV86" s="548"/>
      <c r="TW86" s="548"/>
      <c r="TX86" s="548"/>
      <c r="TY86" s="548"/>
      <c r="TZ86" s="548"/>
      <c r="UA86" s="548"/>
      <c r="UB86" s="548"/>
      <c r="UC86" s="548"/>
      <c r="UD86" s="548"/>
      <c r="UE86" s="548"/>
      <c r="UF86" s="548"/>
      <c r="UG86" s="548"/>
      <c r="UH86" s="548"/>
      <c r="UI86" s="548"/>
      <c r="UJ86" s="548"/>
      <c r="UK86" s="548"/>
      <c r="UL86" s="548"/>
      <c r="UM86" s="548"/>
      <c r="UN86" s="548"/>
      <c r="UO86" s="548"/>
      <c r="UP86" s="548"/>
      <c r="UQ86" s="548"/>
      <c r="UR86" s="548"/>
      <c r="US86" s="548"/>
      <c r="UT86" s="548"/>
      <c r="UU86" s="548"/>
      <c r="UV86" s="548"/>
      <c r="UW86" s="548"/>
      <c r="UX86" s="548"/>
      <c r="UY86" s="548"/>
      <c r="UZ86" s="548"/>
      <c r="VA86" s="548"/>
      <c r="VB86" s="548"/>
      <c r="VC86" s="548"/>
      <c r="VD86" s="548"/>
      <c r="VE86" s="548"/>
      <c r="VF86" s="548"/>
      <c r="VG86" s="548"/>
      <c r="VH86" s="548"/>
      <c r="VI86" s="548"/>
      <c r="VJ86" s="548"/>
      <c r="VK86" s="548"/>
      <c r="VL86" s="548"/>
      <c r="VM86" s="548"/>
      <c r="VN86" s="548"/>
      <c r="VO86" s="548"/>
      <c r="VP86" s="548"/>
      <c r="VQ86" s="548"/>
      <c r="VR86" s="548"/>
      <c r="VS86" s="548"/>
      <c r="VT86" s="548"/>
      <c r="VU86" s="548"/>
      <c r="VV86" s="548"/>
      <c r="VW86" s="548"/>
      <c r="VX86" s="548"/>
      <c r="VY86" s="548"/>
      <c r="VZ86" s="548"/>
      <c r="WA86" s="548"/>
      <c r="WB86" s="548"/>
      <c r="WC86" s="548"/>
      <c r="WD86" s="548"/>
      <c r="WE86" s="548"/>
      <c r="WF86" s="548"/>
      <c r="WG86" s="548"/>
      <c r="WH86" s="548"/>
      <c r="WI86" s="548"/>
      <c r="WJ86" s="548"/>
      <c r="WK86" s="548"/>
      <c r="WL86" s="548"/>
      <c r="WM86" s="548"/>
      <c r="WN86" s="548"/>
      <c r="WO86" s="548"/>
      <c r="WP86" s="548"/>
      <c r="WQ86" s="548"/>
      <c r="WR86" s="548"/>
      <c r="WS86" s="548"/>
      <c r="WT86" s="548"/>
      <c r="WU86" s="548"/>
      <c r="WV86" s="548"/>
      <c r="WW86" s="548"/>
      <c r="WX86" s="548"/>
      <c r="WY86" s="548"/>
      <c r="WZ86" s="548"/>
      <c r="XA86" s="548"/>
      <c r="XB86" s="548"/>
      <c r="XC86" s="548"/>
      <c r="XD86" s="548"/>
      <c r="XE86" s="548"/>
      <c r="XF86" s="548"/>
      <c r="XG86" s="548"/>
      <c r="XH86" s="548"/>
      <c r="XI86" s="548"/>
      <c r="XJ86" s="548"/>
      <c r="XK86" s="548"/>
      <c r="XL86" s="548"/>
      <c r="XM86" s="548"/>
      <c r="XN86" s="548"/>
      <c r="XO86" s="548"/>
      <c r="XP86" s="548"/>
      <c r="XQ86" s="548"/>
      <c r="XR86" s="548"/>
      <c r="XS86" s="548"/>
      <c r="XT86" s="548"/>
      <c r="XU86" s="548"/>
      <c r="XV86" s="548"/>
      <c r="XW86" s="548"/>
      <c r="XX86" s="548"/>
      <c r="XY86" s="548"/>
      <c r="XZ86" s="548"/>
      <c r="YA86" s="548"/>
      <c r="YB86" s="548"/>
      <c r="YC86" s="548"/>
      <c r="YD86" s="548"/>
      <c r="YE86" s="548"/>
      <c r="YF86" s="548"/>
      <c r="YG86" s="548"/>
      <c r="YH86" s="548"/>
      <c r="YI86" s="548"/>
      <c r="YJ86" s="548"/>
      <c r="YK86" s="548"/>
      <c r="YL86" s="548"/>
      <c r="YM86" s="548"/>
      <c r="YN86" s="548"/>
      <c r="YO86" s="548"/>
      <c r="YP86" s="548"/>
      <c r="YQ86" s="548"/>
      <c r="YR86" s="548"/>
      <c r="YS86" s="548"/>
      <c r="YT86" s="548"/>
      <c r="YU86" s="548"/>
      <c r="YV86" s="548"/>
      <c r="YW86" s="548"/>
      <c r="YX86" s="548"/>
      <c r="YY86" s="548"/>
      <c r="YZ86" s="548"/>
      <c r="ZA86" s="548"/>
      <c r="ZB86" s="548"/>
      <c r="ZC86" s="548"/>
      <c r="ZD86" s="548"/>
      <c r="ZE86" s="548"/>
      <c r="ZF86" s="548"/>
      <c r="ZG86" s="548"/>
      <c r="ZH86" s="548"/>
      <c r="ZI86" s="548"/>
      <c r="ZJ86" s="548"/>
      <c r="ZK86" s="548"/>
      <c r="ZL86" s="548"/>
      <c r="ZM86" s="548"/>
      <c r="ZN86" s="548"/>
      <c r="ZO86" s="548"/>
      <c r="ZP86" s="548"/>
      <c r="ZQ86" s="548"/>
      <c r="ZR86" s="548"/>
      <c r="ZS86" s="548"/>
      <c r="ZT86" s="548"/>
      <c r="ZU86" s="548"/>
      <c r="ZV86" s="548"/>
      <c r="ZW86" s="548"/>
      <c r="ZX86" s="548"/>
      <c r="ZY86" s="548"/>
      <c r="ZZ86" s="548"/>
      <c r="AAA86" s="548"/>
      <c r="AAB86" s="548"/>
      <c r="AAC86" s="548"/>
      <c r="AAD86" s="548"/>
      <c r="AAE86" s="548"/>
      <c r="AAF86" s="548"/>
      <c r="AAG86" s="548"/>
      <c r="AAH86" s="548"/>
      <c r="AAI86" s="548"/>
      <c r="AAJ86" s="548"/>
      <c r="AAK86" s="548"/>
      <c r="AAL86" s="548"/>
      <c r="AAM86" s="548"/>
      <c r="AAN86" s="548"/>
      <c r="AAO86" s="548"/>
      <c r="AAP86" s="548"/>
      <c r="AAQ86" s="548"/>
      <c r="AAR86" s="548"/>
      <c r="AAS86" s="548"/>
      <c r="AAT86" s="548"/>
      <c r="AAU86" s="548"/>
      <c r="AAV86" s="548"/>
      <c r="AAW86" s="548"/>
      <c r="AAX86" s="548"/>
      <c r="AAY86" s="548"/>
      <c r="AAZ86" s="548"/>
      <c r="ABA86" s="548"/>
      <c r="ABB86" s="548"/>
      <c r="ABC86" s="548"/>
      <c r="ABD86" s="548"/>
      <c r="ABE86" s="548"/>
      <c r="ABF86" s="548"/>
      <c r="ABG86" s="548"/>
      <c r="ABH86" s="548"/>
      <c r="ABI86" s="548"/>
      <c r="ABJ86" s="548"/>
      <c r="ABK86" s="548"/>
      <c r="ABL86" s="548"/>
      <c r="ABM86" s="548"/>
      <c r="ABN86" s="548"/>
      <c r="ABO86" s="548"/>
      <c r="ABP86" s="548"/>
      <c r="ABQ86" s="548"/>
      <c r="ABR86" s="548"/>
      <c r="ABS86" s="548"/>
    </row>
    <row r="87" spans="1:747" customFormat="1" ht="15" customHeight="1" x14ac:dyDescent="0.2">
      <c r="A87" s="424" t="str">
        <f t="shared" si="909"/>
        <v/>
      </c>
      <c r="B87" s="415"/>
      <c r="C87" s="525"/>
      <c r="D87" s="750"/>
      <c r="E87" s="416" t="str">
        <f t="shared" si="751"/>
        <v/>
      </c>
      <c r="F87" s="527" t="str">
        <f t="shared" si="752"/>
        <v/>
      </c>
      <c r="G87" s="417"/>
      <c r="H87" s="585" t="str">
        <f t="shared" si="753"/>
        <v/>
      </c>
      <c r="I87" s="424"/>
      <c r="J87" s="419"/>
      <c r="K87" s="418"/>
      <c r="L87" s="419"/>
      <c r="M87" s="415"/>
      <c r="N87" s="420"/>
      <c r="O87" s="421"/>
      <c r="P87" s="561"/>
      <c r="Q87" s="422"/>
      <c r="R87" s="561" t="str">
        <f t="shared" si="754"/>
        <v/>
      </c>
      <c r="S87" s="664"/>
      <c r="T87" s="663"/>
      <c r="U87" s="580">
        <f t="shared" si="755"/>
        <v>0</v>
      </c>
      <c r="V87" s="418"/>
      <c r="W87" s="582" t="str">
        <f t="shared" si="756"/>
        <v/>
      </c>
      <c r="X87" s="479" t="str">
        <f t="shared" si="757"/>
        <v/>
      </c>
      <c r="Y87" s="582" t="str">
        <f t="shared" si="758"/>
        <v/>
      </c>
      <c r="Z87" s="317" t="str">
        <f t="shared" si="759"/>
        <v/>
      </c>
      <c r="AA87" s="317" t="str">
        <f t="shared" si="760"/>
        <v/>
      </c>
      <c r="AB87" s="317">
        <f t="shared" si="761"/>
        <v>0</v>
      </c>
      <c r="AC87" s="317" t="str">
        <f t="shared" si="762"/>
        <v/>
      </c>
      <c r="AD87" s="479"/>
      <c r="AE87" s="479"/>
      <c r="AF87" s="479"/>
      <c r="AG87" s="423"/>
      <c r="AH87" s="820"/>
      <c r="AI87" s="437"/>
      <c r="AJ87" s="660"/>
      <c r="AK87" s="524" t="str">
        <f t="shared" si="763"/>
        <v/>
      </c>
      <c r="AL87" s="729">
        <f>SUMIF($J$4:$J$18,"Grêmio",$S$4:$S$18)</f>
        <v>0</v>
      </c>
      <c r="AM87" s="730">
        <f>SUMIF($J$4:$J$18,"Grêmio",$T$4:$T$18)</f>
        <v>0</v>
      </c>
      <c r="AN87" s="426">
        <f t="shared" si="764"/>
        <v>0</v>
      </c>
      <c r="AO87" s="427" t="str">
        <f t="shared" si="765"/>
        <v/>
      </c>
      <c r="AP87" s="426" t="str">
        <f t="shared" si="766"/>
        <v/>
      </c>
      <c r="AQ87" s="426"/>
      <c r="AR87" s="426"/>
      <c r="AS87" s="428"/>
      <c r="AT87" s="429"/>
      <c r="AU87" s="430"/>
      <c r="AV87" s="431"/>
      <c r="AW87" s="432"/>
      <c r="AX87" s="430"/>
      <c r="AY87" s="431">
        <f t="shared" si="767"/>
        <v>0</v>
      </c>
      <c r="AZ87" s="426"/>
      <c r="BA87" s="435" t="str">
        <f t="shared" si="768"/>
        <v/>
      </c>
      <c r="BB87" s="435"/>
      <c r="BC87" s="426"/>
      <c r="BD87" s="426">
        <f t="array" ref="BD87">IF(SUM((BC87=$BC$3:BC86)*1)=0,BC87,0)</f>
        <v>0</v>
      </c>
      <c r="BE87" s="426"/>
      <c r="BF87" s="426"/>
      <c r="BG87" s="426">
        <f t="array" ref="BG87">IF(SUM((BF87=$BF$3:BF86)*1)=0,BF87,0)</f>
        <v>0</v>
      </c>
      <c r="BH87" s="426"/>
      <c r="BI87" s="426"/>
      <c r="BJ87" s="426"/>
      <c r="BK87" s="426"/>
      <c r="BL87" s="426"/>
      <c r="BM87" s="426"/>
      <c r="BN87" s="426"/>
      <c r="BO87" s="426"/>
      <c r="BP87" s="433">
        <f t="shared" si="769"/>
        <v>0</v>
      </c>
      <c r="BQ87" s="426"/>
      <c r="BR87" s="434"/>
      <c r="BS87" s="426"/>
      <c r="BT87" s="433"/>
      <c r="BU87" s="435"/>
      <c r="BV87" s="435" t="str">
        <f t="shared" si="770"/>
        <v/>
      </c>
      <c r="BW87" s="435" t="str">
        <f t="shared" si="798"/>
        <v/>
      </c>
      <c r="BX87" s="435"/>
      <c r="BY87" s="435"/>
      <c r="BZ87" s="435"/>
      <c r="CA87" s="435"/>
      <c r="CB87" s="435"/>
      <c r="CC87" s="435"/>
      <c r="CD87" s="435"/>
      <c r="CE87" s="435"/>
      <c r="CF87" s="435"/>
      <c r="CG87" s="435"/>
      <c r="CH87" s="435"/>
      <c r="CI87" s="435"/>
      <c r="CJ87" s="426" t="str">
        <f t="shared" si="799"/>
        <v/>
      </c>
      <c r="CK87" s="435"/>
      <c r="CL87" s="426"/>
      <c r="CM87" s="435"/>
      <c r="CN87" s="426"/>
      <c r="CO87" s="426"/>
      <c r="CP87" s="426"/>
      <c r="CQ87" s="426"/>
      <c r="CR87" s="426"/>
      <c r="CS87" s="426"/>
      <c r="CT87" s="426"/>
      <c r="CU87" s="426"/>
      <c r="CV87" s="426"/>
      <c r="CW87" s="493"/>
      <c r="CX87" s="493"/>
      <c r="CY87" s="426">
        <v>84</v>
      </c>
      <c r="CZ87" s="493"/>
      <c r="DA87" s="493"/>
      <c r="DB87" s="493"/>
      <c r="DC87" s="426" t="s">
        <v>827</v>
      </c>
      <c r="DD87" s="426" t="s">
        <v>987</v>
      </c>
      <c r="DE87" s="435" t="str">
        <f t="shared" si="800"/>
        <v/>
      </c>
      <c r="DF87" s="435" t="str">
        <f t="shared" si="801"/>
        <v/>
      </c>
      <c r="DG87" s="435" t="str">
        <f t="shared" si="802"/>
        <v/>
      </c>
      <c r="DH87" s="435" t="str">
        <f t="shared" si="803"/>
        <v/>
      </c>
      <c r="DI87" s="435" t="str">
        <f t="shared" si="804"/>
        <v/>
      </c>
      <c r="DJ87" s="435" t="str">
        <f t="shared" si="805"/>
        <v/>
      </c>
      <c r="DK87" s="435" t="str">
        <f t="shared" si="771"/>
        <v/>
      </c>
      <c r="DL87" s="435" t="str">
        <f t="shared" si="772"/>
        <v/>
      </c>
      <c r="DM87" s="435" t="str">
        <f t="shared" si="806"/>
        <v/>
      </c>
      <c r="DN87" s="435" t="str">
        <f t="shared" si="807"/>
        <v/>
      </c>
      <c r="DO87" s="435" t="str">
        <f t="shared" si="773"/>
        <v/>
      </c>
      <c r="DP87" s="435" t="str">
        <f t="shared" si="774"/>
        <v/>
      </c>
      <c r="DQ87" s="435" t="str">
        <f t="shared" si="808"/>
        <v/>
      </c>
      <c r="DR87" s="435" t="str">
        <f t="shared" si="809"/>
        <v/>
      </c>
      <c r="DS87" s="435" t="str">
        <f t="shared" si="775"/>
        <v/>
      </c>
      <c r="DT87" s="435" t="str">
        <f t="shared" si="776"/>
        <v/>
      </c>
      <c r="DU87" s="435" t="str">
        <f t="shared" si="810"/>
        <v/>
      </c>
      <c r="DV87" s="435" t="str">
        <f t="shared" si="811"/>
        <v/>
      </c>
      <c r="DW87" s="435" t="str">
        <f t="shared" si="777"/>
        <v/>
      </c>
      <c r="DX87" s="435" t="str">
        <f t="shared" si="778"/>
        <v/>
      </c>
      <c r="DY87" s="435" t="str">
        <f t="shared" si="812"/>
        <v/>
      </c>
      <c r="DZ87" s="435" t="str">
        <f t="shared" si="813"/>
        <v/>
      </c>
      <c r="EA87" s="435" t="str">
        <f t="shared" si="779"/>
        <v/>
      </c>
      <c r="EB87" s="435" t="str">
        <f t="shared" si="780"/>
        <v/>
      </c>
      <c r="EC87" s="435" t="str">
        <f t="shared" si="781"/>
        <v/>
      </c>
      <c r="ED87" s="435" t="str">
        <f t="shared" si="782"/>
        <v/>
      </c>
      <c r="EE87" s="435" t="str">
        <f t="shared" si="783"/>
        <v/>
      </c>
      <c r="EF87" s="435" t="str">
        <f t="shared" si="784"/>
        <v/>
      </c>
      <c r="EG87" s="435" t="str">
        <f t="shared" si="785"/>
        <v/>
      </c>
      <c r="EH87" s="435" t="str">
        <f t="shared" si="786"/>
        <v/>
      </c>
      <c r="EI87" s="435" t="str">
        <f t="shared" si="787"/>
        <v/>
      </c>
      <c r="EJ87" s="435" t="str">
        <f t="shared" si="788"/>
        <v/>
      </c>
      <c r="EK87" s="485"/>
      <c r="EL87" s="485"/>
      <c r="EM87" s="485"/>
      <c r="EN87" s="485"/>
      <c r="EO87" s="448"/>
      <c r="EP87" s="448"/>
      <c r="EQ87" s="448"/>
      <c r="ER87" s="448"/>
      <c r="ES87" s="448"/>
      <c r="ET87" s="435"/>
      <c r="EU87" s="435"/>
      <c r="EV87" s="435"/>
      <c r="EW87" s="435"/>
      <c r="EX87" s="426"/>
      <c r="EY87" s="426"/>
      <c r="EZ87" s="426"/>
      <c r="FA87" s="863"/>
      <c r="FB87" s="427">
        <f t="array" ref="FB87">IF(SUM((FA87=$FA$3:FA86)*1)=0,FA87,0)</f>
        <v>0</v>
      </c>
      <c r="FC87" s="863"/>
      <c r="FD87" s="863"/>
      <c r="FE87" s="863">
        <f t="array" ref="FE87">IF(SUM((FD87=$FD$3:FD86)*1)=0,FD87,0)</f>
        <v>0</v>
      </c>
      <c r="FF87" s="863"/>
      <c r="FG87" s="863"/>
      <c r="FH87" s="863"/>
      <c r="FI87" s="427">
        <f t="array" ref="FI87">IF(SUM((FH87=$FH$3:FH86)*1)=0,FH87,0)</f>
        <v>0</v>
      </c>
      <c r="FJ87" s="863"/>
      <c r="FK87" s="863"/>
      <c r="FL87" s="863">
        <f t="array" ref="FL87">IF(SUM((FK87=$FK$3:FK86)*1)=0,FK87,0)</f>
        <v>0</v>
      </c>
      <c r="FM87" s="863"/>
      <c r="FN87" s="863"/>
      <c r="FO87" s="863"/>
      <c r="FP87" s="427">
        <f t="array" ref="FP87">IF(SUM((FO87=$FO$3:FO86)*1)=0,FO87,0)</f>
        <v>0</v>
      </c>
      <c r="FQ87" s="863"/>
      <c r="FR87" s="863"/>
      <c r="FS87" s="863">
        <f t="array" ref="FS87">IF(SUM((FR87=$FR$3:FR86)*1)=0,FR87,0)</f>
        <v>0</v>
      </c>
      <c r="FT87" s="863"/>
      <c r="FU87" s="863"/>
      <c r="FV87" s="863"/>
      <c r="FW87" s="427">
        <f t="array" ref="FW87">IF(SUM((FV87=$FV$3:FV86)*1)=0,FV87,0)</f>
        <v>0</v>
      </c>
      <c r="FX87" s="863"/>
      <c r="FY87" s="863"/>
      <c r="FZ87" s="863">
        <f t="array" ref="FZ87">IF(SUM((FY87=$FY$3:FY86)*1)=0,FY87,0)</f>
        <v>0</v>
      </c>
      <c r="GA87" s="863"/>
      <c r="GB87" s="863"/>
      <c r="GC87" s="863"/>
      <c r="GD87" s="427">
        <f t="array" ref="GD87">IF(SUM((GC87=$GC$3:GC86)*1)=0,GC87,0)</f>
        <v>0</v>
      </c>
      <c r="GE87" s="863"/>
      <c r="GF87" s="863"/>
      <c r="GG87" s="863">
        <f t="array" ref="GG87">IF(SUM((GF87=$GF$3:GF86)*1)=0,GF87,0)</f>
        <v>0</v>
      </c>
      <c r="GH87" s="863"/>
      <c r="GI87" s="863"/>
      <c r="GJ87" s="863"/>
      <c r="GK87" s="798">
        <f t="array" ref="GK87">IF(SUM((GJ87=$GJ$3:GJ86)*1)=0,GJ87,0)</f>
        <v>0</v>
      </c>
      <c r="GL87" s="863"/>
      <c r="GM87" s="863"/>
      <c r="GN87" s="798">
        <f t="array" ref="GN87">IF(SUM((GM87=$GM$3:GM86)*1)=0,GM87,0)</f>
        <v>0</v>
      </c>
      <c r="GO87" s="863"/>
      <c r="GP87" s="863"/>
      <c r="GQ87" s="863"/>
      <c r="GR87" s="798">
        <f t="array" ref="GR87">IF(SUM((GQ87=$GQ$3:GQ86)*1)=0,GQ87,0)</f>
        <v>0</v>
      </c>
      <c r="GS87" s="863"/>
      <c r="GT87" s="863"/>
      <c r="GU87" s="798">
        <f t="array" ref="GU87">IF(SUM((GT87=$GT$3:GT86)*1)=0,GT87,0)</f>
        <v>0</v>
      </c>
      <c r="GV87" s="863"/>
      <c r="GW87" s="863"/>
      <c r="GX87" s="863"/>
      <c r="GY87" s="798">
        <f t="array" ref="GY87">IF(SUM((GX87=$GX$3:GX86)*1)=0,GX87,0)</f>
        <v>0</v>
      </c>
      <c r="GZ87" s="863"/>
      <c r="HA87" s="863"/>
      <c r="HB87" s="798">
        <f t="array" ref="HB87">IF(SUM((HA87=$HA$3:HA86)*1)=0,HA87,0)</f>
        <v>0</v>
      </c>
      <c r="HC87" s="863"/>
      <c r="HD87" s="863"/>
      <c r="HE87" s="769" t="str">
        <f t="shared" si="889"/>
        <v/>
      </c>
      <c r="HF87" s="768" t="str">
        <f t="shared" ref="HF87" si="1054">IF(HE87&lt;0,"Invadiu REP-BA-C","")</f>
        <v/>
      </c>
      <c r="HG87" s="769" t="str">
        <f t="shared" si="891"/>
        <v/>
      </c>
      <c r="HH87" s="768" t="str">
        <f t="shared" si="815"/>
        <v/>
      </c>
      <c r="HI87" s="728" t="str">
        <f t="shared" si="892"/>
        <v/>
      </c>
      <c r="HJ87" s="768" t="str">
        <f t="shared" si="816"/>
        <v/>
      </c>
      <c r="HK87" s="728" t="str">
        <f t="shared" si="893"/>
        <v/>
      </c>
      <c r="HL87" s="768" t="str">
        <f t="shared" si="817"/>
        <v/>
      </c>
      <c r="HM87" s="769" t="str">
        <f t="shared" si="818"/>
        <v/>
      </c>
      <c r="HN87" s="768" t="str">
        <f t="shared" ref="HN87" si="1055">IF(HM87&lt;0,"Invadiu REP-BA-C","")</f>
        <v/>
      </c>
      <c r="HO87" s="769" t="str">
        <f t="shared" si="820"/>
        <v/>
      </c>
      <c r="HP87" s="768" t="str">
        <f t="shared" si="821"/>
        <v/>
      </c>
      <c r="HQ87" s="728" t="str">
        <f t="shared" si="822"/>
        <v/>
      </c>
      <c r="HR87" s="768" t="str">
        <f t="shared" si="823"/>
        <v/>
      </c>
      <c r="HS87" s="728" t="str">
        <f t="shared" si="824"/>
        <v/>
      </c>
      <c r="HT87" s="768" t="str">
        <f t="shared" si="825"/>
        <v/>
      </c>
      <c r="HU87" s="769" t="str">
        <f t="shared" si="826"/>
        <v/>
      </c>
      <c r="HV87" s="768" t="str">
        <f t="shared" ref="HV87" si="1056">IF(HU87&lt;0,"Invadiu REP-BA-C","")</f>
        <v/>
      </c>
      <c r="HW87" s="769" t="str">
        <f t="shared" si="828"/>
        <v/>
      </c>
      <c r="HX87" s="768" t="str">
        <f t="shared" si="829"/>
        <v/>
      </c>
      <c r="HY87" s="728" t="str">
        <f t="shared" si="830"/>
        <v/>
      </c>
      <c r="HZ87" s="768" t="str">
        <f t="shared" si="831"/>
        <v/>
      </c>
      <c r="IA87" s="728" t="str">
        <f t="shared" si="832"/>
        <v/>
      </c>
      <c r="IB87" s="768" t="str">
        <f t="shared" si="833"/>
        <v/>
      </c>
      <c r="IC87" s="769" t="str">
        <f t="shared" si="834"/>
        <v/>
      </c>
      <c r="ID87" s="768" t="str">
        <f t="shared" ref="ID87" si="1057">IF(IC87&lt;0,"Invadiu REP-BA-C","")</f>
        <v/>
      </c>
      <c r="IE87" s="769" t="str">
        <f t="shared" si="836"/>
        <v/>
      </c>
      <c r="IF87" s="768" t="str">
        <f t="shared" si="837"/>
        <v/>
      </c>
      <c r="IG87" s="728" t="str">
        <f t="shared" si="838"/>
        <v/>
      </c>
      <c r="IH87" s="768" t="str">
        <f t="shared" si="839"/>
        <v/>
      </c>
      <c r="II87" s="728" t="str">
        <f t="shared" si="840"/>
        <v/>
      </c>
      <c r="IJ87" s="768" t="str">
        <f t="shared" si="841"/>
        <v/>
      </c>
      <c r="IK87" s="769" t="str">
        <f t="shared" si="842"/>
        <v/>
      </c>
      <c r="IL87" s="768" t="str">
        <f t="shared" ref="IL87" si="1058">IF(IK87&lt;0,"Invadiu REP-BA-C","")</f>
        <v/>
      </c>
      <c r="IM87" s="769" t="str">
        <f t="shared" si="844"/>
        <v/>
      </c>
      <c r="IN87" s="768" t="str">
        <f t="shared" si="845"/>
        <v/>
      </c>
      <c r="IO87" s="728" t="str">
        <f t="shared" si="846"/>
        <v/>
      </c>
      <c r="IP87" s="768" t="str">
        <f t="shared" si="847"/>
        <v/>
      </c>
      <c r="IQ87" s="728" t="str">
        <f t="shared" si="848"/>
        <v/>
      </c>
      <c r="IR87" s="768" t="str">
        <f t="shared" si="849"/>
        <v/>
      </c>
      <c r="IS87" s="769" t="str">
        <f t="shared" si="850"/>
        <v/>
      </c>
      <c r="IT87" s="768" t="str">
        <f t="shared" ref="IT87" si="1059">IF(IS87&lt;0,"Invadiu REP-BA-C","")</f>
        <v/>
      </c>
      <c r="IU87" s="769" t="str">
        <f t="shared" si="852"/>
        <v/>
      </c>
      <c r="IV87" s="768" t="str">
        <f t="shared" si="853"/>
        <v/>
      </c>
      <c r="IW87" s="728" t="str">
        <f t="shared" si="854"/>
        <v/>
      </c>
      <c r="IX87" s="768" t="str">
        <f t="shared" si="855"/>
        <v/>
      </c>
      <c r="IY87" s="728" t="str">
        <f t="shared" si="856"/>
        <v/>
      </c>
      <c r="IZ87" s="768" t="str">
        <f t="shared" si="857"/>
        <v/>
      </c>
      <c r="JA87" s="769" t="str">
        <f t="shared" si="858"/>
        <v/>
      </c>
      <c r="JB87" s="768" t="str">
        <f t="shared" ref="JB87" si="1060">IF(JA87&lt;0,"Invadiu REP-BA-C","")</f>
        <v/>
      </c>
      <c r="JC87" s="769" t="str">
        <f t="shared" si="860"/>
        <v/>
      </c>
      <c r="JD87" s="768" t="str">
        <f t="shared" si="861"/>
        <v/>
      </c>
      <c r="JE87" s="728" t="str">
        <f t="shared" si="862"/>
        <v/>
      </c>
      <c r="JF87" s="768" t="str">
        <f t="shared" si="863"/>
        <v/>
      </c>
      <c r="JG87" s="728" t="str">
        <f t="shared" si="864"/>
        <v/>
      </c>
      <c r="JH87" s="768" t="str">
        <f t="shared" si="865"/>
        <v/>
      </c>
      <c r="JI87" s="769" t="str">
        <f t="shared" si="866"/>
        <v/>
      </c>
      <c r="JJ87" s="768" t="str">
        <f t="shared" ref="JJ87" si="1061">IF(JI87&lt;0,"Invadiu REP-BA-C","")</f>
        <v/>
      </c>
      <c r="JK87" s="769" t="str">
        <f t="shared" si="868"/>
        <v/>
      </c>
      <c r="JL87" s="768" t="str">
        <f t="shared" si="869"/>
        <v/>
      </c>
      <c r="JM87" s="728" t="str">
        <f t="shared" si="870"/>
        <v/>
      </c>
      <c r="JN87" s="768" t="str">
        <f t="shared" si="871"/>
        <v/>
      </c>
      <c r="JO87" s="728" t="str">
        <f t="shared" si="872"/>
        <v/>
      </c>
      <c r="JP87" s="768" t="str">
        <f t="shared" si="873"/>
        <v/>
      </c>
      <c r="JQ87" s="769" t="str">
        <f t="shared" si="874"/>
        <v/>
      </c>
      <c r="JR87" s="768" t="str">
        <f t="shared" ref="JR87" si="1062">IF(JQ87&lt;0,"Invadiu REP-BA-C","")</f>
        <v/>
      </c>
      <c r="JS87" s="769" t="str">
        <f t="shared" si="876"/>
        <v/>
      </c>
      <c r="JT87" s="768" t="str">
        <f t="shared" si="877"/>
        <v/>
      </c>
      <c r="JU87" s="728" t="str">
        <f t="shared" si="878"/>
        <v/>
      </c>
      <c r="JV87" s="768" t="str">
        <f t="shared" si="879"/>
        <v/>
      </c>
      <c r="JW87" s="728" t="str">
        <f t="shared" si="880"/>
        <v/>
      </c>
      <c r="JX87" s="768" t="str">
        <f t="shared" si="881"/>
        <v/>
      </c>
      <c r="JY87" s="768" t="str">
        <f t="shared" si="882"/>
        <v/>
      </c>
      <c r="JZ87" s="485" t="str">
        <f>IF(JY87="","",IF(AND(C87=$C$164,JY87&lt;&gt;""),Verificarcpf(D87),IF(AND(C87=$C$165,JY87&lt;&gt;""),VerificarCNPJ(D87))))</f>
        <v/>
      </c>
      <c r="KA87" s="768" t="str">
        <f t="shared" si="883"/>
        <v/>
      </c>
      <c r="KB87" s="485">
        <f t="shared" si="884"/>
        <v>0</v>
      </c>
      <c r="KC87" s="768">
        <f t="shared" si="885"/>
        <v>0</v>
      </c>
      <c r="KD87" s="485">
        <f t="shared" si="886"/>
        <v>0</v>
      </c>
      <c r="KE87" s="448"/>
      <c r="KF87" s="548"/>
      <c r="KG87" s="548"/>
      <c r="KH87" s="548"/>
      <c r="KI87" s="548"/>
      <c r="KJ87" s="548" t="str">
        <f t="shared" si="887"/>
        <v/>
      </c>
      <c r="KK87" s="548"/>
      <c r="KL87" s="548"/>
      <c r="KM87" s="548">
        <f t="array" ref="KM87">IF(SUM((KL87=$KL$3:KL86)*1)=0,KL87,0)</f>
        <v>0</v>
      </c>
      <c r="KN87" s="548"/>
      <c r="KO87" s="548"/>
      <c r="KP87" s="548"/>
      <c r="KQ87" s="548"/>
      <c r="KR87" s="548" t="str">
        <f t="shared" si="888"/>
        <v/>
      </c>
      <c r="KS87" s="548"/>
      <c r="KT87" s="548"/>
      <c r="KU87" s="548"/>
      <c r="KV87" s="548"/>
      <c r="KW87" s="548"/>
      <c r="KX87" s="548"/>
      <c r="KY87" s="548"/>
      <c r="KZ87" s="548"/>
      <c r="LA87" s="548"/>
      <c r="LB87" s="548"/>
      <c r="LC87" s="485" t="str">
        <f t="shared" si="902"/>
        <v/>
      </c>
      <c r="LD87" s="548"/>
      <c r="LE87" s="548"/>
      <c r="LF87" s="548"/>
      <c r="LG87" s="548"/>
      <c r="LH87" s="548"/>
      <c r="LI87" s="548"/>
      <c r="LJ87" s="548"/>
      <c r="LK87" s="548"/>
      <c r="LL87" s="548"/>
      <c r="LM87" s="548"/>
      <c r="LN87" s="548"/>
      <c r="LO87" s="548"/>
      <c r="LP87" s="485" t="str">
        <f t="shared" si="903"/>
        <v/>
      </c>
      <c r="LQ87" s="548"/>
      <c r="LR87" s="548"/>
      <c r="LS87" s="548"/>
      <c r="LT87" s="548"/>
      <c r="LU87" s="548"/>
      <c r="LV87" s="548"/>
      <c r="LW87" s="548"/>
      <c r="LX87" s="548"/>
      <c r="LY87" s="548"/>
      <c r="LZ87" s="548"/>
      <c r="MA87" s="548"/>
      <c r="MB87" s="548"/>
      <c r="MC87" s="485" t="str">
        <f t="shared" si="904"/>
        <v/>
      </c>
      <c r="MD87" s="548"/>
      <c r="ME87" s="548"/>
      <c r="MF87" s="548"/>
      <c r="MG87" s="548"/>
      <c r="MH87" s="548"/>
      <c r="MI87" s="548"/>
      <c r="MJ87" s="548"/>
      <c r="MK87" s="548"/>
      <c r="ML87" s="548"/>
      <c r="MM87" s="548"/>
      <c r="MN87" s="548"/>
      <c r="MO87" s="548"/>
      <c r="MP87" s="485" t="str">
        <f t="shared" si="905"/>
        <v/>
      </c>
      <c r="MQ87" s="548"/>
      <c r="MR87" s="548"/>
      <c r="MS87" s="548"/>
      <c r="MT87" s="548"/>
      <c r="MU87" s="548"/>
      <c r="MV87" s="548"/>
      <c r="MW87" s="548"/>
      <c r="MX87" s="548"/>
      <c r="MY87" s="548"/>
      <c r="MZ87" s="548"/>
      <c r="NA87" s="548"/>
      <c r="NB87" s="548"/>
      <c r="NC87" s="485" t="str">
        <f t="shared" si="906"/>
        <v/>
      </c>
      <c r="ND87" s="548"/>
      <c r="NE87" s="548"/>
      <c r="NF87" s="548"/>
      <c r="NG87" s="548"/>
      <c r="NH87" s="548"/>
      <c r="NI87" s="548"/>
      <c r="NJ87" s="548"/>
      <c r="NK87" s="548"/>
      <c r="NL87" s="548"/>
      <c r="NM87" s="548"/>
      <c r="NN87" s="548"/>
      <c r="NO87" s="548"/>
      <c r="NP87" s="485" t="str">
        <f t="shared" si="907"/>
        <v/>
      </c>
      <c r="NQ87" s="548"/>
      <c r="NR87" s="548"/>
      <c r="NS87" s="548"/>
      <c r="NT87" s="548"/>
      <c r="NU87" s="548"/>
      <c r="NV87" s="548"/>
      <c r="NW87" s="548"/>
      <c r="NX87" s="548"/>
      <c r="NY87" s="548"/>
      <c r="NZ87" s="548"/>
      <c r="OA87" s="548"/>
      <c r="OB87" s="548"/>
      <c r="OC87" s="485" t="str">
        <f t="shared" si="908"/>
        <v/>
      </c>
      <c r="OD87" s="548"/>
      <c r="OE87" s="548"/>
      <c r="OF87" s="548"/>
      <c r="OG87" s="548"/>
      <c r="OH87" s="548"/>
      <c r="OI87" s="548"/>
      <c r="OJ87" s="548"/>
      <c r="OK87" s="548"/>
      <c r="OL87" s="548"/>
      <c r="OM87" s="548"/>
      <c r="ON87" s="548"/>
      <c r="OO87" s="548"/>
      <c r="OP87" s="548"/>
      <c r="OQ87" s="548"/>
      <c r="OR87" s="548"/>
      <c r="OS87" s="548"/>
      <c r="OT87" s="548"/>
      <c r="OU87" s="548"/>
      <c r="OV87" s="548"/>
      <c r="OW87" s="548"/>
      <c r="OX87" s="548"/>
      <c r="OY87" s="548"/>
      <c r="OZ87" s="548"/>
      <c r="PA87" s="548"/>
      <c r="PB87" s="548"/>
      <c r="PC87" s="548"/>
      <c r="PD87" s="548"/>
      <c r="PE87" s="548"/>
      <c r="PF87" s="548"/>
      <c r="PG87" s="548"/>
      <c r="PH87" s="548"/>
      <c r="PI87" s="548"/>
      <c r="PJ87" s="548"/>
      <c r="PK87" s="548"/>
      <c r="PL87" s="548"/>
      <c r="PM87" s="548"/>
      <c r="PN87" s="548"/>
      <c r="PO87" s="548"/>
      <c r="PP87" s="548"/>
      <c r="PQ87" s="548"/>
      <c r="PR87" s="548"/>
      <c r="PS87" s="548"/>
      <c r="PT87" s="548"/>
      <c r="PU87" s="548"/>
      <c r="PV87" s="548"/>
      <c r="PW87" s="548"/>
      <c r="PX87" s="548"/>
      <c r="PY87" s="548"/>
      <c r="PZ87" s="548"/>
      <c r="QA87" s="548"/>
      <c r="QB87" s="548"/>
      <c r="QC87" s="548"/>
      <c r="QD87" s="548"/>
      <c r="QE87" s="548"/>
      <c r="QF87" s="548"/>
      <c r="QG87" s="548"/>
      <c r="QH87" s="548"/>
      <c r="QI87" s="548"/>
      <c r="QJ87" s="548"/>
      <c r="QK87" s="548"/>
      <c r="QL87" s="548"/>
      <c r="QM87" s="548"/>
      <c r="QN87" s="548"/>
      <c r="QO87" s="548"/>
      <c r="QP87" s="548"/>
      <c r="QQ87" s="1009"/>
      <c r="QR87" s="548"/>
      <c r="QS87" s="548"/>
      <c r="QT87" s="548"/>
      <c r="QU87" s="548"/>
      <c r="QV87" s="548"/>
      <c r="QW87" s="548"/>
      <c r="QX87" s="548"/>
      <c r="QY87" s="548"/>
      <c r="QZ87" s="548"/>
      <c r="RA87" s="548"/>
      <c r="RB87" s="548"/>
      <c r="RC87" s="548"/>
      <c r="RD87" s="548"/>
      <c r="RE87" s="548"/>
      <c r="RF87" s="548"/>
      <c r="RG87" s="548"/>
      <c r="RH87" s="548"/>
      <c r="RI87" s="548"/>
      <c r="RJ87" s="548"/>
      <c r="RK87" s="548"/>
      <c r="RL87" s="548"/>
      <c r="RM87" s="548"/>
      <c r="RN87" s="548"/>
      <c r="RO87" s="548"/>
      <c r="RP87" s="548"/>
      <c r="RQ87" s="548"/>
      <c r="RR87" s="548"/>
      <c r="RS87" s="548"/>
      <c r="RT87" s="548"/>
      <c r="RU87" s="548"/>
      <c r="RV87" s="548"/>
      <c r="RW87" s="548"/>
      <c r="RX87" s="548"/>
      <c r="RY87" s="548"/>
      <c r="RZ87" s="548"/>
      <c r="SA87" s="548"/>
      <c r="SB87" s="548"/>
      <c r="SC87" s="548"/>
      <c r="SD87" s="548"/>
      <c r="SE87" s="548"/>
      <c r="SF87" s="548"/>
      <c r="SG87" s="548"/>
      <c r="SH87" s="548"/>
      <c r="SI87" s="548"/>
      <c r="SJ87" s="548"/>
      <c r="SK87" s="548"/>
      <c r="SL87" s="548"/>
      <c r="SM87" s="548"/>
      <c r="SN87" s="548"/>
      <c r="SO87" s="548"/>
      <c r="SP87" s="548"/>
      <c r="SQ87" s="548"/>
      <c r="SR87" s="548"/>
      <c r="SS87" s="548"/>
      <c r="ST87" s="548"/>
      <c r="SU87" s="548"/>
      <c r="SV87" s="548"/>
      <c r="SW87" s="548"/>
      <c r="SX87" s="548"/>
      <c r="SY87" s="548"/>
      <c r="SZ87" s="548"/>
      <c r="TA87" s="548"/>
      <c r="TB87" s="548"/>
      <c r="TC87" s="548"/>
      <c r="TD87" s="548"/>
      <c r="TE87" s="548"/>
      <c r="TF87" s="548"/>
      <c r="TG87" s="548"/>
      <c r="TH87" s="548"/>
      <c r="TI87" s="548"/>
      <c r="TJ87" s="548"/>
      <c r="TK87" s="548"/>
      <c r="TL87" s="548"/>
      <c r="TM87" s="548"/>
      <c r="TN87" s="548"/>
      <c r="TO87" s="548"/>
      <c r="TP87" s="548"/>
      <c r="TQ87" s="548"/>
      <c r="TR87" s="548"/>
      <c r="TS87" s="548"/>
      <c r="TT87" s="548"/>
      <c r="TU87" s="548"/>
      <c r="TV87" s="548"/>
      <c r="TW87" s="548"/>
      <c r="TX87" s="548"/>
      <c r="TY87" s="548"/>
      <c r="TZ87" s="548"/>
      <c r="UA87" s="548"/>
      <c r="UB87" s="548"/>
      <c r="UC87" s="548"/>
      <c r="UD87" s="548"/>
      <c r="UE87" s="548"/>
      <c r="UF87" s="548"/>
      <c r="UG87" s="548"/>
      <c r="UH87" s="548"/>
      <c r="UI87" s="548"/>
      <c r="UJ87" s="548"/>
      <c r="UK87" s="548"/>
      <c r="UL87" s="548"/>
      <c r="UM87" s="548"/>
      <c r="UN87" s="548"/>
      <c r="UO87" s="548"/>
      <c r="UP87" s="548"/>
      <c r="UQ87" s="548"/>
      <c r="UR87" s="548"/>
      <c r="US87" s="548"/>
      <c r="UT87" s="548"/>
      <c r="UU87" s="548"/>
      <c r="UV87" s="548"/>
      <c r="UW87" s="548"/>
      <c r="UX87" s="548"/>
      <c r="UY87" s="548"/>
      <c r="UZ87" s="548"/>
      <c r="VA87" s="548"/>
      <c r="VB87" s="548"/>
      <c r="VC87" s="548"/>
      <c r="VD87" s="548"/>
      <c r="VE87" s="548"/>
      <c r="VF87" s="548"/>
      <c r="VG87" s="548"/>
      <c r="VH87" s="548"/>
      <c r="VI87" s="548"/>
      <c r="VJ87" s="548"/>
      <c r="VK87" s="548"/>
      <c r="VL87" s="548"/>
      <c r="VM87" s="548"/>
      <c r="VN87" s="548"/>
      <c r="VO87" s="548"/>
      <c r="VP87" s="548"/>
      <c r="VQ87" s="548"/>
      <c r="VR87" s="548"/>
      <c r="VS87" s="548"/>
      <c r="VT87" s="548"/>
      <c r="VU87" s="548"/>
      <c r="VV87" s="548"/>
      <c r="VW87" s="548"/>
      <c r="VX87" s="548"/>
      <c r="VY87" s="548"/>
      <c r="VZ87" s="548"/>
      <c r="WA87" s="548"/>
      <c r="WB87" s="548"/>
      <c r="WC87" s="548"/>
      <c r="WD87" s="548"/>
      <c r="WE87" s="548"/>
      <c r="WF87" s="548"/>
      <c r="WG87" s="548"/>
      <c r="WH87" s="548"/>
      <c r="WI87" s="548"/>
      <c r="WJ87" s="548"/>
      <c r="WK87" s="548"/>
      <c r="WL87" s="548"/>
      <c r="WM87" s="548"/>
      <c r="WN87" s="548"/>
      <c r="WO87" s="548"/>
      <c r="WP87" s="548"/>
      <c r="WQ87" s="548"/>
      <c r="WR87" s="548"/>
      <c r="WS87" s="548"/>
      <c r="WT87" s="548"/>
      <c r="WU87" s="548"/>
      <c r="WV87" s="548"/>
      <c r="WW87" s="548"/>
      <c r="WX87" s="548"/>
      <c r="WY87" s="548"/>
      <c r="WZ87" s="548"/>
      <c r="XA87" s="548"/>
      <c r="XB87" s="548"/>
      <c r="XC87" s="548"/>
      <c r="XD87" s="548"/>
      <c r="XE87" s="548"/>
      <c r="XF87" s="548"/>
      <c r="XG87" s="548"/>
      <c r="XH87" s="548"/>
      <c r="XI87" s="548"/>
      <c r="XJ87" s="548"/>
      <c r="XK87" s="548"/>
      <c r="XL87" s="548"/>
      <c r="XM87" s="548"/>
      <c r="XN87" s="548"/>
      <c r="XO87" s="548"/>
      <c r="XP87" s="548"/>
      <c r="XQ87" s="548"/>
      <c r="XR87" s="548"/>
      <c r="XS87" s="548"/>
      <c r="XT87" s="548"/>
      <c r="XU87" s="548"/>
      <c r="XV87" s="548"/>
      <c r="XW87" s="548"/>
      <c r="XX87" s="548"/>
      <c r="XY87" s="548"/>
      <c r="XZ87" s="548"/>
      <c r="YA87" s="548"/>
      <c r="YB87" s="548"/>
      <c r="YC87" s="548"/>
      <c r="YD87" s="548"/>
      <c r="YE87" s="548"/>
      <c r="YF87" s="548"/>
      <c r="YG87" s="548"/>
      <c r="YH87" s="548"/>
      <c r="YI87" s="548"/>
      <c r="YJ87" s="548"/>
      <c r="YK87" s="548"/>
      <c r="YL87" s="548"/>
      <c r="YM87" s="548"/>
      <c r="YN87" s="548"/>
      <c r="YO87" s="548"/>
      <c r="YP87" s="548"/>
      <c r="YQ87" s="548"/>
      <c r="YR87" s="548"/>
      <c r="YS87" s="548"/>
      <c r="YT87" s="548"/>
      <c r="YU87" s="548"/>
      <c r="YV87" s="548"/>
      <c r="YW87" s="548"/>
      <c r="YX87" s="548"/>
      <c r="YY87" s="548"/>
      <c r="YZ87" s="548"/>
      <c r="ZA87" s="548"/>
      <c r="ZB87" s="548"/>
      <c r="ZC87" s="548"/>
      <c r="ZD87" s="548"/>
      <c r="ZE87" s="548"/>
      <c r="ZF87" s="548"/>
      <c r="ZG87" s="548"/>
      <c r="ZH87" s="548"/>
      <c r="ZI87" s="548"/>
      <c r="ZJ87" s="548"/>
      <c r="ZK87" s="548"/>
      <c r="ZL87" s="548"/>
      <c r="ZM87" s="548"/>
      <c r="ZN87" s="548"/>
      <c r="ZO87" s="548"/>
      <c r="ZP87" s="548"/>
      <c r="ZQ87" s="548"/>
      <c r="ZR87" s="548"/>
      <c r="ZS87" s="548"/>
      <c r="ZT87" s="548"/>
      <c r="ZU87" s="548"/>
      <c r="ZV87" s="548"/>
      <c r="ZW87" s="548"/>
      <c r="ZX87" s="548"/>
      <c r="ZY87" s="548"/>
      <c r="ZZ87" s="548"/>
      <c r="AAA87" s="548"/>
      <c r="AAB87" s="548"/>
      <c r="AAC87" s="548"/>
      <c r="AAD87" s="548"/>
      <c r="AAE87" s="548"/>
      <c r="AAF87" s="548"/>
      <c r="AAG87" s="548"/>
      <c r="AAH87" s="548"/>
      <c r="AAI87" s="548"/>
      <c r="AAJ87" s="548"/>
      <c r="AAK87" s="548"/>
      <c r="AAL87" s="548"/>
      <c r="AAM87" s="548"/>
      <c r="AAN87" s="548"/>
      <c r="AAO87" s="548"/>
      <c r="AAP87" s="548"/>
      <c r="AAQ87" s="548"/>
      <c r="AAR87" s="548"/>
      <c r="AAS87" s="548"/>
      <c r="AAT87" s="548"/>
      <c r="AAU87" s="548"/>
      <c r="AAV87" s="548"/>
      <c r="AAW87" s="548"/>
      <c r="AAX87" s="548"/>
      <c r="AAY87" s="548"/>
      <c r="AAZ87" s="548"/>
      <c r="ABA87" s="548"/>
      <c r="ABB87" s="548"/>
      <c r="ABC87" s="548"/>
      <c r="ABD87" s="548"/>
      <c r="ABE87" s="548"/>
      <c r="ABF87" s="548"/>
      <c r="ABG87" s="548"/>
      <c r="ABH87" s="548"/>
      <c r="ABI87" s="548"/>
      <c r="ABJ87" s="548"/>
      <c r="ABK87" s="548"/>
      <c r="ABL87" s="548"/>
      <c r="ABM87" s="548"/>
      <c r="ABN87" s="548"/>
      <c r="ABO87" s="548"/>
      <c r="ABP87" s="548"/>
      <c r="ABQ87" s="548"/>
      <c r="ABR87" s="548"/>
      <c r="ABS87" s="548"/>
    </row>
    <row r="88" spans="1:747" customFormat="1" ht="15" customHeight="1" x14ac:dyDescent="0.2">
      <c r="A88" s="424" t="str">
        <f t="shared" si="909"/>
        <v/>
      </c>
      <c r="B88" s="415"/>
      <c r="C88" s="525"/>
      <c r="D88" s="750"/>
      <c r="E88" s="416" t="str">
        <f t="shared" si="751"/>
        <v/>
      </c>
      <c r="F88" s="527" t="str">
        <f t="shared" si="752"/>
        <v/>
      </c>
      <c r="G88" s="417"/>
      <c r="H88" s="585" t="str">
        <f t="shared" si="753"/>
        <v/>
      </c>
      <c r="I88" s="424"/>
      <c r="J88" s="419"/>
      <c r="K88" s="418"/>
      <c r="L88" s="419"/>
      <c r="M88" s="415"/>
      <c r="N88" s="420"/>
      <c r="O88" s="421"/>
      <c r="P88" s="561"/>
      <c r="Q88" s="422"/>
      <c r="R88" s="561" t="str">
        <f t="shared" si="754"/>
        <v/>
      </c>
      <c r="S88" s="664"/>
      <c r="T88" s="663"/>
      <c r="U88" s="580">
        <f t="shared" si="755"/>
        <v>0</v>
      </c>
      <c r="V88" s="418"/>
      <c r="W88" s="582" t="str">
        <f t="shared" si="756"/>
        <v/>
      </c>
      <c r="X88" s="479" t="str">
        <f t="shared" si="757"/>
        <v/>
      </c>
      <c r="Y88" s="582" t="str">
        <f t="shared" si="758"/>
        <v/>
      </c>
      <c r="Z88" s="317" t="str">
        <f t="shared" si="759"/>
        <v/>
      </c>
      <c r="AA88" s="317" t="str">
        <f t="shared" si="760"/>
        <v/>
      </c>
      <c r="AB88" s="317">
        <f t="shared" si="761"/>
        <v>0</v>
      </c>
      <c r="AC88" s="317" t="str">
        <f t="shared" si="762"/>
        <v/>
      </c>
      <c r="AD88" s="479"/>
      <c r="AE88" s="479"/>
      <c r="AF88" s="479"/>
      <c r="AG88" s="423"/>
      <c r="AH88" s="820"/>
      <c r="AI88" s="437"/>
      <c r="AJ88" s="660"/>
      <c r="AK88" s="524" t="str">
        <f t="shared" si="763"/>
        <v/>
      </c>
      <c r="AL88" s="731">
        <f>SUMIF($J$4:$J$32,"Grêmio",$S$4:$S$32)</f>
        <v>0</v>
      </c>
      <c r="AM88" s="732">
        <f>SUMIF($J$4:$J$32,"Grêmio",$T$4:$T$32)</f>
        <v>0</v>
      </c>
      <c r="AN88" s="426">
        <f t="shared" si="764"/>
        <v>0</v>
      </c>
      <c r="AO88" s="427" t="str">
        <f t="shared" si="765"/>
        <v/>
      </c>
      <c r="AP88" s="426" t="str">
        <f t="shared" si="766"/>
        <v/>
      </c>
      <c r="AQ88" s="426"/>
      <c r="AR88" s="426"/>
      <c r="AS88" s="428"/>
      <c r="AT88" s="429"/>
      <c r="AU88" s="430"/>
      <c r="AV88" s="431"/>
      <c r="AW88" s="432"/>
      <c r="AX88" s="430"/>
      <c r="AY88" s="431">
        <f t="shared" si="767"/>
        <v>0</v>
      </c>
      <c r="AZ88" s="426"/>
      <c r="BA88" s="435" t="str">
        <f t="shared" si="768"/>
        <v/>
      </c>
      <c r="BB88" s="435"/>
      <c r="BC88" s="426"/>
      <c r="BD88" s="426">
        <f t="array" ref="BD88">IF(SUM((BC88=$BC$3:BC87)*1)=0,BC88,0)</f>
        <v>0</v>
      </c>
      <c r="BE88" s="426"/>
      <c r="BF88" s="426"/>
      <c r="BG88" s="426">
        <f t="array" ref="BG88">IF(SUM((BF88=$BF$3:BF87)*1)=0,BF88,0)</f>
        <v>0</v>
      </c>
      <c r="BH88" s="426"/>
      <c r="BI88" s="426"/>
      <c r="BJ88" s="426"/>
      <c r="BK88" s="426"/>
      <c r="BL88" s="426"/>
      <c r="BM88" s="426"/>
      <c r="BN88" s="426"/>
      <c r="BO88" s="426"/>
      <c r="BP88" s="433">
        <f t="shared" si="769"/>
        <v>0</v>
      </c>
      <c r="BQ88" s="426"/>
      <c r="BR88" s="434"/>
      <c r="BS88" s="426"/>
      <c r="BT88" s="433"/>
      <c r="BU88" s="435"/>
      <c r="BV88" s="435" t="str">
        <f t="shared" si="770"/>
        <v/>
      </c>
      <c r="BW88" s="435" t="str">
        <f t="shared" si="798"/>
        <v/>
      </c>
      <c r="BX88" s="435"/>
      <c r="BY88" s="435"/>
      <c r="BZ88" s="435"/>
      <c r="CA88" s="435"/>
      <c r="CB88" s="435"/>
      <c r="CC88" s="435"/>
      <c r="CD88" s="435"/>
      <c r="CE88" s="435"/>
      <c r="CF88" s="435"/>
      <c r="CG88" s="435"/>
      <c r="CH88" s="435"/>
      <c r="CI88" s="435"/>
      <c r="CJ88" s="426" t="str">
        <f t="shared" si="799"/>
        <v/>
      </c>
      <c r="CK88" s="435"/>
      <c r="CL88" s="426"/>
      <c r="CM88" s="435"/>
      <c r="CN88" s="426"/>
      <c r="CO88" s="426"/>
      <c r="CP88" s="426"/>
      <c r="CQ88" s="426"/>
      <c r="CR88" s="426"/>
      <c r="CS88" s="426"/>
      <c r="CT88" s="426"/>
      <c r="CU88" s="426"/>
      <c r="CV88" s="426"/>
      <c r="CW88" s="493"/>
      <c r="CX88" s="493"/>
      <c r="CY88" s="426">
        <v>85</v>
      </c>
      <c r="CZ88" s="493"/>
      <c r="DA88" s="493"/>
      <c r="DB88" s="493"/>
      <c r="DC88" s="426" t="s">
        <v>828</v>
      </c>
      <c r="DD88" s="426" t="s">
        <v>988</v>
      </c>
      <c r="DE88" s="435" t="str">
        <f t="shared" si="800"/>
        <v/>
      </c>
      <c r="DF88" s="435" t="str">
        <f t="shared" si="801"/>
        <v/>
      </c>
      <c r="DG88" s="435" t="str">
        <f t="shared" si="802"/>
        <v/>
      </c>
      <c r="DH88" s="435" t="str">
        <f t="shared" si="803"/>
        <v/>
      </c>
      <c r="DI88" s="435" t="str">
        <f t="shared" si="804"/>
        <v/>
      </c>
      <c r="DJ88" s="435" t="str">
        <f t="shared" si="805"/>
        <v/>
      </c>
      <c r="DK88" s="435" t="str">
        <f t="shared" si="771"/>
        <v/>
      </c>
      <c r="DL88" s="435" t="str">
        <f t="shared" si="772"/>
        <v/>
      </c>
      <c r="DM88" s="435" t="str">
        <f t="shared" si="806"/>
        <v/>
      </c>
      <c r="DN88" s="435" t="str">
        <f t="shared" si="807"/>
        <v/>
      </c>
      <c r="DO88" s="435" t="str">
        <f t="shared" si="773"/>
        <v/>
      </c>
      <c r="DP88" s="435" t="str">
        <f t="shared" si="774"/>
        <v/>
      </c>
      <c r="DQ88" s="435" t="str">
        <f t="shared" si="808"/>
        <v/>
      </c>
      <c r="DR88" s="435" t="str">
        <f t="shared" si="809"/>
        <v/>
      </c>
      <c r="DS88" s="435" t="str">
        <f t="shared" si="775"/>
        <v/>
      </c>
      <c r="DT88" s="435" t="str">
        <f t="shared" si="776"/>
        <v/>
      </c>
      <c r="DU88" s="435" t="str">
        <f t="shared" si="810"/>
        <v/>
      </c>
      <c r="DV88" s="435" t="str">
        <f t="shared" si="811"/>
        <v/>
      </c>
      <c r="DW88" s="435" t="str">
        <f t="shared" si="777"/>
        <v/>
      </c>
      <c r="DX88" s="435" t="str">
        <f t="shared" si="778"/>
        <v/>
      </c>
      <c r="DY88" s="435" t="str">
        <f t="shared" si="812"/>
        <v/>
      </c>
      <c r="DZ88" s="435" t="str">
        <f t="shared" si="813"/>
        <v/>
      </c>
      <c r="EA88" s="435" t="str">
        <f t="shared" si="779"/>
        <v/>
      </c>
      <c r="EB88" s="435" t="str">
        <f t="shared" si="780"/>
        <v/>
      </c>
      <c r="EC88" s="435" t="str">
        <f t="shared" si="781"/>
        <v/>
      </c>
      <c r="ED88" s="435" t="str">
        <f t="shared" si="782"/>
        <v/>
      </c>
      <c r="EE88" s="435" t="str">
        <f t="shared" si="783"/>
        <v/>
      </c>
      <c r="EF88" s="435" t="str">
        <f t="shared" si="784"/>
        <v/>
      </c>
      <c r="EG88" s="435" t="str">
        <f t="shared" si="785"/>
        <v/>
      </c>
      <c r="EH88" s="435" t="str">
        <f t="shared" si="786"/>
        <v/>
      </c>
      <c r="EI88" s="435" t="str">
        <f t="shared" si="787"/>
        <v/>
      </c>
      <c r="EJ88" s="435" t="str">
        <f t="shared" si="788"/>
        <v/>
      </c>
      <c r="EK88" s="485"/>
      <c r="EL88" s="485"/>
      <c r="EM88" s="485"/>
      <c r="EN88" s="485"/>
      <c r="EO88" s="448"/>
      <c r="EP88" s="448"/>
      <c r="EQ88" s="448"/>
      <c r="ER88" s="448"/>
      <c r="ES88" s="448"/>
      <c r="ET88" s="435"/>
      <c r="EU88" s="435"/>
      <c r="EV88" s="435"/>
      <c r="EW88" s="435"/>
      <c r="EX88" s="426"/>
      <c r="EY88" s="426"/>
      <c r="EZ88" s="426"/>
      <c r="FA88" s="863"/>
      <c r="FB88" s="427">
        <f t="array" ref="FB88">IF(SUM((FA88=$FA$3:FA87)*1)=0,FA88,0)</f>
        <v>0</v>
      </c>
      <c r="FC88" s="863"/>
      <c r="FD88" s="863"/>
      <c r="FE88" s="863">
        <f t="array" ref="FE88">IF(SUM((FD88=$FD$3:FD87)*1)=0,FD88,0)</f>
        <v>0</v>
      </c>
      <c r="FF88" s="863"/>
      <c r="FG88" s="863"/>
      <c r="FH88" s="863"/>
      <c r="FI88" s="427">
        <f t="array" ref="FI88">IF(SUM((FH88=$FH$3:FH87)*1)=0,FH88,0)</f>
        <v>0</v>
      </c>
      <c r="FJ88" s="863"/>
      <c r="FK88" s="863"/>
      <c r="FL88" s="863">
        <f t="array" ref="FL88">IF(SUM((FK88=$FK$3:FK87)*1)=0,FK88,0)</f>
        <v>0</v>
      </c>
      <c r="FM88" s="863"/>
      <c r="FN88" s="863"/>
      <c r="FO88" s="863"/>
      <c r="FP88" s="427">
        <f t="array" ref="FP88">IF(SUM((FO88=$FO$3:FO87)*1)=0,FO88,0)</f>
        <v>0</v>
      </c>
      <c r="FQ88" s="863"/>
      <c r="FR88" s="863"/>
      <c r="FS88" s="863">
        <f t="array" ref="FS88">IF(SUM((FR88=$FR$3:FR87)*1)=0,FR88,0)</f>
        <v>0</v>
      </c>
      <c r="FT88" s="863"/>
      <c r="FU88" s="863"/>
      <c r="FV88" s="863"/>
      <c r="FW88" s="427">
        <f t="array" ref="FW88">IF(SUM((FV88=$FV$3:FV87)*1)=0,FV88,0)</f>
        <v>0</v>
      </c>
      <c r="FX88" s="863"/>
      <c r="FY88" s="863"/>
      <c r="FZ88" s="863">
        <f t="array" ref="FZ88">IF(SUM((FY88=$FY$3:FY87)*1)=0,FY88,0)</f>
        <v>0</v>
      </c>
      <c r="GA88" s="863"/>
      <c r="GB88" s="863"/>
      <c r="GC88" s="863"/>
      <c r="GD88" s="427">
        <f t="array" ref="GD88">IF(SUM((GC88=$GC$3:GC87)*1)=0,GC88,0)</f>
        <v>0</v>
      </c>
      <c r="GE88" s="863"/>
      <c r="GF88" s="863"/>
      <c r="GG88" s="863">
        <f t="array" ref="GG88">IF(SUM((GF88=$GF$3:GF87)*1)=0,GF88,0)</f>
        <v>0</v>
      </c>
      <c r="GH88" s="863"/>
      <c r="GI88" s="863"/>
      <c r="GJ88" s="863"/>
      <c r="GK88" s="798">
        <f t="array" ref="GK88">IF(SUM((GJ88=$GJ$3:GJ87)*1)=0,GJ88,0)</f>
        <v>0</v>
      </c>
      <c r="GL88" s="863"/>
      <c r="GM88" s="863"/>
      <c r="GN88" s="798">
        <f t="array" ref="GN88">IF(SUM((GM88=$GM$3:GM87)*1)=0,GM88,0)</f>
        <v>0</v>
      </c>
      <c r="GO88" s="863"/>
      <c r="GP88" s="863"/>
      <c r="GQ88" s="863"/>
      <c r="GR88" s="798">
        <f t="array" ref="GR88">IF(SUM((GQ88=$GQ$3:GQ87)*1)=0,GQ88,0)</f>
        <v>0</v>
      </c>
      <c r="GS88" s="863"/>
      <c r="GT88" s="863"/>
      <c r="GU88" s="798">
        <f t="array" ref="GU88">IF(SUM((GT88=$GT$3:GT87)*1)=0,GT88,0)</f>
        <v>0</v>
      </c>
      <c r="GV88" s="863"/>
      <c r="GW88" s="863"/>
      <c r="GX88" s="863"/>
      <c r="GY88" s="798">
        <f t="array" ref="GY88">IF(SUM((GX88=$GX$3:GX87)*1)=0,GX88,0)</f>
        <v>0</v>
      </c>
      <c r="GZ88" s="863"/>
      <c r="HA88" s="863"/>
      <c r="HB88" s="798">
        <f t="array" ref="HB88">IF(SUM((HA88=$HA$3:HA87)*1)=0,HA88,0)</f>
        <v>0</v>
      </c>
      <c r="HC88" s="863"/>
      <c r="HD88" s="863"/>
      <c r="HE88" s="769" t="str">
        <f t="shared" si="889"/>
        <v/>
      </c>
      <c r="HF88" s="768" t="str">
        <f t="shared" ref="HF88" si="1063">IF(HE88&lt;0,"Invadiu REP-BA-C","")</f>
        <v/>
      </c>
      <c r="HG88" s="769" t="str">
        <f t="shared" si="891"/>
        <v/>
      </c>
      <c r="HH88" s="768" t="str">
        <f t="shared" si="815"/>
        <v/>
      </c>
      <c r="HI88" s="728" t="str">
        <f t="shared" si="892"/>
        <v/>
      </c>
      <c r="HJ88" s="768" t="str">
        <f t="shared" si="816"/>
        <v/>
      </c>
      <c r="HK88" s="728" t="str">
        <f t="shared" si="893"/>
        <v/>
      </c>
      <c r="HL88" s="768" t="str">
        <f t="shared" si="817"/>
        <v/>
      </c>
      <c r="HM88" s="769" t="str">
        <f t="shared" si="818"/>
        <v/>
      </c>
      <c r="HN88" s="768" t="str">
        <f t="shared" ref="HN88" si="1064">IF(HM88&lt;0,"Invadiu REP-BA-C","")</f>
        <v/>
      </c>
      <c r="HO88" s="769" t="str">
        <f t="shared" si="820"/>
        <v/>
      </c>
      <c r="HP88" s="768" t="str">
        <f t="shared" si="821"/>
        <v/>
      </c>
      <c r="HQ88" s="728" t="str">
        <f t="shared" si="822"/>
        <v/>
      </c>
      <c r="HR88" s="768" t="str">
        <f t="shared" si="823"/>
        <v/>
      </c>
      <c r="HS88" s="728" t="str">
        <f t="shared" si="824"/>
        <v/>
      </c>
      <c r="HT88" s="768" t="str">
        <f t="shared" si="825"/>
        <v/>
      </c>
      <c r="HU88" s="769" t="str">
        <f t="shared" si="826"/>
        <v/>
      </c>
      <c r="HV88" s="768" t="str">
        <f t="shared" ref="HV88" si="1065">IF(HU88&lt;0,"Invadiu REP-BA-C","")</f>
        <v/>
      </c>
      <c r="HW88" s="769" t="str">
        <f t="shared" si="828"/>
        <v/>
      </c>
      <c r="HX88" s="768" t="str">
        <f t="shared" si="829"/>
        <v/>
      </c>
      <c r="HY88" s="728" t="str">
        <f t="shared" si="830"/>
        <v/>
      </c>
      <c r="HZ88" s="768" t="str">
        <f t="shared" si="831"/>
        <v/>
      </c>
      <c r="IA88" s="728" t="str">
        <f t="shared" si="832"/>
        <v/>
      </c>
      <c r="IB88" s="768" t="str">
        <f t="shared" si="833"/>
        <v/>
      </c>
      <c r="IC88" s="769" t="str">
        <f t="shared" si="834"/>
        <v/>
      </c>
      <c r="ID88" s="768" t="str">
        <f t="shared" ref="ID88" si="1066">IF(IC88&lt;0,"Invadiu REP-BA-C","")</f>
        <v/>
      </c>
      <c r="IE88" s="769" t="str">
        <f t="shared" si="836"/>
        <v/>
      </c>
      <c r="IF88" s="768" t="str">
        <f t="shared" si="837"/>
        <v/>
      </c>
      <c r="IG88" s="728" t="str">
        <f t="shared" si="838"/>
        <v/>
      </c>
      <c r="IH88" s="768" t="str">
        <f t="shared" si="839"/>
        <v/>
      </c>
      <c r="II88" s="728" t="str">
        <f t="shared" si="840"/>
        <v/>
      </c>
      <c r="IJ88" s="768" t="str">
        <f t="shared" si="841"/>
        <v/>
      </c>
      <c r="IK88" s="769" t="str">
        <f t="shared" si="842"/>
        <v/>
      </c>
      <c r="IL88" s="768" t="str">
        <f t="shared" ref="IL88" si="1067">IF(IK88&lt;0,"Invadiu REP-BA-C","")</f>
        <v/>
      </c>
      <c r="IM88" s="769" t="str">
        <f t="shared" si="844"/>
        <v/>
      </c>
      <c r="IN88" s="768" t="str">
        <f t="shared" si="845"/>
        <v/>
      </c>
      <c r="IO88" s="728" t="str">
        <f t="shared" si="846"/>
        <v/>
      </c>
      <c r="IP88" s="768" t="str">
        <f t="shared" si="847"/>
        <v/>
      </c>
      <c r="IQ88" s="728" t="str">
        <f t="shared" si="848"/>
        <v/>
      </c>
      <c r="IR88" s="768" t="str">
        <f t="shared" si="849"/>
        <v/>
      </c>
      <c r="IS88" s="769" t="str">
        <f t="shared" si="850"/>
        <v/>
      </c>
      <c r="IT88" s="768" t="str">
        <f t="shared" ref="IT88" si="1068">IF(IS88&lt;0,"Invadiu REP-BA-C","")</f>
        <v/>
      </c>
      <c r="IU88" s="769" t="str">
        <f t="shared" si="852"/>
        <v/>
      </c>
      <c r="IV88" s="768" t="str">
        <f t="shared" si="853"/>
        <v/>
      </c>
      <c r="IW88" s="728" t="str">
        <f t="shared" si="854"/>
        <v/>
      </c>
      <c r="IX88" s="768" t="str">
        <f t="shared" si="855"/>
        <v/>
      </c>
      <c r="IY88" s="728" t="str">
        <f t="shared" si="856"/>
        <v/>
      </c>
      <c r="IZ88" s="768" t="str">
        <f t="shared" si="857"/>
        <v/>
      </c>
      <c r="JA88" s="769" t="str">
        <f t="shared" si="858"/>
        <v/>
      </c>
      <c r="JB88" s="768" t="str">
        <f t="shared" ref="JB88" si="1069">IF(JA88&lt;0,"Invadiu REP-BA-C","")</f>
        <v/>
      </c>
      <c r="JC88" s="769" t="str">
        <f t="shared" si="860"/>
        <v/>
      </c>
      <c r="JD88" s="768" t="str">
        <f t="shared" si="861"/>
        <v/>
      </c>
      <c r="JE88" s="728" t="str">
        <f t="shared" si="862"/>
        <v/>
      </c>
      <c r="JF88" s="768" t="str">
        <f t="shared" si="863"/>
        <v/>
      </c>
      <c r="JG88" s="728" t="str">
        <f t="shared" si="864"/>
        <v/>
      </c>
      <c r="JH88" s="768" t="str">
        <f t="shared" si="865"/>
        <v/>
      </c>
      <c r="JI88" s="769" t="str">
        <f t="shared" si="866"/>
        <v/>
      </c>
      <c r="JJ88" s="768" t="str">
        <f t="shared" ref="JJ88" si="1070">IF(JI88&lt;0,"Invadiu REP-BA-C","")</f>
        <v/>
      </c>
      <c r="JK88" s="769" t="str">
        <f t="shared" si="868"/>
        <v/>
      </c>
      <c r="JL88" s="768" t="str">
        <f t="shared" si="869"/>
        <v/>
      </c>
      <c r="JM88" s="728" t="str">
        <f t="shared" si="870"/>
        <v/>
      </c>
      <c r="JN88" s="768" t="str">
        <f t="shared" si="871"/>
        <v/>
      </c>
      <c r="JO88" s="728" t="str">
        <f t="shared" si="872"/>
        <v/>
      </c>
      <c r="JP88" s="768" t="str">
        <f t="shared" si="873"/>
        <v/>
      </c>
      <c r="JQ88" s="769" t="str">
        <f t="shared" si="874"/>
        <v/>
      </c>
      <c r="JR88" s="768" t="str">
        <f t="shared" ref="JR88" si="1071">IF(JQ88&lt;0,"Invadiu REP-BA-C","")</f>
        <v/>
      </c>
      <c r="JS88" s="769" t="str">
        <f t="shared" si="876"/>
        <v/>
      </c>
      <c r="JT88" s="768" t="str">
        <f t="shared" si="877"/>
        <v/>
      </c>
      <c r="JU88" s="728" t="str">
        <f t="shared" si="878"/>
        <v/>
      </c>
      <c r="JV88" s="768" t="str">
        <f t="shared" si="879"/>
        <v/>
      </c>
      <c r="JW88" s="728" t="str">
        <f t="shared" si="880"/>
        <v/>
      </c>
      <c r="JX88" s="768" t="str">
        <f t="shared" si="881"/>
        <v/>
      </c>
      <c r="JY88" s="768" t="str">
        <f t="shared" si="882"/>
        <v/>
      </c>
      <c r="JZ88" s="485" t="str">
        <f>IF(JY88="","",IF(AND(C88=$C$164,JY88&lt;&gt;""),Verificarcpf(D88),IF(AND(C88=$C$165,JY88&lt;&gt;""),VerificarCNPJ(D88))))</f>
        <v/>
      </c>
      <c r="KA88" s="768" t="str">
        <f t="shared" si="883"/>
        <v/>
      </c>
      <c r="KB88" s="485">
        <f t="shared" si="884"/>
        <v>0</v>
      </c>
      <c r="KC88" s="768">
        <f t="shared" si="885"/>
        <v>0</v>
      </c>
      <c r="KD88" s="485">
        <f t="shared" si="886"/>
        <v>0</v>
      </c>
      <c r="KE88" s="448"/>
      <c r="KF88" s="548"/>
      <c r="KG88" s="548"/>
      <c r="KH88" s="548"/>
      <c r="KI88" s="548"/>
      <c r="KJ88" s="548" t="str">
        <f t="shared" si="887"/>
        <v/>
      </c>
      <c r="KK88" s="548"/>
      <c r="KL88" s="548"/>
      <c r="KM88" s="548">
        <f t="array" ref="KM88">IF(SUM((KL88=$KL$3:KL87)*1)=0,KL88,0)</f>
        <v>0</v>
      </c>
      <c r="KN88" s="548"/>
      <c r="KO88" s="548"/>
      <c r="KP88" s="548"/>
      <c r="KQ88" s="548"/>
      <c r="KR88" s="548" t="str">
        <f t="shared" si="888"/>
        <v/>
      </c>
      <c r="KS88" s="548"/>
      <c r="KT88" s="548"/>
      <c r="KU88" s="548"/>
      <c r="KV88" s="548"/>
      <c r="KW88" s="548"/>
      <c r="KX88" s="548"/>
      <c r="KY88" s="548"/>
      <c r="KZ88" s="548"/>
      <c r="LA88" s="548"/>
      <c r="LB88" s="548"/>
      <c r="LC88" s="485" t="str">
        <f t="shared" si="902"/>
        <v/>
      </c>
      <c r="LD88" s="548"/>
      <c r="LE88" s="548"/>
      <c r="LF88" s="548"/>
      <c r="LG88" s="548"/>
      <c r="LH88" s="548"/>
      <c r="LI88" s="548"/>
      <c r="LJ88" s="548"/>
      <c r="LK88" s="548"/>
      <c r="LL88" s="548"/>
      <c r="LM88" s="548"/>
      <c r="LN88" s="548"/>
      <c r="LO88" s="548"/>
      <c r="LP88" s="485" t="str">
        <f t="shared" si="903"/>
        <v/>
      </c>
      <c r="LQ88" s="548"/>
      <c r="LR88" s="548"/>
      <c r="LS88" s="548"/>
      <c r="LT88" s="548"/>
      <c r="LU88" s="548"/>
      <c r="LV88" s="548"/>
      <c r="LW88" s="548"/>
      <c r="LX88" s="548"/>
      <c r="LY88" s="548"/>
      <c r="LZ88" s="548"/>
      <c r="MA88" s="548"/>
      <c r="MB88" s="548"/>
      <c r="MC88" s="485" t="str">
        <f t="shared" si="904"/>
        <v/>
      </c>
      <c r="MD88" s="548"/>
      <c r="ME88" s="548"/>
      <c r="MF88" s="548"/>
      <c r="MG88" s="548"/>
      <c r="MH88" s="548"/>
      <c r="MI88" s="548"/>
      <c r="MJ88" s="548"/>
      <c r="MK88" s="548"/>
      <c r="ML88" s="548"/>
      <c r="MM88" s="548"/>
      <c r="MN88" s="548"/>
      <c r="MO88" s="548"/>
      <c r="MP88" s="485" t="str">
        <f t="shared" si="905"/>
        <v/>
      </c>
      <c r="MQ88" s="548"/>
      <c r="MR88" s="548"/>
      <c r="MS88" s="548"/>
      <c r="MT88" s="548"/>
      <c r="MU88" s="548"/>
      <c r="MV88" s="548"/>
      <c r="MW88" s="548"/>
      <c r="MX88" s="548"/>
      <c r="MY88" s="548"/>
      <c r="MZ88" s="548"/>
      <c r="NA88" s="548"/>
      <c r="NB88" s="548"/>
      <c r="NC88" s="485" t="str">
        <f t="shared" si="906"/>
        <v/>
      </c>
      <c r="ND88" s="548"/>
      <c r="NE88" s="548"/>
      <c r="NF88" s="548"/>
      <c r="NG88" s="548"/>
      <c r="NH88" s="548"/>
      <c r="NI88" s="548"/>
      <c r="NJ88" s="548"/>
      <c r="NK88" s="548"/>
      <c r="NL88" s="548"/>
      <c r="NM88" s="548"/>
      <c r="NN88" s="548"/>
      <c r="NO88" s="548"/>
      <c r="NP88" s="485" t="str">
        <f t="shared" si="907"/>
        <v/>
      </c>
      <c r="NQ88" s="548"/>
      <c r="NR88" s="548"/>
      <c r="NS88" s="548"/>
      <c r="NT88" s="548"/>
      <c r="NU88" s="548"/>
      <c r="NV88" s="548"/>
      <c r="NW88" s="548"/>
      <c r="NX88" s="548"/>
      <c r="NY88" s="548"/>
      <c r="NZ88" s="548"/>
      <c r="OA88" s="548"/>
      <c r="OB88" s="548"/>
      <c r="OC88" s="485" t="str">
        <f t="shared" si="908"/>
        <v/>
      </c>
      <c r="OD88" s="548"/>
      <c r="OE88" s="548"/>
      <c r="OF88" s="548"/>
      <c r="OG88" s="548"/>
      <c r="OH88" s="548"/>
      <c r="OI88" s="548"/>
      <c r="OJ88" s="548"/>
      <c r="OK88" s="548"/>
      <c r="OL88" s="548"/>
      <c r="OM88" s="548"/>
      <c r="ON88" s="548"/>
      <c r="OO88" s="548"/>
      <c r="OP88" s="548"/>
      <c r="OQ88" s="548"/>
      <c r="OR88" s="548"/>
      <c r="OS88" s="548"/>
      <c r="OT88" s="548"/>
      <c r="OU88" s="548"/>
      <c r="OV88" s="548"/>
      <c r="OW88" s="548"/>
      <c r="OX88" s="548"/>
      <c r="OY88" s="548"/>
      <c r="OZ88" s="548"/>
      <c r="PA88" s="548"/>
      <c r="PB88" s="548"/>
      <c r="PC88" s="548"/>
      <c r="PD88" s="548"/>
      <c r="PE88" s="548"/>
      <c r="PF88" s="548"/>
      <c r="PG88" s="548"/>
      <c r="PH88" s="548"/>
      <c r="PI88" s="548"/>
      <c r="PJ88" s="548"/>
      <c r="PK88" s="548"/>
      <c r="PL88" s="548"/>
      <c r="PM88" s="548"/>
      <c r="PN88" s="548"/>
      <c r="PO88" s="548"/>
      <c r="PP88" s="548"/>
      <c r="PQ88" s="548"/>
      <c r="PR88" s="548"/>
      <c r="PS88" s="548"/>
      <c r="PT88" s="548"/>
      <c r="PU88" s="548"/>
      <c r="PV88" s="548"/>
      <c r="PW88" s="548"/>
      <c r="PX88" s="548"/>
      <c r="PY88" s="548"/>
      <c r="PZ88" s="548"/>
      <c r="QA88" s="548"/>
      <c r="QB88" s="548"/>
      <c r="QC88" s="548"/>
      <c r="QD88" s="548"/>
      <c r="QE88" s="548"/>
      <c r="QF88" s="548"/>
      <c r="QG88" s="548"/>
      <c r="QH88" s="548"/>
      <c r="QI88" s="548"/>
      <c r="QJ88" s="548"/>
      <c r="QK88" s="548"/>
      <c r="QL88" s="548"/>
      <c r="QM88" s="548"/>
      <c r="QN88" s="548"/>
      <c r="QO88" s="548"/>
      <c r="QP88" s="548"/>
      <c r="QQ88" s="1009"/>
      <c r="QR88" s="548"/>
      <c r="QS88" s="548"/>
      <c r="QT88" s="548"/>
      <c r="QU88" s="548"/>
      <c r="QV88" s="548"/>
      <c r="QW88" s="548"/>
      <c r="QX88" s="548"/>
      <c r="QY88" s="548"/>
      <c r="QZ88" s="548"/>
      <c r="RA88" s="548"/>
      <c r="RB88" s="548"/>
      <c r="RC88" s="548"/>
      <c r="RD88" s="548"/>
      <c r="RE88" s="548"/>
      <c r="RF88" s="548"/>
      <c r="RG88" s="548"/>
      <c r="RH88" s="548"/>
      <c r="RI88" s="548"/>
      <c r="RJ88" s="548"/>
      <c r="RK88" s="548"/>
      <c r="RL88" s="548"/>
      <c r="RM88" s="548"/>
      <c r="RN88" s="548"/>
      <c r="RO88" s="548"/>
      <c r="RP88" s="548"/>
      <c r="RQ88" s="548"/>
      <c r="RR88" s="548"/>
      <c r="RS88" s="548"/>
      <c r="RT88" s="548"/>
      <c r="RU88" s="548"/>
      <c r="RV88" s="548"/>
      <c r="RW88" s="548"/>
      <c r="RX88" s="548"/>
      <c r="RY88" s="548"/>
      <c r="RZ88" s="548"/>
      <c r="SA88" s="548"/>
      <c r="SB88" s="548"/>
      <c r="SC88" s="548"/>
      <c r="SD88" s="548"/>
      <c r="SE88" s="548"/>
      <c r="SF88" s="548"/>
      <c r="SG88" s="548"/>
      <c r="SH88" s="548"/>
      <c r="SI88" s="548"/>
      <c r="SJ88" s="548"/>
      <c r="SK88" s="548"/>
      <c r="SL88" s="548"/>
      <c r="SM88" s="548"/>
      <c r="SN88" s="548"/>
      <c r="SO88" s="548"/>
      <c r="SP88" s="548"/>
      <c r="SQ88" s="548"/>
      <c r="SR88" s="548"/>
      <c r="SS88" s="548"/>
      <c r="ST88" s="548"/>
      <c r="SU88" s="548"/>
      <c r="SV88" s="548"/>
      <c r="SW88" s="548"/>
      <c r="SX88" s="548"/>
      <c r="SY88" s="548"/>
      <c r="SZ88" s="548"/>
      <c r="TA88" s="548"/>
      <c r="TB88" s="548"/>
      <c r="TC88" s="548"/>
      <c r="TD88" s="548"/>
      <c r="TE88" s="548"/>
      <c r="TF88" s="548"/>
      <c r="TG88" s="548"/>
      <c r="TH88" s="548"/>
      <c r="TI88" s="548"/>
      <c r="TJ88" s="548"/>
      <c r="TK88" s="548"/>
      <c r="TL88" s="548"/>
      <c r="TM88" s="548"/>
      <c r="TN88" s="548"/>
      <c r="TO88" s="548"/>
      <c r="TP88" s="548"/>
      <c r="TQ88" s="548"/>
      <c r="TR88" s="548"/>
      <c r="TS88" s="548"/>
      <c r="TT88" s="548"/>
      <c r="TU88" s="548"/>
      <c r="TV88" s="548"/>
      <c r="TW88" s="548"/>
      <c r="TX88" s="548"/>
      <c r="TY88" s="548"/>
      <c r="TZ88" s="548"/>
      <c r="UA88" s="548"/>
      <c r="UB88" s="548"/>
      <c r="UC88" s="548"/>
      <c r="UD88" s="548"/>
      <c r="UE88" s="548"/>
      <c r="UF88" s="548"/>
      <c r="UG88" s="548"/>
      <c r="UH88" s="548"/>
      <c r="UI88" s="548"/>
      <c r="UJ88" s="548"/>
      <c r="UK88" s="548"/>
      <c r="UL88" s="548"/>
      <c r="UM88" s="548"/>
      <c r="UN88" s="548"/>
      <c r="UO88" s="548"/>
      <c r="UP88" s="548"/>
      <c r="UQ88" s="548"/>
      <c r="UR88" s="548"/>
      <c r="US88" s="548"/>
      <c r="UT88" s="548"/>
      <c r="UU88" s="548"/>
      <c r="UV88" s="548"/>
      <c r="UW88" s="548"/>
      <c r="UX88" s="548"/>
      <c r="UY88" s="548"/>
      <c r="UZ88" s="548"/>
      <c r="VA88" s="548"/>
      <c r="VB88" s="548"/>
      <c r="VC88" s="548"/>
      <c r="VD88" s="548"/>
      <c r="VE88" s="548"/>
      <c r="VF88" s="548"/>
      <c r="VG88" s="548"/>
      <c r="VH88" s="548"/>
      <c r="VI88" s="548"/>
      <c r="VJ88" s="548"/>
      <c r="VK88" s="548"/>
      <c r="VL88" s="548"/>
      <c r="VM88" s="548"/>
      <c r="VN88" s="548"/>
      <c r="VO88" s="548"/>
      <c r="VP88" s="548"/>
      <c r="VQ88" s="548"/>
      <c r="VR88" s="548"/>
      <c r="VS88" s="548"/>
      <c r="VT88" s="548"/>
      <c r="VU88" s="548"/>
      <c r="VV88" s="548"/>
      <c r="VW88" s="548"/>
      <c r="VX88" s="548"/>
      <c r="VY88" s="548"/>
      <c r="VZ88" s="548"/>
      <c r="WA88" s="548"/>
      <c r="WB88" s="548"/>
      <c r="WC88" s="548"/>
      <c r="WD88" s="548"/>
      <c r="WE88" s="548"/>
      <c r="WF88" s="548"/>
      <c r="WG88" s="548"/>
      <c r="WH88" s="548"/>
      <c r="WI88" s="548"/>
      <c r="WJ88" s="548"/>
      <c r="WK88" s="548"/>
      <c r="WL88" s="548"/>
      <c r="WM88" s="548"/>
      <c r="WN88" s="548"/>
      <c r="WO88" s="548"/>
      <c r="WP88" s="548"/>
      <c r="WQ88" s="548"/>
      <c r="WR88" s="548"/>
      <c r="WS88" s="548"/>
      <c r="WT88" s="548"/>
      <c r="WU88" s="548"/>
      <c r="WV88" s="548"/>
      <c r="WW88" s="548"/>
      <c r="WX88" s="548"/>
      <c r="WY88" s="548"/>
      <c r="WZ88" s="548"/>
      <c r="XA88" s="548"/>
      <c r="XB88" s="548"/>
      <c r="XC88" s="548"/>
      <c r="XD88" s="548"/>
      <c r="XE88" s="548"/>
      <c r="XF88" s="548"/>
      <c r="XG88" s="548"/>
      <c r="XH88" s="548"/>
      <c r="XI88" s="548"/>
      <c r="XJ88" s="548"/>
      <c r="XK88" s="548"/>
      <c r="XL88" s="548"/>
      <c r="XM88" s="548"/>
      <c r="XN88" s="548"/>
      <c r="XO88" s="548"/>
      <c r="XP88" s="548"/>
      <c r="XQ88" s="548"/>
      <c r="XR88" s="548"/>
      <c r="XS88" s="548"/>
      <c r="XT88" s="548"/>
      <c r="XU88" s="548"/>
      <c r="XV88" s="548"/>
      <c r="XW88" s="548"/>
      <c r="XX88" s="548"/>
      <c r="XY88" s="548"/>
      <c r="XZ88" s="548"/>
      <c r="YA88" s="548"/>
      <c r="YB88" s="548"/>
      <c r="YC88" s="548"/>
      <c r="YD88" s="548"/>
      <c r="YE88" s="548"/>
      <c r="YF88" s="548"/>
      <c r="YG88" s="548"/>
      <c r="YH88" s="548"/>
      <c r="YI88" s="548"/>
      <c r="YJ88" s="548"/>
      <c r="YK88" s="548"/>
      <c r="YL88" s="548"/>
      <c r="YM88" s="548"/>
      <c r="YN88" s="548"/>
      <c r="YO88" s="548"/>
      <c r="YP88" s="548"/>
      <c r="YQ88" s="548"/>
      <c r="YR88" s="548"/>
      <c r="YS88" s="548"/>
      <c r="YT88" s="548"/>
      <c r="YU88" s="548"/>
      <c r="YV88" s="548"/>
      <c r="YW88" s="548"/>
      <c r="YX88" s="548"/>
      <c r="YY88" s="548"/>
      <c r="YZ88" s="548"/>
      <c r="ZA88" s="548"/>
      <c r="ZB88" s="548"/>
      <c r="ZC88" s="548"/>
      <c r="ZD88" s="548"/>
      <c r="ZE88" s="548"/>
      <c r="ZF88" s="548"/>
      <c r="ZG88" s="548"/>
      <c r="ZH88" s="548"/>
      <c r="ZI88" s="548"/>
      <c r="ZJ88" s="548"/>
      <c r="ZK88" s="548"/>
      <c r="ZL88" s="548"/>
      <c r="ZM88" s="548"/>
      <c r="ZN88" s="548"/>
      <c r="ZO88" s="548"/>
      <c r="ZP88" s="548"/>
      <c r="ZQ88" s="548"/>
      <c r="ZR88" s="548"/>
      <c r="ZS88" s="548"/>
      <c r="ZT88" s="548"/>
      <c r="ZU88" s="548"/>
      <c r="ZV88" s="548"/>
      <c r="ZW88" s="548"/>
      <c r="ZX88" s="548"/>
      <c r="ZY88" s="548"/>
      <c r="ZZ88" s="548"/>
      <c r="AAA88" s="548"/>
      <c r="AAB88" s="548"/>
      <c r="AAC88" s="548"/>
      <c r="AAD88" s="548"/>
      <c r="AAE88" s="548"/>
      <c r="AAF88" s="548"/>
      <c r="AAG88" s="548"/>
      <c r="AAH88" s="548"/>
      <c r="AAI88" s="548"/>
      <c r="AAJ88" s="548"/>
      <c r="AAK88" s="548"/>
      <c r="AAL88" s="548"/>
      <c r="AAM88" s="548"/>
      <c r="AAN88" s="548"/>
      <c r="AAO88" s="548"/>
      <c r="AAP88" s="548"/>
      <c r="AAQ88" s="548"/>
      <c r="AAR88" s="548"/>
      <c r="AAS88" s="548"/>
      <c r="AAT88" s="548"/>
      <c r="AAU88" s="548"/>
      <c r="AAV88" s="548"/>
      <c r="AAW88" s="548"/>
      <c r="AAX88" s="548"/>
      <c r="AAY88" s="548"/>
      <c r="AAZ88" s="548"/>
      <c r="ABA88" s="548"/>
      <c r="ABB88" s="548"/>
      <c r="ABC88" s="548"/>
      <c r="ABD88" s="548"/>
      <c r="ABE88" s="548"/>
      <c r="ABF88" s="548"/>
      <c r="ABG88" s="548"/>
      <c r="ABH88" s="548"/>
      <c r="ABI88" s="548"/>
      <c r="ABJ88" s="548"/>
      <c r="ABK88" s="548"/>
      <c r="ABL88" s="548"/>
      <c r="ABM88" s="548"/>
      <c r="ABN88" s="548"/>
      <c r="ABO88" s="548"/>
      <c r="ABP88" s="548"/>
      <c r="ABQ88" s="548"/>
      <c r="ABR88" s="548"/>
      <c r="ABS88" s="548"/>
    </row>
    <row r="89" spans="1:747" customFormat="1" ht="15" customHeight="1" x14ac:dyDescent="0.2">
      <c r="A89" s="424" t="str">
        <f t="shared" si="909"/>
        <v/>
      </c>
      <c r="B89" s="415"/>
      <c r="C89" s="525"/>
      <c r="D89" s="750"/>
      <c r="E89" s="416" t="str">
        <f t="shared" si="751"/>
        <v/>
      </c>
      <c r="F89" s="527" t="str">
        <f t="shared" si="752"/>
        <v/>
      </c>
      <c r="G89" s="417"/>
      <c r="H89" s="585" t="str">
        <f t="shared" si="753"/>
        <v/>
      </c>
      <c r="I89" s="424"/>
      <c r="J89" s="419"/>
      <c r="K89" s="418"/>
      <c r="L89" s="419"/>
      <c r="M89" s="415"/>
      <c r="N89" s="420"/>
      <c r="O89" s="421"/>
      <c r="P89" s="561"/>
      <c r="Q89" s="422"/>
      <c r="R89" s="561" t="str">
        <f t="shared" si="754"/>
        <v/>
      </c>
      <c r="S89" s="664"/>
      <c r="T89" s="663"/>
      <c r="U89" s="580">
        <f t="shared" si="755"/>
        <v>0</v>
      </c>
      <c r="V89" s="418"/>
      <c r="W89" s="582" t="str">
        <f t="shared" si="756"/>
        <v/>
      </c>
      <c r="X89" s="479" t="str">
        <f t="shared" si="757"/>
        <v/>
      </c>
      <c r="Y89" s="582" t="str">
        <f t="shared" si="758"/>
        <v/>
      </c>
      <c r="Z89" s="317" t="str">
        <f t="shared" si="759"/>
        <v/>
      </c>
      <c r="AA89" s="317" t="str">
        <f t="shared" si="760"/>
        <v/>
      </c>
      <c r="AB89" s="317">
        <f t="shared" si="761"/>
        <v>0</v>
      </c>
      <c r="AC89" s="317" t="str">
        <f t="shared" si="762"/>
        <v/>
      </c>
      <c r="AD89" s="479"/>
      <c r="AE89" s="479"/>
      <c r="AF89" s="479"/>
      <c r="AG89" s="423"/>
      <c r="AH89" s="820"/>
      <c r="AI89" s="437"/>
      <c r="AJ89" s="660"/>
      <c r="AK89" s="524" t="str">
        <f t="shared" si="763"/>
        <v/>
      </c>
      <c r="AL89" s="731">
        <f>SUMIF($J$4:$J$46,"Grêmio",$S$4:$S$46)</f>
        <v>0</v>
      </c>
      <c r="AM89" s="732">
        <f>SUMIF($J$4:$J$46,"Grêmio",$T$4:$T$46)</f>
        <v>0</v>
      </c>
      <c r="AN89" s="426">
        <f t="shared" si="764"/>
        <v>0</v>
      </c>
      <c r="AO89" s="427" t="str">
        <f t="shared" si="765"/>
        <v/>
      </c>
      <c r="AP89" s="426" t="str">
        <f t="shared" si="766"/>
        <v/>
      </c>
      <c r="AQ89" s="426"/>
      <c r="AR89" s="426"/>
      <c r="AS89" s="428"/>
      <c r="AT89" s="429"/>
      <c r="AU89" s="430"/>
      <c r="AV89" s="431"/>
      <c r="AW89" s="432"/>
      <c r="AX89" s="430"/>
      <c r="AY89" s="431">
        <f t="shared" si="767"/>
        <v>0</v>
      </c>
      <c r="AZ89" s="426"/>
      <c r="BA89" s="435" t="str">
        <f t="shared" si="768"/>
        <v/>
      </c>
      <c r="BB89" s="435"/>
      <c r="BC89" s="426"/>
      <c r="BD89" s="426">
        <f t="array" ref="BD89">IF(SUM((BC89=$BC$3:BC88)*1)=0,BC89,0)</f>
        <v>0</v>
      </c>
      <c r="BE89" s="426"/>
      <c r="BF89" s="426"/>
      <c r="BG89" s="426">
        <f t="array" ref="BG89">IF(SUM((BF89=$BF$3:BF88)*1)=0,BF89,0)</f>
        <v>0</v>
      </c>
      <c r="BH89" s="426"/>
      <c r="BI89" s="426"/>
      <c r="BJ89" s="426"/>
      <c r="BK89" s="426"/>
      <c r="BL89" s="426"/>
      <c r="BM89" s="426"/>
      <c r="BN89" s="426"/>
      <c r="BO89" s="426"/>
      <c r="BP89" s="433">
        <f t="shared" si="769"/>
        <v>0</v>
      </c>
      <c r="BQ89" s="426"/>
      <c r="BR89" s="434"/>
      <c r="BS89" s="426"/>
      <c r="BT89" s="433"/>
      <c r="BU89" s="435"/>
      <c r="BV89" s="435" t="str">
        <f t="shared" si="770"/>
        <v/>
      </c>
      <c r="BW89" s="435" t="str">
        <f t="shared" si="798"/>
        <v/>
      </c>
      <c r="BX89" s="435"/>
      <c r="BY89" s="435"/>
      <c r="BZ89" s="435"/>
      <c r="CA89" s="435"/>
      <c r="CB89" s="435"/>
      <c r="CC89" s="435"/>
      <c r="CD89" s="435"/>
      <c r="CE89" s="435"/>
      <c r="CF89" s="435"/>
      <c r="CG89" s="435"/>
      <c r="CH89" s="435"/>
      <c r="CI89" s="435"/>
      <c r="CJ89" s="426" t="str">
        <f t="shared" si="799"/>
        <v/>
      </c>
      <c r="CK89" s="435"/>
      <c r="CL89" s="426"/>
      <c r="CM89" s="435"/>
      <c r="CN89" s="426"/>
      <c r="CO89" s="426"/>
      <c r="CP89" s="426"/>
      <c r="CQ89" s="426"/>
      <c r="CR89" s="426"/>
      <c r="CS89" s="426"/>
      <c r="CT89" s="426"/>
      <c r="CU89" s="426"/>
      <c r="CV89" s="426"/>
      <c r="CW89" s="493"/>
      <c r="CX89" s="493"/>
      <c r="CY89" s="426">
        <v>86</v>
      </c>
      <c r="CZ89" s="493"/>
      <c r="DA89" s="493"/>
      <c r="DB89" s="493"/>
      <c r="DC89" s="426" t="s">
        <v>829</v>
      </c>
      <c r="DD89" s="426" t="s">
        <v>989</v>
      </c>
      <c r="DE89" s="435" t="str">
        <f t="shared" si="800"/>
        <v/>
      </c>
      <c r="DF89" s="435" t="str">
        <f t="shared" si="801"/>
        <v/>
      </c>
      <c r="DG89" s="435" t="str">
        <f t="shared" si="802"/>
        <v/>
      </c>
      <c r="DH89" s="435" t="str">
        <f t="shared" si="803"/>
        <v/>
      </c>
      <c r="DI89" s="435" t="str">
        <f t="shared" si="804"/>
        <v/>
      </c>
      <c r="DJ89" s="435" t="str">
        <f t="shared" si="805"/>
        <v/>
      </c>
      <c r="DK89" s="435" t="str">
        <f t="shared" si="771"/>
        <v/>
      </c>
      <c r="DL89" s="435" t="str">
        <f t="shared" si="772"/>
        <v/>
      </c>
      <c r="DM89" s="435" t="str">
        <f t="shared" si="806"/>
        <v/>
      </c>
      <c r="DN89" s="435" t="str">
        <f t="shared" si="807"/>
        <v/>
      </c>
      <c r="DO89" s="435" t="str">
        <f t="shared" si="773"/>
        <v/>
      </c>
      <c r="DP89" s="435" t="str">
        <f t="shared" si="774"/>
        <v/>
      </c>
      <c r="DQ89" s="435" t="str">
        <f t="shared" si="808"/>
        <v/>
      </c>
      <c r="DR89" s="435" t="str">
        <f t="shared" si="809"/>
        <v/>
      </c>
      <c r="DS89" s="435" t="str">
        <f t="shared" si="775"/>
        <v/>
      </c>
      <c r="DT89" s="435" t="str">
        <f t="shared" si="776"/>
        <v/>
      </c>
      <c r="DU89" s="435" t="str">
        <f t="shared" si="810"/>
        <v/>
      </c>
      <c r="DV89" s="435" t="str">
        <f t="shared" si="811"/>
        <v/>
      </c>
      <c r="DW89" s="435" t="str">
        <f t="shared" si="777"/>
        <v/>
      </c>
      <c r="DX89" s="435" t="str">
        <f t="shared" si="778"/>
        <v/>
      </c>
      <c r="DY89" s="435" t="str">
        <f t="shared" si="812"/>
        <v/>
      </c>
      <c r="DZ89" s="435" t="str">
        <f t="shared" si="813"/>
        <v/>
      </c>
      <c r="EA89" s="435" t="str">
        <f t="shared" si="779"/>
        <v/>
      </c>
      <c r="EB89" s="435" t="str">
        <f t="shared" si="780"/>
        <v/>
      </c>
      <c r="EC89" s="435" t="str">
        <f t="shared" si="781"/>
        <v/>
      </c>
      <c r="ED89" s="435" t="str">
        <f t="shared" si="782"/>
        <v/>
      </c>
      <c r="EE89" s="435" t="str">
        <f t="shared" si="783"/>
        <v/>
      </c>
      <c r="EF89" s="435" t="str">
        <f t="shared" si="784"/>
        <v/>
      </c>
      <c r="EG89" s="435" t="str">
        <f t="shared" si="785"/>
        <v/>
      </c>
      <c r="EH89" s="435" t="str">
        <f t="shared" si="786"/>
        <v/>
      </c>
      <c r="EI89" s="435" t="str">
        <f t="shared" si="787"/>
        <v/>
      </c>
      <c r="EJ89" s="435" t="str">
        <f t="shared" si="788"/>
        <v/>
      </c>
      <c r="EK89" s="485"/>
      <c r="EL89" s="485"/>
      <c r="EM89" s="485"/>
      <c r="EN89" s="485"/>
      <c r="EO89" s="448"/>
      <c r="EP89" s="448"/>
      <c r="EQ89" s="448"/>
      <c r="ER89" s="448"/>
      <c r="ES89" s="448"/>
      <c r="ET89" s="435"/>
      <c r="EU89" s="435"/>
      <c r="EV89" s="435"/>
      <c r="EW89" s="435"/>
      <c r="EX89" s="426"/>
      <c r="EY89" s="426"/>
      <c r="EZ89" s="426"/>
      <c r="FA89" s="863"/>
      <c r="FB89" s="427">
        <f t="array" ref="FB89">IF(SUM((FA89=$FA$3:FA88)*1)=0,FA89,0)</f>
        <v>0</v>
      </c>
      <c r="FC89" s="863"/>
      <c r="FD89" s="863"/>
      <c r="FE89" s="863">
        <f t="array" ref="FE89">IF(SUM((FD89=$FD$3:FD88)*1)=0,FD89,0)</f>
        <v>0</v>
      </c>
      <c r="FF89" s="863"/>
      <c r="FG89" s="863"/>
      <c r="FH89" s="863"/>
      <c r="FI89" s="427">
        <f t="array" ref="FI89">IF(SUM((FH89=$FH$3:FH88)*1)=0,FH89,0)</f>
        <v>0</v>
      </c>
      <c r="FJ89" s="863"/>
      <c r="FK89" s="863"/>
      <c r="FL89" s="863">
        <f t="array" ref="FL89">IF(SUM((FK89=$FK$3:FK88)*1)=0,FK89,0)</f>
        <v>0</v>
      </c>
      <c r="FM89" s="863"/>
      <c r="FN89" s="863"/>
      <c r="FO89" s="863"/>
      <c r="FP89" s="427">
        <f t="array" ref="FP89">IF(SUM((FO89=$FO$3:FO88)*1)=0,FO89,0)</f>
        <v>0</v>
      </c>
      <c r="FQ89" s="863"/>
      <c r="FR89" s="863"/>
      <c r="FS89" s="863">
        <f t="array" ref="FS89">IF(SUM((FR89=$FR$3:FR88)*1)=0,FR89,0)</f>
        <v>0</v>
      </c>
      <c r="FT89" s="863"/>
      <c r="FU89" s="863"/>
      <c r="FV89" s="863"/>
      <c r="FW89" s="427">
        <f t="array" ref="FW89">IF(SUM((FV89=$FV$3:FV88)*1)=0,FV89,0)</f>
        <v>0</v>
      </c>
      <c r="FX89" s="863"/>
      <c r="FY89" s="863"/>
      <c r="FZ89" s="863">
        <f t="array" ref="FZ89">IF(SUM((FY89=$FY$3:FY88)*1)=0,FY89,0)</f>
        <v>0</v>
      </c>
      <c r="GA89" s="863"/>
      <c r="GB89" s="863"/>
      <c r="GC89" s="863"/>
      <c r="GD89" s="427">
        <f t="array" ref="GD89">IF(SUM((GC89=$GC$3:GC88)*1)=0,GC89,0)</f>
        <v>0</v>
      </c>
      <c r="GE89" s="863"/>
      <c r="GF89" s="863"/>
      <c r="GG89" s="863">
        <f t="array" ref="GG89">IF(SUM((GF89=$GF$3:GF88)*1)=0,GF89,0)</f>
        <v>0</v>
      </c>
      <c r="GH89" s="863"/>
      <c r="GI89" s="863"/>
      <c r="GJ89" s="863"/>
      <c r="GK89" s="798">
        <f t="array" ref="GK89">IF(SUM((GJ89=$GJ$3:GJ88)*1)=0,GJ89,0)</f>
        <v>0</v>
      </c>
      <c r="GL89" s="863"/>
      <c r="GM89" s="863"/>
      <c r="GN89" s="798">
        <f t="array" ref="GN89">IF(SUM((GM89=$GM$3:GM88)*1)=0,GM89,0)</f>
        <v>0</v>
      </c>
      <c r="GO89" s="863"/>
      <c r="GP89" s="863"/>
      <c r="GQ89" s="863"/>
      <c r="GR89" s="798">
        <f t="array" ref="GR89">IF(SUM((GQ89=$GQ$3:GQ88)*1)=0,GQ89,0)</f>
        <v>0</v>
      </c>
      <c r="GS89" s="863"/>
      <c r="GT89" s="863"/>
      <c r="GU89" s="798">
        <f t="array" ref="GU89">IF(SUM((GT89=$GT$3:GT88)*1)=0,GT89,0)</f>
        <v>0</v>
      </c>
      <c r="GV89" s="863"/>
      <c r="GW89" s="863"/>
      <c r="GX89" s="863"/>
      <c r="GY89" s="798">
        <f t="array" ref="GY89">IF(SUM((GX89=$GX$3:GX88)*1)=0,GX89,0)</f>
        <v>0</v>
      </c>
      <c r="GZ89" s="863"/>
      <c r="HA89" s="863"/>
      <c r="HB89" s="798">
        <f t="array" ref="HB89">IF(SUM((HA89=$HA$3:HA88)*1)=0,HA89,0)</f>
        <v>0</v>
      </c>
      <c r="HC89" s="863"/>
      <c r="HD89" s="863"/>
      <c r="HE89" s="769" t="str">
        <f t="shared" si="889"/>
        <v/>
      </c>
      <c r="HF89" s="768" t="str">
        <f t="shared" ref="HF89" si="1072">IF(HE89&lt;0,"Invadiu REP-BA-C","")</f>
        <v/>
      </c>
      <c r="HG89" s="769" t="str">
        <f t="shared" si="891"/>
        <v/>
      </c>
      <c r="HH89" s="768" t="str">
        <f t="shared" si="815"/>
        <v/>
      </c>
      <c r="HI89" s="728" t="str">
        <f t="shared" si="892"/>
        <v/>
      </c>
      <c r="HJ89" s="768" t="str">
        <f t="shared" si="816"/>
        <v/>
      </c>
      <c r="HK89" s="728" t="str">
        <f t="shared" si="893"/>
        <v/>
      </c>
      <c r="HL89" s="768" t="str">
        <f t="shared" si="817"/>
        <v/>
      </c>
      <c r="HM89" s="769" t="str">
        <f t="shared" si="818"/>
        <v/>
      </c>
      <c r="HN89" s="768" t="str">
        <f t="shared" ref="HN89" si="1073">IF(HM89&lt;0,"Invadiu REP-BA-C","")</f>
        <v/>
      </c>
      <c r="HO89" s="769" t="str">
        <f t="shared" si="820"/>
        <v/>
      </c>
      <c r="HP89" s="768" t="str">
        <f t="shared" si="821"/>
        <v/>
      </c>
      <c r="HQ89" s="728" t="str">
        <f t="shared" si="822"/>
        <v/>
      </c>
      <c r="HR89" s="768" t="str">
        <f t="shared" si="823"/>
        <v/>
      </c>
      <c r="HS89" s="728" t="str">
        <f t="shared" si="824"/>
        <v/>
      </c>
      <c r="HT89" s="768" t="str">
        <f t="shared" si="825"/>
        <v/>
      </c>
      <c r="HU89" s="769" t="str">
        <f t="shared" si="826"/>
        <v/>
      </c>
      <c r="HV89" s="768" t="str">
        <f t="shared" ref="HV89" si="1074">IF(HU89&lt;0,"Invadiu REP-BA-C","")</f>
        <v/>
      </c>
      <c r="HW89" s="769" t="str">
        <f t="shared" si="828"/>
        <v/>
      </c>
      <c r="HX89" s="768" t="str">
        <f t="shared" si="829"/>
        <v/>
      </c>
      <c r="HY89" s="728" t="str">
        <f t="shared" si="830"/>
        <v/>
      </c>
      <c r="HZ89" s="768" t="str">
        <f t="shared" si="831"/>
        <v/>
      </c>
      <c r="IA89" s="728" t="str">
        <f t="shared" si="832"/>
        <v/>
      </c>
      <c r="IB89" s="768" t="str">
        <f t="shared" si="833"/>
        <v/>
      </c>
      <c r="IC89" s="769" t="str">
        <f t="shared" si="834"/>
        <v/>
      </c>
      <c r="ID89" s="768" t="str">
        <f t="shared" ref="ID89" si="1075">IF(IC89&lt;0,"Invadiu REP-BA-C","")</f>
        <v/>
      </c>
      <c r="IE89" s="769" t="str">
        <f t="shared" si="836"/>
        <v/>
      </c>
      <c r="IF89" s="768" t="str">
        <f t="shared" si="837"/>
        <v/>
      </c>
      <c r="IG89" s="728" t="str">
        <f t="shared" si="838"/>
        <v/>
      </c>
      <c r="IH89" s="768" t="str">
        <f t="shared" si="839"/>
        <v/>
      </c>
      <c r="II89" s="728" t="str">
        <f t="shared" si="840"/>
        <v/>
      </c>
      <c r="IJ89" s="768" t="str">
        <f t="shared" si="841"/>
        <v/>
      </c>
      <c r="IK89" s="769" t="str">
        <f t="shared" si="842"/>
        <v/>
      </c>
      <c r="IL89" s="768" t="str">
        <f t="shared" ref="IL89" si="1076">IF(IK89&lt;0,"Invadiu REP-BA-C","")</f>
        <v/>
      </c>
      <c r="IM89" s="769" t="str">
        <f t="shared" si="844"/>
        <v/>
      </c>
      <c r="IN89" s="768" t="str">
        <f t="shared" si="845"/>
        <v/>
      </c>
      <c r="IO89" s="728" t="str">
        <f t="shared" si="846"/>
        <v/>
      </c>
      <c r="IP89" s="768" t="str">
        <f t="shared" si="847"/>
        <v/>
      </c>
      <c r="IQ89" s="728" t="str">
        <f t="shared" si="848"/>
        <v/>
      </c>
      <c r="IR89" s="768" t="str">
        <f t="shared" si="849"/>
        <v/>
      </c>
      <c r="IS89" s="769" t="str">
        <f t="shared" si="850"/>
        <v/>
      </c>
      <c r="IT89" s="768" t="str">
        <f t="shared" ref="IT89" si="1077">IF(IS89&lt;0,"Invadiu REP-BA-C","")</f>
        <v/>
      </c>
      <c r="IU89" s="769" t="str">
        <f t="shared" si="852"/>
        <v/>
      </c>
      <c r="IV89" s="768" t="str">
        <f t="shared" si="853"/>
        <v/>
      </c>
      <c r="IW89" s="728" t="str">
        <f t="shared" si="854"/>
        <v/>
      </c>
      <c r="IX89" s="768" t="str">
        <f t="shared" si="855"/>
        <v/>
      </c>
      <c r="IY89" s="728" t="str">
        <f t="shared" si="856"/>
        <v/>
      </c>
      <c r="IZ89" s="768" t="str">
        <f t="shared" si="857"/>
        <v/>
      </c>
      <c r="JA89" s="769" t="str">
        <f t="shared" si="858"/>
        <v/>
      </c>
      <c r="JB89" s="768" t="str">
        <f t="shared" ref="JB89" si="1078">IF(JA89&lt;0,"Invadiu REP-BA-C","")</f>
        <v/>
      </c>
      <c r="JC89" s="769" t="str">
        <f t="shared" si="860"/>
        <v/>
      </c>
      <c r="JD89" s="768" t="str">
        <f t="shared" si="861"/>
        <v/>
      </c>
      <c r="JE89" s="728" t="str">
        <f t="shared" si="862"/>
        <v/>
      </c>
      <c r="JF89" s="768" t="str">
        <f t="shared" si="863"/>
        <v/>
      </c>
      <c r="JG89" s="728" t="str">
        <f t="shared" si="864"/>
        <v/>
      </c>
      <c r="JH89" s="768" t="str">
        <f t="shared" si="865"/>
        <v/>
      </c>
      <c r="JI89" s="769" t="str">
        <f t="shared" si="866"/>
        <v/>
      </c>
      <c r="JJ89" s="768" t="str">
        <f t="shared" ref="JJ89" si="1079">IF(JI89&lt;0,"Invadiu REP-BA-C","")</f>
        <v/>
      </c>
      <c r="JK89" s="769" t="str">
        <f t="shared" si="868"/>
        <v/>
      </c>
      <c r="JL89" s="768" t="str">
        <f t="shared" si="869"/>
        <v/>
      </c>
      <c r="JM89" s="728" t="str">
        <f t="shared" si="870"/>
        <v/>
      </c>
      <c r="JN89" s="768" t="str">
        <f t="shared" si="871"/>
        <v/>
      </c>
      <c r="JO89" s="728" t="str">
        <f t="shared" si="872"/>
        <v/>
      </c>
      <c r="JP89" s="768" t="str">
        <f t="shared" si="873"/>
        <v/>
      </c>
      <c r="JQ89" s="769" t="str">
        <f t="shared" si="874"/>
        <v/>
      </c>
      <c r="JR89" s="768" t="str">
        <f t="shared" ref="JR89" si="1080">IF(JQ89&lt;0,"Invadiu REP-BA-C","")</f>
        <v/>
      </c>
      <c r="JS89" s="769" t="str">
        <f t="shared" si="876"/>
        <v/>
      </c>
      <c r="JT89" s="768" t="str">
        <f t="shared" si="877"/>
        <v/>
      </c>
      <c r="JU89" s="728" t="str">
        <f t="shared" si="878"/>
        <v/>
      </c>
      <c r="JV89" s="768" t="str">
        <f t="shared" si="879"/>
        <v/>
      </c>
      <c r="JW89" s="728" t="str">
        <f t="shared" si="880"/>
        <v/>
      </c>
      <c r="JX89" s="768" t="str">
        <f t="shared" si="881"/>
        <v/>
      </c>
      <c r="JY89" s="768" t="str">
        <f t="shared" si="882"/>
        <v/>
      </c>
      <c r="JZ89" s="485" t="str">
        <f>IF(JY89="","",IF(AND(C89=$C$164,JY89&lt;&gt;""),Verificarcpf(D89),IF(AND(C89=$C$165,JY89&lt;&gt;""),VerificarCNPJ(D89))))</f>
        <v/>
      </c>
      <c r="KA89" s="768" t="str">
        <f t="shared" si="883"/>
        <v/>
      </c>
      <c r="KB89" s="485">
        <f t="shared" si="884"/>
        <v>0</v>
      </c>
      <c r="KC89" s="768">
        <f t="shared" si="885"/>
        <v>0</v>
      </c>
      <c r="KD89" s="485">
        <f t="shared" si="886"/>
        <v>0</v>
      </c>
      <c r="KE89" s="448"/>
      <c r="KF89" s="548"/>
      <c r="KG89" s="548"/>
      <c r="KH89" s="548"/>
      <c r="KI89" s="548"/>
      <c r="KJ89" s="548" t="str">
        <f t="shared" si="887"/>
        <v/>
      </c>
      <c r="KK89" s="548"/>
      <c r="KL89" s="548"/>
      <c r="KM89" s="548">
        <f t="array" ref="KM89">IF(SUM((KL89=$KL$3:KL88)*1)=0,KL89,0)</f>
        <v>0</v>
      </c>
      <c r="KN89" s="548"/>
      <c r="KO89" s="548"/>
      <c r="KP89" s="548"/>
      <c r="KQ89" s="548"/>
      <c r="KR89" s="548" t="str">
        <f t="shared" si="888"/>
        <v/>
      </c>
      <c r="KS89" s="548"/>
      <c r="KT89" s="548"/>
      <c r="KU89" s="548"/>
      <c r="KV89" s="548"/>
      <c r="KW89" s="548"/>
      <c r="KX89" s="548"/>
      <c r="KY89" s="548"/>
      <c r="KZ89" s="548"/>
      <c r="LA89" s="548"/>
      <c r="LB89" s="548"/>
      <c r="LC89" s="485" t="str">
        <f t="shared" si="902"/>
        <v/>
      </c>
      <c r="LD89" s="548"/>
      <c r="LE89" s="548"/>
      <c r="LF89" s="548"/>
      <c r="LG89" s="548"/>
      <c r="LH89" s="548"/>
      <c r="LI89" s="548"/>
      <c r="LJ89" s="548"/>
      <c r="LK89" s="548"/>
      <c r="LL89" s="548"/>
      <c r="LM89" s="548"/>
      <c r="LN89" s="548"/>
      <c r="LO89" s="548"/>
      <c r="LP89" s="485" t="str">
        <f t="shared" si="903"/>
        <v/>
      </c>
      <c r="LQ89" s="548"/>
      <c r="LR89" s="548"/>
      <c r="LS89" s="548"/>
      <c r="LT89" s="548"/>
      <c r="LU89" s="548"/>
      <c r="LV89" s="548"/>
      <c r="LW89" s="548"/>
      <c r="LX89" s="548"/>
      <c r="LY89" s="548"/>
      <c r="LZ89" s="548"/>
      <c r="MA89" s="548"/>
      <c r="MB89" s="548"/>
      <c r="MC89" s="485" t="str">
        <f t="shared" si="904"/>
        <v/>
      </c>
      <c r="MD89" s="548"/>
      <c r="ME89" s="548"/>
      <c r="MF89" s="548"/>
      <c r="MG89" s="548"/>
      <c r="MH89" s="548"/>
      <c r="MI89" s="548"/>
      <c r="MJ89" s="548"/>
      <c r="MK89" s="548"/>
      <c r="ML89" s="548"/>
      <c r="MM89" s="548"/>
      <c r="MN89" s="548"/>
      <c r="MO89" s="548"/>
      <c r="MP89" s="485" t="str">
        <f t="shared" si="905"/>
        <v/>
      </c>
      <c r="MQ89" s="548"/>
      <c r="MR89" s="548"/>
      <c r="MS89" s="548"/>
      <c r="MT89" s="548"/>
      <c r="MU89" s="548"/>
      <c r="MV89" s="548"/>
      <c r="MW89" s="548"/>
      <c r="MX89" s="548"/>
      <c r="MY89" s="548"/>
      <c r="MZ89" s="548"/>
      <c r="NA89" s="548"/>
      <c r="NB89" s="548"/>
      <c r="NC89" s="485" t="str">
        <f t="shared" si="906"/>
        <v/>
      </c>
      <c r="ND89" s="548"/>
      <c r="NE89" s="548"/>
      <c r="NF89" s="548"/>
      <c r="NG89" s="548"/>
      <c r="NH89" s="548"/>
      <c r="NI89" s="548"/>
      <c r="NJ89" s="548"/>
      <c r="NK89" s="548"/>
      <c r="NL89" s="548"/>
      <c r="NM89" s="548"/>
      <c r="NN89" s="548"/>
      <c r="NO89" s="548"/>
      <c r="NP89" s="485" t="str">
        <f t="shared" si="907"/>
        <v/>
      </c>
      <c r="NQ89" s="548"/>
      <c r="NR89" s="548"/>
      <c r="NS89" s="548"/>
      <c r="NT89" s="548"/>
      <c r="NU89" s="548"/>
      <c r="NV89" s="548"/>
      <c r="NW89" s="548"/>
      <c r="NX89" s="548"/>
      <c r="NY89" s="548"/>
      <c r="NZ89" s="548"/>
      <c r="OA89" s="548"/>
      <c r="OB89" s="548"/>
      <c r="OC89" s="485" t="str">
        <f t="shared" si="908"/>
        <v/>
      </c>
      <c r="OD89" s="548"/>
      <c r="OE89" s="548"/>
      <c r="OF89" s="548"/>
      <c r="OG89" s="548"/>
      <c r="OH89" s="548"/>
      <c r="OI89" s="548"/>
      <c r="OJ89" s="548"/>
      <c r="OK89" s="548"/>
      <c r="OL89" s="548"/>
      <c r="OM89" s="548"/>
      <c r="ON89" s="548"/>
      <c r="OO89" s="548"/>
      <c r="OP89" s="548"/>
      <c r="OQ89" s="548"/>
      <c r="OR89" s="548"/>
      <c r="OS89" s="548"/>
      <c r="OT89" s="548"/>
      <c r="OU89" s="548"/>
      <c r="OV89" s="548"/>
      <c r="OW89" s="548"/>
      <c r="OX89" s="548"/>
      <c r="OY89" s="548"/>
      <c r="OZ89" s="548"/>
      <c r="PA89" s="548"/>
      <c r="PB89" s="548"/>
      <c r="PC89" s="548"/>
      <c r="PD89" s="548"/>
      <c r="PE89" s="548"/>
      <c r="PF89" s="548"/>
      <c r="PG89" s="548"/>
      <c r="PH89" s="548"/>
      <c r="PI89" s="548"/>
      <c r="PJ89" s="548"/>
      <c r="PK89" s="548"/>
      <c r="PL89" s="548"/>
      <c r="PM89" s="548"/>
      <c r="PN89" s="548"/>
      <c r="PO89" s="548"/>
      <c r="PP89" s="548"/>
      <c r="PQ89" s="548"/>
      <c r="PR89" s="548"/>
      <c r="PS89" s="548"/>
      <c r="PT89" s="548"/>
      <c r="PU89" s="548"/>
      <c r="PV89" s="548"/>
      <c r="PW89" s="548"/>
      <c r="PX89" s="548"/>
      <c r="PY89" s="548"/>
      <c r="PZ89" s="548"/>
      <c r="QA89" s="548"/>
      <c r="QB89" s="548"/>
      <c r="QC89" s="548"/>
      <c r="QD89" s="548"/>
      <c r="QE89" s="548"/>
      <c r="QF89" s="548"/>
      <c r="QG89" s="548"/>
      <c r="QH89" s="548"/>
      <c r="QI89" s="548"/>
      <c r="QJ89" s="548"/>
      <c r="QK89" s="548"/>
      <c r="QL89" s="548"/>
      <c r="QM89" s="548"/>
      <c r="QN89" s="548"/>
      <c r="QO89" s="548"/>
      <c r="QP89" s="548"/>
      <c r="QQ89" s="1009"/>
      <c r="QR89" s="548"/>
      <c r="QS89" s="548"/>
      <c r="QT89" s="548"/>
      <c r="QU89" s="548"/>
      <c r="QV89" s="548"/>
      <c r="QW89" s="548"/>
      <c r="QX89" s="548"/>
      <c r="QY89" s="548"/>
      <c r="QZ89" s="548"/>
      <c r="RA89" s="548"/>
      <c r="RB89" s="548"/>
      <c r="RC89" s="548"/>
      <c r="RD89" s="548"/>
      <c r="RE89" s="548"/>
      <c r="RF89" s="548"/>
      <c r="RG89" s="548"/>
      <c r="RH89" s="548"/>
      <c r="RI89" s="548"/>
      <c r="RJ89" s="548"/>
      <c r="RK89" s="548"/>
      <c r="RL89" s="548"/>
      <c r="RM89" s="548"/>
      <c r="RN89" s="548"/>
      <c r="RO89" s="548"/>
      <c r="RP89" s="548"/>
      <c r="RQ89" s="548"/>
      <c r="RR89" s="548"/>
      <c r="RS89" s="548"/>
      <c r="RT89" s="548"/>
      <c r="RU89" s="548"/>
      <c r="RV89" s="548"/>
      <c r="RW89" s="548"/>
      <c r="RX89" s="548"/>
      <c r="RY89" s="548"/>
      <c r="RZ89" s="548"/>
      <c r="SA89" s="548"/>
      <c r="SB89" s="548"/>
      <c r="SC89" s="548"/>
      <c r="SD89" s="548"/>
      <c r="SE89" s="548"/>
      <c r="SF89" s="548"/>
      <c r="SG89" s="548"/>
      <c r="SH89" s="548"/>
      <c r="SI89" s="548"/>
      <c r="SJ89" s="548"/>
      <c r="SK89" s="548"/>
      <c r="SL89" s="548"/>
      <c r="SM89" s="548"/>
      <c r="SN89" s="548"/>
      <c r="SO89" s="548"/>
      <c r="SP89" s="548"/>
      <c r="SQ89" s="548"/>
      <c r="SR89" s="548"/>
      <c r="SS89" s="548"/>
      <c r="ST89" s="548"/>
      <c r="SU89" s="548"/>
      <c r="SV89" s="548"/>
      <c r="SW89" s="548"/>
      <c r="SX89" s="548"/>
      <c r="SY89" s="548"/>
      <c r="SZ89" s="548"/>
      <c r="TA89" s="548"/>
      <c r="TB89" s="548"/>
      <c r="TC89" s="548"/>
      <c r="TD89" s="548"/>
      <c r="TE89" s="548"/>
      <c r="TF89" s="548"/>
      <c r="TG89" s="548"/>
      <c r="TH89" s="548"/>
      <c r="TI89" s="548"/>
      <c r="TJ89" s="548"/>
      <c r="TK89" s="548"/>
      <c r="TL89" s="548"/>
      <c r="TM89" s="548"/>
      <c r="TN89" s="548"/>
      <c r="TO89" s="548"/>
      <c r="TP89" s="548"/>
      <c r="TQ89" s="548"/>
      <c r="TR89" s="548"/>
      <c r="TS89" s="548"/>
      <c r="TT89" s="548"/>
      <c r="TU89" s="548"/>
      <c r="TV89" s="548"/>
      <c r="TW89" s="548"/>
      <c r="TX89" s="548"/>
      <c r="TY89" s="548"/>
      <c r="TZ89" s="548"/>
      <c r="UA89" s="548"/>
      <c r="UB89" s="548"/>
      <c r="UC89" s="548"/>
      <c r="UD89" s="548"/>
      <c r="UE89" s="548"/>
      <c r="UF89" s="548"/>
      <c r="UG89" s="548"/>
      <c r="UH89" s="548"/>
      <c r="UI89" s="548"/>
      <c r="UJ89" s="548"/>
      <c r="UK89" s="548"/>
      <c r="UL89" s="548"/>
      <c r="UM89" s="548"/>
      <c r="UN89" s="548"/>
      <c r="UO89" s="548"/>
      <c r="UP89" s="548"/>
      <c r="UQ89" s="548"/>
      <c r="UR89" s="548"/>
      <c r="US89" s="548"/>
      <c r="UT89" s="548"/>
      <c r="UU89" s="548"/>
      <c r="UV89" s="548"/>
      <c r="UW89" s="548"/>
      <c r="UX89" s="548"/>
      <c r="UY89" s="548"/>
      <c r="UZ89" s="548"/>
      <c r="VA89" s="548"/>
      <c r="VB89" s="548"/>
      <c r="VC89" s="548"/>
      <c r="VD89" s="548"/>
      <c r="VE89" s="548"/>
      <c r="VF89" s="548"/>
      <c r="VG89" s="548"/>
      <c r="VH89" s="548"/>
      <c r="VI89" s="548"/>
      <c r="VJ89" s="548"/>
      <c r="VK89" s="548"/>
      <c r="VL89" s="548"/>
      <c r="VM89" s="548"/>
      <c r="VN89" s="548"/>
      <c r="VO89" s="548"/>
      <c r="VP89" s="548"/>
      <c r="VQ89" s="548"/>
      <c r="VR89" s="548"/>
      <c r="VS89" s="548"/>
      <c r="VT89" s="548"/>
      <c r="VU89" s="548"/>
      <c r="VV89" s="548"/>
      <c r="VW89" s="548"/>
      <c r="VX89" s="548"/>
      <c r="VY89" s="548"/>
      <c r="VZ89" s="548"/>
      <c r="WA89" s="548"/>
      <c r="WB89" s="548"/>
      <c r="WC89" s="548"/>
      <c r="WD89" s="548"/>
      <c r="WE89" s="548"/>
      <c r="WF89" s="548"/>
      <c r="WG89" s="548"/>
      <c r="WH89" s="548"/>
      <c r="WI89" s="548"/>
      <c r="WJ89" s="548"/>
      <c r="WK89" s="548"/>
      <c r="WL89" s="548"/>
      <c r="WM89" s="548"/>
      <c r="WN89" s="548"/>
      <c r="WO89" s="548"/>
      <c r="WP89" s="548"/>
      <c r="WQ89" s="548"/>
      <c r="WR89" s="548"/>
      <c r="WS89" s="548"/>
      <c r="WT89" s="548"/>
      <c r="WU89" s="548"/>
      <c r="WV89" s="548"/>
      <c r="WW89" s="548"/>
      <c r="WX89" s="548"/>
      <c r="WY89" s="548"/>
      <c r="WZ89" s="548"/>
      <c r="XA89" s="548"/>
      <c r="XB89" s="548"/>
      <c r="XC89" s="548"/>
      <c r="XD89" s="548"/>
      <c r="XE89" s="548"/>
      <c r="XF89" s="548"/>
      <c r="XG89" s="548"/>
      <c r="XH89" s="548"/>
      <c r="XI89" s="548"/>
      <c r="XJ89" s="548"/>
      <c r="XK89" s="548"/>
      <c r="XL89" s="548"/>
      <c r="XM89" s="548"/>
      <c r="XN89" s="548"/>
      <c r="XO89" s="548"/>
      <c r="XP89" s="548"/>
      <c r="XQ89" s="548"/>
      <c r="XR89" s="548"/>
      <c r="XS89" s="548"/>
      <c r="XT89" s="548"/>
      <c r="XU89" s="548"/>
      <c r="XV89" s="548"/>
      <c r="XW89" s="548"/>
      <c r="XX89" s="548"/>
      <c r="XY89" s="548"/>
      <c r="XZ89" s="548"/>
      <c r="YA89" s="548"/>
      <c r="YB89" s="548"/>
      <c r="YC89" s="548"/>
      <c r="YD89" s="548"/>
      <c r="YE89" s="548"/>
      <c r="YF89" s="548"/>
      <c r="YG89" s="548"/>
      <c r="YH89" s="548"/>
      <c r="YI89" s="548"/>
      <c r="YJ89" s="548"/>
      <c r="YK89" s="548"/>
      <c r="YL89" s="548"/>
      <c r="YM89" s="548"/>
      <c r="YN89" s="548"/>
      <c r="YO89" s="548"/>
      <c r="YP89" s="548"/>
      <c r="YQ89" s="548"/>
      <c r="YR89" s="548"/>
      <c r="YS89" s="548"/>
      <c r="YT89" s="548"/>
      <c r="YU89" s="548"/>
      <c r="YV89" s="548"/>
      <c r="YW89" s="548"/>
      <c r="YX89" s="548"/>
      <c r="YY89" s="548"/>
      <c r="YZ89" s="548"/>
      <c r="ZA89" s="548"/>
      <c r="ZB89" s="548"/>
      <c r="ZC89" s="548"/>
      <c r="ZD89" s="548"/>
      <c r="ZE89" s="548"/>
      <c r="ZF89" s="548"/>
      <c r="ZG89" s="548"/>
      <c r="ZH89" s="548"/>
      <c r="ZI89" s="548"/>
      <c r="ZJ89" s="548"/>
      <c r="ZK89" s="548"/>
      <c r="ZL89" s="548"/>
      <c r="ZM89" s="548"/>
      <c r="ZN89" s="548"/>
      <c r="ZO89" s="548"/>
      <c r="ZP89" s="548"/>
      <c r="ZQ89" s="548"/>
      <c r="ZR89" s="548"/>
      <c r="ZS89" s="548"/>
      <c r="ZT89" s="548"/>
      <c r="ZU89" s="548"/>
      <c r="ZV89" s="548"/>
      <c r="ZW89" s="548"/>
      <c r="ZX89" s="548"/>
      <c r="ZY89" s="548"/>
      <c r="ZZ89" s="548"/>
      <c r="AAA89" s="548"/>
      <c r="AAB89" s="548"/>
      <c r="AAC89" s="548"/>
      <c r="AAD89" s="548"/>
      <c r="AAE89" s="548"/>
      <c r="AAF89" s="548"/>
      <c r="AAG89" s="548"/>
      <c r="AAH89" s="548"/>
      <c r="AAI89" s="548"/>
      <c r="AAJ89" s="548"/>
      <c r="AAK89" s="548"/>
      <c r="AAL89" s="548"/>
      <c r="AAM89" s="548"/>
      <c r="AAN89" s="548"/>
      <c r="AAO89" s="548"/>
      <c r="AAP89" s="548"/>
      <c r="AAQ89" s="548"/>
      <c r="AAR89" s="548"/>
      <c r="AAS89" s="548"/>
      <c r="AAT89" s="548"/>
      <c r="AAU89" s="548"/>
      <c r="AAV89" s="548"/>
      <c r="AAW89" s="548"/>
      <c r="AAX89" s="548"/>
      <c r="AAY89" s="548"/>
      <c r="AAZ89" s="548"/>
      <c r="ABA89" s="548"/>
      <c r="ABB89" s="548"/>
      <c r="ABC89" s="548"/>
      <c r="ABD89" s="548"/>
      <c r="ABE89" s="548"/>
      <c r="ABF89" s="548"/>
      <c r="ABG89" s="548"/>
      <c r="ABH89" s="548"/>
      <c r="ABI89" s="548"/>
      <c r="ABJ89" s="548"/>
      <c r="ABK89" s="548"/>
      <c r="ABL89" s="548"/>
      <c r="ABM89" s="548"/>
      <c r="ABN89" s="548"/>
      <c r="ABO89" s="548"/>
      <c r="ABP89" s="548"/>
      <c r="ABQ89" s="548"/>
      <c r="ABR89" s="548"/>
      <c r="ABS89" s="548"/>
    </row>
    <row r="90" spans="1:747" customFormat="1" ht="15" customHeight="1" x14ac:dyDescent="0.2">
      <c r="A90" s="424" t="str">
        <f t="shared" si="909"/>
        <v/>
      </c>
      <c r="B90" s="415"/>
      <c r="C90" s="525"/>
      <c r="D90" s="750"/>
      <c r="E90" s="416" t="str">
        <f t="shared" si="751"/>
        <v/>
      </c>
      <c r="F90" s="527" t="str">
        <f t="shared" si="752"/>
        <v/>
      </c>
      <c r="G90" s="417"/>
      <c r="H90" s="585" t="str">
        <f t="shared" si="753"/>
        <v/>
      </c>
      <c r="I90" s="424"/>
      <c r="J90" s="419"/>
      <c r="K90" s="418"/>
      <c r="L90" s="419"/>
      <c r="M90" s="415"/>
      <c r="N90" s="420"/>
      <c r="O90" s="421"/>
      <c r="P90" s="561"/>
      <c r="Q90" s="422"/>
      <c r="R90" s="561" t="str">
        <f t="shared" si="754"/>
        <v/>
      </c>
      <c r="S90" s="664"/>
      <c r="T90" s="663"/>
      <c r="U90" s="580">
        <f t="shared" si="755"/>
        <v>0</v>
      </c>
      <c r="V90" s="418"/>
      <c r="W90" s="582" t="str">
        <f t="shared" si="756"/>
        <v/>
      </c>
      <c r="X90" s="479" t="str">
        <f t="shared" si="757"/>
        <v/>
      </c>
      <c r="Y90" s="582" t="str">
        <f t="shared" si="758"/>
        <v/>
      </c>
      <c r="Z90" s="317" t="str">
        <f t="shared" si="759"/>
        <v/>
      </c>
      <c r="AA90" s="317" t="str">
        <f t="shared" si="760"/>
        <v/>
      </c>
      <c r="AB90" s="317">
        <f t="shared" si="761"/>
        <v>0</v>
      </c>
      <c r="AC90" s="317" t="str">
        <f t="shared" si="762"/>
        <v/>
      </c>
      <c r="AD90" s="479"/>
      <c r="AE90" s="479"/>
      <c r="AF90" s="479"/>
      <c r="AG90" s="423"/>
      <c r="AH90" s="820"/>
      <c r="AI90" s="437"/>
      <c r="AJ90" s="660"/>
      <c r="AK90" s="524" t="str">
        <f t="shared" si="763"/>
        <v/>
      </c>
      <c r="AL90" s="731">
        <f>SUMIF($J$4:$J$60,"Grêmio",$S$4:$S$60)</f>
        <v>0</v>
      </c>
      <c r="AM90" s="732">
        <f>SUMIF($J$4:$J$60,"Grêmio",$T$4:$T$60)</f>
        <v>0</v>
      </c>
      <c r="AN90" s="426">
        <f t="shared" si="764"/>
        <v>0</v>
      </c>
      <c r="AO90" s="427" t="str">
        <f t="shared" si="765"/>
        <v/>
      </c>
      <c r="AP90" s="426" t="str">
        <f t="shared" si="766"/>
        <v/>
      </c>
      <c r="AQ90" s="426"/>
      <c r="AR90" s="426"/>
      <c r="AS90" s="428"/>
      <c r="AT90" s="429"/>
      <c r="AU90" s="430"/>
      <c r="AV90" s="431"/>
      <c r="AW90" s="432"/>
      <c r="AX90" s="430"/>
      <c r="AY90" s="431">
        <f t="shared" si="767"/>
        <v>0</v>
      </c>
      <c r="AZ90" s="426"/>
      <c r="BA90" s="435" t="str">
        <f t="shared" si="768"/>
        <v/>
      </c>
      <c r="BB90" s="435"/>
      <c r="BC90" s="426"/>
      <c r="BD90" s="426">
        <f t="array" ref="BD90">IF(SUM((BC90=$BC$3:BC89)*1)=0,BC90,0)</f>
        <v>0</v>
      </c>
      <c r="BE90" s="426"/>
      <c r="BF90" s="426"/>
      <c r="BG90" s="426">
        <f t="array" ref="BG90">IF(SUM((BF90=$BF$3:BF89)*1)=0,BF90,0)</f>
        <v>0</v>
      </c>
      <c r="BH90" s="426"/>
      <c r="BI90" s="426"/>
      <c r="BJ90" s="426"/>
      <c r="BK90" s="426"/>
      <c r="BL90" s="426"/>
      <c r="BM90" s="426"/>
      <c r="BN90" s="426"/>
      <c r="BO90" s="426"/>
      <c r="BP90" s="433">
        <f t="shared" si="769"/>
        <v>0</v>
      </c>
      <c r="BQ90" s="426"/>
      <c r="BR90" s="434"/>
      <c r="BS90" s="426"/>
      <c r="BT90" s="433"/>
      <c r="BU90" s="435"/>
      <c r="BV90" s="435" t="str">
        <f t="shared" si="770"/>
        <v/>
      </c>
      <c r="BW90" s="435" t="str">
        <f t="shared" si="798"/>
        <v/>
      </c>
      <c r="BX90" s="435"/>
      <c r="BY90" s="435"/>
      <c r="BZ90" s="435"/>
      <c r="CA90" s="435"/>
      <c r="CB90" s="435"/>
      <c r="CC90" s="435"/>
      <c r="CD90" s="435"/>
      <c r="CE90" s="435"/>
      <c r="CF90" s="435"/>
      <c r="CG90" s="435"/>
      <c r="CH90" s="435"/>
      <c r="CI90" s="435"/>
      <c r="CJ90" s="426" t="str">
        <f t="shared" si="799"/>
        <v/>
      </c>
      <c r="CK90" s="435"/>
      <c r="CL90" s="426"/>
      <c r="CM90" s="435"/>
      <c r="CN90" s="426"/>
      <c r="CO90" s="426"/>
      <c r="CP90" s="426"/>
      <c r="CQ90" s="426"/>
      <c r="CR90" s="426"/>
      <c r="CS90" s="426"/>
      <c r="CT90" s="426"/>
      <c r="CU90" s="426"/>
      <c r="CV90" s="426"/>
      <c r="CW90" s="493"/>
      <c r="CX90" s="493"/>
      <c r="CY90" s="426">
        <v>87</v>
      </c>
      <c r="CZ90" s="493"/>
      <c r="DA90" s="493"/>
      <c r="DB90" s="493"/>
      <c r="DC90" s="426" t="s">
        <v>830</v>
      </c>
      <c r="DD90" s="426" t="s">
        <v>990</v>
      </c>
      <c r="DE90" s="435" t="str">
        <f t="shared" si="800"/>
        <v/>
      </c>
      <c r="DF90" s="435" t="str">
        <f t="shared" si="801"/>
        <v/>
      </c>
      <c r="DG90" s="435" t="str">
        <f t="shared" si="802"/>
        <v/>
      </c>
      <c r="DH90" s="435" t="str">
        <f t="shared" si="803"/>
        <v/>
      </c>
      <c r="DI90" s="435" t="str">
        <f t="shared" si="804"/>
        <v/>
      </c>
      <c r="DJ90" s="435" t="str">
        <f t="shared" si="805"/>
        <v/>
      </c>
      <c r="DK90" s="435" t="str">
        <f t="shared" si="771"/>
        <v/>
      </c>
      <c r="DL90" s="435" t="str">
        <f t="shared" si="772"/>
        <v/>
      </c>
      <c r="DM90" s="435" t="str">
        <f t="shared" si="806"/>
        <v/>
      </c>
      <c r="DN90" s="435" t="str">
        <f t="shared" si="807"/>
        <v/>
      </c>
      <c r="DO90" s="435" t="str">
        <f t="shared" si="773"/>
        <v/>
      </c>
      <c r="DP90" s="435" t="str">
        <f t="shared" si="774"/>
        <v/>
      </c>
      <c r="DQ90" s="435" t="str">
        <f t="shared" si="808"/>
        <v/>
      </c>
      <c r="DR90" s="435" t="str">
        <f t="shared" si="809"/>
        <v/>
      </c>
      <c r="DS90" s="435" t="str">
        <f t="shared" si="775"/>
        <v/>
      </c>
      <c r="DT90" s="435" t="str">
        <f t="shared" si="776"/>
        <v/>
      </c>
      <c r="DU90" s="435" t="str">
        <f t="shared" si="810"/>
        <v/>
      </c>
      <c r="DV90" s="435" t="str">
        <f t="shared" si="811"/>
        <v/>
      </c>
      <c r="DW90" s="435" t="str">
        <f t="shared" si="777"/>
        <v/>
      </c>
      <c r="DX90" s="435" t="str">
        <f t="shared" si="778"/>
        <v/>
      </c>
      <c r="DY90" s="435" t="str">
        <f t="shared" si="812"/>
        <v/>
      </c>
      <c r="DZ90" s="435" t="str">
        <f t="shared" si="813"/>
        <v/>
      </c>
      <c r="EA90" s="435" t="str">
        <f t="shared" si="779"/>
        <v/>
      </c>
      <c r="EB90" s="435" t="str">
        <f t="shared" si="780"/>
        <v/>
      </c>
      <c r="EC90" s="435" t="str">
        <f t="shared" si="781"/>
        <v/>
      </c>
      <c r="ED90" s="435" t="str">
        <f t="shared" si="782"/>
        <v/>
      </c>
      <c r="EE90" s="435" t="str">
        <f t="shared" si="783"/>
        <v/>
      </c>
      <c r="EF90" s="435" t="str">
        <f t="shared" si="784"/>
        <v/>
      </c>
      <c r="EG90" s="435" t="str">
        <f t="shared" si="785"/>
        <v/>
      </c>
      <c r="EH90" s="435" t="str">
        <f t="shared" si="786"/>
        <v/>
      </c>
      <c r="EI90" s="435" t="str">
        <f t="shared" si="787"/>
        <v/>
      </c>
      <c r="EJ90" s="435" t="str">
        <f t="shared" si="788"/>
        <v/>
      </c>
      <c r="EK90" s="485"/>
      <c r="EL90" s="485"/>
      <c r="EM90" s="485"/>
      <c r="EN90" s="485"/>
      <c r="EO90" s="448"/>
      <c r="EP90" s="448"/>
      <c r="EQ90" s="448"/>
      <c r="ER90" s="448"/>
      <c r="ES90" s="448"/>
      <c r="ET90" s="435"/>
      <c r="EU90" s="435"/>
      <c r="EV90" s="435"/>
      <c r="EW90" s="435"/>
      <c r="EX90" s="426"/>
      <c r="EY90" s="426"/>
      <c r="EZ90" s="426"/>
      <c r="FA90" s="863"/>
      <c r="FB90" s="427">
        <f t="array" ref="FB90">IF(SUM((FA90=$FA$3:FA89)*1)=0,FA90,0)</f>
        <v>0</v>
      </c>
      <c r="FC90" s="863"/>
      <c r="FD90" s="863"/>
      <c r="FE90" s="863">
        <f t="array" ref="FE90">IF(SUM((FD90=$FD$3:FD89)*1)=0,FD90,0)</f>
        <v>0</v>
      </c>
      <c r="FF90" s="863"/>
      <c r="FG90" s="863"/>
      <c r="FH90" s="863"/>
      <c r="FI90" s="427">
        <f t="array" ref="FI90">IF(SUM((FH90=$FH$3:FH89)*1)=0,FH90,0)</f>
        <v>0</v>
      </c>
      <c r="FJ90" s="863"/>
      <c r="FK90" s="863"/>
      <c r="FL90" s="863">
        <f t="array" ref="FL90">IF(SUM((FK90=$FK$3:FK89)*1)=0,FK90,0)</f>
        <v>0</v>
      </c>
      <c r="FM90" s="863"/>
      <c r="FN90" s="863"/>
      <c r="FO90" s="863"/>
      <c r="FP90" s="427">
        <f t="array" ref="FP90">IF(SUM((FO90=$FO$3:FO89)*1)=0,FO90,0)</f>
        <v>0</v>
      </c>
      <c r="FQ90" s="863"/>
      <c r="FR90" s="863"/>
      <c r="FS90" s="863">
        <f t="array" ref="FS90">IF(SUM((FR90=$FR$3:FR89)*1)=0,FR90,0)</f>
        <v>0</v>
      </c>
      <c r="FT90" s="863"/>
      <c r="FU90" s="863"/>
      <c r="FV90" s="863"/>
      <c r="FW90" s="427">
        <f t="array" ref="FW90">IF(SUM((FV90=$FV$3:FV89)*1)=0,FV90,0)</f>
        <v>0</v>
      </c>
      <c r="FX90" s="863"/>
      <c r="FY90" s="863"/>
      <c r="FZ90" s="863">
        <f t="array" ref="FZ90">IF(SUM((FY90=$FY$3:FY89)*1)=0,FY90,0)</f>
        <v>0</v>
      </c>
      <c r="GA90" s="863"/>
      <c r="GB90" s="863"/>
      <c r="GC90" s="863"/>
      <c r="GD90" s="427">
        <f t="array" ref="GD90">IF(SUM((GC90=$GC$3:GC89)*1)=0,GC90,0)</f>
        <v>0</v>
      </c>
      <c r="GE90" s="863"/>
      <c r="GF90" s="863"/>
      <c r="GG90" s="863">
        <f t="array" ref="GG90">IF(SUM((GF90=$GF$3:GF89)*1)=0,GF90,0)</f>
        <v>0</v>
      </c>
      <c r="GH90" s="863"/>
      <c r="GI90" s="863"/>
      <c r="GJ90" s="863"/>
      <c r="GK90" s="798">
        <f t="array" ref="GK90">IF(SUM((GJ90=$GJ$3:GJ89)*1)=0,GJ90,0)</f>
        <v>0</v>
      </c>
      <c r="GL90" s="863"/>
      <c r="GM90" s="863"/>
      <c r="GN90" s="798">
        <f t="array" ref="GN90">IF(SUM((GM90=$GM$3:GM89)*1)=0,GM90,0)</f>
        <v>0</v>
      </c>
      <c r="GO90" s="863"/>
      <c r="GP90" s="863"/>
      <c r="GQ90" s="863"/>
      <c r="GR90" s="798">
        <f t="array" ref="GR90">IF(SUM((GQ90=$GQ$3:GQ89)*1)=0,GQ90,0)</f>
        <v>0</v>
      </c>
      <c r="GS90" s="863"/>
      <c r="GT90" s="863"/>
      <c r="GU90" s="798">
        <f t="array" ref="GU90">IF(SUM((GT90=$GT$3:GT89)*1)=0,GT90,0)</f>
        <v>0</v>
      </c>
      <c r="GV90" s="863"/>
      <c r="GW90" s="863"/>
      <c r="GX90" s="863"/>
      <c r="GY90" s="798">
        <f t="array" ref="GY90">IF(SUM((GX90=$GX$3:GX89)*1)=0,GX90,0)</f>
        <v>0</v>
      </c>
      <c r="GZ90" s="863"/>
      <c r="HA90" s="863"/>
      <c r="HB90" s="798">
        <f t="array" ref="HB90">IF(SUM((HA90=$HA$3:HA89)*1)=0,HA90,0)</f>
        <v>0</v>
      </c>
      <c r="HC90" s="863"/>
      <c r="HD90" s="863"/>
      <c r="HE90" s="769" t="str">
        <f t="shared" si="889"/>
        <v/>
      </c>
      <c r="HF90" s="768" t="str">
        <f t="shared" ref="HF90" si="1081">IF(HE90&lt;0,"Invadiu REP-BA-C","")</f>
        <v/>
      </c>
      <c r="HG90" s="769" t="str">
        <f t="shared" si="891"/>
        <v/>
      </c>
      <c r="HH90" s="768" t="str">
        <f t="shared" si="815"/>
        <v/>
      </c>
      <c r="HI90" s="728" t="str">
        <f t="shared" si="892"/>
        <v/>
      </c>
      <c r="HJ90" s="768" t="str">
        <f t="shared" si="816"/>
        <v/>
      </c>
      <c r="HK90" s="728" t="str">
        <f t="shared" si="893"/>
        <v/>
      </c>
      <c r="HL90" s="768" t="str">
        <f t="shared" si="817"/>
        <v/>
      </c>
      <c r="HM90" s="769" t="str">
        <f t="shared" si="818"/>
        <v/>
      </c>
      <c r="HN90" s="768" t="str">
        <f t="shared" ref="HN90" si="1082">IF(HM90&lt;0,"Invadiu REP-BA-C","")</f>
        <v/>
      </c>
      <c r="HO90" s="769" t="str">
        <f t="shared" si="820"/>
        <v/>
      </c>
      <c r="HP90" s="768" t="str">
        <f t="shared" si="821"/>
        <v/>
      </c>
      <c r="HQ90" s="728" t="str">
        <f t="shared" si="822"/>
        <v/>
      </c>
      <c r="HR90" s="768" t="str">
        <f t="shared" si="823"/>
        <v/>
      </c>
      <c r="HS90" s="728" t="str">
        <f t="shared" si="824"/>
        <v/>
      </c>
      <c r="HT90" s="768" t="str">
        <f t="shared" si="825"/>
        <v/>
      </c>
      <c r="HU90" s="769" t="str">
        <f t="shared" si="826"/>
        <v/>
      </c>
      <c r="HV90" s="768" t="str">
        <f t="shared" ref="HV90" si="1083">IF(HU90&lt;0,"Invadiu REP-BA-C","")</f>
        <v/>
      </c>
      <c r="HW90" s="769" t="str">
        <f t="shared" si="828"/>
        <v/>
      </c>
      <c r="HX90" s="768" t="str">
        <f t="shared" si="829"/>
        <v/>
      </c>
      <c r="HY90" s="728" t="str">
        <f t="shared" si="830"/>
        <v/>
      </c>
      <c r="HZ90" s="768" t="str">
        <f t="shared" si="831"/>
        <v/>
      </c>
      <c r="IA90" s="728" t="str">
        <f t="shared" si="832"/>
        <v/>
      </c>
      <c r="IB90" s="768" t="str">
        <f t="shared" si="833"/>
        <v/>
      </c>
      <c r="IC90" s="769" t="str">
        <f t="shared" si="834"/>
        <v/>
      </c>
      <c r="ID90" s="768" t="str">
        <f t="shared" ref="ID90" si="1084">IF(IC90&lt;0,"Invadiu REP-BA-C","")</f>
        <v/>
      </c>
      <c r="IE90" s="769" t="str">
        <f t="shared" si="836"/>
        <v/>
      </c>
      <c r="IF90" s="768" t="str">
        <f t="shared" si="837"/>
        <v/>
      </c>
      <c r="IG90" s="728" t="str">
        <f t="shared" si="838"/>
        <v/>
      </c>
      <c r="IH90" s="768" t="str">
        <f t="shared" si="839"/>
        <v/>
      </c>
      <c r="II90" s="728" t="str">
        <f t="shared" si="840"/>
        <v/>
      </c>
      <c r="IJ90" s="768" t="str">
        <f t="shared" si="841"/>
        <v/>
      </c>
      <c r="IK90" s="769" t="str">
        <f t="shared" si="842"/>
        <v/>
      </c>
      <c r="IL90" s="768" t="str">
        <f t="shared" ref="IL90" si="1085">IF(IK90&lt;0,"Invadiu REP-BA-C","")</f>
        <v/>
      </c>
      <c r="IM90" s="769" t="str">
        <f t="shared" si="844"/>
        <v/>
      </c>
      <c r="IN90" s="768" t="str">
        <f t="shared" si="845"/>
        <v/>
      </c>
      <c r="IO90" s="728" t="str">
        <f t="shared" si="846"/>
        <v/>
      </c>
      <c r="IP90" s="768" t="str">
        <f t="shared" si="847"/>
        <v/>
      </c>
      <c r="IQ90" s="728" t="str">
        <f t="shared" si="848"/>
        <v/>
      </c>
      <c r="IR90" s="768" t="str">
        <f t="shared" si="849"/>
        <v/>
      </c>
      <c r="IS90" s="769" t="str">
        <f t="shared" si="850"/>
        <v/>
      </c>
      <c r="IT90" s="768" t="str">
        <f t="shared" ref="IT90" si="1086">IF(IS90&lt;0,"Invadiu REP-BA-C","")</f>
        <v/>
      </c>
      <c r="IU90" s="769" t="str">
        <f t="shared" si="852"/>
        <v/>
      </c>
      <c r="IV90" s="768" t="str">
        <f t="shared" si="853"/>
        <v/>
      </c>
      <c r="IW90" s="728" t="str">
        <f t="shared" si="854"/>
        <v/>
      </c>
      <c r="IX90" s="768" t="str">
        <f t="shared" si="855"/>
        <v/>
      </c>
      <c r="IY90" s="728" t="str">
        <f t="shared" si="856"/>
        <v/>
      </c>
      <c r="IZ90" s="768" t="str">
        <f t="shared" si="857"/>
        <v/>
      </c>
      <c r="JA90" s="769" t="str">
        <f t="shared" si="858"/>
        <v/>
      </c>
      <c r="JB90" s="768" t="str">
        <f t="shared" ref="JB90" si="1087">IF(JA90&lt;0,"Invadiu REP-BA-C","")</f>
        <v/>
      </c>
      <c r="JC90" s="769" t="str">
        <f t="shared" si="860"/>
        <v/>
      </c>
      <c r="JD90" s="768" t="str">
        <f t="shared" si="861"/>
        <v/>
      </c>
      <c r="JE90" s="728" t="str">
        <f t="shared" si="862"/>
        <v/>
      </c>
      <c r="JF90" s="768" t="str">
        <f t="shared" si="863"/>
        <v/>
      </c>
      <c r="JG90" s="728" t="str">
        <f t="shared" si="864"/>
        <v/>
      </c>
      <c r="JH90" s="768" t="str">
        <f t="shared" si="865"/>
        <v/>
      </c>
      <c r="JI90" s="769" t="str">
        <f t="shared" si="866"/>
        <v/>
      </c>
      <c r="JJ90" s="768" t="str">
        <f t="shared" ref="JJ90" si="1088">IF(JI90&lt;0,"Invadiu REP-BA-C","")</f>
        <v/>
      </c>
      <c r="JK90" s="769" t="str">
        <f t="shared" si="868"/>
        <v/>
      </c>
      <c r="JL90" s="768" t="str">
        <f t="shared" si="869"/>
        <v/>
      </c>
      <c r="JM90" s="728" t="str">
        <f t="shared" si="870"/>
        <v/>
      </c>
      <c r="JN90" s="768" t="str">
        <f t="shared" si="871"/>
        <v/>
      </c>
      <c r="JO90" s="728" t="str">
        <f t="shared" si="872"/>
        <v/>
      </c>
      <c r="JP90" s="768" t="str">
        <f t="shared" si="873"/>
        <v/>
      </c>
      <c r="JQ90" s="769" t="str">
        <f t="shared" si="874"/>
        <v/>
      </c>
      <c r="JR90" s="768" t="str">
        <f t="shared" ref="JR90" si="1089">IF(JQ90&lt;0,"Invadiu REP-BA-C","")</f>
        <v/>
      </c>
      <c r="JS90" s="769" t="str">
        <f t="shared" si="876"/>
        <v/>
      </c>
      <c r="JT90" s="768" t="str">
        <f t="shared" si="877"/>
        <v/>
      </c>
      <c r="JU90" s="728" t="str">
        <f t="shared" si="878"/>
        <v/>
      </c>
      <c r="JV90" s="768" t="str">
        <f t="shared" si="879"/>
        <v/>
      </c>
      <c r="JW90" s="728" t="str">
        <f t="shared" si="880"/>
        <v/>
      </c>
      <c r="JX90" s="768" t="str">
        <f t="shared" si="881"/>
        <v/>
      </c>
      <c r="JY90" s="768" t="str">
        <f t="shared" si="882"/>
        <v/>
      </c>
      <c r="JZ90" s="485" t="str">
        <f>IF(JY90="","",IF(AND(C90=$C$164,JY90&lt;&gt;""),Verificarcpf(D90),IF(AND(C90=$C$165,JY90&lt;&gt;""),VerificarCNPJ(D90))))</f>
        <v/>
      </c>
      <c r="KA90" s="768" t="str">
        <f t="shared" si="883"/>
        <v/>
      </c>
      <c r="KB90" s="485">
        <f t="shared" si="884"/>
        <v>0</v>
      </c>
      <c r="KC90" s="768">
        <f t="shared" si="885"/>
        <v>0</v>
      </c>
      <c r="KD90" s="485">
        <f t="shared" si="886"/>
        <v>0</v>
      </c>
      <c r="KE90" s="448"/>
      <c r="KF90" s="548"/>
      <c r="KG90" s="548"/>
      <c r="KH90" s="548"/>
      <c r="KI90" s="548"/>
      <c r="KJ90" s="548" t="str">
        <f t="shared" si="887"/>
        <v/>
      </c>
      <c r="KK90" s="548"/>
      <c r="KL90" s="548"/>
      <c r="KM90" s="548">
        <f t="array" ref="KM90">IF(SUM((KL90=$KL$3:KL89)*1)=0,KL90,0)</f>
        <v>0</v>
      </c>
      <c r="KN90" s="548"/>
      <c r="KO90" s="548"/>
      <c r="KP90" s="548"/>
      <c r="KQ90" s="548"/>
      <c r="KR90" s="548" t="str">
        <f t="shared" si="888"/>
        <v/>
      </c>
      <c r="KS90" s="548"/>
      <c r="KT90" s="548"/>
      <c r="KU90" s="548"/>
      <c r="KV90" s="548"/>
      <c r="KW90" s="548"/>
      <c r="KX90" s="548"/>
      <c r="KY90" s="548"/>
      <c r="KZ90" s="548"/>
      <c r="LA90" s="548"/>
      <c r="LB90" s="548"/>
      <c r="LC90" s="485" t="str">
        <f t="shared" si="902"/>
        <v/>
      </c>
      <c r="LD90" s="548"/>
      <c r="LE90" s="548"/>
      <c r="LF90" s="548"/>
      <c r="LG90" s="548"/>
      <c r="LH90" s="548"/>
      <c r="LI90" s="548"/>
      <c r="LJ90" s="548"/>
      <c r="LK90" s="548"/>
      <c r="LL90" s="548"/>
      <c r="LM90" s="548"/>
      <c r="LN90" s="548"/>
      <c r="LO90" s="548"/>
      <c r="LP90" s="485" t="str">
        <f t="shared" si="903"/>
        <v/>
      </c>
      <c r="LQ90" s="548"/>
      <c r="LR90" s="548"/>
      <c r="LS90" s="548"/>
      <c r="LT90" s="548"/>
      <c r="LU90" s="548"/>
      <c r="LV90" s="548"/>
      <c r="LW90" s="548"/>
      <c r="LX90" s="548"/>
      <c r="LY90" s="548"/>
      <c r="LZ90" s="548"/>
      <c r="MA90" s="548"/>
      <c r="MB90" s="548"/>
      <c r="MC90" s="485" t="str">
        <f t="shared" si="904"/>
        <v/>
      </c>
      <c r="MD90" s="548"/>
      <c r="ME90" s="548"/>
      <c r="MF90" s="548"/>
      <c r="MG90" s="548"/>
      <c r="MH90" s="548"/>
      <c r="MI90" s="548"/>
      <c r="MJ90" s="548"/>
      <c r="MK90" s="548"/>
      <c r="ML90" s="548"/>
      <c r="MM90" s="548"/>
      <c r="MN90" s="548"/>
      <c r="MO90" s="548"/>
      <c r="MP90" s="485" t="str">
        <f t="shared" si="905"/>
        <v/>
      </c>
      <c r="MQ90" s="548"/>
      <c r="MR90" s="548"/>
      <c r="MS90" s="548"/>
      <c r="MT90" s="548"/>
      <c r="MU90" s="548"/>
      <c r="MV90" s="548"/>
      <c r="MW90" s="548"/>
      <c r="MX90" s="548"/>
      <c r="MY90" s="548"/>
      <c r="MZ90" s="548"/>
      <c r="NA90" s="548"/>
      <c r="NB90" s="548"/>
      <c r="NC90" s="485" t="str">
        <f t="shared" si="906"/>
        <v/>
      </c>
      <c r="ND90" s="548"/>
      <c r="NE90" s="548"/>
      <c r="NF90" s="548"/>
      <c r="NG90" s="548"/>
      <c r="NH90" s="548"/>
      <c r="NI90" s="548"/>
      <c r="NJ90" s="548"/>
      <c r="NK90" s="548"/>
      <c r="NL90" s="548"/>
      <c r="NM90" s="548"/>
      <c r="NN90" s="548"/>
      <c r="NO90" s="548"/>
      <c r="NP90" s="485" t="str">
        <f t="shared" si="907"/>
        <v/>
      </c>
      <c r="NQ90" s="548"/>
      <c r="NR90" s="548"/>
      <c r="NS90" s="548"/>
      <c r="NT90" s="548"/>
      <c r="NU90" s="548"/>
      <c r="NV90" s="548"/>
      <c r="NW90" s="548"/>
      <c r="NX90" s="548"/>
      <c r="NY90" s="548"/>
      <c r="NZ90" s="548"/>
      <c r="OA90" s="548"/>
      <c r="OB90" s="548"/>
      <c r="OC90" s="485" t="str">
        <f t="shared" si="908"/>
        <v/>
      </c>
      <c r="OD90" s="548"/>
      <c r="OE90" s="548"/>
      <c r="OF90" s="548"/>
      <c r="OG90" s="548"/>
      <c r="OH90" s="548"/>
      <c r="OI90" s="548"/>
      <c r="OJ90" s="548"/>
      <c r="OK90" s="548"/>
      <c r="OL90" s="548"/>
      <c r="OM90" s="548"/>
      <c r="ON90" s="548"/>
      <c r="OO90" s="548"/>
      <c r="OP90" s="548"/>
      <c r="OQ90" s="548"/>
      <c r="OR90" s="548"/>
      <c r="OS90" s="548"/>
      <c r="OT90" s="548"/>
      <c r="OU90" s="548"/>
      <c r="OV90" s="548"/>
      <c r="OW90" s="548"/>
      <c r="OX90" s="548"/>
      <c r="OY90" s="548"/>
      <c r="OZ90" s="548"/>
      <c r="PA90" s="548"/>
      <c r="PB90" s="548"/>
      <c r="PC90" s="548"/>
      <c r="PD90" s="548"/>
      <c r="PE90" s="548"/>
      <c r="PF90" s="548"/>
      <c r="PG90" s="548"/>
      <c r="PH90" s="548"/>
      <c r="PI90" s="548"/>
      <c r="PJ90" s="548"/>
      <c r="PK90" s="548"/>
      <c r="PL90" s="548"/>
      <c r="PM90" s="548"/>
      <c r="PN90" s="548"/>
      <c r="PO90" s="548"/>
      <c r="PP90" s="548"/>
      <c r="PQ90" s="548"/>
      <c r="PR90" s="548"/>
      <c r="PS90" s="548"/>
      <c r="PT90" s="548"/>
      <c r="PU90" s="548"/>
      <c r="PV90" s="548"/>
      <c r="PW90" s="548"/>
      <c r="PX90" s="548"/>
      <c r="PY90" s="548"/>
      <c r="PZ90" s="548"/>
      <c r="QA90" s="548"/>
      <c r="QB90" s="548"/>
      <c r="QC90" s="548"/>
      <c r="QD90" s="548"/>
      <c r="QE90" s="548"/>
      <c r="QF90" s="548"/>
      <c r="QG90" s="548"/>
      <c r="QH90" s="548"/>
      <c r="QI90" s="548"/>
      <c r="QJ90" s="548"/>
      <c r="QK90" s="548"/>
      <c r="QL90" s="548"/>
      <c r="QM90" s="548"/>
      <c r="QN90" s="548"/>
      <c r="QO90" s="548"/>
      <c r="QP90" s="548"/>
      <c r="QQ90" s="1009"/>
      <c r="QR90" s="548"/>
      <c r="QS90" s="548"/>
      <c r="QT90" s="548"/>
      <c r="QU90" s="548"/>
      <c r="QV90" s="548"/>
      <c r="QW90" s="548"/>
      <c r="QX90" s="548"/>
      <c r="QY90" s="548"/>
      <c r="QZ90" s="548"/>
      <c r="RA90" s="548"/>
      <c r="RB90" s="548"/>
      <c r="RC90" s="548"/>
      <c r="RD90" s="548"/>
      <c r="RE90" s="548"/>
      <c r="RF90" s="548"/>
      <c r="RG90" s="548"/>
      <c r="RH90" s="548"/>
      <c r="RI90" s="548"/>
      <c r="RJ90" s="548"/>
      <c r="RK90" s="548"/>
      <c r="RL90" s="548"/>
      <c r="RM90" s="548"/>
      <c r="RN90" s="548"/>
      <c r="RO90" s="548"/>
      <c r="RP90" s="548"/>
      <c r="RQ90" s="548"/>
      <c r="RR90" s="548"/>
      <c r="RS90" s="548"/>
      <c r="RT90" s="548"/>
      <c r="RU90" s="548"/>
      <c r="RV90" s="548"/>
      <c r="RW90" s="548"/>
      <c r="RX90" s="548"/>
      <c r="RY90" s="548"/>
      <c r="RZ90" s="548"/>
      <c r="SA90" s="548"/>
      <c r="SB90" s="548"/>
      <c r="SC90" s="548"/>
      <c r="SD90" s="548"/>
      <c r="SE90" s="548"/>
      <c r="SF90" s="548"/>
      <c r="SG90" s="548"/>
      <c r="SH90" s="548"/>
      <c r="SI90" s="548"/>
      <c r="SJ90" s="548"/>
      <c r="SK90" s="548"/>
      <c r="SL90" s="548"/>
      <c r="SM90" s="548"/>
      <c r="SN90" s="548"/>
      <c r="SO90" s="548"/>
      <c r="SP90" s="548"/>
      <c r="SQ90" s="548"/>
      <c r="SR90" s="548"/>
      <c r="SS90" s="548"/>
      <c r="ST90" s="548"/>
      <c r="SU90" s="548"/>
      <c r="SV90" s="548"/>
      <c r="SW90" s="548"/>
      <c r="SX90" s="548"/>
      <c r="SY90" s="548"/>
      <c r="SZ90" s="548"/>
      <c r="TA90" s="548"/>
      <c r="TB90" s="548"/>
      <c r="TC90" s="548"/>
      <c r="TD90" s="548"/>
      <c r="TE90" s="548"/>
      <c r="TF90" s="548"/>
      <c r="TG90" s="548"/>
      <c r="TH90" s="548"/>
      <c r="TI90" s="548"/>
      <c r="TJ90" s="548"/>
      <c r="TK90" s="548"/>
      <c r="TL90" s="548"/>
      <c r="TM90" s="548"/>
      <c r="TN90" s="548"/>
      <c r="TO90" s="548"/>
      <c r="TP90" s="548"/>
      <c r="TQ90" s="548"/>
      <c r="TR90" s="548"/>
      <c r="TS90" s="548"/>
      <c r="TT90" s="548"/>
      <c r="TU90" s="548"/>
      <c r="TV90" s="548"/>
      <c r="TW90" s="548"/>
      <c r="TX90" s="548"/>
      <c r="TY90" s="548"/>
      <c r="TZ90" s="548"/>
      <c r="UA90" s="548"/>
      <c r="UB90" s="548"/>
      <c r="UC90" s="548"/>
      <c r="UD90" s="548"/>
      <c r="UE90" s="548"/>
      <c r="UF90" s="548"/>
      <c r="UG90" s="548"/>
      <c r="UH90" s="548"/>
      <c r="UI90" s="548"/>
      <c r="UJ90" s="548"/>
      <c r="UK90" s="548"/>
      <c r="UL90" s="548"/>
      <c r="UM90" s="548"/>
      <c r="UN90" s="548"/>
      <c r="UO90" s="548"/>
      <c r="UP90" s="548"/>
      <c r="UQ90" s="548"/>
      <c r="UR90" s="548"/>
      <c r="US90" s="548"/>
      <c r="UT90" s="548"/>
      <c r="UU90" s="548"/>
      <c r="UV90" s="548"/>
      <c r="UW90" s="548"/>
      <c r="UX90" s="548"/>
      <c r="UY90" s="548"/>
      <c r="UZ90" s="548"/>
      <c r="VA90" s="548"/>
      <c r="VB90" s="548"/>
      <c r="VC90" s="548"/>
      <c r="VD90" s="548"/>
      <c r="VE90" s="548"/>
      <c r="VF90" s="548"/>
      <c r="VG90" s="548"/>
      <c r="VH90" s="548"/>
      <c r="VI90" s="548"/>
      <c r="VJ90" s="548"/>
      <c r="VK90" s="548"/>
      <c r="VL90" s="548"/>
      <c r="VM90" s="548"/>
      <c r="VN90" s="548"/>
      <c r="VO90" s="548"/>
      <c r="VP90" s="548"/>
      <c r="VQ90" s="548"/>
      <c r="VR90" s="548"/>
      <c r="VS90" s="548"/>
      <c r="VT90" s="548"/>
      <c r="VU90" s="548"/>
      <c r="VV90" s="548"/>
      <c r="VW90" s="548"/>
      <c r="VX90" s="548"/>
      <c r="VY90" s="548"/>
      <c r="VZ90" s="548"/>
      <c r="WA90" s="548"/>
      <c r="WB90" s="548"/>
      <c r="WC90" s="548"/>
      <c r="WD90" s="548"/>
      <c r="WE90" s="548"/>
      <c r="WF90" s="548"/>
      <c r="WG90" s="548"/>
      <c r="WH90" s="548"/>
      <c r="WI90" s="548"/>
      <c r="WJ90" s="548"/>
      <c r="WK90" s="548"/>
      <c r="WL90" s="548"/>
      <c r="WM90" s="548"/>
      <c r="WN90" s="548"/>
      <c r="WO90" s="548"/>
      <c r="WP90" s="548"/>
      <c r="WQ90" s="548"/>
      <c r="WR90" s="548"/>
      <c r="WS90" s="548"/>
      <c r="WT90" s="548"/>
      <c r="WU90" s="548"/>
      <c r="WV90" s="548"/>
      <c r="WW90" s="548"/>
      <c r="WX90" s="548"/>
      <c r="WY90" s="548"/>
      <c r="WZ90" s="548"/>
      <c r="XA90" s="548"/>
      <c r="XB90" s="548"/>
      <c r="XC90" s="548"/>
      <c r="XD90" s="548"/>
      <c r="XE90" s="548"/>
      <c r="XF90" s="548"/>
      <c r="XG90" s="548"/>
      <c r="XH90" s="548"/>
      <c r="XI90" s="548"/>
      <c r="XJ90" s="548"/>
      <c r="XK90" s="548"/>
      <c r="XL90" s="548"/>
      <c r="XM90" s="548"/>
      <c r="XN90" s="548"/>
      <c r="XO90" s="548"/>
      <c r="XP90" s="548"/>
      <c r="XQ90" s="548"/>
      <c r="XR90" s="548"/>
      <c r="XS90" s="548"/>
      <c r="XT90" s="548"/>
      <c r="XU90" s="548"/>
      <c r="XV90" s="548"/>
      <c r="XW90" s="548"/>
      <c r="XX90" s="548"/>
      <c r="XY90" s="548"/>
      <c r="XZ90" s="548"/>
      <c r="YA90" s="548"/>
      <c r="YB90" s="548"/>
      <c r="YC90" s="548"/>
      <c r="YD90" s="548"/>
      <c r="YE90" s="548"/>
      <c r="YF90" s="548"/>
      <c r="YG90" s="548"/>
      <c r="YH90" s="548"/>
      <c r="YI90" s="548"/>
      <c r="YJ90" s="548"/>
      <c r="YK90" s="548"/>
      <c r="YL90" s="548"/>
      <c r="YM90" s="548"/>
      <c r="YN90" s="548"/>
      <c r="YO90" s="548"/>
      <c r="YP90" s="548"/>
      <c r="YQ90" s="548"/>
      <c r="YR90" s="548"/>
      <c r="YS90" s="548"/>
      <c r="YT90" s="548"/>
      <c r="YU90" s="548"/>
      <c r="YV90" s="548"/>
      <c r="YW90" s="548"/>
      <c r="YX90" s="548"/>
      <c r="YY90" s="548"/>
      <c r="YZ90" s="548"/>
      <c r="ZA90" s="548"/>
      <c r="ZB90" s="548"/>
      <c r="ZC90" s="548"/>
      <c r="ZD90" s="548"/>
      <c r="ZE90" s="548"/>
      <c r="ZF90" s="548"/>
      <c r="ZG90" s="548"/>
      <c r="ZH90" s="548"/>
      <c r="ZI90" s="548"/>
      <c r="ZJ90" s="548"/>
      <c r="ZK90" s="548"/>
      <c r="ZL90" s="548"/>
      <c r="ZM90" s="548"/>
      <c r="ZN90" s="548"/>
      <c r="ZO90" s="548"/>
      <c r="ZP90" s="548"/>
      <c r="ZQ90" s="548"/>
      <c r="ZR90" s="548"/>
      <c r="ZS90" s="548"/>
      <c r="ZT90" s="548"/>
      <c r="ZU90" s="548"/>
      <c r="ZV90" s="548"/>
      <c r="ZW90" s="548"/>
      <c r="ZX90" s="548"/>
      <c r="ZY90" s="548"/>
      <c r="ZZ90" s="548"/>
      <c r="AAA90" s="548"/>
      <c r="AAB90" s="548"/>
      <c r="AAC90" s="548"/>
      <c r="AAD90" s="548"/>
      <c r="AAE90" s="548"/>
      <c r="AAF90" s="548"/>
      <c r="AAG90" s="548"/>
      <c r="AAH90" s="548"/>
      <c r="AAI90" s="548"/>
      <c r="AAJ90" s="548"/>
      <c r="AAK90" s="548"/>
      <c r="AAL90" s="548"/>
      <c r="AAM90" s="548"/>
      <c r="AAN90" s="548"/>
      <c r="AAO90" s="548"/>
      <c r="AAP90" s="548"/>
      <c r="AAQ90" s="548"/>
      <c r="AAR90" s="548"/>
      <c r="AAS90" s="548"/>
      <c r="AAT90" s="548"/>
      <c r="AAU90" s="548"/>
      <c r="AAV90" s="548"/>
      <c r="AAW90" s="548"/>
      <c r="AAX90" s="548"/>
      <c r="AAY90" s="548"/>
      <c r="AAZ90" s="548"/>
      <c r="ABA90" s="548"/>
      <c r="ABB90" s="548"/>
      <c r="ABC90" s="548"/>
      <c r="ABD90" s="548"/>
      <c r="ABE90" s="548"/>
      <c r="ABF90" s="548"/>
      <c r="ABG90" s="548"/>
      <c r="ABH90" s="548"/>
      <c r="ABI90" s="548"/>
      <c r="ABJ90" s="548"/>
      <c r="ABK90" s="548"/>
      <c r="ABL90" s="548"/>
      <c r="ABM90" s="548"/>
      <c r="ABN90" s="548"/>
      <c r="ABO90" s="548"/>
      <c r="ABP90" s="548"/>
      <c r="ABQ90" s="548"/>
      <c r="ABR90" s="548"/>
      <c r="ABS90" s="548"/>
    </row>
    <row r="91" spans="1:747" customFormat="1" ht="15" customHeight="1" x14ac:dyDescent="0.2">
      <c r="A91" s="424" t="str">
        <f t="shared" si="909"/>
        <v/>
      </c>
      <c r="B91" s="415"/>
      <c r="C91" s="525"/>
      <c r="D91" s="750"/>
      <c r="E91" s="416" t="str">
        <f t="shared" si="751"/>
        <v/>
      </c>
      <c r="F91" s="527" t="str">
        <f t="shared" si="752"/>
        <v/>
      </c>
      <c r="G91" s="417"/>
      <c r="H91" s="585" t="str">
        <f t="shared" si="753"/>
        <v/>
      </c>
      <c r="I91" s="424"/>
      <c r="J91" s="419"/>
      <c r="K91" s="418"/>
      <c r="L91" s="419"/>
      <c r="M91" s="415"/>
      <c r="N91" s="420"/>
      <c r="O91" s="421"/>
      <c r="P91" s="561"/>
      <c r="Q91" s="422"/>
      <c r="R91" s="561" t="str">
        <f t="shared" si="754"/>
        <v/>
      </c>
      <c r="S91" s="664"/>
      <c r="T91" s="663"/>
      <c r="U91" s="580">
        <f t="shared" si="755"/>
        <v>0</v>
      </c>
      <c r="V91" s="418"/>
      <c r="W91" s="582" t="str">
        <f t="shared" si="756"/>
        <v/>
      </c>
      <c r="X91" s="479" t="str">
        <f t="shared" si="757"/>
        <v/>
      </c>
      <c r="Y91" s="582" t="str">
        <f t="shared" si="758"/>
        <v/>
      </c>
      <c r="Z91" s="317" t="str">
        <f t="shared" si="759"/>
        <v/>
      </c>
      <c r="AA91" s="317" t="str">
        <f t="shared" si="760"/>
        <v/>
      </c>
      <c r="AB91" s="317">
        <f t="shared" si="761"/>
        <v>0</v>
      </c>
      <c r="AC91" s="317" t="str">
        <f t="shared" si="762"/>
        <v/>
      </c>
      <c r="AD91" s="479"/>
      <c r="AE91" s="479"/>
      <c r="AF91" s="479"/>
      <c r="AG91" s="423"/>
      <c r="AH91" s="820"/>
      <c r="AI91" s="437"/>
      <c r="AJ91" s="660"/>
      <c r="AK91" s="524" t="str">
        <f t="shared" si="763"/>
        <v/>
      </c>
      <c r="AL91" s="731">
        <f>SUMIF($J$4:$J$74,"Grêmio",$S$4:$S$74)</f>
        <v>0</v>
      </c>
      <c r="AM91" s="732">
        <f>SUMIF($J$4:$J$74,"Grêmio",$T$4:$T$74)</f>
        <v>0</v>
      </c>
      <c r="AN91" s="426">
        <f t="shared" si="764"/>
        <v>0</v>
      </c>
      <c r="AO91" s="427" t="str">
        <f t="shared" si="765"/>
        <v/>
      </c>
      <c r="AP91" s="426" t="str">
        <f t="shared" si="766"/>
        <v/>
      </c>
      <c r="AQ91" s="426"/>
      <c r="AR91" s="426"/>
      <c r="AS91" s="428"/>
      <c r="AT91" s="429"/>
      <c r="AU91" s="430"/>
      <c r="AV91" s="431"/>
      <c r="AW91" s="432"/>
      <c r="AX91" s="430"/>
      <c r="AY91" s="431">
        <f t="shared" si="767"/>
        <v>0</v>
      </c>
      <c r="AZ91" s="426"/>
      <c r="BA91" s="435" t="str">
        <f t="shared" si="768"/>
        <v/>
      </c>
      <c r="BB91" s="435"/>
      <c r="BC91" s="426"/>
      <c r="BD91" s="426">
        <f t="array" ref="BD91">IF(SUM((BC91=$BC$3:BC90)*1)=0,BC91,0)</f>
        <v>0</v>
      </c>
      <c r="BE91" s="426"/>
      <c r="BF91" s="426"/>
      <c r="BG91" s="426">
        <f t="array" ref="BG91">IF(SUM((BF91=$BF$3:BF90)*1)=0,BF91,0)</f>
        <v>0</v>
      </c>
      <c r="BH91" s="426"/>
      <c r="BI91" s="426"/>
      <c r="BJ91" s="426"/>
      <c r="BK91" s="426"/>
      <c r="BL91" s="426"/>
      <c r="BM91" s="426"/>
      <c r="BN91" s="426"/>
      <c r="BO91" s="426"/>
      <c r="BP91" s="433">
        <f t="shared" si="769"/>
        <v>0</v>
      </c>
      <c r="BQ91" s="426"/>
      <c r="BR91" s="434"/>
      <c r="BS91" s="426"/>
      <c r="BT91" s="433"/>
      <c r="BU91" s="435"/>
      <c r="BV91" s="435" t="str">
        <f t="shared" si="770"/>
        <v/>
      </c>
      <c r="BW91" s="435" t="str">
        <f t="shared" si="798"/>
        <v/>
      </c>
      <c r="BX91" s="435"/>
      <c r="BY91" s="435"/>
      <c r="BZ91" s="435"/>
      <c r="CA91" s="435"/>
      <c r="CB91" s="435"/>
      <c r="CC91" s="435"/>
      <c r="CD91" s="435"/>
      <c r="CE91" s="435"/>
      <c r="CF91" s="435"/>
      <c r="CG91" s="435"/>
      <c r="CH91" s="435"/>
      <c r="CI91" s="435"/>
      <c r="CJ91" s="426" t="str">
        <f t="shared" si="799"/>
        <v/>
      </c>
      <c r="CK91" s="435"/>
      <c r="CL91" s="426"/>
      <c r="CM91" s="435"/>
      <c r="CN91" s="426"/>
      <c r="CO91" s="426"/>
      <c r="CP91" s="426"/>
      <c r="CQ91" s="426"/>
      <c r="CR91" s="426"/>
      <c r="CS91" s="426"/>
      <c r="CT91" s="426"/>
      <c r="CU91" s="426"/>
      <c r="CV91" s="426"/>
      <c r="CW91" s="493"/>
      <c r="CX91" s="493"/>
      <c r="CY91" s="426">
        <v>88</v>
      </c>
      <c r="CZ91" s="493"/>
      <c r="DA91" s="493"/>
      <c r="DB91" s="493"/>
      <c r="DC91" s="426" t="s">
        <v>831</v>
      </c>
      <c r="DD91" s="426" t="s">
        <v>991</v>
      </c>
      <c r="DE91" s="435" t="str">
        <f t="shared" si="800"/>
        <v/>
      </c>
      <c r="DF91" s="435" t="str">
        <f t="shared" si="801"/>
        <v/>
      </c>
      <c r="DG91" s="435" t="str">
        <f t="shared" si="802"/>
        <v/>
      </c>
      <c r="DH91" s="435" t="str">
        <f t="shared" si="803"/>
        <v/>
      </c>
      <c r="DI91" s="435" t="str">
        <f t="shared" si="804"/>
        <v/>
      </c>
      <c r="DJ91" s="435" t="str">
        <f t="shared" si="805"/>
        <v/>
      </c>
      <c r="DK91" s="435" t="str">
        <f t="shared" si="771"/>
        <v/>
      </c>
      <c r="DL91" s="435" t="str">
        <f t="shared" si="772"/>
        <v/>
      </c>
      <c r="DM91" s="435" t="str">
        <f t="shared" si="806"/>
        <v/>
      </c>
      <c r="DN91" s="435" t="str">
        <f t="shared" si="807"/>
        <v/>
      </c>
      <c r="DO91" s="435" t="str">
        <f t="shared" si="773"/>
        <v/>
      </c>
      <c r="DP91" s="435" t="str">
        <f t="shared" si="774"/>
        <v/>
      </c>
      <c r="DQ91" s="435" t="str">
        <f t="shared" si="808"/>
        <v/>
      </c>
      <c r="DR91" s="435" t="str">
        <f t="shared" si="809"/>
        <v/>
      </c>
      <c r="DS91" s="435" t="str">
        <f t="shared" si="775"/>
        <v/>
      </c>
      <c r="DT91" s="435" t="str">
        <f t="shared" si="776"/>
        <v/>
      </c>
      <c r="DU91" s="435" t="str">
        <f t="shared" si="810"/>
        <v/>
      </c>
      <c r="DV91" s="435" t="str">
        <f t="shared" si="811"/>
        <v/>
      </c>
      <c r="DW91" s="435" t="str">
        <f t="shared" si="777"/>
        <v/>
      </c>
      <c r="DX91" s="435" t="str">
        <f t="shared" si="778"/>
        <v/>
      </c>
      <c r="DY91" s="435" t="str">
        <f t="shared" si="812"/>
        <v/>
      </c>
      <c r="DZ91" s="435" t="str">
        <f t="shared" si="813"/>
        <v/>
      </c>
      <c r="EA91" s="435" t="str">
        <f t="shared" si="779"/>
        <v/>
      </c>
      <c r="EB91" s="435" t="str">
        <f t="shared" si="780"/>
        <v/>
      </c>
      <c r="EC91" s="435" t="str">
        <f t="shared" si="781"/>
        <v/>
      </c>
      <c r="ED91" s="435" t="str">
        <f t="shared" si="782"/>
        <v/>
      </c>
      <c r="EE91" s="435" t="str">
        <f t="shared" si="783"/>
        <v/>
      </c>
      <c r="EF91" s="435" t="str">
        <f t="shared" si="784"/>
        <v/>
      </c>
      <c r="EG91" s="435" t="str">
        <f t="shared" si="785"/>
        <v/>
      </c>
      <c r="EH91" s="435" t="str">
        <f t="shared" si="786"/>
        <v/>
      </c>
      <c r="EI91" s="435" t="str">
        <f t="shared" si="787"/>
        <v/>
      </c>
      <c r="EJ91" s="435" t="str">
        <f t="shared" si="788"/>
        <v/>
      </c>
      <c r="EK91" s="485"/>
      <c r="EL91" s="485"/>
      <c r="EM91" s="485"/>
      <c r="EN91" s="485"/>
      <c r="EO91" s="448"/>
      <c r="EP91" s="448"/>
      <c r="EQ91" s="448"/>
      <c r="ER91" s="448"/>
      <c r="ES91" s="448"/>
      <c r="ET91" s="435"/>
      <c r="EU91" s="435"/>
      <c r="EV91" s="435"/>
      <c r="EW91" s="435"/>
      <c r="EX91" s="426"/>
      <c r="EY91" s="426"/>
      <c r="EZ91" s="426"/>
      <c r="FA91" s="863"/>
      <c r="FB91" s="427">
        <f t="array" ref="FB91">IF(SUM((FA91=$FA$3:FA90)*1)=0,FA91,0)</f>
        <v>0</v>
      </c>
      <c r="FC91" s="863"/>
      <c r="FD91" s="863"/>
      <c r="FE91" s="863">
        <f t="array" ref="FE91">IF(SUM((FD91=$FD$3:FD90)*1)=0,FD91,0)</f>
        <v>0</v>
      </c>
      <c r="FF91" s="863"/>
      <c r="FG91" s="863"/>
      <c r="FH91" s="863"/>
      <c r="FI91" s="427">
        <f t="array" ref="FI91">IF(SUM((FH91=$FH$3:FH90)*1)=0,FH91,0)</f>
        <v>0</v>
      </c>
      <c r="FJ91" s="863"/>
      <c r="FK91" s="863"/>
      <c r="FL91" s="863">
        <f t="array" ref="FL91">IF(SUM((FK91=$FK$3:FK90)*1)=0,FK91,0)</f>
        <v>0</v>
      </c>
      <c r="FM91" s="863"/>
      <c r="FN91" s="863"/>
      <c r="FO91" s="863"/>
      <c r="FP91" s="427">
        <f t="array" ref="FP91">IF(SUM((FO91=$FO$3:FO90)*1)=0,FO91,0)</f>
        <v>0</v>
      </c>
      <c r="FQ91" s="863"/>
      <c r="FR91" s="863"/>
      <c r="FS91" s="863">
        <f t="array" ref="FS91">IF(SUM((FR91=$FR$3:FR90)*1)=0,FR91,0)</f>
        <v>0</v>
      </c>
      <c r="FT91" s="863"/>
      <c r="FU91" s="863"/>
      <c r="FV91" s="863"/>
      <c r="FW91" s="427">
        <f t="array" ref="FW91">IF(SUM((FV91=$FV$3:FV90)*1)=0,FV91,0)</f>
        <v>0</v>
      </c>
      <c r="FX91" s="863"/>
      <c r="FY91" s="863"/>
      <c r="FZ91" s="863">
        <f t="array" ref="FZ91">IF(SUM((FY91=$FY$3:FY90)*1)=0,FY91,0)</f>
        <v>0</v>
      </c>
      <c r="GA91" s="863"/>
      <c r="GB91" s="863"/>
      <c r="GC91" s="863"/>
      <c r="GD91" s="427">
        <f t="array" ref="GD91">IF(SUM((GC91=$GC$3:GC90)*1)=0,GC91,0)</f>
        <v>0</v>
      </c>
      <c r="GE91" s="863"/>
      <c r="GF91" s="863"/>
      <c r="GG91" s="863">
        <f t="array" ref="GG91">IF(SUM((GF91=$GF$3:GF90)*1)=0,GF91,0)</f>
        <v>0</v>
      </c>
      <c r="GH91" s="863"/>
      <c r="GI91" s="863"/>
      <c r="GJ91" s="863"/>
      <c r="GK91" s="798">
        <f t="array" ref="GK91">IF(SUM((GJ91=$GJ$3:GJ90)*1)=0,GJ91,0)</f>
        <v>0</v>
      </c>
      <c r="GL91" s="863"/>
      <c r="GM91" s="863"/>
      <c r="GN91" s="798">
        <f t="array" ref="GN91">IF(SUM((GM91=$GM$3:GM90)*1)=0,GM91,0)</f>
        <v>0</v>
      </c>
      <c r="GO91" s="863"/>
      <c r="GP91" s="863"/>
      <c r="GQ91" s="863"/>
      <c r="GR91" s="798">
        <f t="array" ref="GR91">IF(SUM((GQ91=$GQ$3:GQ90)*1)=0,GQ91,0)</f>
        <v>0</v>
      </c>
      <c r="GS91" s="863"/>
      <c r="GT91" s="863"/>
      <c r="GU91" s="798">
        <f t="array" ref="GU91">IF(SUM((GT91=$GT$3:GT90)*1)=0,GT91,0)</f>
        <v>0</v>
      </c>
      <c r="GV91" s="863"/>
      <c r="GW91" s="863"/>
      <c r="GX91" s="863"/>
      <c r="GY91" s="798">
        <f t="array" ref="GY91">IF(SUM((GX91=$GX$3:GX90)*1)=0,GX91,0)</f>
        <v>0</v>
      </c>
      <c r="GZ91" s="863"/>
      <c r="HA91" s="863"/>
      <c r="HB91" s="798">
        <f t="array" ref="HB91">IF(SUM((HA91=$HA$3:HA90)*1)=0,HA91,0)</f>
        <v>0</v>
      </c>
      <c r="HC91" s="863"/>
      <c r="HD91" s="863"/>
      <c r="HE91" s="769" t="str">
        <f t="shared" si="889"/>
        <v/>
      </c>
      <c r="HF91" s="768" t="str">
        <f t="shared" ref="HF91" si="1090">IF(HE91&lt;0,"Invadiu REP-BA-C","")</f>
        <v/>
      </c>
      <c r="HG91" s="769" t="str">
        <f t="shared" si="891"/>
        <v/>
      </c>
      <c r="HH91" s="768" t="str">
        <f t="shared" si="815"/>
        <v/>
      </c>
      <c r="HI91" s="728" t="str">
        <f t="shared" si="892"/>
        <v/>
      </c>
      <c r="HJ91" s="768" t="str">
        <f t="shared" si="816"/>
        <v/>
      </c>
      <c r="HK91" s="728" t="str">
        <f t="shared" si="893"/>
        <v/>
      </c>
      <c r="HL91" s="768" t="str">
        <f t="shared" si="817"/>
        <v/>
      </c>
      <c r="HM91" s="769" t="str">
        <f t="shared" si="818"/>
        <v/>
      </c>
      <c r="HN91" s="768" t="str">
        <f t="shared" ref="HN91" si="1091">IF(HM91&lt;0,"Invadiu REP-BA-C","")</f>
        <v/>
      </c>
      <c r="HO91" s="769" t="str">
        <f t="shared" si="820"/>
        <v/>
      </c>
      <c r="HP91" s="768" t="str">
        <f t="shared" si="821"/>
        <v/>
      </c>
      <c r="HQ91" s="728" t="str">
        <f t="shared" si="822"/>
        <v/>
      </c>
      <c r="HR91" s="768" t="str">
        <f t="shared" si="823"/>
        <v/>
      </c>
      <c r="HS91" s="728" t="str">
        <f t="shared" si="824"/>
        <v/>
      </c>
      <c r="HT91" s="768" t="str">
        <f t="shared" si="825"/>
        <v/>
      </c>
      <c r="HU91" s="769" t="str">
        <f t="shared" si="826"/>
        <v/>
      </c>
      <c r="HV91" s="768" t="str">
        <f t="shared" ref="HV91" si="1092">IF(HU91&lt;0,"Invadiu REP-BA-C","")</f>
        <v/>
      </c>
      <c r="HW91" s="769" t="str">
        <f t="shared" si="828"/>
        <v/>
      </c>
      <c r="HX91" s="768" t="str">
        <f t="shared" si="829"/>
        <v/>
      </c>
      <c r="HY91" s="728" t="str">
        <f t="shared" si="830"/>
        <v/>
      </c>
      <c r="HZ91" s="768" t="str">
        <f t="shared" si="831"/>
        <v/>
      </c>
      <c r="IA91" s="728" t="str">
        <f t="shared" si="832"/>
        <v/>
      </c>
      <c r="IB91" s="768" t="str">
        <f t="shared" si="833"/>
        <v/>
      </c>
      <c r="IC91" s="769" t="str">
        <f t="shared" si="834"/>
        <v/>
      </c>
      <c r="ID91" s="768" t="str">
        <f t="shared" ref="ID91" si="1093">IF(IC91&lt;0,"Invadiu REP-BA-C","")</f>
        <v/>
      </c>
      <c r="IE91" s="769" t="str">
        <f t="shared" si="836"/>
        <v/>
      </c>
      <c r="IF91" s="768" t="str">
        <f t="shared" si="837"/>
        <v/>
      </c>
      <c r="IG91" s="728" t="str">
        <f t="shared" si="838"/>
        <v/>
      </c>
      <c r="IH91" s="768" t="str">
        <f t="shared" si="839"/>
        <v/>
      </c>
      <c r="II91" s="728" t="str">
        <f t="shared" si="840"/>
        <v/>
      </c>
      <c r="IJ91" s="768" t="str">
        <f t="shared" si="841"/>
        <v/>
      </c>
      <c r="IK91" s="769" t="str">
        <f t="shared" si="842"/>
        <v/>
      </c>
      <c r="IL91" s="768" t="str">
        <f t="shared" ref="IL91" si="1094">IF(IK91&lt;0,"Invadiu REP-BA-C","")</f>
        <v/>
      </c>
      <c r="IM91" s="769" t="str">
        <f t="shared" si="844"/>
        <v/>
      </c>
      <c r="IN91" s="768" t="str">
        <f t="shared" si="845"/>
        <v/>
      </c>
      <c r="IO91" s="728" t="str">
        <f t="shared" si="846"/>
        <v/>
      </c>
      <c r="IP91" s="768" t="str">
        <f t="shared" si="847"/>
        <v/>
      </c>
      <c r="IQ91" s="728" t="str">
        <f t="shared" si="848"/>
        <v/>
      </c>
      <c r="IR91" s="768" t="str">
        <f t="shared" si="849"/>
        <v/>
      </c>
      <c r="IS91" s="769" t="str">
        <f t="shared" si="850"/>
        <v/>
      </c>
      <c r="IT91" s="768" t="str">
        <f t="shared" ref="IT91" si="1095">IF(IS91&lt;0,"Invadiu REP-BA-C","")</f>
        <v/>
      </c>
      <c r="IU91" s="769" t="str">
        <f t="shared" si="852"/>
        <v/>
      </c>
      <c r="IV91" s="768" t="str">
        <f t="shared" si="853"/>
        <v/>
      </c>
      <c r="IW91" s="728" t="str">
        <f t="shared" si="854"/>
        <v/>
      </c>
      <c r="IX91" s="768" t="str">
        <f t="shared" si="855"/>
        <v/>
      </c>
      <c r="IY91" s="728" t="str">
        <f t="shared" si="856"/>
        <v/>
      </c>
      <c r="IZ91" s="768" t="str">
        <f t="shared" si="857"/>
        <v/>
      </c>
      <c r="JA91" s="769" t="str">
        <f t="shared" si="858"/>
        <v/>
      </c>
      <c r="JB91" s="768" t="str">
        <f t="shared" ref="JB91" si="1096">IF(JA91&lt;0,"Invadiu REP-BA-C","")</f>
        <v/>
      </c>
      <c r="JC91" s="769" t="str">
        <f t="shared" si="860"/>
        <v/>
      </c>
      <c r="JD91" s="768" t="str">
        <f t="shared" si="861"/>
        <v/>
      </c>
      <c r="JE91" s="728" t="str">
        <f t="shared" si="862"/>
        <v/>
      </c>
      <c r="JF91" s="768" t="str">
        <f t="shared" si="863"/>
        <v/>
      </c>
      <c r="JG91" s="728" t="str">
        <f t="shared" si="864"/>
        <v/>
      </c>
      <c r="JH91" s="768" t="str">
        <f t="shared" si="865"/>
        <v/>
      </c>
      <c r="JI91" s="769" t="str">
        <f t="shared" si="866"/>
        <v/>
      </c>
      <c r="JJ91" s="768" t="str">
        <f t="shared" ref="JJ91" si="1097">IF(JI91&lt;0,"Invadiu REP-BA-C","")</f>
        <v/>
      </c>
      <c r="JK91" s="769" t="str">
        <f t="shared" si="868"/>
        <v/>
      </c>
      <c r="JL91" s="768" t="str">
        <f t="shared" si="869"/>
        <v/>
      </c>
      <c r="JM91" s="728" t="str">
        <f t="shared" si="870"/>
        <v/>
      </c>
      <c r="JN91" s="768" t="str">
        <f t="shared" si="871"/>
        <v/>
      </c>
      <c r="JO91" s="728" t="str">
        <f t="shared" si="872"/>
        <v/>
      </c>
      <c r="JP91" s="768" t="str">
        <f t="shared" si="873"/>
        <v/>
      </c>
      <c r="JQ91" s="769" t="str">
        <f t="shared" si="874"/>
        <v/>
      </c>
      <c r="JR91" s="768" t="str">
        <f t="shared" ref="JR91" si="1098">IF(JQ91&lt;0,"Invadiu REP-BA-C","")</f>
        <v/>
      </c>
      <c r="JS91" s="769" t="str">
        <f t="shared" si="876"/>
        <v/>
      </c>
      <c r="JT91" s="768" t="str">
        <f t="shared" si="877"/>
        <v/>
      </c>
      <c r="JU91" s="728" t="str">
        <f t="shared" si="878"/>
        <v/>
      </c>
      <c r="JV91" s="768" t="str">
        <f t="shared" si="879"/>
        <v/>
      </c>
      <c r="JW91" s="728" t="str">
        <f t="shared" si="880"/>
        <v/>
      </c>
      <c r="JX91" s="768" t="str">
        <f t="shared" si="881"/>
        <v/>
      </c>
      <c r="JY91" s="768" t="str">
        <f t="shared" si="882"/>
        <v/>
      </c>
      <c r="JZ91" s="485" t="str">
        <f>IF(JY91="","",IF(AND(C91=$C$164,JY91&lt;&gt;""),Verificarcpf(D91),IF(AND(C91=$C$165,JY91&lt;&gt;""),VerificarCNPJ(D91))))</f>
        <v/>
      </c>
      <c r="KA91" s="768" t="str">
        <f t="shared" si="883"/>
        <v/>
      </c>
      <c r="KB91" s="485">
        <f t="shared" si="884"/>
        <v>0</v>
      </c>
      <c r="KC91" s="768">
        <f t="shared" si="885"/>
        <v>0</v>
      </c>
      <c r="KD91" s="485">
        <f t="shared" si="886"/>
        <v>0</v>
      </c>
      <c r="KE91" s="448"/>
      <c r="KF91" s="548"/>
      <c r="KG91" s="548"/>
      <c r="KH91" s="548"/>
      <c r="KI91" s="548"/>
      <c r="KJ91" s="548" t="str">
        <f t="shared" si="887"/>
        <v/>
      </c>
      <c r="KK91" s="548"/>
      <c r="KL91" s="548"/>
      <c r="KM91" s="548">
        <f t="array" ref="KM91">IF(SUM((KL91=$KL$3:KL90)*1)=0,KL91,0)</f>
        <v>0</v>
      </c>
      <c r="KN91" s="548"/>
      <c r="KO91" s="548"/>
      <c r="KP91" s="548"/>
      <c r="KQ91" s="548"/>
      <c r="KR91" s="548" t="str">
        <f t="shared" si="888"/>
        <v/>
      </c>
      <c r="KS91" s="548"/>
      <c r="KT91" s="548"/>
      <c r="KU91" s="548"/>
      <c r="KV91" s="548"/>
      <c r="KW91" s="548"/>
      <c r="KX91" s="548"/>
      <c r="KY91" s="548"/>
      <c r="KZ91" s="548"/>
      <c r="LA91" s="548"/>
      <c r="LB91" s="548"/>
      <c r="LC91" s="485" t="str">
        <f t="shared" si="902"/>
        <v/>
      </c>
      <c r="LD91" s="548"/>
      <c r="LE91" s="548"/>
      <c r="LF91" s="548"/>
      <c r="LG91" s="548"/>
      <c r="LH91" s="548"/>
      <c r="LI91" s="548"/>
      <c r="LJ91" s="548"/>
      <c r="LK91" s="548"/>
      <c r="LL91" s="548"/>
      <c r="LM91" s="548"/>
      <c r="LN91" s="548"/>
      <c r="LO91" s="548"/>
      <c r="LP91" s="485" t="str">
        <f t="shared" si="903"/>
        <v/>
      </c>
      <c r="LQ91" s="548"/>
      <c r="LR91" s="548"/>
      <c r="LS91" s="548"/>
      <c r="LT91" s="548"/>
      <c r="LU91" s="548"/>
      <c r="LV91" s="548"/>
      <c r="LW91" s="548"/>
      <c r="LX91" s="548"/>
      <c r="LY91" s="548"/>
      <c r="LZ91" s="548"/>
      <c r="MA91" s="548"/>
      <c r="MB91" s="548"/>
      <c r="MC91" s="485" t="str">
        <f t="shared" si="904"/>
        <v/>
      </c>
      <c r="MD91" s="548"/>
      <c r="ME91" s="548"/>
      <c r="MF91" s="548"/>
      <c r="MG91" s="548"/>
      <c r="MH91" s="548"/>
      <c r="MI91" s="548"/>
      <c r="MJ91" s="548"/>
      <c r="MK91" s="548"/>
      <c r="ML91" s="548"/>
      <c r="MM91" s="548"/>
      <c r="MN91" s="548"/>
      <c r="MO91" s="548"/>
      <c r="MP91" s="485" t="str">
        <f t="shared" si="905"/>
        <v/>
      </c>
      <c r="MQ91" s="548"/>
      <c r="MR91" s="548"/>
      <c r="MS91" s="548"/>
      <c r="MT91" s="548"/>
      <c r="MU91" s="548"/>
      <c r="MV91" s="548"/>
      <c r="MW91" s="548"/>
      <c r="MX91" s="548"/>
      <c r="MY91" s="548"/>
      <c r="MZ91" s="548"/>
      <c r="NA91" s="548"/>
      <c r="NB91" s="548"/>
      <c r="NC91" s="485" t="str">
        <f t="shared" si="906"/>
        <v/>
      </c>
      <c r="ND91" s="548"/>
      <c r="NE91" s="548"/>
      <c r="NF91" s="548"/>
      <c r="NG91" s="548"/>
      <c r="NH91" s="548"/>
      <c r="NI91" s="548"/>
      <c r="NJ91" s="548"/>
      <c r="NK91" s="548"/>
      <c r="NL91" s="548"/>
      <c r="NM91" s="548"/>
      <c r="NN91" s="548"/>
      <c r="NO91" s="548"/>
      <c r="NP91" s="485" t="str">
        <f t="shared" si="907"/>
        <v/>
      </c>
      <c r="NQ91" s="548"/>
      <c r="NR91" s="548"/>
      <c r="NS91" s="548"/>
      <c r="NT91" s="548"/>
      <c r="NU91" s="548"/>
      <c r="NV91" s="548"/>
      <c r="NW91" s="548"/>
      <c r="NX91" s="548"/>
      <c r="NY91" s="548"/>
      <c r="NZ91" s="548"/>
      <c r="OA91" s="548"/>
      <c r="OB91" s="548"/>
      <c r="OC91" s="485" t="str">
        <f t="shared" si="908"/>
        <v/>
      </c>
      <c r="OD91" s="548"/>
      <c r="OE91" s="548"/>
      <c r="OF91" s="548"/>
      <c r="OG91" s="548"/>
      <c r="OH91" s="548"/>
      <c r="OI91" s="548"/>
      <c r="OJ91" s="548"/>
      <c r="OK91" s="548"/>
      <c r="OL91" s="548"/>
      <c r="OM91" s="548"/>
      <c r="ON91" s="548"/>
      <c r="OO91" s="548"/>
      <c r="OP91" s="548"/>
      <c r="OQ91" s="548"/>
      <c r="OR91" s="548"/>
      <c r="OS91" s="548"/>
      <c r="OT91" s="548"/>
      <c r="OU91" s="548"/>
      <c r="OV91" s="548"/>
      <c r="OW91" s="548"/>
      <c r="OX91" s="548"/>
      <c r="OY91" s="548"/>
      <c r="OZ91" s="548"/>
      <c r="PA91" s="548"/>
      <c r="PB91" s="548"/>
      <c r="PC91" s="548"/>
      <c r="PD91" s="548"/>
      <c r="PE91" s="548"/>
      <c r="PF91" s="548"/>
      <c r="PG91" s="548"/>
      <c r="PH91" s="548"/>
      <c r="PI91" s="548"/>
      <c r="PJ91" s="548"/>
      <c r="PK91" s="548"/>
      <c r="PL91" s="548"/>
      <c r="PM91" s="548"/>
      <c r="PN91" s="548"/>
      <c r="PO91" s="548"/>
      <c r="PP91" s="548"/>
      <c r="PQ91" s="548"/>
      <c r="PR91" s="548"/>
      <c r="PS91" s="548"/>
      <c r="PT91" s="548"/>
      <c r="PU91" s="548"/>
      <c r="PV91" s="548"/>
      <c r="PW91" s="548"/>
      <c r="PX91" s="548"/>
      <c r="PY91" s="548"/>
      <c r="PZ91" s="548"/>
      <c r="QA91" s="548"/>
      <c r="QB91" s="548"/>
      <c r="QC91" s="548"/>
      <c r="QD91" s="548"/>
      <c r="QE91" s="548"/>
      <c r="QF91" s="548"/>
      <c r="QG91" s="548"/>
      <c r="QH91" s="548"/>
      <c r="QI91" s="548"/>
      <c r="QJ91" s="548"/>
      <c r="QK91" s="548"/>
      <c r="QL91" s="548"/>
      <c r="QM91" s="548"/>
      <c r="QN91" s="548"/>
      <c r="QO91" s="548"/>
      <c r="QP91" s="548"/>
      <c r="QQ91" s="1009"/>
      <c r="QR91" s="548"/>
      <c r="QS91" s="548"/>
      <c r="QT91" s="548"/>
      <c r="QU91" s="548"/>
      <c r="QV91" s="548"/>
      <c r="QW91" s="548"/>
      <c r="QX91" s="548"/>
      <c r="QY91" s="548"/>
      <c r="QZ91" s="548"/>
      <c r="RA91" s="548"/>
      <c r="RB91" s="548"/>
      <c r="RC91" s="548"/>
      <c r="RD91" s="548"/>
      <c r="RE91" s="548"/>
      <c r="RF91" s="548"/>
      <c r="RG91" s="548"/>
      <c r="RH91" s="548"/>
      <c r="RI91" s="548"/>
      <c r="RJ91" s="548"/>
      <c r="RK91" s="548"/>
      <c r="RL91" s="548"/>
      <c r="RM91" s="548"/>
      <c r="RN91" s="548"/>
      <c r="RO91" s="548"/>
      <c r="RP91" s="548"/>
      <c r="RQ91" s="548"/>
      <c r="RR91" s="548"/>
      <c r="RS91" s="548"/>
      <c r="RT91" s="548"/>
      <c r="RU91" s="548"/>
      <c r="RV91" s="548"/>
      <c r="RW91" s="548"/>
      <c r="RX91" s="548"/>
      <c r="RY91" s="548"/>
      <c r="RZ91" s="548"/>
      <c r="SA91" s="548"/>
      <c r="SB91" s="548"/>
      <c r="SC91" s="548"/>
      <c r="SD91" s="548"/>
      <c r="SE91" s="548"/>
      <c r="SF91" s="548"/>
      <c r="SG91" s="548"/>
      <c r="SH91" s="548"/>
      <c r="SI91" s="548"/>
      <c r="SJ91" s="548"/>
      <c r="SK91" s="548"/>
      <c r="SL91" s="548"/>
      <c r="SM91" s="548"/>
      <c r="SN91" s="548"/>
      <c r="SO91" s="548"/>
      <c r="SP91" s="548"/>
      <c r="SQ91" s="548"/>
      <c r="SR91" s="548"/>
      <c r="SS91" s="548"/>
      <c r="ST91" s="548"/>
      <c r="SU91" s="548"/>
      <c r="SV91" s="548"/>
      <c r="SW91" s="548"/>
      <c r="SX91" s="548"/>
      <c r="SY91" s="548"/>
      <c r="SZ91" s="548"/>
      <c r="TA91" s="548"/>
      <c r="TB91" s="548"/>
      <c r="TC91" s="548"/>
      <c r="TD91" s="548"/>
      <c r="TE91" s="548"/>
      <c r="TF91" s="548"/>
      <c r="TG91" s="548"/>
      <c r="TH91" s="548"/>
      <c r="TI91" s="548"/>
      <c r="TJ91" s="548"/>
      <c r="TK91" s="548"/>
      <c r="TL91" s="548"/>
      <c r="TM91" s="548"/>
      <c r="TN91" s="548"/>
      <c r="TO91" s="548"/>
      <c r="TP91" s="548"/>
      <c r="TQ91" s="548"/>
      <c r="TR91" s="548"/>
      <c r="TS91" s="548"/>
      <c r="TT91" s="548"/>
      <c r="TU91" s="548"/>
      <c r="TV91" s="548"/>
      <c r="TW91" s="548"/>
      <c r="TX91" s="548"/>
      <c r="TY91" s="548"/>
      <c r="TZ91" s="548"/>
      <c r="UA91" s="548"/>
      <c r="UB91" s="548"/>
      <c r="UC91" s="548"/>
      <c r="UD91" s="548"/>
      <c r="UE91" s="548"/>
      <c r="UF91" s="548"/>
      <c r="UG91" s="548"/>
      <c r="UH91" s="548"/>
      <c r="UI91" s="548"/>
      <c r="UJ91" s="548"/>
      <c r="UK91" s="548"/>
      <c r="UL91" s="548"/>
      <c r="UM91" s="548"/>
      <c r="UN91" s="548"/>
      <c r="UO91" s="548"/>
      <c r="UP91" s="548"/>
      <c r="UQ91" s="548"/>
      <c r="UR91" s="548"/>
      <c r="US91" s="548"/>
      <c r="UT91" s="548"/>
      <c r="UU91" s="548"/>
      <c r="UV91" s="548"/>
      <c r="UW91" s="548"/>
      <c r="UX91" s="548"/>
      <c r="UY91" s="548"/>
      <c r="UZ91" s="548"/>
      <c r="VA91" s="548"/>
      <c r="VB91" s="548"/>
      <c r="VC91" s="548"/>
      <c r="VD91" s="548"/>
      <c r="VE91" s="548"/>
      <c r="VF91" s="548"/>
      <c r="VG91" s="548"/>
      <c r="VH91" s="548"/>
      <c r="VI91" s="548"/>
      <c r="VJ91" s="548"/>
      <c r="VK91" s="548"/>
      <c r="VL91" s="548"/>
      <c r="VM91" s="548"/>
      <c r="VN91" s="548"/>
      <c r="VO91" s="548"/>
      <c r="VP91" s="548"/>
      <c r="VQ91" s="548"/>
      <c r="VR91" s="548"/>
      <c r="VS91" s="548"/>
      <c r="VT91" s="548"/>
      <c r="VU91" s="548"/>
      <c r="VV91" s="548"/>
      <c r="VW91" s="548"/>
      <c r="VX91" s="548"/>
      <c r="VY91" s="548"/>
      <c r="VZ91" s="548"/>
      <c r="WA91" s="548"/>
      <c r="WB91" s="548"/>
      <c r="WC91" s="548"/>
      <c r="WD91" s="548"/>
      <c r="WE91" s="548"/>
      <c r="WF91" s="548"/>
      <c r="WG91" s="548"/>
      <c r="WH91" s="548"/>
      <c r="WI91" s="548"/>
      <c r="WJ91" s="548"/>
      <c r="WK91" s="548"/>
      <c r="WL91" s="548"/>
      <c r="WM91" s="548"/>
      <c r="WN91" s="548"/>
      <c r="WO91" s="548"/>
      <c r="WP91" s="548"/>
      <c r="WQ91" s="548"/>
      <c r="WR91" s="548"/>
      <c r="WS91" s="548"/>
      <c r="WT91" s="548"/>
      <c r="WU91" s="548"/>
      <c r="WV91" s="548"/>
      <c r="WW91" s="548"/>
      <c r="WX91" s="548"/>
      <c r="WY91" s="548"/>
      <c r="WZ91" s="548"/>
      <c r="XA91" s="548"/>
      <c r="XB91" s="548"/>
      <c r="XC91" s="548"/>
      <c r="XD91" s="548"/>
      <c r="XE91" s="548"/>
      <c r="XF91" s="548"/>
      <c r="XG91" s="548"/>
      <c r="XH91" s="548"/>
      <c r="XI91" s="548"/>
      <c r="XJ91" s="548"/>
      <c r="XK91" s="548"/>
      <c r="XL91" s="548"/>
      <c r="XM91" s="548"/>
      <c r="XN91" s="548"/>
      <c r="XO91" s="548"/>
      <c r="XP91" s="548"/>
      <c r="XQ91" s="548"/>
      <c r="XR91" s="548"/>
      <c r="XS91" s="548"/>
      <c r="XT91" s="548"/>
      <c r="XU91" s="548"/>
      <c r="XV91" s="548"/>
      <c r="XW91" s="548"/>
      <c r="XX91" s="548"/>
      <c r="XY91" s="548"/>
      <c r="XZ91" s="548"/>
      <c r="YA91" s="548"/>
      <c r="YB91" s="548"/>
      <c r="YC91" s="548"/>
      <c r="YD91" s="548"/>
      <c r="YE91" s="548"/>
      <c r="YF91" s="548"/>
      <c r="YG91" s="548"/>
      <c r="YH91" s="548"/>
      <c r="YI91" s="548"/>
      <c r="YJ91" s="548"/>
      <c r="YK91" s="548"/>
      <c r="YL91" s="548"/>
      <c r="YM91" s="548"/>
      <c r="YN91" s="548"/>
      <c r="YO91" s="548"/>
      <c r="YP91" s="548"/>
      <c r="YQ91" s="548"/>
      <c r="YR91" s="548"/>
      <c r="YS91" s="548"/>
      <c r="YT91" s="548"/>
      <c r="YU91" s="548"/>
      <c r="YV91" s="548"/>
      <c r="YW91" s="548"/>
      <c r="YX91" s="548"/>
      <c r="YY91" s="548"/>
      <c r="YZ91" s="548"/>
      <c r="ZA91" s="548"/>
      <c r="ZB91" s="548"/>
      <c r="ZC91" s="548"/>
      <c r="ZD91" s="548"/>
      <c r="ZE91" s="548"/>
      <c r="ZF91" s="548"/>
      <c r="ZG91" s="548"/>
      <c r="ZH91" s="548"/>
      <c r="ZI91" s="548"/>
      <c r="ZJ91" s="548"/>
      <c r="ZK91" s="548"/>
      <c r="ZL91" s="548"/>
      <c r="ZM91" s="548"/>
      <c r="ZN91" s="548"/>
      <c r="ZO91" s="548"/>
      <c r="ZP91" s="548"/>
      <c r="ZQ91" s="548"/>
      <c r="ZR91" s="548"/>
      <c r="ZS91" s="548"/>
      <c r="ZT91" s="548"/>
      <c r="ZU91" s="548"/>
      <c r="ZV91" s="548"/>
      <c r="ZW91" s="548"/>
      <c r="ZX91" s="548"/>
      <c r="ZY91" s="548"/>
      <c r="ZZ91" s="548"/>
      <c r="AAA91" s="548"/>
      <c r="AAB91" s="548"/>
      <c r="AAC91" s="548"/>
      <c r="AAD91" s="548"/>
      <c r="AAE91" s="548"/>
      <c r="AAF91" s="548"/>
      <c r="AAG91" s="548"/>
      <c r="AAH91" s="548"/>
      <c r="AAI91" s="548"/>
      <c r="AAJ91" s="548"/>
      <c r="AAK91" s="548"/>
      <c r="AAL91" s="548"/>
      <c r="AAM91" s="548"/>
      <c r="AAN91" s="548"/>
      <c r="AAO91" s="548"/>
      <c r="AAP91" s="548"/>
      <c r="AAQ91" s="548"/>
      <c r="AAR91" s="548"/>
      <c r="AAS91" s="548"/>
      <c r="AAT91" s="548"/>
      <c r="AAU91" s="548"/>
      <c r="AAV91" s="548"/>
      <c r="AAW91" s="548"/>
      <c r="AAX91" s="548"/>
      <c r="AAY91" s="548"/>
      <c r="AAZ91" s="548"/>
      <c r="ABA91" s="548"/>
      <c r="ABB91" s="548"/>
      <c r="ABC91" s="548"/>
      <c r="ABD91" s="548"/>
      <c r="ABE91" s="548"/>
      <c r="ABF91" s="548"/>
      <c r="ABG91" s="548"/>
      <c r="ABH91" s="548"/>
      <c r="ABI91" s="548"/>
      <c r="ABJ91" s="548"/>
      <c r="ABK91" s="548"/>
      <c r="ABL91" s="548"/>
      <c r="ABM91" s="548"/>
      <c r="ABN91" s="548"/>
      <c r="ABO91" s="548"/>
      <c r="ABP91" s="548"/>
      <c r="ABQ91" s="548"/>
      <c r="ABR91" s="548"/>
      <c r="ABS91" s="548"/>
    </row>
    <row r="92" spans="1:747" customFormat="1" ht="15" customHeight="1" x14ac:dyDescent="0.2">
      <c r="A92" s="424" t="str">
        <f t="shared" si="909"/>
        <v/>
      </c>
      <c r="B92" s="415"/>
      <c r="C92" s="525"/>
      <c r="D92" s="750"/>
      <c r="E92" s="416" t="str">
        <f t="shared" si="751"/>
        <v/>
      </c>
      <c r="F92" s="527" t="str">
        <f t="shared" si="752"/>
        <v/>
      </c>
      <c r="G92" s="417"/>
      <c r="H92" s="585" t="str">
        <f t="shared" si="753"/>
        <v/>
      </c>
      <c r="I92" s="424"/>
      <c r="J92" s="419"/>
      <c r="K92" s="418"/>
      <c r="L92" s="419"/>
      <c r="M92" s="415"/>
      <c r="N92" s="420"/>
      <c r="O92" s="421"/>
      <c r="P92" s="561"/>
      <c r="Q92" s="422"/>
      <c r="R92" s="561" t="str">
        <f t="shared" si="754"/>
        <v/>
      </c>
      <c r="S92" s="664"/>
      <c r="T92" s="663"/>
      <c r="U92" s="580">
        <f t="shared" si="755"/>
        <v>0</v>
      </c>
      <c r="V92" s="418"/>
      <c r="W92" s="582" t="str">
        <f t="shared" si="756"/>
        <v/>
      </c>
      <c r="X92" s="479" t="str">
        <f t="shared" si="757"/>
        <v/>
      </c>
      <c r="Y92" s="582" t="str">
        <f t="shared" si="758"/>
        <v/>
      </c>
      <c r="Z92" s="317" t="str">
        <f t="shared" si="759"/>
        <v/>
      </c>
      <c r="AA92" s="317" t="str">
        <f t="shared" si="760"/>
        <v/>
      </c>
      <c r="AB92" s="317">
        <f t="shared" si="761"/>
        <v>0</v>
      </c>
      <c r="AC92" s="317" t="str">
        <f t="shared" si="762"/>
        <v/>
      </c>
      <c r="AD92" s="479"/>
      <c r="AE92" s="479"/>
      <c r="AF92" s="479"/>
      <c r="AG92" s="423"/>
      <c r="AH92" s="820"/>
      <c r="AI92" s="437"/>
      <c r="AJ92" s="660"/>
      <c r="AK92" s="524" t="str">
        <f t="shared" si="763"/>
        <v/>
      </c>
      <c r="AL92" s="731">
        <f>SUMIF($J$4:$J$88,"Grêmio",$S$4:$S$88)</f>
        <v>0</v>
      </c>
      <c r="AM92" s="732">
        <f>SUMIF($J$4:$J$88,"Grêmio",$T$4:$T$88)</f>
        <v>0</v>
      </c>
      <c r="AN92" s="426">
        <f t="shared" si="764"/>
        <v>0</v>
      </c>
      <c r="AO92" s="427" t="str">
        <f t="shared" si="765"/>
        <v/>
      </c>
      <c r="AP92" s="426" t="str">
        <f t="shared" si="766"/>
        <v/>
      </c>
      <c r="AQ92" s="426"/>
      <c r="AR92" s="426"/>
      <c r="AS92" s="428"/>
      <c r="AT92" s="429"/>
      <c r="AU92" s="430"/>
      <c r="AV92" s="431"/>
      <c r="AW92" s="432"/>
      <c r="AX92" s="430"/>
      <c r="AY92" s="431">
        <f t="shared" si="767"/>
        <v>0</v>
      </c>
      <c r="AZ92" s="426"/>
      <c r="BA92" s="435" t="str">
        <f t="shared" si="768"/>
        <v/>
      </c>
      <c r="BB92" s="435"/>
      <c r="BC92" s="426"/>
      <c r="BD92" s="426">
        <f t="array" ref="BD92">IF(SUM((BC92=$BC$3:BC91)*1)=0,BC92,0)</f>
        <v>0</v>
      </c>
      <c r="BE92" s="426"/>
      <c r="BF92" s="426"/>
      <c r="BG92" s="426">
        <f t="array" ref="BG92">IF(SUM((BF92=$BF$3:BF91)*1)=0,BF92,0)</f>
        <v>0</v>
      </c>
      <c r="BH92" s="426"/>
      <c r="BI92" s="426"/>
      <c r="BJ92" s="426"/>
      <c r="BK92" s="426"/>
      <c r="BL92" s="426"/>
      <c r="BM92" s="426"/>
      <c r="BN92" s="426"/>
      <c r="BO92" s="426"/>
      <c r="BP92" s="433">
        <f t="shared" si="769"/>
        <v>0</v>
      </c>
      <c r="BQ92" s="426"/>
      <c r="BR92" s="434"/>
      <c r="BS92" s="426"/>
      <c r="BT92" s="433"/>
      <c r="BU92" s="435"/>
      <c r="BV92" s="435" t="str">
        <f t="shared" si="770"/>
        <v/>
      </c>
      <c r="BW92" s="435" t="str">
        <f t="shared" si="798"/>
        <v/>
      </c>
      <c r="BX92" s="435"/>
      <c r="BY92" s="435"/>
      <c r="BZ92" s="435"/>
      <c r="CA92" s="435"/>
      <c r="CB92" s="435"/>
      <c r="CC92" s="435"/>
      <c r="CD92" s="435"/>
      <c r="CE92" s="435"/>
      <c r="CF92" s="435"/>
      <c r="CG92" s="435"/>
      <c r="CH92" s="435"/>
      <c r="CI92" s="435"/>
      <c r="CJ92" s="426" t="str">
        <f t="shared" si="799"/>
        <v/>
      </c>
      <c r="CK92" s="435"/>
      <c r="CL92" s="426"/>
      <c r="CM92" s="435"/>
      <c r="CN92" s="426"/>
      <c r="CO92" s="426"/>
      <c r="CP92" s="426"/>
      <c r="CQ92" s="426"/>
      <c r="CR92" s="426"/>
      <c r="CS92" s="426"/>
      <c r="CT92" s="426"/>
      <c r="CU92" s="426"/>
      <c r="CV92" s="426"/>
      <c r="CW92" s="493"/>
      <c r="CX92" s="493"/>
      <c r="CY92" s="426">
        <v>89</v>
      </c>
      <c r="CZ92" s="493"/>
      <c r="DA92" s="493"/>
      <c r="DB92" s="493"/>
      <c r="DC92" s="426" t="s">
        <v>832</v>
      </c>
      <c r="DD92" s="426" t="s">
        <v>992</v>
      </c>
      <c r="DE92" s="435" t="str">
        <f t="shared" si="800"/>
        <v/>
      </c>
      <c r="DF92" s="435" t="str">
        <f t="shared" si="801"/>
        <v/>
      </c>
      <c r="DG92" s="435" t="str">
        <f t="shared" si="802"/>
        <v/>
      </c>
      <c r="DH92" s="435" t="str">
        <f t="shared" si="803"/>
        <v/>
      </c>
      <c r="DI92" s="435" t="str">
        <f t="shared" si="804"/>
        <v/>
      </c>
      <c r="DJ92" s="435" t="str">
        <f t="shared" si="805"/>
        <v/>
      </c>
      <c r="DK92" s="435" t="str">
        <f t="shared" si="771"/>
        <v/>
      </c>
      <c r="DL92" s="435" t="str">
        <f t="shared" si="772"/>
        <v/>
      </c>
      <c r="DM92" s="435" t="str">
        <f t="shared" si="806"/>
        <v/>
      </c>
      <c r="DN92" s="435" t="str">
        <f t="shared" si="807"/>
        <v/>
      </c>
      <c r="DO92" s="435" t="str">
        <f t="shared" si="773"/>
        <v/>
      </c>
      <c r="DP92" s="435" t="str">
        <f t="shared" si="774"/>
        <v/>
      </c>
      <c r="DQ92" s="435" t="str">
        <f t="shared" si="808"/>
        <v/>
      </c>
      <c r="DR92" s="435" t="str">
        <f t="shared" si="809"/>
        <v/>
      </c>
      <c r="DS92" s="435" t="str">
        <f t="shared" si="775"/>
        <v/>
      </c>
      <c r="DT92" s="435" t="str">
        <f t="shared" si="776"/>
        <v/>
      </c>
      <c r="DU92" s="435" t="str">
        <f t="shared" si="810"/>
        <v/>
      </c>
      <c r="DV92" s="435" t="str">
        <f t="shared" si="811"/>
        <v/>
      </c>
      <c r="DW92" s="435" t="str">
        <f t="shared" si="777"/>
        <v/>
      </c>
      <c r="DX92" s="435" t="str">
        <f t="shared" si="778"/>
        <v/>
      </c>
      <c r="DY92" s="435" t="str">
        <f t="shared" si="812"/>
        <v/>
      </c>
      <c r="DZ92" s="435" t="str">
        <f t="shared" si="813"/>
        <v/>
      </c>
      <c r="EA92" s="435" t="str">
        <f t="shared" si="779"/>
        <v/>
      </c>
      <c r="EB92" s="435" t="str">
        <f t="shared" si="780"/>
        <v/>
      </c>
      <c r="EC92" s="435" t="str">
        <f t="shared" si="781"/>
        <v/>
      </c>
      <c r="ED92" s="435" t="str">
        <f t="shared" si="782"/>
        <v/>
      </c>
      <c r="EE92" s="435" t="str">
        <f t="shared" si="783"/>
        <v/>
      </c>
      <c r="EF92" s="435" t="str">
        <f t="shared" si="784"/>
        <v/>
      </c>
      <c r="EG92" s="435" t="str">
        <f t="shared" si="785"/>
        <v/>
      </c>
      <c r="EH92" s="435" t="str">
        <f t="shared" si="786"/>
        <v/>
      </c>
      <c r="EI92" s="435" t="str">
        <f t="shared" si="787"/>
        <v/>
      </c>
      <c r="EJ92" s="435" t="str">
        <f t="shared" si="788"/>
        <v/>
      </c>
      <c r="EK92" s="485"/>
      <c r="EL92" s="485"/>
      <c r="EM92" s="485"/>
      <c r="EN92" s="485"/>
      <c r="EO92" s="448"/>
      <c r="EP92" s="448"/>
      <c r="EQ92" s="448"/>
      <c r="ER92" s="448"/>
      <c r="ES92" s="448"/>
      <c r="ET92" s="435"/>
      <c r="EU92" s="435"/>
      <c r="EV92" s="435"/>
      <c r="EW92" s="435"/>
      <c r="EX92" s="426"/>
      <c r="EY92" s="426"/>
      <c r="EZ92" s="426"/>
      <c r="FA92" s="863"/>
      <c r="FB92" s="427">
        <f t="array" ref="FB92">IF(SUM((FA92=$FA$3:FA91)*1)=0,FA92,0)</f>
        <v>0</v>
      </c>
      <c r="FC92" s="863"/>
      <c r="FD92" s="863"/>
      <c r="FE92" s="863">
        <f t="array" ref="FE92">IF(SUM((FD92=$FD$3:FD91)*1)=0,FD92,0)</f>
        <v>0</v>
      </c>
      <c r="FF92" s="863"/>
      <c r="FG92" s="863"/>
      <c r="FH92" s="863"/>
      <c r="FI92" s="427">
        <f t="array" ref="FI92">IF(SUM((FH92=$FH$3:FH91)*1)=0,FH92,0)</f>
        <v>0</v>
      </c>
      <c r="FJ92" s="863"/>
      <c r="FK92" s="863"/>
      <c r="FL92" s="863">
        <f t="array" ref="FL92">IF(SUM((FK92=$FK$3:FK91)*1)=0,FK92,0)</f>
        <v>0</v>
      </c>
      <c r="FM92" s="863"/>
      <c r="FN92" s="863"/>
      <c r="FO92" s="863"/>
      <c r="FP92" s="427">
        <f t="array" ref="FP92">IF(SUM((FO92=$FO$3:FO91)*1)=0,FO92,0)</f>
        <v>0</v>
      </c>
      <c r="FQ92" s="863"/>
      <c r="FR92" s="863"/>
      <c r="FS92" s="863">
        <f t="array" ref="FS92">IF(SUM((FR92=$FR$3:FR91)*1)=0,FR92,0)</f>
        <v>0</v>
      </c>
      <c r="FT92" s="863"/>
      <c r="FU92" s="863"/>
      <c r="FV92" s="863"/>
      <c r="FW92" s="427">
        <f t="array" ref="FW92">IF(SUM((FV92=$FV$3:FV91)*1)=0,FV92,0)</f>
        <v>0</v>
      </c>
      <c r="FX92" s="863"/>
      <c r="FY92" s="863"/>
      <c r="FZ92" s="863">
        <f t="array" ref="FZ92">IF(SUM((FY92=$FY$3:FY91)*1)=0,FY92,0)</f>
        <v>0</v>
      </c>
      <c r="GA92" s="863"/>
      <c r="GB92" s="863"/>
      <c r="GC92" s="863"/>
      <c r="GD92" s="427">
        <f t="array" ref="GD92">IF(SUM((GC92=$GC$3:GC91)*1)=0,GC92,0)</f>
        <v>0</v>
      </c>
      <c r="GE92" s="863"/>
      <c r="GF92" s="863"/>
      <c r="GG92" s="863">
        <f t="array" ref="GG92">IF(SUM((GF92=$GF$3:GF91)*1)=0,GF92,0)</f>
        <v>0</v>
      </c>
      <c r="GH92" s="863"/>
      <c r="GI92" s="863"/>
      <c r="GJ92" s="863"/>
      <c r="GK92" s="798">
        <f t="array" ref="GK92">IF(SUM((GJ92=$GJ$3:GJ91)*1)=0,GJ92,0)</f>
        <v>0</v>
      </c>
      <c r="GL92" s="863"/>
      <c r="GM92" s="863"/>
      <c r="GN92" s="798">
        <f t="array" ref="GN92">IF(SUM((GM92=$GM$3:GM91)*1)=0,GM92,0)</f>
        <v>0</v>
      </c>
      <c r="GO92" s="863"/>
      <c r="GP92" s="863"/>
      <c r="GQ92" s="863"/>
      <c r="GR92" s="798">
        <f t="array" ref="GR92">IF(SUM((GQ92=$GQ$3:GQ91)*1)=0,GQ92,0)</f>
        <v>0</v>
      </c>
      <c r="GS92" s="863"/>
      <c r="GT92" s="863"/>
      <c r="GU92" s="798">
        <f t="array" ref="GU92">IF(SUM((GT92=$GT$3:GT91)*1)=0,GT92,0)</f>
        <v>0</v>
      </c>
      <c r="GV92" s="863"/>
      <c r="GW92" s="863"/>
      <c r="GX92" s="863"/>
      <c r="GY92" s="798">
        <f t="array" ref="GY92">IF(SUM((GX92=$GX$3:GX91)*1)=0,GX92,0)</f>
        <v>0</v>
      </c>
      <c r="GZ92" s="863"/>
      <c r="HA92" s="863"/>
      <c r="HB92" s="798">
        <f t="array" ref="HB92">IF(SUM((HA92=$HA$3:HA91)*1)=0,HA92,0)</f>
        <v>0</v>
      </c>
      <c r="HC92" s="863"/>
      <c r="HD92" s="863"/>
      <c r="HE92" s="769" t="str">
        <f t="shared" si="889"/>
        <v/>
      </c>
      <c r="HF92" s="768" t="str">
        <f t="shared" ref="HF92" si="1099">IF(HE92&lt;0,"Invadiu REP-BA-C","")</f>
        <v/>
      </c>
      <c r="HG92" s="769" t="str">
        <f t="shared" si="891"/>
        <v/>
      </c>
      <c r="HH92" s="768" t="str">
        <f t="shared" si="815"/>
        <v/>
      </c>
      <c r="HI92" s="728" t="str">
        <f t="shared" si="892"/>
        <v/>
      </c>
      <c r="HJ92" s="768" t="str">
        <f t="shared" si="816"/>
        <v/>
      </c>
      <c r="HK92" s="728" t="str">
        <f t="shared" si="893"/>
        <v/>
      </c>
      <c r="HL92" s="768" t="str">
        <f t="shared" si="817"/>
        <v/>
      </c>
      <c r="HM92" s="769" t="str">
        <f t="shared" si="818"/>
        <v/>
      </c>
      <c r="HN92" s="768" t="str">
        <f t="shared" ref="HN92" si="1100">IF(HM92&lt;0,"Invadiu REP-BA-C","")</f>
        <v/>
      </c>
      <c r="HO92" s="769" t="str">
        <f t="shared" si="820"/>
        <v/>
      </c>
      <c r="HP92" s="768" t="str">
        <f t="shared" si="821"/>
        <v/>
      </c>
      <c r="HQ92" s="728" t="str">
        <f t="shared" si="822"/>
        <v/>
      </c>
      <c r="HR92" s="768" t="str">
        <f t="shared" si="823"/>
        <v/>
      </c>
      <c r="HS92" s="728" t="str">
        <f t="shared" si="824"/>
        <v/>
      </c>
      <c r="HT92" s="768" t="str">
        <f t="shared" si="825"/>
        <v/>
      </c>
      <c r="HU92" s="769" t="str">
        <f t="shared" si="826"/>
        <v/>
      </c>
      <c r="HV92" s="768" t="str">
        <f t="shared" ref="HV92" si="1101">IF(HU92&lt;0,"Invadiu REP-BA-C","")</f>
        <v/>
      </c>
      <c r="HW92" s="769" t="str">
        <f t="shared" si="828"/>
        <v/>
      </c>
      <c r="HX92" s="768" t="str">
        <f t="shared" si="829"/>
        <v/>
      </c>
      <c r="HY92" s="728" t="str">
        <f t="shared" si="830"/>
        <v/>
      </c>
      <c r="HZ92" s="768" t="str">
        <f t="shared" si="831"/>
        <v/>
      </c>
      <c r="IA92" s="728" t="str">
        <f t="shared" si="832"/>
        <v/>
      </c>
      <c r="IB92" s="768" t="str">
        <f t="shared" si="833"/>
        <v/>
      </c>
      <c r="IC92" s="769" t="str">
        <f t="shared" si="834"/>
        <v/>
      </c>
      <c r="ID92" s="768" t="str">
        <f t="shared" ref="ID92" si="1102">IF(IC92&lt;0,"Invadiu REP-BA-C","")</f>
        <v/>
      </c>
      <c r="IE92" s="769" t="str">
        <f t="shared" si="836"/>
        <v/>
      </c>
      <c r="IF92" s="768" t="str">
        <f t="shared" si="837"/>
        <v/>
      </c>
      <c r="IG92" s="728" t="str">
        <f t="shared" si="838"/>
        <v/>
      </c>
      <c r="IH92" s="768" t="str">
        <f t="shared" si="839"/>
        <v/>
      </c>
      <c r="II92" s="728" t="str">
        <f t="shared" si="840"/>
        <v/>
      </c>
      <c r="IJ92" s="768" t="str">
        <f t="shared" si="841"/>
        <v/>
      </c>
      <c r="IK92" s="769" t="str">
        <f t="shared" si="842"/>
        <v/>
      </c>
      <c r="IL92" s="768" t="str">
        <f t="shared" ref="IL92" si="1103">IF(IK92&lt;0,"Invadiu REP-BA-C","")</f>
        <v/>
      </c>
      <c r="IM92" s="769" t="str">
        <f t="shared" si="844"/>
        <v/>
      </c>
      <c r="IN92" s="768" t="str">
        <f t="shared" si="845"/>
        <v/>
      </c>
      <c r="IO92" s="728" t="str">
        <f t="shared" si="846"/>
        <v/>
      </c>
      <c r="IP92" s="768" t="str">
        <f t="shared" si="847"/>
        <v/>
      </c>
      <c r="IQ92" s="728" t="str">
        <f t="shared" si="848"/>
        <v/>
      </c>
      <c r="IR92" s="768" t="str">
        <f t="shared" si="849"/>
        <v/>
      </c>
      <c r="IS92" s="769" t="str">
        <f t="shared" si="850"/>
        <v/>
      </c>
      <c r="IT92" s="768" t="str">
        <f t="shared" ref="IT92" si="1104">IF(IS92&lt;0,"Invadiu REP-BA-C","")</f>
        <v/>
      </c>
      <c r="IU92" s="769" t="str">
        <f t="shared" si="852"/>
        <v/>
      </c>
      <c r="IV92" s="768" t="str">
        <f t="shared" si="853"/>
        <v/>
      </c>
      <c r="IW92" s="728" t="str">
        <f t="shared" si="854"/>
        <v/>
      </c>
      <c r="IX92" s="768" t="str">
        <f t="shared" si="855"/>
        <v/>
      </c>
      <c r="IY92" s="728" t="str">
        <f t="shared" si="856"/>
        <v/>
      </c>
      <c r="IZ92" s="768" t="str">
        <f t="shared" si="857"/>
        <v/>
      </c>
      <c r="JA92" s="769" t="str">
        <f t="shared" si="858"/>
        <v/>
      </c>
      <c r="JB92" s="768" t="str">
        <f t="shared" ref="JB92" si="1105">IF(JA92&lt;0,"Invadiu REP-BA-C","")</f>
        <v/>
      </c>
      <c r="JC92" s="769" t="str">
        <f t="shared" si="860"/>
        <v/>
      </c>
      <c r="JD92" s="768" t="str">
        <f t="shared" si="861"/>
        <v/>
      </c>
      <c r="JE92" s="728" t="str">
        <f t="shared" si="862"/>
        <v/>
      </c>
      <c r="JF92" s="768" t="str">
        <f t="shared" si="863"/>
        <v/>
      </c>
      <c r="JG92" s="728" t="str">
        <f t="shared" si="864"/>
        <v/>
      </c>
      <c r="JH92" s="768" t="str">
        <f t="shared" si="865"/>
        <v/>
      </c>
      <c r="JI92" s="769" t="str">
        <f t="shared" si="866"/>
        <v/>
      </c>
      <c r="JJ92" s="768" t="str">
        <f t="shared" ref="JJ92" si="1106">IF(JI92&lt;0,"Invadiu REP-BA-C","")</f>
        <v/>
      </c>
      <c r="JK92" s="769" t="str">
        <f t="shared" si="868"/>
        <v/>
      </c>
      <c r="JL92" s="768" t="str">
        <f t="shared" si="869"/>
        <v/>
      </c>
      <c r="JM92" s="728" t="str">
        <f t="shared" si="870"/>
        <v/>
      </c>
      <c r="JN92" s="768" t="str">
        <f t="shared" si="871"/>
        <v/>
      </c>
      <c r="JO92" s="728" t="str">
        <f t="shared" si="872"/>
        <v/>
      </c>
      <c r="JP92" s="768" t="str">
        <f t="shared" si="873"/>
        <v/>
      </c>
      <c r="JQ92" s="769" t="str">
        <f t="shared" si="874"/>
        <v/>
      </c>
      <c r="JR92" s="768" t="str">
        <f t="shared" ref="JR92" si="1107">IF(JQ92&lt;0,"Invadiu REP-BA-C","")</f>
        <v/>
      </c>
      <c r="JS92" s="769" t="str">
        <f t="shared" si="876"/>
        <v/>
      </c>
      <c r="JT92" s="768" t="str">
        <f t="shared" si="877"/>
        <v/>
      </c>
      <c r="JU92" s="728" t="str">
        <f t="shared" si="878"/>
        <v/>
      </c>
      <c r="JV92" s="768" t="str">
        <f t="shared" si="879"/>
        <v/>
      </c>
      <c r="JW92" s="728" t="str">
        <f t="shared" si="880"/>
        <v/>
      </c>
      <c r="JX92" s="768" t="str">
        <f t="shared" si="881"/>
        <v/>
      </c>
      <c r="JY92" s="768" t="str">
        <f t="shared" si="882"/>
        <v/>
      </c>
      <c r="JZ92" s="485" t="str">
        <f>IF(JY92="","",IF(AND(C92=$C$164,JY92&lt;&gt;""),Verificarcpf(D92),IF(AND(C92=$C$165,JY92&lt;&gt;""),VerificarCNPJ(D92))))</f>
        <v/>
      </c>
      <c r="KA92" s="768" t="str">
        <f t="shared" si="883"/>
        <v/>
      </c>
      <c r="KB92" s="485">
        <f t="shared" si="884"/>
        <v>0</v>
      </c>
      <c r="KC92" s="768">
        <f t="shared" si="885"/>
        <v>0</v>
      </c>
      <c r="KD92" s="485">
        <f t="shared" si="886"/>
        <v>0</v>
      </c>
      <c r="KE92" s="448"/>
      <c r="KF92" s="548"/>
      <c r="KG92" s="548"/>
      <c r="KH92" s="548"/>
      <c r="KI92" s="548"/>
      <c r="KJ92" s="548" t="str">
        <f t="shared" si="887"/>
        <v/>
      </c>
      <c r="KK92" s="548"/>
      <c r="KL92" s="548"/>
      <c r="KM92" s="548">
        <f t="array" ref="KM92">IF(SUM((KL92=$KL$3:KL91)*1)=0,KL92,0)</f>
        <v>0</v>
      </c>
      <c r="KN92" s="548"/>
      <c r="KO92" s="548"/>
      <c r="KP92" s="548"/>
      <c r="KQ92" s="548"/>
      <c r="KR92" s="548" t="str">
        <f t="shared" si="888"/>
        <v/>
      </c>
      <c r="KS92" s="548"/>
      <c r="KT92" s="548"/>
      <c r="KU92" s="548"/>
      <c r="KV92" s="548"/>
      <c r="KW92" s="548"/>
      <c r="KX92" s="548"/>
      <c r="KY92" s="548"/>
      <c r="KZ92" s="548"/>
      <c r="LA92" s="548"/>
      <c r="LB92" s="548"/>
      <c r="LC92" s="485" t="str">
        <f t="shared" si="902"/>
        <v/>
      </c>
      <c r="LD92" s="548"/>
      <c r="LE92" s="548"/>
      <c r="LF92" s="548"/>
      <c r="LG92" s="548"/>
      <c r="LH92" s="548"/>
      <c r="LI92" s="548"/>
      <c r="LJ92" s="548"/>
      <c r="LK92" s="548"/>
      <c r="LL92" s="548"/>
      <c r="LM92" s="548"/>
      <c r="LN92" s="548"/>
      <c r="LO92" s="548"/>
      <c r="LP92" s="485" t="str">
        <f t="shared" si="903"/>
        <v/>
      </c>
      <c r="LQ92" s="548"/>
      <c r="LR92" s="548"/>
      <c r="LS92" s="548"/>
      <c r="LT92" s="548"/>
      <c r="LU92" s="548"/>
      <c r="LV92" s="548"/>
      <c r="LW92" s="548"/>
      <c r="LX92" s="548"/>
      <c r="LY92" s="548"/>
      <c r="LZ92" s="548"/>
      <c r="MA92" s="548"/>
      <c r="MB92" s="548"/>
      <c r="MC92" s="485" t="str">
        <f t="shared" si="904"/>
        <v/>
      </c>
      <c r="MD92" s="548"/>
      <c r="ME92" s="548"/>
      <c r="MF92" s="548"/>
      <c r="MG92" s="548"/>
      <c r="MH92" s="548"/>
      <c r="MI92" s="548"/>
      <c r="MJ92" s="548"/>
      <c r="MK92" s="548"/>
      <c r="ML92" s="548"/>
      <c r="MM92" s="548"/>
      <c r="MN92" s="548"/>
      <c r="MO92" s="548"/>
      <c r="MP92" s="485" t="str">
        <f t="shared" si="905"/>
        <v/>
      </c>
      <c r="MQ92" s="548"/>
      <c r="MR92" s="548"/>
      <c r="MS92" s="548"/>
      <c r="MT92" s="548"/>
      <c r="MU92" s="548"/>
      <c r="MV92" s="548"/>
      <c r="MW92" s="548"/>
      <c r="MX92" s="548"/>
      <c r="MY92" s="548"/>
      <c r="MZ92" s="548"/>
      <c r="NA92" s="548"/>
      <c r="NB92" s="548"/>
      <c r="NC92" s="485" t="str">
        <f t="shared" si="906"/>
        <v/>
      </c>
      <c r="ND92" s="548"/>
      <c r="NE92" s="548"/>
      <c r="NF92" s="548"/>
      <c r="NG92" s="548"/>
      <c r="NH92" s="548"/>
      <c r="NI92" s="548"/>
      <c r="NJ92" s="548"/>
      <c r="NK92" s="548"/>
      <c r="NL92" s="548"/>
      <c r="NM92" s="548"/>
      <c r="NN92" s="548"/>
      <c r="NO92" s="548"/>
      <c r="NP92" s="485" t="str">
        <f t="shared" si="907"/>
        <v/>
      </c>
      <c r="NQ92" s="548"/>
      <c r="NR92" s="548"/>
      <c r="NS92" s="548"/>
      <c r="NT92" s="548"/>
      <c r="NU92" s="548"/>
      <c r="NV92" s="548"/>
      <c r="NW92" s="548"/>
      <c r="NX92" s="548"/>
      <c r="NY92" s="548"/>
      <c r="NZ92" s="548"/>
      <c r="OA92" s="548"/>
      <c r="OB92" s="548"/>
      <c r="OC92" s="485" t="str">
        <f t="shared" si="908"/>
        <v/>
      </c>
      <c r="OD92" s="548"/>
      <c r="OE92" s="548"/>
      <c r="OF92" s="548"/>
      <c r="OG92" s="548"/>
      <c r="OH92" s="548"/>
      <c r="OI92" s="548"/>
      <c r="OJ92" s="548"/>
      <c r="OK92" s="548"/>
      <c r="OL92" s="548"/>
      <c r="OM92" s="548"/>
      <c r="ON92" s="548"/>
      <c r="OO92" s="548"/>
      <c r="OP92" s="548"/>
      <c r="OQ92" s="548"/>
      <c r="OR92" s="548"/>
      <c r="OS92" s="548"/>
      <c r="OT92" s="548"/>
      <c r="OU92" s="548"/>
      <c r="OV92" s="548"/>
      <c r="OW92" s="548"/>
      <c r="OX92" s="548"/>
      <c r="OY92" s="548"/>
      <c r="OZ92" s="548"/>
      <c r="PA92" s="548"/>
      <c r="PB92" s="548"/>
      <c r="PC92" s="548"/>
      <c r="PD92" s="548"/>
      <c r="PE92" s="548"/>
      <c r="PF92" s="548"/>
      <c r="PG92" s="548"/>
      <c r="PH92" s="548"/>
      <c r="PI92" s="548"/>
      <c r="PJ92" s="548"/>
      <c r="PK92" s="548"/>
      <c r="PL92" s="548"/>
      <c r="PM92" s="548"/>
      <c r="PN92" s="548"/>
      <c r="PO92" s="548"/>
      <c r="PP92" s="548"/>
      <c r="PQ92" s="548"/>
      <c r="PR92" s="548"/>
      <c r="PS92" s="548"/>
      <c r="PT92" s="548"/>
      <c r="PU92" s="548"/>
      <c r="PV92" s="548"/>
      <c r="PW92" s="548"/>
      <c r="PX92" s="548"/>
      <c r="PY92" s="548"/>
      <c r="PZ92" s="548"/>
      <c r="QA92" s="548"/>
      <c r="QB92" s="548"/>
      <c r="QC92" s="548"/>
      <c r="QD92" s="548"/>
      <c r="QE92" s="548"/>
      <c r="QF92" s="548"/>
      <c r="QG92" s="548"/>
      <c r="QH92" s="548"/>
      <c r="QI92" s="548"/>
      <c r="QJ92" s="548"/>
      <c r="QK92" s="548"/>
      <c r="QL92" s="548"/>
      <c r="QM92" s="548"/>
      <c r="QN92" s="548"/>
      <c r="QO92" s="548"/>
      <c r="QP92" s="548"/>
      <c r="QQ92" s="1009"/>
      <c r="QR92" s="548"/>
      <c r="QS92" s="548"/>
      <c r="QT92" s="548"/>
      <c r="QU92" s="548"/>
      <c r="QV92" s="548"/>
      <c r="QW92" s="548"/>
      <c r="QX92" s="548"/>
      <c r="QY92" s="548"/>
      <c r="QZ92" s="548"/>
      <c r="RA92" s="548"/>
      <c r="RB92" s="548"/>
      <c r="RC92" s="548"/>
      <c r="RD92" s="548"/>
      <c r="RE92" s="548"/>
      <c r="RF92" s="548"/>
      <c r="RG92" s="548"/>
      <c r="RH92" s="548"/>
      <c r="RI92" s="548"/>
      <c r="RJ92" s="548"/>
      <c r="RK92" s="548"/>
      <c r="RL92" s="548"/>
      <c r="RM92" s="548"/>
      <c r="RN92" s="548"/>
      <c r="RO92" s="548"/>
      <c r="RP92" s="548"/>
      <c r="RQ92" s="548"/>
      <c r="RR92" s="548"/>
      <c r="RS92" s="548"/>
      <c r="RT92" s="548"/>
      <c r="RU92" s="548"/>
      <c r="RV92" s="548"/>
      <c r="RW92" s="548"/>
      <c r="RX92" s="548"/>
      <c r="RY92" s="548"/>
      <c r="RZ92" s="548"/>
      <c r="SA92" s="548"/>
      <c r="SB92" s="548"/>
      <c r="SC92" s="548"/>
      <c r="SD92" s="548"/>
      <c r="SE92" s="548"/>
      <c r="SF92" s="548"/>
      <c r="SG92" s="548"/>
      <c r="SH92" s="548"/>
      <c r="SI92" s="548"/>
      <c r="SJ92" s="548"/>
      <c r="SK92" s="548"/>
      <c r="SL92" s="548"/>
      <c r="SM92" s="548"/>
      <c r="SN92" s="548"/>
      <c r="SO92" s="548"/>
      <c r="SP92" s="548"/>
      <c r="SQ92" s="548"/>
      <c r="SR92" s="548"/>
      <c r="SS92" s="548"/>
      <c r="ST92" s="548"/>
      <c r="SU92" s="548"/>
      <c r="SV92" s="548"/>
      <c r="SW92" s="548"/>
      <c r="SX92" s="548"/>
      <c r="SY92" s="548"/>
      <c r="SZ92" s="548"/>
      <c r="TA92" s="548"/>
      <c r="TB92" s="548"/>
      <c r="TC92" s="548"/>
      <c r="TD92" s="548"/>
      <c r="TE92" s="548"/>
      <c r="TF92" s="548"/>
      <c r="TG92" s="548"/>
      <c r="TH92" s="548"/>
      <c r="TI92" s="548"/>
      <c r="TJ92" s="548"/>
      <c r="TK92" s="548"/>
      <c r="TL92" s="548"/>
      <c r="TM92" s="548"/>
      <c r="TN92" s="548"/>
      <c r="TO92" s="548"/>
      <c r="TP92" s="548"/>
      <c r="TQ92" s="548"/>
      <c r="TR92" s="548"/>
      <c r="TS92" s="548"/>
      <c r="TT92" s="548"/>
      <c r="TU92" s="548"/>
      <c r="TV92" s="548"/>
      <c r="TW92" s="548"/>
      <c r="TX92" s="548"/>
      <c r="TY92" s="548"/>
      <c r="TZ92" s="548"/>
      <c r="UA92" s="548"/>
      <c r="UB92" s="548"/>
      <c r="UC92" s="548"/>
      <c r="UD92" s="548"/>
      <c r="UE92" s="548"/>
      <c r="UF92" s="548"/>
      <c r="UG92" s="548"/>
      <c r="UH92" s="548"/>
      <c r="UI92" s="548"/>
      <c r="UJ92" s="548"/>
      <c r="UK92" s="548"/>
      <c r="UL92" s="548"/>
      <c r="UM92" s="548"/>
      <c r="UN92" s="548"/>
      <c r="UO92" s="548"/>
      <c r="UP92" s="548"/>
      <c r="UQ92" s="548"/>
      <c r="UR92" s="548"/>
      <c r="US92" s="548"/>
      <c r="UT92" s="548"/>
      <c r="UU92" s="548"/>
      <c r="UV92" s="548"/>
      <c r="UW92" s="548"/>
      <c r="UX92" s="548"/>
      <c r="UY92" s="548"/>
      <c r="UZ92" s="548"/>
      <c r="VA92" s="548"/>
      <c r="VB92" s="548"/>
      <c r="VC92" s="548"/>
      <c r="VD92" s="548"/>
      <c r="VE92" s="548"/>
      <c r="VF92" s="548"/>
      <c r="VG92" s="548"/>
      <c r="VH92" s="548"/>
      <c r="VI92" s="548"/>
      <c r="VJ92" s="548"/>
      <c r="VK92" s="548"/>
      <c r="VL92" s="548"/>
      <c r="VM92" s="548"/>
      <c r="VN92" s="548"/>
      <c r="VO92" s="548"/>
      <c r="VP92" s="548"/>
      <c r="VQ92" s="548"/>
      <c r="VR92" s="548"/>
      <c r="VS92" s="548"/>
      <c r="VT92" s="548"/>
      <c r="VU92" s="548"/>
      <c r="VV92" s="548"/>
      <c r="VW92" s="548"/>
      <c r="VX92" s="548"/>
      <c r="VY92" s="548"/>
      <c r="VZ92" s="548"/>
      <c r="WA92" s="548"/>
      <c r="WB92" s="548"/>
      <c r="WC92" s="548"/>
      <c r="WD92" s="548"/>
      <c r="WE92" s="548"/>
      <c r="WF92" s="548"/>
      <c r="WG92" s="548"/>
      <c r="WH92" s="548"/>
      <c r="WI92" s="548"/>
      <c r="WJ92" s="548"/>
      <c r="WK92" s="548"/>
      <c r="WL92" s="548"/>
      <c r="WM92" s="548"/>
      <c r="WN92" s="548"/>
      <c r="WO92" s="548"/>
      <c r="WP92" s="548"/>
      <c r="WQ92" s="548"/>
      <c r="WR92" s="548"/>
      <c r="WS92" s="548"/>
      <c r="WT92" s="548"/>
      <c r="WU92" s="548"/>
      <c r="WV92" s="548"/>
      <c r="WW92" s="548"/>
      <c r="WX92" s="548"/>
      <c r="WY92" s="548"/>
      <c r="WZ92" s="548"/>
      <c r="XA92" s="548"/>
      <c r="XB92" s="548"/>
      <c r="XC92" s="548"/>
      <c r="XD92" s="548"/>
      <c r="XE92" s="548"/>
      <c r="XF92" s="548"/>
      <c r="XG92" s="548"/>
      <c r="XH92" s="548"/>
      <c r="XI92" s="548"/>
      <c r="XJ92" s="548"/>
      <c r="XK92" s="548"/>
      <c r="XL92" s="548"/>
      <c r="XM92" s="548"/>
      <c r="XN92" s="548"/>
      <c r="XO92" s="548"/>
      <c r="XP92" s="548"/>
      <c r="XQ92" s="548"/>
      <c r="XR92" s="548"/>
      <c r="XS92" s="548"/>
      <c r="XT92" s="548"/>
      <c r="XU92" s="548"/>
      <c r="XV92" s="548"/>
      <c r="XW92" s="548"/>
      <c r="XX92" s="548"/>
      <c r="XY92" s="548"/>
      <c r="XZ92" s="548"/>
      <c r="YA92" s="548"/>
      <c r="YB92" s="548"/>
      <c r="YC92" s="548"/>
      <c r="YD92" s="548"/>
      <c r="YE92" s="548"/>
      <c r="YF92" s="548"/>
      <c r="YG92" s="548"/>
      <c r="YH92" s="548"/>
      <c r="YI92" s="548"/>
      <c r="YJ92" s="548"/>
      <c r="YK92" s="548"/>
      <c r="YL92" s="548"/>
      <c r="YM92" s="548"/>
      <c r="YN92" s="548"/>
      <c r="YO92" s="548"/>
      <c r="YP92" s="548"/>
      <c r="YQ92" s="548"/>
      <c r="YR92" s="548"/>
      <c r="YS92" s="548"/>
      <c r="YT92" s="548"/>
      <c r="YU92" s="548"/>
      <c r="YV92" s="548"/>
      <c r="YW92" s="548"/>
      <c r="YX92" s="548"/>
      <c r="YY92" s="548"/>
      <c r="YZ92" s="548"/>
      <c r="ZA92" s="548"/>
      <c r="ZB92" s="548"/>
      <c r="ZC92" s="548"/>
      <c r="ZD92" s="548"/>
      <c r="ZE92" s="548"/>
      <c r="ZF92" s="548"/>
      <c r="ZG92" s="548"/>
      <c r="ZH92" s="548"/>
      <c r="ZI92" s="548"/>
      <c r="ZJ92" s="548"/>
      <c r="ZK92" s="548"/>
      <c r="ZL92" s="548"/>
      <c r="ZM92" s="548"/>
      <c r="ZN92" s="548"/>
      <c r="ZO92" s="548"/>
      <c r="ZP92" s="548"/>
      <c r="ZQ92" s="548"/>
      <c r="ZR92" s="548"/>
      <c r="ZS92" s="548"/>
      <c r="ZT92" s="548"/>
      <c r="ZU92" s="548"/>
      <c r="ZV92" s="548"/>
      <c r="ZW92" s="548"/>
      <c r="ZX92" s="548"/>
      <c r="ZY92" s="548"/>
      <c r="ZZ92" s="548"/>
      <c r="AAA92" s="548"/>
      <c r="AAB92" s="548"/>
      <c r="AAC92" s="548"/>
      <c r="AAD92" s="548"/>
      <c r="AAE92" s="548"/>
      <c r="AAF92" s="548"/>
      <c r="AAG92" s="548"/>
      <c r="AAH92" s="548"/>
      <c r="AAI92" s="548"/>
      <c r="AAJ92" s="548"/>
      <c r="AAK92" s="548"/>
      <c r="AAL92" s="548"/>
      <c r="AAM92" s="548"/>
      <c r="AAN92" s="548"/>
      <c r="AAO92" s="548"/>
      <c r="AAP92" s="548"/>
      <c r="AAQ92" s="548"/>
      <c r="AAR92" s="548"/>
      <c r="AAS92" s="548"/>
      <c r="AAT92" s="548"/>
      <c r="AAU92" s="548"/>
      <c r="AAV92" s="548"/>
      <c r="AAW92" s="548"/>
      <c r="AAX92" s="548"/>
      <c r="AAY92" s="548"/>
      <c r="AAZ92" s="548"/>
      <c r="ABA92" s="548"/>
      <c r="ABB92" s="548"/>
      <c r="ABC92" s="548"/>
      <c r="ABD92" s="548"/>
      <c r="ABE92" s="548"/>
      <c r="ABF92" s="548"/>
      <c r="ABG92" s="548"/>
      <c r="ABH92" s="548"/>
      <c r="ABI92" s="548"/>
      <c r="ABJ92" s="548"/>
      <c r="ABK92" s="548"/>
      <c r="ABL92" s="548"/>
      <c r="ABM92" s="548"/>
      <c r="ABN92" s="548"/>
      <c r="ABO92" s="548"/>
      <c r="ABP92" s="548"/>
      <c r="ABQ92" s="548"/>
      <c r="ABR92" s="548"/>
      <c r="ABS92" s="548"/>
    </row>
    <row r="93" spans="1:747" customFormat="1" ht="15" customHeight="1" x14ac:dyDescent="0.2">
      <c r="A93" s="424" t="str">
        <f t="shared" si="909"/>
        <v/>
      </c>
      <c r="B93" s="415"/>
      <c r="C93" s="525"/>
      <c r="D93" s="750"/>
      <c r="E93" s="416" t="str">
        <f t="shared" si="751"/>
        <v/>
      </c>
      <c r="F93" s="527" t="str">
        <f t="shared" si="752"/>
        <v/>
      </c>
      <c r="G93" s="417"/>
      <c r="H93" s="585" t="str">
        <f t="shared" si="753"/>
        <v/>
      </c>
      <c r="I93" s="424"/>
      <c r="J93" s="419"/>
      <c r="K93" s="418"/>
      <c r="L93" s="419"/>
      <c r="M93" s="415"/>
      <c r="N93" s="420"/>
      <c r="O93" s="421"/>
      <c r="P93" s="561"/>
      <c r="Q93" s="422"/>
      <c r="R93" s="561" t="str">
        <f t="shared" si="754"/>
        <v/>
      </c>
      <c r="S93" s="664"/>
      <c r="T93" s="663"/>
      <c r="U93" s="580">
        <f t="shared" si="755"/>
        <v>0</v>
      </c>
      <c r="V93" s="418"/>
      <c r="W93" s="582" t="str">
        <f t="shared" si="756"/>
        <v/>
      </c>
      <c r="X93" s="479" t="str">
        <f t="shared" si="757"/>
        <v/>
      </c>
      <c r="Y93" s="582" t="str">
        <f t="shared" si="758"/>
        <v/>
      </c>
      <c r="Z93" s="317" t="str">
        <f t="shared" si="759"/>
        <v/>
      </c>
      <c r="AA93" s="317" t="str">
        <f t="shared" si="760"/>
        <v/>
      </c>
      <c r="AB93" s="317">
        <f t="shared" si="761"/>
        <v>0</v>
      </c>
      <c r="AC93" s="317" t="str">
        <f t="shared" si="762"/>
        <v/>
      </c>
      <c r="AD93" s="479"/>
      <c r="AE93" s="479"/>
      <c r="AF93" s="479"/>
      <c r="AG93" s="423"/>
      <c r="AH93" s="820"/>
      <c r="AI93" s="437"/>
      <c r="AJ93" s="660"/>
      <c r="AK93" s="524" t="str">
        <f t="shared" si="763"/>
        <v/>
      </c>
      <c r="AL93" s="731">
        <f>SUMIF($J$4:$J$102,"Grêmio",$S$4:$S$102)</f>
        <v>0</v>
      </c>
      <c r="AM93" s="732">
        <f>SUMIF($J$4:$J$102,"Grêmio",$T$4:$T$102)</f>
        <v>0</v>
      </c>
      <c r="AN93" s="426">
        <f t="shared" si="764"/>
        <v>0</v>
      </c>
      <c r="AO93" s="427" t="str">
        <f t="shared" si="765"/>
        <v/>
      </c>
      <c r="AP93" s="426" t="str">
        <f t="shared" si="766"/>
        <v/>
      </c>
      <c r="AQ93" s="426"/>
      <c r="AR93" s="426"/>
      <c r="AS93" s="428"/>
      <c r="AT93" s="429"/>
      <c r="AU93" s="430"/>
      <c r="AV93" s="431"/>
      <c r="AW93" s="432"/>
      <c r="AX93" s="430"/>
      <c r="AY93" s="431">
        <f t="shared" si="767"/>
        <v>0</v>
      </c>
      <c r="AZ93" s="426"/>
      <c r="BA93" s="435" t="str">
        <f t="shared" si="768"/>
        <v/>
      </c>
      <c r="BB93" s="435"/>
      <c r="BC93" s="426"/>
      <c r="BD93" s="426">
        <f t="array" ref="BD93">IF(SUM((BC93=$BC$3:BC92)*1)=0,BC93,0)</f>
        <v>0</v>
      </c>
      <c r="BE93" s="426"/>
      <c r="BF93" s="426"/>
      <c r="BG93" s="426">
        <f t="array" ref="BG93">IF(SUM((BF93=$BF$3:BF92)*1)=0,BF93,0)</f>
        <v>0</v>
      </c>
      <c r="BH93" s="426"/>
      <c r="BI93" s="426"/>
      <c r="BJ93" s="426"/>
      <c r="BK93" s="426"/>
      <c r="BL93" s="426"/>
      <c r="BM93" s="426"/>
      <c r="BN93" s="426"/>
      <c r="BO93" s="426"/>
      <c r="BP93" s="433">
        <f t="shared" si="769"/>
        <v>0</v>
      </c>
      <c r="BQ93" s="426"/>
      <c r="BR93" s="434"/>
      <c r="BS93" s="426"/>
      <c r="BT93" s="433"/>
      <c r="BU93" s="435"/>
      <c r="BV93" s="435" t="str">
        <f t="shared" si="770"/>
        <v/>
      </c>
      <c r="BW93" s="435" t="str">
        <f t="shared" si="798"/>
        <v/>
      </c>
      <c r="BX93" s="435"/>
      <c r="BY93" s="435"/>
      <c r="BZ93" s="435"/>
      <c r="CA93" s="435"/>
      <c r="CB93" s="435"/>
      <c r="CC93" s="435"/>
      <c r="CD93" s="435"/>
      <c r="CE93" s="435"/>
      <c r="CF93" s="435"/>
      <c r="CG93" s="435"/>
      <c r="CH93" s="435"/>
      <c r="CI93" s="435"/>
      <c r="CJ93" s="426" t="str">
        <f t="shared" si="799"/>
        <v/>
      </c>
      <c r="CK93" s="435"/>
      <c r="CL93" s="426"/>
      <c r="CM93" s="435"/>
      <c r="CN93" s="426"/>
      <c r="CO93" s="426"/>
      <c r="CP93" s="426"/>
      <c r="CQ93" s="426"/>
      <c r="CR93" s="426"/>
      <c r="CS93" s="426"/>
      <c r="CT93" s="426"/>
      <c r="CU93" s="426"/>
      <c r="CV93" s="426"/>
      <c r="CW93" s="493"/>
      <c r="CX93" s="493"/>
      <c r="CY93" s="426">
        <v>90</v>
      </c>
      <c r="CZ93" s="493"/>
      <c r="DA93" s="493"/>
      <c r="DB93" s="493"/>
      <c r="DC93" s="426" t="s">
        <v>833</v>
      </c>
      <c r="DD93" s="426" t="s">
        <v>993</v>
      </c>
      <c r="DE93" s="435" t="str">
        <f t="shared" si="800"/>
        <v/>
      </c>
      <c r="DF93" s="435" t="str">
        <f t="shared" si="801"/>
        <v/>
      </c>
      <c r="DG93" s="435" t="str">
        <f t="shared" si="802"/>
        <v/>
      </c>
      <c r="DH93" s="435" t="str">
        <f t="shared" si="803"/>
        <v/>
      </c>
      <c r="DI93" s="435" t="str">
        <f t="shared" si="804"/>
        <v/>
      </c>
      <c r="DJ93" s="435" t="str">
        <f t="shared" si="805"/>
        <v/>
      </c>
      <c r="DK93" s="435" t="str">
        <f t="shared" si="771"/>
        <v/>
      </c>
      <c r="DL93" s="435" t="str">
        <f t="shared" si="772"/>
        <v/>
      </c>
      <c r="DM93" s="435" t="str">
        <f t="shared" si="806"/>
        <v/>
      </c>
      <c r="DN93" s="435" t="str">
        <f t="shared" si="807"/>
        <v/>
      </c>
      <c r="DO93" s="435" t="str">
        <f t="shared" si="773"/>
        <v/>
      </c>
      <c r="DP93" s="435" t="str">
        <f t="shared" si="774"/>
        <v/>
      </c>
      <c r="DQ93" s="435" t="str">
        <f t="shared" si="808"/>
        <v/>
      </c>
      <c r="DR93" s="435" t="str">
        <f t="shared" si="809"/>
        <v/>
      </c>
      <c r="DS93" s="435" t="str">
        <f t="shared" si="775"/>
        <v/>
      </c>
      <c r="DT93" s="435" t="str">
        <f t="shared" si="776"/>
        <v/>
      </c>
      <c r="DU93" s="435" t="str">
        <f t="shared" si="810"/>
        <v/>
      </c>
      <c r="DV93" s="435" t="str">
        <f t="shared" si="811"/>
        <v/>
      </c>
      <c r="DW93" s="435" t="str">
        <f t="shared" si="777"/>
        <v/>
      </c>
      <c r="DX93" s="435" t="str">
        <f t="shared" si="778"/>
        <v/>
      </c>
      <c r="DY93" s="435" t="str">
        <f t="shared" si="812"/>
        <v/>
      </c>
      <c r="DZ93" s="435" t="str">
        <f t="shared" si="813"/>
        <v/>
      </c>
      <c r="EA93" s="435" t="str">
        <f t="shared" si="779"/>
        <v/>
      </c>
      <c r="EB93" s="435" t="str">
        <f t="shared" si="780"/>
        <v/>
      </c>
      <c r="EC93" s="435" t="str">
        <f t="shared" si="781"/>
        <v/>
      </c>
      <c r="ED93" s="435" t="str">
        <f t="shared" si="782"/>
        <v/>
      </c>
      <c r="EE93" s="435" t="str">
        <f t="shared" si="783"/>
        <v/>
      </c>
      <c r="EF93" s="435" t="str">
        <f t="shared" si="784"/>
        <v/>
      </c>
      <c r="EG93" s="435" t="str">
        <f t="shared" si="785"/>
        <v/>
      </c>
      <c r="EH93" s="435" t="str">
        <f t="shared" si="786"/>
        <v/>
      </c>
      <c r="EI93" s="435" t="str">
        <f t="shared" si="787"/>
        <v/>
      </c>
      <c r="EJ93" s="435" t="str">
        <f t="shared" si="788"/>
        <v/>
      </c>
      <c r="EK93" s="485"/>
      <c r="EL93" s="485"/>
      <c r="EM93" s="485"/>
      <c r="EN93" s="485"/>
      <c r="EO93" s="448"/>
      <c r="EP93" s="448"/>
      <c r="EQ93" s="448"/>
      <c r="ER93" s="448"/>
      <c r="ES93" s="448"/>
      <c r="ET93" s="435"/>
      <c r="EU93" s="435"/>
      <c r="EV93" s="435"/>
      <c r="EW93" s="435"/>
      <c r="EX93" s="426"/>
      <c r="EY93" s="426"/>
      <c r="EZ93" s="426"/>
      <c r="FA93" s="863"/>
      <c r="FB93" s="427">
        <f t="array" ref="FB93">IF(SUM((FA93=$FA$3:FA92)*1)=0,FA93,0)</f>
        <v>0</v>
      </c>
      <c r="FC93" s="863"/>
      <c r="FD93" s="863"/>
      <c r="FE93" s="863">
        <f t="array" ref="FE93">IF(SUM((FD93=$FD$3:FD92)*1)=0,FD93,0)</f>
        <v>0</v>
      </c>
      <c r="FF93" s="863"/>
      <c r="FG93" s="863"/>
      <c r="FH93" s="863"/>
      <c r="FI93" s="427">
        <f t="array" ref="FI93">IF(SUM((FH93=$FH$3:FH92)*1)=0,FH93,0)</f>
        <v>0</v>
      </c>
      <c r="FJ93" s="863"/>
      <c r="FK93" s="863"/>
      <c r="FL93" s="863">
        <f t="array" ref="FL93">IF(SUM((FK93=$FK$3:FK92)*1)=0,FK93,0)</f>
        <v>0</v>
      </c>
      <c r="FM93" s="863"/>
      <c r="FN93" s="863"/>
      <c r="FO93" s="863"/>
      <c r="FP93" s="427">
        <f t="array" ref="FP93">IF(SUM((FO93=$FO$3:FO92)*1)=0,FO93,0)</f>
        <v>0</v>
      </c>
      <c r="FQ93" s="863"/>
      <c r="FR93" s="863"/>
      <c r="FS93" s="863">
        <f t="array" ref="FS93">IF(SUM((FR93=$FR$3:FR92)*1)=0,FR93,0)</f>
        <v>0</v>
      </c>
      <c r="FT93" s="863"/>
      <c r="FU93" s="863"/>
      <c r="FV93" s="863"/>
      <c r="FW93" s="427">
        <f t="array" ref="FW93">IF(SUM((FV93=$FV$3:FV92)*1)=0,FV93,0)</f>
        <v>0</v>
      </c>
      <c r="FX93" s="863"/>
      <c r="FY93" s="863"/>
      <c r="FZ93" s="863">
        <f t="array" ref="FZ93">IF(SUM((FY93=$FY$3:FY92)*1)=0,FY93,0)</f>
        <v>0</v>
      </c>
      <c r="GA93" s="863"/>
      <c r="GB93" s="863"/>
      <c r="GC93" s="863"/>
      <c r="GD93" s="427">
        <f t="array" ref="GD93">IF(SUM((GC93=$GC$3:GC92)*1)=0,GC93,0)</f>
        <v>0</v>
      </c>
      <c r="GE93" s="863"/>
      <c r="GF93" s="863"/>
      <c r="GG93" s="863">
        <f t="array" ref="GG93">IF(SUM((GF93=$GF$3:GF92)*1)=0,GF93,0)</f>
        <v>0</v>
      </c>
      <c r="GH93" s="863"/>
      <c r="GI93" s="863"/>
      <c r="GJ93" s="863"/>
      <c r="GK93" s="798">
        <f t="array" ref="GK93">IF(SUM((GJ93=$GJ$3:GJ92)*1)=0,GJ93,0)</f>
        <v>0</v>
      </c>
      <c r="GL93" s="863"/>
      <c r="GM93" s="863"/>
      <c r="GN93" s="798">
        <f t="array" ref="GN93">IF(SUM((GM93=$GM$3:GM92)*1)=0,GM93,0)</f>
        <v>0</v>
      </c>
      <c r="GO93" s="863"/>
      <c r="GP93" s="863"/>
      <c r="GQ93" s="863"/>
      <c r="GR93" s="798">
        <f t="array" ref="GR93">IF(SUM((GQ93=$GQ$3:GQ92)*1)=0,GQ93,0)</f>
        <v>0</v>
      </c>
      <c r="GS93" s="863"/>
      <c r="GT93" s="863"/>
      <c r="GU93" s="798">
        <f t="array" ref="GU93">IF(SUM((GT93=$GT$3:GT92)*1)=0,GT93,0)</f>
        <v>0</v>
      </c>
      <c r="GV93" s="863"/>
      <c r="GW93" s="863"/>
      <c r="GX93" s="863"/>
      <c r="GY93" s="798">
        <f t="array" ref="GY93">IF(SUM((GX93=$GX$3:GX92)*1)=0,GX93,0)</f>
        <v>0</v>
      </c>
      <c r="GZ93" s="863"/>
      <c r="HA93" s="863"/>
      <c r="HB93" s="798">
        <f t="array" ref="HB93">IF(SUM((HA93=$HA$3:HA92)*1)=0,HA93,0)</f>
        <v>0</v>
      </c>
      <c r="HC93" s="863"/>
      <c r="HD93" s="863"/>
      <c r="HE93" s="769" t="str">
        <f t="shared" si="889"/>
        <v/>
      </c>
      <c r="HF93" s="768" t="str">
        <f t="shared" ref="HF93" si="1108">IF(HE93&lt;0,"Invadiu REP-BA-C","")</f>
        <v/>
      </c>
      <c r="HG93" s="769" t="str">
        <f t="shared" si="891"/>
        <v/>
      </c>
      <c r="HH93" s="768" t="str">
        <f t="shared" si="815"/>
        <v/>
      </c>
      <c r="HI93" s="728" t="str">
        <f t="shared" si="892"/>
        <v/>
      </c>
      <c r="HJ93" s="768" t="str">
        <f t="shared" si="816"/>
        <v/>
      </c>
      <c r="HK93" s="728" t="str">
        <f t="shared" si="893"/>
        <v/>
      </c>
      <c r="HL93" s="768" t="str">
        <f t="shared" si="817"/>
        <v/>
      </c>
      <c r="HM93" s="769" t="str">
        <f t="shared" si="818"/>
        <v/>
      </c>
      <c r="HN93" s="768" t="str">
        <f t="shared" ref="HN93" si="1109">IF(HM93&lt;0,"Invadiu REP-BA-C","")</f>
        <v/>
      </c>
      <c r="HO93" s="769" t="str">
        <f t="shared" si="820"/>
        <v/>
      </c>
      <c r="HP93" s="768" t="str">
        <f t="shared" si="821"/>
        <v/>
      </c>
      <c r="HQ93" s="728" t="str">
        <f t="shared" si="822"/>
        <v/>
      </c>
      <c r="HR93" s="768" t="str">
        <f t="shared" si="823"/>
        <v/>
      </c>
      <c r="HS93" s="728" t="str">
        <f t="shared" si="824"/>
        <v/>
      </c>
      <c r="HT93" s="768" t="str">
        <f t="shared" si="825"/>
        <v/>
      </c>
      <c r="HU93" s="769" t="str">
        <f t="shared" si="826"/>
        <v/>
      </c>
      <c r="HV93" s="768" t="str">
        <f t="shared" ref="HV93" si="1110">IF(HU93&lt;0,"Invadiu REP-BA-C","")</f>
        <v/>
      </c>
      <c r="HW93" s="769" t="str">
        <f t="shared" si="828"/>
        <v/>
      </c>
      <c r="HX93" s="768" t="str">
        <f t="shared" si="829"/>
        <v/>
      </c>
      <c r="HY93" s="728" t="str">
        <f t="shared" si="830"/>
        <v/>
      </c>
      <c r="HZ93" s="768" t="str">
        <f t="shared" si="831"/>
        <v/>
      </c>
      <c r="IA93" s="728" t="str">
        <f t="shared" si="832"/>
        <v/>
      </c>
      <c r="IB93" s="768" t="str">
        <f t="shared" si="833"/>
        <v/>
      </c>
      <c r="IC93" s="769" t="str">
        <f t="shared" si="834"/>
        <v/>
      </c>
      <c r="ID93" s="768" t="str">
        <f t="shared" ref="ID93" si="1111">IF(IC93&lt;0,"Invadiu REP-BA-C","")</f>
        <v/>
      </c>
      <c r="IE93" s="769" t="str">
        <f t="shared" si="836"/>
        <v/>
      </c>
      <c r="IF93" s="768" t="str">
        <f t="shared" si="837"/>
        <v/>
      </c>
      <c r="IG93" s="728" t="str">
        <f t="shared" si="838"/>
        <v/>
      </c>
      <c r="IH93" s="768" t="str">
        <f t="shared" si="839"/>
        <v/>
      </c>
      <c r="II93" s="728" t="str">
        <f t="shared" si="840"/>
        <v/>
      </c>
      <c r="IJ93" s="768" t="str">
        <f t="shared" si="841"/>
        <v/>
      </c>
      <c r="IK93" s="769" t="str">
        <f t="shared" si="842"/>
        <v/>
      </c>
      <c r="IL93" s="768" t="str">
        <f t="shared" ref="IL93" si="1112">IF(IK93&lt;0,"Invadiu REP-BA-C","")</f>
        <v/>
      </c>
      <c r="IM93" s="769" t="str">
        <f t="shared" si="844"/>
        <v/>
      </c>
      <c r="IN93" s="768" t="str">
        <f t="shared" si="845"/>
        <v/>
      </c>
      <c r="IO93" s="728" t="str">
        <f t="shared" si="846"/>
        <v/>
      </c>
      <c r="IP93" s="768" t="str">
        <f t="shared" si="847"/>
        <v/>
      </c>
      <c r="IQ93" s="728" t="str">
        <f t="shared" si="848"/>
        <v/>
      </c>
      <c r="IR93" s="768" t="str">
        <f t="shared" si="849"/>
        <v/>
      </c>
      <c r="IS93" s="769" t="str">
        <f t="shared" si="850"/>
        <v/>
      </c>
      <c r="IT93" s="768" t="str">
        <f t="shared" ref="IT93" si="1113">IF(IS93&lt;0,"Invadiu REP-BA-C","")</f>
        <v/>
      </c>
      <c r="IU93" s="769" t="str">
        <f t="shared" si="852"/>
        <v/>
      </c>
      <c r="IV93" s="768" t="str">
        <f t="shared" si="853"/>
        <v/>
      </c>
      <c r="IW93" s="728" t="str">
        <f t="shared" si="854"/>
        <v/>
      </c>
      <c r="IX93" s="768" t="str">
        <f t="shared" si="855"/>
        <v/>
      </c>
      <c r="IY93" s="728" t="str">
        <f t="shared" si="856"/>
        <v/>
      </c>
      <c r="IZ93" s="768" t="str">
        <f t="shared" si="857"/>
        <v/>
      </c>
      <c r="JA93" s="769" t="str">
        <f t="shared" si="858"/>
        <v/>
      </c>
      <c r="JB93" s="768" t="str">
        <f t="shared" ref="JB93" si="1114">IF(JA93&lt;0,"Invadiu REP-BA-C","")</f>
        <v/>
      </c>
      <c r="JC93" s="769" t="str">
        <f t="shared" si="860"/>
        <v/>
      </c>
      <c r="JD93" s="768" t="str">
        <f t="shared" si="861"/>
        <v/>
      </c>
      <c r="JE93" s="728" t="str">
        <f t="shared" si="862"/>
        <v/>
      </c>
      <c r="JF93" s="768" t="str">
        <f t="shared" si="863"/>
        <v/>
      </c>
      <c r="JG93" s="728" t="str">
        <f t="shared" si="864"/>
        <v/>
      </c>
      <c r="JH93" s="768" t="str">
        <f t="shared" si="865"/>
        <v/>
      </c>
      <c r="JI93" s="769" t="str">
        <f t="shared" si="866"/>
        <v/>
      </c>
      <c r="JJ93" s="768" t="str">
        <f t="shared" ref="JJ93" si="1115">IF(JI93&lt;0,"Invadiu REP-BA-C","")</f>
        <v/>
      </c>
      <c r="JK93" s="769" t="str">
        <f t="shared" si="868"/>
        <v/>
      </c>
      <c r="JL93" s="768" t="str">
        <f t="shared" si="869"/>
        <v/>
      </c>
      <c r="JM93" s="728" t="str">
        <f t="shared" si="870"/>
        <v/>
      </c>
      <c r="JN93" s="768" t="str">
        <f t="shared" si="871"/>
        <v/>
      </c>
      <c r="JO93" s="728" t="str">
        <f t="shared" si="872"/>
        <v/>
      </c>
      <c r="JP93" s="768" t="str">
        <f t="shared" si="873"/>
        <v/>
      </c>
      <c r="JQ93" s="769" t="str">
        <f t="shared" si="874"/>
        <v/>
      </c>
      <c r="JR93" s="768" t="str">
        <f t="shared" ref="JR93" si="1116">IF(JQ93&lt;0,"Invadiu REP-BA-C","")</f>
        <v/>
      </c>
      <c r="JS93" s="769" t="str">
        <f t="shared" si="876"/>
        <v/>
      </c>
      <c r="JT93" s="768" t="str">
        <f t="shared" si="877"/>
        <v/>
      </c>
      <c r="JU93" s="728" t="str">
        <f t="shared" si="878"/>
        <v/>
      </c>
      <c r="JV93" s="768" t="str">
        <f t="shared" si="879"/>
        <v/>
      </c>
      <c r="JW93" s="728" t="str">
        <f t="shared" si="880"/>
        <v/>
      </c>
      <c r="JX93" s="768" t="str">
        <f t="shared" si="881"/>
        <v/>
      </c>
      <c r="JY93" s="768" t="str">
        <f t="shared" si="882"/>
        <v/>
      </c>
      <c r="JZ93" s="485" t="str">
        <f>IF(JY93="","",IF(AND(C93=$C$164,JY93&lt;&gt;""),Verificarcpf(D93),IF(AND(C93=$C$165,JY93&lt;&gt;""),VerificarCNPJ(D93))))</f>
        <v/>
      </c>
      <c r="KA93" s="768" t="str">
        <f t="shared" si="883"/>
        <v/>
      </c>
      <c r="KB93" s="485">
        <f t="shared" si="884"/>
        <v>0</v>
      </c>
      <c r="KC93" s="768">
        <f t="shared" si="885"/>
        <v>0</v>
      </c>
      <c r="KD93" s="485">
        <f t="shared" si="886"/>
        <v>0</v>
      </c>
      <c r="KE93" s="448"/>
      <c r="KF93" s="548"/>
      <c r="KG93" s="548"/>
      <c r="KH93" s="548"/>
      <c r="KI93" s="548"/>
      <c r="KJ93" s="548" t="str">
        <f t="shared" si="887"/>
        <v/>
      </c>
      <c r="KK93" s="548"/>
      <c r="KL93" s="548"/>
      <c r="KM93" s="548">
        <f t="array" ref="KM93">IF(SUM((KL93=$KL$3:KL92)*1)=0,KL93,0)</f>
        <v>0</v>
      </c>
      <c r="KN93" s="548"/>
      <c r="KO93" s="548"/>
      <c r="KP93" s="548"/>
      <c r="KQ93" s="548"/>
      <c r="KR93" s="548" t="str">
        <f t="shared" si="888"/>
        <v/>
      </c>
      <c r="KS93" s="548"/>
      <c r="KT93" s="548"/>
      <c r="KU93" s="548"/>
      <c r="KV93" s="548"/>
      <c r="KW93" s="548"/>
      <c r="KX93" s="548"/>
      <c r="KY93" s="548"/>
      <c r="KZ93" s="548"/>
      <c r="LA93" s="548"/>
      <c r="LB93" s="548"/>
      <c r="LC93" s="485" t="str">
        <f t="shared" si="902"/>
        <v/>
      </c>
      <c r="LD93" s="548"/>
      <c r="LE93" s="548"/>
      <c r="LF93" s="548"/>
      <c r="LG93" s="548"/>
      <c r="LH93" s="548"/>
      <c r="LI93" s="548"/>
      <c r="LJ93" s="548"/>
      <c r="LK93" s="548"/>
      <c r="LL93" s="548"/>
      <c r="LM93" s="548"/>
      <c r="LN93" s="548"/>
      <c r="LO93" s="548"/>
      <c r="LP93" s="485" t="str">
        <f t="shared" si="903"/>
        <v/>
      </c>
      <c r="LQ93" s="548"/>
      <c r="LR93" s="548"/>
      <c r="LS93" s="548"/>
      <c r="LT93" s="548"/>
      <c r="LU93" s="548"/>
      <c r="LV93" s="548"/>
      <c r="LW93" s="548"/>
      <c r="LX93" s="548"/>
      <c r="LY93" s="548"/>
      <c r="LZ93" s="548"/>
      <c r="MA93" s="548"/>
      <c r="MB93" s="548"/>
      <c r="MC93" s="485" t="str">
        <f t="shared" si="904"/>
        <v/>
      </c>
      <c r="MD93" s="548"/>
      <c r="ME93" s="548"/>
      <c r="MF93" s="548"/>
      <c r="MG93" s="548"/>
      <c r="MH93" s="548"/>
      <c r="MI93" s="548"/>
      <c r="MJ93" s="548"/>
      <c r="MK93" s="548"/>
      <c r="ML93" s="548"/>
      <c r="MM93" s="548"/>
      <c r="MN93" s="548"/>
      <c r="MO93" s="548"/>
      <c r="MP93" s="485" t="str">
        <f t="shared" si="905"/>
        <v/>
      </c>
      <c r="MQ93" s="548"/>
      <c r="MR93" s="548"/>
      <c r="MS93" s="548"/>
      <c r="MT93" s="548"/>
      <c r="MU93" s="548"/>
      <c r="MV93" s="548"/>
      <c r="MW93" s="548"/>
      <c r="MX93" s="548"/>
      <c r="MY93" s="548"/>
      <c r="MZ93" s="548"/>
      <c r="NA93" s="548"/>
      <c r="NB93" s="548"/>
      <c r="NC93" s="485" t="str">
        <f t="shared" si="906"/>
        <v/>
      </c>
      <c r="ND93" s="548"/>
      <c r="NE93" s="548"/>
      <c r="NF93" s="548"/>
      <c r="NG93" s="548"/>
      <c r="NH93" s="548"/>
      <c r="NI93" s="548"/>
      <c r="NJ93" s="548"/>
      <c r="NK93" s="548"/>
      <c r="NL93" s="548"/>
      <c r="NM93" s="548"/>
      <c r="NN93" s="548"/>
      <c r="NO93" s="548"/>
      <c r="NP93" s="485" t="str">
        <f t="shared" si="907"/>
        <v/>
      </c>
      <c r="NQ93" s="548"/>
      <c r="NR93" s="548"/>
      <c r="NS93" s="548"/>
      <c r="NT93" s="548"/>
      <c r="NU93" s="548"/>
      <c r="NV93" s="548"/>
      <c r="NW93" s="548"/>
      <c r="NX93" s="548"/>
      <c r="NY93" s="548"/>
      <c r="NZ93" s="548"/>
      <c r="OA93" s="548"/>
      <c r="OB93" s="548"/>
      <c r="OC93" s="485" t="str">
        <f t="shared" si="908"/>
        <v/>
      </c>
      <c r="OD93" s="548"/>
      <c r="OE93" s="548"/>
      <c r="OF93" s="548"/>
      <c r="OG93" s="548"/>
      <c r="OH93" s="548"/>
      <c r="OI93" s="548"/>
      <c r="OJ93" s="548"/>
      <c r="OK93" s="548"/>
      <c r="OL93" s="548"/>
      <c r="OM93" s="548"/>
      <c r="ON93" s="548"/>
      <c r="OO93" s="548"/>
      <c r="OP93" s="548"/>
      <c r="OQ93" s="548"/>
      <c r="OR93" s="548"/>
      <c r="OS93" s="548"/>
      <c r="OT93" s="548"/>
      <c r="OU93" s="548"/>
      <c r="OV93" s="548"/>
      <c r="OW93" s="548"/>
      <c r="OX93" s="548"/>
      <c r="OY93" s="548"/>
      <c r="OZ93" s="548"/>
      <c r="PA93" s="548"/>
      <c r="PB93" s="548"/>
      <c r="PC93" s="548"/>
      <c r="PD93" s="548"/>
      <c r="PE93" s="548"/>
      <c r="PF93" s="548"/>
      <c r="PG93" s="548"/>
      <c r="PH93" s="548"/>
      <c r="PI93" s="548"/>
      <c r="PJ93" s="548"/>
      <c r="PK93" s="548"/>
      <c r="PL93" s="548"/>
      <c r="PM93" s="548"/>
      <c r="PN93" s="548"/>
      <c r="PO93" s="548"/>
      <c r="PP93" s="548"/>
      <c r="PQ93" s="548"/>
      <c r="PR93" s="548"/>
      <c r="PS93" s="548"/>
      <c r="PT93" s="548"/>
      <c r="PU93" s="548"/>
      <c r="PV93" s="548"/>
      <c r="PW93" s="548"/>
      <c r="PX93" s="548"/>
      <c r="PY93" s="548"/>
      <c r="PZ93" s="548"/>
      <c r="QA93" s="548"/>
      <c r="QB93" s="548"/>
      <c r="QC93" s="548"/>
      <c r="QD93" s="548"/>
      <c r="QE93" s="548"/>
      <c r="QF93" s="548"/>
      <c r="QG93" s="548"/>
      <c r="QH93" s="548"/>
      <c r="QI93" s="548"/>
      <c r="QJ93" s="548"/>
      <c r="QK93" s="548"/>
      <c r="QL93" s="548"/>
      <c r="QM93" s="548"/>
      <c r="QN93" s="548"/>
      <c r="QO93" s="548"/>
      <c r="QP93" s="548"/>
      <c r="QQ93" s="1009"/>
      <c r="QR93" s="548"/>
      <c r="QS93" s="548"/>
      <c r="QT93" s="548"/>
      <c r="QU93" s="548"/>
      <c r="QV93" s="548"/>
      <c r="QW93" s="548"/>
      <c r="QX93" s="548"/>
      <c r="QY93" s="548"/>
      <c r="QZ93" s="548"/>
      <c r="RA93" s="548"/>
      <c r="RB93" s="548"/>
      <c r="RC93" s="548"/>
      <c r="RD93" s="548"/>
      <c r="RE93" s="548"/>
      <c r="RF93" s="548"/>
      <c r="RG93" s="548"/>
      <c r="RH93" s="548"/>
      <c r="RI93" s="548"/>
      <c r="RJ93" s="548"/>
      <c r="RK93" s="548"/>
      <c r="RL93" s="548"/>
      <c r="RM93" s="548"/>
      <c r="RN93" s="548"/>
      <c r="RO93" s="548"/>
      <c r="RP93" s="548"/>
      <c r="RQ93" s="548"/>
      <c r="RR93" s="548"/>
      <c r="RS93" s="548"/>
      <c r="RT93" s="548"/>
      <c r="RU93" s="548"/>
      <c r="RV93" s="548"/>
      <c r="RW93" s="548"/>
      <c r="RX93" s="548"/>
      <c r="RY93" s="548"/>
      <c r="RZ93" s="548"/>
      <c r="SA93" s="548"/>
      <c r="SB93" s="548"/>
      <c r="SC93" s="548"/>
      <c r="SD93" s="548"/>
      <c r="SE93" s="548"/>
      <c r="SF93" s="548"/>
      <c r="SG93" s="548"/>
      <c r="SH93" s="548"/>
      <c r="SI93" s="548"/>
      <c r="SJ93" s="548"/>
      <c r="SK93" s="548"/>
      <c r="SL93" s="548"/>
      <c r="SM93" s="548"/>
      <c r="SN93" s="548"/>
      <c r="SO93" s="548"/>
      <c r="SP93" s="548"/>
      <c r="SQ93" s="548"/>
      <c r="SR93" s="548"/>
      <c r="SS93" s="548"/>
      <c r="ST93" s="548"/>
      <c r="SU93" s="548"/>
      <c r="SV93" s="548"/>
      <c r="SW93" s="548"/>
      <c r="SX93" s="548"/>
      <c r="SY93" s="548"/>
      <c r="SZ93" s="548"/>
      <c r="TA93" s="548"/>
      <c r="TB93" s="548"/>
      <c r="TC93" s="548"/>
      <c r="TD93" s="548"/>
      <c r="TE93" s="548"/>
      <c r="TF93" s="548"/>
      <c r="TG93" s="548"/>
      <c r="TH93" s="548"/>
      <c r="TI93" s="548"/>
      <c r="TJ93" s="548"/>
      <c r="TK93" s="548"/>
      <c r="TL93" s="548"/>
      <c r="TM93" s="548"/>
      <c r="TN93" s="548"/>
      <c r="TO93" s="548"/>
      <c r="TP93" s="548"/>
      <c r="TQ93" s="548"/>
      <c r="TR93" s="548"/>
      <c r="TS93" s="548"/>
      <c r="TT93" s="548"/>
      <c r="TU93" s="548"/>
      <c r="TV93" s="548"/>
      <c r="TW93" s="548"/>
      <c r="TX93" s="548"/>
      <c r="TY93" s="548"/>
      <c r="TZ93" s="548"/>
      <c r="UA93" s="548"/>
      <c r="UB93" s="548"/>
      <c r="UC93" s="548"/>
      <c r="UD93" s="548"/>
      <c r="UE93" s="548"/>
      <c r="UF93" s="548"/>
      <c r="UG93" s="548"/>
      <c r="UH93" s="548"/>
      <c r="UI93" s="548"/>
      <c r="UJ93" s="548"/>
      <c r="UK93" s="548"/>
      <c r="UL93" s="548"/>
      <c r="UM93" s="548"/>
      <c r="UN93" s="548"/>
      <c r="UO93" s="548"/>
      <c r="UP93" s="548"/>
      <c r="UQ93" s="548"/>
      <c r="UR93" s="548"/>
      <c r="US93" s="548"/>
      <c r="UT93" s="548"/>
      <c r="UU93" s="548"/>
      <c r="UV93" s="548"/>
      <c r="UW93" s="548"/>
      <c r="UX93" s="548"/>
      <c r="UY93" s="548"/>
      <c r="UZ93" s="548"/>
      <c r="VA93" s="548"/>
      <c r="VB93" s="548"/>
      <c r="VC93" s="548"/>
      <c r="VD93" s="548"/>
      <c r="VE93" s="548"/>
      <c r="VF93" s="548"/>
      <c r="VG93" s="548"/>
      <c r="VH93" s="548"/>
      <c r="VI93" s="548"/>
      <c r="VJ93" s="548"/>
      <c r="VK93" s="548"/>
      <c r="VL93" s="548"/>
      <c r="VM93" s="548"/>
      <c r="VN93" s="548"/>
      <c r="VO93" s="548"/>
      <c r="VP93" s="548"/>
      <c r="VQ93" s="548"/>
      <c r="VR93" s="548"/>
      <c r="VS93" s="548"/>
      <c r="VT93" s="548"/>
      <c r="VU93" s="548"/>
      <c r="VV93" s="548"/>
      <c r="VW93" s="548"/>
      <c r="VX93" s="548"/>
      <c r="VY93" s="548"/>
      <c r="VZ93" s="548"/>
      <c r="WA93" s="548"/>
      <c r="WB93" s="548"/>
      <c r="WC93" s="548"/>
      <c r="WD93" s="548"/>
      <c r="WE93" s="548"/>
      <c r="WF93" s="548"/>
      <c r="WG93" s="548"/>
      <c r="WH93" s="548"/>
      <c r="WI93" s="548"/>
      <c r="WJ93" s="548"/>
      <c r="WK93" s="548"/>
      <c r="WL93" s="548"/>
      <c r="WM93" s="548"/>
      <c r="WN93" s="548"/>
      <c r="WO93" s="548"/>
      <c r="WP93" s="548"/>
      <c r="WQ93" s="548"/>
      <c r="WR93" s="548"/>
      <c r="WS93" s="548"/>
      <c r="WT93" s="548"/>
      <c r="WU93" s="548"/>
      <c r="WV93" s="548"/>
      <c r="WW93" s="548"/>
      <c r="WX93" s="548"/>
      <c r="WY93" s="548"/>
      <c r="WZ93" s="548"/>
      <c r="XA93" s="548"/>
      <c r="XB93" s="548"/>
      <c r="XC93" s="548"/>
      <c r="XD93" s="548"/>
      <c r="XE93" s="548"/>
      <c r="XF93" s="548"/>
      <c r="XG93" s="548"/>
      <c r="XH93" s="548"/>
      <c r="XI93" s="548"/>
      <c r="XJ93" s="548"/>
      <c r="XK93" s="548"/>
      <c r="XL93" s="548"/>
      <c r="XM93" s="548"/>
      <c r="XN93" s="548"/>
      <c r="XO93" s="548"/>
      <c r="XP93" s="548"/>
      <c r="XQ93" s="548"/>
      <c r="XR93" s="548"/>
      <c r="XS93" s="548"/>
      <c r="XT93" s="548"/>
      <c r="XU93" s="548"/>
      <c r="XV93" s="548"/>
      <c r="XW93" s="548"/>
      <c r="XX93" s="548"/>
      <c r="XY93" s="548"/>
      <c r="XZ93" s="548"/>
      <c r="YA93" s="548"/>
      <c r="YB93" s="548"/>
      <c r="YC93" s="548"/>
      <c r="YD93" s="548"/>
      <c r="YE93" s="548"/>
      <c r="YF93" s="548"/>
      <c r="YG93" s="548"/>
      <c r="YH93" s="548"/>
      <c r="YI93" s="548"/>
      <c r="YJ93" s="548"/>
      <c r="YK93" s="548"/>
      <c r="YL93" s="548"/>
      <c r="YM93" s="548"/>
      <c r="YN93" s="548"/>
      <c r="YO93" s="548"/>
      <c r="YP93" s="548"/>
      <c r="YQ93" s="548"/>
      <c r="YR93" s="548"/>
      <c r="YS93" s="548"/>
      <c r="YT93" s="548"/>
      <c r="YU93" s="548"/>
      <c r="YV93" s="548"/>
      <c r="YW93" s="548"/>
      <c r="YX93" s="548"/>
      <c r="YY93" s="548"/>
      <c r="YZ93" s="548"/>
      <c r="ZA93" s="548"/>
      <c r="ZB93" s="548"/>
      <c r="ZC93" s="548"/>
      <c r="ZD93" s="548"/>
      <c r="ZE93" s="548"/>
      <c r="ZF93" s="548"/>
      <c r="ZG93" s="548"/>
      <c r="ZH93" s="548"/>
      <c r="ZI93" s="548"/>
      <c r="ZJ93" s="548"/>
      <c r="ZK93" s="548"/>
      <c r="ZL93" s="548"/>
      <c r="ZM93" s="548"/>
      <c r="ZN93" s="548"/>
      <c r="ZO93" s="548"/>
      <c r="ZP93" s="548"/>
      <c r="ZQ93" s="548"/>
      <c r="ZR93" s="548"/>
      <c r="ZS93" s="548"/>
      <c r="ZT93" s="548"/>
      <c r="ZU93" s="548"/>
      <c r="ZV93" s="548"/>
      <c r="ZW93" s="548"/>
      <c r="ZX93" s="548"/>
      <c r="ZY93" s="548"/>
      <c r="ZZ93" s="548"/>
      <c r="AAA93" s="548"/>
      <c r="AAB93" s="548"/>
      <c r="AAC93" s="548"/>
      <c r="AAD93" s="548"/>
      <c r="AAE93" s="548"/>
      <c r="AAF93" s="548"/>
      <c r="AAG93" s="548"/>
      <c r="AAH93" s="548"/>
      <c r="AAI93" s="548"/>
      <c r="AAJ93" s="548"/>
      <c r="AAK93" s="548"/>
      <c r="AAL93" s="548"/>
      <c r="AAM93" s="548"/>
      <c r="AAN93" s="548"/>
      <c r="AAO93" s="548"/>
      <c r="AAP93" s="548"/>
      <c r="AAQ93" s="548"/>
      <c r="AAR93" s="548"/>
      <c r="AAS93" s="548"/>
      <c r="AAT93" s="548"/>
      <c r="AAU93" s="548"/>
      <c r="AAV93" s="548"/>
      <c r="AAW93" s="548"/>
      <c r="AAX93" s="548"/>
      <c r="AAY93" s="548"/>
      <c r="AAZ93" s="548"/>
      <c r="ABA93" s="548"/>
      <c r="ABB93" s="548"/>
      <c r="ABC93" s="548"/>
      <c r="ABD93" s="548"/>
      <c r="ABE93" s="548"/>
      <c r="ABF93" s="548"/>
      <c r="ABG93" s="548"/>
      <c r="ABH93" s="548"/>
      <c r="ABI93" s="548"/>
      <c r="ABJ93" s="548"/>
      <c r="ABK93" s="548"/>
      <c r="ABL93" s="548"/>
      <c r="ABM93" s="548"/>
      <c r="ABN93" s="548"/>
      <c r="ABO93" s="548"/>
      <c r="ABP93" s="548"/>
      <c r="ABQ93" s="548"/>
      <c r="ABR93" s="548"/>
      <c r="ABS93" s="548"/>
    </row>
    <row r="94" spans="1:747" customFormat="1" ht="15" customHeight="1" x14ac:dyDescent="0.2">
      <c r="A94" s="424" t="str">
        <f t="shared" si="909"/>
        <v/>
      </c>
      <c r="B94" s="415"/>
      <c r="C94" s="525"/>
      <c r="D94" s="750"/>
      <c r="E94" s="416" t="str">
        <f t="shared" si="751"/>
        <v/>
      </c>
      <c r="F94" s="527" t="str">
        <f t="shared" si="752"/>
        <v/>
      </c>
      <c r="G94" s="417"/>
      <c r="H94" s="585" t="str">
        <f t="shared" si="753"/>
        <v/>
      </c>
      <c r="I94" s="424"/>
      <c r="J94" s="419"/>
      <c r="K94" s="418"/>
      <c r="L94" s="419"/>
      <c r="M94" s="415"/>
      <c r="N94" s="420"/>
      <c r="O94" s="421"/>
      <c r="P94" s="561"/>
      <c r="Q94" s="422"/>
      <c r="R94" s="561" t="str">
        <f t="shared" si="754"/>
        <v/>
      </c>
      <c r="S94" s="664"/>
      <c r="T94" s="663"/>
      <c r="U94" s="580">
        <f t="shared" si="755"/>
        <v>0</v>
      </c>
      <c r="V94" s="418"/>
      <c r="W94" s="582" t="str">
        <f t="shared" si="756"/>
        <v/>
      </c>
      <c r="X94" s="479" t="str">
        <f t="shared" si="757"/>
        <v/>
      </c>
      <c r="Y94" s="582" t="str">
        <f t="shared" si="758"/>
        <v/>
      </c>
      <c r="Z94" s="317" t="str">
        <f t="shared" si="759"/>
        <v/>
      </c>
      <c r="AA94" s="317" t="str">
        <f t="shared" si="760"/>
        <v/>
      </c>
      <c r="AB94" s="317">
        <f t="shared" si="761"/>
        <v>0</v>
      </c>
      <c r="AC94" s="317" t="str">
        <f t="shared" si="762"/>
        <v/>
      </c>
      <c r="AD94" s="479"/>
      <c r="AE94" s="479"/>
      <c r="AF94" s="479"/>
      <c r="AG94" s="423"/>
      <c r="AH94" s="820"/>
      <c r="AI94" s="437"/>
      <c r="AJ94" s="660"/>
      <c r="AK94" s="524" t="str">
        <f t="shared" si="763"/>
        <v/>
      </c>
      <c r="AL94" s="731">
        <f>SUMIF($J$4:$J$116,"Grêmio",$S$4:$S$116)</f>
        <v>0</v>
      </c>
      <c r="AM94" s="732">
        <f>SUMIF($J$4:$J$116,"Grêmio",$T$4:$T$116)</f>
        <v>0</v>
      </c>
      <c r="AN94" s="426">
        <f t="shared" si="764"/>
        <v>0</v>
      </c>
      <c r="AO94" s="427" t="str">
        <f t="shared" si="765"/>
        <v/>
      </c>
      <c r="AP94" s="426" t="str">
        <f t="shared" si="766"/>
        <v/>
      </c>
      <c r="AQ94" s="426"/>
      <c r="AR94" s="426"/>
      <c r="AS94" s="428"/>
      <c r="AT94" s="429"/>
      <c r="AU94" s="430"/>
      <c r="AV94" s="431"/>
      <c r="AW94" s="432"/>
      <c r="AX94" s="430"/>
      <c r="AY94" s="431">
        <f t="shared" si="767"/>
        <v>0</v>
      </c>
      <c r="AZ94" s="426"/>
      <c r="BA94" s="435" t="str">
        <f t="shared" si="768"/>
        <v/>
      </c>
      <c r="BB94" s="435"/>
      <c r="BC94" s="426"/>
      <c r="BD94" s="426">
        <f t="array" ref="BD94">IF(SUM((BC94=$BC$3:BC93)*1)=0,BC94,0)</f>
        <v>0</v>
      </c>
      <c r="BE94" s="426"/>
      <c r="BF94" s="426"/>
      <c r="BG94" s="426">
        <f t="array" ref="BG94">IF(SUM((BF94=$BF$3:BF93)*1)=0,BF94,0)</f>
        <v>0</v>
      </c>
      <c r="BH94" s="426"/>
      <c r="BI94" s="426"/>
      <c r="BJ94" s="426"/>
      <c r="BK94" s="426"/>
      <c r="BL94" s="426"/>
      <c r="BM94" s="426"/>
      <c r="BN94" s="426"/>
      <c r="BO94" s="426"/>
      <c r="BP94" s="433">
        <f t="shared" si="769"/>
        <v>0</v>
      </c>
      <c r="BQ94" s="426"/>
      <c r="BR94" s="434"/>
      <c r="BS94" s="426"/>
      <c r="BT94" s="433"/>
      <c r="BU94" s="435"/>
      <c r="BV94" s="435" t="str">
        <f t="shared" si="770"/>
        <v/>
      </c>
      <c r="BW94" s="435" t="str">
        <f t="shared" si="798"/>
        <v/>
      </c>
      <c r="BX94" s="435"/>
      <c r="BY94" s="435"/>
      <c r="BZ94" s="435"/>
      <c r="CA94" s="435"/>
      <c r="CB94" s="435"/>
      <c r="CC94" s="435"/>
      <c r="CD94" s="435"/>
      <c r="CE94" s="435"/>
      <c r="CF94" s="435"/>
      <c r="CG94" s="435"/>
      <c r="CH94" s="435"/>
      <c r="CI94" s="435"/>
      <c r="CJ94" s="426" t="str">
        <f t="shared" si="799"/>
        <v/>
      </c>
      <c r="CK94" s="435"/>
      <c r="CL94" s="426"/>
      <c r="CM94" s="435"/>
      <c r="CN94" s="426"/>
      <c r="CO94" s="426"/>
      <c r="CP94" s="426"/>
      <c r="CQ94" s="426"/>
      <c r="CR94" s="426"/>
      <c r="CS94" s="426"/>
      <c r="CT94" s="426"/>
      <c r="CU94" s="426"/>
      <c r="CV94" s="426"/>
      <c r="CW94" s="493"/>
      <c r="CX94" s="493"/>
      <c r="CY94" s="426">
        <v>91</v>
      </c>
      <c r="CZ94" s="493"/>
      <c r="DA94" s="493"/>
      <c r="DB94" s="493"/>
      <c r="DC94" s="426" t="s">
        <v>834</v>
      </c>
      <c r="DD94" s="426" t="s">
        <v>994</v>
      </c>
      <c r="DE94" s="435" t="str">
        <f t="shared" si="800"/>
        <v/>
      </c>
      <c r="DF94" s="435" t="str">
        <f t="shared" si="801"/>
        <v/>
      </c>
      <c r="DG94" s="435" t="str">
        <f t="shared" si="802"/>
        <v/>
      </c>
      <c r="DH94" s="435" t="str">
        <f t="shared" si="803"/>
        <v/>
      </c>
      <c r="DI94" s="435" t="str">
        <f t="shared" si="804"/>
        <v/>
      </c>
      <c r="DJ94" s="435" t="str">
        <f t="shared" si="805"/>
        <v/>
      </c>
      <c r="DK94" s="435" t="str">
        <f t="shared" si="771"/>
        <v/>
      </c>
      <c r="DL94" s="435" t="str">
        <f t="shared" si="772"/>
        <v/>
      </c>
      <c r="DM94" s="435" t="str">
        <f t="shared" si="806"/>
        <v/>
      </c>
      <c r="DN94" s="435" t="str">
        <f t="shared" si="807"/>
        <v/>
      </c>
      <c r="DO94" s="435" t="str">
        <f t="shared" si="773"/>
        <v/>
      </c>
      <c r="DP94" s="435" t="str">
        <f t="shared" si="774"/>
        <v/>
      </c>
      <c r="DQ94" s="435" t="str">
        <f t="shared" si="808"/>
        <v/>
      </c>
      <c r="DR94" s="435" t="str">
        <f t="shared" si="809"/>
        <v/>
      </c>
      <c r="DS94" s="435" t="str">
        <f t="shared" si="775"/>
        <v/>
      </c>
      <c r="DT94" s="435" t="str">
        <f t="shared" si="776"/>
        <v/>
      </c>
      <c r="DU94" s="435" t="str">
        <f t="shared" si="810"/>
        <v/>
      </c>
      <c r="DV94" s="435" t="str">
        <f t="shared" si="811"/>
        <v/>
      </c>
      <c r="DW94" s="435" t="str">
        <f t="shared" si="777"/>
        <v/>
      </c>
      <c r="DX94" s="435" t="str">
        <f t="shared" si="778"/>
        <v/>
      </c>
      <c r="DY94" s="435" t="str">
        <f t="shared" si="812"/>
        <v/>
      </c>
      <c r="DZ94" s="435" t="str">
        <f t="shared" si="813"/>
        <v/>
      </c>
      <c r="EA94" s="435" t="str">
        <f t="shared" si="779"/>
        <v/>
      </c>
      <c r="EB94" s="435" t="str">
        <f t="shared" si="780"/>
        <v/>
      </c>
      <c r="EC94" s="435" t="str">
        <f t="shared" si="781"/>
        <v/>
      </c>
      <c r="ED94" s="435" t="str">
        <f t="shared" si="782"/>
        <v/>
      </c>
      <c r="EE94" s="435" t="str">
        <f t="shared" si="783"/>
        <v/>
      </c>
      <c r="EF94" s="435" t="str">
        <f t="shared" si="784"/>
        <v/>
      </c>
      <c r="EG94" s="435" t="str">
        <f t="shared" si="785"/>
        <v/>
      </c>
      <c r="EH94" s="435" t="str">
        <f t="shared" si="786"/>
        <v/>
      </c>
      <c r="EI94" s="435" t="str">
        <f t="shared" si="787"/>
        <v/>
      </c>
      <c r="EJ94" s="435" t="str">
        <f t="shared" si="788"/>
        <v/>
      </c>
      <c r="EK94" s="485"/>
      <c r="EL94" s="485"/>
      <c r="EM94" s="485"/>
      <c r="EN94" s="485"/>
      <c r="EO94" s="448"/>
      <c r="EP94" s="448"/>
      <c r="EQ94" s="448"/>
      <c r="ER94" s="448"/>
      <c r="ES94" s="448"/>
      <c r="ET94" s="435"/>
      <c r="EU94" s="435"/>
      <c r="EV94" s="435"/>
      <c r="EW94" s="435"/>
      <c r="EX94" s="426"/>
      <c r="EY94" s="426"/>
      <c r="EZ94" s="426"/>
      <c r="FA94" s="863"/>
      <c r="FB94" s="427">
        <f t="array" ref="FB94">IF(SUM((FA94=$FA$3:FA93)*1)=0,FA94,0)</f>
        <v>0</v>
      </c>
      <c r="FC94" s="863"/>
      <c r="FD94" s="863"/>
      <c r="FE94" s="863">
        <f t="array" ref="FE94">IF(SUM((FD94=$FD$3:FD93)*1)=0,FD94,0)</f>
        <v>0</v>
      </c>
      <c r="FF94" s="863"/>
      <c r="FG94" s="863"/>
      <c r="FH94" s="863"/>
      <c r="FI94" s="427">
        <f t="array" ref="FI94">IF(SUM((FH94=$FH$3:FH93)*1)=0,FH94,0)</f>
        <v>0</v>
      </c>
      <c r="FJ94" s="863"/>
      <c r="FK94" s="863"/>
      <c r="FL94" s="863">
        <f t="array" ref="FL94">IF(SUM((FK94=$FK$3:FK93)*1)=0,FK94,0)</f>
        <v>0</v>
      </c>
      <c r="FM94" s="863"/>
      <c r="FN94" s="863"/>
      <c r="FO94" s="863"/>
      <c r="FP94" s="427">
        <f t="array" ref="FP94">IF(SUM((FO94=$FO$3:FO93)*1)=0,FO94,0)</f>
        <v>0</v>
      </c>
      <c r="FQ94" s="863"/>
      <c r="FR94" s="863"/>
      <c r="FS94" s="863">
        <f t="array" ref="FS94">IF(SUM((FR94=$FR$3:FR93)*1)=0,FR94,0)</f>
        <v>0</v>
      </c>
      <c r="FT94" s="863"/>
      <c r="FU94" s="863"/>
      <c r="FV94" s="863"/>
      <c r="FW94" s="427">
        <f t="array" ref="FW94">IF(SUM((FV94=$FV$3:FV93)*1)=0,FV94,0)</f>
        <v>0</v>
      </c>
      <c r="FX94" s="863"/>
      <c r="FY94" s="863"/>
      <c r="FZ94" s="863">
        <f t="array" ref="FZ94">IF(SUM((FY94=$FY$3:FY93)*1)=0,FY94,0)</f>
        <v>0</v>
      </c>
      <c r="GA94" s="863"/>
      <c r="GB94" s="863"/>
      <c r="GC94" s="863"/>
      <c r="GD94" s="427">
        <f t="array" ref="GD94">IF(SUM((GC94=$GC$3:GC93)*1)=0,GC94,0)</f>
        <v>0</v>
      </c>
      <c r="GE94" s="863"/>
      <c r="GF94" s="863"/>
      <c r="GG94" s="863">
        <f t="array" ref="GG94">IF(SUM((GF94=$GF$3:GF93)*1)=0,GF94,0)</f>
        <v>0</v>
      </c>
      <c r="GH94" s="863"/>
      <c r="GI94" s="863"/>
      <c r="GJ94" s="863"/>
      <c r="GK94" s="798">
        <f t="array" ref="GK94">IF(SUM((GJ94=$GJ$3:GJ93)*1)=0,GJ94,0)</f>
        <v>0</v>
      </c>
      <c r="GL94" s="863"/>
      <c r="GM94" s="863"/>
      <c r="GN94" s="798">
        <f t="array" ref="GN94">IF(SUM((GM94=$GM$3:GM93)*1)=0,GM94,0)</f>
        <v>0</v>
      </c>
      <c r="GO94" s="863"/>
      <c r="GP94" s="863"/>
      <c r="GQ94" s="863"/>
      <c r="GR94" s="798">
        <f t="array" ref="GR94">IF(SUM((GQ94=$GQ$3:GQ93)*1)=0,GQ94,0)</f>
        <v>0</v>
      </c>
      <c r="GS94" s="863"/>
      <c r="GT94" s="863"/>
      <c r="GU94" s="798">
        <f t="array" ref="GU94">IF(SUM((GT94=$GT$3:GT93)*1)=0,GT94,0)</f>
        <v>0</v>
      </c>
      <c r="GV94" s="863"/>
      <c r="GW94" s="863"/>
      <c r="GX94" s="863"/>
      <c r="GY94" s="798">
        <f t="array" ref="GY94">IF(SUM((GX94=$GX$3:GX93)*1)=0,GX94,0)</f>
        <v>0</v>
      </c>
      <c r="GZ94" s="863"/>
      <c r="HA94" s="863"/>
      <c r="HB94" s="798">
        <f t="array" ref="HB94">IF(SUM((HA94=$HA$3:HA93)*1)=0,HA94,0)</f>
        <v>0</v>
      </c>
      <c r="HC94" s="863"/>
      <c r="HD94" s="863"/>
      <c r="HE94" s="769" t="str">
        <f t="shared" si="889"/>
        <v/>
      </c>
      <c r="HF94" s="768" t="str">
        <f t="shared" ref="HF94" si="1117">IF(HE94&lt;0,"Invadiu REP-BA-C","")</f>
        <v/>
      </c>
      <c r="HG94" s="769" t="str">
        <f t="shared" si="891"/>
        <v/>
      </c>
      <c r="HH94" s="768" t="str">
        <f t="shared" si="815"/>
        <v/>
      </c>
      <c r="HI94" s="728" t="str">
        <f t="shared" si="892"/>
        <v/>
      </c>
      <c r="HJ94" s="768" t="str">
        <f t="shared" si="816"/>
        <v/>
      </c>
      <c r="HK94" s="728" t="str">
        <f t="shared" si="893"/>
        <v/>
      </c>
      <c r="HL94" s="768" t="str">
        <f t="shared" si="817"/>
        <v/>
      </c>
      <c r="HM94" s="769" t="str">
        <f t="shared" si="818"/>
        <v/>
      </c>
      <c r="HN94" s="768" t="str">
        <f t="shared" ref="HN94" si="1118">IF(HM94&lt;0,"Invadiu REP-BA-C","")</f>
        <v/>
      </c>
      <c r="HO94" s="769" t="str">
        <f t="shared" si="820"/>
        <v/>
      </c>
      <c r="HP94" s="768" t="str">
        <f t="shared" si="821"/>
        <v/>
      </c>
      <c r="HQ94" s="728" t="str">
        <f t="shared" si="822"/>
        <v/>
      </c>
      <c r="HR94" s="768" t="str">
        <f t="shared" si="823"/>
        <v/>
      </c>
      <c r="HS94" s="728" t="str">
        <f t="shared" si="824"/>
        <v/>
      </c>
      <c r="HT94" s="768" t="str">
        <f t="shared" si="825"/>
        <v/>
      </c>
      <c r="HU94" s="769" t="str">
        <f t="shared" si="826"/>
        <v/>
      </c>
      <c r="HV94" s="768" t="str">
        <f t="shared" ref="HV94" si="1119">IF(HU94&lt;0,"Invadiu REP-BA-C","")</f>
        <v/>
      </c>
      <c r="HW94" s="769" t="str">
        <f t="shared" si="828"/>
        <v/>
      </c>
      <c r="HX94" s="768" t="str">
        <f t="shared" si="829"/>
        <v/>
      </c>
      <c r="HY94" s="728" t="str">
        <f t="shared" si="830"/>
        <v/>
      </c>
      <c r="HZ94" s="768" t="str">
        <f t="shared" si="831"/>
        <v/>
      </c>
      <c r="IA94" s="728" t="str">
        <f t="shared" si="832"/>
        <v/>
      </c>
      <c r="IB94" s="768" t="str">
        <f t="shared" si="833"/>
        <v/>
      </c>
      <c r="IC94" s="769" t="str">
        <f t="shared" si="834"/>
        <v/>
      </c>
      <c r="ID94" s="768" t="str">
        <f t="shared" ref="ID94" si="1120">IF(IC94&lt;0,"Invadiu REP-BA-C","")</f>
        <v/>
      </c>
      <c r="IE94" s="769" t="str">
        <f t="shared" si="836"/>
        <v/>
      </c>
      <c r="IF94" s="768" t="str">
        <f t="shared" si="837"/>
        <v/>
      </c>
      <c r="IG94" s="728" t="str">
        <f t="shared" si="838"/>
        <v/>
      </c>
      <c r="IH94" s="768" t="str">
        <f t="shared" si="839"/>
        <v/>
      </c>
      <c r="II94" s="728" t="str">
        <f t="shared" si="840"/>
        <v/>
      </c>
      <c r="IJ94" s="768" t="str">
        <f t="shared" si="841"/>
        <v/>
      </c>
      <c r="IK94" s="769" t="str">
        <f t="shared" si="842"/>
        <v/>
      </c>
      <c r="IL94" s="768" t="str">
        <f t="shared" ref="IL94" si="1121">IF(IK94&lt;0,"Invadiu REP-BA-C","")</f>
        <v/>
      </c>
      <c r="IM94" s="769" t="str">
        <f t="shared" si="844"/>
        <v/>
      </c>
      <c r="IN94" s="768" t="str">
        <f t="shared" si="845"/>
        <v/>
      </c>
      <c r="IO94" s="728" t="str">
        <f t="shared" si="846"/>
        <v/>
      </c>
      <c r="IP94" s="768" t="str">
        <f t="shared" si="847"/>
        <v/>
      </c>
      <c r="IQ94" s="728" t="str">
        <f t="shared" si="848"/>
        <v/>
      </c>
      <c r="IR94" s="768" t="str">
        <f t="shared" si="849"/>
        <v/>
      </c>
      <c r="IS94" s="769" t="str">
        <f t="shared" si="850"/>
        <v/>
      </c>
      <c r="IT94" s="768" t="str">
        <f t="shared" ref="IT94" si="1122">IF(IS94&lt;0,"Invadiu REP-BA-C","")</f>
        <v/>
      </c>
      <c r="IU94" s="769" t="str">
        <f t="shared" si="852"/>
        <v/>
      </c>
      <c r="IV94" s="768" t="str">
        <f t="shared" si="853"/>
        <v/>
      </c>
      <c r="IW94" s="728" t="str">
        <f t="shared" si="854"/>
        <v/>
      </c>
      <c r="IX94" s="768" t="str">
        <f t="shared" si="855"/>
        <v/>
      </c>
      <c r="IY94" s="728" t="str">
        <f t="shared" si="856"/>
        <v/>
      </c>
      <c r="IZ94" s="768" t="str">
        <f t="shared" si="857"/>
        <v/>
      </c>
      <c r="JA94" s="769" t="str">
        <f t="shared" si="858"/>
        <v/>
      </c>
      <c r="JB94" s="768" t="str">
        <f t="shared" ref="JB94" si="1123">IF(JA94&lt;0,"Invadiu REP-BA-C","")</f>
        <v/>
      </c>
      <c r="JC94" s="769" t="str">
        <f t="shared" si="860"/>
        <v/>
      </c>
      <c r="JD94" s="768" t="str">
        <f t="shared" si="861"/>
        <v/>
      </c>
      <c r="JE94" s="728" t="str">
        <f t="shared" si="862"/>
        <v/>
      </c>
      <c r="JF94" s="768" t="str">
        <f t="shared" si="863"/>
        <v/>
      </c>
      <c r="JG94" s="728" t="str">
        <f t="shared" si="864"/>
        <v/>
      </c>
      <c r="JH94" s="768" t="str">
        <f t="shared" si="865"/>
        <v/>
      </c>
      <c r="JI94" s="769" t="str">
        <f t="shared" si="866"/>
        <v/>
      </c>
      <c r="JJ94" s="768" t="str">
        <f t="shared" ref="JJ94" si="1124">IF(JI94&lt;0,"Invadiu REP-BA-C","")</f>
        <v/>
      </c>
      <c r="JK94" s="769" t="str">
        <f t="shared" si="868"/>
        <v/>
      </c>
      <c r="JL94" s="768" t="str">
        <f t="shared" si="869"/>
        <v/>
      </c>
      <c r="JM94" s="728" t="str">
        <f t="shared" si="870"/>
        <v/>
      </c>
      <c r="JN94" s="768" t="str">
        <f t="shared" si="871"/>
        <v/>
      </c>
      <c r="JO94" s="728" t="str">
        <f t="shared" si="872"/>
        <v/>
      </c>
      <c r="JP94" s="768" t="str">
        <f t="shared" si="873"/>
        <v/>
      </c>
      <c r="JQ94" s="769" t="str">
        <f t="shared" si="874"/>
        <v/>
      </c>
      <c r="JR94" s="768" t="str">
        <f t="shared" ref="JR94" si="1125">IF(JQ94&lt;0,"Invadiu REP-BA-C","")</f>
        <v/>
      </c>
      <c r="JS94" s="769" t="str">
        <f t="shared" si="876"/>
        <v/>
      </c>
      <c r="JT94" s="768" t="str">
        <f t="shared" si="877"/>
        <v/>
      </c>
      <c r="JU94" s="728" t="str">
        <f t="shared" si="878"/>
        <v/>
      </c>
      <c r="JV94" s="768" t="str">
        <f t="shared" si="879"/>
        <v/>
      </c>
      <c r="JW94" s="728" t="str">
        <f t="shared" si="880"/>
        <v/>
      </c>
      <c r="JX94" s="768" t="str">
        <f t="shared" si="881"/>
        <v/>
      </c>
      <c r="JY94" s="768" t="str">
        <f t="shared" si="882"/>
        <v/>
      </c>
      <c r="JZ94" s="485" t="str">
        <f>IF(JY94="","",IF(AND(C94=$C$164,JY94&lt;&gt;""),Verificarcpf(D94),IF(AND(C94=$C$165,JY94&lt;&gt;""),VerificarCNPJ(D94))))</f>
        <v/>
      </c>
      <c r="KA94" s="768" t="str">
        <f t="shared" si="883"/>
        <v/>
      </c>
      <c r="KB94" s="485">
        <f t="shared" si="884"/>
        <v>0</v>
      </c>
      <c r="KC94" s="768">
        <f t="shared" si="885"/>
        <v>0</v>
      </c>
      <c r="KD94" s="485">
        <f t="shared" si="886"/>
        <v>0</v>
      </c>
      <c r="KE94" s="448"/>
      <c r="KF94" s="548"/>
      <c r="KG94" s="548"/>
      <c r="KH94" s="548"/>
      <c r="KI94" s="548"/>
      <c r="KJ94" s="548" t="str">
        <f t="shared" si="887"/>
        <v/>
      </c>
      <c r="KK94" s="548"/>
      <c r="KL94" s="548"/>
      <c r="KM94" s="548">
        <f t="array" ref="KM94">IF(SUM((KL94=$KL$3:KL93)*1)=0,KL94,0)</f>
        <v>0</v>
      </c>
      <c r="KN94" s="548"/>
      <c r="KO94" s="548"/>
      <c r="KP94" s="548"/>
      <c r="KQ94" s="548"/>
      <c r="KR94" s="548" t="str">
        <f t="shared" si="888"/>
        <v/>
      </c>
      <c r="KS94" s="548"/>
      <c r="KT94" s="548"/>
      <c r="KU94" s="548"/>
      <c r="KV94" s="548"/>
      <c r="KW94" s="548"/>
      <c r="KX94" s="548"/>
      <c r="KY94" s="548"/>
      <c r="KZ94" s="548"/>
      <c r="LA94" s="548"/>
      <c r="LB94" s="548"/>
      <c r="LC94" s="485" t="str">
        <f t="shared" si="902"/>
        <v/>
      </c>
      <c r="LD94" s="548"/>
      <c r="LE94" s="548"/>
      <c r="LF94" s="548"/>
      <c r="LG94" s="548"/>
      <c r="LH94" s="548"/>
      <c r="LI94" s="548"/>
      <c r="LJ94" s="548"/>
      <c r="LK94" s="548"/>
      <c r="LL94" s="548"/>
      <c r="LM94" s="548"/>
      <c r="LN94" s="548"/>
      <c r="LO94" s="548"/>
      <c r="LP94" s="485" t="str">
        <f t="shared" si="903"/>
        <v/>
      </c>
      <c r="LQ94" s="548"/>
      <c r="LR94" s="548"/>
      <c r="LS94" s="548"/>
      <c r="LT94" s="548"/>
      <c r="LU94" s="548"/>
      <c r="LV94" s="548"/>
      <c r="LW94" s="548"/>
      <c r="LX94" s="548"/>
      <c r="LY94" s="548"/>
      <c r="LZ94" s="548"/>
      <c r="MA94" s="548"/>
      <c r="MB94" s="548"/>
      <c r="MC94" s="485" t="str">
        <f t="shared" si="904"/>
        <v/>
      </c>
      <c r="MD94" s="548"/>
      <c r="ME94" s="548"/>
      <c r="MF94" s="548"/>
      <c r="MG94" s="548"/>
      <c r="MH94" s="548"/>
      <c r="MI94" s="548"/>
      <c r="MJ94" s="548"/>
      <c r="MK94" s="548"/>
      <c r="ML94" s="548"/>
      <c r="MM94" s="548"/>
      <c r="MN94" s="548"/>
      <c r="MO94" s="548"/>
      <c r="MP94" s="485" t="str">
        <f t="shared" si="905"/>
        <v/>
      </c>
      <c r="MQ94" s="548"/>
      <c r="MR94" s="548"/>
      <c r="MS94" s="548"/>
      <c r="MT94" s="548"/>
      <c r="MU94" s="548"/>
      <c r="MV94" s="548"/>
      <c r="MW94" s="548"/>
      <c r="MX94" s="548"/>
      <c r="MY94" s="548"/>
      <c r="MZ94" s="548"/>
      <c r="NA94" s="548"/>
      <c r="NB94" s="548"/>
      <c r="NC94" s="485" t="str">
        <f t="shared" si="906"/>
        <v/>
      </c>
      <c r="ND94" s="548"/>
      <c r="NE94" s="548"/>
      <c r="NF94" s="548"/>
      <c r="NG94" s="548"/>
      <c r="NH94" s="548"/>
      <c r="NI94" s="548"/>
      <c r="NJ94" s="548"/>
      <c r="NK94" s="548"/>
      <c r="NL94" s="548"/>
      <c r="NM94" s="548"/>
      <c r="NN94" s="548"/>
      <c r="NO94" s="548"/>
      <c r="NP94" s="485" t="str">
        <f t="shared" si="907"/>
        <v/>
      </c>
      <c r="NQ94" s="548"/>
      <c r="NR94" s="548"/>
      <c r="NS94" s="548"/>
      <c r="NT94" s="548"/>
      <c r="NU94" s="548"/>
      <c r="NV94" s="548"/>
      <c r="NW94" s="548"/>
      <c r="NX94" s="548"/>
      <c r="NY94" s="548"/>
      <c r="NZ94" s="548"/>
      <c r="OA94" s="548"/>
      <c r="OB94" s="548"/>
      <c r="OC94" s="485" t="str">
        <f t="shared" si="908"/>
        <v/>
      </c>
      <c r="OD94" s="548"/>
      <c r="OE94" s="548"/>
      <c r="OF94" s="548"/>
      <c r="OG94" s="548"/>
      <c r="OH94" s="548"/>
      <c r="OI94" s="548"/>
      <c r="OJ94" s="548"/>
      <c r="OK94" s="548"/>
      <c r="OL94" s="548"/>
      <c r="OM94" s="548"/>
      <c r="ON94" s="548"/>
      <c r="OO94" s="548"/>
      <c r="OP94" s="548"/>
      <c r="OQ94" s="548"/>
      <c r="OR94" s="548"/>
      <c r="OS94" s="548"/>
      <c r="OT94" s="548"/>
      <c r="OU94" s="548"/>
      <c r="OV94" s="548"/>
      <c r="OW94" s="548"/>
      <c r="OX94" s="548"/>
      <c r="OY94" s="548"/>
      <c r="OZ94" s="548"/>
      <c r="PA94" s="548"/>
      <c r="PB94" s="548"/>
      <c r="PC94" s="548"/>
      <c r="PD94" s="548"/>
      <c r="PE94" s="548"/>
      <c r="PF94" s="548"/>
      <c r="PG94" s="548"/>
      <c r="PH94" s="548"/>
      <c r="PI94" s="548"/>
      <c r="PJ94" s="548"/>
      <c r="PK94" s="548"/>
      <c r="PL94" s="548"/>
      <c r="PM94" s="548"/>
      <c r="PN94" s="548"/>
      <c r="PO94" s="548"/>
      <c r="PP94" s="548"/>
      <c r="PQ94" s="548"/>
      <c r="PR94" s="548"/>
      <c r="PS94" s="548"/>
      <c r="PT94" s="548"/>
      <c r="PU94" s="548"/>
      <c r="PV94" s="548"/>
      <c r="PW94" s="548"/>
      <c r="PX94" s="548"/>
      <c r="PY94" s="548"/>
      <c r="PZ94" s="548"/>
      <c r="QA94" s="548"/>
      <c r="QB94" s="548"/>
      <c r="QC94" s="548"/>
      <c r="QD94" s="548"/>
      <c r="QE94" s="548"/>
      <c r="QF94" s="548"/>
      <c r="QG94" s="548"/>
      <c r="QH94" s="548"/>
      <c r="QI94" s="548"/>
      <c r="QJ94" s="548"/>
      <c r="QK94" s="548"/>
      <c r="QL94" s="548"/>
      <c r="QM94" s="548"/>
      <c r="QN94" s="548"/>
      <c r="QO94" s="548"/>
      <c r="QP94" s="548"/>
      <c r="QQ94" s="1009"/>
      <c r="QR94" s="548"/>
      <c r="QS94" s="548"/>
      <c r="QT94" s="548"/>
      <c r="QU94" s="548"/>
      <c r="QV94" s="548"/>
      <c r="QW94" s="548"/>
      <c r="QX94" s="548"/>
      <c r="QY94" s="548"/>
      <c r="QZ94" s="548"/>
      <c r="RA94" s="548"/>
      <c r="RB94" s="548"/>
      <c r="RC94" s="548"/>
      <c r="RD94" s="548"/>
      <c r="RE94" s="548"/>
      <c r="RF94" s="548"/>
      <c r="RG94" s="548"/>
      <c r="RH94" s="548"/>
      <c r="RI94" s="548"/>
      <c r="RJ94" s="548"/>
      <c r="RK94" s="548"/>
      <c r="RL94" s="548"/>
      <c r="RM94" s="548"/>
      <c r="RN94" s="548"/>
      <c r="RO94" s="548"/>
      <c r="RP94" s="548"/>
      <c r="RQ94" s="548"/>
      <c r="RR94" s="548"/>
      <c r="RS94" s="548"/>
      <c r="RT94" s="548"/>
      <c r="RU94" s="548"/>
      <c r="RV94" s="548"/>
      <c r="RW94" s="548"/>
      <c r="RX94" s="548"/>
      <c r="RY94" s="548"/>
      <c r="RZ94" s="548"/>
      <c r="SA94" s="548"/>
      <c r="SB94" s="548"/>
      <c r="SC94" s="548"/>
      <c r="SD94" s="548"/>
      <c r="SE94" s="548"/>
      <c r="SF94" s="548"/>
      <c r="SG94" s="548"/>
      <c r="SH94" s="548"/>
      <c r="SI94" s="548"/>
      <c r="SJ94" s="548"/>
      <c r="SK94" s="548"/>
      <c r="SL94" s="548"/>
      <c r="SM94" s="548"/>
      <c r="SN94" s="548"/>
      <c r="SO94" s="548"/>
      <c r="SP94" s="548"/>
      <c r="SQ94" s="548"/>
      <c r="SR94" s="548"/>
      <c r="SS94" s="548"/>
      <c r="ST94" s="548"/>
      <c r="SU94" s="548"/>
      <c r="SV94" s="548"/>
      <c r="SW94" s="548"/>
      <c r="SX94" s="548"/>
      <c r="SY94" s="548"/>
      <c r="SZ94" s="548"/>
      <c r="TA94" s="548"/>
      <c r="TB94" s="548"/>
      <c r="TC94" s="548"/>
      <c r="TD94" s="548"/>
      <c r="TE94" s="548"/>
      <c r="TF94" s="548"/>
      <c r="TG94" s="548"/>
      <c r="TH94" s="548"/>
      <c r="TI94" s="548"/>
      <c r="TJ94" s="548"/>
      <c r="TK94" s="548"/>
      <c r="TL94" s="548"/>
      <c r="TM94" s="548"/>
      <c r="TN94" s="548"/>
      <c r="TO94" s="548"/>
      <c r="TP94" s="548"/>
      <c r="TQ94" s="548"/>
      <c r="TR94" s="548"/>
      <c r="TS94" s="548"/>
      <c r="TT94" s="548"/>
      <c r="TU94" s="548"/>
      <c r="TV94" s="548"/>
      <c r="TW94" s="548"/>
      <c r="TX94" s="548"/>
      <c r="TY94" s="548"/>
      <c r="TZ94" s="548"/>
      <c r="UA94" s="548"/>
      <c r="UB94" s="548"/>
      <c r="UC94" s="548"/>
      <c r="UD94" s="548"/>
      <c r="UE94" s="548"/>
      <c r="UF94" s="548"/>
      <c r="UG94" s="548"/>
      <c r="UH94" s="548"/>
      <c r="UI94" s="548"/>
      <c r="UJ94" s="548"/>
      <c r="UK94" s="548"/>
      <c r="UL94" s="548"/>
      <c r="UM94" s="548"/>
      <c r="UN94" s="548"/>
      <c r="UO94" s="548"/>
      <c r="UP94" s="548"/>
      <c r="UQ94" s="548"/>
      <c r="UR94" s="548"/>
      <c r="US94" s="548"/>
      <c r="UT94" s="548"/>
      <c r="UU94" s="548"/>
      <c r="UV94" s="548"/>
      <c r="UW94" s="548"/>
      <c r="UX94" s="548"/>
      <c r="UY94" s="548"/>
      <c r="UZ94" s="548"/>
      <c r="VA94" s="548"/>
      <c r="VB94" s="548"/>
      <c r="VC94" s="548"/>
      <c r="VD94" s="548"/>
      <c r="VE94" s="548"/>
      <c r="VF94" s="548"/>
      <c r="VG94" s="548"/>
      <c r="VH94" s="548"/>
      <c r="VI94" s="548"/>
      <c r="VJ94" s="548"/>
      <c r="VK94" s="548"/>
      <c r="VL94" s="548"/>
      <c r="VM94" s="548"/>
      <c r="VN94" s="548"/>
      <c r="VO94" s="548"/>
      <c r="VP94" s="548"/>
      <c r="VQ94" s="548"/>
      <c r="VR94" s="548"/>
      <c r="VS94" s="548"/>
      <c r="VT94" s="548"/>
      <c r="VU94" s="548"/>
      <c r="VV94" s="548"/>
      <c r="VW94" s="548"/>
      <c r="VX94" s="548"/>
      <c r="VY94" s="548"/>
      <c r="VZ94" s="548"/>
      <c r="WA94" s="548"/>
      <c r="WB94" s="548"/>
      <c r="WC94" s="548"/>
      <c r="WD94" s="548"/>
      <c r="WE94" s="548"/>
      <c r="WF94" s="548"/>
      <c r="WG94" s="548"/>
      <c r="WH94" s="548"/>
      <c r="WI94" s="548"/>
      <c r="WJ94" s="548"/>
      <c r="WK94" s="548"/>
      <c r="WL94" s="548"/>
      <c r="WM94" s="548"/>
      <c r="WN94" s="548"/>
      <c r="WO94" s="548"/>
      <c r="WP94" s="548"/>
      <c r="WQ94" s="548"/>
      <c r="WR94" s="548"/>
      <c r="WS94" s="548"/>
      <c r="WT94" s="548"/>
      <c r="WU94" s="548"/>
      <c r="WV94" s="548"/>
      <c r="WW94" s="548"/>
      <c r="WX94" s="548"/>
      <c r="WY94" s="548"/>
      <c r="WZ94" s="548"/>
      <c r="XA94" s="548"/>
      <c r="XB94" s="548"/>
      <c r="XC94" s="548"/>
      <c r="XD94" s="548"/>
      <c r="XE94" s="548"/>
      <c r="XF94" s="548"/>
      <c r="XG94" s="548"/>
      <c r="XH94" s="548"/>
      <c r="XI94" s="548"/>
      <c r="XJ94" s="548"/>
      <c r="XK94" s="548"/>
      <c r="XL94" s="548"/>
      <c r="XM94" s="548"/>
      <c r="XN94" s="548"/>
      <c r="XO94" s="548"/>
      <c r="XP94" s="548"/>
      <c r="XQ94" s="548"/>
      <c r="XR94" s="548"/>
      <c r="XS94" s="548"/>
      <c r="XT94" s="548"/>
      <c r="XU94" s="548"/>
      <c r="XV94" s="548"/>
      <c r="XW94" s="548"/>
      <c r="XX94" s="548"/>
      <c r="XY94" s="548"/>
      <c r="XZ94" s="548"/>
      <c r="YA94" s="548"/>
      <c r="YB94" s="548"/>
      <c r="YC94" s="548"/>
      <c r="YD94" s="548"/>
      <c r="YE94" s="548"/>
      <c r="YF94" s="548"/>
      <c r="YG94" s="548"/>
      <c r="YH94" s="548"/>
      <c r="YI94" s="548"/>
      <c r="YJ94" s="548"/>
      <c r="YK94" s="548"/>
      <c r="YL94" s="548"/>
      <c r="YM94" s="548"/>
      <c r="YN94" s="548"/>
      <c r="YO94" s="548"/>
      <c r="YP94" s="548"/>
      <c r="YQ94" s="548"/>
      <c r="YR94" s="548"/>
      <c r="YS94" s="548"/>
      <c r="YT94" s="548"/>
      <c r="YU94" s="548"/>
      <c r="YV94" s="548"/>
      <c r="YW94" s="548"/>
      <c r="YX94" s="548"/>
      <c r="YY94" s="548"/>
      <c r="YZ94" s="548"/>
      <c r="ZA94" s="548"/>
      <c r="ZB94" s="548"/>
      <c r="ZC94" s="548"/>
      <c r="ZD94" s="548"/>
      <c r="ZE94" s="548"/>
      <c r="ZF94" s="548"/>
      <c r="ZG94" s="548"/>
      <c r="ZH94" s="548"/>
      <c r="ZI94" s="548"/>
      <c r="ZJ94" s="548"/>
      <c r="ZK94" s="548"/>
      <c r="ZL94" s="548"/>
      <c r="ZM94" s="548"/>
      <c r="ZN94" s="548"/>
      <c r="ZO94" s="548"/>
      <c r="ZP94" s="548"/>
      <c r="ZQ94" s="548"/>
      <c r="ZR94" s="548"/>
      <c r="ZS94" s="548"/>
      <c r="ZT94" s="548"/>
      <c r="ZU94" s="548"/>
      <c r="ZV94" s="548"/>
      <c r="ZW94" s="548"/>
      <c r="ZX94" s="548"/>
      <c r="ZY94" s="548"/>
      <c r="ZZ94" s="548"/>
      <c r="AAA94" s="548"/>
      <c r="AAB94" s="548"/>
      <c r="AAC94" s="548"/>
      <c r="AAD94" s="548"/>
      <c r="AAE94" s="548"/>
      <c r="AAF94" s="548"/>
      <c r="AAG94" s="548"/>
      <c r="AAH94" s="548"/>
      <c r="AAI94" s="548"/>
      <c r="AAJ94" s="548"/>
      <c r="AAK94" s="548"/>
      <c r="AAL94" s="548"/>
      <c r="AAM94" s="548"/>
      <c r="AAN94" s="548"/>
      <c r="AAO94" s="548"/>
      <c r="AAP94" s="548"/>
      <c r="AAQ94" s="548"/>
      <c r="AAR94" s="548"/>
      <c r="AAS94" s="548"/>
      <c r="AAT94" s="548"/>
      <c r="AAU94" s="548"/>
      <c r="AAV94" s="548"/>
      <c r="AAW94" s="548"/>
      <c r="AAX94" s="548"/>
      <c r="AAY94" s="548"/>
      <c r="AAZ94" s="548"/>
      <c r="ABA94" s="548"/>
      <c r="ABB94" s="548"/>
      <c r="ABC94" s="548"/>
      <c r="ABD94" s="548"/>
      <c r="ABE94" s="548"/>
      <c r="ABF94" s="548"/>
      <c r="ABG94" s="548"/>
      <c r="ABH94" s="548"/>
      <c r="ABI94" s="548"/>
      <c r="ABJ94" s="548"/>
      <c r="ABK94" s="548"/>
      <c r="ABL94" s="548"/>
      <c r="ABM94" s="548"/>
      <c r="ABN94" s="548"/>
      <c r="ABO94" s="548"/>
      <c r="ABP94" s="548"/>
      <c r="ABQ94" s="548"/>
      <c r="ABR94" s="548"/>
      <c r="ABS94" s="548"/>
    </row>
    <row r="95" spans="1:747" customFormat="1" ht="15" customHeight="1" x14ac:dyDescent="0.2">
      <c r="A95" s="424" t="str">
        <f t="shared" si="909"/>
        <v/>
      </c>
      <c r="B95" s="415"/>
      <c r="C95" s="525"/>
      <c r="D95" s="750"/>
      <c r="E95" s="416" t="str">
        <f t="shared" si="751"/>
        <v/>
      </c>
      <c r="F95" s="527" t="str">
        <f t="shared" si="752"/>
        <v/>
      </c>
      <c r="G95" s="417"/>
      <c r="H95" s="585" t="str">
        <f t="shared" si="753"/>
        <v/>
      </c>
      <c r="I95" s="424"/>
      <c r="J95" s="419"/>
      <c r="K95" s="418"/>
      <c r="L95" s="419"/>
      <c r="M95" s="415"/>
      <c r="N95" s="420"/>
      <c r="O95" s="421"/>
      <c r="P95" s="561"/>
      <c r="Q95" s="422"/>
      <c r="R95" s="561" t="str">
        <f t="shared" si="754"/>
        <v/>
      </c>
      <c r="S95" s="664"/>
      <c r="T95" s="663"/>
      <c r="U95" s="580">
        <f t="shared" si="755"/>
        <v>0</v>
      </c>
      <c r="V95" s="418"/>
      <c r="W95" s="582" t="str">
        <f t="shared" si="756"/>
        <v/>
      </c>
      <c r="X95" s="479" t="str">
        <f t="shared" si="757"/>
        <v/>
      </c>
      <c r="Y95" s="582" t="str">
        <f t="shared" si="758"/>
        <v/>
      </c>
      <c r="Z95" s="317" t="str">
        <f t="shared" si="759"/>
        <v/>
      </c>
      <c r="AA95" s="317" t="str">
        <f t="shared" si="760"/>
        <v/>
      </c>
      <c r="AB95" s="317">
        <f t="shared" si="761"/>
        <v>0</v>
      </c>
      <c r="AC95" s="317" t="str">
        <f t="shared" si="762"/>
        <v/>
      </c>
      <c r="AD95" s="479"/>
      <c r="AE95" s="479"/>
      <c r="AF95" s="479"/>
      <c r="AG95" s="423"/>
      <c r="AH95" s="820"/>
      <c r="AI95" s="437"/>
      <c r="AJ95" s="660"/>
      <c r="AK95" s="524" t="str">
        <f t="shared" si="763"/>
        <v/>
      </c>
      <c r="AL95" s="731">
        <f>SUMIF($J$4:$J$130,"Grêmio",$S$4:$S$130)</f>
        <v>0</v>
      </c>
      <c r="AM95" s="732">
        <f>SUMIF($J$4:$J$130,"Grêmio",$T$4:$T$130)</f>
        <v>0</v>
      </c>
      <c r="AN95" s="426">
        <f t="shared" si="764"/>
        <v>0</v>
      </c>
      <c r="AO95" s="427" t="str">
        <f t="shared" si="765"/>
        <v/>
      </c>
      <c r="AP95" s="426" t="str">
        <f t="shared" si="766"/>
        <v/>
      </c>
      <c r="AQ95" s="426"/>
      <c r="AR95" s="426"/>
      <c r="AS95" s="428"/>
      <c r="AT95" s="429"/>
      <c r="AU95" s="430"/>
      <c r="AV95" s="431"/>
      <c r="AW95" s="432"/>
      <c r="AX95" s="430"/>
      <c r="AY95" s="431">
        <f t="shared" si="767"/>
        <v>0</v>
      </c>
      <c r="AZ95" s="426"/>
      <c r="BA95" s="435" t="str">
        <f t="shared" si="768"/>
        <v/>
      </c>
      <c r="BB95" s="435"/>
      <c r="BC95" s="426"/>
      <c r="BD95" s="426">
        <f t="array" ref="BD95">IF(SUM((BC95=$BC$3:BC94)*1)=0,BC95,0)</f>
        <v>0</v>
      </c>
      <c r="BE95" s="426"/>
      <c r="BF95" s="426"/>
      <c r="BG95" s="426">
        <f t="array" ref="BG95">IF(SUM((BF95=$BF$3:BF94)*1)=0,BF95,0)</f>
        <v>0</v>
      </c>
      <c r="BH95" s="426"/>
      <c r="BI95" s="426"/>
      <c r="BJ95" s="426"/>
      <c r="BK95" s="426"/>
      <c r="BL95" s="426"/>
      <c r="BM95" s="426"/>
      <c r="BN95" s="426"/>
      <c r="BO95" s="426"/>
      <c r="BP95" s="433">
        <f t="shared" si="769"/>
        <v>0</v>
      </c>
      <c r="BQ95" s="426"/>
      <c r="BR95" s="434"/>
      <c r="BS95" s="426"/>
      <c r="BT95" s="433"/>
      <c r="BU95" s="435"/>
      <c r="BV95" s="435" t="str">
        <f t="shared" si="770"/>
        <v/>
      </c>
      <c r="BW95" s="435" t="str">
        <f t="shared" si="798"/>
        <v/>
      </c>
      <c r="BX95" s="435"/>
      <c r="BY95" s="435"/>
      <c r="BZ95" s="435"/>
      <c r="CA95" s="435"/>
      <c r="CB95" s="435"/>
      <c r="CC95" s="435"/>
      <c r="CD95" s="435"/>
      <c r="CE95" s="435"/>
      <c r="CF95" s="435"/>
      <c r="CG95" s="435"/>
      <c r="CH95" s="435"/>
      <c r="CI95" s="435"/>
      <c r="CJ95" s="426" t="str">
        <f t="shared" si="799"/>
        <v/>
      </c>
      <c r="CK95" s="435"/>
      <c r="CL95" s="426"/>
      <c r="CM95" s="435"/>
      <c r="CN95" s="426"/>
      <c r="CO95" s="426"/>
      <c r="CP95" s="426"/>
      <c r="CQ95" s="426"/>
      <c r="CR95" s="426"/>
      <c r="CS95" s="426"/>
      <c r="CT95" s="426"/>
      <c r="CU95" s="426"/>
      <c r="CV95" s="426"/>
      <c r="CW95" s="493"/>
      <c r="CX95" s="493"/>
      <c r="CY95" s="426">
        <v>92</v>
      </c>
      <c r="CZ95" s="493"/>
      <c r="DA95" s="493"/>
      <c r="DB95" s="493"/>
      <c r="DC95" s="426" t="s">
        <v>835</v>
      </c>
      <c r="DD95" s="426" t="s">
        <v>995</v>
      </c>
      <c r="DE95" s="435" t="str">
        <f t="shared" si="800"/>
        <v/>
      </c>
      <c r="DF95" s="435" t="str">
        <f t="shared" si="801"/>
        <v/>
      </c>
      <c r="DG95" s="435" t="str">
        <f t="shared" si="802"/>
        <v/>
      </c>
      <c r="DH95" s="435" t="str">
        <f t="shared" si="803"/>
        <v/>
      </c>
      <c r="DI95" s="435" t="str">
        <f t="shared" si="804"/>
        <v/>
      </c>
      <c r="DJ95" s="435" t="str">
        <f t="shared" si="805"/>
        <v/>
      </c>
      <c r="DK95" s="435" t="str">
        <f t="shared" si="771"/>
        <v/>
      </c>
      <c r="DL95" s="435" t="str">
        <f t="shared" si="772"/>
        <v/>
      </c>
      <c r="DM95" s="435" t="str">
        <f t="shared" si="806"/>
        <v/>
      </c>
      <c r="DN95" s="435" t="str">
        <f t="shared" si="807"/>
        <v/>
      </c>
      <c r="DO95" s="435" t="str">
        <f t="shared" si="773"/>
        <v/>
      </c>
      <c r="DP95" s="435" t="str">
        <f t="shared" si="774"/>
        <v/>
      </c>
      <c r="DQ95" s="435" t="str">
        <f t="shared" si="808"/>
        <v/>
      </c>
      <c r="DR95" s="435" t="str">
        <f t="shared" si="809"/>
        <v/>
      </c>
      <c r="DS95" s="435" t="str">
        <f t="shared" si="775"/>
        <v/>
      </c>
      <c r="DT95" s="435" t="str">
        <f t="shared" si="776"/>
        <v/>
      </c>
      <c r="DU95" s="435" t="str">
        <f t="shared" si="810"/>
        <v/>
      </c>
      <c r="DV95" s="435" t="str">
        <f t="shared" si="811"/>
        <v/>
      </c>
      <c r="DW95" s="435" t="str">
        <f t="shared" si="777"/>
        <v/>
      </c>
      <c r="DX95" s="435" t="str">
        <f t="shared" si="778"/>
        <v/>
      </c>
      <c r="DY95" s="435" t="str">
        <f t="shared" si="812"/>
        <v/>
      </c>
      <c r="DZ95" s="435" t="str">
        <f t="shared" si="813"/>
        <v/>
      </c>
      <c r="EA95" s="435" t="str">
        <f t="shared" si="779"/>
        <v/>
      </c>
      <c r="EB95" s="435" t="str">
        <f t="shared" si="780"/>
        <v/>
      </c>
      <c r="EC95" s="435" t="str">
        <f t="shared" si="781"/>
        <v/>
      </c>
      <c r="ED95" s="435" t="str">
        <f t="shared" si="782"/>
        <v/>
      </c>
      <c r="EE95" s="435" t="str">
        <f t="shared" si="783"/>
        <v/>
      </c>
      <c r="EF95" s="435" t="str">
        <f t="shared" si="784"/>
        <v/>
      </c>
      <c r="EG95" s="435" t="str">
        <f t="shared" si="785"/>
        <v/>
      </c>
      <c r="EH95" s="435" t="str">
        <f t="shared" si="786"/>
        <v/>
      </c>
      <c r="EI95" s="435" t="str">
        <f t="shared" si="787"/>
        <v/>
      </c>
      <c r="EJ95" s="435" t="str">
        <f t="shared" si="788"/>
        <v/>
      </c>
      <c r="EK95" s="485"/>
      <c r="EL95" s="485"/>
      <c r="EM95" s="485"/>
      <c r="EN95" s="485"/>
      <c r="EO95" s="448"/>
      <c r="EP95" s="448"/>
      <c r="EQ95" s="448"/>
      <c r="ER95" s="448"/>
      <c r="ES95" s="448"/>
      <c r="ET95" s="435"/>
      <c r="EU95" s="435"/>
      <c r="EV95" s="435"/>
      <c r="EW95" s="435"/>
      <c r="EX95" s="426"/>
      <c r="EY95" s="426"/>
      <c r="EZ95" s="426"/>
      <c r="FA95" s="863"/>
      <c r="FB95" s="427">
        <f t="array" ref="FB95">IF(SUM((FA95=$FA$3:FA94)*1)=0,FA95,0)</f>
        <v>0</v>
      </c>
      <c r="FC95" s="863"/>
      <c r="FD95" s="863"/>
      <c r="FE95" s="863">
        <f t="array" ref="FE95">IF(SUM((FD95=$FD$3:FD94)*1)=0,FD95,0)</f>
        <v>0</v>
      </c>
      <c r="FF95" s="863"/>
      <c r="FG95" s="863"/>
      <c r="FH95" s="863"/>
      <c r="FI95" s="427">
        <f t="array" ref="FI95">IF(SUM((FH95=$FH$3:FH94)*1)=0,FH95,0)</f>
        <v>0</v>
      </c>
      <c r="FJ95" s="863"/>
      <c r="FK95" s="863"/>
      <c r="FL95" s="863">
        <f t="array" ref="FL95">IF(SUM((FK95=$FK$3:FK94)*1)=0,FK95,0)</f>
        <v>0</v>
      </c>
      <c r="FM95" s="863"/>
      <c r="FN95" s="863"/>
      <c r="FO95" s="863"/>
      <c r="FP95" s="427">
        <f t="array" ref="FP95">IF(SUM((FO95=$FO$3:FO94)*1)=0,FO95,0)</f>
        <v>0</v>
      </c>
      <c r="FQ95" s="863"/>
      <c r="FR95" s="863"/>
      <c r="FS95" s="863">
        <f t="array" ref="FS95">IF(SUM((FR95=$FR$3:FR94)*1)=0,FR95,0)</f>
        <v>0</v>
      </c>
      <c r="FT95" s="863"/>
      <c r="FU95" s="863"/>
      <c r="FV95" s="863"/>
      <c r="FW95" s="427">
        <f t="array" ref="FW95">IF(SUM((FV95=$FV$3:FV94)*1)=0,FV95,0)</f>
        <v>0</v>
      </c>
      <c r="FX95" s="863"/>
      <c r="FY95" s="863"/>
      <c r="FZ95" s="863">
        <f t="array" ref="FZ95">IF(SUM((FY95=$FY$3:FY94)*1)=0,FY95,0)</f>
        <v>0</v>
      </c>
      <c r="GA95" s="863"/>
      <c r="GB95" s="863"/>
      <c r="GC95" s="863"/>
      <c r="GD95" s="427">
        <f t="array" ref="GD95">IF(SUM((GC95=$GC$3:GC94)*1)=0,GC95,0)</f>
        <v>0</v>
      </c>
      <c r="GE95" s="863"/>
      <c r="GF95" s="863"/>
      <c r="GG95" s="863">
        <f t="array" ref="GG95">IF(SUM((GF95=$GF$3:GF94)*1)=0,GF95,0)</f>
        <v>0</v>
      </c>
      <c r="GH95" s="863"/>
      <c r="GI95" s="863"/>
      <c r="GJ95" s="863"/>
      <c r="GK95" s="798">
        <f t="array" ref="GK95">IF(SUM((GJ95=$GJ$3:GJ94)*1)=0,GJ95,0)</f>
        <v>0</v>
      </c>
      <c r="GL95" s="863"/>
      <c r="GM95" s="863"/>
      <c r="GN95" s="798">
        <f t="array" ref="GN95">IF(SUM((GM95=$GM$3:GM94)*1)=0,GM95,0)</f>
        <v>0</v>
      </c>
      <c r="GO95" s="863"/>
      <c r="GP95" s="863"/>
      <c r="GQ95" s="863"/>
      <c r="GR95" s="798">
        <f t="array" ref="GR95">IF(SUM((GQ95=$GQ$3:GQ94)*1)=0,GQ95,0)</f>
        <v>0</v>
      </c>
      <c r="GS95" s="863"/>
      <c r="GT95" s="863"/>
      <c r="GU95" s="798">
        <f t="array" ref="GU95">IF(SUM((GT95=$GT$3:GT94)*1)=0,GT95,0)</f>
        <v>0</v>
      </c>
      <c r="GV95" s="863"/>
      <c r="GW95" s="863"/>
      <c r="GX95" s="863"/>
      <c r="GY95" s="798">
        <f t="array" ref="GY95">IF(SUM((GX95=$GX$3:GX94)*1)=0,GX95,0)</f>
        <v>0</v>
      </c>
      <c r="GZ95" s="863"/>
      <c r="HA95" s="863"/>
      <c r="HB95" s="798">
        <f t="array" ref="HB95">IF(SUM((HA95=$HA$3:HA94)*1)=0,HA95,0)</f>
        <v>0</v>
      </c>
      <c r="HC95" s="863"/>
      <c r="HD95" s="863"/>
      <c r="HE95" s="769" t="str">
        <f t="shared" si="889"/>
        <v/>
      </c>
      <c r="HF95" s="768" t="str">
        <f t="shared" ref="HF95" si="1126">IF(HE95&lt;0,"Invadiu REP-BA-C","")</f>
        <v/>
      </c>
      <c r="HG95" s="769" t="str">
        <f t="shared" si="891"/>
        <v/>
      </c>
      <c r="HH95" s="768" t="str">
        <f t="shared" si="815"/>
        <v/>
      </c>
      <c r="HI95" s="728" t="str">
        <f t="shared" si="892"/>
        <v/>
      </c>
      <c r="HJ95" s="768" t="str">
        <f t="shared" si="816"/>
        <v/>
      </c>
      <c r="HK95" s="728" t="str">
        <f t="shared" si="893"/>
        <v/>
      </c>
      <c r="HL95" s="768" t="str">
        <f t="shared" si="817"/>
        <v/>
      </c>
      <c r="HM95" s="769" t="str">
        <f t="shared" si="818"/>
        <v/>
      </c>
      <c r="HN95" s="768" t="str">
        <f t="shared" ref="HN95" si="1127">IF(HM95&lt;0,"Invadiu REP-BA-C","")</f>
        <v/>
      </c>
      <c r="HO95" s="769" t="str">
        <f t="shared" si="820"/>
        <v/>
      </c>
      <c r="HP95" s="768" t="str">
        <f t="shared" si="821"/>
        <v/>
      </c>
      <c r="HQ95" s="728" t="str">
        <f t="shared" si="822"/>
        <v/>
      </c>
      <c r="HR95" s="768" t="str">
        <f t="shared" si="823"/>
        <v/>
      </c>
      <c r="HS95" s="728" t="str">
        <f t="shared" si="824"/>
        <v/>
      </c>
      <c r="HT95" s="768" t="str">
        <f t="shared" si="825"/>
        <v/>
      </c>
      <c r="HU95" s="769" t="str">
        <f t="shared" si="826"/>
        <v/>
      </c>
      <c r="HV95" s="768" t="str">
        <f t="shared" ref="HV95" si="1128">IF(HU95&lt;0,"Invadiu REP-BA-C","")</f>
        <v/>
      </c>
      <c r="HW95" s="769" t="str">
        <f t="shared" si="828"/>
        <v/>
      </c>
      <c r="HX95" s="768" t="str">
        <f t="shared" si="829"/>
        <v/>
      </c>
      <c r="HY95" s="728" t="str">
        <f t="shared" si="830"/>
        <v/>
      </c>
      <c r="HZ95" s="768" t="str">
        <f t="shared" si="831"/>
        <v/>
      </c>
      <c r="IA95" s="728" t="str">
        <f t="shared" si="832"/>
        <v/>
      </c>
      <c r="IB95" s="768" t="str">
        <f t="shared" si="833"/>
        <v/>
      </c>
      <c r="IC95" s="769" t="str">
        <f t="shared" si="834"/>
        <v/>
      </c>
      <c r="ID95" s="768" t="str">
        <f t="shared" ref="ID95" si="1129">IF(IC95&lt;0,"Invadiu REP-BA-C","")</f>
        <v/>
      </c>
      <c r="IE95" s="769" t="str">
        <f t="shared" si="836"/>
        <v/>
      </c>
      <c r="IF95" s="768" t="str">
        <f t="shared" si="837"/>
        <v/>
      </c>
      <c r="IG95" s="728" t="str">
        <f t="shared" si="838"/>
        <v/>
      </c>
      <c r="IH95" s="768" t="str">
        <f t="shared" si="839"/>
        <v/>
      </c>
      <c r="II95" s="728" t="str">
        <f t="shared" si="840"/>
        <v/>
      </c>
      <c r="IJ95" s="768" t="str">
        <f t="shared" si="841"/>
        <v/>
      </c>
      <c r="IK95" s="769" t="str">
        <f t="shared" si="842"/>
        <v/>
      </c>
      <c r="IL95" s="768" t="str">
        <f t="shared" ref="IL95" si="1130">IF(IK95&lt;0,"Invadiu REP-BA-C","")</f>
        <v/>
      </c>
      <c r="IM95" s="769" t="str">
        <f t="shared" si="844"/>
        <v/>
      </c>
      <c r="IN95" s="768" t="str">
        <f t="shared" si="845"/>
        <v/>
      </c>
      <c r="IO95" s="728" t="str">
        <f t="shared" si="846"/>
        <v/>
      </c>
      <c r="IP95" s="768" t="str">
        <f t="shared" si="847"/>
        <v/>
      </c>
      <c r="IQ95" s="728" t="str">
        <f t="shared" si="848"/>
        <v/>
      </c>
      <c r="IR95" s="768" t="str">
        <f t="shared" si="849"/>
        <v/>
      </c>
      <c r="IS95" s="769" t="str">
        <f t="shared" si="850"/>
        <v/>
      </c>
      <c r="IT95" s="768" t="str">
        <f t="shared" ref="IT95" si="1131">IF(IS95&lt;0,"Invadiu REP-BA-C","")</f>
        <v/>
      </c>
      <c r="IU95" s="769" t="str">
        <f t="shared" si="852"/>
        <v/>
      </c>
      <c r="IV95" s="768" t="str">
        <f t="shared" si="853"/>
        <v/>
      </c>
      <c r="IW95" s="728" t="str">
        <f t="shared" si="854"/>
        <v/>
      </c>
      <c r="IX95" s="768" t="str">
        <f t="shared" si="855"/>
        <v/>
      </c>
      <c r="IY95" s="728" t="str">
        <f t="shared" si="856"/>
        <v/>
      </c>
      <c r="IZ95" s="768" t="str">
        <f t="shared" si="857"/>
        <v/>
      </c>
      <c r="JA95" s="769" t="str">
        <f t="shared" si="858"/>
        <v/>
      </c>
      <c r="JB95" s="768" t="str">
        <f t="shared" ref="JB95" si="1132">IF(JA95&lt;0,"Invadiu REP-BA-C","")</f>
        <v/>
      </c>
      <c r="JC95" s="769" t="str">
        <f t="shared" si="860"/>
        <v/>
      </c>
      <c r="JD95" s="768" t="str">
        <f t="shared" si="861"/>
        <v/>
      </c>
      <c r="JE95" s="728" t="str">
        <f t="shared" si="862"/>
        <v/>
      </c>
      <c r="JF95" s="768" t="str">
        <f t="shared" si="863"/>
        <v/>
      </c>
      <c r="JG95" s="728" t="str">
        <f t="shared" si="864"/>
        <v/>
      </c>
      <c r="JH95" s="768" t="str">
        <f t="shared" si="865"/>
        <v/>
      </c>
      <c r="JI95" s="769" t="str">
        <f t="shared" si="866"/>
        <v/>
      </c>
      <c r="JJ95" s="768" t="str">
        <f t="shared" ref="JJ95" si="1133">IF(JI95&lt;0,"Invadiu REP-BA-C","")</f>
        <v/>
      </c>
      <c r="JK95" s="769" t="str">
        <f t="shared" si="868"/>
        <v/>
      </c>
      <c r="JL95" s="768" t="str">
        <f t="shared" si="869"/>
        <v/>
      </c>
      <c r="JM95" s="728" t="str">
        <f t="shared" si="870"/>
        <v/>
      </c>
      <c r="JN95" s="768" t="str">
        <f t="shared" si="871"/>
        <v/>
      </c>
      <c r="JO95" s="728" t="str">
        <f t="shared" si="872"/>
        <v/>
      </c>
      <c r="JP95" s="768" t="str">
        <f t="shared" si="873"/>
        <v/>
      </c>
      <c r="JQ95" s="769" t="str">
        <f t="shared" si="874"/>
        <v/>
      </c>
      <c r="JR95" s="768" t="str">
        <f t="shared" ref="JR95" si="1134">IF(JQ95&lt;0,"Invadiu REP-BA-C","")</f>
        <v/>
      </c>
      <c r="JS95" s="769" t="str">
        <f t="shared" si="876"/>
        <v/>
      </c>
      <c r="JT95" s="768" t="str">
        <f t="shared" si="877"/>
        <v/>
      </c>
      <c r="JU95" s="728" t="str">
        <f t="shared" si="878"/>
        <v/>
      </c>
      <c r="JV95" s="768" t="str">
        <f t="shared" si="879"/>
        <v/>
      </c>
      <c r="JW95" s="728" t="str">
        <f t="shared" si="880"/>
        <v/>
      </c>
      <c r="JX95" s="768" t="str">
        <f t="shared" si="881"/>
        <v/>
      </c>
      <c r="JY95" s="768" t="str">
        <f t="shared" si="882"/>
        <v/>
      </c>
      <c r="JZ95" s="485" t="str">
        <f>IF(JY95="","",IF(AND(C95=$C$164,JY95&lt;&gt;""),Verificarcpf(D95),IF(AND(C95=$C$165,JY95&lt;&gt;""),VerificarCNPJ(D95))))</f>
        <v/>
      </c>
      <c r="KA95" s="768" t="str">
        <f t="shared" si="883"/>
        <v/>
      </c>
      <c r="KB95" s="485">
        <f t="shared" si="884"/>
        <v>0</v>
      </c>
      <c r="KC95" s="768">
        <f t="shared" si="885"/>
        <v>0</v>
      </c>
      <c r="KD95" s="485">
        <f t="shared" si="886"/>
        <v>0</v>
      </c>
      <c r="KE95" s="448"/>
      <c r="KF95" s="548"/>
      <c r="KG95" s="548"/>
      <c r="KH95" s="548"/>
      <c r="KI95" s="548"/>
      <c r="KJ95" s="548" t="str">
        <f t="shared" si="887"/>
        <v/>
      </c>
      <c r="KK95" s="548"/>
      <c r="KL95" s="548"/>
      <c r="KM95" s="548">
        <f t="array" ref="KM95">IF(SUM((KL95=$KL$3:KL94)*1)=0,KL95,0)</f>
        <v>0</v>
      </c>
      <c r="KN95" s="548"/>
      <c r="KO95" s="548"/>
      <c r="KP95" s="548"/>
      <c r="KQ95" s="548"/>
      <c r="KR95" s="548" t="str">
        <f t="shared" si="888"/>
        <v/>
      </c>
      <c r="KS95" s="548"/>
      <c r="KT95" s="548"/>
      <c r="KU95" s="548"/>
      <c r="KV95" s="548"/>
      <c r="KW95" s="548"/>
      <c r="KX95" s="548"/>
      <c r="KY95" s="548"/>
      <c r="KZ95" s="548"/>
      <c r="LA95" s="548"/>
      <c r="LB95" s="548"/>
      <c r="LC95" s="485" t="str">
        <f t="shared" si="902"/>
        <v/>
      </c>
      <c r="LD95" s="548"/>
      <c r="LE95" s="548"/>
      <c r="LF95" s="548"/>
      <c r="LG95" s="548"/>
      <c r="LH95" s="548"/>
      <c r="LI95" s="548"/>
      <c r="LJ95" s="548"/>
      <c r="LK95" s="548"/>
      <c r="LL95" s="548"/>
      <c r="LM95" s="548"/>
      <c r="LN95" s="548"/>
      <c r="LO95" s="548"/>
      <c r="LP95" s="485" t="str">
        <f t="shared" si="903"/>
        <v/>
      </c>
      <c r="LQ95" s="548"/>
      <c r="LR95" s="548"/>
      <c r="LS95" s="548"/>
      <c r="LT95" s="548"/>
      <c r="LU95" s="548"/>
      <c r="LV95" s="548"/>
      <c r="LW95" s="548"/>
      <c r="LX95" s="548"/>
      <c r="LY95" s="548"/>
      <c r="LZ95" s="548"/>
      <c r="MA95" s="548"/>
      <c r="MB95" s="548"/>
      <c r="MC95" s="485" t="str">
        <f t="shared" si="904"/>
        <v/>
      </c>
      <c r="MD95" s="548"/>
      <c r="ME95" s="548"/>
      <c r="MF95" s="548"/>
      <c r="MG95" s="548"/>
      <c r="MH95" s="548"/>
      <c r="MI95" s="548"/>
      <c r="MJ95" s="548"/>
      <c r="MK95" s="548"/>
      <c r="ML95" s="548"/>
      <c r="MM95" s="548"/>
      <c r="MN95" s="548"/>
      <c r="MO95" s="548"/>
      <c r="MP95" s="485" t="str">
        <f t="shared" si="905"/>
        <v/>
      </c>
      <c r="MQ95" s="548"/>
      <c r="MR95" s="548"/>
      <c r="MS95" s="548"/>
      <c r="MT95" s="548"/>
      <c r="MU95" s="548"/>
      <c r="MV95" s="548"/>
      <c r="MW95" s="548"/>
      <c r="MX95" s="548"/>
      <c r="MY95" s="548"/>
      <c r="MZ95" s="548"/>
      <c r="NA95" s="548"/>
      <c r="NB95" s="548"/>
      <c r="NC95" s="485" t="str">
        <f t="shared" si="906"/>
        <v/>
      </c>
      <c r="ND95" s="548"/>
      <c r="NE95" s="548"/>
      <c r="NF95" s="548"/>
      <c r="NG95" s="548"/>
      <c r="NH95" s="548"/>
      <c r="NI95" s="548"/>
      <c r="NJ95" s="548"/>
      <c r="NK95" s="548"/>
      <c r="NL95" s="548"/>
      <c r="NM95" s="548"/>
      <c r="NN95" s="548"/>
      <c r="NO95" s="548"/>
      <c r="NP95" s="485" t="str">
        <f t="shared" si="907"/>
        <v/>
      </c>
      <c r="NQ95" s="548"/>
      <c r="NR95" s="548"/>
      <c r="NS95" s="548"/>
      <c r="NT95" s="548"/>
      <c r="NU95" s="548"/>
      <c r="NV95" s="548"/>
      <c r="NW95" s="548"/>
      <c r="NX95" s="548"/>
      <c r="NY95" s="548"/>
      <c r="NZ95" s="548"/>
      <c r="OA95" s="548"/>
      <c r="OB95" s="548"/>
      <c r="OC95" s="485" t="str">
        <f t="shared" si="908"/>
        <v/>
      </c>
      <c r="OD95" s="548"/>
      <c r="OE95" s="548"/>
      <c r="OF95" s="548"/>
      <c r="OG95" s="548"/>
      <c r="OH95" s="548"/>
      <c r="OI95" s="548"/>
      <c r="OJ95" s="548"/>
      <c r="OK95" s="548"/>
      <c r="OL95" s="548"/>
      <c r="OM95" s="548"/>
      <c r="ON95" s="548"/>
      <c r="OO95" s="548"/>
      <c r="OP95" s="548"/>
      <c r="OQ95" s="548"/>
      <c r="OR95" s="548"/>
      <c r="OS95" s="548"/>
      <c r="OT95" s="548"/>
      <c r="OU95" s="548"/>
      <c r="OV95" s="548"/>
      <c r="OW95" s="548"/>
      <c r="OX95" s="548"/>
      <c r="OY95" s="548"/>
      <c r="OZ95" s="548"/>
      <c r="PA95" s="548"/>
      <c r="PB95" s="548"/>
      <c r="PC95" s="548"/>
      <c r="PD95" s="548"/>
      <c r="PE95" s="548"/>
      <c r="PF95" s="548"/>
      <c r="PG95" s="548"/>
      <c r="PH95" s="548"/>
      <c r="PI95" s="548"/>
      <c r="PJ95" s="548"/>
      <c r="PK95" s="548"/>
      <c r="PL95" s="548"/>
      <c r="PM95" s="548"/>
      <c r="PN95" s="548"/>
      <c r="PO95" s="548"/>
      <c r="PP95" s="548"/>
      <c r="PQ95" s="548"/>
      <c r="PR95" s="548"/>
      <c r="PS95" s="548"/>
      <c r="PT95" s="548"/>
      <c r="PU95" s="548"/>
      <c r="PV95" s="548"/>
      <c r="PW95" s="548"/>
      <c r="PX95" s="548"/>
      <c r="PY95" s="548"/>
      <c r="PZ95" s="548"/>
      <c r="QA95" s="548"/>
      <c r="QB95" s="548"/>
      <c r="QC95" s="548"/>
      <c r="QD95" s="548"/>
      <c r="QE95" s="548"/>
      <c r="QF95" s="548"/>
      <c r="QG95" s="548"/>
      <c r="QH95" s="548"/>
      <c r="QI95" s="548"/>
      <c r="QJ95" s="548"/>
      <c r="QK95" s="548"/>
      <c r="QL95" s="548"/>
      <c r="QM95" s="548"/>
      <c r="QN95" s="548"/>
      <c r="QO95" s="548"/>
      <c r="QP95" s="548"/>
      <c r="QQ95" s="1009"/>
      <c r="QR95" s="548"/>
      <c r="QS95" s="548"/>
      <c r="QT95" s="548"/>
      <c r="QU95" s="548"/>
      <c r="QV95" s="548"/>
      <c r="QW95" s="548"/>
      <c r="QX95" s="548"/>
      <c r="QY95" s="548"/>
      <c r="QZ95" s="548"/>
      <c r="RA95" s="548"/>
      <c r="RB95" s="548"/>
      <c r="RC95" s="548"/>
      <c r="RD95" s="548"/>
      <c r="RE95" s="548"/>
      <c r="RF95" s="548"/>
      <c r="RG95" s="548"/>
      <c r="RH95" s="548"/>
      <c r="RI95" s="548"/>
      <c r="RJ95" s="548"/>
      <c r="RK95" s="548"/>
      <c r="RL95" s="548"/>
      <c r="RM95" s="548"/>
      <c r="RN95" s="548"/>
      <c r="RO95" s="548"/>
      <c r="RP95" s="548"/>
      <c r="RQ95" s="548"/>
      <c r="RR95" s="548"/>
      <c r="RS95" s="548"/>
      <c r="RT95" s="548"/>
      <c r="RU95" s="548"/>
      <c r="RV95" s="548"/>
      <c r="RW95" s="548"/>
      <c r="RX95" s="548"/>
      <c r="RY95" s="548"/>
      <c r="RZ95" s="548"/>
      <c r="SA95" s="548"/>
      <c r="SB95" s="548"/>
      <c r="SC95" s="548"/>
      <c r="SD95" s="548"/>
      <c r="SE95" s="548"/>
      <c r="SF95" s="548"/>
      <c r="SG95" s="548"/>
      <c r="SH95" s="548"/>
      <c r="SI95" s="548"/>
      <c r="SJ95" s="548"/>
      <c r="SK95" s="548"/>
      <c r="SL95" s="548"/>
      <c r="SM95" s="548"/>
      <c r="SN95" s="548"/>
      <c r="SO95" s="548"/>
      <c r="SP95" s="548"/>
      <c r="SQ95" s="548"/>
      <c r="SR95" s="548"/>
      <c r="SS95" s="548"/>
      <c r="ST95" s="548"/>
      <c r="SU95" s="548"/>
      <c r="SV95" s="548"/>
      <c r="SW95" s="548"/>
      <c r="SX95" s="548"/>
      <c r="SY95" s="548"/>
      <c r="SZ95" s="548"/>
      <c r="TA95" s="548"/>
      <c r="TB95" s="548"/>
      <c r="TC95" s="548"/>
      <c r="TD95" s="548"/>
      <c r="TE95" s="548"/>
      <c r="TF95" s="548"/>
      <c r="TG95" s="548"/>
      <c r="TH95" s="548"/>
      <c r="TI95" s="548"/>
      <c r="TJ95" s="548"/>
      <c r="TK95" s="548"/>
      <c r="TL95" s="548"/>
      <c r="TM95" s="548"/>
      <c r="TN95" s="548"/>
      <c r="TO95" s="548"/>
      <c r="TP95" s="548"/>
      <c r="TQ95" s="548"/>
      <c r="TR95" s="548"/>
      <c r="TS95" s="548"/>
      <c r="TT95" s="548"/>
      <c r="TU95" s="548"/>
      <c r="TV95" s="548"/>
      <c r="TW95" s="548"/>
      <c r="TX95" s="548"/>
      <c r="TY95" s="548"/>
      <c r="TZ95" s="548"/>
      <c r="UA95" s="548"/>
      <c r="UB95" s="548"/>
      <c r="UC95" s="548"/>
      <c r="UD95" s="548"/>
      <c r="UE95" s="548"/>
      <c r="UF95" s="548"/>
      <c r="UG95" s="548"/>
      <c r="UH95" s="548"/>
      <c r="UI95" s="548"/>
      <c r="UJ95" s="548"/>
      <c r="UK95" s="548"/>
      <c r="UL95" s="548"/>
      <c r="UM95" s="548"/>
      <c r="UN95" s="548"/>
      <c r="UO95" s="548"/>
      <c r="UP95" s="548"/>
      <c r="UQ95" s="548"/>
      <c r="UR95" s="548"/>
      <c r="US95" s="548"/>
      <c r="UT95" s="548"/>
      <c r="UU95" s="548"/>
      <c r="UV95" s="548"/>
      <c r="UW95" s="548"/>
      <c r="UX95" s="548"/>
      <c r="UY95" s="548"/>
      <c r="UZ95" s="548"/>
      <c r="VA95" s="548"/>
      <c r="VB95" s="548"/>
      <c r="VC95" s="548"/>
      <c r="VD95" s="548"/>
      <c r="VE95" s="548"/>
      <c r="VF95" s="548"/>
      <c r="VG95" s="548"/>
      <c r="VH95" s="548"/>
      <c r="VI95" s="548"/>
      <c r="VJ95" s="548"/>
      <c r="VK95" s="548"/>
      <c r="VL95" s="548"/>
      <c r="VM95" s="548"/>
      <c r="VN95" s="548"/>
      <c r="VO95" s="548"/>
      <c r="VP95" s="548"/>
      <c r="VQ95" s="548"/>
      <c r="VR95" s="548"/>
      <c r="VS95" s="548"/>
      <c r="VT95" s="548"/>
      <c r="VU95" s="548"/>
      <c r="VV95" s="548"/>
      <c r="VW95" s="548"/>
      <c r="VX95" s="548"/>
      <c r="VY95" s="548"/>
      <c r="VZ95" s="548"/>
      <c r="WA95" s="548"/>
      <c r="WB95" s="548"/>
      <c r="WC95" s="548"/>
      <c r="WD95" s="548"/>
      <c r="WE95" s="548"/>
      <c r="WF95" s="548"/>
      <c r="WG95" s="548"/>
      <c r="WH95" s="548"/>
      <c r="WI95" s="548"/>
      <c r="WJ95" s="548"/>
      <c r="WK95" s="548"/>
      <c r="WL95" s="548"/>
      <c r="WM95" s="548"/>
      <c r="WN95" s="548"/>
      <c r="WO95" s="548"/>
      <c r="WP95" s="548"/>
      <c r="WQ95" s="548"/>
      <c r="WR95" s="548"/>
      <c r="WS95" s="548"/>
      <c r="WT95" s="548"/>
      <c r="WU95" s="548"/>
      <c r="WV95" s="548"/>
      <c r="WW95" s="548"/>
      <c r="WX95" s="548"/>
      <c r="WY95" s="548"/>
      <c r="WZ95" s="548"/>
      <c r="XA95" s="548"/>
      <c r="XB95" s="548"/>
      <c r="XC95" s="548"/>
      <c r="XD95" s="548"/>
      <c r="XE95" s="548"/>
      <c r="XF95" s="548"/>
      <c r="XG95" s="548"/>
      <c r="XH95" s="548"/>
      <c r="XI95" s="548"/>
      <c r="XJ95" s="548"/>
      <c r="XK95" s="548"/>
      <c r="XL95" s="548"/>
      <c r="XM95" s="548"/>
      <c r="XN95" s="548"/>
      <c r="XO95" s="548"/>
      <c r="XP95" s="548"/>
      <c r="XQ95" s="548"/>
      <c r="XR95" s="548"/>
      <c r="XS95" s="548"/>
      <c r="XT95" s="548"/>
      <c r="XU95" s="548"/>
      <c r="XV95" s="548"/>
      <c r="XW95" s="548"/>
      <c r="XX95" s="548"/>
      <c r="XY95" s="548"/>
      <c r="XZ95" s="548"/>
      <c r="YA95" s="548"/>
      <c r="YB95" s="548"/>
      <c r="YC95" s="548"/>
      <c r="YD95" s="548"/>
      <c r="YE95" s="548"/>
      <c r="YF95" s="548"/>
      <c r="YG95" s="548"/>
      <c r="YH95" s="548"/>
      <c r="YI95" s="548"/>
      <c r="YJ95" s="548"/>
      <c r="YK95" s="548"/>
      <c r="YL95" s="548"/>
      <c r="YM95" s="548"/>
      <c r="YN95" s="548"/>
      <c r="YO95" s="548"/>
      <c r="YP95" s="548"/>
      <c r="YQ95" s="548"/>
      <c r="YR95" s="548"/>
      <c r="YS95" s="548"/>
      <c r="YT95" s="548"/>
      <c r="YU95" s="548"/>
      <c r="YV95" s="548"/>
      <c r="YW95" s="548"/>
      <c r="YX95" s="548"/>
      <c r="YY95" s="548"/>
      <c r="YZ95" s="548"/>
      <c r="ZA95" s="548"/>
      <c r="ZB95" s="548"/>
      <c r="ZC95" s="548"/>
      <c r="ZD95" s="548"/>
      <c r="ZE95" s="548"/>
      <c r="ZF95" s="548"/>
      <c r="ZG95" s="548"/>
      <c r="ZH95" s="548"/>
      <c r="ZI95" s="548"/>
      <c r="ZJ95" s="548"/>
      <c r="ZK95" s="548"/>
      <c r="ZL95" s="548"/>
      <c r="ZM95" s="548"/>
      <c r="ZN95" s="548"/>
      <c r="ZO95" s="548"/>
      <c r="ZP95" s="548"/>
      <c r="ZQ95" s="548"/>
      <c r="ZR95" s="548"/>
      <c r="ZS95" s="548"/>
      <c r="ZT95" s="548"/>
      <c r="ZU95" s="548"/>
      <c r="ZV95" s="548"/>
      <c r="ZW95" s="548"/>
      <c r="ZX95" s="548"/>
      <c r="ZY95" s="548"/>
      <c r="ZZ95" s="548"/>
      <c r="AAA95" s="548"/>
      <c r="AAB95" s="548"/>
      <c r="AAC95" s="548"/>
      <c r="AAD95" s="548"/>
      <c r="AAE95" s="548"/>
      <c r="AAF95" s="548"/>
      <c r="AAG95" s="548"/>
      <c r="AAH95" s="548"/>
      <c r="AAI95" s="548"/>
      <c r="AAJ95" s="548"/>
      <c r="AAK95" s="548"/>
      <c r="AAL95" s="548"/>
      <c r="AAM95" s="548"/>
      <c r="AAN95" s="548"/>
      <c r="AAO95" s="548"/>
      <c r="AAP95" s="548"/>
      <c r="AAQ95" s="548"/>
      <c r="AAR95" s="548"/>
      <c r="AAS95" s="548"/>
      <c r="AAT95" s="548"/>
      <c r="AAU95" s="548"/>
      <c r="AAV95" s="548"/>
      <c r="AAW95" s="548"/>
      <c r="AAX95" s="548"/>
      <c r="AAY95" s="548"/>
      <c r="AAZ95" s="548"/>
      <c r="ABA95" s="548"/>
      <c r="ABB95" s="548"/>
      <c r="ABC95" s="548"/>
      <c r="ABD95" s="548"/>
      <c r="ABE95" s="548"/>
      <c r="ABF95" s="548"/>
      <c r="ABG95" s="548"/>
      <c r="ABH95" s="548"/>
      <c r="ABI95" s="548"/>
      <c r="ABJ95" s="548"/>
      <c r="ABK95" s="548"/>
      <c r="ABL95" s="548"/>
      <c r="ABM95" s="548"/>
      <c r="ABN95" s="548"/>
      <c r="ABO95" s="548"/>
      <c r="ABP95" s="548"/>
      <c r="ABQ95" s="548"/>
      <c r="ABR95" s="548"/>
      <c r="ABS95" s="548"/>
    </row>
    <row r="96" spans="1:747" customFormat="1" ht="15" customHeight="1" x14ac:dyDescent="0.2">
      <c r="A96" s="424" t="str">
        <f t="shared" si="909"/>
        <v/>
      </c>
      <c r="B96" s="415"/>
      <c r="C96" s="525"/>
      <c r="D96" s="750"/>
      <c r="E96" s="416" t="str">
        <f t="shared" si="751"/>
        <v/>
      </c>
      <c r="F96" s="527" t="str">
        <f t="shared" si="752"/>
        <v/>
      </c>
      <c r="G96" s="417"/>
      <c r="H96" s="585" t="str">
        <f t="shared" si="753"/>
        <v/>
      </c>
      <c r="I96" s="424"/>
      <c r="J96" s="419"/>
      <c r="K96" s="418"/>
      <c r="L96" s="419"/>
      <c r="M96" s="415"/>
      <c r="N96" s="420"/>
      <c r="O96" s="421"/>
      <c r="P96" s="561"/>
      <c r="Q96" s="422"/>
      <c r="R96" s="561" t="str">
        <f t="shared" si="754"/>
        <v/>
      </c>
      <c r="S96" s="664"/>
      <c r="T96" s="663"/>
      <c r="U96" s="580">
        <f t="shared" si="755"/>
        <v>0</v>
      </c>
      <c r="V96" s="418"/>
      <c r="W96" s="582" t="str">
        <f t="shared" si="756"/>
        <v/>
      </c>
      <c r="X96" s="479" t="str">
        <f t="shared" si="757"/>
        <v/>
      </c>
      <c r="Y96" s="582" t="str">
        <f t="shared" si="758"/>
        <v/>
      </c>
      <c r="Z96" s="317" t="str">
        <f t="shared" si="759"/>
        <v/>
      </c>
      <c r="AA96" s="317" t="str">
        <f t="shared" si="760"/>
        <v/>
      </c>
      <c r="AB96" s="317">
        <f t="shared" si="761"/>
        <v>0</v>
      </c>
      <c r="AC96" s="317" t="str">
        <f t="shared" si="762"/>
        <v/>
      </c>
      <c r="AD96" s="479"/>
      <c r="AE96" s="479"/>
      <c r="AF96" s="479"/>
      <c r="AG96" s="423"/>
      <c r="AH96" s="820"/>
      <c r="AI96" s="437"/>
      <c r="AJ96" s="660"/>
      <c r="AK96" s="524" t="str">
        <f t="shared" si="763"/>
        <v/>
      </c>
      <c r="AL96" s="731">
        <f>SUMIF($J$4:$J$144,"Grêmio",$S$4:$S$144)</f>
        <v>0</v>
      </c>
      <c r="AM96" s="732">
        <f>SUMIF($J$4:$J$144,"Grêmio",$T$4:$T$144)</f>
        <v>0</v>
      </c>
      <c r="AN96" s="426">
        <f t="shared" si="764"/>
        <v>0</v>
      </c>
      <c r="AO96" s="427" t="str">
        <f t="shared" si="765"/>
        <v/>
      </c>
      <c r="AP96" s="426" t="str">
        <f t="shared" si="766"/>
        <v/>
      </c>
      <c r="AQ96" s="426"/>
      <c r="AR96" s="426"/>
      <c r="AS96" s="428"/>
      <c r="AT96" s="429"/>
      <c r="AU96" s="430"/>
      <c r="AV96" s="431"/>
      <c r="AW96" s="432"/>
      <c r="AX96" s="430"/>
      <c r="AY96" s="431">
        <f t="shared" si="767"/>
        <v>0</v>
      </c>
      <c r="AZ96" s="426"/>
      <c r="BA96" s="435" t="str">
        <f t="shared" si="768"/>
        <v/>
      </c>
      <c r="BB96" s="435"/>
      <c r="BC96" s="426"/>
      <c r="BD96" s="426">
        <f t="array" ref="BD96">IF(SUM((BC96=$BC$3:BC95)*1)=0,BC96,0)</f>
        <v>0</v>
      </c>
      <c r="BE96" s="426"/>
      <c r="BF96" s="426"/>
      <c r="BG96" s="426">
        <f t="array" ref="BG96">IF(SUM((BF96=$BF$3:BF95)*1)=0,BF96,0)</f>
        <v>0</v>
      </c>
      <c r="BH96" s="426"/>
      <c r="BI96" s="426"/>
      <c r="BJ96" s="426"/>
      <c r="BK96" s="426"/>
      <c r="BL96" s="426"/>
      <c r="BM96" s="426"/>
      <c r="BN96" s="426"/>
      <c r="BO96" s="426"/>
      <c r="BP96" s="433">
        <f t="shared" si="769"/>
        <v>0</v>
      </c>
      <c r="BQ96" s="426"/>
      <c r="BR96" s="434"/>
      <c r="BS96" s="426"/>
      <c r="BT96" s="433"/>
      <c r="BU96" s="435"/>
      <c r="BV96" s="435" t="str">
        <f t="shared" si="770"/>
        <v/>
      </c>
      <c r="BW96" s="435" t="str">
        <f t="shared" si="798"/>
        <v/>
      </c>
      <c r="BX96" s="435"/>
      <c r="BY96" s="435"/>
      <c r="BZ96" s="435"/>
      <c r="CA96" s="435"/>
      <c r="CB96" s="435"/>
      <c r="CC96" s="435"/>
      <c r="CD96" s="435"/>
      <c r="CE96" s="435"/>
      <c r="CF96" s="435"/>
      <c r="CG96" s="435"/>
      <c r="CH96" s="435"/>
      <c r="CI96" s="435"/>
      <c r="CJ96" s="426" t="str">
        <f t="shared" si="799"/>
        <v/>
      </c>
      <c r="CK96" s="435"/>
      <c r="CL96" s="426"/>
      <c r="CM96" s="435"/>
      <c r="CN96" s="426"/>
      <c r="CO96" s="426"/>
      <c r="CP96" s="426"/>
      <c r="CQ96" s="426"/>
      <c r="CR96" s="426"/>
      <c r="CS96" s="426"/>
      <c r="CT96" s="426"/>
      <c r="CU96" s="426"/>
      <c r="CV96" s="426"/>
      <c r="CW96" s="493"/>
      <c r="CX96" s="493"/>
      <c r="CY96" s="426">
        <v>93</v>
      </c>
      <c r="CZ96" s="493"/>
      <c r="DA96" s="493"/>
      <c r="DB96" s="493"/>
      <c r="DC96" s="426" t="s">
        <v>836</v>
      </c>
      <c r="DD96" s="426" t="s">
        <v>996</v>
      </c>
      <c r="DE96" s="435" t="str">
        <f t="shared" si="800"/>
        <v/>
      </c>
      <c r="DF96" s="435" t="str">
        <f t="shared" si="801"/>
        <v/>
      </c>
      <c r="DG96" s="435" t="str">
        <f t="shared" si="802"/>
        <v/>
      </c>
      <c r="DH96" s="435" t="str">
        <f t="shared" si="803"/>
        <v/>
      </c>
      <c r="DI96" s="435" t="str">
        <f t="shared" si="804"/>
        <v/>
      </c>
      <c r="DJ96" s="435" t="str">
        <f t="shared" si="805"/>
        <v/>
      </c>
      <c r="DK96" s="435" t="str">
        <f t="shared" si="771"/>
        <v/>
      </c>
      <c r="DL96" s="435" t="str">
        <f t="shared" si="772"/>
        <v/>
      </c>
      <c r="DM96" s="435" t="str">
        <f t="shared" si="806"/>
        <v/>
      </c>
      <c r="DN96" s="435" t="str">
        <f t="shared" si="807"/>
        <v/>
      </c>
      <c r="DO96" s="435" t="str">
        <f t="shared" si="773"/>
        <v/>
      </c>
      <c r="DP96" s="435" t="str">
        <f t="shared" si="774"/>
        <v/>
      </c>
      <c r="DQ96" s="435" t="str">
        <f t="shared" si="808"/>
        <v/>
      </c>
      <c r="DR96" s="435" t="str">
        <f t="shared" si="809"/>
        <v/>
      </c>
      <c r="DS96" s="435" t="str">
        <f t="shared" si="775"/>
        <v/>
      </c>
      <c r="DT96" s="435" t="str">
        <f t="shared" si="776"/>
        <v/>
      </c>
      <c r="DU96" s="435" t="str">
        <f t="shared" si="810"/>
        <v/>
      </c>
      <c r="DV96" s="435" t="str">
        <f t="shared" si="811"/>
        <v/>
      </c>
      <c r="DW96" s="435" t="str">
        <f t="shared" si="777"/>
        <v/>
      </c>
      <c r="DX96" s="435" t="str">
        <f t="shared" si="778"/>
        <v/>
      </c>
      <c r="DY96" s="435" t="str">
        <f t="shared" si="812"/>
        <v/>
      </c>
      <c r="DZ96" s="435" t="str">
        <f t="shared" si="813"/>
        <v/>
      </c>
      <c r="EA96" s="435" t="str">
        <f t="shared" si="779"/>
        <v/>
      </c>
      <c r="EB96" s="435" t="str">
        <f t="shared" si="780"/>
        <v/>
      </c>
      <c r="EC96" s="435" t="str">
        <f t="shared" si="781"/>
        <v/>
      </c>
      <c r="ED96" s="435" t="str">
        <f t="shared" si="782"/>
        <v/>
      </c>
      <c r="EE96" s="435" t="str">
        <f t="shared" si="783"/>
        <v/>
      </c>
      <c r="EF96" s="435" t="str">
        <f t="shared" si="784"/>
        <v/>
      </c>
      <c r="EG96" s="435" t="str">
        <f t="shared" si="785"/>
        <v/>
      </c>
      <c r="EH96" s="435" t="str">
        <f t="shared" si="786"/>
        <v/>
      </c>
      <c r="EI96" s="435" t="str">
        <f t="shared" si="787"/>
        <v/>
      </c>
      <c r="EJ96" s="435" t="str">
        <f t="shared" si="788"/>
        <v/>
      </c>
      <c r="EK96" s="485"/>
      <c r="EL96" s="485"/>
      <c r="EM96" s="485"/>
      <c r="EN96" s="485"/>
      <c r="EO96" s="448"/>
      <c r="EP96" s="448"/>
      <c r="EQ96" s="448"/>
      <c r="ER96" s="448"/>
      <c r="ES96" s="448"/>
      <c r="ET96" s="435"/>
      <c r="EU96" s="435"/>
      <c r="EV96" s="435"/>
      <c r="EW96" s="435"/>
      <c r="EX96" s="426"/>
      <c r="EY96" s="426"/>
      <c r="EZ96" s="426"/>
      <c r="FA96" s="863"/>
      <c r="FB96" s="427">
        <f t="array" ref="FB96">IF(SUM((FA96=$FA$3:FA95)*1)=0,FA96,0)</f>
        <v>0</v>
      </c>
      <c r="FC96" s="863"/>
      <c r="FD96" s="863"/>
      <c r="FE96" s="863">
        <f t="array" ref="FE96">IF(SUM((FD96=$FD$3:FD95)*1)=0,FD96,0)</f>
        <v>0</v>
      </c>
      <c r="FF96" s="863"/>
      <c r="FG96" s="863"/>
      <c r="FH96" s="863"/>
      <c r="FI96" s="427">
        <f t="array" ref="FI96">IF(SUM((FH96=$FH$3:FH95)*1)=0,FH96,0)</f>
        <v>0</v>
      </c>
      <c r="FJ96" s="863"/>
      <c r="FK96" s="863"/>
      <c r="FL96" s="863">
        <f t="array" ref="FL96">IF(SUM((FK96=$FK$3:FK95)*1)=0,FK96,0)</f>
        <v>0</v>
      </c>
      <c r="FM96" s="863"/>
      <c r="FN96" s="863"/>
      <c r="FO96" s="863"/>
      <c r="FP96" s="427">
        <f t="array" ref="FP96">IF(SUM((FO96=$FO$3:FO95)*1)=0,FO96,0)</f>
        <v>0</v>
      </c>
      <c r="FQ96" s="863"/>
      <c r="FR96" s="863"/>
      <c r="FS96" s="863">
        <f t="array" ref="FS96">IF(SUM((FR96=$FR$3:FR95)*1)=0,FR96,0)</f>
        <v>0</v>
      </c>
      <c r="FT96" s="863"/>
      <c r="FU96" s="863"/>
      <c r="FV96" s="863"/>
      <c r="FW96" s="427">
        <f t="array" ref="FW96">IF(SUM((FV96=$FV$3:FV95)*1)=0,FV96,0)</f>
        <v>0</v>
      </c>
      <c r="FX96" s="863"/>
      <c r="FY96" s="863"/>
      <c r="FZ96" s="863">
        <f t="array" ref="FZ96">IF(SUM((FY96=$FY$3:FY95)*1)=0,FY96,0)</f>
        <v>0</v>
      </c>
      <c r="GA96" s="863"/>
      <c r="GB96" s="863"/>
      <c r="GC96" s="863"/>
      <c r="GD96" s="427">
        <f t="array" ref="GD96">IF(SUM((GC96=$GC$3:GC95)*1)=0,GC96,0)</f>
        <v>0</v>
      </c>
      <c r="GE96" s="863"/>
      <c r="GF96" s="863"/>
      <c r="GG96" s="863">
        <f t="array" ref="GG96">IF(SUM((GF96=$GF$3:GF95)*1)=0,GF96,0)</f>
        <v>0</v>
      </c>
      <c r="GH96" s="863"/>
      <c r="GI96" s="863"/>
      <c r="GJ96" s="863"/>
      <c r="GK96" s="798">
        <f t="array" ref="GK96">IF(SUM((GJ96=$GJ$3:GJ95)*1)=0,GJ96,0)</f>
        <v>0</v>
      </c>
      <c r="GL96" s="863"/>
      <c r="GM96" s="863"/>
      <c r="GN96" s="798">
        <f t="array" ref="GN96">IF(SUM((GM96=$GM$3:GM95)*1)=0,GM96,0)</f>
        <v>0</v>
      </c>
      <c r="GO96" s="863"/>
      <c r="GP96" s="863"/>
      <c r="GQ96" s="863"/>
      <c r="GR96" s="798">
        <f t="array" ref="GR96">IF(SUM((GQ96=$GQ$3:GQ95)*1)=0,GQ96,0)</f>
        <v>0</v>
      </c>
      <c r="GS96" s="863"/>
      <c r="GT96" s="863"/>
      <c r="GU96" s="798">
        <f t="array" ref="GU96">IF(SUM((GT96=$GT$3:GT95)*1)=0,GT96,0)</f>
        <v>0</v>
      </c>
      <c r="GV96" s="863"/>
      <c r="GW96" s="863"/>
      <c r="GX96" s="863"/>
      <c r="GY96" s="798">
        <f t="array" ref="GY96">IF(SUM((GX96=$GX$3:GX95)*1)=0,GX96,0)</f>
        <v>0</v>
      </c>
      <c r="GZ96" s="863"/>
      <c r="HA96" s="863"/>
      <c r="HB96" s="798">
        <f t="array" ref="HB96">IF(SUM((HA96=$HA$3:HA95)*1)=0,HA96,0)</f>
        <v>0</v>
      </c>
      <c r="HC96" s="863"/>
      <c r="HD96" s="863"/>
      <c r="HE96" s="769" t="str">
        <f t="shared" si="889"/>
        <v/>
      </c>
      <c r="HF96" s="768" t="str">
        <f t="shared" ref="HF96" si="1135">IF(HE96&lt;0,"Invadiu REP-BA-C","")</f>
        <v/>
      </c>
      <c r="HG96" s="769" t="str">
        <f t="shared" si="891"/>
        <v/>
      </c>
      <c r="HH96" s="768" t="str">
        <f t="shared" si="815"/>
        <v/>
      </c>
      <c r="HI96" s="728" t="str">
        <f t="shared" si="892"/>
        <v/>
      </c>
      <c r="HJ96" s="768" t="str">
        <f t="shared" si="816"/>
        <v/>
      </c>
      <c r="HK96" s="728" t="str">
        <f t="shared" si="893"/>
        <v/>
      </c>
      <c r="HL96" s="768" t="str">
        <f t="shared" si="817"/>
        <v/>
      </c>
      <c r="HM96" s="769" t="str">
        <f t="shared" si="818"/>
        <v/>
      </c>
      <c r="HN96" s="768" t="str">
        <f t="shared" ref="HN96" si="1136">IF(HM96&lt;0,"Invadiu REP-BA-C","")</f>
        <v/>
      </c>
      <c r="HO96" s="769" t="str">
        <f t="shared" si="820"/>
        <v/>
      </c>
      <c r="HP96" s="768" t="str">
        <f t="shared" si="821"/>
        <v/>
      </c>
      <c r="HQ96" s="728" t="str">
        <f t="shared" si="822"/>
        <v/>
      </c>
      <c r="HR96" s="768" t="str">
        <f t="shared" si="823"/>
        <v/>
      </c>
      <c r="HS96" s="728" t="str">
        <f t="shared" si="824"/>
        <v/>
      </c>
      <c r="HT96" s="768" t="str">
        <f t="shared" si="825"/>
        <v/>
      </c>
      <c r="HU96" s="769" t="str">
        <f t="shared" si="826"/>
        <v/>
      </c>
      <c r="HV96" s="768" t="str">
        <f t="shared" ref="HV96" si="1137">IF(HU96&lt;0,"Invadiu REP-BA-C","")</f>
        <v/>
      </c>
      <c r="HW96" s="769" t="str">
        <f t="shared" si="828"/>
        <v/>
      </c>
      <c r="HX96" s="768" t="str">
        <f t="shared" si="829"/>
        <v/>
      </c>
      <c r="HY96" s="728" t="str">
        <f t="shared" si="830"/>
        <v/>
      </c>
      <c r="HZ96" s="768" t="str">
        <f t="shared" si="831"/>
        <v/>
      </c>
      <c r="IA96" s="728" t="str">
        <f t="shared" si="832"/>
        <v/>
      </c>
      <c r="IB96" s="768" t="str">
        <f t="shared" si="833"/>
        <v/>
      </c>
      <c r="IC96" s="769" t="str">
        <f t="shared" si="834"/>
        <v/>
      </c>
      <c r="ID96" s="768" t="str">
        <f t="shared" ref="ID96" si="1138">IF(IC96&lt;0,"Invadiu REP-BA-C","")</f>
        <v/>
      </c>
      <c r="IE96" s="769" t="str">
        <f t="shared" si="836"/>
        <v/>
      </c>
      <c r="IF96" s="768" t="str">
        <f t="shared" si="837"/>
        <v/>
      </c>
      <c r="IG96" s="728" t="str">
        <f t="shared" si="838"/>
        <v/>
      </c>
      <c r="IH96" s="768" t="str">
        <f t="shared" si="839"/>
        <v/>
      </c>
      <c r="II96" s="728" t="str">
        <f t="shared" si="840"/>
        <v/>
      </c>
      <c r="IJ96" s="768" t="str">
        <f t="shared" si="841"/>
        <v/>
      </c>
      <c r="IK96" s="769" t="str">
        <f t="shared" si="842"/>
        <v/>
      </c>
      <c r="IL96" s="768" t="str">
        <f t="shared" ref="IL96" si="1139">IF(IK96&lt;0,"Invadiu REP-BA-C","")</f>
        <v/>
      </c>
      <c r="IM96" s="769" t="str">
        <f t="shared" si="844"/>
        <v/>
      </c>
      <c r="IN96" s="768" t="str">
        <f t="shared" si="845"/>
        <v/>
      </c>
      <c r="IO96" s="728" t="str">
        <f t="shared" si="846"/>
        <v/>
      </c>
      <c r="IP96" s="768" t="str">
        <f t="shared" si="847"/>
        <v/>
      </c>
      <c r="IQ96" s="728" t="str">
        <f t="shared" si="848"/>
        <v/>
      </c>
      <c r="IR96" s="768" t="str">
        <f t="shared" si="849"/>
        <v/>
      </c>
      <c r="IS96" s="769" t="str">
        <f t="shared" si="850"/>
        <v/>
      </c>
      <c r="IT96" s="768" t="str">
        <f t="shared" ref="IT96" si="1140">IF(IS96&lt;0,"Invadiu REP-BA-C","")</f>
        <v/>
      </c>
      <c r="IU96" s="769" t="str">
        <f t="shared" si="852"/>
        <v/>
      </c>
      <c r="IV96" s="768" t="str">
        <f t="shared" si="853"/>
        <v/>
      </c>
      <c r="IW96" s="728" t="str">
        <f t="shared" si="854"/>
        <v/>
      </c>
      <c r="IX96" s="768" t="str">
        <f t="shared" si="855"/>
        <v/>
      </c>
      <c r="IY96" s="728" t="str">
        <f t="shared" si="856"/>
        <v/>
      </c>
      <c r="IZ96" s="768" t="str">
        <f t="shared" si="857"/>
        <v/>
      </c>
      <c r="JA96" s="769" t="str">
        <f t="shared" si="858"/>
        <v/>
      </c>
      <c r="JB96" s="768" t="str">
        <f t="shared" ref="JB96" si="1141">IF(JA96&lt;0,"Invadiu REP-BA-C","")</f>
        <v/>
      </c>
      <c r="JC96" s="769" t="str">
        <f t="shared" si="860"/>
        <v/>
      </c>
      <c r="JD96" s="768" t="str">
        <f t="shared" si="861"/>
        <v/>
      </c>
      <c r="JE96" s="728" t="str">
        <f t="shared" si="862"/>
        <v/>
      </c>
      <c r="JF96" s="768" t="str">
        <f t="shared" si="863"/>
        <v/>
      </c>
      <c r="JG96" s="728" t="str">
        <f t="shared" si="864"/>
        <v/>
      </c>
      <c r="JH96" s="768" t="str">
        <f t="shared" si="865"/>
        <v/>
      </c>
      <c r="JI96" s="769" t="str">
        <f t="shared" si="866"/>
        <v/>
      </c>
      <c r="JJ96" s="768" t="str">
        <f t="shared" ref="JJ96" si="1142">IF(JI96&lt;0,"Invadiu REP-BA-C","")</f>
        <v/>
      </c>
      <c r="JK96" s="769" t="str">
        <f t="shared" si="868"/>
        <v/>
      </c>
      <c r="JL96" s="768" t="str">
        <f t="shared" si="869"/>
        <v/>
      </c>
      <c r="JM96" s="728" t="str">
        <f t="shared" si="870"/>
        <v/>
      </c>
      <c r="JN96" s="768" t="str">
        <f t="shared" si="871"/>
        <v/>
      </c>
      <c r="JO96" s="728" t="str">
        <f t="shared" si="872"/>
        <v/>
      </c>
      <c r="JP96" s="768" t="str">
        <f t="shared" si="873"/>
        <v/>
      </c>
      <c r="JQ96" s="769" t="str">
        <f t="shared" si="874"/>
        <v/>
      </c>
      <c r="JR96" s="768" t="str">
        <f t="shared" ref="JR96" si="1143">IF(JQ96&lt;0,"Invadiu REP-BA-C","")</f>
        <v/>
      </c>
      <c r="JS96" s="769" t="str">
        <f t="shared" si="876"/>
        <v/>
      </c>
      <c r="JT96" s="768" t="str">
        <f t="shared" si="877"/>
        <v/>
      </c>
      <c r="JU96" s="728" t="str">
        <f t="shared" si="878"/>
        <v/>
      </c>
      <c r="JV96" s="768" t="str">
        <f t="shared" si="879"/>
        <v/>
      </c>
      <c r="JW96" s="728" t="str">
        <f t="shared" si="880"/>
        <v/>
      </c>
      <c r="JX96" s="768" t="str">
        <f t="shared" si="881"/>
        <v/>
      </c>
      <c r="JY96" s="768" t="str">
        <f t="shared" si="882"/>
        <v/>
      </c>
      <c r="JZ96" s="485" t="str">
        <f>IF(JY96="","",IF(AND(C96=$C$164,JY96&lt;&gt;""),Verificarcpf(D96),IF(AND(C96=$C$165,JY96&lt;&gt;""),VerificarCNPJ(D96))))</f>
        <v/>
      </c>
      <c r="KA96" s="768" t="str">
        <f t="shared" si="883"/>
        <v/>
      </c>
      <c r="KB96" s="485">
        <f t="shared" si="884"/>
        <v>0</v>
      </c>
      <c r="KC96" s="768">
        <f t="shared" si="885"/>
        <v>0</v>
      </c>
      <c r="KD96" s="485">
        <f t="shared" si="886"/>
        <v>0</v>
      </c>
      <c r="KE96" s="448"/>
      <c r="KF96" s="548"/>
      <c r="KG96" s="548"/>
      <c r="KH96" s="548"/>
      <c r="KI96" s="548"/>
      <c r="KJ96" s="548" t="str">
        <f t="shared" si="887"/>
        <v/>
      </c>
      <c r="KK96" s="548"/>
      <c r="KL96" s="548"/>
      <c r="KM96" s="548">
        <f t="array" ref="KM96">IF(SUM((KL96=$KL$3:KL95)*1)=0,KL96,0)</f>
        <v>0</v>
      </c>
      <c r="KN96" s="548"/>
      <c r="KO96" s="548"/>
      <c r="KP96" s="548"/>
      <c r="KQ96" s="548"/>
      <c r="KR96" s="548" t="str">
        <f t="shared" si="888"/>
        <v/>
      </c>
      <c r="KS96" s="548"/>
      <c r="KT96" s="548"/>
      <c r="KU96" s="548"/>
      <c r="KV96" s="548"/>
      <c r="KW96" s="548"/>
      <c r="KX96" s="548"/>
      <c r="KY96" s="548"/>
      <c r="KZ96" s="548"/>
      <c r="LA96" s="548"/>
      <c r="LB96" s="548"/>
      <c r="LC96" s="485" t="str">
        <f t="shared" si="902"/>
        <v/>
      </c>
      <c r="LD96" s="548"/>
      <c r="LE96" s="548"/>
      <c r="LF96" s="548"/>
      <c r="LG96" s="548"/>
      <c r="LH96" s="548"/>
      <c r="LI96" s="548"/>
      <c r="LJ96" s="548"/>
      <c r="LK96" s="548"/>
      <c r="LL96" s="548"/>
      <c r="LM96" s="548"/>
      <c r="LN96" s="548"/>
      <c r="LO96" s="548"/>
      <c r="LP96" s="485" t="str">
        <f t="shared" si="903"/>
        <v/>
      </c>
      <c r="LQ96" s="548"/>
      <c r="LR96" s="548"/>
      <c r="LS96" s="548"/>
      <c r="LT96" s="548"/>
      <c r="LU96" s="548"/>
      <c r="LV96" s="548"/>
      <c r="LW96" s="548"/>
      <c r="LX96" s="548"/>
      <c r="LY96" s="548"/>
      <c r="LZ96" s="548"/>
      <c r="MA96" s="548"/>
      <c r="MB96" s="548"/>
      <c r="MC96" s="485" t="str">
        <f t="shared" si="904"/>
        <v/>
      </c>
      <c r="MD96" s="548"/>
      <c r="ME96" s="548"/>
      <c r="MF96" s="548"/>
      <c r="MG96" s="548"/>
      <c r="MH96" s="548"/>
      <c r="MI96" s="548"/>
      <c r="MJ96" s="548"/>
      <c r="MK96" s="548"/>
      <c r="ML96" s="548"/>
      <c r="MM96" s="548"/>
      <c r="MN96" s="548"/>
      <c r="MO96" s="548"/>
      <c r="MP96" s="485" t="str">
        <f t="shared" si="905"/>
        <v/>
      </c>
      <c r="MQ96" s="548"/>
      <c r="MR96" s="548"/>
      <c r="MS96" s="548"/>
      <c r="MT96" s="548"/>
      <c r="MU96" s="548"/>
      <c r="MV96" s="548"/>
      <c r="MW96" s="548"/>
      <c r="MX96" s="548"/>
      <c r="MY96" s="548"/>
      <c r="MZ96" s="548"/>
      <c r="NA96" s="548"/>
      <c r="NB96" s="548"/>
      <c r="NC96" s="485" t="str">
        <f t="shared" si="906"/>
        <v/>
      </c>
      <c r="ND96" s="548"/>
      <c r="NE96" s="548"/>
      <c r="NF96" s="548"/>
      <c r="NG96" s="548"/>
      <c r="NH96" s="548"/>
      <c r="NI96" s="548"/>
      <c r="NJ96" s="548"/>
      <c r="NK96" s="548"/>
      <c r="NL96" s="548"/>
      <c r="NM96" s="548"/>
      <c r="NN96" s="548"/>
      <c r="NO96" s="548"/>
      <c r="NP96" s="485" t="str">
        <f t="shared" si="907"/>
        <v/>
      </c>
      <c r="NQ96" s="548"/>
      <c r="NR96" s="548"/>
      <c r="NS96" s="548"/>
      <c r="NT96" s="548"/>
      <c r="NU96" s="548"/>
      <c r="NV96" s="548"/>
      <c r="NW96" s="548"/>
      <c r="NX96" s="548"/>
      <c r="NY96" s="548"/>
      <c r="NZ96" s="548"/>
      <c r="OA96" s="548"/>
      <c r="OB96" s="548"/>
      <c r="OC96" s="485" t="str">
        <f t="shared" si="908"/>
        <v/>
      </c>
      <c r="OD96" s="548"/>
      <c r="OE96" s="548"/>
      <c r="OF96" s="548"/>
      <c r="OG96" s="548"/>
      <c r="OH96" s="548"/>
      <c r="OI96" s="548"/>
      <c r="OJ96" s="548"/>
      <c r="OK96" s="548"/>
      <c r="OL96" s="548"/>
      <c r="OM96" s="548"/>
      <c r="ON96" s="548"/>
      <c r="OO96" s="548"/>
      <c r="OP96" s="548"/>
      <c r="OQ96" s="548"/>
      <c r="OR96" s="548"/>
      <c r="OS96" s="548"/>
      <c r="OT96" s="548"/>
      <c r="OU96" s="548"/>
      <c r="OV96" s="548"/>
      <c r="OW96" s="548"/>
      <c r="OX96" s="548"/>
      <c r="OY96" s="548"/>
      <c r="OZ96" s="548"/>
      <c r="PA96" s="548"/>
      <c r="PB96" s="548"/>
      <c r="PC96" s="548"/>
      <c r="PD96" s="548"/>
      <c r="PE96" s="548"/>
      <c r="PF96" s="548"/>
      <c r="PG96" s="548"/>
      <c r="PH96" s="548"/>
      <c r="PI96" s="548"/>
      <c r="PJ96" s="548"/>
      <c r="PK96" s="548"/>
      <c r="PL96" s="548"/>
      <c r="PM96" s="548"/>
      <c r="PN96" s="548"/>
      <c r="PO96" s="548"/>
      <c r="PP96" s="548"/>
      <c r="PQ96" s="548"/>
      <c r="PR96" s="548"/>
      <c r="PS96" s="548"/>
      <c r="PT96" s="548"/>
      <c r="PU96" s="548"/>
      <c r="PV96" s="548"/>
      <c r="PW96" s="548"/>
      <c r="PX96" s="548"/>
      <c r="PY96" s="548"/>
      <c r="PZ96" s="548"/>
      <c r="QA96" s="548"/>
      <c r="QB96" s="548"/>
      <c r="QC96" s="548"/>
      <c r="QD96" s="548"/>
      <c r="QE96" s="548"/>
      <c r="QF96" s="548"/>
      <c r="QG96" s="548"/>
      <c r="QH96" s="548"/>
      <c r="QI96" s="548"/>
      <c r="QJ96" s="548"/>
      <c r="QK96" s="548"/>
      <c r="QL96" s="548"/>
      <c r="QM96" s="548"/>
      <c r="QN96" s="548"/>
      <c r="QO96" s="548"/>
      <c r="QP96" s="548"/>
      <c r="QQ96" s="1009"/>
      <c r="QR96" s="548"/>
      <c r="QS96" s="548"/>
      <c r="QT96" s="548"/>
      <c r="QU96" s="548"/>
      <c r="QV96" s="548"/>
      <c r="QW96" s="548"/>
      <c r="QX96" s="548"/>
      <c r="QY96" s="548"/>
      <c r="QZ96" s="548"/>
      <c r="RA96" s="548"/>
      <c r="RB96" s="548"/>
      <c r="RC96" s="548"/>
      <c r="RD96" s="548"/>
      <c r="RE96" s="548"/>
      <c r="RF96" s="548"/>
      <c r="RG96" s="548"/>
      <c r="RH96" s="548"/>
      <c r="RI96" s="548"/>
      <c r="RJ96" s="548"/>
      <c r="RK96" s="548"/>
      <c r="RL96" s="548"/>
      <c r="RM96" s="548"/>
      <c r="RN96" s="548"/>
      <c r="RO96" s="548"/>
      <c r="RP96" s="548"/>
      <c r="RQ96" s="548"/>
      <c r="RR96" s="548"/>
      <c r="RS96" s="548"/>
      <c r="RT96" s="548"/>
      <c r="RU96" s="548"/>
      <c r="RV96" s="548"/>
      <c r="RW96" s="548"/>
      <c r="RX96" s="548"/>
      <c r="RY96" s="548"/>
      <c r="RZ96" s="548"/>
      <c r="SA96" s="548"/>
      <c r="SB96" s="548"/>
      <c r="SC96" s="548"/>
      <c r="SD96" s="548"/>
      <c r="SE96" s="548"/>
      <c r="SF96" s="548"/>
      <c r="SG96" s="548"/>
      <c r="SH96" s="548"/>
      <c r="SI96" s="548"/>
      <c r="SJ96" s="548"/>
      <c r="SK96" s="548"/>
      <c r="SL96" s="548"/>
      <c r="SM96" s="548"/>
      <c r="SN96" s="548"/>
      <c r="SO96" s="548"/>
      <c r="SP96" s="548"/>
      <c r="SQ96" s="548"/>
      <c r="SR96" s="548"/>
      <c r="SS96" s="548"/>
      <c r="ST96" s="548"/>
      <c r="SU96" s="548"/>
      <c r="SV96" s="548"/>
      <c r="SW96" s="548"/>
      <c r="SX96" s="548"/>
      <c r="SY96" s="548"/>
      <c r="SZ96" s="548"/>
      <c r="TA96" s="548"/>
      <c r="TB96" s="548"/>
      <c r="TC96" s="548"/>
      <c r="TD96" s="548"/>
      <c r="TE96" s="548"/>
      <c r="TF96" s="548"/>
      <c r="TG96" s="548"/>
      <c r="TH96" s="548"/>
      <c r="TI96" s="548"/>
      <c r="TJ96" s="548"/>
      <c r="TK96" s="548"/>
      <c r="TL96" s="548"/>
      <c r="TM96" s="548"/>
      <c r="TN96" s="548"/>
      <c r="TO96" s="548"/>
      <c r="TP96" s="548"/>
      <c r="TQ96" s="548"/>
      <c r="TR96" s="548"/>
      <c r="TS96" s="548"/>
      <c r="TT96" s="548"/>
      <c r="TU96" s="548"/>
      <c r="TV96" s="548"/>
      <c r="TW96" s="548"/>
      <c r="TX96" s="548"/>
      <c r="TY96" s="548"/>
      <c r="TZ96" s="548"/>
      <c r="UA96" s="548"/>
      <c r="UB96" s="548"/>
      <c r="UC96" s="548"/>
      <c r="UD96" s="548"/>
      <c r="UE96" s="548"/>
      <c r="UF96" s="548"/>
      <c r="UG96" s="548"/>
      <c r="UH96" s="548"/>
      <c r="UI96" s="548"/>
      <c r="UJ96" s="548"/>
      <c r="UK96" s="548"/>
      <c r="UL96" s="548"/>
      <c r="UM96" s="548"/>
      <c r="UN96" s="548"/>
      <c r="UO96" s="548"/>
      <c r="UP96" s="548"/>
      <c r="UQ96" s="548"/>
      <c r="UR96" s="548"/>
      <c r="US96" s="548"/>
      <c r="UT96" s="548"/>
      <c r="UU96" s="548"/>
      <c r="UV96" s="548"/>
      <c r="UW96" s="548"/>
      <c r="UX96" s="548"/>
      <c r="UY96" s="548"/>
      <c r="UZ96" s="548"/>
      <c r="VA96" s="548"/>
      <c r="VB96" s="548"/>
      <c r="VC96" s="548"/>
      <c r="VD96" s="548"/>
      <c r="VE96" s="548"/>
      <c r="VF96" s="548"/>
      <c r="VG96" s="548"/>
      <c r="VH96" s="548"/>
      <c r="VI96" s="548"/>
      <c r="VJ96" s="548"/>
      <c r="VK96" s="548"/>
      <c r="VL96" s="548"/>
      <c r="VM96" s="548"/>
      <c r="VN96" s="548"/>
      <c r="VO96" s="548"/>
      <c r="VP96" s="548"/>
      <c r="VQ96" s="548"/>
      <c r="VR96" s="548"/>
      <c r="VS96" s="548"/>
      <c r="VT96" s="548"/>
      <c r="VU96" s="548"/>
      <c r="VV96" s="548"/>
      <c r="VW96" s="548"/>
      <c r="VX96" s="548"/>
      <c r="VY96" s="548"/>
      <c r="VZ96" s="548"/>
      <c r="WA96" s="548"/>
      <c r="WB96" s="548"/>
      <c r="WC96" s="548"/>
      <c r="WD96" s="548"/>
      <c r="WE96" s="548"/>
      <c r="WF96" s="548"/>
      <c r="WG96" s="548"/>
      <c r="WH96" s="548"/>
      <c r="WI96" s="548"/>
      <c r="WJ96" s="548"/>
      <c r="WK96" s="548"/>
      <c r="WL96" s="548"/>
      <c r="WM96" s="548"/>
      <c r="WN96" s="548"/>
      <c r="WO96" s="548"/>
      <c r="WP96" s="548"/>
      <c r="WQ96" s="548"/>
      <c r="WR96" s="548"/>
      <c r="WS96" s="548"/>
      <c r="WT96" s="548"/>
      <c r="WU96" s="548"/>
      <c r="WV96" s="548"/>
      <c r="WW96" s="548"/>
      <c r="WX96" s="548"/>
      <c r="WY96" s="548"/>
      <c r="WZ96" s="548"/>
      <c r="XA96" s="548"/>
      <c r="XB96" s="548"/>
      <c r="XC96" s="548"/>
      <c r="XD96" s="548"/>
      <c r="XE96" s="548"/>
      <c r="XF96" s="548"/>
      <c r="XG96" s="548"/>
      <c r="XH96" s="548"/>
      <c r="XI96" s="548"/>
      <c r="XJ96" s="548"/>
      <c r="XK96" s="548"/>
      <c r="XL96" s="548"/>
      <c r="XM96" s="548"/>
      <c r="XN96" s="548"/>
      <c r="XO96" s="548"/>
      <c r="XP96" s="548"/>
      <c r="XQ96" s="548"/>
      <c r="XR96" s="548"/>
      <c r="XS96" s="548"/>
      <c r="XT96" s="548"/>
      <c r="XU96" s="548"/>
      <c r="XV96" s="548"/>
      <c r="XW96" s="548"/>
      <c r="XX96" s="548"/>
      <c r="XY96" s="548"/>
      <c r="XZ96" s="548"/>
      <c r="YA96" s="548"/>
      <c r="YB96" s="548"/>
      <c r="YC96" s="548"/>
      <c r="YD96" s="548"/>
      <c r="YE96" s="548"/>
      <c r="YF96" s="548"/>
      <c r="YG96" s="548"/>
      <c r="YH96" s="548"/>
      <c r="YI96" s="548"/>
      <c r="YJ96" s="548"/>
      <c r="YK96" s="548"/>
      <c r="YL96" s="548"/>
      <c r="YM96" s="548"/>
      <c r="YN96" s="548"/>
      <c r="YO96" s="548"/>
      <c r="YP96" s="548"/>
      <c r="YQ96" s="548"/>
      <c r="YR96" s="548"/>
      <c r="YS96" s="548"/>
      <c r="YT96" s="548"/>
      <c r="YU96" s="548"/>
      <c r="YV96" s="548"/>
      <c r="YW96" s="548"/>
      <c r="YX96" s="548"/>
      <c r="YY96" s="548"/>
      <c r="YZ96" s="548"/>
      <c r="ZA96" s="548"/>
      <c r="ZB96" s="548"/>
      <c r="ZC96" s="548"/>
      <c r="ZD96" s="548"/>
      <c r="ZE96" s="548"/>
      <c r="ZF96" s="548"/>
      <c r="ZG96" s="548"/>
      <c r="ZH96" s="548"/>
      <c r="ZI96" s="548"/>
      <c r="ZJ96" s="548"/>
      <c r="ZK96" s="548"/>
      <c r="ZL96" s="548"/>
      <c r="ZM96" s="548"/>
      <c r="ZN96" s="548"/>
      <c r="ZO96" s="548"/>
      <c r="ZP96" s="548"/>
      <c r="ZQ96" s="548"/>
      <c r="ZR96" s="548"/>
      <c r="ZS96" s="548"/>
      <c r="ZT96" s="548"/>
      <c r="ZU96" s="548"/>
      <c r="ZV96" s="548"/>
      <c r="ZW96" s="548"/>
      <c r="ZX96" s="548"/>
      <c r="ZY96" s="548"/>
      <c r="ZZ96" s="548"/>
      <c r="AAA96" s="548"/>
      <c r="AAB96" s="548"/>
      <c r="AAC96" s="548"/>
      <c r="AAD96" s="548"/>
      <c r="AAE96" s="548"/>
      <c r="AAF96" s="548"/>
      <c r="AAG96" s="548"/>
      <c r="AAH96" s="548"/>
      <c r="AAI96" s="548"/>
      <c r="AAJ96" s="548"/>
      <c r="AAK96" s="548"/>
      <c r="AAL96" s="548"/>
      <c r="AAM96" s="548"/>
      <c r="AAN96" s="548"/>
      <c r="AAO96" s="548"/>
      <c r="AAP96" s="548"/>
      <c r="AAQ96" s="548"/>
      <c r="AAR96" s="548"/>
      <c r="AAS96" s="548"/>
      <c r="AAT96" s="548"/>
      <c r="AAU96" s="548"/>
      <c r="AAV96" s="548"/>
      <c r="AAW96" s="548"/>
      <c r="AAX96" s="548"/>
      <c r="AAY96" s="548"/>
      <c r="AAZ96" s="548"/>
      <c r="ABA96" s="548"/>
      <c r="ABB96" s="548"/>
      <c r="ABC96" s="548"/>
      <c r="ABD96" s="548"/>
      <c r="ABE96" s="548"/>
      <c r="ABF96" s="548"/>
      <c r="ABG96" s="548"/>
      <c r="ABH96" s="548"/>
      <c r="ABI96" s="548"/>
      <c r="ABJ96" s="548"/>
      <c r="ABK96" s="548"/>
      <c r="ABL96" s="548"/>
      <c r="ABM96" s="548"/>
      <c r="ABN96" s="548"/>
      <c r="ABO96" s="548"/>
      <c r="ABP96" s="548"/>
      <c r="ABQ96" s="548"/>
      <c r="ABR96" s="548"/>
      <c r="ABS96" s="548"/>
    </row>
    <row r="97" spans="1:747" customFormat="1" ht="15" customHeight="1" x14ac:dyDescent="0.2">
      <c r="A97" s="424" t="str">
        <f t="shared" si="909"/>
        <v/>
      </c>
      <c r="B97" s="415"/>
      <c r="C97" s="525"/>
      <c r="D97" s="750"/>
      <c r="E97" s="416" t="str">
        <f t="shared" si="751"/>
        <v/>
      </c>
      <c r="F97" s="527" t="str">
        <f t="shared" si="752"/>
        <v/>
      </c>
      <c r="G97" s="417"/>
      <c r="H97" s="585" t="str">
        <f t="shared" si="753"/>
        <v/>
      </c>
      <c r="I97" s="424"/>
      <c r="J97" s="419"/>
      <c r="K97" s="418"/>
      <c r="L97" s="419"/>
      <c r="M97" s="415"/>
      <c r="N97" s="420"/>
      <c r="O97" s="421"/>
      <c r="P97" s="561"/>
      <c r="Q97" s="422"/>
      <c r="R97" s="561" t="str">
        <f t="shared" si="754"/>
        <v/>
      </c>
      <c r="S97" s="664"/>
      <c r="T97" s="663"/>
      <c r="U97" s="580">
        <f t="shared" si="755"/>
        <v>0</v>
      </c>
      <c r="V97" s="418"/>
      <c r="W97" s="582" t="str">
        <f t="shared" si="756"/>
        <v/>
      </c>
      <c r="X97" s="479" t="str">
        <f t="shared" si="757"/>
        <v/>
      </c>
      <c r="Y97" s="582" t="str">
        <f t="shared" si="758"/>
        <v/>
      </c>
      <c r="Z97" s="317" t="str">
        <f t="shared" si="759"/>
        <v/>
      </c>
      <c r="AA97" s="317" t="str">
        <f t="shared" si="760"/>
        <v/>
      </c>
      <c r="AB97" s="317">
        <f t="shared" si="761"/>
        <v>0</v>
      </c>
      <c r="AC97" s="317" t="str">
        <f t="shared" si="762"/>
        <v/>
      </c>
      <c r="AD97" s="479"/>
      <c r="AE97" s="479"/>
      <c r="AF97" s="479"/>
      <c r="AG97" s="423"/>
      <c r="AH97" s="820"/>
      <c r="AI97" s="437"/>
      <c r="AJ97" s="660"/>
      <c r="AK97" s="524" t="str">
        <f t="shared" si="763"/>
        <v/>
      </c>
      <c r="AL97" s="731">
        <f>SUMIF($J$4:$J$158,"Grêmio",$S$4:$S$158)</f>
        <v>0</v>
      </c>
      <c r="AM97" s="732">
        <f>SUMIF($J$4:$J$158,"Grêmio",$T$4:$T$158)</f>
        <v>0</v>
      </c>
      <c r="AN97" s="426">
        <f t="shared" si="764"/>
        <v>0</v>
      </c>
      <c r="AO97" s="427" t="str">
        <f t="shared" si="765"/>
        <v/>
      </c>
      <c r="AP97" s="426" t="str">
        <f t="shared" si="766"/>
        <v/>
      </c>
      <c r="AQ97" s="426"/>
      <c r="AR97" s="426"/>
      <c r="AS97" s="428"/>
      <c r="AT97" s="429"/>
      <c r="AU97" s="430"/>
      <c r="AV97" s="431"/>
      <c r="AW97" s="432"/>
      <c r="AX97" s="430"/>
      <c r="AY97" s="431">
        <f t="shared" si="767"/>
        <v>0</v>
      </c>
      <c r="AZ97" s="426"/>
      <c r="BA97" s="435" t="str">
        <f t="shared" si="768"/>
        <v/>
      </c>
      <c r="BB97" s="435"/>
      <c r="BC97" s="426"/>
      <c r="BD97" s="426">
        <f t="array" ref="BD97">IF(SUM((BC97=$BC$3:BC96)*1)=0,BC97,0)</f>
        <v>0</v>
      </c>
      <c r="BE97" s="426"/>
      <c r="BF97" s="426"/>
      <c r="BG97" s="426">
        <f t="array" ref="BG97">IF(SUM((BF97=$BF$3:BF96)*1)=0,BF97,0)</f>
        <v>0</v>
      </c>
      <c r="BH97" s="426"/>
      <c r="BI97" s="426"/>
      <c r="BJ97" s="426"/>
      <c r="BK97" s="426"/>
      <c r="BL97" s="426"/>
      <c r="BM97" s="426"/>
      <c r="BN97" s="426"/>
      <c r="BO97" s="426"/>
      <c r="BP97" s="433">
        <f t="shared" si="769"/>
        <v>0</v>
      </c>
      <c r="BQ97" s="426"/>
      <c r="BR97" s="434"/>
      <c r="BS97" s="426"/>
      <c r="BT97" s="433"/>
      <c r="BU97" s="435"/>
      <c r="BV97" s="435" t="str">
        <f t="shared" si="770"/>
        <v/>
      </c>
      <c r="BW97" s="435" t="str">
        <f t="shared" si="798"/>
        <v/>
      </c>
      <c r="BX97" s="435"/>
      <c r="BY97" s="435"/>
      <c r="BZ97" s="435"/>
      <c r="CA97" s="435"/>
      <c r="CB97" s="435"/>
      <c r="CC97" s="435"/>
      <c r="CD97" s="435"/>
      <c r="CE97" s="435"/>
      <c r="CF97" s="435"/>
      <c r="CG97" s="435"/>
      <c r="CH97" s="435"/>
      <c r="CI97" s="435"/>
      <c r="CJ97" s="426" t="str">
        <f t="shared" si="799"/>
        <v/>
      </c>
      <c r="CK97" s="435"/>
      <c r="CL97" s="426"/>
      <c r="CM97" s="435"/>
      <c r="CN97" s="426"/>
      <c r="CO97" s="426"/>
      <c r="CP97" s="426"/>
      <c r="CQ97" s="426"/>
      <c r="CR97" s="426"/>
      <c r="CS97" s="426"/>
      <c r="CT97" s="426"/>
      <c r="CU97" s="426"/>
      <c r="CV97" s="426"/>
      <c r="CW97" s="493"/>
      <c r="CX97" s="493"/>
      <c r="CY97" s="426">
        <v>94</v>
      </c>
      <c r="CZ97" s="493"/>
      <c r="DA97" s="493"/>
      <c r="DB97" s="493"/>
      <c r="DC97" s="426" t="s">
        <v>837</v>
      </c>
      <c r="DD97" s="426" t="s">
        <v>997</v>
      </c>
      <c r="DE97" s="435" t="str">
        <f t="shared" si="800"/>
        <v/>
      </c>
      <c r="DF97" s="435" t="str">
        <f t="shared" si="801"/>
        <v/>
      </c>
      <c r="DG97" s="435" t="str">
        <f t="shared" si="802"/>
        <v/>
      </c>
      <c r="DH97" s="435" t="str">
        <f t="shared" si="803"/>
        <v/>
      </c>
      <c r="DI97" s="435" t="str">
        <f t="shared" si="804"/>
        <v/>
      </c>
      <c r="DJ97" s="435" t="str">
        <f t="shared" si="805"/>
        <v/>
      </c>
      <c r="DK97" s="435" t="str">
        <f t="shared" si="771"/>
        <v/>
      </c>
      <c r="DL97" s="435" t="str">
        <f t="shared" si="772"/>
        <v/>
      </c>
      <c r="DM97" s="435" t="str">
        <f t="shared" si="806"/>
        <v/>
      </c>
      <c r="DN97" s="435" t="str">
        <f t="shared" si="807"/>
        <v/>
      </c>
      <c r="DO97" s="435" t="str">
        <f t="shared" si="773"/>
        <v/>
      </c>
      <c r="DP97" s="435" t="str">
        <f t="shared" si="774"/>
        <v/>
      </c>
      <c r="DQ97" s="435" t="str">
        <f t="shared" si="808"/>
        <v/>
      </c>
      <c r="DR97" s="435" t="str">
        <f t="shared" si="809"/>
        <v/>
      </c>
      <c r="DS97" s="435" t="str">
        <f t="shared" si="775"/>
        <v/>
      </c>
      <c r="DT97" s="435" t="str">
        <f t="shared" si="776"/>
        <v/>
      </c>
      <c r="DU97" s="435" t="str">
        <f t="shared" si="810"/>
        <v/>
      </c>
      <c r="DV97" s="435" t="str">
        <f t="shared" si="811"/>
        <v/>
      </c>
      <c r="DW97" s="435" t="str">
        <f t="shared" si="777"/>
        <v/>
      </c>
      <c r="DX97" s="435" t="str">
        <f t="shared" si="778"/>
        <v/>
      </c>
      <c r="DY97" s="435" t="str">
        <f t="shared" si="812"/>
        <v/>
      </c>
      <c r="DZ97" s="435" t="str">
        <f t="shared" si="813"/>
        <v/>
      </c>
      <c r="EA97" s="435" t="str">
        <f t="shared" si="779"/>
        <v/>
      </c>
      <c r="EB97" s="435" t="str">
        <f t="shared" si="780"/>
        <v/>
      </c>
      <c r="EC97" s="435" t="str">
        <f t="shared" si="781"/>
        <v/>
      </c>
      <c r="ED97" s="435" t="str">
        <f t="shared" si="782"/>
        <v/>
      </c>
      <c r="EE97" s="435" t="str">
        <f t="shared" si="783"/>
        <v/>
      </c>
      <c r="EF97" s="435" t="str">
        <f t="shared" si="784"/>
        <v/>
      </c>
      <c r="EG97" s="435" t="str">
        <f t="shared" si="785"/>
        <v/>
      </c>
      <c r="EH97" s="435" t="str">
        <f t="shared" si="786"/>
        <v/>
      </c>
      <c r="EI97" s="435" t="str">
        <f t="shared" si="787"/>
        <v/>
      </c>
      <c r="EJ97" s="435" t="str">
        <f t="shared" si="788"/>
        <v/>
      </c>
      <c r="EK97" s="485"/>
      <c r="EL97" s="485"/>
      <c r="EM97" s="485"/>
      <c r="EN97" s="485"/>
      <c r="EO97" s="448"/>
      <c r="EP97" s="448"/>
      <c r="EQ97" s="448"/>
      <c r="ER97" s="448"/>
      <c r="ES97" s="448"/>
      <c r="ET97" s="435"/>
      <c r="EU97" s="435"/>
      <c r="EV97" s="435"/>
      <c r="EW97" s="435"/>
      <c r="EX97" s="426"/>
      <c r="EY97" s="426"/>
      <c r="EZ97" s="426"/>
      <c r="FA97" s="863"/>
      <c r="FB97" s="427">
        <f t="array" ref="FB97">IF(SUM((FA97=$FA$3:FA96)*1)=0,FA97,0)</f>
        <v>0</v>
      </c>
      <c r="FC97" s="863"/>
      <c r="FD97" s="863"/>
      <c r="FE97" s="863">
        <f t="array" ref="FE97">IF(SUM((FD97=$FD$3:FD96)*1)=0,FD97,0)</f>
        <v>0</v>
      </c>
      <c r="FF97" s="863"/>
      <c r="FG97" s="863"/>
      <c r="FH97" s="863"/>
      <c r="FI97" s="427">
        <f t="array" ref="FI97">IF(SUM((FH97=$FH$3:FH96)*1)=0,FH97,0)</f>
        <v>0</v>
      </c>
      <c r="FJ97" s="863"/>
      <c r="FK97" s="863"/>
      <c r="FL97" s="863">
        <f t="array" ref="FL97">IF(SUM((FK97=$FK$3:FK96)*1)=0,FK97,0)</f>
        <v>0</v>
      </c>
      <c r="FM97" s="863"/>
      <c r="FN97" s="863"/>
      <c r="FO97" s="863"/>
      <c r="FP97" s="427">
        <f t="array" ref="FP97">IF(SUM((FO97=$FO$3:FO96)*1)=0,FO97,0)</f>
        <v>0</v>
      </c>
      <c r="FQ97" s="863"/>
      <c r="FR97" s="863"/>
      <c r="FS97" s="863">
        <f t="array" ref="FS97">IF(SUM((FR97=$FR$3:FR96)*1)=0,FR97,0)</f>
        <v>0</v>
      </c>
      <c r="FT97" s="863"/>
      <c r="FU97" s="863"/>
      <c r="FV97" s="863"/>
      <c r="FW97" s="427">
        <f t="array" ref="FW97">IF(SUM((FV97=$FV$3:FV96)*1)=0,FV97,0)</f>
        <v>0</v>
      </c>
      <c r="FX97" s="863"/>
      <c r="FY97" s="863"/>
      <c r="FZ97" s="863">
        <f t="array" ref="FZ97">IF(SUM((FY97=$FY$3:FY96)*1)=0,FY97,0)</f>
        <v>0</v>
      </c>
      <c r="GA97" s="863"/>
      <c r="GB97" s="863"/>
      <c r="GC97" s="863"/>
      <c r="GD97" s="427">
        <f t="array" ref="GD97">IF(SUM((GC97=$GC$3:GC96)*1)=0,GC97,0)</f>
        <v>0</v>
      </c>
      <c r="GE97" s="863"/>
      <c r="GF97" s="863"/>
      <c r="GG97" s="863">
        <f t="array" ref="GG97">IF(SUM((GF97=$GF$3:GF96)*1)=0,GF97,0)</f>
        <v>0</v>
      </c>
      <c r="GH97" s="863"/>
      <c r="GI97" s="863"/>
      <c r="GJ97" s="863"/>
      <c r="GK97" s="798">
        <f t="array" ref="GK97">IF(SUM((GJ97=$GJ$3:GJ96)*1)=0,GJ97,0)</f>
        <v>0</v>
      </c>
      <c r="GL97" s="863"/>
      <c r="GM97" s="863"/>
      <c r="GN97" s="798">
        <f t="array" ref="GN97">IF(SUM((GM97=$GM$3:GM96)*1)=0,GM97,0)</f>
        <v>0</v>
      </c>
      <c r="GO97" s="863"/>
      <c r="GP97" s="863"/>
      <c r="GQ97" s="863"/>
      <c r="GR97" s="798">
        <f t="array" ref="GR97">IF(SUM((GQ97=$GQ$3:GQ96)*1)=0,GQ97,0)</f>
        <v>0</v>
      </c>
      <c r="GS97" s="863"/>
      <c r="GT97" s="863"/>
      <c r="GU97" s="798">
        <f t="array" ref="GU97">IF(SUM((GT97=$GT$3:GT96)*1)=0,GT97,0)</f>
        <v>0</v>
      </c>
      <c r="GV97" s="863"/>
      <c r="GW97" s="863"/>
      <c r="GX97" s="863"/>
      <c r="GY97" s="798">
        <f t="array" ref="GY97">IF(SUM((GX97=$GX$3:GX96)*1)=0,GX97,0)</f>
        <v>0</v>
      </c>
      <c r="GZ97" s="863"/>
      <c r="HA97" s="863"/>
      <c r="HB97" s="798">
        <f t="array" ref="HB97">IF(SUM((HA97=$HA$3:HA96)*1)=0,HA97,0)</f>
        <v>0</v>
      </c>
      <c r="HC97" s="863"/>
      <c r="HD97" s="863"/>
      <c r="HE97" s="769" t="str">
        <f t="shared" si="889"/>
        <v/>
      </c>
      <c r="HF97" s="768" t="str">
        <f t="shared" ref="HF97" si="1144">IF(HE97&lt;0,"Invadiu REP-BA-C","")</f>
        <v/>
      </c>
      <c r="HG97" s="769" t="str">
        <f t="shared" si="891"/>
        <v/>
      </c>
      <c r="HH97" s="768" t="str">
        <f t="shared" si="815"/>
        <v/>
      </c>
      <c r="HI97" s="728" t="str">
        <f t="shared" si="892"/>
        <v/>
      </c>
      <c r="HJ97" s="768" t="str">
        <f t="shared" si="816"/>
        <v/>
      </c>
      <c r="HK97" s="728" t="str">
        <f t="shared" si="893"/>
        <v/>
      </c>
      <c r="HL97" s="768" t="str">
        <f t="shared" si="817"/>
        <v/>
      </c>
      <c r="HM97" s="769" t="str">
        <f t="shared" si="818"/>
        <v/>
      </c>
      <c r="HN97" s="768" t="str">
        <f t="shared" ref="HN97" si="1145">IF(HM97&lt;0,"Invadiu REP-BA-C","")</f>
        <v/>
      </c>
      <c r="HO97" s="769" t="str">
        <f t="shared" si="820"/>
        <v/>
      </c>
      <c r="HP97" s="768" t="str">
        <f t="shared" si="821"/>
        <v/>
      </c>
      <c r="HQ97" s="728" t="str">
        <f t="shared" si="822"/>
        <v/>
      </c>
      <c r="HR97" s="768" t="str">
        <f t="shared" si="823"/>
        <v/>
      </c>
      <c r="HS97" s="728" t="str">
        <f t="shared" si="824"/>
        <v/>
      </c>
      <c r="HT97" s="768" t="str">
        <f t="shared" si="825"/>
        <v/>
      </c>
      <c r="HU97" s="769" t="str">
        <f t="shared" si="826"/>
        <v/>
      </c>
      <c r="HV97" s="768" t="str">
        <f t="shared" ref="HV97" si="1146">IF(HU97&lt;0,"Invadiu REP-BA-C","")</f>
        <v/>
      </c>
      <c r="HW97" s="769" t="str">
        <f t="shared" si="828"/>
        <v/>
      </c>
      <c r="HX97" s="768" t="str">
        <f t="shared" si="829"/>
        <v/>
      </c>
      <c r="HY97" s="728" t="str">
        <f t="shared" si="830"/>
        <v/>
      </c>
      <c r="HZ97" s="768" t="str">
        <f t="shared" si="831"/>
        <v/>
      </c>
      <c r="IA97" s="728" t="str">
        <f t="shared" si="832"/>
        <v/>
      </c>
      <c r="IB97" s="768" t="str">
        <f t="shared" si="833"/>
        <v/>
      </c>
      <c r="IC97" s="769" t="str">
        <f t="shared" si="834"/>
        <v/>
      </c>
      <c r="ID97" s="768" t="str">
        <f t="shared" ref="ID97" si="1147">IF(IC97&lt;0,"Invadiu REP-BA-C","")</f>
        <v/>
      </c>
      <c r="IE97" s="769" t="str">
        <f t="shared" si="836"/>
        <v/>
      </c>
      <c r="IF97" s="768" t="str">
        <f t="shared" si="837"/>
        <v/>
      </c>
      <c r="IG97" s="728" t="str">
        <f t="shared" si="838"/>
        <v/>
      </c>
      <c r="IH97" s="768" t="str">
        <f t="shared" si="839"/>
        <v/>
      </c>
      <c r="II97" s="728" t="str">
        <f t="shared" si="840"/>
        <v/>
      </c>
      <c r="IJ97" s="768" t="str">
        <f t="shared" si="841"/>
        <v/>
      </c>
      <c r="IK97" s="769" t="str">
        <f t="shared" si="842"/>
        <v/>
      </c>
      <c r="IL97" s="768" t="str">
        <f t="shared" ref="IL97" si="1148">IF(IK97&lt;0,"Invadiu REP-BA-C","")</f>
        <v/>
      </c>
      <c r="IM97" s="769" t="str">
        <f t="shared" si="844"/>
        <v/>
      </c>
      <c r="IN97" s="768" t="str">
        <f t="shared" si="845"/>
        <v/>
      </c>
      <c r="IO97" s="728" t="str">
        <f t="shared" si="846"/>
        <v/>
      </c>
      <c r="IP97" s="768" t="str">
        <f t="shared" si="847"/>
        <v/>
      </c>
      <c r="IQ97" s="728" t="str">
        <f t="shared" si="848"/>
        <v/>
      </c>
      <c r="IR97" s="768" t="str">
        <f t="shared" si="849"/>
        <v/>
      </c>
      <c r="IS97" s="769" t="str">
        <f t="shared" si="850"/>
        <v/>
      </c>
      <c r="IT97" s="768" t="str">
        <f t="shared" ref="IT97" si="1149">IF(IS97&lt;0,"Invadiu REP-BA-C","")</f>
        <v/>
      </c>
      <c r="IU97" s="769" t="str">
        <f t="shared" si="852"/>
        <v/>
      </c>
      <c r="IV97" s="768" t="str">
        <f t="shared" si="853"/>
        <v/>
      </c>
      <c r="IW97" s="728" t="str">
        <f t="shared" si="854"/>
        <v/>
      </c>
      <c r="IX97" s="768" t="str">
        <f t="shared" si="855"/>
        <v/>
      </c>
      <c r="IY97" s="728" t="str">
        <f t="shared" si="856"/>
        <v/>
      </c>
      <c r="IZ97" s="768" t="str">
        <f t="shared" si="857"/>
        <v/>
      </c>
      <c r="JA97" s="769" t="str">
        <f t="shared" si="858"/>
        <v/>
      </c>
      <c r="JB97" s="768" t="str">
        <f t="shared" ref="JB97" si="1150">IF(JA97&lt;0,"Invadiu REP-BA-C","")</f>
        <v/>
      </c>
      <c r="JC97" s="769" t="str">
        <f t="shared" si="860"/>
        <v/>
      </c>
      <c r="JD97" s="768" t="str">
        <f t="shared" si="861"/>
        <v/>
      </c>
      <c r="JE97" s="728" t="str">
        <f t="shared" si="862"/>
        <v/>
      </c>
      <c r="JF97" s="768" t="str">
        <f t="shared" si="863"/>
        <v/>
      </c>
      <c r="JG97" s="728" t="str">
        <f t="shared" si="864"/>
        <v/>
      </c>
      <c r="JH97" s="768" t="str">
        <f t="shared" si="865"/>
        <v/>
      </c>
      <c r="JI97" s="769" t="str">
        <f t="shared" si="866"/>
        <v/>
      </c>
      <c r="JJ97" s="768" t="str">
        <f t="shared" ref="JJ97" si="1151">IF(JI97&lt;0,"Invadiu REP-BA-C","")</f>
        <v/>
      </c>
      <c r="JK97" s="769" t="str">
        <f t="shared" si="868"/>
        <v/>
      </c>
      <c r="JL97" s="768" t="str">
        <f t="shared" si="869"/>
        <v/>
      </c>
      <c r="JM97" s="728" t="str">
        <f t="shared" si="870"/>
        <v/>
      </c>
      <c r="JN97" s="768" t="str">
        <f t="shared" si="871"/>
        <v/>
      </c>
      <c r="JO97" s="728" t="str">
        <f t="shared" si="872"/>
        <v/>
      </c>
      <c r="JP97" s="768" t="str">
        <f t="shared" si="873"/>
        <v/>
      </c>
      <c r="JQ97" s="769" t="str">
        <f t="shared" si="874"/>
        <v/>
      </c>
      <c r="JR97" s="768" t="str">
        <f t="shared" ref="JR97" si="1152">IF(JQ97&lt;0,"Invadiu REP-BA-C","")</f>
        <v/>
      </c>
      <c r="JS97" s="769" t="str">
        <f t="shared" si="876"/>
        <v/>
      </c>
      <c r="JT97" s="768" t="str">
        <f t="shared" si="877"/>
        <v/>
      </c>
      <c r="JU97" s="728" t="str">
        <f t="shared" si="878"/>
        <v/>
      </c>
      <c r="JV97" s="768" t="str">
        <f t="shared" si="879"/>
        <v/>
      </c>
      <c r="JW97" s="728" t="str">
        <f t="shared" si="880"/>
        <v/>
      </c>
      <c r="JX97" s="768" t="str">
        <f t="shared" si="881"/>
        <v/>
      </c>
      <c r="JY97" s="768" t="str">
        <f t="shared" si="882"/>
        <v/>
      </c>
      <c r="JZ97" s="485" t="str">
        <f>IF(JY97="","",IF(AND(C97=$C$164,JY97&lt;&gt;""),Verificarcpf(D97),IF(AND(C97=$C$165,JY97&lt;&gt;""),VerificarCNPJ(D97))))</f>
        <v/>
      </c>
      <c r="KA97" s="768" t="str">
        <f t="shared" si="883"/>
        <v/>
      </c>
      <c r="KB97" s="485">
        <f t="shared" si="884"/>
        <v>0</v>
      </c>
      <c r="KC97" s="768">
        <f t="shared" si="885"/>
        <v>0</v>
      </c>
      <c r="KD97" s="485">
        <f t="shared" si="886"/>
        <v>0</v>
      </c>
      <c r="KE97" s="448"/>
      <c r="KF97" s="548"/>
      <c r="KG97" s="548"/>
      <c r="KH97" s="548"/>
      <c r="KI97" s="548"/>
      <c r="KJ97" s="548" t="str">
        <f t="shared" si="887"/>
        <v/>
      </c>
      <c r="KK97" s="548"/>
      <c r="KL97" s="548"/>
      <c r="KM97" s="548">
        <f t="array" ref="KM97">IF(SUM((KL97=$KL$3:KL96)*1)=0,KL97,0)</f>
        <v>0</v>
      </c>
      <c r="KN97" s="548"/>
      <c r="KO97" s="548"/>
      <c r="KP97" s="548"/>
      <c r="KQ97" s="548"/>
      <c r="KR97" s="548" t="str">
        <f t="shared" si="888"/>
        <v/>
      </c>
      <c r="KS97" s="548"/>
      <c r="KT97" s="548"/>
      <c r="KU97" s="548"/>
      <c r="KV97" s="548"/>
      <c r="KW97" s="548"/>
      <c r="KX97" s="548"/>
      <c r="KY97" s="548"/>
      <c r="KZ97" s="548"/>
      <c r="LA97" s="548"/>
      <c r="LB97" s="548"/>
      <c r="LC97" s="485" t="str">
        <f t="shared" si="902"/>
        <v/>
      </c>
      <c r="LD97" s="548"/>
      <c r="LE97" s="548"/>
      <c r="LF97" s="548"/>
      <c r="LG97" s="548"/>
      <c r="LH97" s="548"/>
      <c r="LI97" s="548"/>
      <c r="LJ97" s="548"/>
      <c r="LK97" s="548"/>
      <c r="LL97" s="548"/>
      <c r="LM97" s="548"/>
      <c r="LN97" s="548"/>
      <c r="LO97" s="548"/>
      <c r="LP97" s="485" t="str">
        <f t="shared" si="903"/>
        <v/>
      </c>
      <c r="LQ97" s="548"/>
      <c r="LR97" s="548"/>
      <c r="LS97" s="548"/>
      <c r="LT97" s="548"/>
      <c r="LU97" s="548"/>
      <c r="LV97" s="548"/>
      <c r="LW97" s="548"/>
      <c r="LX97" s="548"/>
      <c r="LY97" s="548"/>
      <c r="LZ97" s="548"/>
      <c r="MA97" s="548"/>
      <c r="MB97" s="548"/>
      <c r="MC97" s="485" t="str">
        <f t="shared" si="904"/>
        <v/>
      </c>
      <c r="MD97" s="548"/>
      <c r="ME97" s="548"/>
      <c r="MF97" s="548"/>
      <c r="MG97" s="548"/>
      <c r="MH97" s="548"/>
      <c r="MI97" s="548"/>
      <c r="MJ97" s="548"/>
      <c r="MK97" s="548"/>
      <c r="ML97" s="548"/>
      <c r="MM97" s="548"/>
      <c r="MN97" s="548"/>
      <c r="MO97" s="548"/>
      <c r="MP97" s="485" t="str">
        <f t="shared" si="905"/>
        <v/>
      </c>
      <c r="MQ97" s="548"/>
      <c r="MR97" s="548"/>
      <c r="MS97" s="548"/>
      <c r="MT97" s="548"/>
      <c r="MU97" s="548"/>
      <c r="MV97" s="548"/>
      <c r="MW97" s="548"/>
      <c r="MX97" s="548"/>
      <c r="MY97" s="548"/>
      <c r="MZ97" s="548"/>
      <c r="NA97" s="548"/>
      <c r="NB97" s="548"/>
      <c r="NC97" s="485" t="str">
        <f t="shared" si="906"/>
        <v/>
      </c>
      <c r="ND97" s="548"/>
      <c r="NE97" s="548"/>
      <c r="NF97" s="548"/>
      <c r="NG97" s="548"/>
      <c r="NH97" s="548"/>
      <c r="NI97" s="548"/>
      <c r="NJ97" s="548"/>
      <c r="NK97" s="548"/>
      <c r="NL97" s="548"/>
      <c r="NM97" s="548"/>
      <c r="NN97" s="548"/>
      <c r="NO97" s="548"/>
      <c r="NP97" s="485" t="str">
        <f t="shared" si="907"/>
        <v/>
      </c>
      <c r="NQ97" s="548"/>
      <c r="NR97" s="548"/>
      <c r="NS97" s="548"/>
      <c r="NT97" s="548"/>
      <c r="NU97" s="548"/>
      <c r="NV97" s="548"/>
      <c r="NW97" s="548"/>
      <c r="NX97" s="548"/>
      <c r="NY97" s="548"/>
      <c r="NZ97" s="548"/>
      <c r="OA97" s="548"/>
      <c r="OB97" s="548"/>
      <c r="OC97" s="485" t="str">
        <f t="shared" si="908"/>
        <v/>
      </c>
      <c r="OD97" s="548"/>
      <c r="OE97" s="548"/>
      <c r="OF97" s="548"/>
      <c r="OG97" s="548"/>
      <c r="OH97" s="548"/>
      <c r="OI97" s="548"/>
      <c r="OJ97" s="548"/>
      <c r="OK97" s="548"/>
      <c r="OL97" s="548"/>
      <c r="OM97" s="548"/>
      <c r="ON97" s="548"/>
      <c r="OO97" s="548"/>
      <c r="OP97" s="548"/>
      <c r="OQ97" s="548"/>
      <c r="OR97" s="548"/>
      <c r="OS97" s="548"/>
      <c r="OT97" s="548"/>
      <c r="OU97" s="548"/>
      <c r="OV97" s="548"/>
      <c r="OW97" s="548"/>
      <c r="OX97" s="548"/>
      <c r="OY97" s="548"/>
      <c r="OZ97" s="548"/>
      <c r="PA97" s="548"/>
      <c r="PB97" s="548"/>
      <c r="PC97" s="548"/>
      <c r="PD97" s="548"/>
      <c r="PE97" s="548"/>
      <c r="PF97" s="548"/>
      <c r="PG97" s="548"/>
      <c r="PH97" s="548"/>
      <c r="PI97" s="548"/>
      <c r="PJ97" s="548"/>
      <c r="PK97" s="548"/>
      <c r="PL97" s="548"/>
      <c r="PM97" s="548"/>
      <c r="PN97" s="548"/>
      <c r="PO97" s="548"/>
      <c r="PP97" s="548"/>
      <c r="PQ97" s="548"/>
      <c r="PR97" s="548"/>
      <c r="PS97" s="548"/>
      <c r="PT97" s="548"/>
      <c r="PU97" s="548"/>
      <c r="PV97" s="548"/>
      <c r="PW97" s="548"/>
      <c r="PX97" s="548"/>
      <c r="PY97" s="548"/>
      <c r="PZ97" s="548"/>
      <c r="QA97" s="548"/>
      <c r="QB97" s="548"/>
      <c r="QC97" s="548"/>
      <c r="QD97" s="548"/>
      <c r="QE97" s="548"/>
      <c r="QF97" s="548"/>
      <c r="QG97" s="548"/>
      <c r="QH97" s="548"/>
      <c r="QI97" s="548"/>
      <c r="QJ97" s="548"/>
      <c r="QK97" s="548"/>
      <c r="QL97" s="548"/>
      <c r="QM97" s="548"/>
      <c r="QN97" s="548"/>
      <c r="QO97" s="548"/>
      <c r="QP97" s="548"/>
      <c r="QQ97" s="1009"/>
      <c r="QR97" s="548"/>
      <c r="QS97" s="548"/>
      <c r="QT97" s="548"/>
      <c r="QU97" s="548"/>
      <c r="QV97" s="548"/>
      <c r="QW97" s="548"/>
      <c r="QX97" s="548"/>
      <c r="QY97" s="548"/>
      <c r="QZ97" s="548"/>
      <c r="RA97" s="548"/>
      <c r="RB97" s="548"/>
      <c r="RC97" s="548"/>
      <c r="RD97" s="548"/>
      <c r="RE97" s="548"/>
      <c r="RF97" s="548"/>
      <c r="RG97" s="548"/>
      <c r="RH97" s="548"/>
      <c r="RI97" s="548"/>
      <c r="RJ97" s="548"/>
      <c r="RK97" s="548"/>
      <c r="RL97" s="548"/>
      <c r="RM97" s="548"/>
      <c r="RN97" s="548"/>
      <c r="RO97" s="548"/>
      <c r="RP97" s="548"/>
      <c r="RQ97" s="548"/>
      <c r="RR97" s="548"/>
      <c r="RS97" s="548"/>
      <c r="RT97" s="548"/>
      <c r="RU97" s="548"/>
      <c r="RV97" s="548"/>
      <c r="RW97" s="548"/>
      <c r="RX97" s="548"/>
      <c r="RY97" s="548"/>
      <c r="RZ97" s="548"/>
      <c r="SA97" s="548"/>
      <c r="SB97" s="548"/>
      <c r="SC97" s="548"/>
      <c r="SD97" s="548"/>
      <c r="SE97" s="548"/>
      <c r="SF97" s="548"/>
      <c r="SG97" s="548"/>
      <c r="SH97" s="548"/>
      <c r="SI97" s="548"/>
      <c r="SJ97" s="548"/>
      <c r="SK97" s="548"/>
      <c r="SL97" s="548"/>
      <c r="SM97" s="548"/>
      <c r="SN97" s="548"/>
      <c r="SO97" s="548"/>
      <c r="SP97" s="548"/>
      <c r="SQ97" s="548"/>
      <c r="SR97" s="548"/>
      <c r="SS97" s="548"/>
      <c r="ST97" s="548"/>
      <c r="SU97" s="548"/>
      <c r="SV97" s="548"/>
      <c r="SW97" s="548"/>
      <c r="SX97" s="548"/>
      <c r="SY97" s="548"/>
      <c r="SZ97" s="548"/>
      <c r="TA97" s="548"/>
      <c r="TB97" s="548"/>
      <c r="TC97" s="548"/>
      <c r="TD97" s="548"/>
      <c r="TE97" s="548"/>
      <c r="TF97" s="548"/>
      <c r="TG97" s="548"/>
      <c r="TH97" s="548"/>
      <c r="TI97" s="548"/>
      <c r="TJ97" s="548"/>
      <c r="TK97" s="548"/>
      <c r="TL97" s="548"/>
      <c r="TM97" s="548"/>
      <c r="TN97" s="548"/>
      <c r="TO97" s="548"/>
      <c r="TP97" s="548"/>
      <c r="TQ97" s="548"/>
      <c r="TR97" s="548"/>
      <c r="TS97" s="548"/>
      <c r="TT97" s="548"/>
      <c r="TU97" s="548"/>
      <c r="TV97" s="548"/>
      <c r="TW97" s="548"/>
      <c r="TX97" s="548"/>
      <c r="TY97" s="548"/>
      <c r="TZ97" s="548"/>
      <c r="UA97" s="548"/>
      <c r="UB97" s="548"/>
      <c r="UC97" s="548"/>
      <c r="UD97" s="548"/>
      <c r="UE97" s="548"/>
      <c r="UF97" s="548"/>
      <c r="UG97" s="548"/>
      <c r="UH97" s="548"/>
      <c r="UI97" s="548"/>
      <c r="UJ97" s="548"/>
      <c r="UK97" s="548"/>
      <c r="UL97" s="548"/>
      <c r="UM97" s="548"/>
      <c r="UN97" s="548"/>
      <c r="UO97" s="548"/>
      <c r="UP97" s="548"/>
      <c r="UQ97" s="548"/>
      <c r="UR97" s="548"/>
      <c r="US97" s="548"/>
      <c r="UT97" s="548"/>
      <c r="UU97" s="548"/>
      <c r="UV97" s="548"/>
      <c r="UW97" s="548"/>
      <c r="UX97" s="548"/>
      <c r="UY97" s="548"/>
      <c r="UZ97" s="548"/>
      <c r="VA97" s="548"/>
      <c r="VB97" s="548"/>
      <c r="VC97" s="548"/>
      <c r="VD97" s="548"/>
      <c r="VE97" s="548"/>
      <c r="VF97" s="548"/>
      <c r="VG97" s="548"/>
      <c r="VH97" s="548"/>
      <c r="VI97" s="548"/>
      <c r="VJ97" s="548"/>
      <c r="VK97" s="548"/>
      <c r="VL97" s="548"/>
      <c r="VM97" s="548"/>
      <c r="VN97" s="548"/>
      <c r="VO97" s="548"/>
      <c r="VP97" s="548"/>
      <c r="VQ97" s="548"/>
      <c r="VR97" s="548"/>
      <c r="VS97" s="548"/>
      <c r="VT97" s="548"/>
      <c r="VU97" s="548"/>
      <c r="VV97" s="548"/>
      <c r="VW97" s="548"/>
      <c r="VX97" s="548"/>
      <c r="VY97" s="548"/>
      <c r="VZ97" s="548"/>
      <c r="WA97" s="548"/>
      <c r="WB97" s="548"/>
      <c r="WC97" s="548"/>
      <c r="WD97" s="548"/>
      <c r="WE97" s="548"/>
      <c r="WF97" s="548"/>
      <c r="WG97" s="548"/>
      <c r="WH97" s="548"/>
      <c r="WI97" s="548"/>
      <c r="WJ97" s="548"/>
      <c r="WK97" s="548"/>
      <c r="WL97" s="548"/>
      <c r="WM97" s="548"/>
      <c r="WN97" s="548"/>
      <c r="WO97" s="548"/>
      <c r="WP97" s="548"/>
      <c r="WQ97" s="548"/>
      <c r="WR97" s="548"/>
      <c r="WS97" s="548"/>
      <c r="WT97" s="548"/>
      <c r="WU97" s="548"/>
      <c r="WV97" s="548"/>
      <c r="WW97" s="548"/>
      <c r="WX97" s="548"/>
      <c r="WY97" s="548"/>
      <c r="WZ97" s="548"/>
      <c r="XA97" s="548"/>
      <c r="XB97" s="548"/>
      <c r="XC97" s="548"/>
      <c r="XD97" s="548"/>
      <c r="XE97" s="548"/>
      <c r="XF97" s="548"/>
      <c r="XG97" s="548"/>
      <c r="XH97" s="548"/>
      <c r="XI97" s="548"/>
      <c r="XJ97" s="548"/>
      <c r="XK97" s="548"/>
      <c r="XL97" s="548"/>
      <c r="XM97" s="548"/>
      <c r="XN97" s="548"/>
      <c r="XO97" s="548"/>
      <c r="XP97" s="548"/>
      <c r="XQ97" s="548"/>
      <c r="XR97" s="548"/>
      <c r="XS97" s="548"/>
      <c r="XT97" s="548"/>
      <c r="XU97" s="548"/>
      <c r="XV97" s="548"/>
      <c r="XW97" s="548"/>
      <c r="XX97" s="548"/>
      <c r="XY97" s="548"/>
      <c r="XZ97" s="548"/>
      <c r="YA97" s="548"/>
      <c r="YB97" s="548"/>
      <c r="YC97" s="548"/>
      <c r="YD97" s="548"/>
      <c r="YE97" s="548"/>
      <c r="YF97" s="548"/>
      <c r="YG97" s="548"/>
      <c r="YH97" s="548"/>
      <c r="YI97" s="548"/>
      <c r="YJ97" s="548"/>
      <c r="YK97" s="548"/>
      <c r="YL97" s="548"/>
      <c r="YM97" s="548"/>
      <c r="YN97" s="548"/>
      <c r="YO97" s="548"/>
      <c r="YP97" s="548"/>
      <c r="YQ97" s="548"/>
      <c r="YR97" s="548"/>
      <c r="YS97" s="548"/>
      <c r="YT97" s="548"/>
      <c r="YU97" s="548"/>
      <c r="YV97" s="548"/>
      <c r="YW97" s="548"/>
      <c r="YX97" s="548"/>
      <c r="YY97" s="548"/>
      <c r="YZ97" s="548"/>
      <c r="ZA97" s="548"/>
      <c r="ZB97" s="548"/>
      <c r="ZC97" s="548"/>
      <c r="ZD97" s="548"/>
      <c r="ZE97" s="548"/>
      <c r="ZF97" s="548"/>
      <c r="ZG97" s="548"/>
      <c r="ZH97" s="548"/>
      <c r="ZI97" s="548"/>
      <c r="ZJ97" s="548"/>
      <c r="ZK97" s="548"/>
      <c r="ZL97" s="548"/>
      <c r="ZM97" s="548"/>
      <c r="ZN97" s="548"/>
      <c r="ZO97" s="548"/>
      <c r="ZP97" s="548"/>
      <c r="ZQ97" s="548"/>
      <c r="ZR97" s="548"/>
      <c r="ZS97" s="548"/>
      <c r="ZT97" s="548"/>
      <c r="ZU97" s="548"/>
      <c r="ZV97" s="548"/>
      <c r="ZW97" s="548"/>
      <c r="ZX97" s="548"/>
      <c r="ZY97" s="548"/>
      <c r="ZZ97" s="548"/>
      <c r="AAA97" s="548"/>
      <c r="AAB97" s="548"/>
      <c r="AAC97" s="548"/>
      <c r="AAD97" s="548"/>
      <c r="AAE97" s="548"/>
      <c r="AAF97" s="548"/>
      <c r="AAG97" s="548"/>
      <c r="AAH97" s="548"/>
      <c r="AAI97" s="548"/>
      <c r="AAJ97" s="548"/>
      <c r="AAK97" s="548"/>
      <c r="AAL97" s="548"/>
      <c r="AAM97" s="548"/>
      <c r="AAN97" s="548"/>
      <c r="AAO97" s="548"/>
      <c r="AAP97" s="548"/>
      <c r="AAQ97" s="548"/>
      <c r="AAR97" s="548"/>
      <c r="AAS97" s="548"/>
      <c r="AAT97" s="548"/>
      <c r="AAU97" s="548"/>
      <c r="AAV97" s="548"/>
      <c r="AAW97" s="548"/>
      <c r="AAX97" s="548"/>
      <c r="AAY97" s="548"/>
      <c r="AAZ97" s="548"/>
      <c r="ABA97" s="548"/>
      <c r="ABB97" s="548"/>
      <c r="ABC97" s="548"/>
      <c r="ABD97" s="548"/>
      <c r="ABE97" s="548"/>
      <c r="ABF97" s="548"/>
      <c r="ABG97" s="548"/>
      <c r="ABH97" s="548"/>
      <c r="ABI97" s="548"/>
      <c r="ABJ97" s="548"/>
      <c r="ABK97" s="548"/>
      <c r="ABL97" s="548"/>
      <c r="ABM97" s="548"/>
      <c r="ABN97" s="548"/>
      <c r="ABO97" s="548"/>
      <c r="ABP97" s="548"/>
      <c r="ABQ97" s="548"/>
      <c r="ABR97" s="548"/>
      <c r="ABS97" s="548"/>
    </row>
    <row r="98" spans="1:747" customFormat="1" ht="15" customHeight="1" thickBot="1" x14ac:dyDescent="0.25">
      <c r="A98" s="424" t="str">
        <f t="shared" si="909"/>
        <v/>
      </c>
      <c r="B98" s="415"/>
      <c r="C98" s="525"/>
      <c r="D98" s="750"/>
      <c r="E98" s="416" t="str">
        <f t="shared" si="751"/>
        <v/>
      </c>
      <c r="F98" s="527" t="str">
        <f t="shared" si="752"/>
        <v/>
      </c>
      <c r="G98" s="417"/>
      <c r="H98" s="585" t="str">
        <f t="shared" si="753"/>
        <v/>
      </c>
      <c r="I98" s="424"/>
      <c r="J98" s="419"/>
      <c r="K98" s="418"/>
      <c r="L98" s="419"/>
      <c r="M98" s="415"/>
      <c r="N98" s="420"/>
      <c r="O98" s="421"/>
      <c r="P98" s="561"/>
      <c r="Q98" s="422"/>
      <c r="R98" s="561" t="str">
        <f t="shared" si="754"/>
        <v/>
      </c>
      <c r="S98" s="664"/>
      <c r="T98" s="997"/>
      <c r="U98" s="580">
        <f t="shared" si="755"/>
        <v>0</v>
      </c>
      <c r="V98" s="418"/>
      <c r="W98" s="582" t="str">
        <f t="shared" si="756"/>
        <v/>
      </c>
      <c r="X98" s="479" t="str">
        <f t="shared" si="757"/>
        <v/>
      </c>
      <c r="Y98" s="582" t="str">
        <f t="shared" si="758"/>
        <v/>
      </c>
      <c r="Z98" s="317" t="str">
        <f t="shared" si="759"/>
        <v/>
      </c>
      <c r="AA98" s="317" t="str">
        <f t="shared" si="760"/>
        <v/>
      </c>
      <c r="AB98" s="317">
        <f t="shared" si="761"/>
        <v>0</v>
      </c>
      <c r="AC98" s="317" t="str">
        <f t="shared" si="762"/>
        <v/>
      </c>
      <c r="AD98" s="479"/>
      <c r="AE98" s="479"/>
      <c r="AF98" s="479"/>
      <c r="AG98" s="423"/>
      <c r="AH98" s="820"/>
      <c r="AI98" s="437"/>
      <c r="AJ98" s="660"/>
      <c r="AK98" s="524" t="str">
        <f t="shared" si="763"/>
        <v/>
      </c>
      <c r="AL98" s="733">
        <f>SUMIF($J$4:$J$163,"Grêmio",$S$4:$S$163)</f>
        <v>0</v>
      </c>
      <c r="AM98" s="816">
        <f>SUMIF($J$4:$J$163,"Grêmio",$T$4:$T$163)</f>
        <v>0</v>
      </c>
      <c r="AN98" s="426">
        <f t="shared" si="764"/>
        <v>0</v>
      </c>
      <c r="AO98" s="427" t="str">
        <f t="shared" si="765"/>
        <v/>
      </c>
      <c r="AP98" s="426" t="str">
        <f t="shared" si="766"/>
        <v/>
      </c>
      <c r="AQ98" s="426"/>
      <c r="AR98" s="426"/>
      <c r="AS98" s="428"/>
      <c r="AT98" s="429"/>
      <c r="AU98" s="430"/>
      <c r="AV98" s="431"/>
      <c r="AW98" s="432"/>
      <c r="AX98" s="430"/>
      <c r="AY98" s="431">
        <f t="shared" si="767"/>
        <v>0</v>
      </c>
      <c r="AZ98" s="426"/>
      <c r="BA98" s="435" t="str">
        <f t="shared" si="768"/>
        <v/>
      </c>
      <c r="BB98" s="435"/>
      <c r="BC98" s="426"/>
      <c r="BD98" s="426">
        <f t="array" ref="BD98">IF(SUM((BC98=$BC$3:BC97)*1)=0,BC98,0)</f>
        <v>0</v>
      </c>
      <c r="BE98" s="426"/>
      <c r="BF98" s="426"/>
      <c r="BG98" s="426">
        <f t="array" ref="BG98">IF(SUM((BF98=$BF$3:BF97)*1)=0,BF98,0)</f>
        <v>0</v>
      </c>
      <c r="BH98" s="426"/>
      <c r="BI98" s="426"/>
      <c r="BJ98" s="426"/>
      <c r="BK98" s="426"/>
      <c r="BL98" s="426"/>
      <c r="BM98" s="426"/>
      <c r="BN98" s="426"/>
      <c r="BO98" s="426"/>
      <c r="BP98" s="433">
        <f t="shared" si="769"/>
        <v>0</v>
      </c>
      <c r="BQ98" s="426"/>
      <c r="BR98" s="434"/>
      <c r="BS98" s="426"/>
      <c r="BT98" s="433"/>
      <c r="BU98" s="435"/>
      <c r="BV98" s="435" t="str">
        <f t="shared" si="770"/>
        <v/>
      </c>
      <c r="BW98" s="435" t="str">
        <f t="shared" si="798"/>
        <v/>
      </c>
      <c r="BX98" s="435"/>
      <c r="BY98" s="435"/>
      <c r="BZ98" s="435"/>
      <c r="CA98" s="435"/>
      <c r="CB98" s="435"/>
      <c r="CC98" s="435"/>
      <c r="CD98" s="435"/>
      <c r="CE98" s="435"/>
      <c r="CF98" s="435"/>
      <c r="CG98" s="435"/>
      <c r="CH98" s="435"/>
      <c r="CI98" s="435"/>
      <c r="CJ98" s="426" t="str">
        <f t="shared" si="799"/>
        <v/>
      </c>
      <c r="CK98" s="435"/>
      <c r="CL98" s="426"/>
      <c r="CM98" s="435"/>
      <c r="CN98" s="426"/>
      <c r="CO98" s="426"/>
      <c r="CP98" s="426"/>
      <c r="CQ98" s="426"/>
      <c r="CR98" s="426"/>
      <c r="CS98" s="426"/>
      <c r="CT98" s="426"/>
      <c r="CU98" s="426"/>
      <c r="CV98" s="426"/>
      <c r="CW98" s="493"/>
      <c r="CX98" s="493"/>
      <c r="CY98" s="426">
        <v>95</v>
      </c>
      <c r="CZ98" s="493"/>
      <c r="DA98" s="493"/>
      <c r="DB98" s="493"/>
      <c r="DC98" s="426" t="s">
        <v>838</v>
      </c>
      <c r="DD98" s="426" t="s">
        <v>998</v>
      </c>
      <c r="DE98" s="435" t="str">
        <f t="shared" si="800"/>
        <v/>
      </c>
      <c r="DF98" s="435" t="str">
        <f t="shared" si="801"/>
        <v/>
      </c>
      <c r="DG98" s="435" t="str">
        <f t="shared" si="802"/>
        <v/>
      </c>
      <c r="DH98" s="435" t="str">
        <f t="shared" si="803"/>
        <v/>
      </c>
      <c r="DI98" s="435" t="str">
        <f t="shared" si="804"/>
        <v/>
      </c>
      <c r="DJ98" s="435" t="str">
        <f t="shared" si="805"/>
        <v/>
      </c>
      <c r="DK98" s="435" t="str">
        <f t="shared" si="771"/>
        <v/>
      </c>
      <c r="DL98" s="435" t="str">
        <f t="shared" si="772"/>
        <v/>
      </c>
      <c r="DM98" s="435" t="str">
        <f t="shared" si="806"/>
        <v/>
      </c>
      <c r="DN98" s="435" t="str">
        <f t="shared" si="807"/>
        <v/>
      </c>
      <c r="DO98" s="435" t="str">
        <f t="shared" si="773"/>
        <v/>
      </c>
      <c r="DP98" s="435" t="str">
        <f t="shared" si="774"/>
        <v/>
      </c>
      <c r="DQ98" s="435" t="str">
        <f t="shared" si="808"/>
        <v/>
      </c>
      <c r="DR98" s="435" t="str">
        <f t="shared" si="809"/>
        <v/>
      </c>
      <c r="DS98" s="435" t="str">
        <f t="shared" si="775"/>
        <v/>
      </c>
      <c r="DT98" s="435" t="str">
        <f t="shared" si="776"/>
        <v/>
      </c>
      <c r="DU98" s="435" t="str">
        <f t="shared" si="810"/>
        <v/>
      </c>
      <c r="DV98" s="435" t="str">
        <f t="shared" si="811"/>
        <v/>
      </c>
      <c r="DW98" s="435" t="str">
        <f t="shared" si="777"/>
        <v/>
      </c>
      <c r="DX98" s="435" t="str">
        <f t="shared" si="778"/>
        <v/>
      </c>
      <c r="DY98" s="435" t="str">
        <f t="shared" si="812"/>
        <v/>
      </c>
      <c r="DZ98" s="435" t="str">
        <f t="shared" si="813"/>
        <v/>
      </c>
      <c r="EA98" s="435" t="str">
        <f t="shared" si="779"/>
        <v/>
      </c>
      <c r="EB98" s="435" t="str">
        <f t="shared" si="780"/>
        <v/>
      </c>
      <c r="EC98" s="435" t="str">
        <f t="shared" si="781"/>
        <v/>
      </c>
      <c r="ED98" s="435" t="str">
        <f t="shared" si="782"/>
        <v/>
      </c>
      <c r="EE98" s="435" t="str">
        <f t="shared" si="783"/>
        <v/>
      </c>
      <c r="EF98" s="435" t="str">
        <f t="shared" si="784"/>
        <v/>
      </c>
      <c r="EG98" s="435" t="str">
        <f t="shared" si="785"/>
        <v/>
      </c>
      <c r="EH98" s="435" t="str">
        <f t="shared" si="786"/>
        <v/>
      </c>
      <c r="EI98" s="435" t="str">
        <f t="shared" si="787"/>
        <v/>
      </c>
      <c r="EJ98" s="435" t="str">
        <f t="shared" si="788"/>
        <v/>
      </c>
      <c r="EK98" s="485"/>
      <c r="EL98" s="485"/>
      <c r="EM98" s="485"/>
      <c r="EN98" s="485"/>
      <c r="EO98" s="448"/>
      <c r="EP98" s="448"/>
      <c r="EQ98" s="448"/>
      <c r="ER98" s="448"/>
      <c r="ES98" s="448"/>
      <c r="ET98" s="435"/>
      <c r="EU98" s="435"/>
      <c r="EV98" s="435"/>
      <c r="EW98" s="435"/>
      <c r="EX98" s="426"/>
      <c r="EY98" s="426"/>
      <c r="EZ98" s="426"/>
      <c r="FA98" s="863"/>
      <c r="FB98" s="427">
        <f t="array" ref="FB98">IF(SUM((FA98=$FA$3:FA97)*1)=0,FA98,0)</f>
        <v>0</v>
      </c>
      <c r="FC98" s="863"/>
      <c r="FD98" s="863"/>
      <c r="FE98" s="863">
        <f t="array" ref="FE98">IF(SUM((FD98=$FD$3:FD97)*1)=0,FD98,0)</f>
        <v>0</v>
      </c>
      <c r="FF98" s="863"/>
      <c r="FG98" s="863"/>
      <c r="FH98" s="863"/>
      <c r="FI98" s="427">
        <f t="array" ref="FI98">IF(SUM((FH98=$FH$3:FH97)*1)=0,FH98,0)</f>
        <v>0</v>
      </c>
      <c r="FJ98" s="863"/>
      <c r="FK98" s="863"/>
      <c r="FL98" s="863">
        <f t="array" ref="FL98">IF(SUM((FK98=$FK$3:FK97)*1)=0,FK98,0)</f>
        <v>0</v>
      </c>
      <c r="FM98" s="863"/>
      <c r="FN98" s="863"/>
      <c r="FO98" s="863"/>
      <c r="FP98" s="427">
        <f t="array" ref="FP98">IF(SUM((FO98=$FO$3:FO97)*1)=0,FO98,0)</f>
        <v>0</v>
      </c>
      <c r="FQ98" s="863"/>
      <c r="FR98" s="863"/>
      <c r="FS98" s="863">
        <f t="array" ref="FS98">IF(SUM((FR98=$FR$3:FR97)*1)=0,FR98,0)</f>
        <v>0</v>
      </c>
      <c r="FT98" s="863"/>
      <c r="FU98" s="863"/>
      <c r="FV98" s="863"/>
      <c r="FW98" s="427">
        <f t="array" ref="FW98">IF(SUM((FV98=$FV$3:FV97)*1)=0,FV98,0)</f>
        <v>0</v>
      </c>
      <c r="FX98" s="863"/>
      <c r="FY98" s="863"/>
      <c r="FZ98" s="863">
        <f t="array" ref="FZ98">IF(SUM((FY98=$FY$3:FY97)*1)=0,FY98,0)</f>
        <v>0</v>
      </c>
      <c r="GA98" s="863"/>
      <c r="GB98" s="863"/>
      <c r="GC98" s="863"/>
      <c r="GD98" s="427">
        <f t="array" ref="GD98">IF(SUM((GC98=$GC$3:GC97)*1)=0,GC98,0)</f>
        <v>0</v>
      </c>
      <c r="GE98" s="863"/>
      <c r="GF98" s="863"/>
      <c r="GG98" s="863">
        <f t="array" ref="GG98">IF(SUM((GF98=$GF$3:GF97)*1)=0,GF98,0)</f>
        <v>0</v>
      </c>
      <c r="GH98" s="863"/>
      <c r="GI98" s="863"/>
      <c r="GJ98" s="863"/>
      <c r="GK98" s="798">
        <f t="array" ref="GK98">IF(SUM((GJ98=$GJ$3:GJ97)*1)=0,GJ98,0)</f>
        <v>0</v>
      </c>
      <c r="GL98" s="863"/>
      <c r="GM98" s="863"/>
      <c r="GN98" s="798">
        <f t="array" ref="GN98">IF(SUM((GM98=$GM$3:GM97)*1)=0,GM98,0)</f>
        <v>0</v>
      </c>
      <c r="GO98" s="863"/>
      <c r="GP98" s="863"/>
      <c r="GQ98" s="863"/>
      <c r="GR98" s="798">
        <f t="array" ref="GR98">IF(SUM((GQ98=$GQ$3:GQ97)*1)=0,GQ98,0)</f>
        <v>0</v>
      </c>
      <c r="GS98" s="863"/>
      <c r="GT98" s="863"/>
      <c r="GU98" s="798">
        <f t="array" ref="GU98">IF(SUM((GT98=$GT$3:GT97)*1)=0,GT98,0)</f>
        <v>0</v>
      </c>
      <c r="GV98" s="863"/>
      <c r="GW98" s="863"/>
      <c r="GX98" s="863"/>
      <c r="GY98" s="798">
        <f t="array" ref="GY98">IF(SUM((GX98=$GX$3:GX97)*1)=0,GX98,0)</f>
        <v>0</v>
      </c>
      <c r="GZ98" s="863"/>
      <c r="HA98" s="863"/>
      <c r="HB98" s="798">
        <f t="array" ref="HB98">IF(SUM((HA98=$HA$3:HA97)*1)=0,HA98,0)</f>
        <v>0</v>
      </c>
      <c r="HC98" s="863"/>
      <c r="HD98" s="863"/>
      <c r="HE98" s="769" t="str">
        <f t="shared" si="889"/>
        <v/>
      </c>
      <c r="HF98" s="768" t="str">
        <f t="shared" ref="HF98" si="1153">IF(HE98&lt;0,"Invadiu REP-BA-C","")</f>
        <v/>
      </c>
      <c r="HG98" s="769" t="str">
        <f t="shared" si="891"/>
        <v/>
      </c>
      <c r="HH98" s="768" t="str">
        <f t="shared" si="815"/>
        <v/>
      </c>
      <c r="HI98" s="728" t="str">
        <f t="shared" si="892"/>
        <v/>
      </c>
      <c r="HJ98" s="768" t="str">
        <f t="shared" si="816"/>
        <v/>
      </c>
      <c r="HK98" s="728" t="str">
        <f t="shared" si="893"/>
        <v/>
      </c>
      <c r="HL98" s="768" t="str">
        <f t="shared" si="817"/>
        <v/>
      </c>
      <c r="HM98" s="769" t="str">
        <f t="shared" si="818"/>
        <v/>
      </c>
      <c r="HN98" s="768" t="str">
        <f t="shared" ref="HN98" si="1154">IF(HM98&lt;0,"Invadiu REP-BA-C","")</f>
        <v/>
      </c>
      <c r="HO98" s="769" t="str">
        <f t="shared" si="820"/>
        <v/>
      </c>
      <c r="HP98" s="768" t="str">
        <f t="shared" si="821"/>
        <v/>
      </c>
      <c r="HQ98" s="728" t="str">
        <f t="shared" si="822"/>
        <v/>
      </c>
      <c r="HR98" s="768" t="str">
        <f t="shared" si="823"/>
        <v/>
      </c>
      <c r="HS98" s="728" t="str">
        <f t="shared" si="824"/>
        <v/>
      </c>
      <c r="HT98" s="768" t="str">
        <f t="shared" si="825"/>
        <v/>
      </c>
      <c r="HU98" s="769" t="str">
        <f t="shared" si="826"/>
        <v/>
      </c>
      <c r="HV98" s="768" t="str">
        <f t="shared" ref="HV98" si="1155">IF(HU98&lt;0,"Invadiu REP-BA-C","")</f>
        <v/>
      </c>
      <c r="HW98" s="769" t="str">
        <f t="shared" si="828"/>
        <v/>
      </c>
      <c r="HX98" s="768" t="str">
        <f t="shared" si="829"/>
        <v/>
      </c>
      <c r="HY98" s="728" t="str">
        <f t="shared" si="830"/>
        <v/>
      </c>
      <c r="HZ98" s="768" t="str">
        <f t="shared" si="831"/>
        <v/>
      </c>
      <c r="IA98" s="728" t="str">
        <f t="shared" si="832"/>
        <v/>
      </c>
      <c r="IB98" s="768" t="str">
        <f t="shared" si="833"/>
        <v/>
      </c>
      <c r="IC98" s="769" t="str">
        <f t="shared" si="834"/>
        <v/>
      </c>
      <c r="ID98" s="768" t="str">
        <f t="shared" ref="ID98" si="1156">IF(IC98&lt;0,"Invadiu REP-BA-C","")</f>
        <v/>
      </c>
      <c r="IE98" s="769" t="str">
        <f t="shared" si="836"/>
        <v/>
      </c>
      <c r="IF98" s="768" t="str">
        <f t="shared" si="837"/>
        <v/>
      </c>
      <c r="IG98" s="728" t="str">
        <f t="shared" si="838"/>
        <v/>
      </c>
      <c r="IH98" s="768" t="str">
        <f t="shared" si="839"/>
        <v/>
      </c>
      <c r="II98" s="728" t="str">
        <f t="shared" si="840"/>
        <v/>
      </c>
      <c r="IJ98" s="768" t="str">
        <f t="shared" si="841"/>
        <v/>
      </c>
      <c r="IK98" s="769" t="str">
        <f t="shared" si="842"/>
        <v/>
      </c>
      <c r="IL98" s="768" t="str">
        <f t="shared" ref="IL98" si="1157">IF(IK98&lt;0,"Invadiu REP-BA-C","")</f>
        <v/>
      </c>
      <c r="IM98" s="769" t="str">
        <f t="shared" si="844"/>
        <v/>
      </c>
      <c r="IN98" s="768" t="str">
        <f t="shared" si="845"/>
        <v/>
      </c>
      <c r="IO98" s="728" t="str">
        <f t="shared" si="846"/>
        <v/>
      </c>
      <c r="IP98" s="768" t="str">
        <f t="shared" si="847"/>
        <v/>
      </c>
      <c r="IQ98" s="728" t="str">
        <f t="shared" si="848"/>
        <v/>
      </c>
      <c r="IR98" s="768" t="str">
        <f t="shared" si="849"/>
        <v/>
      </c>
      <c r="IS98" s="769" t="str">
        <f t="shared" si="850"/>
        <v/>
      </c>
      <c r="IT98" s="768" t="str">
        <f t="shared" ref="IT98" si="1158">IF(IS98&lt;0,"Invadiu REP-BA-C","")</f>
        <v/>
      </c>
      <c r="IU98" s="769" t="str">
        <f t="shared" si="852"/>
        <v/>
      </c>
      <c r="IV98" s="768" t="str">
        <f t="shared" si="853"/>
        <v/>
      </c>
      <c r="IW98" s="728" t="str">
        <f t="shared" si="854"/>
        <v/>
      </c>
      <c r="IX98" s="768" t="str">
        <f t="shared" si="855"/>
        <v/>
      </c>
      <c r="IY98" s="728" t="str">
        <f t="shared" si="856"/>
        <v/>
      </c>
      <c r="IZ98" s="768" t="str">
        <f t="shared" si="857"/>
        <v/>
      </c>
      <c r="JA98" s="769" t="str">
        <f t="shared" si="858"/>
        <v/>
      </c>
      <c r="JB98" s="768" t="str">
        <f t="shared" ref="JB98" si="1159">IF(JA98&lt;0,"Invadiu REP-BA-C","")</f>
        <v/>
      </c>
      <c r="JC98" s="769" t="str">
        <f t="shared" si="860"/>
        <v/>
      </c>
      <c r="JD98" s="768" t="str">
        <f t="shared" si="861"/>
        <v/>
      </c>
      <c r="JE98" s="728" t="str">
        <f t="shared" si="862"/>
        <v/>
      </c>
      <c r="JF98" s="768" t="str">
        <f t="shared" si="863"/>
        <v/>
      </c>
      <c r="JG98" s="728" t="str">
        <f t="shared" si="864"/>
        <v/>
      </c>
      <c r="JH98" s="768" t="str">
        <f t="shared" si="865"/>
        <v/>
      </c>
      <c r="JI98" s="769" t="str">
        <f t="shared" si="866"/>
        <v/>
      </c>
      <c r="JJ98" s="768" t="str">
        <f t="shared" ref="JJ98" si="1160">IF(JI98&lt;0,"Invadiu REP-BA-C","")</f>
        <v/>
      </c>
      <c r="JK98" s="769" t="str">
        <f t="shared" si="868"/>
        <v/>
      </c>
      <c r="JL98" s="768" t="str">
        <f t="shared" si="869"/>
        <v/>
      </c>
      <c r="JM98" s="728" t="str">
        <f t="shared" si="870"/>
        <v/>
      </c>
      <c r="JN98" s="768" t="str">
        <f t="shared" si="871"/>
        <v/>
      </c>
      <c r="JO98" s="728" t="str">
        <f t="shared" si="872"/>
        <v/>
      </c>
      <c r="JP98" s="768" t="str">
        <f t="shared" si="873"/>
        <v/>
      </c>
      <c r="JQ98" s="769" t="str">
        <f t="shared" si="874"/>
        <v/>
      </c>
      <c r="JR98" s="768" t="str">
        <f t="shared" ref="JR98" si="1161">IF(JQ98&lt;0,"Invadiu REP-BA-C","")</f>
        <v/>
      </c>
      <c r="JS98" s="769" t="str">
        <f t="shared" si="876"/>
        <v/>
      </c>
      <c r="JT98" s="768" t="str">
        <f t="shared" si="877"/>
        <v/>
      </c>
      <c r="JU98" s="728" t="str">
        <f t="shared" si="878"/>
        <v/>
      </c>
      <c r="JV98" s="768" t="str">
        <f t="shared" si="879"/>
        <v/>
      </c>
      <c r="JW98" s="728" t="str">
        <f t="shared" si="880"/>
        <v/>
      </c>
      <c r="JX98" s="768" t="str">
        <f t="shared" si="881"/>
        <v/>
      </c>
      <c r="JY98" s="768" t="str">
        <f t="shared" si="882"/>
        <v/>
      </c>
      <c r="JZ98" s="485" t="str">
        <f>IF(JY98="","",IF(AND(C98=$C$164,JY98&lt;&gt;""),Verificarcpf(D98),IF(AND(C98=$C$165,JY98&lt;&gt;""),VerificarCNPJ(D98))))</f>
        <v/>
      </c>
      <c r="KA98" s="768" t="str">
        <f t="shared" si="883"/>
        <v/>
      </c>
      <c r="KB98" s="485">
        <f t="shared" si="884"/>
        <v>0</v>
      </c>
      <c r="KC98" s="768">
        <f t="shared" si="885"/>
        <v>0</v>
      </c>
      <c r="KD98" s="485">
        <f t="shared" si="886"/>
        <v>0</v>
      </c>
      <c r="KE98" s="448"/>
      <c r="KF98" s="548"/>
      <c r="KG98" s="548"/>
      <c r="KH98" s="548"/>
      <c r="KI98" s="548"/>
      <c r="KJ98" s="548" t="str">
        <f t="shared" si="887"/>
        <v/>
      </c>
      <c r="KK98" s="548"/>
      <c r="KL98" s="548"/>
      <c r="KM98" s="548">
        <f t="array" ref="KM98">IF(SUM((KL98=$KL$3:KL97)*1)=0,KL98,0)</f>
        <v>0</v>
      </c>
      <c r="KN98" s="548"/>
      <c r="KO98" s="548"/>
      <c r="KP98" s="548"/>
      <c r="KQ98" s="548"/>
      <c r="KR98" s="548" t="str">
        <f t="shared" si="888"/>
        <v/>
      </c>
      <c r="KS98" s="548"/>
      <c r="KT98" s="548"/>
      <c r="KU98" s="548"/>
      <c r="KV98" s="548"/>
      <c r="KW98" s="548"/>
      <c r="KX98" s="548"/>
      <c r="KY98" s="548"/>
      <c r="KZ98" s="548"/>
      <c r="LA98" s="548"/>
      <c r="LB98" s="548"/>
      <c r="LC98" s="485" t="str">
        <f t="shared" si="902"/>
        <v/>
      </c>
      <c r="LD98" s="548"/>
      <c r="LE98" s="548"/>
      <c r="LF98" s="548"/>
      <c r="LG98" s="548"/>
      <c r="LH98" s="548"/>
      <c r="LI98" s="548"/>
      <c r="LJ98" s="548"/>
      <c r="LK98" s="548"/>
      <c r="LL98" s="548"/>
      <c r="LM98" s="548"/>
      <c r="LN98" s="548"/>
      <c r="LO98" s="548"/>
      <c r="LP98" s="485" t="str">
        <f t="shared" si="903"/>
        <v/>
      </c>
      <c r="LQ98" s="548"/>
      <c r="LR98" s="548"/>
      <c r="LS98" s="548"/>
      <c r="LT98" s="548"/>
      <c r="LU98" s="548"/>
      <c r="LV98" s="548"/>
      <c r="LW98" s="548"/>
      <c r="LX98" s="548"/>
      <c r="LY98" s="548"/>
      <c r="LZ98" s="548"/>
      <c r="MA98" s="548"/>
      <c r="MB98" s="548"/>
      <c r="MC98" s="485" t="str">
        <f t="shared" si="904"/>
        <v/>
      </c>
      <c r="MD98" s="548"/>
      <c r="ME98" s="548"/>
      <c r="MF98" s="548"/>
      <c r="MG98" s="548"/>
      <c r="MH98" s="548"/>
      <c r="MI98" s="548"/>
      <c r="MJ98" s="548"/>
      <c r="MK98" s="548"/>
      <c r="ML98" s="548"/>
      <c r="MM98" s="548"/>
      <c r="MN98" s="548"/>
      <c r="MO98" s="548"/>
      <c r="MP98" s="485" t="str">
        <f t="shared" si="905"/>
        <v/>
      </c>
      <c r="MQ98" s="548"/>
      <c r="MR98" s="548"/>
      <c r="MS98" s="548"/>
      <c r="MT98" s="548"/>
      <c r="MU98" s="548"/>
      <c r="MV98" s="548"/>
      <c r="MW98" s="548"/>
      <c r="MX98" s="548"/>
      <c r="MY98" s="548"/>
      <c r="MZ98" s="548"/>
      <c r="NA98" s="548"/>
      <c r="NB98" s="548"/>
      <c r="NC98" s="485" t="str">
        <f t="shared" si="906"/>
        <v/>
      </c>
      <c r="ND98" s="548"/>
      <c r="NE98" s="548"/>
      <c r="NF98" s="548"/>
      <c r="NG98" s="548"/>
      <c r="NH98" s="548"/>
      <c r="NI98" s="548"/>
      <c r="NJ98" s="548"/>
      <c r="NK98" s="548"/>
      <c r="NL98" s="548"/>
      <c r="NM98" s="548"/>
      <c r="NN98" s="548"/>
      <c r="NO98" s="548"/>
      <c r="NP98" s="485" t="str">
        <f t="shared" si="907"/>
        <v/>
      </c>
      <c r="NQ98" s="548"/>
      <c r="NR98" s="548"/>
      <c r="NS98" s="548"/>
      <c r="NT98" s="548"/>
      <c r="NU98" s="548"/>
      <c r="NV98" s="548"/>
      <c r="NW98" s="548"/>
      <c r="NX98" s="548"/>
      <c r="NY98" s="548"/>
      <c r="NZ98" s="548"/>
      <c r="OA98" s="548"/>
      <c r="OB98" s="548"/>
      <c r="OC98" s="485" t="str">
        <f t="shared" si="908"/>
        <v/>
      </c>
      <c r="OD98" s="548"/>
      <c r="OE98" s="548"/>
      <c r="OF98" s="548"/>
      <c r="OG98" s="548"/>
      <c r="OH98" s="548"/>
      <c r="OI98" s="548"/>
      <c r="OJ98" s="548"/>
      <c r="OK98" s="548"/>
      <c r="OL98" s="548"/>
      <c r="OM98" s="548"/>
      <c r="ON98" s="548"/>
      <c r="OO98" s="548"/>
      <c r="OP98" s="548"/>
      <c r="OQ98" s="548"/>
      <c r="OR98" s="548"/>
      <c r="OS98" s="548"/>
      <c r="OT98" s="548"/>
      <c r="OU98" s="548"/>
      <c r="OV98" s="548"/>
      <c r="OW98" s="548"/>
      <c r="OX98" s="548"/>
      <c r="OY98" s="548"/>
      <c r="OZ98" s="548"/>
      <c r="PA98" s="548"/>
      <c r="PB98" s="548"/>
      <c r="PC98" s="548"/>
      <c r="PD98" s="548"/>
      <c r="PE98" s="548"/>
      <c r="PF98" s="548"/>
      <c r="PG98" s="548"/>
      <c r="PH98" s="548"/>
      <c r="PI98" s="548"/>
      <c r="PJ98" s="548"/>
      <c r="PK98" s="548"/>
      <c r="PL98" s="548"/>
      <c r="PM98" s="548"/>
      <c r="PN98" s="548"/>
      <c r="PO98" s="548"/>
      <c r="PP98" s="548"/>
      <c r="PQ98" s="548"/>
      <c r="PR98" s="548"/>
      <c r="PS98" s="548"/>
      <c r="PT98" s="548"/>
      <c r="PU98" s="548"/>
      <c r="PV98" s="548"/>
      <c r="PW98" s="548"/>
      <c r="PX98" s="548"/>
      <c r="PY98" s="548"/>
      <c r="PZ98" s="548"/>
      <c r="QA98" s="548"/>
      <c r="QB98" s="548"/>
      <c r="QC98" s="548"/>
      <c r="QD98" s="548"/>
      <c r="QE98" s="548"/>
      <c r="QF98" s="548"/>
      <c r="QG98" s="548"/>
      <c r="QH98" s="548"/>
      <c r="QI98" s="548"/>
      <c r="QJ98" s="548"/>
      <c r="QK98" s="548"/>
      <c r="QL98" s="548"/>
      <c r="QM98" s="548"/>
      <c r="QN98" s="548"/>
      <c r="QO98" s="548"/>
      <c r="QP98" s="548"/>
      <c r="QQ98" s="1009"/>
      <c r="QR98" s="548"/>
      <c r="QS98" s="548"/>
      <c r="QT98" s="548"/>
      <c r="QU98" s="548"/>
      <c r="QV98" s="548"/>
      <c r="QW98" s="548"/>
      <c r="QX98" s="548"/>
      <c r="QY98" s="548"/>
      <c r="QZ98" s="548"/>
      <c r="RA98" s="548"/>
      <c r="RB98" s="548"/>
      <c r="RC98" s="548"/>
      <c r="RD98" s="548"/>
      <c r="RE98" s="548"/>
      <c r="RF98" s="548"/>
      <c r="RG98" s="548"/>
      <c r="RH98" s="548"/>
      <c r="RI98" s="548"/>
      <c r="RJ98" s="548"/>
      <c r="RK98" s="548"/>
      <c r="RL98" s="548"/>
      <c r="RM98" s="548"/>
      <c r="RN98" s="548"/>
      <c r="RO98" s="548"/>
      <c r="RP98" s="548"/>
      <c r="RQ98" s="548"/>
      <c r="RR98" s="548"/>
      <c r="RS98" s="548"/>
      <c r="RT98" s="548"/>
      <c r="RU98" s="548"/>
      <c r="RV98" s="548"/>
      <c r="RW98" s="548"/>
      <c r="RX98" s="548"/>
      <c r="RY98" s="548"/>
      <c r="RZ98" s="548"/>
      <c r="SA98" s="548"/>
      <c r="SB98" s="548"/>
      <c r="SC98" s="548"/>
      <c r="SD98" s="548"/>
      <c r="SE98" s="548"/>
      <c r="SF98" s="548"/>
      <c r="SG98" s="548"/>
      <c r="SH98" s="548"/>
      <c r="SI98" s="548"/>
      <c r="SJ98" s="548"/>
      <c r="SK98" s="548"/>
      <c r="SL98" s="548"/>
      <c r="SM98" s="548"/>
      <c r="SN98" s="548"/>
      <c r="SO98" s="548"/>
      <c r="SP98" s="548"/>
      <c r="SQ98" s="548"/>
      <c r="SR98" s="548"/>
      <c r="SS98" s="548"/>
      <c r="ST98" s="548"/>
      <c r="SU98" s="548"/>
      <c r="SV98" s="548"/>
      <c r="SW98" s="548"/>
      <c r="SX98" s="548"/>
      <c r="SY98" s="548"/>
      <c r="SZ98" s="548"/>
      <c r="TA98" s="548"/>
      <c r="TB98" s="548"/>
      <c r="TC98" s="548"/>
      <c r="TD98" s="548"/>
      <c r="TE98" s="548"/>
      <c r="TF98" s="548"/>
      <c r="TG98" s="548"/>
      <c r="TH98" s="548"/>
      <c r="TI98" s="548"/>
      <c r="TJ98" s="548"/>
      <c r="TK98" s="548"/>
      <c r="TL98" s="548"/>
      <c r="TM98" s="548"/>
      <c r="TN98" s="548"/>
      <c r="TO98" s="548"/>
      <c r="TP98" s="548"/>
      <c r="TQ98" s="548"/>
      <c r="TR98" s="548"/>
      <c r="TS98" s="548"/>
      <c r="TT98" s="548"/>
      <c r="TU98" s="548"/>
      <c r="TV98" s="548"/>
      <c r="TW98" s="548"/>
      <c r="TX98" s="548"/>
      <c r="TY98" s="548"/>
      <c r="TZ98" s="548"/>
      <c r="UA98" s="548"/>
      <c r="UB98" s="548"/>
      <c r="UC98" s="548"/>
      <c r="UD98" s="548"/>
      <c r="UE98" s="548"/>
      <c r="UF98" s="548"/>
      <c r="UG98" s="548"/>
      <c r="UH98" s="548"/>
      <c r="UI98" s="548"/>
      <c r="UJ98" s="548"/>
      <c r="UK98" s="548"/>
      <c r="UL98" s="548"/>
      <c r="UM98" s="548"/>
      <c r="UN98" s="548"/>
      <c r="UO98" s="548"/>
      <c r="UP98" s="548"/>
      <c r="UQ98" s="548"/>
      <c r="UR98" s="548"/>
      <c r="US98" s="548"/>
      <c r="UT98" s="548"/>
      <c r="UU98" s="548"/>
      <c r="UV98" s="548"/>
      <c r="UW98" s="548"/>
      <c r="UX98" s="548"/>
      <c r="UY98" s="548"/>
      <c r="UZ98" s="548"/>
      <c r="VA98" s="548"/>
      <c r="VB98" s="548"/>
      <c r="VC98" s="548"/>
      <c r="VD98" s="548"/>
      <c r="VE98" s="548"/>
      <c r="VF98" s="548"/>
      <c r="VG98" s="548"/>
      <c r="VH98" s="548"/>
      <c r="VI98" s="548"/>
      <c r="VJ98" s="548"/>
      <c r="VK98" s="548"/>
      <c r="VL98" s="548"/>
      <c r="VM98" s="548"/>
      <c r="VN98" s="548"/>
      <c r="VO98" s="548"/>
      <c r="VP98" s="548"/>
      <c r="VQ98" s="548"/>
      <c r="VR98" s="548"/>
      <c r="VS98" s="548"/>
      <c r="VT98" s="548"/>
      <c r="VU98" s="548"/>
      <c r="VV98" s="548"/>
      <c r="VW98" s="548"/>
      <c r="VX98" s="548"/>
      <c r="VY98" s="548"/>
      <c r="VZ98" s="548"/>
      <c r="WA98" s="548"/>
      <c r="WB98" s="548"/>
      <c r="WC98" s="548"/>
      <c r="WD98" s="548"/>
      <c r="WE98" s="548"/>
      <c r="WF98" s="548"/>
      <c r="WG98" s="548"/>
      <c r="WH98" s="548"/>
      <c r="WI98" s="548"/>
      <c r="WJ98" s="548"/>
      <c r="WK98" s="548"/>
      <c r="WL98" s="548"/>
      <c r="WM98" s="548"/>
      <c r="WN98" s="548"/>
      <c r="WO98" s="548"/>
      <c r="WP98" s="548"/>
      <c r="WQ98" s="548"/>
      <c r="WR98" s="548"/>
      <c r="WS98" s="548"/>
      <c r="WT98" s="548"/>
      <c r="WU98" s="548"/>
      <c r="WV98" s="548"/>
      <c r="WW98" s="548"/>
      <c r="WX98" s="548"/>
      <c r="WY98" s="548"/>
      <c r="WZ98" s="548"/>
      <c r="XA98" s="548"/>
      <c r="XB98" s="548"/>
      <c r="XC98" s="548"/>
      <c r="XD98" s="548"/>
      <c r="XE98" s="548"/>
      <c r="XF98" s="548"/>
      <c r="XG98" s="548"/>
      <c r="XH98" s="548"/>
      <c r="XI98" s="548"/>
      <c r="XJ98" s="548"/>
      <c r="XK98" s="548"/>
      <c r="XL98" s="548"/>
      <c r="XM98" s="548"/>
      <c r="XN98" s="548"/>
      <c r="XO98" s="548"/>
      <c r="XP98" s="548"/>
      <c r="XQ98" s="548"/>
      <c r="XR98" s="548"/>
      <c r="XS98" s="548"/>
      <c r="XT98" s="548"/>
      <c r="XU98" s="548"/>
      <c r="XV98" s="548"/>
      <c r="XW98" s="548"/>
      <c r="XX98" s="548"/>
      <c r="XY98" s="548"/>
      <c r="XZ98" s="548"/>
      <c r="YA98" s="548"/>
      <c r="YB98" s="548"/>
      <c r="YC98" s="548"/>
      <c r="YD98" s="548"/>
      <c r="YE98" s="548"/>
      <c r="YF98" s="548"/>
      <c r="YG98" s="548"/>
      <c r="YH98" s="548"/>
      <c r="YI98" s="548"/>
      <c r="YJ98" s="548"/>
      <c r="YK98" s="548"/>
      <c r="YL98" s="548"/>
      <c r="YM98" s="548"/>
      <c r="YN98" s="548"/>
      <c r="YO98" s="548"/>
      <c r="YP98" s="548"/>
      <c r="YQ98" s="548"/>
      <c r="YR98" s="548"/>
      <c r="YS98" s="548"/>
      <c r="YT98" s="548"/>
      <c r="YU98" s="548"/>
      <c r="YV98" s="548"/>
      <c r="YW98" s="548"/>
      <c r="YX98" s="548"/>
      <c r="YY98" s="548"/>
      <c r="YZ98" s="548"/>
      <c r="ZA98" s="548"/>
      <c r="ZB98" s="548"/>
      <c r="ZC98" s="548"/>
      <c r="ZD98" s="548"/>
      <c r="ZE98" s="548"/>
      <c r="ZF98" s="548"/>
      <c r="ZG98" s="548"/>
      <c r="ZH98" s="548"/>
      <c r="ZI98" s="548"/>
      <c r="ZJ98" s="548"/>
      <c r="ZK98" s="548"/>
      <c r="ZL98" s="548"/>
      <c r="ZM98" s="548"/>
      <c r="ZN98" s="548"/>
      <c r="ZO98" s="548"/>
      <c r="ZP98" s="548"/>
      <c r="ZQ98" s="548"/>
      <c r="ZR98" s="548"/>
      <c r="ZS98" s="548"/>
      <c r="ZT98" s="548"/>
      <c r="ZU98" s="548"/>
      <c r="ZV98" s="548"/>
      <c r="ZW98" s="548"/>
      <c r="ZX98" s="548"/>
      <c r="ZY98" s="548"/>
      <c r="ZZ98" s="548"/>
      <c r="AAA98" s="548"/>
      <c r="AAB98" s="548"/>
      <c r="AAC98" s="548"/>
      <c r="AAD98" s="548"/>
      <c r="AAE98" s="548"/>
      <c r="AAF98" s="548"/>
      <c r="AAG98" s="548"/>
      <c r="AAH98" s="548"/>
      <c r="AAI98" s="548"/>
      <c r="AAJ98" s="548"/>
      <c r="AAK98" s="548"/>
      <c r="AAL98" s="548"/>
      <c r="AAM98" s="548"/>
      <c r="AAN98" s="548"/>
      <c r="AAO98" s="548"/>
      <c r="AAP98" s="548"/>
      <c r="AAQ98" s="548"/>
      <c r="AAR98" s="548"/>
      <c r="AAS98" s="548"/>
      <c r="AAT98" s="548"/>
      <c r="AAU98" s="548"/>
      <c r="AAV98" s="548"/>
      <c r="AAW98" s="548"/>
      <c r="AAX98" s="548"/>
      <c r="AAY98" s="548"/>
      <c r="AAZ98" s="548"/>
      <c r="ABA98" s="548"/>
      <c r="ABB98" s="548"/>
      <c r="ABC98" s="548"/>
      <c r="ABD98" s="548"/>
      <c r="ABE98" s="548"/>
      <c r="ABF98" s="548"/>
      <c r="ABG98" s="548"/>
      <c r="ABH98" s="548"/>
      <c r="ABI98" s="548"/>
      <c r="ABJ98" s="548"/>
      <c r="ABK98" s="548"/>
      <c r="ABL98" s="548"/>
      <c r="ABM98" s="548"/>
      <c r="ABN98" s="548"/>
      <c r="ABO98" s="548"/>
      <c r="ABP98" s="548"/>
      <c r="ABQ98" s="548"/>
      <c r="ABR98" s="548"/>
      <c r="ABS98" s="548"/>
    </row>
    <row r="99" spans="1:747" customFormat="1" ht="15" customHeight="1" thickBot="1" x14ac:dyDescent="0.25">
      <c r="A99" s="424" t="str">
        <f t="shared" si="909"/>
        <v/>
      </c>
      <c r="B99" s="415"/>
      <c r="C99" s="525"/>
      <c r="D99" s="750"/>
      <c r="E99" s="416" t="str">
        <f t="shared" si="751"/>
        <v/>
      </c>
      <c r="F99" s="527" t="str">
        <f t="shared" si="752"/>
        <v/>
      </c>
      <c r="G99" s="417"/>
      <c r="H99" s="585" t="str">
        <f t="shared" si="753"/>
        <v/>
      </c>
      <c r="I99" s="424"/>
      <c r="J99" s="419"/>
      <c r="K99" s="418"/>
      <c r="L99" s="419"/>
      <c r="M99" s="415"/>
      <c r="N99" s="420"/>
      <c r="O99" s="421"/>
      <c r="P99" s="561"/>
      <c r="Q99" s="422"/>
      <c r="R99" s="561" t="str">
        <f t="shared" si="754"/>
        <v/>
      </c>
      <c r="S99" s="664"/>
      <c r="T99" s="663"/>
      <c r="U99" s="580">
        <f t="shared" si="755"/>
        <v>0</v>
      </c>
      <c r="V99" s="418"/>
      <c r="W99" s="582" t="str">
        <f t="shared" si="756"/>
        <v/>
      </c>
      <c r="X99" s="479" t="str">
        <f t="shared" si="757"/>
        <v/>
      </c>
      <c r="Y99" s="582" t="str">
        <f t="shared" si="758"/>
        <v/>
      </c>
      <c r="Z99" s="317" t="str">
        <f t="shared" si="759"/>
        <v/>
      </c>
      <c r="AA99" s="317" t="str">
        <f t="shared" si="760"/>
        <v/>
      </c>
      <c r="AB99" s="317">
        <f t="shared" si="761"/>
        <v>0</v>
      </c>
      <c r="AC99" s="317" t="str">
        <f t="shared" si="762"/>
        <v/>
      </c>
      <c r="AD99" s="479"/>
      <c r="AE99" s="479"/>
      <c r="AF99" s="479"/>
      <c r="AG99" s="423"/>
      <c r="AH99" s="820"/>
      <c r="AI99" s="437"/>
      <c r="AJ99" s="660"/>
      <c r="AK99" s="524" t="str">
        <f t="shared" si="763"/>
        <v/>
      </c>
      <c r="AL99" s="748" t="str">
        <f>IF(Dados!$E$3="","",($IS$2+$IU$2)-$AL$98)</f>
        <v/>
      </c>
      <c r="AM99" s="753" t="str">
        <f>IF(Dados!$E$3="","",($IW$2+$IY$2)-$AM$98)</f>
        <v/>
      </c>
      <c r="AN99" s="426">
        <f t="shared" si="764"/>
        <v>0</v>
      </c>
      <c r="AO99" s="427" t="str">
        <f t="shared" si="765"/>
        <v/>
      </c>
      <c r="AP99" s="426" t="str">
        <f t="shared" si="766"/>
        <v/>
      </c>
      <c r="AQ99" s="426"/>
      <c r="AR99" s="426"/>
      <c r="AS99" s="428"/>
      <c r="AT99" s="429"/>
      <c r="AU99" s="430"/>
      <c r="AV99" s="431"/>
      <c r="AW99" s="432"/>
      <c r="AX99" s="430"/>
      <c r="AY99" s="431">
        <f t="shared" si="767"/>
        <v>0</v>
      </c>
      <c r="AZ99" s="426"/>
      <c r="BA99" s="435" t="str">
        <f t="shared" si="768"/>
        <v/>
      </c>
      <c r="BB99" s="435"/>
      <c r="BC99" s="426"/>
      <c r="BD99" s="426">
        <f t="array" ref="BD99">IF(SUM((BC99=$BC$3:BC98)*1)=0,BC99,0)</f>
        <v>0</v>
      </c>
      <c r="BE99" s="426"/>
      <c r="BF99" s="426"/>
      <c r="BG99" s="426">
        <f t="array" ref="BG99">IF(SUM((BF99=$BF$3:BF98)*1)=0,BF99,0)</f>
        <v>0</v>
      </c>
      <c r="BH99" s="426"/>
      <c r="BI99" s="426"/>
      <c r="BJ99" s="426"/>
      <c r="BK99" s="426"/>
      <c r="BL99" s="426"/>
      <c r="BM99" s="426"/>
      <c r="BN99" s="426"/>
      <c r="BO99" s="426"/>
      <c r="BP99" s="433">
        <f t="shared" si="769"/>
        <v>0</v>
      </c>
      <c r="BQ99" s="426"/>
      <c r="BR99" s="434"/>
      <c r="BS99" s="426"/>
      <c r="BT99" s="433"/>
      <c r="BU99" s="435"/>
      <c r="BV99" s="435" t="str">
        <f t="shared" si="770"/>
        <v/>
      </c>
      <c r="BW99" s="435" t="str">
        <f t="shared" si="798"/>
        <v/>
      </c>
      <c r="BX99" s="435"/>
      <c r="BY99" s="435"/>
      <c r="BZ99" s="435"/>
      <c r="CA99" s="435"/>
      <c r="CB99" s="435"/>
      <c r="CC99" s="435"/>
      <c r="CD99" s="435"/>
      <c r="CE99" s="435"/>
      <c r="CF99" s="435"/>
      <c r="CG99" s="435"/>
      <c r="CH99" s="435"/>
      <c r="CI99" s="435"/>
      <c r="CJ99" s="426" t="str">
        <f t="shared" si="799"/>
        <v/>
      </c>
      <c r="CK99" s="435"/>
      <c r="CL99" s="426"/>
      <c r="CM99" s="435"/>
      <c r="CN99" s="426"/>
      <c r="CO99" s="426"/>
      <c r="CP99" s="426"/>
      <c r="CQ99" s="426"/>
      <c r="CR99" s="426"/>
      <c r="CS99" s="426"/>
      <c r="CT99" s="426"/>
      <c r="CU99" s="426"/>
      <c r="CV99" s="426"/>
      <c r="CW99" s="493"/>
      <c r="CX99" s="493"/>
      <c r="CY99" s="426">
        <v>96</v>
      </c>
      <c r="CZ99" s="493"/>
      <c r="DA99" s="493"/>
      <c r="DB99" s="493"/>
      <c r="DC99" s="426" t="s">
        <v>839</v>
      </c>
      <c r="DD99" s="426" t="s">
        <v>999</v>
      </c>
      <c r="DE99" s="435" t="str">
        <f t="shared" si="800"/>
        <v/>
      </c>
      <c r="DF99" s="435" t="str">
        <f t="shared" si="801"/>
        <v/>
      </c>
      <c r="DG99" s="435" t="str">
        <f t="shared" si="802"/>
        <v/>
      </c>
      <c r="DH99" s="435" t="str">
        <f t="shared" si="803"/>
        <v/>
      </c>
      <c r="DI99" s="435" t="str">
        <f t="shared" si="804"/>
        <v/>
      </c>
      <c r="DJ99" s="435" t="str">
        <f t="shared" si="805"/>
        <v/>
      </c>
      <c r="DK99" s="435" t="str">
        <f t="shared" si="771"/>
        <v/>
      </c>
      <c r="DL99" s="435" t="str">
        <f t="shared" si="772"/>
        <v/>
      </c>
      <c r="DM99" s="435" t="str">
        <f t="shared" si="806"/>
        <v/>
      </c>
      <c r="DN99" s="435" t="str">
        <f t="shared" si="807"/>
        <v/>
      </c>
      <c r="DO99" s="435" t="str">
        <f t="shared" si="773"/>
        <v/>
      </c>
      <c r="DP99" s="435" t="str">
        <f t="shared" si="774"/>
        <v/>
      </c>
      <c r="DQ99" s="435" t="str">
        <f t="shared" si="808"/>
        <v/>
      </c>
      <c r="DR99" s="435" t="str">
        <f t="shared" si="809"/>
        <v/>
      </c>
      <c r="DS99" s="435" t="str">
        <f t="shared" si="775"/>
        <v/>
      </c>
      <c r="DT99" s="435" t="str">
        <f t="shared" si="776"/>
        <v/>
      </c>
      <c r="DU99" s="435" t="str">
        <f t="shared" si="810"/>
        <v/>
      </c>
      <c r="DV99" s="435" t="str">
        <f t="shared" si="811"/>
        <v/>
      </c>
      <c r="DW99" s="435" t="str">
        <f t="shared" si="777"/>
        <v/>
      </c>
      <c r="DX99" s="435" t="str">
        <f t="shared" si="778"/>
        <v/>
      </c>
      <c r="DY99" s="435" t="str">
        <f t="shared" si="812"/>
        <v/>
      </c>
      <c r="DZ99" s="435" t="str">
        <f t="shared" si="813"/>
        <v/>
      </c>
      <c r="EA99" s="435" t="str">
        <f t="shared" si="779"/>
        <v/>
      </c>
      <c r="EB99" s="435" t="str">
        <f t="shared" si="780"/>
        <v/>
      </c>
      <c r="EC99" s="435" t="str">
        <f t="shared" si="781"/>
        <v/>
      </c>
      <c r="ED99" s="435" t="str">
        <f t="shared" si="782"/>
        <v/>
      </c>
      <c r="EE99" s="435" t="str">
        <f t="shared" si="783"/>
        <v/>
      </c>
      <c r="EF99" s="435" t="str">
        <f t="shared" si="784"/>
        <v/>
      </c>
      <c r="EG99" s="435" t="str">
        <f t="shared" si="785"/>
        <v/>
      </c>
      <c r="EH99" s="435" t="str">
        <f t="shared" si="786"/>
        <v/>
      </c>
      <c r="EI99" s="435" t="str">
        <f t="shared" si="787"/>
        <v/>
      </c>
      <c r="EJ99" s="435" t="str">
        <f t="shared" si="788"/>
        <v/>
      </c>
      <c r="EK99" s="485"/>
      <c r="EL99" s="485"/>
      <c r="EM99" s="485"/>
      <c r="EN99" s="485"/>
      <c r="EO99" s="448"/>
      <c r="EP99" s="448"/>
      <c r="EQ99" s="448"/>
      <c r="ER99" s="448"/>
      <c r="ES99" s="448"/>
      <c r="ET99" s="435"/>
      <c r="EU99" s="435"/>
      <c r="EV99" s="435"/>
      <c r="EW99" s="435"/>
      <c r="EX99" s="426"/>
      <c r="EY99" s="426"/>
      <c r="EZ99" s="426"/>
      <c r="FA99" s="863"/>
      <c r="FB99" s="427">
        <f t="array" ref="FB99">IF(SUM((FA99=$FA$3:FA98)*1)=0,FA99,0)</f>
        <v>0</v>
      </c>
      <c r="FC99" s="863"/>
      <c r="FD99" s="863"/>
      <c r="FE99" s="863">
        <f t="array" ref="FE99">IF(SUM((FD99=$FD$3:FD98)*1)=0,FD99,0)</f>
        <v>0</v>
      </c>
      <c r="FF99" s="863"/>
      <c r="FG99" s="863"/>
      <c r="FH99" s="863"/>
      <c r="FI99" s="427">
        <f t="array" ref="FI99">IF(SUM((FH99=$FH$3:FH98)*1)=0,FH99,0)</f>
        <v>0</v>
      </c>
      <c r="FJ99" s="863"/>
      <c r="FK99" s="863"/>
      <c r="FL99" s="863">
        <f t="array" ref="FL99">IF(SUM((FK99=$FK$3:FK98)*1)=0,FK99,0)</f>
        <v>0</v>
      </c>
      <c r="FM99" s="863"/>
      <c r="FN99" s="863"/>
      <c r="FO99" s="863"/>
      <c r="FP99" s="427">
        <f t="array" ref="FP99">IF(SUM((FO99=$FO$3:FO98)*1)=0,FO99,0)</f>
        <v>0</v>
      </c>
      <c r="FQ99" s="863"/>
      <c r="FR99" s="863"/>
      <c r="FS99" s="863">
        <f t="array" ref="FS99">IF(SUM((FR99=$FR$3:FR98)*1)=0,FR99,0)</f>
        <v>0</v>
      </c>
      <c r="FT99" s="863"/>
      <c r="FU99" s="863"/>
      <c r="FV99" s="863"/>
      <c r="FW99" s="427">
        <f t="array" ref="FW99">IF(SUM((FV99=$FV$3:FV98)*1)=0,FV99,0)</f>
        <v>0</v>
      </c>
      <c r="FX99" s="863"/>
      <c r="FY99" s="863"/>
      <c r="FZ99" s="863">
        <f t="array" ref="FZ99">IF(SUM((FY99=$FY$3:FY98)*1)=0,FY99,0)</f>
        <v>0</v>
      </c>
      <c r="GA99" s="863"/>
      <c r="GB99" s="863"/>
      <c r="GC99" s="863"/>
      <c r="GD99" s="427">
        <f t="array" ref="GD99">IF(SUM((GC99=$GC$3:GC98)*1)=0,GC99,0)</f>
        <v>0</v>
      </c>
      <c r="GE99" s="863"/>
      <c r="GF99" s="863"/>
      <c r="GG99" s="863">
        <f t="array" ref="GG99">IF(SUM((GF99=$GF$3:GF98)*1)=0,GF99,0)</f>
        <v>0</v>
      </c>
      <c r="GH99" s="863"/>
      <c r="GI99" s="863"/>
      <c r="GJ99" s="863"/>
      <c r="GK99" s="798">
        <f t="array" ref="GK99">IF(SUM((GJ99=$GJ$3:GJ98)*1)=0,GJ99,0)</f>
        <v>0</v>
      </c>
      <c r="GL99" s="863"/>
      <c r="GM99" s="863"/>
      <c r="GN99" s="798">
        <f t="array" ref="GN99">IF(SUM((GM99=$GM$3:GM98)*1)=0,GM99,0)</f>
        <v>0</v>
      </c>
      <c r="GO99" s="863"/>
      <c r="GP99" s="863"/>
      <c r="GQ99" s="863"/>
      <c r="GR99" s="798">
        <f t="array" ref="GR99">IF(SUM((GQ99=$GQ$3:GQ98)*1)=0,GQ99,0)</f>
        <v>0</v>
      </c>
      <c r="GS99" s="863"/>
      <c r="GT99" s="863"/>
      <c r="GU99" s="798">
        <f t="array" ref="GU99">IF(SUM((GT99=$GT$3:GT98)*1)=0,GT99,0)</f>
        <v>0</v>
      </c>
      <c r="GV99" s="863"/>
      <c r="GW99" s="863"/>
      <c r="GX99" s="863"/>
      <c r="GY99" s="798">
        <f t="array" ref="GY99">IF(SUM((GX99=$GX$3:GX98)*1)=0,GX99,0)</f>
        <v>0</v>
      </c>
      <c r="GZ99" s="863"/>
      <c r="HA99" s="863"/>
      <c r="HB99" s="798">
        <f t="array" ref="HB99">IF(SUM((HA99=$HA$3:HA98)*1)=0,HA99,0)</f>
        <v>0</v>
      </c>
      <c r="HC99" s="863"/>
      <c r="HD99" s="863"/>
      <c r="HE99" s="769" t="str">
        <f t="shared" si="889"/>
        <v/>
      </c>
      <c r="HF99" s="768" t="str">
        <f t="shared" ref="HF99" si="1162">IF(HE99&lt;0,"Invadiu REP-BA-C","")</f>
        <v/>
      </c>
      <c r="HG99" s="769" t="str">
        <f t="shared" si="891"/>
        <v/>
      </c>
      <c r="HH99" s="768" t="str">
        <f t="shared" si="815"/>
        <v/>
      </c>
      <c r="HI99" s="728" t="str">
        <f t="shared" si="892"/>
        <v/>
      </c>
      <c r="HJ99" s="768" t="str">
        <f t="shared" si="816"/>
        <v/>
      </c>
      <c r="HK99" s="728" t="str">
        <f t="shared" si="893"/>
        <v/>
      </c>
      <c r="HL99" s="768" t="str">
        <f t="shared" si="817"/>
        <v/>
      </c>
      <c r="HM99" s="769" t="str">
        <f t="shared" si="818"/>
        <v/>
      </c>
      <c r="HN99" s="768" t="str">
        <f t="shared" ref="HN99" si="1163">IF(HM99&lt;0,"Invadiu REP-BA-C","")</f>
        <v/>
      </c>
      <c r="HO99" s="769" t="str">
        <f t="shared" si="820"/>
        <v/>
      </c>
      <c r="HP99" s="768" t="str">
        <f t="shared" si="821"/>
        <v/>
      </c>
      <c r="HQ99" s="728" t="str">
        <f t="shared" si="822"/>
        <v/>
      </c>
      <c r="HR99" s="768" t="str">
        <f t="shared" si="823"/>
        <v/>
      </c>
      <c r="HS99" s="728" t="str">
        <f t="shared" si="824"/>
        <v/>
      </c>
      <c r="HT99" s="768" t="str">
        <f t="shared" si="825"/>
        <v/>
      </c>
      <c r="HU99" s="769" t="str">
        <f t="shared" si="826"/>
        <v/>
      </c>
      <c r="HV99" s="768" t="str">
        <f t="shared" ref="HV99" si="1164">IF(HU99&lt;0,"Invadiu REP-BA-C","")</f>
        <v/>
      </c>
      <c r="HW99" s="769" t="str">
        <f t="shared" si="828"/>
        <v/>
      </c>
      <c r="HX99" s="768" t="str">
        <f t="shared" si="829"/>
        <v/>
      </c>
      <c r="HY99" s="728" t="str">
        <f t="shared" si="830"/>
        <v/>
      </c>
      <c r="HZ99" s="768" t="str">
        <f t="shared" si="831"/>
        <v/>
      </c>
      <c r="IA99" s="728" t="str">
        <f t="shared" si="832"/>
        <v/>
      </c>
      <c r="IB99" s="768" t="str">
        <f t="shared" si="833"/>
        <v/>
      </c>
      <c r="IC99" s="769" t="str">
        <f t="shared" si="834"/>
        <v/>
      </c>
      <c r="ID99" s="768" t="str">
        <f t="shared" ref="ID99" si="1165">IF(IC99&lt;0,"Invadiu REP-BA-C","")</f>
        <v/>
      </c>
      <c r="IE99" s="769" t="str">
        <f t="shared" si="836"/>
        <v/>
      </c>
      <c r="IF99" s="768" t="str">
        <f t="shared" si="837"/>
        <v/>
      </c>
      <c r="IG99" s="728" t="str">
        <f t="shared" si="838"/>
        <v/>
      </c>
      <c r="IH99" s="768" t="str">
        <f t="shared" si="839"/>
        <v/>
      </c>
      <c r="II99" s="728" t="str">
        <f t="shared" si="840"/>
        <v/>
      </c>
      <c r="IJ99" s="768" t="str">
        <f t="shared" si="841"/>
        <v/>
      </c>
      <c r="IK99" s="769" t="str">
        <f t="shared" si="842"/>
        <v/>
      </c>
      <c r="IL99" s="768" t="str">
        <f t="shared" ref="IL99" si="1166">IF(IK99&lt;0,"Invadiu REP-BA-C","")</f>
        <v/>
      </c>
      <c r="IM99" s="769" t="str">
        <f t="shared" si="844"/>
        <v/>
      </c>
      <c r="IN99" s="768" t="str">
        <f t="shared" si="845"/>
        <v/>
      </c>
      <c r="IO99" s="728" t="str">
        <f t="shared" si="846"/>
        <v/>
      </c>
      <c r="IP99" s="768" t="str">
        <f t="shared" si="847"/>
        <v/>
      </c>
      <c r="IQ99" s="728" t="str">
        <f t="shared" si="848"/>
        <v/>
      </c>
      <c r="IR99" s="768" t="str">
        <f t="shared" si="849"/>
        <v/>
      </c>
      <c r="IS99" s="769" t="str">
        <f t="shared" si="850"/>
        <v/>
      </c>
      <c r="IT99" s="768" t="str">
        <f t="shared" ref="IT99" si="1167">IF(IS99&lt;0,"Invadiu REP-BA-C","")</f>
        <v/>
      </c>
      <c r="IU99" s="769" t="str">
        <f t="shared" si="852"/>
        <v/>
      </c>
      <c r="IV99" s="768" t="str">
        <f t="shared" si="853"/>
        <v/>
      </c>
      <c r="IW99" s="728" t="str">
        <f t="shared" si="854"/>
        <v/>
      </c>
      <c r="IX99" s="768" t="str">
        <f t="shared" si="855"/>
        <v/>
      </c>
      <c r="IY99" s="728" t="str">
        <f t="shared" si="856"/>
        <v/>
      </c>
      <c r="IZ99" s="768" t="str">
        <f t="shared" si="857"/>
        <v/>
      </c>
      <c r="JA99" s="769" t="str">
        <f t="shared" si="858"/>
        <v/>
      </c>
      <c r="JB99" s="768" t="str">
        <f t="shared" ref="JB99" si="1168">IF(JA99&lt;0,"Invadiu REP-BA-C","")</f>
        <v/>
      </c>
      <c r="JC99" s="769" t="str">
        <f t="shared" si="860"/>
        <v/>
      </c>
      <c r="JD99" s="768" t="str">
        <f t="shared" si="861"/>
        <v/>
      </c>
      <c r="JE99" s="728" t="str">
        <f t="shared" si="862"/>
        <v/>
      </c>
      <c r="JF99" s="768" t="str">
        <f t="shared" si="863"/>
        <v/>
      </c>
      <c r="JG99" s="728" t="str">
        <f t="shared" si="864"/>
        <v/>
      </c>
      <c r="JH99" s="768" t="str">
        <f t="shared" si="865"/>
        <v/>
      </c>
      <c r="JI99" s="769" t="str">
        <f t="shared" si="866"/>
        <v/>
      </c>
      <c r="JJ99" s="768" t="str">
        <f t="shared" ref="JJ99" si="1169">IF(JI99&lt;0,"Invadiu REP-BA-C","")</f>
        <v/>
      </c>
      <c r="JK99" s="769" t="str">
        <f t="shared" si="868"/>
        <v/>
      </c>
      <c r="JL99" s="768" t="str">
        <f t="shared" si="869"/>
        <v/>
      </c>
      <c r="JM99" s="728" t="str">
        <f t="shared" si="870"/>
        <v/>
      </c>
      <c r="JN99" s="768" t="str">
        <f t="shared" si="871"/>
        <v/>
      </c>
      <c r="JO99" s="728" t="str">
        <f t="shared" si="872"/>
        <v/>
      </c>
      <c r="JP99" s="768" t="str">
        <f t="shared" si="873"/>
        <v/>
      </c>
      <c r="JQ99" s="769" t="str">
        <f t="shared" si="874"/>
        <v/>
      </c>
      <c r="JR99" s="768" t="str">
        <f t="shared" ref="JR99" si="1170">IF(JQ99&lt;0,"Invadiu REP-BA-C","")</f>
        <v/>
      </c>
      <c r="JS99" s="769" t="str">
        <f t="shared" si="876"/>
        <v/>
      </c>
      <c r="JT99" s="768" t="str">
        <f t="shared" si="877"/>
        <v/>
      </c>
      <c r="JU99" s="728" t="str">
        <f t="shared" si="878"/>
        <v/>
      </c>
      <c r="JV99" s="768" t="str">
        <f t="shared" si="879"/>
        <v/>
      </c>
      <c r="JW99" s="728" t="str">
        <f t="shared" si="880"/>
        <v/>
      </c>
      <c r="JX99" s="768" t="str">
        <f t="shared" si="881"/>
        <v/>
      </c>
      <c r="JY99" s="768" t="str">
        <f t="shared" si="882"/>
        <v/>
      </c>
      <c r="JZ99" s="485" t="str">
        <f>IF(JY99="","",IF(AND(C99=$C$164,JY99&lt;&gt;""),Verificarcpf(D99),IF(AND(C99=$C$165,JY99&lt;&gt;""),VerificarCNPJ(D99))))</f>
        <v/>
      </c>
      <c r="KA99" s="768" t="str">
        <f t="shared" si="883"/>
        <v/>
      </c>
      <c r="KB99" s="485">
        <f t="shared" si="884"/>
        <v>0</v>
      </c>
      <c r="KC99" s="768">
        <f t="shared" si="885"/>
        <v>0</v>
      </c>
      <c r="KD99" s="485">
        <f t="shared" si="886"/>
        <v>0</v>
      </c>
      <c r="KE99" s="448"/>
      <c r="KF99" s="548"/>
      <c r="KG99" s="548"/>
      <c r="KH99" s="548"/>
      <c r="KI99" s="548"/>
      <c r="KJ99" s="548" t="str">
        <f t="shared" si="887"/>
        <v/>
      </c>
      <c r="KK99" s="548"/>
      <c r="KL99" s="548"/>
      <c r="KM99" s="548">
        <f t="array" ref="KM99">IF(SUM((KL99=$KL$3:KL98)*1)=0,KL99,0)</f>
        <v>0</v>
      </c>
      <c r="KN99" s="548"/>
      <c r="KO99" s="548"/>
      <c r="KP99" s="548"/>
      <c r="KQ99" s="548"/>
      <c r="KR99" s="548" t="str">
        <f t="shared" si="888"/>
        <v/>
      </c>
      <c r="KS99" s="548"/>
      <c r="KT99" s="548"/>
      <c r="KU99" s="548"/>
      <c r="KV99" s="548"/>
      <c r="KW99" s="548"/>
      <c r="KX99" s="548"/>
      <c r="KY99" s="548"/>
      <c r="KZ99" s="548"/>
      <c r="LA99" s="548"/>
      <c r="LB99" s="548"/>
      <c r="LC99" s="485" t="str">
        <f t="shared" si="902"/>
        <v/>
      </c>
      <c r="LD99" s="548"/>
      <c r="LE99" s="548"/>
      <c r="LF99" s="548"/>
      <c r="LG99" s="548"/>
      <c r="LH99" s="548"/>
      <c r="LI99" s="548"/>
      <c r="LJ99" s="548"/>
      <c r="LK99" s="548"/>
      <c r="LL99" s="548"/>
      <c r="LM99" s="548"/>
      <c r="LN99" s="548"/>
      <c r="LO99" s="548"/>
      <c r="LP99" s="485" t="str">
        <f t="shared" si="903"/>
        <v/>
      </c>
      <c r="LQ99" s="548"/>
      <c r="LR99" s="548"/>
      <c r="LS99" s="548"/>
      <c r="LT99" s="548"/>
      <c r="LU99" s="548"/>
      <c r="LV99" s="548"/>
      <c r="LW99" s="548"/>
      <c r="LX99" s="548"/>
      <c r="LY99" s="548"/>
      <c r="LZ99" s="548"/>
      <c r="MA99" s="548"/>
      <c r="MB99" s="548"/>
      <c r="MC99" s="485" t="str">
        <f t="shared" si="904"/>
        <v/>
      </c>
      <c r="MD99" s="548"/>
      <c r="ME99" s="548"/>
      <c r="MF99" s="548"/>
      <c r="MG99" s="548"/>
      <c r="MH99" s="548"/>
      <c r="MI99" s="548"/>
      <c r="MJ99" s="548"/>
      <c r="MK99" s="548"/>
      <c r="ML99" s="548"/>
      <c r="MM99" s="548"/>
      <c r="MN99" s="548"/>
      <c r="MO99" s="548"/>
      <c r="MP99" s="485" t="str">
        <f t="shared" si="905"/>
        <v/>
      </c>
      <c r="MQ99" s="548"/>
      <c r="MR99" s="548"/>
      <c r="MS99" s="548"/>
      <c r="MT99" s="548"/>
      <c r="MU99" s="548"/>
      <c r="MV99" s="548"/>
      <c r="MW99" s="548"/>
      <c r="MX99" s="548"/>
      <c r="MY99" s="548"/>
      <c r="MZ99" s="548"/>
      <c r="NA99" s="548"/>
      <c r="NB99" s="548"/>
      <c r="NC99" s="485" t="str">
        <f t="shared" si="906"/>
        <v/>
      </c>
      <c r="ND99" s="548"/>
      <c r="NE99" s="548"/>
      <c r="NF99" s="548"/>
      <c r="NG99" s="548"/>
      <c r="NH99" s="548"/>
      <c r="NI99" s="548"/>
      <c r="NJ99" s="548"/>
      <c r="NK99" s="548"/>
      <c r="NL99" s="548"/>
      <c r="NM99" s="548"/>
      <c r="NN99" s="548"/>
      <c r="NO99" s="548"/>
      <c r="NP99" s="485" t="str">
        <f t="shared" si="907"/>
        <v/>
      </c>
      <c r="NQ99" s="548"/>
      <c r="NR99" s="548"/>
      <c r="NS99" s="548"/>
      <c r="NT99" s="548"/>
      <c r="NU99" s="548"/>
      <c r="NV99" s="548"/>
      <c r="NW99" s="548"/>
      <c r="NX99" s="548"/>
      <c r="NY99" s="548"/>
      <c r="NZ99" s="548"/>
      <c r="OA99" s="548"/>
      <c r="OB99" s="548"/>
      <c r="OC99" s="485" t="str">
        <f t="shared" si="908"/>
        <v/>
      </c>
      <c r="OD99" s="548"/>
      <c r="OE99" s="548"/>
      <c r="OF99" s="548"/>
      <c r="OG99" s="548"/>
      <c r="OH99" s="548"/>
      <c r="OI99" s="548"/>
      <c r="OJ99" s="548"/>
      <c r="OK99" s="548"/>
      <c r="OL99" s="548"/>
      <c r="OM99" s="548"/>
      <c r="ON99" s="548"/>
      <c r="OO99" s="548"/>
      <c r="OP99" s="548"/>
      <c r="OQ99" s="548"/>
      <c r="OR99" s="548"/>
      <c r="OS99" s="548"/>
      <c r="OT99" s="548"/>
      <c r="OU99" s="548"/>
      <c r="OV99" s="548"/>
      <c r="OW99" s="548"/>
      <c r="OX99" s="548"/>
      <c r="OY99" s="548"/>
      <c r="OZ99" s="548"/>
      <c r="PA99" s="548"/>
      <c r="PB99" s="548"/>
      <c r="PC99" s="548"/>
      <c r="PD99" s="548"/>
      <c r="PE99" s="548"/>
      <c r="PF99" s="548"/>
      <c r="PG99" s="548"/>
      <c r="PH99" s="548"/>
      <c r="PI99" s="548"/>
      <c r="PJ99" s="548"/>
      <c r="PK99" s="548"/>
      <c r="PL99" s="548"/>
      <c r="PM99" s="548"/>
      <c r="PN99" s="548"/>
      <c r="PO99" s="548"/>
      <c r="PP99" s="548"/>
      <c r="PQ99" s="548"/>
      <c r="PR99" s="548"/>
      <c r="PS99" s="548"/>
      <c r="PT99" s="548"/>
      <c r="PU99" s="548"/>
      <c r="PV99" s="548"/>
      <c r="PW99" s="548"/>
      <c r="PX99" s="548"/>
      <c r="PY99" s="548"/>
      <c r="PZ99" s="548"/>
      <c r="QA99" s="548"/>
      <c r="QB99" s="548"/>
      <c r="QC99" s="548"/>
      <c r="QD99" s="548"/>
      <c r="QE99" s="548"/>
      <c r="QF99" s="548"/>
      <c r="QG99" s="548"/>
      <c r="QH99" s="548"/>
      <c r="QI99" s="548"/>
      <c r="QJ99" s="548"/>
      <c r="QK99" s="548"/>
      <c r="QL99" s="548"/>
      <c r="QM99" s="548"/>
      <c r="QN99" s="548"/>
      <c r="QO99" s="548"/>
      <c r="QP99" s="548"/>
      <c r="QQ99" s="1009"/>
      <c r="QR99" s="548"/>
      <c r="QS99" s="548"/>
      <c r="QT99" s="548"/>
      <c r="QU99" s="548"/>
      <c r="QV99" s="548"/>
      <c r="QW99" s="548"/>
      <c r="QX99" s="548"/>
      <c r="QY99" s="548"/>
      <c r="QZ99" s="548"/>
      <c r="RA99" s="548"/>
      <c r="RB99" s="548"/>
      <c r="RC99" s="548"/>
      <c r="RD99" s="548"/>
      <c r="RE99" s="548"/>
      <c r="RF99" s="548"/>
      <c r="RG99" s="548"/>
      <c r="RH99" s="548"/>
      <c r="RI99" s="548"/>
      <c r="RJ99" s="548"/>
      <c r="RK99" s="548"/>
      <c r="RL99" s="548"/>
      <c r="RM99" s="548"/>
      <c r="RN99" s="548"/>
      <c r="RO99" s="548"/>
      <c r="RP99" s="548"/>
      <c r="RQ99" s="548"/>
      <c r="RR99" s="548"/>
      <c r="RS99" s="548"/>
      <c r="RT99" s="548"/>
      <c r="RU99" s="548"/>
      <c r="RV99" s="548"/>
      <c r="RW99" s="548"/>
      <c r="RX99" s="548"/>
      <c r="RY99" s="548"/>
      <c r="RZ99" s="548"/>
      <c r="SA99" s="548"/>
      <c r="SB99" s="548"/>
      <c r="SC99" s="548"/>
      <c r="SD99" s="548"/>
      <c r="SE99" s="548"/>
      <c r="SF99" s="548"/>
      <c r="SG99" s="548"/>
      <c r="SH99" s="548"/>
      <c r="SI99" s="548"/>
      <c r="SJ99" s="548"/>
      <c r="SK99" s="548"/>
      <c r="SL99" s="548"/>
      <c r="SM99" s="548"/>
      <c r="SN99" s="548"/>
      <c r="SO99" s="548"/>
      <c r="SP99" s="548"/>
      <c r="SQ99" s="548"/>
      <c r="SR99" s="548"/>
      <c r="SS99" s="548"/>
      <c r="ST99" s="548"/>
      <c r="SU99" s="548"/>
      <c r="SV99" s="548"/>
      <c r="SW99" s="548"/>
      <c r="SX99" s="548"/>
      <c r="SY99" s="548"/>
      <c r="SZ99" s="548"/>
      <c r="TA99" s="548"/>
      <c r="TB99" s="548"/>
      <c r="TC99" s="548"/>
      <c r="TD99" s="548"/>
      <c r="TE99" s="548"/>
      <c r="TF99" s="548"/>
      <c r="TG99" s="548"/>
      <c r="TH99" s="548"/>
      <c r="TI99" s="548"/>
      <c r="TJ99" s="548"/>
      <c r="TK99" s="548"/>
      <c r="TL99" s="548"/>
      <c r="TM99" s="548"/>
      <c r="TN99" s="548"/>
      <c r="TO99" s="548"/>
      <c r="TP99" s="548"/>
      <c r="TQ99" s="548"/>
      <c r="TR99" s="548"/>
      <c r="TS99" s="548"/>
      <c r="TT99" s="548"/>
      <c r="TU99" s="548"/>
      <c r="TV99" s="548"/>
      <c r="TW99" s="548"/>
      <c r="TX99" s="548"/>
      <c r="TY99" s="548"/>
      <c r="TZ99" s="548"/>
      <c r="UA99" s="548"/>
      <c r="UB99" s="548"/>
      <c r="UC99" s="548"/>
      <c r="UD99" s="548"/>
      <c r="UE99" s="548"/>
      <c r="UF99" s="548"/>
      <c r="UG99" s="548"/>
      <c r="UH99" s="548"/>
      <c r="UI99" s="548"/>
      <c r="UJ99" s="548"/>
      <c r="UK99" s="548"/>
      <c r="UL99" s="548"/>
      <c r="UM99" s="548"/>
      <c r="UN99" s="548"/>
      <c r="UO99" s="548"/>
      <c r="UP99" s="548"/>
      <c r="UQ99" s="548"/>
      <c r="UR99" s="548"/>
      <c r="US99" s="548"/>
      <c r="UT99" s="548"/>
      <c r="UU99" s="548"/>
      <c r="UV99" s="548"/>
      <c r="UW99" s="548"/>
      <c r="UX99" s="548"/>
      <c r="UY99" s="548"/>
      <c r="UZ99" s="548"/>
      <c r="VA99" s="548"/>
      <c r="VB99" s="548"/>
      <c r="VC99" s="548"/>
      <c r="VD99" s="548"/>
      <c r="VE99" s="548"/>
      <c r="VF99" s="548"/>
      <c r="VG99" s="548"/>
      <c r="VH99" s="548"/>
      <c r="VI99" s="548"/>
      <c r="VJ99" s="548"/>
      <c r="VK99" s="548"/>
      <c r="VL99" s="548"/>
      <c r="VM99" s="548"/>
      <c r="VN99" s="548"/>
      <c r="VO99" s="548"/>
      <c r="VP99" s="548"/>
      <c r="VQ99" s="548"/>
      <c r="VR99" s="548"/>
      <c r="VS99" s="548"/>
      <c r="VT99" s="548"/>
      <c r="VU99" s="548"/>
      <c r="VV99" s="548"/>
      <c r="VW99" s="548"/>
      <c r="VX99" s="548"/>
      <c r="VY99" s="548"/>
      <c r="VZ99" s="548"/>
      <c r="WA99" s="548"/>
      <c r="WB99" s="548"/>
      <c r="WC99" s="548"/>
      <c r="WD99" s="548"/>
      <c r="WE99" s="548"/>
      <c r="WF99" s="548"/>
      <c r="WG99" s="548"/>
      <c r="WH99" s="548"/>
      <c r="WI99" s="548"/>
      <c r="WJ99" s="548"/>
      <c r="WK99" s="548"/>
      <c r="WL99" s="548"/>
      <c r="WM99" s="548"/>
      <c r="WN99" s="548"/>
      <c r="WO99" s="548"/>
      <c r="WP99" s="548"/>
      <c r="WQ99" s="548"/>
      <c r="WR99" s="548"/>
      <c r="WS99" s="548"/>
      <c r="WT99" s="548"/>
      <c r="WU99" s="548"/>
      <c r="WV99" s="548"/>
      <c r="WW99" s="548"/>
      <c r="WX99" s="548"/>
      <c r="WY99" s="548"/>
      <c r="WZ99" s="548"/>
      <c r="XA99" s="548"/>
      <c r="XB99" s="548"/>
      <c r="XC99" s="548"/>
      <c r="XD99" s="548"/>
      <c r="XE99" s="548"/>
      <c r="XF99" s="548"/>
      <c r="XG99" s="548"/>
      <c r="XH99" s="548"/>
      <c r="XI99" s="548"/>
      <c r="XJ99" s="548"/>
      <c r="XK99" s="548"/>
      <c r="XL99" s="548"/>
      <c r="XM99" s="548"/>
      <c r="XN99" s="548"/>
      <c r="XO99" s="548"/>
      <c r="XP99" s="548"/>
      <c r="XQ99" s="548"/>
      <c r="XR99" s="548"/>
      <c r="XS99" s="548"/>
      <c r="XT99" s="548"/>
      <c r="XU99" s="548"/>
      <c r="XV99" s="548"/>
      <c r="XW99" s="548"/>
      <c r="XX99" s="548"/>
      <c r="XY99" s="548"/>
      <c r="XZ99" s="548"/>
      <c r="YA99" s="548"/>
      <c r="YB99" s="548"/>
      <c r="YC99" s="548"/>
      <c r="YD99" s="548"/>
      <c r="YE99" s="548"/>
      <c r="YF99" s="548"/>
      <c r="YG99" s="548"/>
      <c r="YH99" s="548"/>
      <c r="YI99" s="548"/>
      <c r="YJ99" s="548"/>
      <c r="YK99" s="548"/>
      <c r="YL99" s="548"/>
      <c r="YM99" s="548"/>
      <c r="YN99" s="548"/>
      <c r="YO99" s="548"/>
      <c r="YP99" s="548"/>
      <c r="YQ99" s="548"/>
      <c r="YR99" s="548"/>
      <c r="YS99" s="548"/>
      <c r="YT99" s="548"/>
      <c r="YU99" s="548"/>
      <c r="YV99" s="548"/>
      <c r="YW99" s="548"/>
      <c r="YX99" s="548"/>
      <c r="YY99" s="548"/>
      <c r="YZ99" s="548"/>
      <c r="ZA99" s="548"/>
      <c r="ZB99" s="548"/>
      <c r="ZC99" s="548"/>
      <c r="ZD99" s="548"/>
      <c r="ZE99" s="548"/>
      <c r="ZF99" s="548"/>
      <c r="ZG99" s="548"/>
      <c r="ZH99" s="548"/>
      <c r="ZI99" s="548"/>
      <c r="ZJ99" s="548"/>
      <c r="ZK99" s="548"/>
      <c r="ZL99" s="548"/>
      <c r="ZM99" s="548"/>
      <c r="ZN99" s="548"/>
      <c r="ZO99" s="548"/>
      <c r="ZP99" s="548"/>
      <c r="ZQ99" s="548"/>
      <c r="ZR99" s="548"/>
      <c r="ZS99" s="548"/>
      <c r="ZT99" s="548"/>
      <c r="ZU99" s="548"/>
      <c r="ZV99" s="548"/>
      <c r="ZW99" s="548"/>
      <c r="ZX99" s="548"/>
      <c r="ZY99" s="548"/>
      <c r="ZZ99" s="548"/>
      <c r="AAA99" s="548"/>
      <c r="AAB99" s="548"/>
      <c r="AAC99" s="548"/>
      <c r="AAD99" s="548"/>
      <c r="AAE99" s="548"/>
      <c r="AAF99" s="548"/>
      <c r="AAG99" s="548"/>
      <c r="AAH99" s="548"/>
      <c r="AAI99" s="548"/>
      <c r="AAJ99" s="548"/>
      <c r="AAK99" s="548"/>
      <c r="AAL99" s="548"/>
      <c r="AAM99" s="548"/>
      <c r="AAN99" s="548"/>
      <c r="AAO99" s="548"/>
      <c r="AAP99" s="548"/>
      <c r="AAQ99" s="548"/>
      <c r="AAR99" s="548"/>
      <c r="AAS99" s="548"/>
      <c r="AAT99" s="548"/>
      <c r="AAU99" s="548"/>
      <c r="AAV99" s="548"/>
      <c r="AAW99" s="548"/>
      <c r="AAX99" s="548"/>
      <c r="AAY99" s="548"/>
      <c r="AAZ99" s="548"/>
      <c r="ABA99" s="548"/>
      <c r="ABB99" s="548"/>
      <c r="ABC99" s="548"/>
      <c r="ABD99" s="548"/>
      <c r="ABE99" s="548"/>
      <c r="ABF99" s="548"/>
      <c r="ABG99" s="548"/>
      <c r="ABH99" s="548"/>
      <c r="ABI99" s="548"/>
      <c r="ABJ99" s="548"/>
      <c r="ABK99" s="548"/>
      <c r="ABL99" s="548"/>
      <c r="ABM99" s="548"/>
      <c r="ABN99" s="548"/>
      <c r="ABO99" s="548"/>
      <c r="ABP99" s="548"/>
      <c r="ABQ99" s="548"/>
      <c r="ABR99" s="548"/>
      <c r="ABS99" s="548"/>
    </row>
    <row r="100" spans="1:747" customFormat="1" ht="15" customHeight="1" thickBot="1" x14ac:dyDescent="0.25">
      <c r="A100" s="424" t="str">
        <f t="shared" si="909"/>
        <v/>
      </c>
      <c r="B100" s="415"/>
      <c r="C100" s="525"/>
      <c r="D100" s="750"/>
      <c r="E100" s="416" t="str">
        <f t="shared" ref="E100:E131" si="1171">IF(G100="","",IF(G100=$G$206,"",IF(OR(G100=$G$202,G100=$G$210,G100=$G$213),$E$201,$E$202)))</f>
        <v/>
      </c>
      <c r="F100" s="527" t="str">
        <f t="shared" ref="F100:F131" si="1172">IF(G100="","",IF(OR(G100=$G$201,G100=$G$202,G100=$G$203,G100=$G$204,G100=$G$206,G100=$G$210,G100=$G$211,G100=$G$212,G100=$G$213),"",IF(OR(G100=$G$205,G100=$G$209,G100=$G$214,G100=$G$216,G100=$G$217),$F$202,IF(OR(G100=$G$207,G100=$G$208,G100=$G$215),$F$201))))</f>
        <v/>
      </c>
      <c r="G100" s="417"/>
      <c r="H100" s="585" t="str">
        <f t="shared" ref="H100:H131" si="1173">IF(AND(E100="",F100="",G100=""),"",IF(AND(E100="",F100="",G100=$G$226),$M$164,IF(AND(E100&lt;&gt;"",F100="",G100&lt;&gt;""),E100&amp;" - "&amp;G100&amp;" - "&amp;M100,IF(AND(E100&lt;&gt;"",F100&lt;&gt;"",G100=""),E100&amp;" - "&amp;F100&amp;" - "&amp;M100,IF(AND(E100&lt;&gt;"",F100&lt;&gt;"",G100&lt;&gt;""),E100&amp;" - "&amp;F100&amp;" - "&amp;G100&amp;" - "&amp;M100)))))</f>
        <v/>
      </c>
      <c r="I100" s="424"/>
      <c r="J100" s="419"/>
      <c r="K100" s="418"/>
      <c r="L100" s="419"/>
      <c r="M100" s="415"/>
      <c r="N100" s="420"/>
      <c r="O100" s="421"/>
      <c r="P100" s="561"/>
      <c r="Q100" s="422"/>
      <c r="R100" s="561" t="str">
        <f t="shared" ref="R100:R131" si="1174">IF(P100="","",P100)</f>
        <v/>
      </c>
      <c r="S100" s="664"/>
      <c r="T100" s="663"/>
      <c r="U100" s="580">
        <f t="shared" ref="U100:U131" si="1175">IFERROR(IF(S100+T100=0,0,1),$KG$11)</f>
        <v>0</v>
      </c>
      <c r="V100" s="418"/>
      <c r="W100" s="582" t="str">
        <f t="shared" ref="W100:W131" si="1176">IF($S100="","",IF($S100&gt;=0.01,$DC100))</f>
        <v/>
      </c>
      <c r="X100" s="479" t="str">
        <f t="shared" ref="X100:X131" si="1177">TRIM(IF(W100="","",H100&amp;" - "&amp;M100))</f>
        <v/>
      </c>
      <c r="Y100" s="582" t="str">
        <f t="shared" ref="Y100:Y131" si="1178">IF($T100="","",IF($T100&gt;=0.01,$DD100))</f>
        <v/>
      </c>
      <c r="Z100" s="317" t="str">
        <f t="shared" ref="Z100:Z131" si="1179">TRIM(IF(Y100="","",H100&amp;" - "&amp;M100))</f>
        <v/>
      </c>
      <c r="AA100" s="317" t="str">
        <f t="shared" ref="AA100:AA131" si="1180">IF(V100=$V$164,T100,"")</f>
        <v/>
      </c>
      <c r="AB100" s="317">
        <f t="shared" ref="AB100:AB131" si="1181">IF(AA100=0,S100,S100+T100)</f>
        <v>0</v>
      </c>
      <c r="AC100" s="317" t="str">
        <f t="shared" ref="AC100:AC131" si="1182">IF(V100="","",IF(V100=$V$165,"",IF(AND(V100=$V$164,S100&gt;0,T100&gt;0),$U$164,IF(AND(V100=$V$164,S100&gt;0,T100=""),$S$164,IF(AND(V100=$V$164,S100="",T100&gt;0),$T$164)))))</f>
        <v/>
      </c>
      <c r="AD100" s="479"/>
      <c r="AE100" s="479"/>
      <c r="AF100" s="479"/>
      <c r="AG100" s="423"/>
      <c r="AH100" s="820"/>
      <c r="AI100" s="437"/>
      <c r="AJ100" s="660"/>
      <c r="AK100" s="524" t="str">
        <f t="shared" ref="AK100:AK131" si="1183">IF(AND(KJ100="",KK100=""),"",IF(AND(KJ100=$KJ$3,KK100=$KK$3),$KF$2,IF(AND(KJ100&lt;&gt;$KJ$3,KK100&lt;&gt;$KK$3),KJ100&amp;" - "&amp;KK100,IF(AND(KJ100=$KJ$3,KK100&lt;&gt;$KK$3),KK100,IF(AND(KJ100&lt;&gt;$KJ$3,KK100=$KK$3),KJ100)))))</f>
        <v/>
      </c>
      <c r="AL100" s="1956" t="s">
        <v>12267</v>
      </c>
      <c r="AM100" s="1957"/>
      <c r="AN100" s="426">
        <f t="shared" ref="AN100:AN131" si="1184">IF(AO100&lt;&gt;"",1,0)</f>
        <v>0</v>
      </c>
      <c r="AO100" s="427" t="str">
        <f t="shared" ref="AO100:AO131" si="1185">IF(AP100&lt;&gt;"",ROW(AP100)-3,"")</f>
        <v/>
      </c>
      <c r="AP100" s="426" t="str">
        <f t="shared" ref="AP100:AP131" si="1186">IF(AQ100="Recibo","R",IF(AQ100="Cupom Fisc.","CF",IF(AQ100="N.F. Serv.","NFS",IF(AQ100="Nota Fiscal","NF",""))))</f>
        <v/>
      </c>
      <c r="AQ100" s="426"/>
      <c r="AR100" s="426"/>
      <c r="AS100" s="428"/>
      <c r="AT100" s="429"/>
      <c r="AU100" s="430"/>
      <c r="AV100" s="431"/>
      <c r="AW100" s="432"/>
      <c r="AX100" s="430"/>
      <c r="AY100" s="431">
        <f t="shared" ref="AY100:AY131" si="1187">(AV100*AW100)</f>
        <v>0</v>
      </c>
      <c r="AZ100" s="426"/>
      <c r="BA100" s="435" t="str">
        <f t="shared" ref="BA100:BA131" si="1188">TRIM(M100)</f>
        <v/>
      </c>
      <c r="BB100" s="435"/>
      <c r="BC100" s="426"/>
      <c r="BD100" s="426">
        <f t="array" ref="BD100">IF(SUM((BC100=$BC$3:BC99)*1)=0,BC100,0)</f>
        <v>0</v>
      </c>
      <c r="BE100" s="426"/>
      <c r="BF100" s="426"/>
      <c r="BG100" s="426">
        <f t="array" ref="BG100">IF(SUM((BF100=$BF$3:BF99)*1)=0,BF100,0)</f>
        <v>0</v>
      </c>
      <c r="BH100" s="426"/>
      <c r="BI100" s="426"/>
      <c r="BJ100" s="426"/>
      <c r="BK100" s="426"/>
      <c r="BL100" s="426"/>
      <c r="BM100" s="426"/>
      <c r="BN100" s="426"/>
      <c r="BO100" s="426"/>
      <c r="BP100" s="433">
        <f t="shared" ref="BP100:BP131" si="1189">IF(S100="",T100,S100)</f>
        <v>0</v>
      </c>
      <c r="BQ100" s="426"/>
      <c r="BR100" s="434"/>
      <c r="BS100" s="426"/>
      <c r="BT100" s="433"/>
      <c r="BU100" s="435"/>
      <c r="BV100" s="435" t="str">
        <f t="shared" ref="BV100:BV131" si="1190">TRIM(IF($J100="","",B100))</f>
        <v/>
      </c>
      <c r="BW100" s="435" t="str">
        <f t="shared" si="798"/>
        <v/>
      </c>
      <c r="BX100" s="435"/>
      <c r="BY100" s="435"/>
      <c r="BZ100" s="435"/>
      <c r="CA100" s="435"/>
      <c r="CB100" s="435"/>
      <c r="CC100" s="435"/>
      <c r="CD100" s="435"/>
      <c r="CE100" s="435"/>
      <c r="CF100" s="435"/>
      <c r="CG100" s="435"/>
      <c r="CH100" s="435"/>
      <c r="CI100" s="435"/>
      <c r="CJ100" s="426" t="str">
        <f t="shared" si="799"/>
        <v/>
      </c>
      <c r="CK100" s="435"/>
      <c r="CL100" s="426"/>
      <c r="CM100" s="435"/>
      <c r="CN100" s="426"/>
      <c r="CO100" s="426"/>
      <c r="CP100" s="426"/>
      <c r="CQ100" s="426"/>
      <c r="CR100" s="426"/>
      <c r="CS100" s="426"/>
      <c r="CT100" s="426"/>
      <c r="CU100" s="426"/>
      <c r="CV100" s="426"/>
      <c r="CW100" s="493"/>
      <c r="CX100" s="493"/>
      <c r="CY100" s="426">
        <v>97</v>
      </c>
      <c r="CZ100" s="493"/>
      <c r="DA100" s="493"/>
      <c r="DB100" s="493"/>
      <c r="DC100" s="426" t="s">
        <v>840</v>
      </c>
      <c r="DD100" s="426" t="s">
        <v>1000</v>
      </c>
      <c r="DE100" s="435" t="str">
        <f t="shared" si="800"/>
        <v/>
      </c>
      <c r="DF100" s="435" t="str">
        <f t="shared" si="801"/>
        <v/>
      </c>
      <c r="DG100" s="435" t="str">
        <f t="shared" si="802"/>
        <v/>
      </c>
      <c r="DH100" s="435" t="str">
        <f t="shared" si="803"/>
        <v/>
      </c>
      <c r="DI100" s="435" t="str">
        <f t="shared" si="804"/>
        <v/>
      </c>
      <c r="DJ100" s="435" t="str">
        <f t="shared" si="805"/>
        <v/>
      </c>
      <c r="DK100" s="435" t="str">
        <f t="shared" ref="DK100:DK131" si="1191">IF(AND($E100="capital",$J100="Volta Aulas",$T100="",$S100&gt;0),$S100,IF(AND($E100="capital",$J100="Volta Aulas",$T100&gt;=0,$S100&gt;0),$S100,IF(AND($E100="capital",$J100="Volta Aulas",$T100&lt;=0,$S100&gt;0),$S100,"")))</f>
        <v/>
      </c>
      <c r="DL100" s="435" t="str">
        <f t="shared" ref="DL100:DL131" si="1192">IF(AND($E100="custeio",$J100="Volta Aulas",$S100="",$T100&gt;0),$T100,IF(AND($E100="custeio",$J100="Volta Aulas",$S100&gt;=0,$T100&gt;0),$T100,IF(AND($E100="custeio",$J100="Volta Aulas",$S100&lt;=0,$T100&gt;0),$T100,"")))</f>
        <v/>
      </c>
      <c r="DM100" s="435" t="str">
        <f t="shared" si="806"/>
        <v/>
      </c>
      <c r="DN100" s="435" t="str">
        <f t="shared" si="807"/>
        <v/>
      </c>
      <c r="DO100" s="435" t="str">
        <f t="shared" ref="DO100:DO131" si="1193">IF(AND($E100="capital",$J100="Futuro",$T100="",$S100&gt;0),$S100,IF(AND($E100="capital",$J100="Futuro",$T100&gt;=0,$S100&gt;0),$S100,IF(AND($E100="capital",$J100="Futuro",$T100&lt;=0,$S100&gt;0),$S100,"")))</f>
        <v/>
      </c>
      <c r="DP100" s="435" t="str">
        <f t="shared" ref="DP100:DP131" si="1194">IF(AND($E100="custeio",$J100="Futuro",$S100="",$T100&gt;0),$T100,IF(AND($E100="custeio",$J100="Futuro",$S100&gt;=0,$T100&gt;0),$T100,IF(AND($E100="custeio",$J100="Futuro",$S100&lt;=0,$T100&gt;0),$T100,"")))</f>
        <v/>
      </c>
      <c r="DQ100" s="435" t="str">
        <f t="shared" si="808"/>
        <v/>
      </c>
      <c r="DR100" s="435" t="str">
        <f t="shared" si="809"/>
        <v/>
      </c>
      <c r="DS100" s="435" t="str">
        <f t="shared" ref="DS100:DS131" si="1195">IF(AND($E100="capital",$J100="Rolê",$T100="",$S100&gt;0),$S100,IF(AND($E100="capital",$J100="Rolê",$T100&gt;=0,$S100&gt;0),$S100,IF(AND($E100="capital",$J100="Rolê",$T100&lt;=0,$S100&gt;0),$S100,"")))</f>
        <v/>
      </c>
      <c r="DT100" s="435" t="str">
        <f t="shared" ref="DT100:DT131" si="1196">IF(AND($E100="custeio",$J100="Rolê",$S100="",$T100&gt;0),$T100,IF(AND($E100="custeio",$J100="Rolê",$S100&gt;=0,$T100&gt;0),$T100,IF(AND($E100="custeio",$J100="Rolê",$S100&lt;=0,$T100&gt;0),$T100,"")))</f>
        <v/>
      </c>
      <c r="DU100" s="435" t="str">
        <f t="shared" si="810"/>
        <v/>
      </c>
      <c r="DV100" s="435" t="str">
        <f t="shared" si="811"/>
        <v/>
      </c>
      <c r="DW100" s="435" t="str">
        <f t="shared" ref="DW100:DW131" si="1197">IF(AND($E100="capital",$J100="Imprensa",$T100="",$S100&gt;0),$S100,IF(AND($E100="capital",$J100="Imprensa",$T100&gt;=0,$S100&gt;0),$S100,IF(AND($E100="capital",$J100="Imprensa",$T100&lt;=0,$S100&gt;0),$S100,"")))</f>
        <v/>
      </c>
      <c r="DX100" s="435" t="str">
        <f t="shared" ref="DX100:DX131" si="1198">IF(AND($E100="custeio",$J100="Imprensa",$S100="",$T100&gt;0),$T100,IF(AND($E100="custeio",$J100="Imprensa",$S100&gt;=0,$T100&gt;0),$T100,IF(AND($E100="custeio",$J100="Imprensa",$S100&lt;=0,$T100&gt;0),$T100,"")))</f>
        <v/>
      </c>
      <c r="DY100" s="435" t="str">
        <f t="shared" si="812"/>
        <v/>
      </c>
      <c r="DZ100" s="435" t="str">
        <f t="shared" si="813"/>
        <v/>
      </c>
      <c r="EA100" s="435" t="str">
        <f t="shared" ref="EA100:EA131" si="1199">IF(AND($E100="capital",$J100="Grêmio",$T100="",$S100&gt;0),$S100,IF(AND($E100="capital",$J100="Grêmio",$T100&gt;=0,$S100&gt;0),$S100,IF(AND($E100="capital",$J100="Grêmio",$T100&lt;=0,$S100&gt;0),$S100,"")))</f>
        <v/>
      </c>
      <c r="EB100" s="435" t="str">
        <f t="shared" ref="EB100:EB131" si="1200">IF(AND($E100="custeio",$J100="Grêmio",$S100="",$T100&gt;0),$T100,IF(AND($E100="custeio",$J100="Grêmio",$S100&gt;=0,$T100&gt;0),$T100,IF(AND($E100="custeio",$J100="Grêmio",$S100&lt;=0,$T100&gt;0),$T100,"")))</f>
        <v/>
      </c>
      <c r="EC100" s="435" t="str">
        <f t="shared" ref="EC100:EC131" si="1201">IF(AND($E100="Capital",$J100="Formação",$S100&gt;=0.01),$EA$2,"")</f>
        <v/>
      </c>
      <c r="ED100" s="435" t="str">
        <f t="shared" ref="ED100:ED131" si="1202">IF(AND($E100="Custeio",$J100="Formação",$T100&gt;=0.01),$EA$3,"")</f>
        <v/>
      </c>
      <c r="EE100" s="435" t="str">
        <f t="shared" ref="EE100:EE131" si="1203">IF(AND($E100="capital",$J100="Formação",$T100="",$S100&gt;0),$S100,IF(AND($E100="capital",$J100="Formação",$T100&gt;=0,$S100&gt;0),$S100,IF(AND($E100="capital",$J100="Formação",$T100&lt;=0,$S100&gt;0),$S100,"")))</f>
        <v/>
      </c>
      <c r="EF100" s="435" t="str">
        <f t="shared" ref="EF100:EF131" si="1204">IF(AND($E100="custeio",$J100="Formação",$S100="",$T100&gt;0),$T100,IF(AND($E100="custeio",$J100="Formação",$S100&gt;=0,$T100&gt;0),$T100,IF(AND($E100="custeio",$J100="Formação",$S100&lt;=0,$T100&gt;0),$T100,"")))</f>
        <v/>
      </c>
      <c r="EG100" s="435" t="str">
        <f t="shared" ref="EG100:EG131" si="1205">IF(AND($E100="Capital",$J100="Mais Escola",$S100&gt;=0.01),$EA$2,"")</f>
        <v/>
      </c>
      <c r="EH100" s="435" t="str">
        <f t="shared" ref="EH100:EH131" si="1206">IF(AND($E100="Custeio",$J100="Mais Escola",$T100&gt;=0.01),$EA$3,"")</f>
        <v/>
      </c>
      <c r="EI100" s="435" t="str">
        <f t="shared" ref="EI100:EI131" si="1207">IF(AND($E100="capital",$J100="Mais Escola",$T100="",$S100&gt;0),$S100,IF(AND($E100="capital",$J100="Mais Escola",$T100&gt;=0,$S100&gt;0),$S100,IF(AND($E100="capital",$J100="Mais Escola",$T100&lt;=0,$S100&gt;0),$S100,"")))</f>
        <v/>
      </c>
      <c r="EJ100" s="435" t="str">
        <f t="shared" ref="EJ100:EJ131" si="1208">IF(AND($E100="custeio",$J100="Mais Escola",$S100="",$T100&gt;0),$T100,IF(AND($E100="custeio",$J100="Mais Escola",$S100&gt;=0,$T100&gt;0),$T100,IF(AND($E100="custeio",$J100="Mais Escola",$S100&lt;=0,$T100&gt;0),$T100,"")))</f>
        <v/>
      </c>
      <c r="EK100" s="485"/>
      <c r="EL100" s="485"/>
      <c r="EM100" s="485"/>
      <c r="EN100" s="485"/>
      <c r="EO100" s="448"/>
      <c r="EP100" s="448"/>
      <c r="EQ100" s="448"/>
      <c r="ER100" s="448"/>
      <c r="ES100" s="448"/>
      <c r="ET100" s="435"/>
      <c r="EU100" s="435"/>
      <c r="EV100" s="435"/>
      <c r="EW100" s="435"/>
      <c r="EX100" s="426"/>
      <c r="EY100" s="426"/>
      <c r="EZ100" s="426"/>
      <c r="FA100" s="863"/>
      <c r="FB100" s="427">
        <f t="array" ref="FB100">IF(SUM((FA100=$FA$3:FA99)*1)=0,FA100,0)</f>
        <v>0</v>
      </c>
      <c r="FC100" s="863"/>
      <c r="FD100" s="863"/>
      <c r="FE100" s="863">
        <f t="array" ref="FE100">IF(SUM((FD100=$FD$3:FD99)*1)=0,FD100,0)</f>
        <v>0</v>
      </c>
      <c r="FF100" s="863"/>
      <c r="FG100" s="863"/>
      <c r="FH100" s="863"/>
      <c r="FI100" s="427">
        <f t="array" ref="FI100">IF(SUM((FH100=$FH$3:FH99)*1)=0,FH100,0)</f>
        <v>0</v>
      </c>
      <c r="FJ100" s="863"/>
      <c r="FK100" s="863"/>
      <c r="FL100" s="863">
        <f t="array" ref="FL100">IF(SUM((FK100=$FK$3:FK99)*1)=0,FK100,0)</f>
        <v>0</v>
      </c>
      <c r="FM100" s="863"/>
      <c r="FN100" s="863"/>
      <c r="FO100" s="863"/>
      <c r="FP100" s="427">
        <f t="array" ref="FP100">IF(SUM((FO100=$FO$3:FO99)*1)=0,FO100,0)</f>
        <v>0</v>
      </c>
      <c r="FQ100" s="863"/>
      <c r="FR100" s="863"/>
      <c r="FS100" s="863">
        <f t="array" ref="FS100">IF(SUM((FR100=$FR$3:FR99)*1)=0,FR100,0)</f>
        <v>0</v>
      </c>
      <c r="FT100" s="863"/>
      <c r="FU100" s="863"/>
      <c r="FV100" s="863"/>
      <c r="FW100" s="427">
        <f t="array" ref="FW100">IF(SUM((FV100=$FV$3:FV99)*1)=0,FV100,0)</f>
        <v>0</v>
      </c>
      <c r="FX100" s="863"/>
      <c r="FY100" s="863"/>
      <c r="FZ100" s="863">
        <f t="array" ref="FZ100">IF(SUM((FY100=$FY$3:FY99)*1)=0,FY100,0)</f>
        <v>0</v>
      </c>
      <c r="GA100" s="863"/>
      <c r="GB100" s="863"/>
      <c r="GC100" s="863"/>
      <c r="GD100" s="427">
        <f t="array" ref="GD100">IF(SUM((GC100=$GC$3:GC99)*1)=0,GC100,0)</f>
        <v>0</v>
      </c>
      <c r="GE100" s="863"/>
      <c r="GF100" s="863"/>
      <c r="GG100" s="863">
        <f t="array" ref="GG100">IF(SUM((GF100=$GF$3:GF99)*1)=0,GF100,0)</f>
        <v>0</v>
      </c>
      <c r="GH100" s="863"/>
      <c r="GI100" s="863"/>
      <c r="GJ100" s="863"/>
      <c r="GK100" s="798">
        <f t="array" ref="GK100">IF(SUM((GJ100=$GJ$3:GJ99)*1)=0,GJ100,0)</f>
        <v>0</v>
      </c>
      <c r="GL100" s="863"/>
      <c r="GM100" s="863"/>
      <c r="GN100" s="798">
        <f t="array" ref="GN100">IF(SUM((GM100=$GM$3:GM99)*1)=0,GM100,0)</f>
        <v>0</v>
      </c>
      <c r="GO100" s="863"/>
      <c r="GP100" s="863"/>
      <c r="GQ100" s="863"/>
      <c r="GR100" s="798">
        <f t="array" ref="GR100">IF(SUM((GQ100=$GQ$3:GQ99)*1)=0,GQ100,0)</f>
        <v>0</v>
      </c>
      <c r="GS100" s="863"/>
      <c r="GT100" s="863"/>
      <c r="GU100" s="798">
        <f t="array" ref="GU100">IF(SUM((GT100=$GT$3:GT99)*1)=0,GT100,0)</f>
        <v>0</v>
      </c>
      <c r="GV100" s="863"/>
      <c r="GW100" s="863"/>
      <c r="GX100" s="863"/>
      <c r="GY100" s="798">
        <f t="array" ref="GY100">IF(SUM((GX100=$GX$3:GX99)*1)=0,GX100,0)</f>
        <v>0</v>
      </c>
      <c r="GZ100" s="863"/>
      <c r="HA100" s="863"/>
      <c r="HB100" s="798">
        <f t="array" ref="HB100">IF(SUM((HA100=$HA$3:HA99)*1)=0,HA100,0)</f>
        <v>0</v>
      </c>
      <c r="HC100" s="863"/>
      <c r="HD100" s="863"/>
      <c r="HE100" s="769" t="str">
        <f t="shared" si="889"/>
        <v/>
      </c>
      <c r="HF100" s="768" t="str">
        <f t="shared" ref="HF100" si="1209">IF(HE100&lt;0,"Invadiu REP-BA-C","")</f>
        <v/>
      </c>
      <c r="HG100" s="769" t="str">
        <f t="shared" si="891"/>
        <v/>
      </c>
      <c r="HH100" s="768" t="str">
        <f t="shared" si="815"/>
        <v/>
      </c>
      <c r="HI100" s="728" t="str">
        <f t="shared" si="892"/>
        <v/>
      </c>
      <c r="HJ100" s="768" t="str">
        <f t="shared" si="816"/>
        <v/>
      </c>
      <c r="HK100" s="728" t="str">
        <f t="shared" si="893"/>
        <v/>
      </c>
      <c r="HL100" s="768" t="str">
        <f t="shared" si="817"/>
        <v/>
      </c>
      <c r="HM100" s="769" t="str">
        <f t="shared" si="818"/>
        <v/>
      </c>
      <c r="HN100" s="768" t="str">
        <f t="shared" ref="HN100" si="1210">IF(HM100&lt;0,"Invadiu REP-BA-C","")</f>
        <v/>
      </c>
      <c r="HO100" s="769" t="str">
        <f t="shared" si="820"/>
        <v/>
      </c>
      <c r="HP100" s="768" t="str">
        <f t="shared" si="821"/>
        <v/>
      </c>
      <c r="HQ100" s="728" t="str">
        <f t="shared" si="822"/>
        <v/>
      </c>
      <c r="HR100" s="768" t="str">
        <f t="shared" si="823"/>
        <v/>
      </c>
      <c r="HS100" s="728" t="str">
        <f t="shared" si="824"/>
        <v/>
      </c>
      <c r="HT100" s="768" t="str">
        <f t="shared" si="825"/>
        <v/>
      </c>
      <c r="HU100" s="769" t="str">
        <f t="shared" si="826"/>
        <v/>
      </c>
      <c r="HV100" s="768" t="str">
        <f t="shared" ref="HV100" si="1211">IF(HU100&lt;0,"Invadiu REP-BA-C","")</f>
        <v/>
      </c>
      <c r="HW100" s="769" t="str">
        <f t="shared" si="828"/>
        <v/>
      </c>
      <c r="HX100" s="768" t="str">
        <f t="shared" si="829"/>
        <v/>
      </c>
      <c r="HY100" s="728" t="str">
        <f t="shared" si="830"/>
        <v/>
      </c>
      <c r="HZ100" s="768" t="str">
        <f t="shared" si="831"/>
        <v/>
      </c>
      <c r="IA100" s="728" t="str">
        <f t="shared" si="832"/>
        <v/>
      </c>
      <c r="IB100" s="768" t="str">
        <f t="shared" si="833"/>
        <v/>
      </c>
      <c r="IC100" s="769" t="str">
        <f t="shared" si="834"/>
        <v/>
      </c>
      <c r="ID100" s="768" t="str">
        <f t="shared" ref="ID100" si="1212">IF(IC100&lt;0,"Invadiu REP-BA-C","")</f>
        <v/>
      </c>
      <c r="IE100" s="769" t="str">
        <f t="shared" si="836"/>
        <v/>
      </c>
      <c r="IF100" s="768" t="str">
        <f t="shared" si="837"/>
        <v/>
      </c>
      <c r="IG100" s="728" t="str">
        <f t="shared" si="838"/>
        <v/>
      </c>
      <c r="IH100" s="768" t="str">
        <f t="shared" si="839"/>
        <v/>
      </c>
      <c r="II100" s="728" t="str">
        <f t="shared" si="840"/>
        <v/>
      </c>
      <c r="IJ100" s="768" t="str">
        <f t="shared" si="841"/>
        <v/>
      </c>
      <c r="IK100" s="769" t="str">
        <f t="shared" si="842"/>
        <v/>
      </c>
      <c r="IL100" s="768" t="str">
        <f t="shared" ref="IL100" si="1213">IF(IK100&lt;0,"Invadiu REP-BA-C","")</f>
        <v/>
      </c>
      <c r="IM100" s="769" t="str">
        <f t="shared" si="844"/>
        <v/>
      </c>
      <c r="IN100" s="768" t="str">
        <f t="shared" si="845"/>
        <v/>
      </c>
      <c r="IO100" s="728" t="str">
        <f t="shared" si="846"/>
        <v/>
      </c>
      <c r="IP100" s="768" t="str">
        <f t="shared" si="847"/>
        <v/>
      </c>
      <c r="IQ100" s="728" t="str">
        <f t="shared" si="848"/>
        <v/>
      </c>
      <c r="IR100" s="768" t="str">
        <f t="shared" si="849"/>
        <v/>
      </c>
      <c r="IS100" s="769" t="str">
        <f t="shared" si="850"/>
        <v/>
      </c>
      <c r="IT100" s="768" t="str">
        <f t="shared" ref="IT100" si="1214">IF(IS100&lt;0,"Invadiu REP-BA-C","")</f>
        <v/>
      </c>
      <c r="IU100" s="769" t="str">
        <f t="shared" si="852"/>
        <v/>
      </c>
      <c r="IV100" s="768" t="str">
        <f t="shared" si="853"/>
        <v/>
      </c>
      <c r="IW100" s="728" t="str">
        <f t="shared" si="854"/>
        <v/>
      </c>
      <c r="IX100" s="768" t="str">
        <f t="shared" si="855"/>
        <v/>
      </c>
      <c r="IY100" s="728" t="str">
        <f t="shared" si="856"/>
        <v/>
      </c>
      <c r="IZ100" s="768" t="str">
        <f t="shared" si="857"/>
        <v/>
      </c>
      <c r="JA100" s="769" t="str">
        <f t="shared" si="858"/>
        <v/>
      </c>
      <c r="JB100" s="768" t="str">
        <f t="shared" ref="JB100" si="1215">IF(JA100&lt;0,"Invadiu REP-BA-C","")</f>
        <v/>
      </c>
      <c r="JC100" s="769" t="str">
        <f t="shared" si="860"/>
        <v/>
      </c>
      <c r="JD100" s="768" t="str">
        <f t="shared" si="861"/>
        <v/>
      </c>
      <c r="JE100" s="728" t="str">
        <f t="shared" si="862"/>
        <v/>
      </c>
      <c r="JF100" s="768" t="str">
        <f t="shared" si="863"/>
        <v/>
      </c>
      <c r="JG100" s="728" t="str">
        <f t="shared" si="864"/>
        <v/>
      </c>
      <c r="JH100" s="768" t="str">
        <f t="shared" si="865"/>
        <v/>
      </c>
      <c r="JI100" s="769" t="str">
        <f t="shared" si="866"/>
        <v/>
      </c>
      <c r="JJ100" s="768" t="str">
        <f t="shared" ref="JJ100" si="1216">IF(JI100&lt;0,"Invadiu REP-BA-C","")</f>
        <v/>
      </c>
      <c r="JK100" s="769" t="str">
        <f t="shared" si="868"/>
        <v/>
      </c>
      <c r="JL100" s="768" t="str">
        <f t="shared" si="869"/>
        <v/>
      </c>
      <c r="JM100" s="728" t="str">
        <f t="shared" si="870"/>
        <v/>
      </c>
      <c r="JN100" s="768" t="str">
        <f t="shared" si="871"/>
        <v/>
      </c>
      <c r="JO100" s="728" t="str">
        <f t="shared" si="872"/>
        <v/>
      </c>
      <c r="JP100" s="768" t="str">
        <f t="shared" si="873"/>
        <v/>
      </c>
      <c r="JQ100" s="769" t="str">
        <f t="shared" si="874"/>
        <v/>
      </c>
      <c r="JR100" s="768" t="str">
        <f t="shared" ref="JR100" si="1217">IF(JQ100&lt;0,"Invadiu REP-BA-C","")</f>
        <v/>
      </c>
      <c r="JS100" s="769" t="str">
        <f t="shared" si="876"/>
        <v/>
      </c>
      <c r="JT100" s="768" t="str">
        <f t="shared" si="877"/>
        <v/>
      </c>
      <c r="JU100" s="728" t="str">
        <f t="shared" si="878"/>
        <v/>
      </c>
      <c r="JV100" s="768" t="str">
        <f t="shared" si="879"/>
        <v/>
      </c>
      <c r="JW100" s="728" t="str">
        <f t="shared" si="880"/>
        <v/>
      </c>
      <c r="JX100" s="768" t="str">
        <f t="shared" si="881"/>
        <v/>
      </c>
      <c r="JY100" s="768" t="str">
        <f t="shared" si="882"/>
        <v/>
      </c>
      <c r="JZ100" s="485" t="str">
        <f>IF(JY100="","",IF(AND(C100=$C$164,JY100&lt;&gt;""),Verificarcpf(D100),IF(AND(C100=$C$165,JY100&lt;&gt;""),VerificarCNPJ(D100))))</f>
        <v/>
      </c>
      <c r="KA100" s="768" t="str">
        <f t="shared" si="883"/>
        <v/>
      </c>
      <c r="KB100" s="485">
        <f t="shared" si="884"/>
        <v>0</v>
      </c>
      <c r="KC100" s="768">
        <f t="shared" si="885"/>
        <v>0</v>
      </c>
      <c r="KD100" s="485">
        <f t="shared" si="886"/>
        <v>0</v>
      </c>
      <c r="KE100" s="448"/>
      <c r="KF100" s="548"/>
      <c r="KG100" s="548"/>
      <c r="KH100" s="548"/>
      <c r="KI100" s="548"/>
      <c r="KJ100" s="548" t="str">
        <f t="shared" si="887"/>
        <v/>
      </c>
      <c r="KK100" s="548"/>
      <c r="KL100" s="548"/>
      <c r="KM100" s="548">
        <f t="array" ref="KM100">IF(SUM((KL100=$KL$3:KL99)*1)=0,KL100,0)</f>
        <v>0</v>
      </c>
      <c r="KN100" s="548"/>
      <c r="KO100" s="548"/>
      <c r="KP100" s="548"/>
      <c r="KQ100" s="548"/>
      <c r="KR100" s="548" t="str">
        <f t="shared" si="888"/>
        <v/>
      </c>
      <c r="KS100" s="548"/>
      <c r="KT100" s="548"/>
      <c r="KU100" s="548"/>
      <c r="KV100" s="548"/>
      <c r="KW100" s="548"/>
      <c r="KX100" s="548"/>
      <c r="KY100" s="548"/>
      <c r="KZ100" s="548"/>
      <c r="LA100" s="548"/>
      <c r="LB100" s="548"/>
      <c r="LC100" s="485" t="str">
        <f t="shared" si="902"/>
        <v/>
      </c>
      <c r="LD100" s="548"/>
      <c r="LE100" s="548"/>
      <c r="LF100" s="548"/>
      <c r="LG100" s="548"/>
      <c r="LH100" s="548"/>
      <c r="LI100" s="548"/>
      <c r="LJ100" s="548"/>
      <c r="LK100" s="548"/>
      <c r="LL100" s="548"/>
      <c r="LM100" s="548"/>
      <c r="LN100" s="548"/>
      <c r="LO100" s="548"/>
      <c r="LP100" s="485" t="str">
        <f t="shared" si="903"/>
        <v/>
      </c>
      <c r="LQ100" s="548"/>
      <c r="LR100" s="548"/>
      <c r="LS100" s="548"/>
      <c r="LT100" s="548"/>
      <c r="LU100" s="548"/>
      <c r="LV100" s="548"/>
      <c r="LW100" s="548"/>
      <c r="LX100" s="548"/>
      <c r="LY100" s="548"/>
      <c r="LZ100" s="548"/>
      <c r="MA100" s="548"/>
      <c r="MB100" s="548"/>
      <c r="MC100" s="485" t="str">
        <f t="shared" si="904"/>
        <v/>
      </c>
      <c r="MD100" s="548"/>
      <c r="ME100" s="548"/>
      <c r="MF100" s="548"/>
      <c r="MG100" s="548"/>
      <c r="MH100" s="548"/>
      <c r="MI100" s="548"/>
      <c r="MJ100" s="548"/>
      <c r="MK100" s="548"/>
      <c r="ML100" s="548"/>
      <c r="MM100" s="548"/>
      <c r="MN100" s="548"/>
      <c r="MO100" s="548"/>
      <c r="MP100" s="485" t="str">
        <f t="shared" si="905"/>
        <v/>
      </c>
      <c r="MQ100" s="548"/>
      <c r="MR100" s="548"/>
      <c r="MS100" s="548"/>
      <c r="MT100" s="548"/>
      <c r="MU100" s="548"/>
      <c r="MV100" s="548"/>
      <c r="MW100" s="548"/>
      <c r="MX100" s="548"/>
      <c r="MY100" s="548"/>
      <c r="MZ100" s="548"/>
      <c r="NA100" s="548"/>
      <c r="NB100" s="548"/>
      <c r="NC100" s="485" t="str">
        <f t="shared" si="906"/>
        <v/>
      </c>
      <c r="ND100" s="548"/>
      <c r="NE100" s="548"/>
      <c r="NF100" s="548"/>
      <c r="NG100" s="548"/>
      <c r="NH100" s="548"/>
      <c r="NI100" s="548"/>
      <c r="NJ100" s="548"/>
      <c r="NK100" s="548"/>
      <c r="NL100" s="548"/>
      <c r="NM100" s="548"/>
      <c r="NN100" s="548"/>
      <c r="NO100" s="548"/>
      <c r="NP100" s="485" t="str">
        <f t="shared" si="907"/>
        <v/>
      </c>
      <c r="NQ100" s="548"/>
      <c r="NR100" s="548"/>
      <c r="NS100" s="548"/>
      <c r="NT100" s="548"/>
      <c r="NU100" s="548"/>
      <c r="NV100" s="548"/>
      <c r="NW100" s="548"/>
      <c r="NX100" s="548"/>
      <c r="NY100" s="548"/>
      <c r="NZ100" s="548"/>
      <c r="OA100" s="548"/>
      <c r="OB100" s="548"/>
      <c r="OC100" s="485" t="str">
        <f t="shared" si="908"/>
        <v/>
      </c>
      <c r="OD100" s="548"/>
      <c r="OE100" s="548"/>
      <c r="OF100" s="548"/>
      <c r="OG100" s="548"/>
      <c r="OH100" s="548"/>
      <c r="OI100" s="548"/>
      <c r="OJ100" s="548"/>
      <c r="OK100" s="548"/>
      <c r="OL100" s="548"/>
      <c r="OM100" s="548"/>
      <c r="ON100" s="548"/>
      <c r="OO100" s="548"/>
      <c r="OP100" s="548"/>
      <c r="OQ100" s="548"/>
      <c r="OR100" s="548"/>
      <c r="OS100" s="548"/>
      <c r="OT100" s="548"/>
      <c r="OU100" s="548"/>
      <c r="OV100" s="548"/>
      <c r="OW100" s="548"/>
      <c r="OX100" s="548"/>
      <c r="OY100" s="548"/>
      <c r="OZ100" s="548"/>
      <c r="PA100" s="548"/>
      <c r="PB100" s="548"/>
      <c r="PC100" s="548"/>
      <c r="PD100" s="548"/>
      <c r="PE100" s="548"/>
      <c r="PF100" s="548"/>
      <c r="PG100" s="548"/>
      <c r="PH100" s="548"/>
      <c r="PI100" s="548"/>
      <c r="PJ100" s="548"/>
      <c r="PK100" s="548"/>
      <c r="PL100" s="548"/>
      <c r="PM100" s="548"/>
      <c r="PN100" s="548"/>
      <c r="PO100" s="548"/>
      <c r="PP100" s="548"/>
      <c r="PQ100" s="548"/>
      <c r="PR100" s="548"/>
      <c r="PS100" s="548"/>
      <c r="PT100" s="548"/>
      <c r="PU100" s="548"/>
      <c r="PV100" s="548"/>
      <c r="PW100" s="548"/>
      <c r="PX100" s="548"/>
      <c r="PY100" s="548"/>
      <c r="PZ100" s="548"/>
      <c r="QA100" s="548"/>
      <c r="QB100" s="548"/>
      <c r="QC100" s="548"/>
      <c r="QD100" s="548"/>
      <c r="QE100" s="548"/>
      <c r="QF100" s="548"/>
      <c r="QG100" s="548"/>
      <c r="QH100" s="548"/>
      <c r="QI100" s="548"/>
      <c r="QJ100" s="548"/>
      <c r="QK100" s="548"/>
      <c r="QL100" s="548"/>
      <c r="QM100" s="548"/>
      <c r="QN100" s="548"/>
      <c r="QO100" s="548"/>
      <c r="QP100" s="548"/>
      <c r="QQ100" s="1009"/>
      <c r="QR100" s="548"/>
      <c r="QS100" s="548"/>
      <c r="QT100" s="548"/>
      <c r="QU100" s="548"/>
      <c r="QV100" s="548"/>
      <c r="QW100" s="548"/>
      <c r="QX100" s="548"/>
      <c r="QY100" s="548"/>
      <c r="QZ100" s="548"/>
      <c r="RA100" s="548"/>
      <c r="RB100" s="548"/>
      <c r="RC100" s="548"/>
      <c r="RD100" s="548"/>
      <c r="RE100" s="548"/>
      <c r="RF100" s="548"/>
      <c r="RG100" s="548"/>
      <c r="RH100" s="548"/>
      <c r="RI100" s="548"/>
      <c r="RJ100" s="548"/>
      <c r="RK100" s="548"/>
      <c r="RL100" s="548"/>
      <c r="RM100" s="548"/>
      <c r="RN100" s="548"/>
      <c r="RO100" s="548"/>
      <c r="RP100" s="548"/>
      <c r="RQ100" s="548"/>
      <c r="RR100" s="548"/>
      <c r="RS100" s="548"/>
      <c r="RT100" s="548"/>
      <c r="RU100" s="548"/>
      <c r="RV100" s="548"/>
      <c r="RW100" s="548"/>
      <c r="RX100" s="548"/>
      <c r="RY100" s="548"/>
      <c r="RZ100" s="548"/>
      <c r="SA100" s="548"/>
      <c r="SB100" s="548"/>
      <c r="SC100" s="548"/>
      <c r="SD100" s="548"/>
      <c r="SE100" s="548"/>
      <c r="SF100" s="548"/>
      <c r="SG100" s="548"/>
      <c r="SH100" s="548"/>
      <c r="SI100" s="548"/>
      <c r="SJ100" s="548"/>
      <c r="SK100" s="548"/>
      <c r="SL100" s="548"/>
      <c r="SM100" s="548"/>
      <c r="SN100" s="548"/>
      <c r="SO100" s="548"/>
      <c r="SP100" s="548"/>
      <c r="SQ100" s="548"/>
      <c r="SR100" s="548"/>
      <c r="SS100" s="548"/>
      <c r="ST100" s="548"/>
      <c r="SU100" s="548"/>
      <c r="SV100" s="548"/>
      <c r="SW100" s="548"/>
      <c r="SX100" s="548"/>
      <c r="SY100" s="548"/>
      <c r="SZ100" s="548"/>
      <c r="TA100" s="548"/>
      <c r="TB100" s="548"/>
      <c r="TC100" s="548"/>
      <c r="TD100" s="548"/>
      <c r="TE100" s="548"/>
      <c r="TF100" s="548"/>
      <c r="TG100" s="548"/>
      <c r="TH100" s="548"/>
      <c r="TI100" s="548"/>
      <c r="TJ100" s="548"/>
      <c r="TK100" s="548"/>
      <c r="TL100" s="548"/>
      <c r="TM100" s="548"/>
      <c r="TN100" s="548"/>
      <c r="TO100" s="548"/>
      <c r="TP100" s="548"/>
      <c r="TQ100" s="548"/>
      <c r="TR100" s="548"/>
      <c r="TS100" s="548"/>
      <c r="TT100" s="548"/>
      <c r="TU100" s="548"/>
      <c r="TV100" s="548"/>
      <c r="TW100" s="548"/>
      <c r="TX100" s="548"/>
      <c r="TY100" s="548"/>
      <c r="TZ100" s="548"/>
      <c r="UA100" s="548"/>
      <c r="UB100" s="548"/>
      <c r="UC100" s="548"/>
      <c r="UD100" s="548"/>
      <c r="UE100" s="548"/>
      <c r="UF100" s="548"/>
      <c r="UG100" s="548"/>
      <c r="UH100" s="548"/>
      <c r="UI100" s="548"/>
      <c r="UJ100" s="548"/>
      <c r="UK100" s="548"/>
      <c r="UL100" s="548"/>
      <c r="UM100" s="548"/>
      <c r="UN100" s="548"/>
      <c r="UO100" s="548"/>
      <c r="UP100" s="548"/>
      <c r="UQ100" s="548"/>
      <c r="UR100" s="548"/>
      <c r="US100" s="548"/>
      <c r="UT100" s="548"/>
      <c r="UU100" s="548"/>
      <c r="UV100" s="548"/>
      <c r="UW100" s="548"/>
      <c r="UX100" s="548"/>
      <c r="UY100" s="548"/>
      <c r="UZ100" s="548"/>
      <c r="VA100" s="548"/>
      <c r="VB100" s="548"/>
      <c r="VC100" s="548"/>
      <c r="VD100" s="548"/>
      <c r="VE100" s="548"/>
      <c r="VF100" s="548"/>
      <c r="VG100" s="548"/>
      <c r="VH100" s="548"/>
      <c r="VI100" s="548"/>
      <c r="VJ100" s="548"/>
      <c r="VK100" s="548"/>
      <c r="VL100" s="548"/>
      <c r="VM100" s="548"/>
      <c r="VN100" s="548"/>
      <c r="VO100" s="548"/>
      <c r="VP100" s="548"/>
      <c r="VQ100" s="548"/>
      <c r="VR100" s="548"/>
      <c r="VS100" s="548"/>
      <c r="VT100" s="548"/>
      <c r="VU100" s="548"/>
      <c r="VV100" s="548"/>
      <c r="VW100" s="548"/>
      <c r="VX100" s="548"/>
      <c r="VY100" s="548"/>
      <c r="VZ100" s="548"/>
      <c r="WA100" s="548"/>
      <c r="WB100" s="548"/>
      <c r="WC100" s="548"/>
      <c r="WD100" s="548"/>
      <c r="WE100" s="548"/>
      <c r="WF100" s="548"/>
      <c r="WG100" s="548"/>
      <c r="WH100" s="548"/>
      <c r="WI100" s="548"/>
      <c r="WJ100" s="548"/>
      <c r="WK100" s="548"/>
      <c r="WL100" s="548"/>
      <c r="WM100" s="548"/>
      <c r="WN100" s="548"/>
      <c r="WO100" s="548"/>
      <c r="WP100" s="548"/>
      <c r="WQ100" s="548"/>
      <c r="WR100" s="548"/>
      <c r="WS100" s="548"/>
      <c r="WT100" s="548"/>
      <c r="WU100" s="548"/>
      <c r="WV100" s="548"/>
      <c r="WW100" s="548"/>
      <c r="WX100" s="548"/>
      <c r="WY100" s="548"/>
      <c r="WZ100" s="548"/>
      <c r="XA100" s="548"/>
      <c r="XB100" s="548"/>
      <c r="XC100" s="548"/>
      <c r="XD100" s="548"/>
      <c r="XE100" s="548"/>
      <c r="XF100" s="548"/>
      <c r="XG100" s="548"/>
      <c r="XH100" s="548"/>
      <c r="XI100" s="548"/>
      <c r="XJ100" s="548"/>
      <c r="XK100" s="548"/>
      <c r="XL100" s="548"/>
      <c r="XM100" s="548"/>
      <c r="XN100" s="548"/>
      <c r="XO100" s="548"/>
      <c r="XP100" s="548"/>
      <c r="XQ100" s="548"/>
      <c r="XR100" s="548"/>
      <c r="XS100" s="548"/>
      <c r="XT100" s="548"/>
      <c r="XU100" s="548"/>
      <c r="XV100" s="548"/>
      <c r="XW100" s="548"/>
      <c r="XX100" s="548"/>
      <c r="XY100" s="548"/>
      <c r="XZ100" s="548"/>
      <c r="YA100" s="548"/>
      <c r="YB100" s="548"/>
      <c r="YC100" s="548"/>
      <c r="YD100" s="548"/>
      <c r="YE100" s="548"/>
      <c r="YF100" s="548"/>
      <c r="YG100" s="548"/>
      <c r="YH100" s="548"/>
      <c r="YI100" s="548"/>
      <c r="YJ100" s="548"/>
      <c r="YK100" s="548"/>
      <c r="YL100" s="548"/>
      <c r="YM100" s="548"/>
      <c r="YN100" s="548"/>
      <c r="YO100" s="548"/>
      <c r="YP100" s="548"/>
      <c r="YQ100" s="548"/>
      <c r="YR100" s="548"/>
      <c r="YS100" s="548"/>
      <c r="YT100" s="548"/>
      <c r="YU100" s="548"/>
      <c r="YV100" s="548"/>
      <c r="YW100" s="548"/>
      <c r="YX100" s="548"/>
      <c r="YY100" s="548"/>
      <c r="YZ100" s="548"/>
      <c r="ZA100" s="548"/>
      <c r="ZB100" s="548"/>
      <c r="ZC100" s="548"/>
      <c r="ZD100" s="548"/>
      <c r="ZE100" s="548"/>
      <c r="ZF100" s="548"/>
      <c r="ZG100" s="548"/>
      <c r="ZH100" s="548"/>
      <c r="ZI100" s="548"/>
      <c r="ZJ100" s="548"/>
      <c r="ZK100" s="548"/>
      <c r="ZL100" s="548"/>
      <c r="ZM100" s="548"/>
      <c r="ZN100" s="548"/>
      <c r="ZO100" s="548"/>
      <c r="ZP100" s="548"/>
      <c r="ZQ100" s="548"/>
      <c r="ZR100" s="548"/>
      <c r="ZS100" s="548"/>
      <c r="ZT100" s="548"/>
      <c r="ZU100" s="548"/>
      <c r="ZV100" s="548"/>
      <c r="ZW100" s="548"/>
      <c r="ZX100" s="548"/>
      <c r="ZY100" s="548"/>
      <c r="ZZ100" s="548"/>
      <c r="AAA100" s="548"/>
      <c r="AAB100" s="548"/>
      <c r="AAC100" s="548"/>
      <c r="AAD100" s="548"/>
      <c r="AAE100" s="548"/>
      <c r="AAF100" s="548"/>
      <c r="AAG100" s="548"/>
      <c r="AAH100" s="548"/>
      <c r="AAI100" s="548"/>
      <c r="AAJ100" s="548"/>
      <c r="AAK100" s="548"/>
      <c r="AAL100" s="548"/>
      <c r="AAM100" s="548"/>
      <c r="AAN100" s="548"/>
      <c r="AAO100" s="548"/>
      <c r="AAP100" s="548"/>
      <c r="AAQ100" s="548"/>
      <c r="AAR100" s="548"/>
      <c r="AAS100" s="548"/>
      <c r="AAT100" s="548"/>
      <c r="AAU100" s="548"/>
      <c r="AAV100" s="548"/>
      <c r="AAW100" s="548"/>
      <c r="AAX100" s="548"/>
      <c r="AAY100" s="548"/>
      <c r="AAZ100" s="548"/>
      <c r="ABA100" s="548"/>
      <c r="ABB100" s="548"/>
      <c r="ABC100" s="548"/>
      <c r="ABD100" s="548"/>
      <c r="ABE100" s="548"/>
      <c r="ABF100" s="548"/>
      <c r="ABG100" s="548"/>
      <c r="ABH100" s="548"/>
      <c r="ABI100" s="548"/>
      <c r="ABJ100" s="548"/>
      <c r="ABK100" s="548"/>
      <c r="ABL100" s="548"/>
      <c r="ABM100" s="548"/>
      <c r="ABN100" s="548"/>
      <c r="ABO100" s="548"/>
      <c r="ABP100" s="548"/>
      <c r="ABQ100" s="548"/>
      <c r="ABR100" s="548"/>
      <c r="ABS100" s="548"/>
    </row>
    <row r="101" spans="1:747" customFormat="1" ht="15" customHeight="1" x14ac:dyDescent="0.2">
      <c r="A101" s="424" t="str">
        <f t="shared" si="909"/>
        <v/>
      </c>
      <c r="B101" s="415"/>
      <c r="C101" s="525"/>
      <c r="D101" s="750"/>
      <c r="E101" s="416" t="str">
        <f t="shared" si="1171"/>
        <v/>
      </c>
      <c r="F101" s="527" t="str">
        <f t="shared" si="1172"/>
        <v/>
      </c>
      <c r="G101" s="417"/>
      <c r="H101" s="585" t="str">
        <f t="shared" si="1173"/>
        <v/>
      </c>
      <c r="I101" s="424"/>
      <c r="J101" s="419"/>
      <c r="K101" s="418"/>
      <c r="L101" s="419"/>
      <c r="M101" s="415"/>
      <c r="N101" s="420"/>
      <c r="O101" s="421"/>
      <c r="P101" s="561"/>
      <c r="Q101" s="422"/>
      <c r="R101" s="561" t="str">
        <f t="shared" si="1174"/>
        <v/>
      </c>
      <c r="S101" s="664"/>
      <c r="T101" s="663"/>
      <c r="U101" s="580">
        <f t="shared" si="1175"/>
        <v>0</v>
      </c>
      <c r="V101" s="418"/>
      <c r="W101" s="582" t="str">
        <f t="shared" si="1176"/>
        <v/>
      </c>
      <c r="X101" s="479" t="str">
        <f t="shared" si="1177"/>
        <v/>
      </c>
      <c r="Y101" s="582" t="str">
        <f t="shared" si="1178"/>
        <v/>
      </c>
      <c r="Z101" s="317" t="str">
        <f t="shared" si="1179"/>
        <v/>
      </c>
      <c r="AA101" s="317" t="str">
        <f t="shared" si="1180"/>
        <v/>
      </c>
      <c r="AB101" s="317">
        <f t="shared" si="1181"/>
        <v>0</v>
      </c>
      <c r="AC101" s="317" t="str">
        <f t="shared" si="1182"/>
        <v/>
      </c>
      <c r="AD101" s="479"/>
      <c r="AE101" s="479"/>
      <c r="AF101" s="479"/>
      <c r="AG101" s="423"/>
      <c r="AH101" s="820"/>
      <c r="AI101" s="437"/>
      <c r="AJ101" s="660"/>
      <c r="AK101" s="524" t="str">
        <f t="shared" si="1183"/>
        <v/>
      </c>
      <c r="AL101" s="719" t="str">
        <f>$AL$5</f>
        <v>itens de Despesas</v>
      </c>
      <c r="AM101" s="719" t="str">
        <f>$AM$5</f>
        <v>total pag. Mod. 2</v>
      </c>
      <c r="AN101" s="426">
        <f t="shared" si="1184"/>
        <v>0</v>
      </c>
      <c r="AO101" s="427" t="str">
        <f t="shared" si="1185"/>
        <v/>
      </c>
      <c r="AP101" s="426" t="str">
        <f t="shared" si="1186"/>
        <v/>
      </c>
      <c r="AQ101" s="426"/>
      <c r="AR101" s="426"/>
      <c r="AS101" s="428"/>
      <c r="AT101" s="429"/>
      <c r="AU101" s="430"/>
      <c r="AV101" s="431"/>
      <c r="AW101" s="432"/>
      <c r="AX101" s="430"/>
      <c r="AY101" s="431">
        <f t="shared" si="1187"/>
        <v>0</v>
      </c>
      <c r="AZ101" s="426"/>
      <c r="BA101" s="435" t="str">
        <f t="shared" si="1188"/>
        <v/>
      </c>
      <c r="BB101" s="435"/>
      <c r="BC101" s="426"/>
      <c r="BD101" s="426">
        <f t="array" ref="BD101">IF(SUM((BC101=$BC$3:BC100)*1)=0,BC101,0)</f>
        <v>0</v>
      </c>
      <c r="BE101" s="426"/>
      <c r="BF101" s="426"/>
      <c r="BG101" s="426">
        <f t="array" ref="BG101">IF(SUM((BF101=$BF$3:BF100)*1)=0,BF101,0)</f>
        <v>0</v>
      </c>
      <c r="BH101" s="426"/>
      <c r="BI101" s="426"/>
      <c r="BJ101" s="426"/>
      <c r="BK101" s="426"/>
      <c r="BL101" s="426"/>
      <c r="BM101" s="426"/>
      <c r="BN101" s="426"/>
      <c r="BO101" s="426"/>
      <c r="BP101" s="433">
        <f t="shared" si="1189"/>
        <v>0</v>
      </c>
      <c r="BQ101" s="426"/>
      <c r="BR101" s="434"/>
      <c r="BS101" s="426"/>
      <c r="BT101" s="433"/>
      <c r="BU101" s="435"/>
      <c r="BV101" s="435" t="str">
        <f t="shared" si="1190"/>
        <v/>
      </c>
      <c r="BW101" s="435" t="str">
        <f t="shared" si="798"/>
        <v/>
      </c>
      <c r="BX101" s="435"/>
      <c r="BY101" s="435"/>
      <c r="BZ101" s="435"/>
      <c r="CA101" s="435"/>
      <c r="CB101" s="435"/>
      <c r="CC101" s="435"/>
      <c r="CD101" s="435"/>
      <c r="CE101" s="435"/>
      <c r="CF101" s="435"/>
      <c r="CG101" s="435"/>
      <c r="CH101" s="435"/>
      <c r="CI101" s="435"/>
      <c r="CJ101" s="426" t="str">
        <f t="shared" si="799"/>
        <v/>
      </c>
      <c r="CK101" s="435"/>
      <c r="CL101" s="426"/>
      <c r="CM101" s="435"/>
      <c r="CN101" s="426"/>
      <c r="CO101" s="426"/>
      <c r="CP101" s="426"/>
      <c r="CQ101" s="426"/>
      <c r="CR101" s="426"/>
      <c r="CS101" s="426"/>
      <c r="CT101" s="426"/>
      <c r="CU101" s="426"/>
      <c r="CV101" s="426"/>
      <c r="CW101" s="493"/>
      <c r="CX101" s="493"/>
      <c r="CY101" s="426">
        <v>98</v>
      </c>
      <c r="CZ101" s="493"/>
      <c r="DA101" s="493"/>
      <c r="DB101" s="493"/>
      <c r="DC101" s="426" t="s">
        <v>841</v>
      </c>
      <c r="DD101" s="426" t="s">
        <v>1001</v>
      </c>
      <c r="DE101" s="435" t="str">
        <f t="shared" si="800"/>
        <v/>
      </c>
      <c r="DF101" s="435" t="str">
        <f t="shared" si="801"/>
        <v/>
      </c>
      <c r="DG101" s="435" t="str">
        <f t="shared" si="802"/>
        <v/>
      </c>
      <c r="DH101" s="435" t="str">
        <f t="shared" si="803"/>
        <v/>
      </c>
      <c r="DI101" s="435" t="str">
        <f t="shared" si="804"/>
        <v/>
      </c>
      <c r="DJ101" s="435" t="str">
        <f t="shared" si="805"/>
        <v/>
      </c>
      <c r="DK101" s="435" t="str">
        <f t="shared" si="1191"/>
        <v/>
      </c>
      <c r="DL101" s="435" t="str">
        <f t="shared" si="1192"/>
        <v/>
      </c>
      <c r="DM101" s="435" t="str">
        <f t="shared" si="806"/>
        <v/>
      </c>
      <c r="DN101" s="435" t="str">
        <f t="shared" si="807"/>
        <v/>
      </c>
      <c r="DO101" s="435" t="str">
        <f t="shared" si="1193"/>
        <v/>
      </c>
      <c r="DP101" s="435" t="str">
        <f t="shared" si="1194"/>
        <v/>
      </c>
      <c r="DQ101" s="435" t="str">
        <f t="shared" si="808"/>
        <v/>
      </c>
      <c r="DR101" s="435" t="str">
        <f t="shared" si="809"/>
        <v/>
      </c>
      <c r="DS101" s="435" t="str">
        <f t="shared" si="1195"/>
        <v/>
      </c>
      <c r="DT101" s="435" t="str">
        <f t="shared" si="1196"/>
        <v/>
      </c>
      <c r="DU101" s="435" t="str">
        <f t="shared" si="810"/>
        <v/>
      </c>
      <c r="DV101" s="435" t="str">
        <f t="shared" si="811"/>
        <v/>
      </c>
      <c r="DW101" s="435" t="str">
        <f t="shared" si="1197"/>
        <v/>
      </c>
      <c r="DX101" s="435" t="str">
        <f t="shared" si="1198"/>
        <v/>
      </c>
      <c r="DY101" s="435" t="str">
        <f t="shared" si="812"/>
        <v/>
      </c>
      <c r="DZ101" s="435" t="str">
        <f t="shared" si="813"/>
        <v/>
      </c>
      <c r="EA101" s="435" t="str">
        <f t="shared" si="1199"/>
        <v/>
      </c>
      <c r="EB101" s="435" t="str">
        <f t="shared" si="1200"/>
        <v/>
      </c>
      <c r="EC101" s="435" t="str">
        <f t="shared" si="1201"/>
        <v/>
      </c>
      <c r="ED101" s="435" t="str">
        <f t="shared" si="1202"/>
        <v/>
      </c>
      <c r="EE101" s="435" t="str">
        <f t="shared" si="1203"/>
        <v/>
      </c>
      <c r="EF101" s="435" t="str">
        <f t="shared" si="1204"/>
        <v/>
      </c>
      <c r="EG101" s="435" t="str">
        <f t="shared" si="1205"/>
        <v/>
      </c>
      <c r="EH101" s="435" t="str">
        <f t="shared" si="1206"/>
        <v/>
      </c>
      <c r="EI101" s="435" t="str">
        <f t="shared" si="1207"/>
        <v/>
      </c>
      <c r="EJ101" s="435" t="str">
        <f t="shared" si="1208"/>
        <v/>
      </c>
      <c r="EK101" s="485"/>
      <c r="EL101" s="485"/>
      <c r="EM101" s="485"/>
      <c r="EN101" s="485"/>
      <c r="EO101" s="448"/>
      <c r="EP101" s="448"/>
      <c r="EQ101" s="448"/>
      <c r="ER101" s="448"/>
      <c r="ES101" s="448"/>
      <c r="ET101" s="435"/>
      <c r="EU101" s="435"/>
      <c r="EV101" s="435"/>
      <c r="EW101" s="435"/>
      <c r="EX101" s="426"/>
      <c r="EY101" s="426"/>
      <c r="EZ101" s="426"/>
      <c r="FA101" s="863"/>
      <c r="FB101" s="427">
        <f t="array" ref="FB101">IF(SUM((FA101=$FA$3:FA100)*1)=0,FA101,0)</f>
        <v>0</v>
      </c>
      <c r="FC101" s="863"/>
      <c r="FD101" s="863"/>
      <c r="FE101" s="863">
        <f t="array" ref="FE101">IF(SUM((FD101=$FD$3:FD100)*1)=0,FD101,0)</f>
        <v>0</v>
      </c>
      <c r="FF101" s="863"/>
      <c r="FG101" s="863"/>
      <c r="FH101" s="863"/>
      <c r="FI101" s="427">
        <f t="array" ref="FI101">IF(SUM((FH101=$FH$3:FH100)*1)=0,FH101,0)</f>
        <v>0</v>
      </c>
      <c r="FJ101" s="863"/>
      <c r="FK101" s="863"/>
      <c r="FL101" s="863">
        <f t="array" ref="FL101">IF(SUM((FK101=$FK$3:FK100)*1)=0,FK101,0)</f>
        <v>0</v>
      </c>
      <c r="FM101" s="863"/>
      <c r="FN101" s="863"/>
      <c r="FO101" s="863"/>
      <c r="FP101" s="427">
        <f t="array" ref="FP101">IF(SUM((FO101=$FO$3:FO100)*1)=0,FO101,0)</f>
        <v>0</v>
      </c>
      <c r="FQ101" s="863"/>
      <c r="FR101" s="863"/>
      <c r="FS101" s="863">
        <f t="array" ref="FS101">IF(SUM((FR101=$FR$3:FR100)*1)=0,FR101,0)</f>
        <v>0</v>
      </c>
      <c r="FT101" s="863"/>
      <c r="FU101" s="863"/>
      <c r="FV101" s="863"/>
      <c r="FW101" s="427">
        <f t="array" ref="FW101">IF(SUM((FV101=$FV$3:FV100)*1)=0,FV101,0)</f>
        <v>0</v>
      </c>
      <c r="FX101" s="863"/>
      <c r="FY101" s="863"/>
      <c r="FZ101" s="863">
        <f t="array" ref="FZ101">IF(SUM((FY101=$FY$3:FY100)*1)=0,FY101,0)</f>
        <v>0</v>
      </c>
      <c r="GA101" s="863"/>
      <c r="GB101" s="863"/>
      <c r="GC101" s="863"/>
      <c r="GD101" s="427">
        <f t="array" ref="GD101">IF(SUM((GC101=$GC$3:GC100)*1)=0,GC101,0)</f>
        <v>0</v>
      </c>
      <c r="GE101" s="863"/>
      <c r="GF101" s="863"/>
      <c r="GG101" s="863">
        <f t="array" ref="GG101">IF(SUM((GF101=$GF$3:GF100)*1)=0,GF101,0)</f>
        <v>0</v>
      </c>
      <c r="GH101" s="863"/>
      <c r="GI101" s="863"/>
      <c r="GJ101" s="863"/>
      <c r="GK101" s="798">
        <f t="array" ref="GK101">IF(SUM((GJ101=$GJ$3:GJ100)*1)=0,GJ101,0)</f>
        <v>0</v>
      </c>
      <c r="GL101" s="863"/>
      <c r="GM101" s="863"/>
      <c r="GN101" s="798">
        <f t="array" ref="GN101">IF(SUM((GM101=$GM$3:GM100)*1)=0,GM101,0)</f>
        <v>0</v>
      </c>
      <c r="GO101" s="863"/>
      <c r="GP101" s="863"/>
      <c r="GQ101" s="863"/>
      <c r="GR101" s="798">
        <f t="array" ref="GR101">IF(SUM((GQ101=$GQ$3:GQ100)*1)=0,GQ101,0)</f>
        <v>0</v>
      </c>
      <c r="GS101" s="863"/>
      <c r="GT101" s="863"/>
      <c r="GU101" s="798">
        <f t="array" ref="GU101">IF(SUM((GT101=$GT$3:GT100)*1)=0,GT101,0)</f>
        <v>0</v>
      </c>
      <c r="GV101" s="863"/>
      <c r="GW101" s="863"/>
      <c r="GX101" s="863"/>
      <c r="GY101" s="798">
        <f t="array" ref="GY101">IF(SUM((GX101=$GX$3:GX100)*1)=0,GX101,0)</f>
        <v>0</v>
      </c>
      <c r="GZ101" s="863"/>
      <c r="HA101" s="863"/>
      <c r="HB101" s="798">
        <f t="array" ref="HB101">IF(SUM((HA101=$HA$3:HA100)*1)=0,HA101,0)</f>
        <v>0</v>
      </c>
      <c r="HC101" s="863"/>
      <c r="HD101" s="863"/>
      <c r="HE101" s="769" t="str">
        <f t="shared" si="889"/>
        <v/>
      </c>
      <c r="HF101" s="768" t="str">
        <f t="shared" ref="HF101" si="1218">IF(HE101&lt;0,"Invadiu REP-BA-C","")</f>
        <v/>
      </c>
      <c r="HG101" s="769" t="str">
        <f t="shared" si="891"/>
        <v/>
      </c>
      <c r="HH101" s="768" t="str">
        <f t="shared" si="815"/>
        <v/>
      </c>
      <c r="HI101" s="728" t="str">
        <f t="shared" si="892"/>
        <v/>
      </c>
      <c r="HJ101" s="768" t="str">
        <f t="shared" si="816"/>
        <v/>
      </c>
      <c r="HK101" s="728" t="str">
        <f t="shared" si="893"/>
        <v/>
      </c>
      <c r="HL101" s="768" t="str">
        <f t="shared" si="817"/>
        <v/>
      </c>
      <c r="HM101" s="769" t="str">
        <f t="shared" ref="HM101:HM132" si="1219">IFERROR(IF($A101="","",IF(HM$2=0,0,IF(AND($J101="Volta Aulas",$P101&lt;&gt;"",$R101&lt;$P$164,$S101&lt;&gt;""),(HM100-$S101),HM100))),"")</f>
        <v/>
      </c>
      <c r="HN101" s="768" t="str">
        <f t="shared" ref="HN101" si="1220">IF(HM101&lt;0,"Invadiu REP-BA-C","")</f>
        <v/>
      </c>
      <c r="HO101" s="769" t="str">
        <f t="shared" ref="HO101:HO132" si="1221">IFERROR(IF($A101="","",IF(HO$2=0,0,IF(AND($J101="Volta Aulas",$R101&lt;$P$164),HO100,IF(AND($J101="Volta Aulas",$R101&gt;=$P$164,HM101&lt;=0),(HO100-$S101),HO100)))),"")</f>
        <v/>
      </c>
      <c r="HP101" s="768" t="str">
        <f t="shared" si="821"/>
        <v/>
      </c>
      <c r="HQ101" s="728" t="str">
        <f t="shared" ref="HQ101:HQ132" si="1222">IFERROR(IF($A101="","",IF(HQ$2=0,0,IF(AND($J101="Volta Aulas",$R101&lt;&gt;"",$T101&lt;&gt;""),(HQ100-$T101),HQ100))),"")</f>
        <v/>
      </c>
      <c r="HR101" s="768" t="str">
        <f t="shared" si="823"/>
        <v/>
      </c>
      <c r="HS101" s="728" t="str">
        <f t="shared" ref="HS101:HS132" si="1223">IFERROR(IF($A101="","",IF(HS$2=0,0,IF(AND($J101="Volta Aulas",$R101&lt;$P$165),HS100,IF(AND($J101="Volta Aulas",$R101&gt;=$P$165,HQ101&lt;=0),(HS100-$T101),HS100)))),"")</f>
        <v/>
      </c>
      <c r="HT101" s="768" t="str">
        <f t="shared" si="825"/>
        <v/>
      </c>
      <c r="HU101" s="769" t="str">
        <f t="shared" ref="HU101:HU132" si="1224">IFERROR(IF($A101="","",IF(HU$2=0,0,IF(AND($J101="Futuro",$P101&lt;&gt;"",$R101&lt;$P$164,$S101&lt;&gt;""),(HU100-$S101),HU100))),"")</f>
        <v/>
      </c>
      <c r="HV101" s="768" t="str">
        <f t="shared" ref="HV101" si="1225">IF(HU101&lt;0,"Invadiu REP-BA-C","")</f>
        <v/>
      </c>
      <c r="HW101" s="769" t="str">
        <f t="shared" ref="HW101:HW132" si="1226">IFERROR(IF($A101="","",IF(HW$2=0,0,IF(AND($J101="Futuro",$R101&lt;$P$164),HW100,IF(AND($J101="Futuro",$R101&gt;=$P$164,HU101&lt;=0),(HW100-$S101),HW100)))),"")</f>
        <v/>
      </c>
      <c r="HX101" s="768" t="str">
        <f t="shared" si="829"/>
        <v/>
      </c>
      <c r="HY101" s="728" t="str">
        <f t="shared" ref="HY101:HY132" si="1227">IFERROR(IF($A101="","",IF(HY$2=0,0,IF(AND($J101="Futuro",$R101&lt;&gt;"",$T101&lt;&gt;""),(HY100-$T101),HY100))),"")</f>
        <v/>
      </c>
      <c r="HZ101" s="768" t="str">
        <f t="shared" si="831"/>
        <v/>
      </c>
      <c r="IA101" s="728" t="str">
        <f t="shared" ref="IA101:IA132" si="1228">IFERROR(IF($A101="","",IF(IA$2=0,0,IF(AND($J101="Futuro",$R101&lt;$P$165),IA100,IF(AND($J101="Futuro",$R101&gt;=$P$165,HY101&lt;=0),(IA100-$T101),IA100)))),"")</f>
        <v/>
      </c>
      <c r="IB101" s="768" t="str">
        <f t="shared" si="833"/>
        <v/>
      </c>
      <c r="IC101" s="769" t="str">
        <f t="shared" ref="IC101:IC132" si="1229">IFERROR(IF($A101="","",IF(IC$2=0,0,IF(AND($J101="Rolê",$P101&lt;&gt;"",$R101&lt;$P$164,$S101&lt;&gt;""),(IC100-$S101),IC100))),"")</f>
        <v/>
      </c>
      <c r="ID101" s="768" t="str">
        <f t="shared" ref="ID101" si="1230">IF(IC101&lt;0,"Invadiu REP-BA-C","")</f>
        <v/>
      </c>
      <c r="IE101" s="769" t="str">
        <f t="shared" ref="IE101:IE132" si="1231">IFERROR(IF($A101="","",IF(IE$2=0,0,IF(AND($J101="Rolê",$R101&lt;$P$164),IE100,IF(AND($J101="Rolê",$R101&gt;=$P$164,IC101&lt;=0),(IE100-$S101),IE100)))),"")</f>
        <v/>
      </c>
      <c r="IF101" s="768" t="str">
        <f t="shared" si="837"/>
        <v/>
      </c>
      <c r="IG101" s="728" t="str">
        <f t="shared" ref="IG101:IG132" si="1232">IFERROR(IF($A101="","",IF(IG$2=0,0,IF(AND($J101="Rolê",$R101&lt;&gt;"",$T101&lt;&gt;""),(IG100-$T101),IG100))),"")</f>
        <v/>
      </c>
      <c r="IH101" s="768" t="str">
        <f t="shared" si="839"/>
        <v/>
      </c>
      <c r="II101" s="728" t="str">
        <f t="shared" ref="II101:II132" si="1233">IFERROR(IF($A101="","",IF(II$2=0,0,IF(AND($J101="Rolê",$R101&lt;$P$165),II100,IF(AND($J101="Rolê",$R101&gt;=$P$165,IG101&lt;=0),(II100-$T101),II100)))),"")</f>
        <v/>
      </c>
      <c r="IJ101" s="768" t="str">
        <f t="shared" si="841"/>
        <v/>
      </c>
      <c r="IK101" s="769" t="str">
        <f t="shared" ref="IK101:IK132" si="1234">IFERROR(IF($A101="","",IF(IK$2=0,0,IF(AND($J101="Imprensa",$P101&lt;&gt;"",$R101&lt;$P$164,$S101&lt;&gt;""),(IK100-$S101),IK100))),"")</f>
        <v/>
      </c>
      <c r="IL101" s="768" t="str">
        <f t="shared" ref="IL101" si="1235">IF(IK101&lt;0,"Invadiu REP-BA-C","")</f>
        <v/>
      </c>
      <c r="IM101" s="769" t="str">
        <f t="shared" ref="IM101:IM132" si="1236">IFERROR(IF($A101="","",IF(IM$2=0,0,IF(AND($J101="Imprensa",$R101&lt;$P$164),IM100,IF(AND($J101="Imprensa",$R101&gt;=$P$164,IK101&lt;=0),(IM100-$S101),IM100)))),"")</f>
        <v/>
      </c>
      <c r="IN101" s="768" t="str">
        <f t="shared" si="845"/>
        <v/>
      </c>
      <c r="IO101" s="728" t="str">
        <f t="shared" ref="IO101:IO132" si="1237">IFERROR(IF($A101="","",IF(IO$2=0,0,IF(AND($J101="Imprensa",$R101&lt;&gt;"",$T101&lt;&gt;""),(IO100-$T101),IO100))),"")</f>
        <v/>
      </c>
      <c r="IP101" s="768" t="str">
        <f t="shared" si="847"/>
        <v/>
      </c>
      <c r="IQ101" s="728" t="str">
        <f t="shared" ref="IQ101:IQ132" si="1238">IFERROR(IF($A101="","",IF(IQ$2=0,0,IF(AND($J101="Imprensa",$R101&lt;$P$165),IQ100,IF(AND($J101="Imprensa",$R101&gt;=$P$165,IO101&lt;=0),(IQ100-$T101),IQ100)))),"")</f>
        <v/>
      </c>
      <c r="IR101" s="768" t="str">
        <f t="shared" si="849"/>
        <v/>
      </c>
      <c r="IS101" s="769" t="str">
        <f t="shared" ref="IS101:IS132" si="1239">IFERROR(IF($A101="","",IF(IS$2=0,0,IF(AND($J101="Grêmio",$P101&lt;&gt;"",$R101&lt;$P$164,$S101&lt;&gt;""),(IS100-$S101),IS100))),"")</f>
        <v/>
      </c>
      <c r="IT101" s="768" t="str">
        <f t="shared" ref="IT101" si="1240">IF(IS101&lt;0,"Invadiu REP-BA-C","")</f>
        <v/>
      </c>
      <c r="IU101" s="769" t="str">
        <f t="shared" ref="IU101:IU132" si="1241">IFERROR(IF($A101="","",IF(IU$2=0,0,IF(AND($J101="Grêmio",$R101&lt;$P$164),IU100,IF(AND($J101="Grêmio",$R101&gt;=$P$164,IS101&lt;=0),(IU100-$S101),IU100)))),"")</f>
        <v/>
      </c>
      <c r="IV101" s="768" t="str">
        <f t="shared" si="853"/>
        <v/>
      </c>
      <c r="IW101" s="728" t="str">
        <f t="shared" ref="IW101:IW132" si="1242">IFERROR(IF($A101="","",IF(IW$2=0,0,IF(AND($J101="Grêmio",$R101&lt;&gt;"",$T101&lt;&gt;""),(IW100-$T101),IW100))),"")</f>
        <v/>
      </c>
      <c r="IX101" s="768" t="str">
        <f t="shared" si="855"/>
        <v/>
      </c>
      <c r="IY101" s="728" t="str">
        <f t="shared" ref="IY101:IY132" si="1243">IFERROR(IF($A101="","",IF(IY$2=0,0,IF(AND($J101="Grêmio",$R101&lt;$P$165),IY100,IF(AND($J101="Grêmio",$R101&gt;=$P$165,IW101&lt;=0),(IY100-$T101),IY100)))),"")</f>
        <v/>
      </c>
      <c r="IZ101" s="768" t="str">
        <f t="shared" si="857"/>
        <v/>
      </c>
      <c r="JA101" s="769" t="str">
        <f t="shared" ref="JA101:JA132" si="1244">IFERROR(IF($A101="","",IF(JA$2=0,0,IF(AND($J101="Formação",$P101&lt;&gt;"",$R101&lt;$P$164,$S101&lt;&gt;""),(JA100-$S101),JA100))),"")</f>
        <v/>
      </c>
      <c r="JB101" s="768" t="str">
        <f t="shared" ref="JB101" si="1245">IF(JA101&lt;0,"Invadiu REP-BA-C","")</f>
        <v/>
      </c>
      <c r="JC101" s="769" t="str">
        <f t="shared" ref="JC101:JC132" si="1246">IFERROR(IF($A101="","",IF(JC$2=0,0,IF(AND($J101="Formação",$R101&lt;$P$164),JC100,IF(AND($J101="Formação",$R101&gt;=$P$164,JA101&lt;=0),(JC100-$S101),JC100)))),"")</f>
        <v/>
      </c>
      <c r="JD101" s="768" t="str">
        <f t="shared" si="861"/>
        <v/>
      </c>
      <c r="JE101" s="728" t="str">
        <f t="shared" ref="JE101:JE132" si="1247">IFERROR(IF($A101="","",IF(JE$2=0,0,IF(AND($J101="Formação",$R101&lt;&gt;"",$T101&lt;&gt;""),(JE100-$T101),JE100))),"")</f>
        <v/>
      </c>
      <c r="JF101" s="768" t="str">
        <f t="shared" si="863"/>
        <v/>
      </c>
      <c r="JG101" s="728" t="str">
        <f t="shared" ref="JG101:JG132" si="1248">IFERROR(IF($A101="","",IF(JG$2=0,0,IF(AND($J101="Formação",$R101&lt;$P$165),JG100,IF(AND($J101="Formação",$R101&gt;=$P$165,JE101&lt;=0),(JG100-$T101),JG100)))),"")</f>
        <v/>
      </c>
      <c r="JH101" s="768" t="str">
        <f t="shared" si="865"/>
        <v/>
      </c>
      <c r="JI101" s="769" t="str">
        <f t="shared" ref="JI101:JI132" si="1249">IFERROR(IF($A101="","",IF(JI$2=0,0,IF(AND($J101="Mais Escola",$P101&lt;&gt;"",$R101&lt;$P$164,$S101&lt;&gt;""),(JI100-$S101),JI100))),"")</f>
        <v/>
      </c>
      <c r="JJ101" s="768" t="str">
        <f t="shared" ref="JJ101" si="1250">IF(JI101&lt;0,"Invadiu REP-BA-C","")</f>
        <v/>
      </c>
      <c r="JK101" s="769" t="str">
        <f t="shared" ref="JK101:JK132" si="1251">IFERROR(IF($A101="","",IF(JK$2=0,0,IF(AND($J101="Mais Escola",$R101&lt;$P$164),JK100,IF(AND($J101="Mais Escola",$R101&gt;=$P$164,JI101&lt;=0),(JK100-$S101),JK100)))),"")</f>
        <v/>
      </c>
      <c r="JL101" s="768" t="str">
        <f t="shared" si="869"/>
        <v/>
      </c>
      <c r="JM101" s="728" t="str">
        <f t="shared" ref="JM101:JM132" si="1252">IFERROR(IF($A101="","",IF(JM$2=0,0,IF(AND($J101="Mais Escola",$R101&lt;&gt;"",$T101&lt;&gt;""),(JM100-$T101),JM100))),"")</f>
        <v/>
      </c>
      <c r="JN101" s="768" t="str">
        <f t="shared" si="871"/>
        <v/>
      </c>
      <c r="JO101" s="728" t="str">
        <f t="shared" ref="JO101:JO132" si="1253">IFERROR(IF($A101="","",IF(JO$2=0,0,IF(AND($J101="Mais Escola",$R101&lt;$P$165),JO100,IF(AND($J101="Mais Escola",$R101&gt;=$P$165,JM101&lt;=0),(JO100-$T101),JO100)))),"")</f>
        <v/>
      </c>
      <c r="JP101" s="768" t="str">
        <f t="shared" si="873"/>
        <v/>
      </c>
      <c r="JQ101" s="769" t="str">
        <f t="shared" ref="JQ101:JQ132" si="1254">IFERROR(IF($A101="","",IF(JQ$2=0,0,IF(AND($J101="Livre Aplic.",$P101&lt;&gt;"",$R101&lt;$P$164,$S101&lt;&gt;""),(JQ100-$S101),JQ100))),"")</f>
        <v/>
      </c>
      <c r="JR101" s="768" t="str">
        <f t="shared" ref="JR101" si="1255">IF(JQ101&lt;0,"Invadiu REP-BA-C","")</f>
        <v/>
      </c>
      <c r="JS101" s="769" t="str">
        <f t="shared" ref="JS101:JS132" si="1256">IFERROR(IF($A101="","",IF(JS$2=0,0,IF(AND($J101="Livre Aplic.",$R101&lt;$P$164),JS100,IF(AND($J101="Livre Aplic.",$R101&gt;=$P$164,JQ101&lt;=0),(JS100-$S101),JS100)))),"")</f>
        <v/>
      </c>
      <c r="JT101" s="768" t="str">
        <f t="shared" si="877"/>
        <v/>
      </c>
      <c r="JU101" s="728" t="str">
        <f t="shared" ref="JU101:JU132" si="1257">IFERROR(IF($A101="","",IF(JU$2=0,0,IF(AND($J101="Livre Aplic.",$R101&lt;&gt;"",$T101&lt;&gt;""),(JU100-$T101),JU100))),"")</f>
        <v/>
      </c>
      <c r="JV101" s="768" t="str">
        <f t="shared" si="879"/>
        <v/>
      </c>
      <c r="JW101" s="728" t="str">
        <f t="shared" ref="JW101:JW132" si="1258">IFERROR(IF($A101="","",IF(JW$2=0,0,IF(AND($J101="Livre Aplic.",$R101&lt;$P$165),JW100,IF(AND($J101="Livre Aplic.",$R101&gt;=$P$165,JU101&lt;=0),(JW100-$T101),JW100)))),"")</f>
        <v/>
      </c>
      <c r="JX101" s="768" t="str">
        <f t="shared" si="881"/>
        <v/>
      </c>
      <c r="JY101" s="768" t="str">
        <f t="shared" si="882"/>
        <v/>
      </c>
      <c r="JZ101" s="485" t="str">
        <f>IF(JY101="","",IF(AND(C101=$C$164,JY101&lt;&gt;""),Verificarcpf(D101),IF(AND(C101=$C$165,JY101&lt;&gt;""),VerificarCNPJ(D101))))</f>
        <v/>
      </c>
      <c r="KA101" s="768" t="str">
        <f t="shared" si="883"/>
        <v/>
      </c>
      <c r="KB101" s="485">
        <f t="shared" si="884"/>
        <v>0</v>
      </c>
      <c r="KC101" s="768">
        <f t="shared" si="885"/>
        <v>0</v>
      </c>
      <c r="KD101" s="485">
        <f t="shared" si="886"/>
        <v>0</v>
      </c>
      <c r="KE101" s="448"/>
      <c r="KF101" s="548"/>
      <c r="KG101" s="548"/>
      <c r="KH101" s="548"/>
      <c r="KI101" s="548"/>
      <c r="KJ101" s="548" t="str">
        <f t="shared" si="887"/>
        <v/>
      </c>
      <c r="KK101" s="548"/>
      <c r="KL101" s="548"/>
      <c r="KM101" s="548">
        <f t="array" ref="KM101">IF(SUM((KL101=$KL$3:KL100)*1)=0,KL101,0)</f>
        <v>0</v>
      </c>
      <c r="KN101" s="548"/>
      <c r="KO101" s="548"/>
      <c r="KP101" s="548"/>
      <c r="KQ101" s="548"/>
      <c r="KR101" s="548" t="str">
        <f t="shared" si="888"/>
        <v/>
      </c>
      <c r="KS101" s="548"/>
      <c r="KT101" s="548"/>
      <c r="KU101" s="548"/>
      <c r="KV101" s="548"/>
      <c r="KW101" s="548"/>
      <c r="KX101" s="548"/>
      <c r="KY101" s="548"/>
      <c r="KZ101" s="548"/>
      <c r="LA101" s="548"/>
      <c r="LB101" s="548"/>
      <c r="LC101" s="485" t="str">
        <f t="shared" si="902"/>
        <v/>
      </c>
      <c r="LD101" s="548"/>
      <c r="LE101" s="548"/>
      <c r="LF101" s="548"/>
      <c r="LG101" s="548"/>
      <c r="LH101" s="548"/>
      <c r="LI101" s="548"/>
      <c r="LJ101" s="548"/>
      <c r="LK101" s="548"/>
      <c r="LL101" s="548"/>
      <c r="LM101" s="548"/>
      <c r="LN101" s="548"/>
      <c r="LO101" s="548"/>
      <c r="LP101" s="485" t="str">
        <f t="shared" si="903"/>
        <v/>
      </c>
      <c r="LQ101" s="548"/>
      <c r="LR101" s="548"/>
      <c r="LS101" s="548"/>
      <c r="LT101" s="548"/>
      <c r="LU101" s="548"/>
      <c r="LV101" s="548"/>
      <c r="LW101" s="548"/>
      <c r="LX101" s="548"/>
      <c r="LY101" s="548"/>
      <c r="LZ101" s="548"/>
      <c r="MA101" s="548"/>
      <c r="MB101" s="548"/>
      <c r="MC101" s="485" t="str">
        <f t="shared" si="904"/>
        <v/>
      </c>
      <c r="MD101" s="548"/>
      <c r="ME101" s="548"/>
      <c r="MF101" s="548"/>
      <c r="MG101" s="548"/>
      <c r="MH101" s="548"/>
      <c r="MI101" s="548"/>
      <c r="MJ101" s="548"/>
      <c r="MK101" s="548"/>
      <c r="ML101" s="548"/>
      <c r="MM101" s="548"/>
      <c r="MN101" s="548"/>
      <c r="MO101" s="548"/>
      <c r="MP101" s="485" t="str">
        <f t="shared" si="905"/>
        <v/>
      </c>
      <c r="MQ101" s="548"/>
      <c r="MR101" s="548"/>
      <c r="MS101" s="548"/>
      <c r="MT101" s="548"/>
      <c r="MU101" s="548"/>
      <c r="MV101" s="548"/>
      <c r="MW101" s="548"/>
      <c r="MX101" s="548"/>
      <c r="MY101" s="548"/>
      <c r="MZ101" s="548"/>
      <c r="NA101" s="548"/>
      <c r="NB101" s="548"/>
      <c r="NC101" s="485" t="str">
        <f t="shared" si="906"/>
        <v/>
      </c>
      <c r="ND101" s="548"/>
      <c r="NE101" s="548"/>
      <c r="NF101" s="548"/>
      <c r="NG101" s="548"/>
      <c r="NH101" s="548"/>
      <c r="NI101" s="548"/>
      <c r="NJ101" s="548"/>
      <c r="NK101" s="548"/>
      <c r="NL101" s="548"/>
      <c r="NM101" s="548"/>
      <c r="NN101" s="548"/>
      <c r="NO101" s="548"/>
      <c r="NP101" s="485" t="str">
        <f t="shared" si="907"/>
        <v/>
      </c>
      <c r="NQ101" s="548"/>
      <c r="NR101" s="548"/>
      <c r="NS101" s="548"/>
      <c r="NT101" s="548"/>
      <c r="NU101" s="548"/>
      <c r="NV101" s="548"/>
      <c r="NW101" s="548"/>
      <c r="NX101" s="548"/>
      <c r="NY101" s="548"/>
      <c r="NZ101" s="548"/>
      <c r="OA101" s="548"/>
      <c r="OB101" s="548"/>
      <c r="OC101" s="485" t="str">
        <f t="shared" si="908"/>
        <v/>
      </c>
      <c r="OD101" s="548"/>
      <c r="OE101" s="548"/>
      <c r="OF101" s="548"/>
      <c r="OG101" s="548"/>
      <c r="OH101" s="548"/>
      <c r="OI101" s="548"/>
      <c r="OJ101" s="548"/>
      <c r="OK101" s="548"/>
      <c r="OL101" s="548"/>
      <c r="OM101" s="548"/>
      <c r="ON101" s="548"/>
      <c r="OO101" s="548"/>
      <c r="OP101" s="548"/>
      <c r="OQ101" s="548"/>
      <c r="OR101" s="548"/>
      <c r="OS101" s="548"/>
      <c r="OT101" s="548"/>
      <c r="OU101" s="548"/>
      <c r="OV101" s="548"/>
      <c r="OW101" s="548"/>
      <c r="OX101" s="548"/>
      <c r="OY101" s="548"/>
      <c r="OZ101" s="548"/>
      <c r="PA101" s="548"/>
      <c r="PB101" s="548"/>
      <c r="PC101" s="548"/>
      <c r="PD101" s="548"/>
      <c r="PE101" s="548"/>
      <c r="PF101" s="548"/>
      <c r="PG101" s="548"/>
      <c r="PH101" s="548"/>
      <c r="PI101" s="548"/>
      <c r="PJ101" s="548"/>
      <c r="PK101" s="548"/>
      <c r="PL101" s="548"/>
      <c r="PM101" s="548"/>
      <c r="PN101" s="548"/>
      <c r="PO101" s="548"/>
      <c r="PP101" s="548"/>
      <c r="PQ101" s="548"/>
      <c r="PR101" s="548"/>
      <c r="PS101" s="548"/>
      <c r="PT101" s="548"/>
      <c r="PU101" s="548"/>
      <c r="PV101" s="548"/>
      <c r="PW101" s="548"/>
      <c r="PX101" s="548"/>
      <c r="PY101" s="548"/>
      <c r="PZ101" s="548"/>
      <c r="QA101" s="548"/>
      <c r="QB101" s="548"/>
      <c r="QC101" s="548"/>
      <c r="QD101" s="548"/>
      <c r="QE101" s="548"/>
      <c r="QF101" s="548"/>
      <c r="QG101" s="548"/>
      <c r="QH101" s="548"/>
      <c r="QI101" s="548"/>
      <c r="QJ101" s="548"/>
      <c r="QK101" s="548"/>
      <c r="QL101" s="548"/>
      <c r="QM101" s="548"/>
      <c r="QN101" s="548"/>
      <c r="QO101" s="548"/>
      <c r="QP101" s="548"/>
      <c r="QQ101" s="1009"/>
      <c r="QR101" s="548"/>
      <c r="QS101" s="548"/>
      <c r="QT101" s="548"/>
      <c r="QU101" s="548"/>
      <c r="QV101" s="548"/>
      <c r="QW101" s="548"/>
      <c r="QX101" s="548"/>
      <c r="QY101" s="548"/>
      <c r="QZ101" s="548"/>
      <c r="RA101" s="548"/>
      <c r="RB101" s="548"/>
      <c r="RC101" s="548"/>
      <c r="RD101" s="548"/>
      <c r="RE101" s="548"/>
      <c r="RF101" s="548"/>
      <c r="RG101" s="548"/>
      <c r="RH101" s="548"/>
      <c r="RI101" s="548"/>
      <c r="RJ101" s="548"/>
      <c r="RK101" s="548"/>
      <c r="RL101" s="548"/>
      <c r="RM101" s="548"/>
      <c r="RN101" s="548"/>
      <c r="RO101" s="548"/>
      <c r="RP101" s="548"/>
      <c r="RQ101" s="548"/>
      <c r="RR101" s="548"/>
      <c r="RS101" s="548"/>
      <c r="RT101" s="548"/>
      <c r="RU101" s="548"/>
      <c r="RV101" s="548"/>
      <c r="RW101" s="548"/>
      <c r="RX101" s="548"/>
      <c r="RY101" s="548"/>
      <c r="RZ101" s="548"/>
      <c r="SA101" s="548"/>
      <c r="SB101" s="548"/>
      <c r="SC101" s="548"/>
      <c r="SD101" s="548"/>
      <c r="SE101" s="548"/>
      <c r="SF101" s="548"/>
      <c r="SG101" s="548"/>
      <c r="SH101" s="548"/>
      <c r="SI101" s="548"/>
      <c r="SJ101" s="548"/>
      <c r="SK101" s="548"/>
      <c r="SL101" s="548"/>
      <c r="SM101" s="548"/>
      <c r="SN101" s="548"/>
      <c r="SO101" s="548"/>
      <c r="SP101" s="548"/>
      <c r="SQ101" s="548"/>
      <c r="SR101" s="548"/>
      <c r="SS101" s="548"/>
      <c r="ST101" s="548"/>
      <c r="SU101" s="548"/>
      <c r="SV101" s="548"/>
      <c r="SW101" s="548"/>
      <c r="SX101" s="548"/>
      <c r="SY101" s="548"/>
      <c r="SZ101" s="548"/>
      <c r="TA101" s="548"/>
      <c r="TB101" s="548"/>
      <c r="TC101" s="548"/>
      <c r="TD101" s="548"/>
      <c r="TE101" s="548"/>
      <c r="TF101" s="548"/>
      <c r="TG101" s="548"/>
      <c r="TH101" s="548"/>
      <c r="TI101" s="548"/>
      <c r="TJ101" s="548"/>
      <c r="TK101" s="548"/>
      <c r="TL101" s="548"/>
      <c r="TM101" s="548"/>
      <c r="TN101" s="548"/>
      <c r="TO101" s="548"/>
      <c r="TP101" s="548"/>
      <c r="TQ101" s="548"/>
      <c r="TR101" s="548"/>
      <c r="TS101" s="548"/>
      <c r="TT101" s="548"/>
      <c r="TU101" s="548"/>
      <c r="TV101" s="548"/>
      <c r="TW101" s="548"/>
      <c r="TX101" s="548"/>
      <c r="TY101" s="548"/>
      <c r="TZ101" s="548"/>
      <c r="UA101" s="548"/>
      <c r="UB101" s="548"/>
      <c r="UC101" s="548"/>
      <c r="UD101" s="548"/>
      <c r="UE101" s="548"/>
      <c r="UF101" s="548"/>
      <c r="UG101" s="548"/>
      <c r="UH101" s="548"/>
      <c r="UI101" s="548"/>
      <c r="UJ101" s="548"/>
      <c r="UK101" s="548"/>
      <c r="UL101" s="548"/>
      <c r="UM101" s="548"/>
      <c r="UN101" s="548"/>
      <c r="UO101" s="548"/>
      <c r="UP101" s="548"/>
      <c r="UQ101" s="548"/>
      <c r="UR101" s="548"/>
      <c r="US101" s="548"/>
      <c r="UT101" s="548"/>
      <c r="UU101" s="548"/>
      <c r="UV101" s="548"/>
      <c r="UW101" s="548"/>
      <c r="UX101" s="548"/>
      <c r="UY101" s="548"/>
      <c r="UZ101" s="548"/>
      <c r="VA101" s="548"/>
      <c r="VB101" s="548"/>
      <c r="VC101" s="548"/>
      <c r="VD101" s="548"/>
      <c r="VE101" s="548"/>
      <c r="VF101" s="548"/>
      <c r="VG101" s="548"/>
      <c r="VH101" s="548"/>
      <c r="VI101" s="548"/>
      <c r="VJ101" s="548"/>
      <c r="VK101" s="548"/>
      <c r="VL101" s="548"/>
      <c r="VM101" s="548"/>
      <c r="VN101" s="548"/>
      <c r="VO101" s="548"/>
      <c r="VP101" s="548"/>
      <c r="VQ101" s="548"/>
      <c r="VR101" s="548"/>
      <c r="VS101" s="548"/>
      <c r="VT101" s="548"/>
      <c r="VU101" s="548"/>
      <c r="VV101" s="548"/>
      <c r="VW101" s="548"/>
      <c r="VX101" s="548"/>
      <c r="VY101" s="548"/>
      <c r="VZ101" s="548"/>
      <c r="WA101" s="548"/>
      <c r="WB101" s="548"/>
      <c r="WC101" s="548"/>
      <c r="WD101" s="548"/>
      <c r="WE101" s="548"/>
      <c r="WF101" s="548"/>
      <c r="WG101" s="548"/>
      <c r="WH101" s="548"/>
      <c r="WI101" s="548"/>
      <c r="WJ101" s="548"/>
      <c r="WK101" s="548"/>
      <c r="WL101" s="548"/>
      <c r="WM101" s="548"/>
      <c r="WN101" s="548"/>
      <c r="WO101" s="548"/>
      <c r="WP101" s="548"/>
      <c r="WQ101" s="548"/>
      <c r="WR101" s="548"/>
      <c r="WS101" s="548"/>
      <c r="WT101" s="548"/>
      <c r="WU101" s="548"/>
      <c r="WV101" s="548"/>
      <c r="WW101" s="548"/>
      <c r="WX101" s="548"/>
      <c r="WY101" s="548"/>
      <c r="WZ101" s="548"/>
      <c r="XA101" s="548"/>
      <c r="XB101" s="548"/>
      <c r="XC101" s="548"/>
      <c r="XD101" s="548"/>
      <c r="XE101" s="548"/>
      <c r="XF101" s="548"/>
      <c r="XG101" s="548"/>
      <c r="XH101" s="548"/>
      <c r="XI101" s="548"/>
      <c r="XJ101" s="548"/>
      <c r="XK101" s="548"/>
      <c r="XL101" s="548"/>
      <c r="XM101" s="548"/>
      <c r="XN101" s="548"/>
      <c r="XO101" s="548"/>
      <c r="XP101" s="548"/>
      <c r="XQ101" s="548"/>
      <c r="XR101" s="548"/>
      <c r="XS101" s="548"/>
      <c r="XT101" s="548"/>
      <c r="XU101" s="548"/>
      <c r="XV101" s="548"/>
      <c r="XW101" s="548"/>
      <c r="XX101" s="548"/>
      <c r="XY101" s="548"/>
      <c r="XZ101" s="548"/>
      <c r="YA101" s="548"/>
      <c r="YB101" s="548"/>
      <c r="YC101" s="548"/>
      <c r="YD101" s="548"/>
      <c r="YE101" s="548"/>
      <c r="YF101" s="548"/>
      <c r="YG101" s="548"/>
      <c r="YH101" s="548"/>
      <c r="YI101" s="548"/>
      <c r="YJ101" s="548"/>
      <c r="YK101" s="548"/>
      <c r="YL101" s="548"/>
      <c r="YM101" s="548"/>
      <c r="YN101" s="548"/>
      <c r="YO101" s="548"/>
      <c r="YP101" s="548"/>
      <c r="YQ101" s="548"/>
      <c r="YR101" s="548"/>
      <c r="YS101" s="548"/>
      <c r="YT101" s="548"/>
      <c r="YU101" s="548"/>
      <c r="YV101" s="548"/>
      <c r="YW101" s="548"/>
      <c r="YX101" s="548"/>
      <c r="YY101" s="548"/>
      <c r="YZ101" s="548"/>
      <c r="ZA101" s="548"/>
      <c r="ZB101" s="548"/>
      <c r="ZC101" s="548"/>
      <c r="ZD101" s="548"/>
      <c r="ZE101" s="548"/>
      <c r="ZF101" s="548"/>
      <c r="ZG101" s="548"/>
      <c r="ZH101" s="548"/>
      <c r="ZI101" s="548"/>
      <c r="ZJ101" s="548"/>
      <c r="ZK101" s="548"/>
      <c r="ZL101" s="548"/>
      <c r="ZM101" s="548"/>
      <c r="ZN101" s="548"/>
      <c r="ZO101" s="548"/>
      <c r="ZP101" s="548"/>
      <c r="ZQ101" s="548"/>
      <c r="ZR101" s="548"/>
      <c r="ZS101" s="548"/>
      <c r="ZT101" s="548"/>
      <c r="ZU101" s="548"/>
      <c r="ZV101" s="548"/>
      <c r="ZW101" s="548"/>
      <c r="ZX101" s="548"/>
      <c r="ZY101" s="548"/>
      <c r="ZZ101" s="548"/>
      <c r="AAA101" s="548"/>
      <c r="AAB101" s="548"/>
      <c r="AAC101" s="548"/>
      <c r="AAD101" s="548"/>
      <c r="AAE101" s="548"/>
      <c r="AAF101" s="548"/>
      <c r="AAG101" s="548"/>
      <c r="AAH101" s="548"/>
      <c r="AAI101" s="548"/>
      <c r="AAJ101" s="548"/>
      <c r="AAK101" s="548"/>
      <c r="AAL101" s="548"/>
      <c r="AAM101" s="548"/>
      <c r="AAN101" s="548"/>
      <c r="AAO101" s="548"/>
      <c r="AAP101" s="548"/>
      <c r="AAQ101" s="548"/>
      <c r="AAR101" s="548"/>
      <c r="AAS101" s="548"/>
      <c r="AAT101" s="548"/>
      <c r="AAU101" s="548"/>
      <c r="AAV101" s="548"/>
      <c r="AAW101" s="548"/>
      <c r="AAX101" s="548"/>
      <c r="AAY101" s="548"/>
      <c r="AAZ101" s="548"/>
      <c r="ABA101" s="548"/>
      <c r="ABB101" s="548"/>
      <c r="ABC101" s="548"/>
      <c r="ABD101" s="548"/>
      <c r="ABE101" s="548"/>
      <c r="ABF101" s="548"/>
      <c r="ABG101" s="548"/>
      <c r="ABH101" s="548"/>
      <c r="ABI101" s="548"/>
      <c r="ABJ101" s="548"/>
      <c r="ABK101" s="548"/>
      <c r="ABL101" s="548"/>
      <c r="ABM101" s="548"/>
      <c r="ABN101" s="548"/>
      <c r="ABO101" s="548"/>
      <c r="ABP101" s="548"/>
      <c r="ABQ101" s="548"/>
      <c r="ABR101" s="548"/>
      <c r="ABS101" s="548"/>
    </row>
    <row r="102" spans="1:747" customFormat="1" ht="15" customHeight="1" thickBot="1" x14ac:dyDescent="0.25">
      <c r="A102" s="424" t="str">
        <f t="shared" si="909"/>
        <v/>
      </c>
      <c r="B102" s="415"/>
      <c r="C102" s="525"/>
      <c r="D102" s="750"/>
      <c r="E102" s="416" t="str">
        <f t="shared" si="1171"/>
        <v/>
      </c>
      <c r="F102" s="527" t="str">
        <f t="shared" si="1172"/>
        <v/>
      </c>
      <c r="G102" s="417"/>
      <c r="H102" s="585" t="str">
        <f t="shared" si="1173"/>
        <v/>
      </c>
      <c r="I102" s="424"/>
      <c r="J102" s="419"/>
      <c r="K102" s="418"/>
      <c r="L102" s="419"/>
      <c r="M102" s="415"/>
      <c r="N102" s="420"/>
      <c r="O102" s="421"/>
      <c r="P102" s="561"/>
      <c r="Q102" s="422"/>
      <c r="R102" s="561" t="str">
        <f t="shared" si="1174"/>
        <v/>
      </c>
      <c r="S102" s="664"/>
      <c r="T102" s="663"/>
      <c r="U102" s="580">
        <f t="shared" si="1175"/>
        <v>0</v>
      </c>
      <c r="V102" s="418"/>
      <c r="W102" s="582" t="str">
        <f t="shared" si="1176"/>
        <v/>
      </c>
      <c r="X102" s="479" t="str">
        <f t="shared" si="1177"/>
        <v/>
      </c>
      <c r="Y102" s="582" t="str">
        <f t="shared" si="1178"/>
        <v/>
      </c>
      <c r="Z102" s="317" t="str">
        <f t="shared" si="1179"/>
        <v/>
      </c>
      <c r="AA102" s="317" t="str">
        <f t="shared" si="1180"/>
        <v/>
      </c>
      <c r="AB102" s="317">
        <f t="shared" si="1181"/>
        <v>0</v>
      </c>
      <c r="AC102" s="317" t="str">
        <f t="shared" si="1182"/>
        <v/>
      </c>
      <c r="AD102" s="479"/>
      <c r="AE102" s="479"/>
      <c r="AF102" s="479"/>
      <c r="AG102" s="423"/>
      <c r="AH102" s="820"/>
      <c r="AI102" s="437"/>
      <c r="AJ102" s="660"/>
      <c r="AK102" s="524" t="str">
        <f t="shared" si="1183"/>
        <v/>
      </c>
      <c r="AL102" s="507">
        <f>COUNTIF($J$4:$J$163,"Formação")</f>
        <v>0</v>
      </c>
      <c r="AM102" s="507">
        <f>IF(AL102&lt;=15,1,IF(AND(AL102&gt;15,AL102&lt;=29),2,IF(AND(AL102&gt;29,AL102&lt;=43),3,IF(AND(AL102&gt;43,AL102&lt;=57),4,IF(AND(AL102&gt;57,AL102&lt;=71),5,IF(AND(AL102&gt;71,AL102&lt;=85),6,IF(AND(AL102&gt;85,AL102&lt;=99),7,IF(AND(AL102&gt;99,AL102&lt;=113),8,IF(AND(AL102&gt;113,AL102&lt;=127),9,IF(AND(AL102&gt;127,AL102&lt;=141),10,IF(AND(AL102&gt;141,AL102&lt;=155),11,IF(AND(AL102&gt;155,AL102&lt;=160),12,$AN$1))))))))))))</f>
        <v>1</v>
      </c>
      <c r="AN102" s="426">
        <f t="shared" si="1184"/>
        <v>0</v>
      </c>
      <c r="AO102" s="427" t="str">
        <f t="shared" si="1185"/>
        <v/>
      </c>
      <c r="AP102" s="426" t="str">
        <f t="shared" si="1186"/>
        <v/>
      </c>
      <c r="AQ102" s="426"/>
      <c r="AR102" s="426"/>
      <c r="AS102" s="428"/>
      <c r="AT102" s="429"/>
      <c r="AU102" s="430"/>
      <c r="AV102" s="431"/>
      <c r="AW102" s="432"/>
      <c r="AX102" s="430"/>
      <c r="AY102" s="431">
        <f t="shared" si="1187"/>
        <v>0</v>
      </c>
      <c r="AZ102" s="426"/>
      <c r="BA102" s="435" t="str">
        <f t="shared" si="1188"/>
        <v/>
      </c>
      <c r="BB102" s="435"/>
      <c r="BC102" s="426"/>
      <c r="BD102" s="426">
        <f t="array" ref="BD102">IF(SUM((BC102=$BC$3:BC101)*1)=0,BC102,0)</f>
        <v>0</v>
      </c>
      <c r="BE102" s="426"/>
      <c r="BF102" s="426"/>
      <c r="BG102" s="426">
        <f t="array" ref="BG102">IF(SUM((BF102=$BF$3:BF101)*1)=0,BF102,0)</f>
        <v>0</v>
      </c>
      <c r="BH102" s="426"/>
      <c r="BI102" s="426"/>
      <c r="BJ102" s="426"/>
      <c r="BK102" s="426"/>
      <c r="BL102" s="426"/>
      <c r="BM102" s="426"/>
      <c r="BN102" s="426"/>
      <c r="BO102" s="426"/>
      <c r="BP102" s="433">
        <f t="shared" si="1189"/>
        <v>0</v>
      </c>
      <c r="BQ102" s="426"/>
      <c r="BR102" s="434"/>
      <c r="BS102" s="426"/>
      <c r="BT102" s="433"/>
      <c r="BU102" s="435"/>
      <c r="BV102" s="435" t="str">
        <f t="shared" si="1190"/>
        <v/>
      </c>
      <c r="BW102" s="435" t="str">
        <f t="shared" si="798"/>
        <v/>
      </c>
      <c r="BX102" s="435"/>
      <c r="BY102" s="435"/>
      <c r="BZ102" s="435"/>
      <c r="CA102" s="435"/>
      <c r="CB102" s="435"/>
      <c r="CC102" s="435"/>
      <c r="CD102" s="435"/>
      <c r="CE102" s="435"/>
      <c r="CF102" s="435"/>
      <c r="CG102" s="435"/>
      <c r="CH102" s="435"/>
      <c r="CI102" s="435"/>
      <c r="CJ102" s="426" t="str">
        <f t="shared" si="799"/>
        <v/>
      </c>
      <c r="CK102" s="435"/>
      <c r="CL102" s="426"/>
      <c r="CM102" s="435"/>
      <c r="CN102" s="426"/>
      <c r="CO102" s="426"/>
      <c r="CP102" s="426"/>
      <c r="CQ102" s="426"/>
      <c r="CR102" s="426"/>
      <c r="CS102" s="426"/>
      <c r="CT102" s="426"/>
      <c r="CU102" s="426"/>
      <c r="CV102" s="426"/>
      <c r="CW102" s="493"/>
      <c r="CX102" s="493"/>
      <c r="CY102" s="426">
        <v>99</v>
      </c>
      <c r="CZ102" s="493"/>
      <c r="DA102" s="493"/>
      <c r="DB102" s="493"/>
      <c r="DC102" s="426" t="s">
        <v>842</v>
      </c>
      <c r="DD102" s="426" t="s">
        <v>1002</v>
      </c>
      <c r="DE102" s="435" t="str">
        <f t="shared" si="800"/>
        <v/>
      </c>
      <c r="DF102" s="435" t="str">
        <f t="shared" si="801"/>
        <v/>
      </c>
      <c r="DG102" s="435" t="str">
        <f t="shared" si="802"/>
        <v/>
      </c>
      <c r="DH102" s="435" t="str">
        <f t="shared" si="803"/>
        <v/>
      </c>
      <c r="DI102" s="435" t="str">
        <f t="shared" si="804"/>
        <v/>
      </c>
      <c r="DJ102" s="435" t="str">
        <f t="shared" si="805"/>
        <v/>
      </c>
      <c r="DK102" s="435" t="str">
        <f t="shared" si="1191"/>
        <v/>
      </c>
      <c r="DL102" s="435" t="str">
        <f t="shared" si="1192"/>
        <v/>
      </c>
      <c r="DM102" s="435" t="str">
        <f t="shared" si="806"/>
        <v/>
      </c>
      <c r="DN102" s="435" t="str">
        <f t="shared" si="807"/>
        <v/>
      </c>
      <c r="DO102" s="435" t="str">
        <f t="shared" si="1193"/>
        <v/>
      </c>
      <c r="DP102" s="435" t="str">
        <f t="shared" si="1194"/>
        <v/>
      </c>
      <c r="DQ102" s="435" t="str">
        <f t="shared" si="808"/>
        <v/>
      </c>
      <c r="DR102" s="435" t="str">
        <f t="shared" si="809"/>
        <v/>
      </c>
      <c r="DS102" s="435" t="str">
        <f t="shared" si="1195"/>
        <v/>
      </c>
      <c r="DT102" s="435" t="str">
        <f t="shared" si="1196"/>
        <v/>
      </c>
      <c r="DU102" s="435" t="str">
        <f t="shared" si="810"/>
        <v/>
      </c>
      <c r="DV102" s="435" t="str">
        <f t="shared" si="811"/>
        <v/>
      </c>
      <c r="DW102" s="435" t="str">
        <f t="shared" si="1197"/>
        <v/>
      </c>
      <c r="DX102" s="435" t="str">
        <f t="shared" si="1198"/>
        <v/>
      </c>
      <c r="DY102" s="435" t="str">
        <f t="shared" si="812"/>
        <v/>
      </c>
      <c r="DZ102" s="435" t="str">
        <f t="shared" si="813"/>
        <v/>
      </c>
      <c r="EA102" s="435" t="str">
        <f t="shared" si="1199"/>
        <v/>
      </c>
      <c r="EB102" s="435" t="str">
        <f t="shared" si="1200"/>
        <v/>
      </c>
      <c r="EC102" s="435" t="str">
        <f t="shared" si="1201"/>
        <v/>
      </c>
      <c r="ED102" s="435" t="str">
        <f t="shared" si="1202"/>
        <v/>
      </c>
      <c r="EE102" s="435" t="str">
        <f t="shared" si="1203"/>
        <v/>
      </c>
      <c r="EF102" s="435" t="str">
        <f t="shared" si="1204"/>
        <v/>
      </c>
      <c r="EG102" s="435" t="str">
        <f t="shared" si="1205"/>
        <v/>
      </c>
      <c r="EH102" s="435" t="str">
        <f t="shared" si="1206"/>
        <v/>
      </c>
      <c r="EI102" s="435" t="str">
        <f t="shared" si="1207"/>
        <v/>
      </c>
      <c r="EJ102" s="435" t="str">
        <f t="shared" si="1208"/>
        <v/>
      </c>
      <c r="EK102" s="485"/>
      <c r="EL102" s="485"/>
      <c r="EM102" s="485"/>
      <c r="EN102" s="485"/>
      <c r="EO102" s="448"/>
      <c r="EP102" s="448"/>
      <c r="EQ102" s="448"/>
      <c r="ER102" s="448"/>
      <c r="ES102" s="448"/>
      <c r="ET102" s="435"/>
      <c r="EU102" s="435"/>
      <c r="EV102" s="435"/>
      <c r="EW102" s="435"/>
      <c r="EX102" s="426"/>
      <c r="EY102" s="426"/>
      <c r="EZ102" s="426"/>
      <c r="FA102" s="863"/>
      <c r="FB102" s="427">
        <f t="array" ref="FB102">IF(SUM((FA102=$FA$3:FA101)*1)=0,FA102,0)</f>
        <v>0</v>
      </c>
      <c r="FC102" s="863"/>
      <c r="FD102" s="863"/>
      <c r="FE102" s="863">
        <f t="array" ref="FE102">IF(SUM((FD102=$FD$3:FD101)*1)=0,FD102,0)</f>
        <v>0</v>
      </c>
      <c r="FF102" s="863"/>
      <c r="FG102" s="863"/>
      <c r="FH102" s="863"/>
      <c r="FI102" s="427">
        <f t="array" ref="FI102">IF(SUM((FH102=$FH$3:FH101)*1)=0,FH102,0)</f>
        <v>0</v>
      </c>
      <c r="FJ102" s="863"/>
      <c r="FK102" s="863"/>
      <c r="FL102" s="863">
        <f t="array" ref="FL102">IF(SUM((FK102=$FK$3:FK101)*1)=0,FK102,0)</f>
        <v>0</v>
      </c>
      <c r="FM102" s="863"/>
      <c r="FN102" s="863"/>
      <c r="FO102" s="863"/>
      <c r="FP102" s="427">
        <f t="array" ref="FP102">IF(SUM((FO102=$FO$3:FO101)*1)=0,FO102,0)</f>
        <v>0</v>
      </c>
      <c r="FQ102" s="863"/>
      <c r="FR102" s="863"/>
      <c r="FS102" s="863">
        <f t="array" ref="FS102">IF(SUM((FR102=$FR$3:FR101)*1)=0,FR102,0)</f>
        <v>0</v>
      </c>
      <c r="FT102" s="863"/>
      <c r="FU102" s="863"/>
      <c r="FV102" s="863"/>
      <c r="FW102" s="427">
        <f t="array" ref="FW102">IF(SUM((FV102=$FV$3:FV101)*1)=0,FV102,0)</f>
        <v>0</v>
      </c>
      <c r="FX102" s="863"/>
      <c r="FY102" s="863"/>
      <c r="FZ102" s="863">
        <f t="array" ref="FZ102">IF(SUM((FY102=$FY$3:FY101)*1)=0,FY102,0)</f>
        <v>0</v>
      </c>
      <c r="GA102" s="863"/>
      <c r="GB102" s="863"/>
      <c r="GC102" s="863"/>
      <c r="GD102" s="427">
        <f t="array" ref="GD102">IF(SUM((GC102=$GC$3:GC101)*1)=0,GC102,0)</f>
        <v>0</v>
      </c>
      <c r="GE102" s="863"/>
      <c r="GF102" s="863"/>
      <c r="GG102" s="863">
        <f t="array" ref="GG102">IF(SUM((GF102=$GF$3:GF101)*1)=0,GF102,0)</f>
        <v>0</v>
      </c>
      <c r="GH102" s="863"/>
      <c r="GI102" s="863"/>
      <c r="GJ102" s="863"/>
      <c r="GK102" s="798">
        <f t="array" ref="GK102">IF(SUM((GJ102=$GJ$3:GJ101)*1)=0,GJ102,0)</f>
        <v>0</v>
      </c>
      <c r="GL102" s="863"/>
      <c r="GM102" s="863"/>
      <c r="GN102" s="798">
        <f t="array" ref="GN102">IF(SUM((GM102=$GM$3:GM101)*1)=0,GM102,0)</f>
        <v>0</v>
      </c>
      <c r="GO102" s="863"/>
      <c r="GP102" s="863"/>
      <c r="GQ102" s="863"/>
      <c r="GR102" s="798">
        <f t="array" ref="GR102">IF(SUM((GQ102=$GQ$3:GQ101)*1)=0,GQ102,0)</f>
        <v>0</v>
      </c>
      <c r="GS102" s="863"/>
      <c r="GT102" s="863"/>
      <c r="GU102" s="798">
        <f t="array" ref="GU102">IF(SUM((GT102=$GT$3:GT101)*1)=0,GT102,0)</f>
        <v>0</v>
      </c>
      <c r="GV102" s="863"/>
      <c r="GW102" s="863"/>
      <c r="GX102" s="863"/>
      <c r="GY102" s="798">
        <f t="array" ref="GY102">IF(SUM((GX102=$GX$3:GX101)*1)=0,GX102,0)</f>
        <v>0</v>
      </c>
      <c r="GZ102" s="863"/>
      <c r="HA102" s="863"/>
      <c r="HB102" s="798">
        <f t="array" ref="HB102">IF(SUM((HA102=$HA$3:HA101)*1)=0,HA102,0)</f>
        <v>0</v>
      </c>
      <c r="HC102" s="863"/>
      <c r="HD102" s="863"/>
      <c r="HE102" s="769" t="str">
        <f t="shared" si="889"/>
        <v/>
      </c>
      <c r="HF102" s="768" t="str">
        <f t="shared" ref="HF102" si="1259">IF(HE102&lt;0,"Invadiu REP-BA-C","")</f>
        <v/>
      </c>
      <c r="HG102" s="769" t="str">
        <f t="shared" si="891"/>
        <v/>
      </c>
      <c r="HH102" s="768" t="str">
        <f t="shared" si="815"/>
        <v/>
      </c>
      <c r="HI102" s="728" t="str">
        <f t="shared" si="892"/>
        <v/>
      </c>
      <c r="HJ102" s="768" t="str">
        <f t="shared" si="816"/>
        <v/>
      </c>
      <c r="HK102" s="728" t="str">
        <f t="shared" si="893"/>
        <v/>
      </c>
      <c r="HL102" s="768" t="str">
        <f t="shared" si="817"/>
        <v/>
      </c>
      <c r="HM102" s="769" t="str">
        <f t="shared" si="1219"/>
        <v/>
      </c>
      <c r="HN102" s="768" t="str">
        <f t="shared" ref="HN102" si="1260">IF(HM102&lt;0,"Invadiu REP-BA-C","")</f>
        <v/>
      </c>
      <c r="HO102" s="769" t="str">
        <f t="shared" si="1221"/>
        <v/>
      </c>
      <c r="HP102" s="768" t="str">
        <f t="shared" si="821"/>
        <v/>
      </c>
      <c r="HQ102" s="728" t="str">
        <f t="shared" si="1222"/>
        <v/>
      </c>
      <c r="HR102" s="768" t="str">
        <f t="shared" si="823"/>
        <v/>
      </c>
      <c r="HS102" s="728" t="str">
        <f t="shared" si="1223"/>
        <v/>
      </c>
      <c r="HT102" s="768" t="str">
        <f t="shared" si="825"/>
        <v/>
      </c>
      <c r="HU102" s="769" t="str">
        <f t="shared" si="1224"/>
        <v/>
      </c>
      <c r="HV102" s="768" t="str">
        <f t="shared" ref="HV102" si="1261">IF(HU102&lt;0,"Invadiu REP-BA-C","")</f>
        <v/>
      </c>
      <c r="HW102" s="769" t="str">
        <f t="shared" si="1226"/>
        <v/>
      </c>
      <c r="HX102" s="768" t="str">
        <f t="shared" si="829"/>
        <v/>
      </c>
      <c r="HY102" s="728" t="str">
        <f t="shared" si="1227"/>
        <v/>
      </c>
      <c r="HZ102" s="768" t="str">
        <f t="shared" si="831"/>
        <v/>
      </c>
      <c r="IA102" s="728" t="str">
        <f t="shared" si="1228"/>
        <v/>
      </c>
      <c r="IB102" s="768" t="str">
        <f t="shared" si="833"/>
        <v/>
      </c>
      <c r="IC102" s="769" t="str">
        <f t="shared" si="1229"/>
        <v/>
      </c>
      <c r="ID102" s="768" t="str">
        <f t="shared" ref="ID102" si="1262">IF(IC102&lt;0,"Invadiu REP-BA-C","")</f>
        <v/>
      </c>
      <c r="IE102" s="769" t="str">
        <f t="shared" si="1231"/>
        <v/>
      </c>
      <c r="IF102" s="768" t="str">
        <f t="shared" si="837"/>
        <v/>
      </c>
      <c r="IG102" s="728" t="str">
        <f t="shared" si="1232"/>
        <v/>
      </c>
      <c r="IH102" s="768" t="str">
        <f t="shared" si="839"/>
        <v/>
      </c>
      <c r="II102" s="728" t="str">
        <f t="shared" si="1233"/>
        <v/>
      </c>
      <c r="IJ102" s="768" t="str">
        <f t="shared" si="841"/>
        <v/>
      </c>
      <c r="IK102" s="769" t="str">
        <f t="shared" si="1234"/>
        <v/>
      </c>
      <c r="IL102" s="768" t="str">
        <f t="shared" ref="IL102" si="1263">IF(IK102&lt;0,"Invadiu REP-BA-C","")</f>
        <v/>
      </c>
      <c r="IM102" s="769" t="str">
        <f t="shared" si="1236"/>
        <v/>
      </c>
      <c r="IN102" s="768" t="str">
        <f t="shared" si="845"/>
        <v/>
      </c>
      <c r="IO102" s="728" t="str">
        <f t="shared" si="1237"/>
        <v/>
      </c>
      <c r="IP102" s="768" t="str">
        <f t="shared" si="847"/>
        <v/>
      </c>
      <c r="IQ102" s="728" t="str">
        <f t="shared" si="1238"/>
        <v/>
      </c>
      <c r="IR102" s="768" t="str">
        <f t="shared" si="849"/>
        <v/>
      </c>
      <c r="IS102" s="769" t="str">
        <f t="shared" si="1239"/>
        <v/>
      </c>
      <c r="IT102" s="768" t="str">
        <f t="shared" ref="IT102" si="1264">IF(IS102&lt;0,"Invadiu REP-BA-C","")</f>
        <v/>
      </c>
      <c r="IU102" s="769" t="str">
        <f t="shared" si="1241"/>
        <v/>
      </c>
      <c r="IV102" s="768" t="str">
        <f t="shared" si="853"/>
        <v/>
      </c>
      <c r="IW102" s="728" t="str">
        <f t="shared" si="1242"/>
        <v/>
      </c>
      <c r="IX102" s="768" t="str">
        <f t="shared" si="855"/>
        <v/>
      </c>
      <c r="IY102" s="728" t="str">
        <f t="shared" si="1243"/>
        <v/>
      </c>
      <c r="IZ102" s="768" t="str">
        <f t="shared" si="857"/>
        <v/>
      </c>
      <c r="JA102" s="769" t="str">
        <f t="shared" si="1244"/>
        <v/>
      </c>
      <c r="JB102" s="768" t="str">
        <f t="shared" ref="JB102" si="1265">IF(JA102&lt;0,"Invadiu REP-BA-C","")</f>
        <v/>
      </c>
      <c r="JC102" s="769" t="str">
        <f t="shared" si="1246"/>
        <v/>
      </c>
      <c r="JD102" s="768" t="str">
        <f t="shared" si="861"/>
        <v/>
      </c>
      <c r="JE102" s="728" t="str">
        <f t="shared" si="1247"/>
        <v/>
      </c>
      <c r="JF102" s="768" t="str">
        <f t="shared" si="863"/>
        <v/>
      </c>
      <c r="JG102" s="728" t="str">
        <f t="shared" si="1248"/>
        <v/>
      </c>
      <c r="JH102" s="768" t="str">
        <f t="shared" si="865"/>
        <v/>
      </c>
      <c r="JI102" s="769" t="str">
        <f t="shared" si="1249"/>
        <v/>
      </c>
      <c r="JJ102" s="768" t="str">
        <f t="shared" ref="JJ102" si="1266">IF(JI102&lt;0,"Invadiu REP-BA-C","")</f>
        <v/>
      </c>
      <c r="JK102" s="769" t="str">
        <f t="shared" si="1251"/>
        <v/>
      </c>
      <c r="JL102" s="768" t="str">
        <f t="shared" si="869"/>
        <v/>
      </c>
      <c r="JM102" s="728" t="str">
        <f t="shared" si="1252"/>
        <v/>
      </c>
      <c r="JN102" s="768" t="str">
        <f t="shared" si="871"/>
        <v/>
      </c>
      <c r="JO102" s="728" t="str">
        <f t="shared" si="1253"/>
        <v/>
      </c>
      <c r="JP102" s="768" t="str">
        <f t="shared" si="873"/>
        <v/>
      </c>
      <c r="JQ102" s="769" t="str">
        <f t="shared" si="1254"/>
        <v/>
      </c>
      <c r="JR102" s="768" t="str">
        <f t="shared" ref="JR102" si="1267">IF(JQ102&lt;0,"Invadiu REP-BA-C","")</f>
        <v/>
      </c>
      <c r="JS102" s="769" t="str">
        <f t="shared" si="1256"/>
        <v/>
      </c>
      <c r="JT102" s="768" t="str">
        <f t="shared" si="877"/>
        <v/>
      </c>
      <c r="JU102" s="728" t="str">
        <f t="shared" si="1257"/>
        <v/>
      </c>
      <c r="JV102" s="768" t="str">
        <f t="shared" si="879"/>
        <v/>
      </c>
      <c r="JW102" s="728" t="str">
        <f t="shared" si="1258"/>
        <v/>
      </c>
      <c r="JX102" s="768" t="str">
        <f t="shared" si="881"/>
        <v/>
      </c>
      <c r="JY102" s="768" t="str">
        <f t="shared" si="882"/>
        <v/>
      </c>
      <c r="JZ102" s="485" t="str">
        <f>IF(JY102="","",IF(AND(C102=$C$164,JY102&lt;&gt;""),Verificarcpf(D102),IF(AND(C102=$C$165,JY102&lt;&gt;""),VerificarCNPJ(D102))))</f>
        <v/>
      </c>
      <c r="KA102" s="768" t="str">
        <f t="shared" si="883"/>
        <v/>
      </c>
      <c r="KB102" s="485">
        <f t="shared" si="884"/>
        <v>0</v>
      </c>
      <c r="KC102" s="768">
        <f t="shared" si="885"/>
        <v>0</v>
      </c>
      <c r="KD102" s="485">
        <f t="shared" si="886"/>
        <v>0</v>
      </c>
      <c r="KE102" s="448"/>
      <c r="KF102" s="548"/>
      <c r="KG102" s="548"/>
      <c r="KH102" s="548"/>
      <c r="KI102" s="548"/>
      <c r="KJ102" s="548" t="str">
        <f t="shared" si="887"/>
        <v/>
      </c>
      <c r="KK102" s="548"/>
      <c r="KL102" s="548"/>
      <c r="KM102" s="548">
        <f t="array" ref="KM102">IF(SUM((KL102=$KL$3:KL101)*1)=0,KL102,0)</f>
        <v>0</v>
      </c>
      <c r="KN102" s="548"/>
      <c r="KO102" s="548"/>
      <c r="KP102" s="548"/>
      <c r="KQ102" s="548"/>
      <c r="KR102" s="548" t="str">
        <f t="shared" si="888"/>
        <v/>
      </c>
      <c r="KS102" s="548"/>
      <c r="KT102" s="548"/>
      <c r="KU102" s="548"/>
      <c r="KV102" s="548"/>
      <c r="KW102" s="548"/>
      <c r="KX102" s="548"/>
      <c r="KY102" s="548"/>
      <c r="KZ102" s="548"/>
      <c r="LA102" s="548"/>
      <c r="LB102" s="548"/>
      <c r="LC102" s="485" t="str">
        <f t="shared" si="902"/>
        <v/>
      </c>
      <c r="LD102" s="548"/>
      <c r="LE102" s="548"/>
      <c r="LF102" s="548"/>
      <c r="LG102" s="548"/>
      <c r="LH102" s="548"/>
      <c r="LI102" s="548"/>
      <c r="LJ102" s="548"/>
      <c r="LK102" s="548"/>
      <c r="LL102" s="548"/>
      <c r="LM102" s="548"/>
      <c r="LN102" s="548"/>
      <c r="LO102" s="548"/>
      <c r="LP102" s="485" t="str">
        <f t="shared" si="903"/>
        <v/>
      </c>
      <c r="LQ102" s="548"/>
      <c r="LR102" s="548"/>
      <c r="LS102" s="548"/>
      <c r="LT102" s="548"/>
      <c r="LU102" s="548"/>
      <c r="LV102" s="548"/>
      <c r="LW102" s="548"/>
      <c r="LX102" s="548"/>
      <c r="LY102" s="548"/>
      <c r="LZ102" s="548"/>
      <c r="MA102" s="548"/>
      <c r="MB102" s="548"/>
      <c r="MC102" s="485" t="str">
        <f t="shared" si="904"/>
        <v/>
      </c>
      <c r="MD102" s="548"/>
      <c r="ME102" s="548"/>
      <c r="MF102" s="548"/>
      <c r="MG102" s="548"/>
      <c r="MH102" s="548"/>
      <c r="MI102" s="548"/>
      <c r="MJ102" s="548"/>
      <c r="MK102" s="548"/>
      <c r="ML102" s="548"/>
      <c r="MM102" s="548"/>
      <c r="MN102" s="548"/>
      <c r="MO102" s="548"/>
      <c r="MP102" s="485" t="str">
        <f t="shared" si="905"/>
        <v/>
      </c>
      <c r="MQ102" s="548"/>
      <c r="MR102" s="548"/>
      <c r="MS102" s="548"/>
      <c r="MT102" s="548"/>
      <c r="MU102" s="548"/>
      <c r="MV102" s="548"/>
      <c r="MW102" s="548"/>
      <c r="MX102" s="548"/>
      <c r="MY102" s="548"/>
      <c r="MZ102" s="548"/>
      <c r="NA102" s="548"/>
      <c r="NB102" s="548"/>
      <c r="NC102" s="485" t="str">
        <f t="shared" si="906"/>
        <v/>
      </c>
      <c r="ND102" s="548"/>
      <c r="NE102" s="548"/>
      <c r="NF102" s="548"/>
      <c r="NG102" s="548"/>
      <c r="NH102" s="548"/>
      <c r="NI102" s="548"/>
      <c r="NJ102" s="548"/>
      <c r="NK102" s="548"/>
      <c r="NL102" s="548"/>
      <c r="NM102" s="548"/>
      <c r="NN102" s="548"/>
      <c r="NO102" s="548"/>
      <c r="NP102" s="485" t="str">
        <f t="shared" si="907"/>
        <v/>
      </c>
      <c r="NQ102" s="548"/>
      <c r="NR102" s="548"/>
      <c r="NS102" s="548"/>
      <c r="NT102" s="548"/>
      <c r="NU102" s="548"/>
      <c r="NV102" s="548"/>
      <c r="NW102" s="548"/>
      <c r="NX102" s="548"/>
      <c r="NY102" s="548"/>
      <c r="NZ102" s="548"/>
      <c r="OA102" s="548"/>
      <c r="OB102" s="548"/>
      <c r="OC102" s="485" t="str">
        <f t="shared" si="908"/>
        <v/>
      </c>
      <c r="OD102" s="548"/>
      <c r="OE102" s="548"/>
      <c r="OF102" s="548"/>
      <c r="OG102" s="548"/>
      <c r="OH102" s="548"/>
      <c r="OI102" s="548"/>
      <c r="OJ102" s="548"/>
      <c r="OK102" s="548"/>
      <c r="OL102" s="548"/>
      <c r="OM102" s="548"/>
      <c r="ON102" s="548"/>
      <c r="OO102" s="548"/>
      <c r="OP102" s="548"/>
      <c r="OQ102" s="548"/>
      <c r="OR102" s="548"/>
      <c r="OS102" s="548"/>
      <c r="OT102" s="548"/>
      <c r="OU102" s="548"/>
      <c r="OV102" s="548"/>
      <c r="OW102" s="548"/>
      <c r="OX102" s="548"/>
      <c r="OY102" s="548"/>
      <c r="OZ102" s="548"/>
      <c r="PA102" s="548"/>
      <c r="PB102" s="548"/>
      <c r="PC102" s="548"/>
      <c r="PD102" s="548"/>
      <c r="PE102" s="548"/>
      <c r="PF102" s="548"/>
      <c r="PG102" s="548"/>
      <c r="PH102" s="548"/>
      <c r="PI102" s="548"/>
      <c r="PJ102" s="548"/>
      <c r="PK102" s="548"/>
      <c r="PL102" s="548"/>
      <c r="PM102" s="548"/>
      <c r="PN102" s="548"/>
      <c r="PO102" s="548"/>
      <c r="PP102" s="548"/>
      <c r="PQ102" s="548"/>
      <c r="PR102" s="548"/>
      <c r="PS102" s="548"/>
      <c r="PT102" s="548"/>
      <c r="PU102" s="548"/>
      <c r="PV102" s="548"/>
      <c r="PW102" s="548"/>
      <c r="PX102" s="548"/>
      <c r="PY102" s="548"/>
      <c r="PZ102" s="548"/>
      <c r="QA102" s="548"/>
      <c r="QB102" s="548"/>
      <c r="QC102" s="548"/>
      <c r="QD102" s="548"/>
      <c r="QE102" s="548"/>
      <c r="QF102" s="548"/>
      <c r="QG102" s="548"/>
      <c r="QH102" s="548"/>
      <c r="QI102" s="548"/>
      <c r="QJ102" s="548"/>
      <c r="QK102" s="548"/>
      <c r="QL102" s="548"/>
      <c r="QM102" s="548"/>
      <c r="QN102" s="548"/>
      <c r="QO102" s="548"/>
      <c r="QP102" s="548"/>
      <c r="QQ102" s="1009"/>
      <c r="QR102" s="548"/>
      <c r="QS102" s="548"/>
      <c r="QT102" s="548"/>
      <c r="QU102" s="548"/>
      <c r="QV102" s="548"/>
      <c r="QW102" s="548"/>
      <c r="QX102" s="548"/>
      <c r="QY102" s="548"/>
      <c r="QZ102" s="548"/>
      <c r="RA102" s="548"/>
      <c r="RB102" s="548"/>
      <c r="RC102" s="548"/>
      <c r="RD102" s="548"/>
      <c r="RE102" s="548"/>
      <c r="RF102" s="548"/>
      <c r="RG102" s="548"/>
      <c r="RH102" s="548"/>
      <c r="RI102" s="548"/>
      <c r="RJ102" s="548"/>
      <c r="RK102" s="548"/>
      <c r="RL102" s="548"/>
      <c r="RM102" s="548"/>
      <c r="RN102" s="548"/>
      <c r="RO102" s="548"/>
      <c r="RP102" s="548"/>
      <c r="RQ102" s="548"/>
      <c r="RR102" s="548"/>
      <c r="RS102" s="548"/>
      <c r="RT102" s="548"/>
      <c r="RU102" s="548"/>
      <c r="RV102" s="548"/>
      <c r="RW102" s="548"/>
      <c r="RX102" s="548"/>
      <c r="RY102" s="548"/>
      <c r="RZ102" s="548"/>
      <c r="SA102" s="548"/>
      <c r="SB102" s="548"/>
      <c r="SC102" s="548"/>
      <c r="SD102" s="548"/>
      <c r="SE102" s="548"/>
      <c r="SF102" s="548"/>
      <c r="SG102" s="548"/>
      <c r="SH102" s="548"/>
      <c r="SI102" s="548"/>
      <c r="SJ102" s="548"/>
      <c r="SK102" s="548"/>
      <c r="SL102" s="548"/>
      <c r="SM102" s="548"/>
      <c r="SN102" s="548"/>
      <c r="SO102" s="548"/>
      <c r="SP102" s="548"/>
      <c r="SQ102" s="548"/>
      <c r="SR102" s="548"/>
      <c r="SS102" s="548"/>
      <c r="ST102" s="548"/>
      <c r="SU102" s="548"/>
      <c r="SV102" s="548"/>
      <c r="SW102" s="548"/>
      <c r="SX102" s="548"/>
      <c r="SY102" s="548"/>
      <c r="SZ102" s="548"/>
      <c r="TA102" s="548"/>
      <c r="TB102" s="548"/>
      <c r="TC102" s="548"/>
      <c r="TD102" s="548"/>
      <c r="TE102" s="548"/>
      <c r="TF102" s="548"/>
      <c r="TG102" s="548"/>
      <c r="TH102" s="548"/>
      <c r="TI102" s="548"/>
      <c r="TJ102" s="548"/>
      <c r="TK102" s="548"/>
      <c r="TL102" s="548"/>
      <c r="TM102" s="548"/>
      <c r="TN102" s="548"/>
      <c r="TO102" s="548"/>
      <c r="TP102" s="548"/>
      <c r="TQ102" s="548"/>
      <c r="TR102" s="548"/>
      <c r="TS102" s="548"/>
      <c r="TT102" s="548"/>
      <c r="TU102" s="548"/>
      <c r="TV102" s="548"/>
      <c r="TW102" s="548"/>
      <c r="TX102" s="548"/>
      <c r="TY102" s="548"/>
      <c r="TZ102" s="548"/>
      <c r="UA102" s="548"/>
      <c r="UB102" s="548"/>
      <c r="UC102" s="548"/>
      <c r="UD102" s="548"/>
      <c r="UE102" s="548"/>
      <c r="UF102" s="548"/>
      <c r="UG102" s="548"/>
      <c r="UH102" s="548"/>
      <c r="UI102" s="548"/>
      <c r="UJ102" s="548"/>
      <c r="UK102" s="548"/>
      <c r="UL102" s="548"/>
      <c r="UM102" s="548"/>
      <c r="UN102" s="548"/>
      <c r="UO102" s="548"/>
      <c r="UP102" s="548"/>
      <c r="UQ102" s="548"/>
      <c r="UR102" s="548"/>
      <c r="US102" s="548"/>
      <c r="UT102" s="548"/>
      <c r="UU102" s="548"/>
      <c r="UV102" s="548"/>
      <c r="UW102" s="548"/>
      <c r="UX102" s="548"/>
      <c r="UY102" s="548"/>
      <c r="UZ102" s="548"/>
      <c r="VA102" s="548"/>
      <c r="VB102" s="548"/>
      <c r="VC102" s="548"/>
      <c r="VD102" s="548"/>
      <c r="VE102" s="548"/>
      <c r="VF102" s="548"/>
      <c r="VG102" s="548"/>
      <c r="VH102" s="548"/>
      <c r="VI102" s="548"/>
      <c r="VJ102" s="548"/>
      <c r="VK102" s="548"/>
      <c r="VL102" s="548"/>
      <c r="VM102" s="548"/>
      <c r="VN102" s="548"/>
      <c r="VO102" s="548"/>
      <c r="VP102" s="548"/>
      <c r="VQ102" s="548"/>
      <c r="VR102" s="548"/>
      <c r="VS102" s="548"/>
      <c r="VT102" s="548"/>
      <c r="VU102" s="548"/>
      <c r="VV102" s="548"/>
      <c r="VW102" s="548"/>
      <c r="VX102" s="548"/>
      <c r="VY102" s="548"/>
      <c r="VZ102" s="548"/>
      <c r="WA102" s="548"/>
      <c r="WB102" s="548"/>
      <c r="WC102" s="548"/>
      <c r="WD102" s="548"/>
      <c r="WE102" s="548"/>
      <c r="WF102" s="548"/>
      <c r="WG102" s="548"/>
      <c r="WH102" s="548"/>
      <c r="WI102" s="548"/>
      <c r="WJ102" s="548"/>
      <c r="WK102" s="548"/>
      <c r="WL102" s="548"/>
      <c r="WM102" s="548"/>
      <c r="WN102" s="548"/>
      <c r="WO102" s="548"/>
      <c r="WP102" s="548"/>
      <c r="WQ102" s="548"/>
      <c r="WR102" s="548"/>
      <c r="WS102" s="548"/>
      <c r="WT102" s="548"/>
      <c r="WU102" s="548"/>
      <c r="WV102" s="548"/>
      <c r="WW102" s="548"/>
      <c r="WX102" s="548"/>
      <c r="WY102" s="548"/>
      <c r="WZ102" s="548"/>
      <c r="XA102" s="548"/>
      <c r="XB102" s="548"/>
      <c r="XC102" s="548"/>
      <c r="XD102" s="548"/>
      <c r="XE102" s="548"/>
      <c r="XF102" s="548"/>
      <c r="XG102" s="548"/>
      <c r="XH102" s="548"/>
      <c r="XI102" s="548"/>
      <c r="XJ102" s="548"/>
      <c r="XK102" s="548"/>
      <c r="XL102" s="548"/>
      <c r="XM102" s="548"/>
      <c r="XN102" s="548"/>
      <c r="XO102" s="548"/>
      <c r="XP102" s="548"/>
      <c r="XQ102" s="548"/>
      <c r="XR102" s="548"/>
      <c r="XS102" s="548"/>
      <c r="XT102" s="548"/>
      <c r="XU102" s="548"/>
      <c r="XV102" s="548"/>
      <c r="XW102" s="548"/>
      <c r="XX102" s="548"/>
      <c r="XY102" s="548"/>
      <c r="XZ102" s="548"/>
      <c r="YA102" s="548"/>
      <c r="YB102" s="548"/>
      <c r="YC102" s="548"/>
      <c r="YD102" s="548"/>
      <c r="YE102" s="548"/>
      <c r="YF102" s="548"/>
      <c r="YG102" s="548"/>
      <c r="YH102" s="548"/>
      <c r="YI102" s="548"/>
      <c r="YJ102" s="548"/>
      <c r="YK102" s="548"/>
      <c r="YL102" s="548"/>
      <c r="YM102" s="548"/>
      <c r="YN102" s="548"/>
      <c r="YO102" s="548"/>
      <c r="YP102" s="548"/>
      <c r="YQ102" s="548"/>
      <c r="YR102" s="548"/>
      <c r="YS102" s="548"/>
      <c r="YT102" s="548"/>
      <c r="YU102" s="548"/>
      <c r="YV102" s="548"/>
      <c r="YW102" s="548"/>
      <c r="YX102" s="548"/>
      <c r="YY102" s="548"/>
      <c r="YZ102" s="548"/>
      <c r="ZA102" s="548"/>
      <c r="ZB102" s="548"/>
      <c r="ZC102" s="548"/>
      <c r="ZD102" s="548"/>
      <c r="ZE102" s="548"/>
      <c r="ZF102" s="548"/>
      <c r="ZG102" s="548"/>
      <c r="ZH102" s="548"/>
      <c r="ZI102" s="548"/>
      <c r="ZJ102" s="548"/>
      <c r="ZK102" s="548"/>
      <c r="ZL102" s="548"/>
      <c r="ZM102" s="548"/>
      <c r="ZN102" s="548"/>
      <c r="ZO102" s="548"/>
      <c r="ZP102" s="548"/>
      <c r="ZQ102" s="548"/>
      <c r="ZR102" s="548"/>
      <c r="ZS102" s="548"/>
      <c r="ZT102" s="548"/>
      <c r="ZU102" s="548"/>
      <c r="ZV102" s="548"/>
      <c r="ZW102" s="548"/>
      <c r="ZX102" s="548"/>
      <c r="ZY102" s="548"/>
      <c r="ZZ102" s="548"/>
      <c r="AAA102" s="548"/>
      <c r="AAB102" s="548"/>
      <c r="AAC102" s="548"/>
      <c r="AAD102" s="548"/>
      <c r="AAE102" s="548"/>
      <c r="AAF102" s="548"/>
      <c r="AAG102" s="548"/>
      <c r="AAH102" s="548"/>
      <c r="AAI102" s="548"/>
      <c r="AAJ102" s="548"/>
      <c r="AAK102" s="548"/>
      <c r="AAL102" s="548"/>
      <c r="AAM102" s="548"/>
      <c r="AAN102" s="548"/>
      <c r="AAO102" s="548"/>
      <c r="AAP102" s="548"/>
      <c r="AAQ102" s="548"/>
      <c r="AAR102" s="548"/>
      <c r="AAS102" s="548"/>
      <c r="AAT102" s="548"/>
      <c r="AAU102" s="548"/>
      <c r="AAV102" s="548"/>
      <c r="AAW102" s="548"/>
      <c r="AAX102" s="548"/>
      <c r="AAY102" s="548"/>
      <c r="AAZ102" s="548"/>
      <c r="ABA102" s="548"/>
      <c r="ABB102" s="548"/>
      <c r="ABC102" s="548"/>
      <c r="ABD102" s="548"/>
      <c r="ABE102" s="548"/>
      <c r="ABF102" s="548"/>
      <c r="ABG102" s="548"/>
      <c r="ABH102" s="548"/>
      <c r="ABI102" s="548"/>
      <c r="ABJ102" s="548"/>
      <c r="ABK102" s="548"/>
      <c r="ABL102" s="548"/>
      <c r="ABM102" s="548"/>
      <c r="ABN102" s="548"/>
      <c r="ABO102" s="548"/>
      <c r="ABP102" s="548"/>
      <c r="ABQ102" s="548"/>
      <c r="ABR102" s="548"/>
      <c r="ABS102" s="548"/>
    </row>
    <row r="103" spans="1:747" customFormat="1" ht="15" customHeight="1" x14ac:dyDescent="0.2">
      <c r="A103" s="424" t="str">
        <f t="shared" si="909"/>
        <v/>
      </c>
      <c r="B103" s="415"/>
      <c r="C103" s="525"/>
      <c r="D103" s="750"/>
      <c r="E103" s="416" t="str">
        <f t="shared" si="1171"/>
        <v/>
      </c>
      <c r="F103" s="527" t="str">
        <f t="shared" si="1172"/>
        <v/>
      </c>
      <c r="G103" s="417"/>
      <c r="H103" s="585" t="str">
        <f t="shared" si="1173"/>
        <v/>
      </c>
      <c r="I103" s="424"/>
      <c r="J103" s="419"/>
      <c r="K103" s="418"/>
      <c r="L103" s="419"/>
      <c r="M103" s="415"/>
      <c r="N103" s="420"/>
      <c r="O103" s="421"/>
      <c r="P103" s="561"/>
      <c r="Q103" s="422"/>
      <c r="R103" s="561" t="str">
        <f t="shared" si="1174"/>
        <v/>
      </c>
      <c r="S103" s="664"/>
      <c r="T103" s="997"/>
      <c r="U103" s="580">
        <f t="shared" si="1175"/>
        <v>0</v>
      </c>
      <c r="V103" s="418"/>
      <c r="W103" s="582" t="str">
        <f t="shared" si="1176"/>
        <v/>
      </c>
      <c r="X103" s="479" t="str">
        <f t="shared" si="1177"/>
        <v/>
      </c>
      <c r="Y103" s="582" t="str">
        <f t="shared" si="1178"/>
        <v/>
      </c>
      <c r="Z103" s="317" t="str">
        <f t="shared" si="1179"/>
        <v/>
      </c>
      <c r="AA103" s="317" t="str">
        <f t="shared" si="1180"/>
        <v/>
      </c>
      <c r="AB103" s="317">
        <f t="shared" si="1181"/>
        <v>0</v>
      </c>
      <c r="AC103" s="317" t="str">
        <f t="shared" si="1182"/>
        <v/>
      </c>
      <c r="AD103" s="479"/>
      <c r="AE103" s="479"/>
      <c r="AF103" s="479"/>
      <c r="AG103" s="423"/>
      <c r="AH103" s="820"/>
      <c r="AI103" s="437"/>
      <c r="AJ103" s="660"/>
      <c r="AK103" s="524" t="str">
        <f t="shared" si="1183"/>
        <v/>
      </c>
      <c r="AL103" s="729">
        <f>SUMIF($J$4:$J$18,"Formação",$S$4:$S$18)</f>
        <v>0</v>
      </c>
      <c r="AM103" s="730">
        <f>SUMIF($J$4:$J$18,"Formação",$T$4:$T$18)</f>
        <v>0</v>
      </c>
      <c r="AN103" s="426">
        <f t="shared" si="1184"/>
        <v>0</v>
      </c>
      <c r="AO103" s="427" t="str">
        <f t="shared" si="1185"/>
        <v/>
      </c>
      <c r="AP103" s="426" t="str">
        <f t="shared" si="1186"/>
        <v/>
      </c>
      <c r="AQ103" s="426"/>
      <c r="AR103" s="426"/>
      <c r="AS103" s="428"/>
      <c r="AT103" s="429"/>
      <c r="AU103" s="430"/>
      <c r="AV103" s="431"/>
      <c r="AW103" s="432"/>
      <c r="AX103" s="430"/>
      <c r="AY103" s="431">
        <f t="shared" si="1187"/>
        <v>0</v>
      </c>
      <c r="AZ103" s="426"/>
      <c r="BA103" s="435" t="str">
        <f t="shared" si="1188"/>
        <v/>
      </c>
      <c r="BB103" s="435"/>
      <c r="BC103" s="426"/>
      <c r="BD103" s="426">
        <f t="array" ref="BD103">IF(SUM((BC103=$BC$3:BC102)*1)=0,BC103,0)</f>
        <v>0</v>
      </c>
      <c r="BE103" s="426"/>
      <c r="BF103" s="426"/>
      <c r="BG103" s="426">
        <f t="array" ref="BG103">IF(SUM((BF103=$BF$3:BF102)*1)=0,BF103,0)</f>
        <v>0</v>
      </c>
      <c r="BH103" s="426"/>
      <c r="BI103" s="426"/>
      <c r="BJ103" s="426"/>
      <c r="BK103" s="426"/>
      <c r="BL103" s="426"/>
      <c r="BM103" s="426"/>
      <c r="BN103" s="426"/>
      <c r="BO103" s="426"/>
      <c r="BP103" s="433">
        <f t="shared" si="1189"/>
        <v>0</v>
      </c>
      <c r="BQ103" s="426"/>
      <c r="BR103" s="434"/>
      <c r="BS103" s="426"/>
      <c r="BT103" s="433"/>
      <c r="BU103" s="435"/>
      <c r="BV103" s="435" t="str">
        <f t="shared" si="1190"/>
        <v/>
      </c>
      <c r="BW103" s="435" t="str">
        <f t="shared" si="798"/>
        <v/>
      </c>
      <c r="BX103" s="435"/>
      <c r="BY103" s="435"/>
      <c r="BZ103" s="435"/>
      <c r="CA103" s="435"/>
      <c r="CB103" s="435"/>
      <c r="CC103" s="435"/>
      <c r="CD103" s="435"/>
      <c r="CE103" s="435"/>
      <c r="CF103" s="435"/>
      <c r="CG103" s="435"/>
      <c r="CH103" s="435"/>
      <c r="CI103" s="435"/>
      <c r="CJ103" s="426" t="str">
        <f t="shared" si="799"/>
        <v/>
      </c>
      <c r="CK103" s="435"/>
      <c r="CL103" s="426"/>
      <c r="CM103" s="435"/>
      <c r="CN103" s="426"/>
      <c r="CO103" s="426"/>
      <c r="CP103" s="426"/>
      <c r="CQ103" s="426"/>
      <c r="CR103" s="426"/>
      <c r="CS103" s="426"/>
      <c r="CT103" s="426"/>
      <c r="CU103" s="426"/>
      <c r="CV103" s="426"/>
      <c r="CW103" s="493"/>
      <c r="CX103" s="493"/>
      <c r="CY103" s="426">
        <v>100</v>
      </c>
      <c r="CZ103" s="493"/>
      <c r="DA103" s="493"/>
      <c r="DB103" s="493"/>
      <c r="DC103" s="426" t="s">
        <v>843</v>
      </c>
      <c r="DD103" s="426" t="s">
        <v>1003</v>
      </c>
      <c r="DE103" s="435" t="str">
        <f t="shared" si="800"/>
        <v/>
      </c>
      <c r="DF103" s="435" t="str">
        <f t="shared" si="801"/>
        <v/>
      </c>
      <c r="DG103" s="435" t="str">
        <f t="shared" si="802"/>
        <v/>
      </c>
      <c r="DH103" s="435" t="str">
        <f t="shared" si="803"/>
        <v/>
      </c>
      <c r="DI103" s="435" t="str">
        <f t="shared" si="804"/>
        <v/>
      </c>
      <c r="DJ103" s="435" t="str">
        <f t="shared" si="805"/>
        <v/>
      </c>
      <c r="DK103" s="435" t="str">
        <f t="shared" si="1191"/>
        <v/>
      </c>
      <c r="DL103" s="435" t="str">
        <f t="shared" si="1192"/>
        <v/>
      </c>
      <c r="DM103" s="435" t="str">
        <f t="shared" si="806"/>
        <v/>
      </c>
      <c r="DN103" s="435" t="str">
        <f t="shared" si="807"/>
        <v/>
      </c>
      <c r="DO103" s="435" t="str">
        <f t="shared" si="1193"/>
        <v/>
      </c>
      <c r="DP103" s="435" t="str">
        <f t="shared" si="1194"/>
        <v/>
      </c>
      <c r="DQ103" s="435" t="str">
        <f t="shared" si="808"/>
        <v/>
      </c>
      <c r="DR103" s="435" t="str">
        <f t="shared" si="809"/>
        <v/>
      </c>
      <c r="DS103" s="435" t="str">
        <f t="shared" si="1195"/>
        <v/>
      </c>
      <c r="DT103" s="435" t="str">
        <f t="shared" si="1196"/>
        <v/>
      </c>
      <c r="DU103" s="435" t="str">
        <f t="shared" si="810"/>
        <v/>
      </c>
      <c r="DV103" s="435" t="str">
        <f t="shared" si="811"/>
        <v/>
      </c>
      <c r="DW103" s="435" t="str">
        <f t="shared" si="1197"/>
        <v/>
      </c>
      <c r="DX103" s="435" t="str">
        <f t="shared" si="1198"/>
        <v/>
      </c>
      <c r="DY103" s="435" t="str">
        <f t="shared" si="812"/>
        <v/>
      </c>
      <c r="DZ103" s="435" t="str">
        <f t="shared" si="813"/>
        <v/>
      </c>
      <c r="EA103" s="435" t="str">
        <f t="shared" si="1199"/>
        <v/>
      </c>
      <c r="EB103" s="435" t="str">
        <f t="shared" si="1200"/>
        <v/>
      </c>
      <c r="EC103" s="435" t="str">
        <f t="shared" si="1201"/>
        <v/>
      </c>
      <c r="ED103" s="435" t="str">
        <f t="shared" si="1202"/>
        <v/>
      </c>
      <c r="EE103" s="435" t="str">
        <f t="shared" si="1203"/>
        <v/>
      </c>
      <c r="EF103" s="435" t="str">
        <f t="shared" si="1204"/>
        <v/>
      </c>
      <c r="EG103" s="435" t="str">
        <f t="shared" si="1205"/>
        <v/>
      </c>
      <c r="EH103" s="435" t="str">
        <f t="shared" si="1206"/>
        <v/>
      </c>
      <c r="EI103" s="435" t="str">
        <f t="shared" si="1207"/>
        <v/>
      </c>
      <c r="EJ103" s="435" t="str">
        <f t="shared" si="1208"/>
        <v/>
      </c>
      <c r="EK103" s="485"/>
      <c r="EL103" s="485"/>
      <c r="EM103" s="485"/>
      <c r="EN103" s="485"/>
      <c r="EO103" s="448"/>
      <c r="EP103" s="448"/>
      <c r="EQ103" s="448"/>
      <c r="ER103" s="448"/>
      <c r="ES103" s="448"/>
      <c r="ET103" s="435"/>
      <c r="EU103" s="435"/>
      <c r="EV103" s="435"/>
      <c r="EW103" s="435"/>
      <c r="EX103" s="426"/>
      <c r="EY103" s="426"/>
      <c r="EZ103" s="426"/>
      <c r="FA103" s="863"/>
      <c r="FB103" s="427">
        <f t="array" ref="FB103">IF(SUM((FA103=$FA$3:FA102)*1)=0,FA103,0)</f>
        <v>0</v>
      </c>
      <c r="FC103" s="863"/>
      <c r="FD103" s="863"/>
      <c r="FE103" s="863">
        <f t="array" ref="FE103">IF(SUM((FD103=$FD$3:FD102)*1)=0,FD103,0)</f>
        <v>0</v>
      </c>
      <c r="FF103" s="863"/>
      <c r="FG103" s="863"/>
      <c r="FH103" s="863"/>
      <c r="FI103" s="427">
        <f t="array" ref="FI103">IF(SUM((FH103=$FH$3:FH102)*1)=0,FH103,0)</f>
        <v>0</v>
      </c>
      <c r="FJ103" s="863"/>
      <c r="FK103" s="863"/>
      <c r="FL103" s="863">
        <f t="array" ref="FL103">IF(SUM((FK103=$FK$3:FK102)*1)=0,FK103,0)</f>
        <v>0</v>
      </c>
      <c r="FM103" s="863"/>
      <c r="FN103" s="863"/>
      <c r="FO103" s="863"/>
      <c r="FP103" s="427">
        <f t="array" ref="FP103">IF(SUM((FO103=$FO$3:FO102)*1)=0,FO103,0)</f>
        <v>0</v>
      </c>
      <c r="FQ103" s="863"/>
      <c r="FR103" s="863"/>
      <c r="FS103" s="863">
        <f t="array" ref="FS103">IF(SUM((FR103=$FR$3:FR102)*1)=0,FR103,0)</f>
        <v>0</v>
      </c>
      <c r="FT103" s="863"/>
      <c r="FU103" s="863"/>
      <c r="FV103" s="863"/>
      <c r="FW103" s="427">
        <f t="array" ref="FW103">IF(SUM((FV103=$FV$3:FV102)*1)=0,FV103,0)</f>
        <v>0</v>
      </c>
      <c r="FX103" s="863"/>
      <c r="FY103" s="863"/>
      <c r="FZ103" s="863">
        <f t="array" ref="FZ103">IF(SUM((FY103=$FY$3:FY102)*1)=0,FY103,0)</f>
        <v>0</v>
      </c>
      <c r="GA103" s="863"/>
      <c r="GB103" s="863"/>
      <c r="GC103" s="863"/>
      <c r="GD103" s="427">
        <f t="array" ref="GD103">IF(SUM((GC103=$GC$3:GC102)*1)=0,GC103,0)</f>
        <v>0</v>
      </c>
      <c r="GE103" s="863"/>
      <c r="GF103" s="863"/>
      <c r="GG103" s="863">
        <f t="array" ref="GG103">IF(SUM((GF103=$GF$3:GF102)*1)=0,GF103,0)</f>
        <v>0</v>
      </c>
      <c r="GH103" s="863"/>
      <c r="GI103" s="863"/>
      <c r="GJ103" s="863"/>
      <c r="GK103" s="798">
        <f t="array" ref="GK103">IF(SUM((GJ103=$GJ$3:GJ102)*1)=0,GJ103,0)</f>
        <v>0</v>
      </c>
      <c r="GL103" s="863"/>
      <c r="GM103" s="863"/>
      <c r="GN103" s="798">
        <f t="array" ref="GN103">IF(SUM((GM103=$GM$3:GM102)*1)=0,GM103,0)</f>
        <v>0</v>
      </c>
      <c r="GO103" s="863"/>
      <c r="GP103" s="863"/>
      <c r="GQ103" s="863"/>
      <c r="GR103" s="798">
        <f t="array" ref="GR103">IF(SUM((GQ103=$GQ$3:GQ102)*1)=0,GQ103,0)</f>
        <v>0</v>
      </c>
      <c r="GS103" s="863"/>
      <c r="GT103" s="863"/>
      <c r="GU103" s="798">
        <f t="array" ref="GU103">IF(SUM((GT103=$GT$3:GT102)*1)=0,GT103,0)</f>
        <v>0</v>
      </c>
      <c r="GV103" s="863"/>
      <c r="GW103" s="863"/>
      <c r="GX103" s="863"/>
      <c r="GY103" s="798">
        <f t="array" ref="GY103">IF(SUM((GX103=$GX$3:GX102)*1)=0,GX103,0)</f>
        <v>0</v>
      </c>
      <c r="GZ103" s="863"/>
      <c r="HA103" s="863"/>
      <c r="HB103" s="798">
        <f t="array" ref="HB103">IF(SUM((HA103=$HA$3:HA102)*1)=0,HA103,0)</f>
        <v>0</v>
      </c>
      <c r="HC103" s="863"/>
      <c r="HD103" s="863"/>
      <c r="HE103" s="769" t="str">
        <f t="shared" si="889"/>
        <v/>
      </c>
      <c r="HF103" s="768" t="str">
        <f t="shared" ref="HF103" si="1268">IF(HE103&lt;0,"Invadiu REP-BA-C","")</f>
        <v/>
      </c>
      <c r="HG103" s="769" t="str">
        <f t="shared" si="891"/>
        <v/>
      </c>
      <c r="HH103" s="768" t="str">
        <f t="shared" si="815"/>
        <v/>
      </c>
      <c r="HI103" s="728" t="str">
        <f t="shared" si="892"/>
        <v/>
      </c>
      <c r="HJ103" s="768" t="str">
        <f t="shared" si="816"/>
        <v/>
      </c>
      <c r="HK103" s="728" t="str">
        <f t="shared" si="893"/>
        <v/>
      </c>
      <c r="HL103" s="768" t="str">
        <f t="shared" si="817"/>
        <v/>
      </c>
      <c r="HM103" s="769" t="str">
        <f t="shared" si="1219"/>
        <v/>
      </c>
      <c r="HN103" s="768" t="str">
        <f t="shared" ref="HN103" si="1269">IF(HM103&lt;0,"Invadiu REP-BA-C","")</f>
        <v/>
      </c>
      <c r="HO103" s="769" t="str">
        <f t="shared" si="1221"/>
        <v/>
      </c>
      <c r="HP103" s="768" t="str">
        <f t="shared" si="821"/>
        <v/>
      </c>
      <c r="HQ103" s="728" t="str">
        <f t="shared" si="1222"/>
        <v/>
      </c>
      <c r="HR103" s="768" t="str">
        <f t="shared" si="823"/>
        <v/>
      </c>
      <c r="HS103" s="728" t="str">
        <f t="shared" si="1223"/>
        <v/>
      </c>
      <c r="HT103" s="768" t="str">
        <f t="shared" si="825"/>
        <v/>
      </c>
      <c r="HU103" s="769" t="str">
        <f t="shared" si="1224"/>
        <v/>
      </c>
      <c r="HV103" s="768" t="str">
        <f t="shared" ref="HV103" si="1270">IF(HU103&lt;0,"Invadiu REP-BA-C","")</f>
        <v/>
      </c>
      <c r="HW103" s="769" t="str">
        <f t="shared" si="1226"/>
        <v/>
      </c>
      <c r="HX103" s="768" t="str">
        <f t="shared" si="829"/>
        <v/>
      </c>
      <c r="HY103" s="728" t="str">
        <f t="shared" si="1227"/>
        <v/>
      </c>
      <c r="HZ103" s="768" t="str">
        <f t="shared" si="831"/>
        <v/>
      </c>
      <c r="IA103" s="728" t="str">
        <f t="shared" si="1228"/>
        <v/>
      </c>
      <c r="IB103" s="768" t="str">
        <f t="shared" si="833"/>
        <v/>
      </c>
      <c r="IC103" s="769" t="str">
        <f t="shared" si="1229"/>
        <v/>
      </c>
      <c r="ID103" s="768" t="str">
        <f t="shared" ref="ID103" si="1271">IF(IC103&lt;0,"Invadiu REP-BA-C","")</f>
        <v/>
      </c>
      <c r="IE103" s="769" t="str">
        <f t="shared" si="1231"/>
        <v/>
      </c>
      <c r="IF103" s="768" t="str">
        <f t="shared" si="837"/>
        <v/>
      </c>
      <c r="IG103" s="728" t="str">
        <f t="shared" si="1232"/>
        <v/>
      </c>
      <c r="IH103" s="768" t="str">
        <f t="shared" si="839"/>
        <v/>
      </c>
      <c r="II103" s="728" t="str">
        <f t="shared" si="1233"/>
        <v/>
      </c>
      <c r="IJ103" s="768" t="str">
        <f t="shared" si="841"/>
        <v/>
      </c>
      <c r="IK103" s="769" t="str">
        <f t="shared" si="1234"/>
        <v/>
      </c>
      <c r="IL103" s="768" t="str">
        <f t="shared" ref="IL103" si="1272">IF(IK103&lt;0,"Invadiu REP-BA-C","")</f>
        <v/>
      </c>
      <c r="IM103" s="769" t="str">
        <f t="shared" si="1236"/>
        <v/>
      </c>
      <c r="IN103" s="768" t="str">
        <f t="shared" si="845"/>
        <v/>
      </c>
      <c r="IO103" s="728" t="str">
        <f t="shared" si="1237"/>
        <v/>
      </c>
      <c r="IP103" s="768" t="str">
        <f t="shared" si="847"/>
        <v/>
      </c>
      <c r="IQ103" s="728" t="str">
        <f t="shared" si="1238"/>
        <v/>
      </c>
      <c r="IR103" s="768" t="str">
        <f t="shared" si="849"/>
        <v/>
      </c>
      <c r="IS103" s="769" t="str">
        <f t="shared" si="1239"/>
        <v/>
      </c>
      <c r="IT103" s="768" t="str">
        <f t="shared" ref="IT103" si="1273">IF(IS103&lt;0,"Invadiu REP-BA-C","")</f>
        <v/>
      </c>
      <c r="IU103" s="769" t="str">
        <f t="shared" si="1241"/>
        <v/>
      </c>
      <c r="IV103" s="768" t="str">
        <f t="shared" si="853"/>
        <v/>
      </c>
      <c r="IW103" s="728" t="str">
        <f t="shared" si="1242"/>
        <v/>
      </c>
      <c r="IX103" s="768" t="str">
        <f t="shared" si="855"/>
        <v/>
      </c>
      <c r="IY103" s="728" t="str">
        <f t="shared" si="1243"/>
        <v/>
      </c>
      <c r="IZ103" s="768" t="str">
        <f t="shared" si="857"/>
        <v/>
      </c>
      <c r="JA103" s="769" t="str">
        <f t="shared" si="1244"/>
        <v/>
      </c>
      <c r="JB103" s="768" t="str">
        <f t="shared" ref="JB103" si="1274">IF(JA103&lt;0,"Invadiu REP-BA-C","")</f>
        <v/>
      </c>
      <c r="JC103" s="769" t="str">
        <f t="shared" si="1246"/>
        <v/>
      </c>
      <c r="JD103" s="768" t="str">
        <f t="shared" si="861"/>
        <v/>
      </c>
      <c r="JE103" s="728" t="str">
        <f t="shared" si="1247"/>
        <v/>
      </c>
      <c r="JF103" s="768" t="str">
        <f t="shared" si="863"/>
        <v/>
      </c>
      <c r="JG103" s="728" t="str">
        <f t="shared" si="1248"/>
        <v/>
      </c>
      <c r="JH103" s="768" t="str">
        <f t="shared" si="865"/>
        <v/>
      </c>
      <c r="JI103" s="769" t="str">
        <f t="shared" si="1249"/>
        <v/>
      </c>
      <c r="JJ103" s="768" t="str">
        <f t="shared" ref="JJ103" si="1275">IF(JI103&lt;0,"Invadiu REP-BA-C","")</f>
        <v/>
      </c>
      <c r="JK103" s="769" t="str">
        <f t="shared" si="1251"/>
        <v/>
      </c>
      <c r="JL103" s="768" t="str">
        <f t="shared" si="869"/>
        <v/>
      </c>
      <c r="JM103" s="728" t="str">
        <f t="shared" si="1252"/>
        <v/>
      </c>
      <c r="JN103" s="768" t="str">
        <f t="shared" si="871"/>
        <v/>
      </c>
      <c r="JO103" s="728" t="str">
        <f t="shared" si="1253"/>
        <v/>
      </c>
      <c r="JP103" s="768" t="str">
        <f t="shared" si="873"/>
        <v/>
      </c>
      <c r="JQ103" s="769" t="str">
        <f t="shared" si="1254"/>
        <v/>
      </c>
      <c r="JR103" s="768" t="str">
        <f t="shared" ref="JR103" si="1276">IF(JQ103&lt;0,"Invadiu REP-BA-C","")</f>
        <v/>
      </c>
      <c r="JS103" s="769" t="str">
        <f t="shared" si="1256"/>
        <v/>
      </c>
      <c r="JT103" s="768" t="str">
        <f t="shared" si="877"/>
        <v/>
      </c>
      <c r="JU103" s="728" t="str">
        <f t="shared" si="1257"/>
        <v/>
      </c>
      <c r="JV103" s="768" t="str">
        <f t="shared" si="879"/>
        <v/>
      </c>
      <c r="JW103" s="728" t="str">
        <f t="shared" si="1258"/>
        <v/>
      </c>
      <c r="JX103" s="768" t="str">
        <f t="shared" si="881"/>
        <v/>
      </c>
      <c r="JY103" s="768" t="str">
        <f t="shared" si="882"/>
        <v/>
      </c>
      <c r="JZ103" s="485" t="str">
        <f>IF(JY103="","",IF(AND(C103=$C$164,JY103&lt;&gt;""),Verificarcpf(D103),IF(AND(C103=$C$165,JY103&lt;&gt;""),VerificarCNPJ(D103))))</f>
        <v/>
      </c>
      <c r="KA103" s="768" t="str">
        <f t="shared" si="883"/>
        <v/>
      </c>
      <c r="KB103" s="485">
        <f t="shared" si="884"/>
        <v>0</v>
      </c>
      <c r="KC103" s="768">
        <f t="shared" si="885"/>
        <v>0</v>
      </c>
      <c r="KD103" s="485">
        <f t="shared" si="886"/>
        <v>0</v>
      </c>
      <c r="KE103" s="448"/>
      <c r="KF103" s="548"/>
      <c r="KG103" s="548"/>
      <c r="KH103" s="548"/>
      <c r="KI103" s="548"/>
      <c r="KJ103" s="548" t="str">
        <f t="shared" si="887"/>
        <v/>
      </c>
      <c r="KK103" s="548"/>
      <c r="KL103" s="548"/>
      <c r="KM103" s="548">
        <f t="array" ref="KM103">IF(SUM((KL103=$KL$3:KL102)*1)=0,KL103,0)</f>
        <v>0</v>
      </c>
      <c r="KN103" s="548"/>
      <c r="KO103" s="548"/>
      <c r="KP103" s="548"/>
      <c r="KQ103" s="548"/>
      <c r="KR103" s="548" t="str">
        <f t="shared" si="888"/>
        <v/>
      </c>
      <c r="KS103" s="548"/>
      <c r="KT103" s="548"/>
      <c r="KU103" s="548"/>
      <c r="KV103" s="548"/>
      <c r="KW103" s="548"/>
      <c r="KX103" s="548"/>
      <c r="KY103" s="548"/>
      <c r="KZ103" s="548"/>
      <c r="LA103" s="548"/>
      <c r="LB103" s="548"/>
      <c r="LC103" s="485" t="str">
        <f t="shared" si="902"/>
        <v/>
      </c>
      <c r="LD103" s="548"/>
      <c r="LE103" s="548"/>
      <c r="LF103" s="548"/>
      <c r="LG103" s="548"/>
      <c r="LH103" s="548"/>
      <c r="LI103" s="548"/>
      <c r="LJ103" s="548"/>
      <c r="LK103" s="548"/>
      <c r="LL103" s="548"/>
      <c r="LM103" s="548"/>
      <c r="LN103" s="548"/>
      <c r="LO103" s="548"/>
      <c r="LP103" s="485" t="str">
        <f t="shared" si="903"/>
        <v/>
      </c>
      <c r="LQ103" s="548"/>
      <c r="LR103" s="548"/>
      <c r="LS103" s="548"/>
      <c r="LT103" s="548"/>
      <c r="LU103" s="548"/>
      <c r="LV103" s="548"/>
      <c r="LW103" s="548"/>
      <c r="LX103" s="548"/>
      <c r="LY103" s="548"/>
      <c r="LZ103" s="548"/>
      <c r="MA103" s="548"/>
      <c r="MB103" s="548"/>
      <c r="MC103" s="485" t="str">
        <f t="shared" si="904"/>
        <v/>
      </c>
      <c r="MD103" s="548"/>
      <c r="ME103" s="548"/>
      <c r="MF103" s="548"/>
      <c r="MG103" s="548"/>
      <c r="MH103" s="548"/>
      <c r="MI103" s="548"/>
      <c r="MJ103" s="548"/>
      <c r="MK103" s="548"/>
      <c r="ML103" s="548"/>
      <c r="MM103" s="548"/>
      <c r="MN103" s="548"/>
      <c r="MO103" s="548"/>
      <c r="MP103" s="485" t="str">
        <f t="shared" si="905"/>
        <v/>
      </c>
      <c r="MQ103" s="548"/>
      <c r="MR103" s="548"/>
      <c r="MS103" s="548"/>
      <c r="MT103" s="548"/>
      <c r="MU103" s="548"/>
      <c r="MV103" s="548"/>
      <c r="MW103" s="548"/>
      <c r="MX103" s="548"/>
      <c r="MY103" s="548"/>
      <c r="MZ103" s="548"/>
      <c r="NA103" s="548"/>
      <c r="NB103" s="548"/>
      <c r="NC103" s="485" t="str">
        <f t="shared" si="906"/>
        <v/>
      </c>
      <c r="ND103" s="548"/>
      <c r="NE103" s="548"/>
      <c r="NF103" s="548"/>
      <c r="NG103" s="548"/>
      <c r="NH103" s="548"/>
      <c r="NI103" s="548"/>
      <c r="NJ103" s="548"/>
      <c r="NK103" s="548"/>
      <c r="NL103" s="548"/>
      <c r="NM103" s="548"/>
      <c r="NN103" s="548"/>
      <c r="NO103" s="548"/>
      <c r="NP103" s="485" t="str">
        <f t="shared" si="907"/>
        <v/>
      </c>
      <c r="NQ103" s="548"/>
      <c r="NR103" s="548"/>
      <c r="NS103" s="548"/>
      <c r="NT103" s="548"/>
      <c r="NU103" s="548"/>
      <c r="NV103" s="548"/>
      <c r="NW103" s="548"/>
      <c r="NX103" s="548"/>
      <c r="NY103" s="548"/>
      <c r="NZ103" s="548"/>
      <c r="OA103" s="548"/>
      <c r="OB103" s="548"/>
      <c r="OC103" s="485" t="str">
        <f t="shared" si="908"/>
        <v/>
      </c>
      <c r="OD103" s="548"/>
      <c r="OE103" s="548"/>
      <c r="OF103" s="548"/>
      <c r="OG103" s="548"/>
      <c r="OH103" s="548"/>
      <c r="OI103" s="548"/>
      <c r="OJ103" s="548"/>
      <c r="OK103" s="548"/>
      <c r="OL103" s="548"/>
      <c r="OM103" s="548"/>
      <c r="ON103" s="548"/>
      <c r="OO103" s="548"/>
      <c r="OP103" s="548"/>
      <c r="OQ103" s="548"/>
      <c r="OR103" s="548"/>
      <c r="OS103" s="548"/>
      <c r="OT103" s="548"/>
      <c r="OU103" s="548"/>
      <c r="OV103" s="548"/>
      <c r="OW103" s="548"/>
      <c r="OX103" s="548"/>
      <c r="OY103" s="548"/>
      <c r="OZ103" s="548"/>
      <c r="PA103" s="548"/>
      <c r="PB103" s="548"/>
      <c r="PC103" s="548"/>
      <c r="PD103" s="548"/>
      <c r="PE103" s="548"/>
      <c r="PF103" s="548"/>
      <c r="PG103" s="548"/>
      <c r="PH103" s="548"/>
      <c r="PI103" s="548"/>
      <c r="PJ103" s="548"/>
      <c r="PK103" s="548"/>
      <c r="PL103" s="548"/>
      <c r="PM103" s="548"/>
      <c r="PN103" s="548"/>
      <c r="PO103" s="548"/>
      <c r="PP103" s="548"/>
      <c r="PQ103" s="548"/>
      <c r="PR103" s="548"/>
      <c r="PS103" s="548"/>
      <c r="PT103" s="548"/>
      <c r="PU103" s="548"/>
      <c r="PV103" s="548"/>
      <c r="PW103" s="548"/>
      <c r="PX103" s="548"/>
      <c r="PY103" s="548"/>
      <c r="PZ103" s="548"/>
      <c r="QA103" s="548"/>
      <c r="QB103" s="548"/>
      <c r="QC103" s="548"/>
      <c r="QD103" s="548"/>
      <c r="QE103" s="548"/>
      <c r="QF103" s="548"/>
      <c r="QG103" s="548"/>
      <c r="QH103" s="548"/>
      <c r="QI103" s="548"/>
      <c r="QJ103" s="548"/>
      <c r="QK103" s="548"/>
      <c r="QL103" s="548"/>
      <c r="QM103" s="548"/>
      <c r="QN103" s="548"/>
      <c r="QO103" s="548"/>
      <c r="QP103" s="548"/>
      <c r="QQ103" s="1009"/>
      <c r="QR103" s="548"/>
      <c r="QS103" s="548"/>
      <c r="QT103" s="548"/>
      <c r="QU103" s="548"/>
      <c r="QV103" s="548"/>
      <c r="QW103" s="548"/>
      <c r="QX103" s="548"/>
      <c r="QY103" s="548"/>
      <c r="QZ103" s="548"/>
      <c r="RA103" s="548"/>
      <c r="RB103" s="548"/>
      <c r="RC103" s="548"/>
      <c r="RD103" s="548"/>
      <c r="RE103" s="548"/>
      <c r="RF103" s="548"/>
      <c r="RG103" s="548"/>
      <c r="RH103" s="548"/>
      <c r="RI103" s="548"/>
      <c r="RJ103" s="548"/>
      <c r="RK103" s="548"/>
      <c r="RL103" s="548"/>
      <c r="RM103" s="548"/>
      <c r="RN103" s="548"/>
      <c r="RO103" s="548"/>
      <c r="RP103" s="548"/>
      <c r="RQ103" s="548"/>
      <c r="RR103" s="548"/>
      <c r="RS103" s="548"/>
      <c r="RT103" s="548"/>
      <c r="RU103" s="548"/>
      <c r="RV103" s="548"/>
      <c r="RW103" s="548"/>
      <c r="RX103" s="548"/>
      <c r="RY103" s="548"/>
      <c r="RZ103" s="548"/>
      <c r="SA103" s="548"/>
      <c r="SB103" s="548"/>
      <c r="SC103" s="548"/>
      <c r="SD103" s="548"/>
      <c r="SE103" s="548"/>
      <c r="SF103" s="548"/>
      <c r="SG103" s="548"/>
      <c r="SH103" s="548"/>
      <c r="SI103" s="548"/>
      <c r="SJ103" s="548"/>
      <c r="SK103" s="548"/>
      <c r="SL103" s="548"/>
      <c r="SM103" s="548"/>
      <c r="SN103" s="548"/>
      <c r="SO103" s="548"/>
      <c r="SP103" s="548"/>
      <c r="SQ103" s="548"/>
      <c r="SR103" s="548"/>
      <c r="SS103" s="548"/>
      <c r="ST103" s="548"/>
      <c r="SU103" s="548"/>
      <c r="SV103" s="548"/>
      <c r="SW103" s="548"/>
      <c r="SX103" s="548"/>
      <c r="SY103" s="548"/>
      <c r="SZ103" s="548"/>
      <c r="TA103" s="548"/>
      <c r="TB103" s="548"/>
      <c r="TC103" s="548"/>
      <c r="TD103" s="548"/>
      <c r="TE103" s="548"/>
      <c r="TF103" s="548"/>
      <c r="TG103" s="548"/>
      <c r="TH103" s="548"/>
      <c r="TI103" s="548"/>
      <c r="TJ103" s="548"/>
      <c r="TK103" s="548"/>
      <c r="TL103" s="548"/>
      <c r="TM103" s="548"/>
      <c r="TN103" s="548"/>
      <c r="TO103" s="548"/>
      <c r="TP103" s="548"/>
      <c r="TQ103" s="548"/>
      <c r="TR103" s="548"/>
      <c r="TS103" s="548"/>
      <c r="TT103" s="548"/>
      <c r="TU103" s="548"/>
      <c r="TV103" s="548"/>
      <c r="TW103" s="548"/>
      <c r="TX103" s="548"/>
      <c r="TY103" s="548"/>
      <c r="TZ103" s="548"/>
      <c r="UA103" s="548"/>
      <c r="UB103" s="548"/>
      <c r="UC103" s="548"/>
      <c r="UD103" s="548"/>
      <c r="UE103" s="548"/>
      <c r="UF103" s="548"/>
      <c r="UG103" s="548"/>
      <c r="UH103" s="548"/>
      <c r="UI103" s="548"/>
      <c r="UJ103" s="548"/>
      <c r="UK103" s="548"/>
      <c r="UL103" s="548"/>
      <c r="UM103" s="548"/>
      <c r="UN103" s="548"/>
      <c r="UO103" s="548"/>
      <c r="UP103" s="548"/>
      <c r="UQ103" s="548"/>
      <c r="UR103" s="548"/>
      <c r="US103" s="548"/>
      <c r="UT103" s="548"/>
      <c r="UU103" s="548"/>
      <c r="UV103" s="548"/>
      <c r="UW103" s="548"/>
      <c r="UX103" s="548"/>
      <c r="UY103" s="548"/>
      <c r="UZ103" s="548"/>
      <c r="VA103" s="548"/>
      <c r="VB103" s="548"/>
      <c r="VC103" s="548"/>
      <c r="VD103" s="548"/>
      <c r="VE103" s="548"/>
      <c r="VF103" s="548"/>
      <c r="VG103" s="548"/>
      <c r="VH103" s="548"/>
      <c r="VI103" s="548"/>
      <c r="VJ103" s="548"/>
      <c r="VK103" s="548"/>
      <c r="VL103" s="548"/>
      <c r="VM103" s="548"/>
      <c r="VN103" s="548"/>
      <c r="VO103" s="548"/>
      <c r="VP103" s="548"/>
      <c r="VQ103" s="548"/>
      <c r="VR103" s="548"/>
      <c r="VS103" s="548"/>
      <c r="VT103" s="548"/>
      <c r="VU103" s="548"/>
      <c r="VV103" s="548"/>
      <c r="VW103" s="548"/>
      <c r="VX103" s="548"/>
      <c r="VY103" s="548"/>
      <c r="VZ103" s="548"/>
      <c r="WA103" s="548"/>
      <c r="WB103" s="548"/>
      <c r="WC103" s="548"/>
      <c r="WD103" s="548"/>
      <c r="WE103" s="548"/>
      <c r="WF103" s="548"/>
      <c r="WG103" s="548"/>
      <c r="WH103" s="548"/>
      <c r="WI103" s="548"/>
      <c r="WJ103" s="548"/>
      <c r="WK103" s="548"/>
      <c r="WL103" s="548"/>
      <c r="WM103" s="548"/>
      <c r="WN103" s="548"/>
      <c r="WO103" s="548"/>
      <c r="WP103" s="548"/>
      <c r="WQ103" s="548"/>
      <c r="WR103" s="548"/>
      <c r="WS103" s="548"/>
      <c r="WT103" s="548"/>
      <c r="WU103" s="548"/>
      <c r="WV103" s="548"/>
      <c r="WW103" s="548"/>
      <c r="WX103" s="548"/>
      <c r="WY103" s="548"/>
      <c r="WZ103" s="548"/>
      <c r="XA103" s="548"/>
      <c r="XB103" s="548"/>
      <c r="XC103" s="548"/>
      <c r="XD103" s="548"/>
      <c r="XE103" s="548"/>
      <c r="XF103" s="548"/>
      <c r="XG103" s="548"/>
      <c r="XH103" s="548"/>
      <c r="XI103" s="548"/>
      <c r="XJ103" s="548"/>
      <c r="XK103" s="548"/>
      <c r="XL103" s="548"/>
      <c r="XM103" s="548"/>
      <c r="XN103" s="548"/>
      <c r="XO103" s="548"/>
      <c r="XP103" s="548"/>
      <c r="XQ103" s="548"/>
      <c r="XR103" s="548"/>
      <c r="XS103" s="548"/>
      <c r="XT103" s="548"/>
      <c r="XU103" s="548"/>
      <c r="XV103" s="548"/>
      <c r="XW103" s="548"/>
      <c r="XX103" s="548"/>
      <c r="XY103" s="548"/>
      <c r="XZ103" s="548"/>
      <c r="YA103" s="548"/>
      <c r="YB103" s="548"/>
      <c r="YC103" s="548"/>
      <c r="YD103" s="548"/>
      <c r="YE103" s="548"/>
      <c r="YF103" s="548"/>
      <c r="YG103" s="548"/>
      <c r="YH103" s="548"/>
      <c r="YI103" s="548"/>
      <c r="YJ103" s="548"/>
      <c r="YK103" s="548"/>
      <c r="YL103" s="548"/>
      <c r="YM103" s="548"/>
      <c r="YN103" s="548"/>
      <c r="YO103" s="548"/>
      <c r="YP103" s="548"/>
      <c r="YQ103" s="548"/>
      <c r="YR103" s="548"/>
      <c r="YS103" s="548"/>
      <c r="YT103" s="548"/>
      <c r="YU103" s="548"/>
      <c r="YV103" s="548"/>
      <c r="YW103" s="548"/>
      <c r="YX103" s="548"/>
      <c r="YY103" s="548"/>
      <c r="YZ103" s="548"/>
      <c r="ZA103" s="548"/>
      <c r="ZB103" s="548"/>
      <c r="ZC103" s="548"/>
      <c r="ZD103" s="548"/>
      <c r="ZE103" s="548"/>
      <c r="ZF103" s="548"/>
      <c r="ZG103" s="548"/>
      <c r="ZH103" s="548"/>
      <c r="ZI103" s="548"/>
      <c r="ZJ103" s="548"/>
      <c r="ZK103" s="548"/>
      <c r="ZL103" s="548"/>
      <c r="ZM103" s="548"/>
      <c r="ZN103" s="548"/>
      <c r="ZO103" s="548"/>
      <c r="ZP103" s="548"/>
      <c r="ZQ103" s="548"/>
      <c r="ZR103" s="548"/>
      <c r="ZS103" s="548"/>
      <c r="ZT103" s="548"/>
      <c r="ZU103" s="548"/>
      <c r="ZV103" s="548"/>
      <c r="ZW103" s="548"/>
      <c r="ZX103" s="548"/>
      <c r="ZY103" s="548"/>
      <c r="ZZ103" s="548"/>
      <c r="AAA103" s="548"/>
      <c r="AAB103" s="548"/>
      <c r="AAC103" s="548"/>
      <c r="AAD103" s="548"/>
      <c r="AAE103" s="548"/>
      <c r="AAF103" s="548"/>
      <c r="AAG103" s="548"/>
      <c r="AAH103" s="548"/>
      <c r="AAI103" s="548"/>
      <c r="AAJ103" s="548"/>
      <c r="AAK103" s="548"/>
      <c r="AAL103" s="548"/>
      <c r="AAM103" s="548"/>
      <c r="AAN103" s="548"/>
      <c r="AAO103" s="548"/>
      <c r="AAP103" s="548"/>
      <c r="AAQ103" s="548"/>
      <c r="AAR103" s="548"/>
      <c r="AAS103" s="548"/>
      <c r="AAT103" s="548"/>
      <c r="AAU103" s="548"/>
      <c r="AAV103" s="548"/>
      <c r="AAW103" s="548"/>
      <c r="AAX103" s="548"/>
      <c r="AAY103" s="548"/>
      <c r="AAZ103" s="548"/>
      <c r="ABA103" s="548"/>
      <c r="ABB103" s="548"/>
      <c r="ABC103" s="548"/>
      <c r="ABD103" s="548"/>
      <c r="ABE103" s="548"/>
      <c r="ABF103" s="548"/>
      <c r="ABG103" s="548"/>
      <c r="ABH103" s="548"/>
      <c r="ABI103" s="548"/>
      <c r="ABJ103" s="548"/>
      <c r="ABK103" s="548"/>
      <c r="ABL103" s="548"/>
      <c r="ABM103" s="548"/>
      <c r="ABN103" s="548"/>
      <c r="ABO103" s="548"/>
      <c r="ABP103" s="548"/>
      <c r="ABQ103" s="548"/>
      <c r="ABR103" s="548"/>
      <c r="ABS103" s="548"/>
    </row>
    <row r="104" spans="1:747" customFormat="1" ht="15" customHeight="1" x14ac:dyDescent="0.2">
      <c r="A104" s="424" t="str">
        <f t="shared" si="909"/>
        <v/>
      </c>
      <c r="B104" s="415"/>
      <c r="C104" s="525"/>
      <c r="D104" s="750"/>
      <c r="E104" s="416" t="str">
        <f t="shared" si="1171"/>
        <v/>
      </c>
      <c r="F104" s="527" t="str">
        <f t="shared" si="1172"/>
        <v/>
      </c>
      <c r="G104" s="417"/>
      <c r="H104" s="585" t="str">
        <f t="shared" si="1173"/>
        <v/>
      </c>
      <c r="I104" s="424"/>
      <c r="J104" s="419"/>
      <c r="K104" s="418"/>
      <c r="L104" s="419"/>
      <c r="M104" s="415"/>
      <c r="N104" s="420"/>
      <c r="O104" s="421"/>
      <c r="P104" s="561"/>
      <c r="Q104" s="422"/>
      <c r="R104" s="561" t="str">
        <f t="shared" si="1174"/>
        <v/>
      </c>
      <c r="S104" s="664"/>
      <c r="T104" s="663"/>
      <c r="U104" s="580">
        <f t="shared" si="1175"/>
        <v>0</v>
      </c>
      <c r="V104" s="418"/>
      <c r="W104" s="582" t="str">
        <f t="shared" si="1176"/>
        <v/>
      </c>
      <c r="X104" s="479" t="str">
        <f t="shared" si="1177"/>
        <v/>
      </c>
      <c r="Y104" s="582" t="str">
        <f t="shared" si="1178"/>
        <v/>
      </c>
      <c r="Z104" s="317" t="str">
        <f t="shared" si="1179"/>
        <v/>
      </c>
      <c r="AA104" s="317" t="str">
        <f t="shared" si="1180"/>
        <v/>
      </c>
      <c r="AB104" s="317">
        <f t="shared" si="1181"/>
        <v>0</v>
      </c>
      <c r="AC104" s="317" t="str">
        <f t="shared" si="1182"/>
        <v/>
      </c>
      <c r="AD104" s="479"/>
      <c r="AE104" s="479"/>
      <c r="AF104" s="479"/>
      <c r="AG104" s="423"/>
      <c r="AH104" s="820"/>
      <c r="AI104" s="437"/>
      <c r="AJ104" s="660"/>
      <c r="AK104" s="524" t="str">
        <f t="shared" si="1183"/>
        <v/>
      </c>
      <c r="AL104" s="731">
        <f>SUMIF($J$4:$J$32,"Formação",$S$4:$S$32)</f>
        <v>0</v>
      </c>
      <c r="AM104" s="732">
        <f>SUMIF($J$4:$J$32,"Formação",$T$4:$T$32)</f>
        <v>0</v>
      </c>
      <c r="AN104" s="426">
        <f t="shared" si="1184"/>
        <v>0</v>
      </c>
      <c r="AO104" s="427" t="str">
        <f t="shared" si="1185"/>
        <v/>
      </c>
      <c r="AP104" s="426" t="str">
        <f t="shared" si="1186"/>
        <v/>
      </c>
      <c r="AQ104" s="426"/>
      <c r="AR104" s="426"/>
      <c r="AS104" s="428"/>
      <c r="AT104" s="429"/>
      <c r="AU104" s="430"/>
      <c r="AV104" s="431"/>
      <c r="AW104" s="432"/>
      <c r="AX104" s="430"/>
      <c r="AY104" s="431">
        <f t="shared" si="1187"/>
        <v>0</v>
      </c>
      <c r="AZ104" s="426"/>
      <c r="BA104" s="435" t="str">
        <f t="shared" si="1188"/>
        <v/>
      </c>
      <c r="BB104" s="435"/>
      <c r="BC104" s="426"/>
      <c r="BD104" s="426">
        <f t="array" ref="BD104">IF(SUM((BC104=$BC$3:BC103)*1)=0,BC104,0)</f>
        <v>0</v>
      </c>
      <c r="BE104" s="426"/>
      <c r="BF104" s="426"/>
      <c r="BG104" s="426">
        <f t="array" ref="BG104">IF(SUM((BF104=$BF$3:BF103)*1)=0,BF104,0)</f>
        <v>0</v>
      </c>
      <c r="BH104" s="426"/>
      <c r="BI104" s="426"/>
      <c r="BJ104" s="426"/>
      <c r="BK104" s="426"/>
      <c r="BL104" s="426"/>
      <c r="BM104" s="426"/>
      <c r="BN104" s="426"/>
      <c r="BO104" s="426"/>
      <c r="BP104" s="433">
        <f t="shared" si="1189"/>
        <v>0</v>
      </c>
      <c r="BQ104" s="426"/>
      <c r="BR104" s="434"/>
      <c r="BS104" s="426"/>
      <c r="BT104" s="433"/>
      <c r="BU104" s="435"/>
      <c r="BV104" s="435" t="str">
        <f t="shared" si="1190"/>
        <v/>
      </c>
      <c r="BW104" s="435" t="str">
        <f t="shared" si="798"/>
        <v/>
      </c>
      <c r="BX104" s="435"/>
      <c r="BY104" s="435"/>
      <c r="BZ104" s="435"/>
      <c r="CA104" s="435"/>
      <c r="CB104" s="435"/>
      <c r="CC104" s="435"/>
      <c r="CD104" s="435"/>
      <c r="CE104" s="435"/>
      <c r="CF104" s="435"/>
      <c r="CG104" s="435"/>
      <c r="CH104" s="435"/>
      <c r="CI104" s="435"/>
      <c r="CJ104" s="426" t="str">
        <f t="shared" si="799"/>
        <v/>
      </c>
      <c r="CK104" s="435"/>
      <c r="CL104" s="426"/>
      <c r="CM104" s="435"/>
      <c r="CN104" s="426"/>
      <c r="CO104" s="426"/>
      <c r="CP104" s="426"/>
      <c r="CQ104" s="426"/>
      <c r="CR104" s="426"/>
      <c r="CS104" s="426"/>
      <c r="CT104" s="426"/>
      <c r="CU104" s="426"/>
      <c r="CV104" s="426"/>
      <c r="CW104" s="493"/>
      <c r="CX104" s="493"/>
      <c r="CY104" s="426">
        <v>101</v>
      </c>
      <c r="CZ104" s="493"/>
      <c r="DA104" s="493"/>
      <c r="DB104" s="493"/>
      <c r="DC104" s="426" t="s">
        <v>844</v>
      </c>
      <c r="DD104" s="426" t="s">
        <v>1004</v>
      </c>
      <c r="DE104" s="435" t="str">
        <f t="shared" si="800"/>
        <v/>
      </c>
      <c r="DF104" s="435" t="str">
        <f t="shared" si="801"/>
        <v/>
      </c>
      <c r="DG104" s="435" t="str">
        <f t="shared" si="802"/>
        <v/>
      </c>
      <c r="DH104" s="435" t="str">
        <f t="shared" si="803"/>
        <v/>
      </c>
      <c r="DI104" s="435" t="str">
        <f t="shared" si="804"/>
        <v/>
      </c>
      <c r="DJ104" s="435" t="str">
        <f t="shared" si="805"/>
        <v/>
      </c>
      <c r="DK104" s="435" t="str">
        <f t="shared" si="1191"/>
        <v/>
      </c>
      <c r="DL104" s="435" t="str">
        <f t="shared" si="1192"/>
        <v/>
      </c>
      <c r="DM104" s="435" t="str">
        <f t="shared" si="806"/>
        <v/>
      </c>
      <c r="DN104" s="435" t="str">
        <f t="shared" si="807"/>
        <v/>
      </c>
      <c r="DO104" s="435" t="str">
        <f t="shared" si="1193"/>
        <v/>
      </c>
      <c r="DP104" s="435" t="str">
        <f t="shared" si="1194"/>
        <v/>
      </c>
      <c r="DQ104" s="435" t="str">
        <f t="shared" si="808"/>
        <v/>
      </c>
      <c r="DR104" s="435" t="str">
        <f t="shared" si="809"/>
        <v/>
      </c>
      <c r="DS104" s="435" t="str">
        <f t="shared" si="1195"/>
        <v/>
      </c>
      <c r="DT104" s="435" t="str">
        <f t="shared" si="1196"/>
        <v/>
      </c>
      <c r="DU104" s="435" t="str">
        <f t="shared" si="810"/>
        <v/>
      </c>
      <c r="DV104" s="435" t="str">
        <f t="shared" si="811"/>
        <v/>
      </c>
      <c r="DW104" s="435" t="str">
        <f t="shared" si="1197"/>
        <v/>
      </c>
      <c r="DX104" s="435" t="str">
        <f t="shared" si="1198"/>
        <v/>
      </c>
      <c r="DY104" s="435" t="str">
        <f t="shared" si="812"/>
        <v/>
      </c>
      <c r="DZ104" s="435" t="str">
        <f t="shared" si="813"/>
        <v/>
      </c>
      <c r="EA104" s="435" t="str">
        <f t="shared" si="1199"/>
        <v/>
      </c>
      <c r="EB104" s="435" t="str">
        <f t="shared" si="1200"/>
        <v/>
      </c>
      <c r="EC104" s="435" t="str">
        <f t="shared" si="1201"/>
        <v/>
      </c>
      <c r="ED104" s="435" t="str">
        <f t="shared" si="1202"/>
        <v/>
      </c>
      <c r="EE104" s="435" t="str">
        <f t="shared" si="1203"/>
        <v/>
      </c>
      <c r="EF104" s="435" t="str">
        <f t="shared" si="1204"/>
        <v/>
      </c>
      <c r="EG104" s="435" t="str">
        <f t="shared" si="1205"/>
        <v/>
      </c>
      <c r="EH104" s="435" t="str">
        <f t="shared" si="1206"/>
        <v/>
      </c>
      <c r="EI104" s="435" t="str">
        <f t="shared" si="1207"/>
        <v/>
      </c>
      <c r="EJ104" s="435" t="str">
        <f t="shared" si="1208"/>
        <v/>
      </c>
      <c r="EK104" s="485"/>
      <c r="EL104" s="485"/>
      <c r="EM104" s="485"/>
      <c r="EN104" s="485"/>
      <c r="EO104" s="448"/>
      <c r="EP104" s="448"/>
      <c r="EQ104" s="448"/>
      <c r="ER104" s="448"/>
      <c r="ES104" s="448"/>
      <c r="ET104" s="435"/>
      <c r="EU104" s="435"/>
      <c r="EV104" s="435"/>
      <c r="EW104" s="435"/>
      <c r="EX104" s="426"/>
      <c r="EY104" s="426"/>
      <c r="EZ104" s="426"/>
      <c r="FA104" s="863"/>
      <c r="FB104" s="427">
        <f t="array" ref="FB104">IF(SUM((FA104=$FA$3:FA103)*1)=0,FA104,0)</f>
        <v>0</v>
      </c>
      <c r="FC104" s="863"/>
      <c r="FD104" s="863"/>
      <c r="FE104" s="863">
        <f t="array" ref="FE104">IF(SUM((FD104=$FD$3:FD103)*1)=0,FD104,0)</f>
        <v>0</v>
      </c>
      <c r="FF104" s="863"/>
      <c r="FG104" s="863"/>
      <c r="FH104" s="863"/>
      <c r="FI104" s="427">
        <f t="array" ref="FI104">IF(SUM((FH104=$FH$3:FH103)*1)=0,FH104,0)</f>
        <v>0</v>
      </c>
      <c r="FJ104" s="863"/>
      <c r="FK104" s="863"/>
      <c r="FL104" s="863">
        <f t="array" ref="FL104">IF(SUM((FK104=$FK$3:FK103)*1)=0,FK104,0)</f>
        <v>0</v>
      </c>
      <c r="FM104" s="863"/>
      <c r="FN104" s="863"/>
      <c r="FO104" s="863"/>
      <c r="FP104" s="427">
        <f t="array" ref="FP104">IF(SUM((FO104=$FO$3:FO103)*1)=0,FO104,0)</f>
        <v>0</v>
      </c>
      <c r="FQ104" s="863"/>
      <c r="FR104" s="863"/>
      <c r="FS104" s="863">
        <f t="array" ref="FS104">IF(SUM((FR104=$FR$3:FR103)*1)=0,FR104,0)</f>
        <v>0</v>
      </c>
      <c r="FT104" s="863"/>
      <c r="FU104" s="863"/>
      <c r="FV104" s="863"/>
      <c r="FW104" s="427">
        <f t="array" ref="FW104">IF(SUM((FV104=$FV$3:FV103)*1)=0,FV104,0)</f>
        <v>0</v>
      </c>
      <c r="FX104" s="863"/>
      <c r="FY104" s="863"/>
      <c r="FZ104" s="863">
        <f t="array" ref="FZ104">IF(SUM((FY104=$FY$3:FY103)*1)=0,FY104,0)</f>
        <v>0</v>
      </c>
      <c r="GA104" s="863"/>
      <c r="GB104" s="863"/>
      <c r="GC104" s="863"/>
      <c r="GD104" s="427">
        <f t="array" ref="GD104">IF(SUM((GC104=$GC$3:GC103)*1)=0,GC104,0)</f>
        <v>0</v>
      </c>
      <c r="GE104" s="863"/>
      <c r="GF104" s="863"/>
      <c r="GG104" s="863">
        <f t="array" ref="GG104">IF(SUM((GF104=$GF$3:GF103)*1)=0,GF104,0)</f>
        <v>0</v>
      </c>
      <c r="GH104" s="863"/>
      <c r="GI104" s="863"/>
      <c r="GJ104" s="863"/>
      <c r="GK104" s="798">
        <f t="array" ref="GK104">IF(SUM((GJ104=$GJ$3:GJ103)*1)=0,GJ104,0)</f>
        <v>0</v>
      </c>
      <c r="GL104" s="863"/>
      <c r="GM104" s="863"/>
      <c r="GN104" s="798">
        <f t="array" ref="GN104">IF(SUM((GM104=$GM$3:GM103)*1)=0,GM104,0)</f>
        <v>0</v>
      </c>
      <c r="GO104" s="863"/>
      <c r="GP104" s="863"/>
      <c r="GQ104" s="863"/>
      <c r="GR104" s="798">
        <f t="array" ref="GR104">IF(SUM((GQ104=$GQ$3:GQ103)*1)=0,GQ104,0)</f>
        <v>0</v>
      </c>
      <c r="GS104" s="863"/>
      <c r="GT104" s="863"/>
      <c r="GU104" s="798">
        <f t="array" ref="GU104">IF(SUM((GT104=$GT$3:GT103)*1)=0,GT104,0)</f>
        <v>0</v>
      </c>
      <c r="GV104" s="863"/>
      <c r="GW104" s="863"/>
      <c r="GX104" s="863"/>
      <c r="GY104" s="798">
        <f t="array" ref="GY104">IF(SUM((GX104=$GX$3:GX103)*1)=0,GX104,0)</f>
        <v>0</v>
      </c>
      <c r="GZ104" s="863"/>
      <c r="HA104" s="863"/>
      <c r="HB104" s="798">
        <f t="array" ref="HB104">IF(SUM((HA104=$HA$3:HA103)*1)=0,HA104,0)</f>
        <v>0</v>
      </c>
      <c r="HC104" s="863"/>
      <c r="HD104" s="863"/>
      <c r="HE104" s="769" t="str">
        <f t="shared" si="889"/>
        <v/>
      </c>
      <c r="HF104" s="768" t="str">
        <f t="shared" ref="HF104" si="1277">IF(HE104&lt;0,"Invadiu REP-BA-C","")</f>
        <v/>
      </c>
      <c r="HG104" s="769" t="str">
        <f t="shared" si="891"/>
        <v/>
      </c>
      <c r="HH104" s="768" t="str">
        <f t="shared" si="815"/>
        <v/>
      </c>
      <c r="HI104" s="728" t="str">
        <f t="shared" si="892"/>
        <v/>
      </c>
      <c r="HJ104" s="768" t="str">
        <f t="shared" si="816"/>
        <v/>
      </c>
      <c r="HK104" s="728" t="str">
        <f t="shared" si="893"/>
        <v/>
      </c>
      <c r="HL104" s="768" t="str">
        <f t="shared" si="817"/>
        <v/>
      </c>
      <c r="HM104" s="769" t="str">
        <f t="shared" si="1219"/>
        <v/>
      </c>
      <c r="HN104" s="768" t="str">
        <f t="shared" ref="HN104" si="1278">IF(HM104&lt;0,"Invadiu REP-BA-C","")</f>
        <v/>
      </c>
      <c r="HO104" s="769" t="str">
        <f t="shared" si="1221"/>
        <v/>
      </c>
      <c r="HP104" s="768" t="str">
        <f t="shared" si="821"/>
        <v/>
      </c>
      <c r="HQ104" s="728" t="str">
        <f t="shared" si="1222"/>
        <v/>
      </c>
      <c r="HR104" s="768" t="str">
        <f t="shared" si="823"/>
        <v/>
      </c>
      <c r="HS104" s="728" t="str">
        <f t="shared" si="1223"/>
        <v/>
      </c>
      <c r="HT104" s="768" t="str">
        <f t="shared" si="825"/>
        <v/>
      </c>
      <c r="HU104" s="769" t="str">
        <f t="shared" si="1224"/>
        <v/>
      </c>
      <c r="HV104" s="768" t="str">
        <f t="shared" ref="HV104" si="1279">IF(HU104&lt;0,"Invadiu REP-BA-C","")</f>
        <v/>
      </c>
      <c r="HW104" s="769" t="str">
        <f t="shared" si="1226"/>
        <v/>
      </c>
      <c r="HX104" s="768" t="str">
        <f t="shared" si="829"/>
        <v/>
      </c>
      <c r="HY104" s="728" t="str">
        <f t="shared" si="1227"/>
        <v/>
      </c>
      <c r="HZ104" s="768" t="str">
        <f t="shared" si="831"/>
        <v/>
      </c>
      <c r="IA104" s="728" t="str">
        <f t="shared" si="1228"/>
        <v/>
      </c>
      <c r="IB104" s="768" t="str">
        <f t="shared" si="833"/>
        <v/>
      </c>
      <c r="IC104" s="769" t="str">
        <f t="shared" si="1229"/>
        <v/>
      </c>
      <c r="ID104" s="768" t="str">
        <f t="shared" ref="ID104" si="1280">IF(IC104&lt;0,"Invadiu REP-BA-C","")</f>
        <v/>
      </c>
      <c r="IE104" s="769" t="str">
        <f t="shared" si="1231"/>
        <v/>
      </c>
      <c r="IF104" s="768" t="str">
        <f t="shared" si="837"/>
        <v/>
      </c>
      <c r="IG104" s="728" t="str">
        <f t="shared" si="1232"/>
        <v/>
      </c>
      <c r="IH104" s="768" t="str">
        <f t="shared" si="839"/>
        <v/>
      </c>
      <c r="II104" s="728" t="str">
        <f t="shared" si="1233"/>
        <v/>
      </c>
      <c r="IJ104" s="768" t="str">
        <f t="shared" si="841"/>
        <v/>
      </c>
      <c r="IK104" s="769" t="str">
        <f t="shared" si="1234"/>
        <v/>
      </c>
      <c r="IL104" s="768" t="str">
        <f t="shared" ref="IL104" si="1281">IF(IK104&lt;0,"Invadiu REP-BA-C","")</f>
        <v/>
      </c>
      <c r="IM104" s="769" t="str">
        <f t="shared" si="1236"/>
        <v/>
      </c>
      <c r="IN104" s="768" t="str">
        <f t="shared" si="845"/>
        <v/>
      </c>
      <c r="IO104" s="728" t="str">
        <f t="shared" si="1237"/>
        <v/>
      </c>
      <c r="IP104" s="768" t="str">
        <f t="shared" si="847"/>
        <v/>
      </c>
      <c r="IQ104" s="728" t="str">
        <f t="shared" si="1238"/>
        <v/>
      </c>
      <c r="IR104" s="768" t="str">
        <f t="shared" si="849"/>
        <v/>
      </c>
      <c r="IS104" s="769" t="str">
        <f t="shared" si="1239"/>
        <v/>
      </c>
      <c r="IT104" s="768" t="str">
        <f t="shared" ref="IT104" si="1282">IF(IS104&lt;0,"Invadiu REP-BA-C","")</f>
        <v/>
      </c>
      <c r="IU104" s="769" t="str">
        <f t="shared" si="1241"/>
        <v/>
      </c>
      <c r="IV104" s="768" t="str">
        <f t="shared" si="853"/>
        <v/>
      </c>
      <c r="IW104" s="728" t="str">
        <f t="shared" si="1242"/>
        <v/>
      </c>
      <c r="IX104" s="768" t="str">
        <f t="shared" si="855"/>
        <v/>
      </c>
      <c r="IY104" s="728" t="str">
        <f t="shared" si="1243"/>
        <v/>
      </c>
      <c r="IZ104" s="768" t="str">
        <f t="shared" si="857"/>
        <v/>
      </c>
      <c r="JA104" s="769" t="str">
        <f t="shared" si="1244"/>
        <v/>
      </c>
      <c r="JB104" s="768" t="str">
        <f t="shared" ref="JB104" si="1283">IF(JA104&lt;0,"Invadiu REP-BA-C","")</f>
        <v/>
      </c>
      <c r="JC104" s="769" t="str">
        <f t="shared" si="1246"/>
        <v/>
      </c>
      <c r="JD104" s="768" t="str">
        <f t="shared" si="861"/>
        <v/>
      </c>
      <c r="JE104" s="728" t="str">
        <f t="shared" si="1247"/>
        <v/>
      </c>
      <c r="JF104" s="768" t="str">
        <f t="shared" si="863"/>
        <v/>
      </c>
      <c r="JG104" s="728" t="str">
        <f t="shared" si="1248"/>
        <v/>
      </c>
      <c r="JH104" s="768" t="str">
        <f t="shared" si="865"/>
        <v/>
      </c>
      <c r="JI104" s="769" t="str">
        <f t="shared" si="1249"/>
        <v/>
      </c>
      <c r="JJ104" s="768" t="str">
        <f t="shared" ref="JJ104" si="1284">IF(JI104&lt;0,"Invadiu REP-BA-C","")</f>
        <v/>
      </c>
      <c r="JK104" s="769" t="str">
        <f t="shared" si="1251"/>
        <v/>
      </c>
      <c r="JL104" s="768" t="str">
        <f t="shared" si="869"/>
        <v/>
      </c>
      <c r="JM104" s="728" t="str">
        <f t="shared" si="1252"/>
        <v/>
      </c>
      <c r="JN104" s="768" t="str">
        <f t="shared" si="871"/>
        <v/>
      </c>
      <c r="JO104" s="728" t="str">
        <f t="shared" si="1253"/>
        <v/>
      </c>
      <c r="JP104" s="768" t="str">
        <f t="shared" si="873"/>
        <v/>
      </c>
      <c r="JQ104" s="769" t="str">
        <f t="shared" si="1254"/>
        <v/>
      </c>
      <c r="JR104" s="768" t="str">
        <f t="shared" ref="JR104" si="1285">IF(JQ104&lt;0,"Invadiu REP-BA-C","")</f>
        <v/>
      </c>
      <c r="JS104" s="769" t="str">
        <f t="shared" si="1256"/>
        <v/>
      </c>
      <c r="JT104" s="768" t="str">
        <f t="shared" si="877"/>
        <v/>
      </c>
      <c r="JU104" s="728" t="str">
        <f t="shared" si="1257"/>
        <v/>
      </c>
      <c r="JV104" s="768" t="str">
        <f t="shared" si="879"/>
        <v/>
      </c>
      <c r="JW104" s="728" t="str">
        <f t="shared" si="1258"/>
        <v/>
      </c>
      <c r="JX104" s="768" t="str">
        <f t="shared" si="881"/>
        <v/>
      </c>
      <c r="JY104" s="768" t="str">
        <f t="shared" si="882"/>
        <v/>
      </c>
      <c r="JZ104" s="485" t="str">
        <f>IF(JY104="","",IF(AND(C104=$C$164,JY104&lt;&gt;""),Verificarcpf(D104),IF(AND(C104=$C$165,JY104&lt;&gt;""),VerificarCNPJ(D104))))</f>
        <v/>
      </c>
      <c r="KA104" s="768" t="str">
        <f t="shared" si="883"/>
        <v/>
      </c>
      <c r="KB104" s="485">
        <f t="shared" si="884"/>
        <v>0</v>
      </c>
      <c r="KC104" s="768">
        <f t="shared" si="885"/>
        <v>0</v>
      </c>
      <c r="KD104" s="485">
        <f t="shared" si="886"/>
        <v>0</v>
      </c>
      <c r="KE104" s="448"/>
      <c r="KF104" s="548"/>
      <c r="KG104" s="548"/>
      <c r="KH104" s="548"/>
      <c r="KI104" s="548"/>
      <c r="KJ104" s="548" t="str">
        <f t="shared" si="887"/>
        <v/>
      </c>
      <c r="KK104" s="548"/>
      <c r="KL104" s="548"/>
      <c r="KM104" s="548">
        <f t="array" ref="KM104">IF(SUM((KL104=$KL$3:KL103)*1)=0,KL104,0)</f>
        <v>0</v>
      </c>
      <c r="KN104" s="548"/>
      <c r="KO104" s="548"/>
      <c r="KP104" s="548"/>
      <c r="KQ104" s="548"/>
      <c r="KR104" s="548" t="str">
        <f t="shared" si="888"/>
        <v/>
      </c>
      <c r="KS104" s="548"/>
      <c r="KT104" s="548"/>
      <c r="KU104" s="548"/>
      <c r="KV104" s="548"/>
      <c r="KW104" s="548"/>
      <c r="KX104" s="548"/>
      <c r="KY104" s="548"/>
      <c r="KZ104" s="548"/>
      <c r="LA104" s="548"/>
      <c r="LB104" s="548"/>
      <c r="LC104" s="485" t="str">
        <f t="shared" si="902"/>
        <v/>
      </c>
      <c r="LD104" s="548"/>
      <c r="LE104" s="548"/>
      <c r="LF104" s="548"/>
      <c r="LG104" s="548"/>
      <c r="LH104" s="548"/>
      <c r="LI104" s="548"/>
      <c r="LJ104" s="548"/>
      <c r="LK104" s="548"/>
      <c r="LL104" s="548"/>
      <c r="LM104" s="548"/>
      <c r="LN104" s="548"/>
      <c r="LO104" s="548"/>
      <c r="LP104" s="485" t="str">
        <f t="shared" si="903"/>
        <v/>
      </c>
      <c r="LQ104" s="548"/>
      <c r="LR104" s="548"/>
      <c r="LS104" s="548"/>
      <c r="LT104" s="548"/>
      <c r="LU104" s="548"/>
      <c r="LV104" s="548"/>
      <c r="LW104" s="548"/>
      <c r="LX104" s="548"/>
      <c r="LY104" s="548"/>
      <c r="LZ104" s="548"/>
      <c r="MA104" s="548"/>
      <c r="MB104" s="548"/>
      <c r="MC104" s="485" t="str">
        <f t="shared" si="904"/>
        <v/>
      </c>
      <c r="MD104" s="548"/>
      <c r="ME104" s="548"/>
      <c r="MF104" s="548"/>
      <c r="MG104" s="548"/>
      <c r="MH104" s="548"/>
      <c r="MI104" s="548"/>
      <c r="MJ104" s="548"/>
      <c r="MK104" s="548"/>
      <c r="ML104" s="548"/>
      <c r="MM104" s="548"/>
      <c r="MN104" s="548"/>
      <c r="MO104" s="548"/>
      <c r="MP104" s="485" t="str">
        <f t="shared" si="905"/>
        <v/>
      </c>
      <c r="MQ104" s="548"/>
      <c r="MR104" s="548"/>
      <c r="MS104" s="548"/>
      <c r="MT104" s="548"/>
      <c r="MU104" s="548"/>
      <c r="MV104" s="548"/>
      <c r="MW104" s="548"/>
      <c r="MX104" s="548"/>
      <c r="MY104" s="548"/>
      <c r="MZ104" s="548"/>
      <c r="NA104" s="548"/>
      <c r="NB104" s="548"/>
      <c r="NC104" s="485" t="str">
        <f t="shared" si="906"/>
        <v/>
      </c>
      <c r="ND104" s="548"/>
      <c r="NE104" s="548"/>
      <c r="NF104" s="548"/>
      <c r="NG104" s="548"/>
      <c r="NH104" s="548"/>
      <c r="NI104" s="548"/>
      <c r="NJ104" s="548"/>
      <c r="NK104" s="548"/>
      <c r="NL104" s="548"/>
      <c r="NM104" s="548"/>
      <c r="NN104" s="548"/>
      <c r="NO104" s="548"/>
      <c r="NP104" s="485" t="str">
        <f t="shared" si="907"/>
        <v/>
      </c>
      <c r="NQ104" s="548"/>
      <c r="NR104" s="548"/>
      <c r="NS104" s="548"/>
      <c r="NT104" s="548"/>
      <c r="NU104" s="548"/>
      <c r="NV104" s="548"/>
      <c r="NW104" s="548"/>
      <c r="NX104" s="548"/>
      <c r="NY104" s="548"/>
      <c r="NZ104" s="548"/>
      <c r="OA104" s="548"/>
      <c r="OB104" s="548"/>
      <c r="OC104" s="485" t="str">
        <f t="shared" si="908"/>
        <v/>
      </c>
      <c r="OD104" s="548"/>
      <c r="OE104" s="548"/>
      <c r="OF104" s="548"/>
      <c r="OG104" s="548"/>
      <c r="OH104" s="548"/>
      <c r="OI104" s="548"/>
      <c r="OJ104" s="548"/>
      <c r="OK104" s="548"/>
      <c r="OL104" s="548"/>
      <c r="OM104" s="548"/>
      <c r="ON104" s="548"/>
      <c r="OO104" s="548"/>
      <c r="OP104" s="548"/>
      <c r="OQ104" s="548"/>
      <c r="OR104" s="548"/>
      <c r="OS104" s="548"/>
      <c r="OT104" s="548"/>
      <c r="OU104" s="548"/>
      <c r="OV104" s="548"/>
      <c r="OW104" s="548"/>
      <c r="OX104" s="548"/>
      <c r="OY104" s="548"/>
      <c r="OZ104" s="548"/>
      <c r="PA104" s="548"/>
      <c r="PB104" s="548"/>
      <c r="PC104" s="548"/>
      <c r="PD104" s="548"/>
      <c r="PE104" s="548"/>
      <c r="PF104" s="548"/>
      <c r="PG104" s="548"/>
      <c r="PH104" s="548"/>
      <c r="PI104" s="548"/>
      <c r="PJ104" s="548"/>
      <c r="PK104" s="548"/>
      <c r="PL104" s="548"/>
      <c r="PM104" s="548"/>
      <c r="PN104" s="548"/>
      <c r="PO104" s="548"/>
      <c r="PP104" s="548"/>
      <c r="PQ104" s="548"/>
      <c r="PR104" s="548"/>
      <c r="PS104" s="548"/>
      <c r="PT104" s="548"/>
      <c r="PU104" s="548"/>
      <c r="PV104" s="548"/>
      <c r="PW104" s="548"/>
      <c r="PX104" s="548"/>
      <c r="PY104" s="548"/>
      <c r="PZ104" s="548"/>
      <c r="QA104" s="548"/>
      <c r="QB104" s="548"/>
      <c r="QC104" s="548"/>
      <c r="QD104" s="548"/>
      <c r="QE104" s="548"/>
      <c r="QF104" s="548"/>
      <c r="QG104" s="548"/>
      <c r="QH104" s="548"/>
      <c r="QI104" s="548"/>
      <c r="QJ104" s="548"/>
      <c r="QK104" s="548"/>
      <c r="QL104" s="548"/>
      <c r="QM104" s="548"/>
      <c r="QN104" s="548"/>
      <c r="QO104" s="548"/>
      <c r="QP104" s="548"/>
      <c r="QQ104" s="1009"/>
      <c r="QR104" s="548"/>
      <c r="QS104" s="548"/>
      <c r="QT104" s="548"/>
      <c r="QU104" s="548"/>
      <c r="QV104" s="548"/>
      <c r="QW104" s="548"/>
      <c r="QX104" s="548"/>
      <c r="QY104" s="548"/>
      <c r="QZ104" s="548"/>
      <c r="RA104" s="548"/>
      <c r="RB104" s="548"/>
      <c r="RC104" s="548"/>
      <c r="RD104" s="548"/>
      <c r="RE104" s="548"/>
      <c r="RF104" s="548"/>
      <c r="RG104" s="548"/>
      <c r="RH104" s="548"/>
      <c r="RI104" s="548"/>
      <c r="RJ104" s="548"/>
      <c r="RK104" s="548"/>
      <c r="RL104" s="548"/>
      <c r="RM104" s="548"/>
      <c r="RN104" s="548"/>
      <c r="RO104" s="548"/>
      <c r="RP104" s="548"/>
      <c r="RQ104" s="548"/>
      <c r="RR104" s="548"/>
      <c r="RS104" s="548"/>
      <c r="RT104" s="548"/>
      <c r="RU104" s="548"/>
      <c r="RV104" s="548"/>
      <c r="RW104" s="548"/>
      <c r="RX104" s="548"/>
      <c r="RY104" s="548"/>
      <c r="RZ104" s="548"/>
      <c r="SA104" s="548"/>
      <c r="SB104" s="548"/>
      <c r="SC104" s="548"/>
      <c r="SD104" s="548"/>
      <c r="SE104" s="548"/>
      <c r="SF104" s="548"/>
      <c r="SG104" s="548"/>
      <c r="SH104" s="548"/>
      <c r="SI104" s="548"/>
      <c r="SJ104" s="548"/>
      <c r="SK104" s="548"/>
      <c r="SL104" s="548"/>
      <c r="SM104" s="548"/>
      <c r="SN104" s="548"/>
      <c r="SO104" s="548"/>
      <c r="SP104" s="548"/>
      <c r="SQ104" s="548"/>
      <c r="SR104" s="548"/>
      <c r="SS104" s="548"/>
      <c r="ST104" s="548"/>
      <c r="SU104" s="548"/>
      <c r="SV104" s="548"/>
      <c r="SW104" s="548"/>
      <c r="SX104" s="548"/>
      <c r="SY104" s="548"/>
      <c r="SZ104" s="548"/>
      <c r="TA104" s="548"/>
      <c r="TB104" s="548"/>
      <c r="TC104" s="548"/>
      <c r="TD104" s="548"/>
      <c r="TE104" s="548"/>
      <c r="TF104" s="548"/>
      <c r="TG104" s="548"/>
      <c r="TH104" s="548"/>
      <c r="TI104" s="548"/>
      <c r="TJ104" s="548"/>
      <c r="TK104" s="548"/>
      <c r="TL104" s="548"/>
      <c r="TM104" s="548"/>
      <c r="TN104" s="548"/>
      <c r="TO104" s="548"/>
      <c r="TP104" s="548"/>
      <c r="TQ104" s="548"/>
      <c r="TR104" s="548"/>
      <c r="TS104" s="548"/>
      <c r="TT104" s="548"/>
      <c r="TU104" s="548"/>
      <c r="TV104" s="548"/>
      <c r="TW104" s="548"/>
      <c r="TX104" s="548"/>
      <c r="TY104" s="548"/>
      <c r="TZ104" s="548"/>
      <c r="UA104" s="548"/>
      <c r="UB104" s="548"/>
      <c r="UC104" s="548"/>
      <c r="UD104" s="548"/>
      <c r="UE104" s="548"/>
      <c r="UF104" s="548"/>
      <c r="UG104" s="548"/>
      <c r="UH104" s="548"/>
      <c r="UI104" s="548"/>
      <c r="UJ104" s="548"/>
      <c r="UK104" s="548"/>
      <c r="UL104" s="548"/>
      <c r="UM104" s="548"/>
      <c r="UN104" s="548"/>
      <c r="UO104" s="548"/>
      <c r="UP104" s="548"/>
      <c r="UQ104" s="548"/>
      <c r="UR104" s="548"/>
      <c r="US104" s="548"/>
      <c r="UT104" s="548"/>
      <c r="UU104" s="548"/>
      <c r="UV104" s="548"/>
      <c r="UW104" s="548"/>
      <c r="UX104" s="548"/>
      <c r="UY104" s="548"/>
      <c r="UZ104" s="548"/>
      <c r="VA104" s="548"/>
      <c r="VB104" s="548"/>
      <c r="VC104" s="548"/>
      <c r="VD104" s="548"/>
      <c r="VE104" s="548"/>
      <c r="VF104" s="548"/>
      <c r="VG104" s="548"/>
      <c r="VH104" s="548"/>
      <c r="VI104" s="548"/>
      <c r="VJ104" s="548"/>
      <c r="VK104" s="548"/>
      <c r="VL104" s="548"/>
      <c r="VM104" s="548"/>
      <c r="VN104" s="548"/>
      <c r="VO104" s="548"/>
      <c r="VP104" s="548"/>
      <c r="VQ104" s="548"/>
      <c r="VR104" s="548"/>
      <c r="VS104" s="548"/>
      <c r="VT104" s="548"/>
      <c r="VU104" s="548"/>
      <c r="VV104" s="548"/>
      <c r="VW104" s="548"/>
      <c r="VX104" s="548"/>
      <c r="VY104" s="548"/>
      <c r="VZ104" s="548"/>
      <c r="WA104" s="548"/>
      <c r="WB104" s="548"/>
      <c r="WC104" s="548"/>
      <c r="WD104" s="548"/>
      <c r="WE104" s="548"/>
      <c r="WF104" s="548"/>
      <c r="WG104" s="548"/>
      <c r="WH104" s="548"/>
      <c r="WI104" s="548"/>
      <c r="WJ104" s="548"/>
      <c r="WK104" s="548"/>
      <c r="WL104" s="548"/>
      <c r="WM104" s="548"/>
      <c r="WN104" s="548"/>
      <c r="WO104" s="548"/>
      <c r="WP104" s="548"/>
      <c r="WQ104" s="548"/>
      <c r="WR104" s="548"/>
      <c r="WS104" s="548"/>
      <c r="WT104" s="548"/>
      <c r="WU104" s="548"/>
      <c r="WV104" s="548"/>
      <c r="WW104" s="548"/>
      <c r="WX104" s="548"/>
      <c r="WY104" s="548"/>
      <c r="WZ104" s="548"/>
      <c r="XA104" s="548"/>
      <c r="XB104" s="548"/>
      <c r="XC104" s="548"/>
      <c r="XD104" s="548"/>
      <c r="XE104" s="548"/>
      <c r="XF104" s="548"/>
      <c r="XG104" s="548"/>
      <c r="XH104" s="548"/>
      <c r="XI104" s="548"/>
      <c r="XJ104" s="548"/>
      <c r="XK104" s="548"/>
      <c r="XL104" s="548"/>
      <c r="XM104" s="548"/>
      <c r="XN104" s="548"/>
      <c r="XO104" s="548"/>
      <c r="XP104" s="548"/>
      <c r="XQ104" s="548"/>
      <c r="XR104" s="548"/>
      <c r="XS104" s="548"/>
      <c r="XT104" s="548"/>
      <c r="XU104" s="548"/>
      <c r="XV104" s="548"/>
      <c r="XW104" s="548"/>
      <c r="XX104" s="548"/>
      <c r="XY104" s="548"/>
      <c r="XZ104" s="548"/>
      <c r="YA104" s="548"/>
      <c r="YB104" s="548"/>
      <c r="YC104" s="548"/>
      <c r="YD104" s="548"/>
      <c r="YE104" s="548"/>
      <c r="YF104" s="548"/>
      <c r="YG104" s="548"/>
      <c r="YH104" s="548"/>
      <c r="YI104" s="548"/>
      <c r="YJ104" s="548"/>
      <c r="YK104" s="548"/>
      <c r="YL104" s="548"/>
      <c r="YM104" s="548"/>
      <c r="YN104" s="548"/>
      <c r="YO104" s="548"/>
      <c r="YP104" s="548"/>
      <c r="YQ104" s="548"/>
      <c r="YR104" s="548"/>
      <c r="YS104" s="548"/>
      <c r="YT104" s="548"/>
      <c r="YU104" s="548"/>
      <c r="YV104" s="548"/>
      <c r="YW104" s="548"/>
      <c r="YX104" s="548"/>
      <c r="YY104" s="548"/>
      <c r="YZ104" s="548"/>
      <c r="ZA104" s="548"/>
      <c r="ZB104" s="548"/>
      <c r="ZC104" s="548"/>
      <c r="ZD104" s="548"/>
      <c r="ZE104" s="548"/>
      <c r="ZF104" s="548"/>
      <c r="ZG104" s="548"/>
      <c r="ZH104" s="548"/>
      <c r="ZI104" s="548"/>
      <c r="ZJ104" s="548"/>
      <c r="ZK104" s="548"/>
      <c r="ZL104" s="548"/>
      <c r="ZM104" s="548"/>
      <c r="ZN104" s="548"/>
      <c r="ZO104" s="548"/>
      <c r="ZP104" s="548"/>
      <c r="ZQ104" s="548"/>
      <c r="ZR104" s="548"/>
      <c r="ZS104" s="548"/>
      <c r="ZT104" s="548"/>
      <c r="ZU104" s="548"/>
      <c r="ZV104" s="548"/>
      <c r="ZW104" s="548"/>
      <c r="ZX104" s="548"/>
      <c r="ZY104" s="548"/>
      <c r="ZZ104" s="548"/>
      <c r="AAA104" s="548"/>
      <c r="AAB104" s="548"/>
      <c r="AAC104" s="548"/>
      <c r="AAD104" s="548"/>
      <c r="AAE104" s="548"/>
      <c r="AAF104" s="548"/>
      <c r="AAG104" s="548"/>
      <c r="AAH104" s="548"/>
      <c r="AAI104" s="548"/>
      <c r="AAJ104" s="548"/>
      <c r="AAK104" s="548"/>
      <c r="AAL104" s="548"/>
      <c r="AAM104" s="548"/>
      <c r="AAN104" s="548"/>
      <c r="AAO104" s="548"/>
      <c r="AAP104" s="548"/>
      <c r="AAQ104" s="548"/>
      <c r="AAR104" s="548"/>
      <c r="AAS104" s="548"/>
      <c r="AAT104" s="548"/>
      <c r="AAU104" s="548"/>
      <c r="AAV104" s="548"/>
      <c r="AAW104" s="548"/>
      <c r="AAX104" s="548"/>
      <c r="AAY104" s="548"/>
      <c r="AAZ104" s="548"/>
      <c r="ABA104" s="548"/>
      <c r="ABB104" s="548"/>
      <c r="ABC104" s="548"/>
      <c r="ABD104" s="548"/>
      <c r="ABE104" s="548"/>
      <c r="ABF104" s="548"/>
      <c r="ABG104" s="548"/>
      <c r="ABH104" s="548"/>
      <c r="ABI104" s="548"/>
      <c r="ABJ104" s="548"/>
      <c r="ABK104" s="548"/>
      <c r="ABL104" s="548"/>
      <c r="ABM104" s="548"/>
      <c r="ABN104" s="548"/>
      <c r="ABO104" s="548"/>
      <c r="ABP104" s="548"/>
      <c r="ABQ104" s="548"/>
      <c r="ABR104" s="548"/>
      <c r="ABS104" s="548"/>
    </row>
    <row r="105" spans="1:747" customFormat="1" ht="15" customHeight="1" x14ac:dyDescent="0.2">
      <c r="A105" s="424" t="str">
        <f t="shared" si="909"/>
        <v/>
      </c>
      <c r="B105" s="415"/>
      <c r="C105" s="525"/>
      <c r="D105" s="750"/>
      <c r="E105" s="416" t="str">
        <f t="shared" si="1171"/>
        <v/>
      </c>
      <c r="F105" s="527" t="str">
        <f t="shared" si="1172"/>
        <v/>
      </c>
      <c r="G105" s="417"/>
      <c r="H105" s="585" t="str">
        <f t="shared" si="1173"/>
        <v/>
      </c>
      <c r="I105" s="424"/>
      <c r="J105" s="419"/>
      <c r="K105" s="418"/>
      <c r="L105" s="419"/>
      <c r="M105" s="415"/>
      <c r="N105" s="420"/>
      <c r="O105" s="421"/>
      <c r="P105" s="561"/>
      <c r="Q105" s="422"/>
      <c r="R105" s="561" t="str">
        <f t="shared" si="1174"/>
        <v/>
      </c>
      <c r="S105" s="664"/>
      <c r="T105" s="663"/>
      <c r="U105" s="580">
        <f t="shared" si="1175"/>
        <v>0</v>
      </c>
      <c r="V105" s="418"/>
      <c r="W105" s="582" t="str">
        <f t="shared" si="1176"/>
        <v/>
      </c>
      <c r="X105" s="479" t="str">
        <f t="shared" si="1177"/>
        <v/>
      </c>
      <c r="Y105" s="582" t="str">
        <f t="shared" si="1178"/>
        <v/>
      </c>
      <c r="Z105" s="317" t="str">
        <f t="shared" si="1179"/>
        <v/>
      </c>
      <c r="AA105" s="317" t="str">
        <f t="shared" si="1180"/>
        <v/>
      </c>
      <c r="AB105" s="317">
        <f t="shared" si="1181"/>
        <v>0</v>
      </c>
      <c r="AC105" s="317" t="str">
        <f t="shared" si="1182"/>
        <v/>
      </c>
      <c r="AD105" s="479"/>
      <c r="AE105" s="479"/>
      <c r="AF105" s="479"/>
      <c r="AG105" s="423"/>
      <c r="AH105" s="820"/>
      <c r="AI105" s="437"/>
      <c r="AJ105" s="660"/>
      <c r="AK105" s="524" t="str">
        <f t="shared" si="1183"/>
        <v/>
      </c>
      <c r="AL105" s="731">
        <f>SUMIF($J$4:$J$46,"Formação",$S$4:$S$46)</f>
        <v>0</v>
      </c>
      <c r="AM105" s="732">
        <f>SUMIF($J$4:$J$46,"Formação",$T$4:$T$46)</f>
        <v>0</v>
      </c>
      <c r="AN105" s="426">
        <f t="shared" si="1184"/>
        <v>0</v>
      </c>
      <c r="AO105" s="427" t="str">
        <f t="shared" si="1185"/>
        <v/>
      </c>
      <c r="AP105" s="426" t="str">
        <f t="shared" si="1186"/>
        <v/>
      </c>
      <c r="AQ105" s="426"/>
      <c r="AR105" s="426"/>
      <c r="AS105" s="428"/>
      <c r="AT105" s="429"/>
      <c r="AU105" s="430"/>
      <c r="AV105" s="431"/>
      <c r="AW105" s="432"/>
      <c r="AX105" s="430"/>
      <c r="AY105" s="431">
        <f t="shared" si="1187"/>
        <v>0</v>
      </c>
      <c r="AZ105" s="426"/>
      <c r="BA105" s="435" t="str">
        <f t="shared" si="1188"/>
        <v/>
      </c>
      <c r="BB105" s="435"/>
      <c r="BC105" s="426"/>
      <c r="BD105" s="426">
        <f t="array" ref="BD105">IF(SUM((BC105=$BC$3:BC104)*1)=0,BC105,0)</f>
        <v>0</v>
      </c>
      <c r="BE105" s="426"/>
      <c r="BF105" s="426"/>
      <c r="BG105" s="426">
        <f t="array" ref="BG105">IF(SUM((BF105=$BF$3:BF104)*1)=0,BF105,0)</f>
        <v>0</v>
      </c>
      <c r="BH105" s="426"/>
      <c r="BI105" s="426"/>
      <c r="BJ105" s="426"/>
      <c r="BK105" s="426"/>
      <c r="BL105" s="426"/>
      <c r="BM105" s="426"/>
      <c r="BN105" s="426"/>
      <c r="BO105" s="426"/>
      <c r="BP105" s="433">
        <f t="shared" si="1189"/>
        <v>0</v>
      </c>
      <c r="BQ105" s="426"/>
      <c r="BR105" s="434"/>
      <c r="BS105" s="426"/>
      <c r="BT105" s="433"/>
      <c r="BU105" s="435"/>
      <c r="BV105" s="435" t="str">
        <f t="shared" si="1190"/>
        <v/>
      </c>
      <c r="BW105" s="435" t="str">
        <f t="shared" si="798"/>
        <v/>
      </c>
      <c r="BX105" s="435"/>
      <c r="BY105" s="435"/>
      <c r="BZ105" s="435"/>
      <c r="CA105" s="435"/>
      <c r="CB105" s="435"/>
      <c r="CC105" s="435"/>
      <c r="CD105" s="435"/>
      <c r="CE105" s="435"/>
      <c r="CF105" s="435"/>
      <c r="CG105" s="435"/>
      <c r="CH105" s="435"/>
      <c r="CI105" s="435"/>
      <c r="CJ105" s="426" t="str">
        <f t="shared" si="799"/>
        <v/>
      </c>
      <c r="CK105" s="435"/>
      <c r="CL105" s="426"/>
      <c r="CM105" s="435"/>
      <c r="CN105" s="426"/>
      <c r="CO105" s="426"/>
      <c r="CP105" s="426"/>
      <c r="CQ105" s="426"/>
      <c r="CR105" s="426"/>
      <c r="CS105" s="426"/>
      <c r="CT105" s="426"/>
      <c r="CU105" s="426"/>
      <c r="CV105" s="426"/>
      <c r="CW105" s="493"/>
      <c r="CX105" s="493"/>
      <c r="CY105" s="426">
        <v>102</v>
      </c>
      <c r="CZ105" s="493"/>
      <c r="DA105" s="493"/>
      <c r="DB105" s="493"/>
      <c r="DC105" s="426" t="s">
        <v>845</v>
      </c>
      <c r="DD105" s="426" t="s">
        <v>1005</v>
      </c>
      <c r="DE105" s="435" t="str">
        <f t="shared" si="800"/>
        <v/>
      </c>
      <c r="DF105" s="435" t="str">
        <f t="shared" si="801"/>
        <v/>
      </c>
      <c r="DG105" s="435" t="str">
        <f t="shared" si="802"/>
        <v/>
      </c>
      <c r="DH105" s="435" t="str">
        <f t="shared" si="803"/>
        <v/>
      </c>
      <c r="DI105" s="435" t="str">
        <f t="shared" si="804"/>
        <v/>
      </c>
      <c r="DJ105" s="435" t="str">
        <f t="shared" si="805"/>
        <v/>
      </c>
      <c r="DK105" s="435" t="str">
        <f t="shared" si="1191"/>
        <v/>
      </c>
      <c r="DL105" s="435" t="str">
        <f t="shared" si="1192"/>
        <v/>
      </c>
      <c r="DM105" s="435" t="str">
        <f t="shared" si="806"/>
        <v/>
      </c>
      <c r="DN105" s="435" t="str">
        <f t="shared" si="807"/>
        <v/>
      </c>
      <c r="DO105" s="435" t="str">
        <f t="shared" si="1193"/>
        <v/>
      </c>
      <c r="DP105" s="435" t="str">
        <f t="shared" si="1194"/>
        <v/>
      </c>
      <c r="DQ105" s="435" t="str">
        <f t="shared" si="808"/>
        <v/>
      </c>
      <c r="DR105" s="435" t="str">
        <f t="shared" si="809"/>
        <v/>
      </c>
      <c r="DS105" s="435" t="str">
        <f t="shared" si="1195"/>
        <v/>
      </c>
      <c r="DT105" s="435" t="str">
        <f t="shared" si="1196"/>
        <v/>
      </c>
      <c r="DU105" s="435" t="str">
        <f t="shared" si="810"/>
        <v/>
      </c>
      <c r="DV105" s="435" t="str">
        <f t="shared" si="811"/>
        <v/>
      </c>
      <c r="DW105" s="435" t="str">
        <f t="shared" si="1197"/>
        <v/>
      </c>
      <c r="DX105" s="435" t="str">
        <f t="shared" si="1198"/>
        <v/>
      </c>
      <c r="DY105" s="435" t="str">
        <f t="shared" si="812"/>
        <v/>
      </c>
      <c r="DZ105" s="435" t="str">
        <f t="shared" si="813"/>
        <v/>
      </c>
      <c r="EA105" s="435" t="str">
        <f t="shared" si="1199"/>
        <v/>
      </c>
      <c r="EB105" s="435" t="str">
        <f t="shared" si="1200"/>
        <v/>
      </c>
      <c r="EC105" s="435" t="str">
        <f t="shared" si="1201"/>
        <v/>
      </c>
      <c r="ED105" s="435" t="str">
        <f t="shared" si="1202"/>
        <v/>
      </c>
      <c r="EE105" s="435" t="str">
        <f t="shared" si="1203"/>
        <v/>
      </c>
      <c r="EF105" s="435" t="str">
        <f t="shared" si="1204"/>
        <v/>
      </c>
      <c r="EG105" s="435" t="str">
        <f t="shared" si="1205"/>
        <v/>
      </c>
      <c r="EH105" s="435" t="str">
        <f t="shared" si="1206"/>
        <v/>
      </c>
      <c r="EI105" s="435" t="str">
        <f t="shared" si="1207"/>
        <v/>
      </c>
      <c r="EJ105" s="435" t="str">
        <f t="shared" si="1208"/>
        <v/>
      </c>
      <c r="EK105" s="485"/>
      <c r="EL105" s="485"/>
      <c r="EM105" s="485"/>
      <c r="EN105" s="485"/>
      <c r="EO105" s="448"/>
      <c r="EP105" s="448"/>
      <c r="EQ105" s="448"/>
      <c r="ER105" s="448"/>
      <c r="ES105" s="448"/>
      <c r="ET105" s="435"/>
      <c r="EU105" s="435"/>
      <c r="EV105" s="435"/>
      <c r="EW105" s="435"/>
      <c r="EX105" s="426"/>
      <c r="EY105" s="426"/>
      <c r="EZ105" s="426"/>
      <c r="FA105" s="863"/>
      <c r="FB105" s="427">
        <f t="array" ref="FB105">IF(SUM((FA105=$FA$3:FA104)*1)=0,FA105,0)</f>
        <v>0</v>
      </c>
      <c r="FC105" s="863"/>
      <c r="FD105" s="863"/>
      <c r="FE105" s="863">
        <f t="array" ref="FE105">IF(SUM((FD105=$FD$3:FD104)*1)=0,FD105,0)</f>
        <v>0</v>
      </c>
      <c r="FF105" s="863"/>
      <c r="FG105" s="863"/>
      <c r="FH105" s="863"/>
      <c r="FI105" s="427">
        <f t="array" ref="FI105">IF(SUM((FH105=$FH$3:FH104)*1)=0,FH105,0)</f>
        <v>0</v>
      </c>
      <c r="FJ105" s="863"/>
      <c r="FK105" s="863"/>
      <c r="FL105" s="863">
        <f t="array" ref="FL105">IF(SUM((FK105=$FK$3:FK104)*1)=0,FK105,0)</f>
        <v>0</v>
      </c>
      <c r="FM105" s="863"/>
      <c r="FN105" s="863"/>
      <c r="FO105" s="863"/>
      <c r="FP105" s="427">
        <f t="array" ref="FP105">IF(SUM((FO105=$FO$3:FO104)*1)=0,FO105,0)</f>
        <v>0</v>
      </c>
      <c r="FQ105" s="863"/>
      <c r="FR105" s="863"/>
      <c r="FS105" s="863">
        <f t="array" ref="FS105">IF(SUM((FR105=$FR$3:FR104)*1)=0,FR105,0)</f>
        <v>0</v>
      </c>
      <c r="FT105" s="863"/>
      <c r="FU105" s="863"/>
      <c r="FV105" s="863"/>
      <c r="FW105" s="427">
        <f t="array" ref="FW105">IF(SUM((FV105=$FV$3:FV104)*1)=0,FV105,0)</f>
        <v>0</v>
      </c>
      <c r="FX105" s="863"/>
      <c r="FY105" s="863"/>
      <c r="FZ105" s="863">
        <f t="array" ref="FZ105">IF(SUM((FY105=$FY$3:FY104)*1)=0,FY105,0)</f>
        <v>0</v>
      </c>
      <c r="GA105" s="863"/>
      <c r="GB105" s="863"/>
      <c r="GC105" s="863"/>
      <c r="GD105" s="427">
        <f t="array" ref="GD105">IF(SUM((GC105=$GC$3:GC104)*1)=0,GC105,0)</f>
        <v>0</v>
      </c>
      <c r="GE105" s="863"/>
      <c r="GF105" s="863"/>
      <c r="GG105" s="863">
        <f t="array" ref="GG105">IF(SUM((GF105=$GF$3:GF104)*1)=0,GF105,0)</f>
        <v>0</v>
      </c>
      <c r="GH105" s="863"/>
      <c r="GI105" s="863"/>
      <c r="GJ105" s="863"/>
      <c r="GK105" s="798">
        <f t="array" ref="GK105">IF(SUM((GJ105=$GJ$3:GJ104)*1)=0,GJ105,0)</f>
        <v>0</v>
      </c>
      <c r="GL105" s="863"/>
      <c r="GM105" s="863"/>
      <c r="GN105" s="798">
        <f t="array" ref="GN105">IF(SUM((GM105=$GM$3:GM104)*1)=0,GM105,0)</f>
        <v>0</v>
      </c>
      <c r="GO105" s="863"/>
      <c r="GP105" s="863"/>
      <c r="GQ105" s="863"/>
      <c r="GR105" s="798">
        <f t="array" ref="GR105">IF(SUM((GQ105=$GQ$3:GQ104)*1)=0,GQ105,0)</f>
        <v>0</v>
      </c>
      <c r="GS105" s="863"/>
      <c r="GT105" s="863"/>
      <c r="GU105" s="798">
        <f t="array" ref="GU105">IF(SUM((GT105=$GT$3:GT104)*1)=0,GT105,0)</f>
        <v>0</v>
      </c>
      <c r="GV105" s="863"/>
      <c r="GW105" s="863"/>
      <c r="GX105" s="863"/>
      <c r="GY105" s="798">
        <f t="array" ref="GY105">IF(SUM((GX105=$GX$3:GX104)*1)=0,GX105,0)</f>
        <v>0</v>
      </c>
      <c r="GZ105" s="863"/>
      <c r="HA105" s="863"/>
      <c r="HB105" s="798">
        <f t="array" ref="HB105">IF(SUM((HA105=$HA$3:HA104)*1)=0,HA105,0)</f>
        <v>0</v>
      </c>
      <c r="HC105" s="863"/>
      <c r="HD105" s="863"/>
      <c r="HE105" s="769" t="str">
        <f t="shared" si="889"/>
        <v/>
      </c>
      <c r="HF105" s="768" t="str">
        <f t="shared" ref="HF105" si="1286">IF(HE105&lt;0,"Invadiu REP-BA-C","")</f>
        <v/>
      </c>
      <c r="HG105" s="769" t="str">
        <f t="shared" si="891"/>
        <v/>
      </c>
      <c r="HH105" s="768" t="str">
        <f t="shared" si="815"/>
        <v/>
      </c>
      <c r="HI105" s="728" t="str">
        <f t="shared" si="892"/>
        <v/>
      </c>
      <c r="HJ105" s="768" t="str">
        <f t="shared" si="816"/>
        <v/>
      </c>
      <c r="HK105" s="728" t="str">
        <f t="shared" si="893"/>
        <v/>
      </c>
      <c r="HL105" s="768" t="str">
        <f t="shared" si="817"/>
        <v/>
      </c>
      <c r="HM105" s="769" t="str">
        <f t="shared" si="1219"/>
        <v/>
      </c>
      <c r="HN105" s="768" t="str">
        <f t="shared" ref="HN105" si="1287">IF(HM105&lt;0,"Invadiu REP-BA-C","")</f>
        <v/>
      </c>
      <c r="HO105" s="769" t="str">
        <f t="shared" si="1221"/>
        <v/>
      </c>
      <c r="HP105" s="768" t="str">
        <f t="shared" si="821"/>
        <v/>
      </c>
      <c r="HQ105" s="728" t="str">
        <f t="shared" si="1222"/>
        <v/>
      </c>
      <c r="HR105" s="768" t="str">
        <f t="shared" si="823"/>
        <v/>
      </c>
      <c r="HS105" s="728" t="str">
        <f t="shared" si="1223"/>
        <v/>
      </c>
      <c r="HT105" s="768" t="str">
        <f t="shared" si="825"/>
        <v/>
      </c>
      <c r="HU105" s="769" t="str">
        <f t="shared" si="1224"/>
        <v/>
      </c>
      <c r="HV105" s="768" t="str">
        <f t="shared" ref="HV105" si="1288">IF(HU105&lt;0,"Invadiu REP-BA-C","")</f>
        <v/>
      </c>
      <c r="HW105" s="769" t="str">
        <f t="shared" si="1226"/>
        <v/>
      </c>
      <c r="HX105" s="768" t="str">
        <f t="shared" si="829"/>
        <v/>
      </c>
      <c r="HY105" s="728" t="str">
        <f t="shared" si="1227"/>
        <v/>
      </c>
      <c r="HZ105" s="768" t="str">
        <f t="shared" si="831"/>
        <v/>
      </c>
      <c r="IA105" s="728" t="str">
        <f t="shared" si="1228"/>
        <v/>
      </c>
      <c r="IB105" s="768" t="str">
        <f t="shared" si="833"/>
        <v/>
      </c>
      <c r="IC105" s="769" t="str">
        <f t="shared" si="1229"/>
        <v/>
      </c>
      <c r="ID105" s="768" t="str">
        <f t="shared" ref="ID105" si="1289">IF(IC105&lt;0,"Invadiu REP-BA-C","")</f>
        <v/>
      </c>
      <c r="IE105" s="769" t="str">
        <f t="shared" si="1231"/>
        <v/>
      </c>
      <c r="IF105" s="768" t="str">
        <f t="shared" si="837"/>
        <v/>
      </c>
      <c r="IG105" s="728" t="str">
        <f t="shared" si="1232"/>
        <v/>
      </c>
      <c r="IH105" s="768" t="str">
        <f t="shared" si="839"/>
        <v/>
      </c>
      <c r="II105" s="728" t="str">
        <f t="shared" si="1233"/>
        <v/>
      </c>
      <c r="IJ105" s="768" t="str">
        <f t="shared" si="841"/>
        <v/>
      </c>
      <c r="IK105" s="769" t="str">
        <f t="shared" si="1234"/>
        <v/>
      </c>
      <c r="IL105" s="768" t="str">
        <f t="shared" ref="IL105" si="1290">IF(IK105&lt;0,"Invadiu REP-BA-C","")</f>
        <v/>
      </c>
      <c r="IM105" s="769" t="str">
        <f t="shared" si="1236"/>
        <v/>
      </c>
      <c r="IN105" s="768" t="str">
        <f t="shared" si="845"/>
        <v/>
      </c>
      <c r="IO105" s="728" t="str">
        <f t="shared" si="1237"/>
        <v/>
      </c>
      <c r="IP105" s="768" t="str">
        <f t="shared" si="847"/>
        <v/>
      </c>
      <c r="IQ105" s="728" t="str">
        <f t="shared" si="1238"/>
        <v/>
      </c>
      <c r="IR105" s="768" t="str">
        <f t="shared" si="849"/>
        <v/>
      </c>
      <c r="IS105" s="769" t="str">
        <f t="shared" si="1239"/>
        <v/>
      </c>
      <c r="IT105" s="768" t="str">
        <f t="shared" ref="IT105" si="1291">IF(IS105&lt;0,"Invadiu REP-BA-C","")</f>
        <v/>
      </c>
      <c r="IU105" s="769" t="str">
        <f t="shared" si="1241"/>
        <v/>
      </c>
      <c r="IV105" s="768" t="str">
        <f t="shared" si="853"/>
        <v/>
      </c>
      <c r="IW105" s="728" t="str">
        <f t="shared" si="1242"/>
        <v/>
      </c>
      <c r="IX105" s="768" t="str">
        <f t="shared" si="855"/>
        <v/>
      </c>
      <c r="IY105" s="728" t="str">
        <f t="shared" si="1243"/>
        <v/>
      </c>
      <c r="IZ105" s="768" t="str">
        <f t="shared" si="857"/>
        <v/>
      </c>
      <c r="JA105" s="769" t="str">
        <f t="shared" si="1244"/>
        <v/>
      </c>
      <c r="JB105" s="768" t="str">
        <f t="shared" ref="JB105" si="1292">IF(JA105&lt;0,"Invadiu REP-BA-C","")</f>
        <v/>
      </c>
      <c r="JC105" s="769" t="str">
        <f t="shared" si="1246"/>
        <v/>
      </c>
      <c r="JD105" s="768" t="str">
        <f t="shared" si="861"/>
        <v/>
      </c>
      <c r="JE105" s="728" t="str">
        <f t="shared" si="1247"/>
        <v/>
      </c>
      <c r="JF105" s="768" t="str">
        <f t="shared" si="863"/>
        <v/>
      </c>
      <c r="JG105" s="728" t="str">
        <f t="shared" si="1248"/>
        <v/>
      </c>
      <c r="JH105" s="768" t="str">
        <f t="shared" si="865"/>
        <v/>
      </c>
      <c r="JI105" s="769" t="str">
        <f t="shared" si="1249"/>
        <v/>
      </c>
      <c r="JJ105" s="768" t="str">
        <f t="shared" ref="JJ105" si="1293">IF(JI105&lt;0,"Invadiu REP-BA-C","")</f>
        <v/>
      </c>
      <c r="JK105" s="769" t="str">
        <f t="shared" si="1251"/>
        <v/>
      </c>
      <c r="JL105" s="768" t="str">
        <f t="shared" si="869"/>
        <v/>
      </c>
      <c r="JM105" s="728" t="str">
        <f t="shared" si="1252"/>
        <v/>
      </c>
      <c r="JN105" s="768" t="str">
        <f t="shared" si="871"/>
        <v/>
      </c>
      <c r="JO105" s="728" t="str">
        <f t="shared" si="1253"/>
        <v/>
      </c>
      <c r="JP105" s="768" t="str">
        <f t="shared" si="873"/>
        <v/>
      </c>
      <c r="JQ105" s="769" t="str">
        <f t="shared" si="1254"/>
        <v/>
      </c>
      <c r="JR105" s="768" t="str">
        <f t="shared" ref="JR105" si="1294">IF(JQ105&lt;0,"Invadiu REP-BA-C","")</f>
        <v/>
      </c>
      <c r="JS105" s="769" t="str">
        <f t="shared" si="1256"/>
        <v/>
      </c>
      <c r="JT105" s="768" t="str">
        <f t="shared" si="877"/>
        <v/>
      </c>
      <c r="JU105" s="728" t="str">
        <f t="shared" si="1257"/>
        <v/>
      </c>
      <c r="JV105" s="768" t="str">
        <f t="shared" si="879"/>
        <v/>
      </c>
      <c r="JW105" s="728" t="str">
        <f t="shared" si="1258"/>
        <v/>
      </c>
      <c r="JX105" s="768" t="str">
        <f t="shared" si="881"/>
        <v/>
      </c>
      <c r="JY105" s="768" t="str">
        <f t="shared" si="882"/>
        <v/>
      </c>
      <c r="JZ105" s="485" t="str">
        <f>IF(JY105="","",IF(AND(C105=$C$164,JY105&lt;&gt;""),Verificarcpf(D105),IF(AND(C105=$C$165,JY105&lt;&gt;""),VerificarCNPJ(D105))))</f>
        <v/>
      </c>
      <c r="KA105" s="768" t="str">
        <f t="shared" si="883"/>
        <v/>
      </c>
      <c r="KB105" s="485">
        <f t="shared" si="884"/>
        <v>0</v>
      </c>
      <c r="KC105" s="768">
        <f t="shared" si="885"/>
        <v>0</v>
      </c>
      <c r="KD105" s="485">
        <f t="shared" si="886"/>
        <v>0</v>
      </c>
      <c r="KE105" s="448"/>
      <c r="KF105" s="548"/>
      <c r="KG105" s="548"/>
      <c r="KH105" s="548"/>
      <c r="KI105" s="548"/>
      <c r="KJ105" s="548" t="str">
        <f t="shared" si="887"/>
        <v/>
      </c>
      <c r="KK105" s="548"/>
      <c r="KL105" s="548"/>
      <c r="KM105" s="548">
        <f t="array" ref="KM105">IF(SUM((KL105=$KL$3:KL104)*1)=0,KL105,0)</f>
        <v>0</v>
      </c>
      <c r="KN105" s="548"/>
      <c r="KO105" s="548"/>
      <c r="KP105" s="548"/>
      <c r="KQ105" s="548"/>
      <c r="KR105" s="548" t="str">
        <f t="shared" si="888"/>
        <v/>
      </c>
      <c r="KS105" s="548"/>
      <c r="KT105" s="548"/>
      <c r="KU105" s="548"/>
      <c r="KV105" s="548"/>
      <c r="KW105" s="548"/>
      <c r="KX105" s="548"/>
      <c r="KY105" s="548"/>
      <c r="KZ105" s="548"/>
      <c r="LA105" s="548"/>
      <c r="LB105" s="548"/>
      <c r="LC105" s="485" t="str">
        <f t="shared" si="902"/>
        <v/>
      </c>
      <c r="LD105" s="548"/>
      <c r="LE105" s="548"/>
      <c r="LF105" s="548"/>
      <c r="LG105" s="548"/>
      <c r="LH105" s="548"/>
      <c r="LI105" s="548"/>
      <c r="LJ105" s="548"/>
      <c r="LK105" s="548"/>
      <c r="LL105" s="548"/>
      <c r="LM105" s="548"/>
      <c r="LN105" s="548"/>
      <c r="LO105" s="548"/>
      <c r="LP105" s="485" t="str">
        <f t="shared" si="903"/>
        <v/>
      </c>
      <c r="LQ105" s="548"/>
      <c r="LR105" s="548"/>
      <c r="LS105" s="548"/>
      <c r="LT105" s="548"/>
      <c r="LU105" s="548"/>
      <c r="LV105" s="548"/>
      <c r="LW105" s="548"/>
      <c r="LX105" s="548"/>
      <c r="LY105" s="548"/>
      <c r="LZ105" s="548"/>
      <c r="MA105" s="548"/>
      <c r="MB105" s="548"/>
      <c r="MC105" s="485" t="str">
        <f t="shared" si="904"/>
        <v/>
      </c>
      <c r="MD105" s="548"/>
      <c r="ME105" s="548"/>
      <c r="MF105" s="548"/>
      <c r="MG105" s="548"/>
      <c r="MH105" s="548"/>
      <c r="MI105" s="548"/>
      <c r="MJ105" s="548"/>
      <c r="MK105" s="548"/>
      <c r="ML105" s="548"/>
      <c r="MM105" s="548"/>
      <c r="MN105" s="548"/>
      <c r="MO105" s="548"/>
      <c r="MP105" s="485" t="str">
        <f t="shared" si="905"/>
        <v/>
      </c>
      <c r="MQ105" s="548"/>
      <c r="MR105" s="548"/>
      <c r="MS105" s="548"/>
      <c r="MT105" s="548"/>
      <c r="MU105" s="548"/>
      <c r="MV105" s="548"/>
      <c r="MW105" s="548"/>
      <c r="MX105" s="548"/>
      <c r="MY105" s="548"/>
      <c r="MZ105" s="548"/>
      <c r="NA105" s="548"/>
      <c r="NB105" s="548"/>
      <c r="NC105" s="485" t="str">
        <f t="shared" si="906"/>
        <v/>
      </c>
      <c r="ND105" s="548"/>
      <c r="NE105" s="548"/>
      <c r="NF105" s="548"/>
      <c r="NG105" s="548"/>
      <c r="NH105" s="548"/>
      <c r="NI105" s="548"/>
      <c r="NJ105" s="548"/>
      <c r="NK105" s="548"/>
      <c r="NL105" s="548"/>
      <c r="NM105" s="548"/>
      <c r="NN105" s="548"/>
      <c r="NO105" s="548"/>
      <c r="NP105" s="485" t="str">
        <f t="shared" si="907"/>
        <v/>
      </c>
      <c r="NQ105" s="548"/>
      <c r="NR105" s="548"/>
      <c r="NS105" s="548"/>
      <c r="NT105" s="548"/>
      <c r="NU105" s="548"/>
      <c r="NV105" s="548"/>
      <c r="NW105" s="548"/>
      <c r="NX105" s="548"/>
      <c r="NY105" s="548"/>
      <c r="NZ105" s="548"/>
      <c r="OA105" s="548"/>
      <c r="OB105" s="548"/>
      <c r="OC105" s="485" t="str">
        <f t="shared" si="908"/>
        <v/>
      </c>
      <c r="OD105" s="548"/>
      <c r="OE105" s="548"/>
      <c r="OF105" s="548"/>
      <c r="OG105" s="548"/>
      <c r="OH105" s="548"/>
      <c r="OI105" s="548"/>
      <c r="OJ105" s="548"/>
      <c r="OK105" s="548"/>
      <c r="OL105" s="548"/>
      <c r="OM105" s="548"/>
      <c r="ON105" s="548"/>
      <c r="OO105" s="548"/>
      <c r="OP105" s="548"/>
      <c r="OQ105" s="548"/>
      <c r="OR105" s="548"/>
      <c r="OS105" s="548"/>
      <c r="OT105" s="548"/>
      <c r="OU105" s="548"/>
      <c r="OV105" s="548"/>
      <c r="OW105" s="548"/>
      <c r="OX105" s="548"/>
      <c r="OY105" s="548"/>
      <c r="OZ105" s="548"/>
      <c r="PA105" s="548"/>
      <c r="PB105" s="548"/>
      <c r="PC105" s="548"/>
      <c r="PD105" s="548"/>
      <c r="PE105" s="548"/>
      <c r="PF105" s="548"/>
      <c r="PG105" s="548"/>
      <c r="PH105" s="548"/>
      <c r="PI105" s="548"/>
      <c r="PJ105" s="548"/>
      <c r="PK105" s="548"/>
      <c r="PL105" s="548"/>
      <c r="PM105" s="548"/>
      <c r="PN105" s="548"/>
      <c r="PO105" s="548"/>
      <c r="PP105" s="548"/>
      <c r="PQ105" s="548"/>
      <c r="PR105" s="548"/>
      <c r="PS105" s="548"/>
      <c r="PT105" s="548"/>
      <c r="PU105" s="548"/>
      <c r="PV105" s="548"/>
      <c r="PW105" s="548"/>
      <c r="PX105" s="548"/>
      <c r="PY105" s="548"/>
      <c r="PZ105" s="548"/>
      <c r="QA105" s="548"/>
      <c r="QB105" s="548"/>
      <c r="QC105" s="548"/>
      <c r="QD105" s="548"/>
      <c r="QE105" s="548"/>
      <c r="QF105" s="548"/>
      <c r="QG105" s="548"/>
      <c r="QH105" s="548"/>
      <c r="QI105" s="548"/>
      <c r="QJ105" s="548"/>
      <c r="QK105" s="548"/>
      <c r="QL105" s="548"/>
      <c r="QM105" s="548"/>
      <c r="QN105" s="548"/>
      <c r="QO105" s="548"/>
      <c r="QP105" s="548"/>
      <c r="QQ105" s="1009"/>
      <c r="QR105" s="548"/>
      <c r="QS105" s="548"/>
      <c r="QT105" s="548"/>
      <c r="QU105" s="548"/>
      <c r="QV105" s="548"/>
      <c r="QW105" s="548"/>
      <c r="QX105" s="548"/>
      <c r="QY105" s="548"/>
      <c r="QZ105" s="548"/>
      <c r="RA105" s="548"/>
      <c r="RB105" s="548"/>
      <c r="RC105" s="548"/>
      <c r="RD105" s="548"/>
      <c r="RE105" s="548"/>
      <c r="RF105" s="548"/>
      <c r="RG105" s="548"/>
      <c r="RH105" s="548"/>
      <c r="RI105" s="548"/>
      <c r="RJ105" s="548"/>
      <c r="RK105" s="548"/>
      <c r="RL105" s="548"/>
      <c r="RM105" s="548"/>
      <c r="RN105" s="548"/>
      <c r="RO105" s="548"/>
      <c r="RP105" s="548"/>
      <c r="RQ105" s="548"/>
      <c r="RR105" s="548"/>
      <c r="RS105" s="548"/>
      <c r="RT105" s="548"/>
      <c r="RU105" s="548"/>
      <c r="RV105" s="548"/>
      <c r="RW105" s="548"/>
      <c r="RX105" s="548"/>
      <c r="RY105" s="548"/>
      <c r="RZ105" s="548"/>
      <c r="SA105" s="548"/>
      <c r="SB105" s="548"/>
      <c r="SC105" s="548"/>
      <c r="SD105" s="548"/>
      <c r="SE105" s="548"/>
      <c r="SF105" s="548"/>
      <c r="SG105" s="548"/>
      <c r="SH105" s="548"/>
      <c r="SI105" s="548"/>
      <c r="SJ105" s="548"/>
      <c r="SK105" s="548"/>
      <c r="SL105" s="548"/>
      <c r="SM105" s="548"/>
      <c r="SN105" s="548"/>
      <c r="SO105" s="548"/>
      <c r="SP105" s="548"/>
      <c r="SQ105" s="548"/>
      <c r="SR105" s="548"/>
      <c r="SS105" s="548"/>
      <c r="ST105" s="548"/>
      <c r="SU105" s="548"/>
      <c r="SV105" s="548"/>
      <c r="SW105" s="548"/>
      <c r="SX105" s="548"/>
      <c r="SY105" s="548"/>
      <c r="SZ105" s="548"/>
      <c r="TA105" s="548"/>
      <c r="TB105" s="548"/>
      <c r="TC105" s="548"/>
      <c r="TD105" s="548"/>
      <c r="TE105" s="548"/>
      <c r="TF105" s="548"/>
      <c r="TG105" s="548"/>
      <c r="TH105" s="548"/>
      <c r="TI105" s="548"/>
      <c r="TJ105" s="548"/>
      <c r="TK105" s="548"/>
      <c r="TL105" s="548"/>
      <c r="TM105" s="548"/>
      <c r="TN105" s="548"/>
      <c r="TO105" s="548"/>
      <c r="TP105" s="548"/>
      <c r="TQ105" s="548"/>
      <c r="TR105" s="548"/>
      <c r="TS105" s="548"/>
      <c r="TT105" s="548"/>
      <c r="TU105" s="548"/>
      <c r="TV105" s="548"/>
      <c r="TW105" s="548"/>
      <c r="TX105" s="548"/>
      <c r="TY105" s="548"/>
      <c r="TZ105" s="548"/>
      <c r="UA105" s="548"/>
      <c r="UB105" s="548"/>
      <c r="UC105" s="548"/>
      <c r="UD105" s="548"/>
      <c r="UE105" s="548"/>
      <c r="UF105" s="548"/>
      <c r="UG105" s="548"/>
      <c r="UH105" s="548"/>
      <c r="UI105" s="548"/>
      <c r="UJ105" s="548"/>
      <c r="UK105" s="548"/>
      <c r="UL105" s="548"/>
      <c r="UM105" s="548"/>
      <c r="UN105" s="548"/>
      <c r="UO105" s="548"/>
      <c r="UP105" s="548"/>
      <c r="UQ105" s="548"/>
      <c r="UR105" s="548"/>
      <c r="US105" s="548"/>
      <c r="UT105" s="548"/>
      <c r="UU105" s="548"/>
      <c r="UV105" s="548"/>
      <c r="UW105" s="548"/>
      <c r="UX105" s="548"/>
      <c r="UY105" s="548"/>
      <c r="UZ105" s="548"/>
      <c r="VA105" s="548"/>
      <c r="VB105" s="548"/>
      <c r="VC105" s="548"/>
      <c r="VD105" s="548"/>
      <c r="VE105" s="548"/>
      <c r="VF105" s="548"/>
      <c r="VG105" s="548"/>
      <c r="VH105" s="548"/>
      <c r="VI105" s="548"/>
      <c r="VJ105" s="548"/>
      <c r="VK105" s="548"/>
      <c r="VL105" s="548"/>
      <c r="VM105" s="548"/>
      <c r="VN105" s="548"/>
      <c r="VO105" s="548"/>
      <c r="VP105" s="548"/>
      <c r="VQ105" s="548"/>
      <c r="VR105" s="548"/>
      <c r="VS105" s="548"/>
      <c r="VT105" s="548"/>
      <c r="VU105" s="548"/>
      <c r="VV105" s="548"/>
      <c r="VW105" s="548"/>
      <c r="VX105" s="548"/>
      <c r="VY105" s="548"/>
      <c r="VZ105" s="548"/>
      <c r="WA105" s="548"/>
      <c r="WB105" s="548"/>
      <c r="WC105" s="548"/>
      <c r="WD105" s="548"/>
      <c r="WE105" s="548"/>
      <c r="WF105" s="548"/>
      <c r="WG105" s="548"/>
      <c r="WH105" s="548"/>
      <c r="WI105" s="548"/>
      <c r="WJ105" s="548"/>
      <c r="WK105" s="548"/>
      <c r="WL105" s="548"/>
      <c r="WM105" s="548"/>
      <c r="WN105" s="548"/>
      <c r="WO105" s="548"/>
      <c r="WP105" s="548"/>
      <c r="WQ105" s="548"/>
      <c r="WR105" s="548"/>
      <c r="WS105" s="548"/>
      <c r="WT105" s="548"/>
      <c r="WU105" s="548"/>
      <c r="WV105" s="548"/>
      <c r="WW105" s="548"/>
      <c r="WX105" s="548"/>
      <c r="WY105" s="548"/>
      <c r="WZ105" s="548"/>
      <c r="XA105" s="548"/>
      <c r="XB105" s="548"/>
      <c r="XC105" s="548"/>
      <c r="XD105" s="548"/>
      <c r="XE105" s="548"/>
      <c r="XF105" s="548"/>
      <c r="XG105" s="548"/>
      <c r="XH105" s="548"/>
      <c r="XI105" s="548"/>
      <c r="XJ105" s="548"/>
      <c r="XK105" s="548"/>
      <c r="XL105" s="548"/>
      <c r="XM105" s="548"/>
      <c r="XN105" s="548"/>
      <c r="XO105" s="548"/>
      <c r="XP105" s="548"/>
      <c r="XQ105" s="548"/>
      <c r="XR105" s="548"/>
      <c r="XS105" s="548"/>
      <c r="XT105" s="548"/>
      <c r="XU105" s="548"/>
      <c r="XV105" s="548"/>
      <c r="XW105" s="548"/>
      <c r="XX105" s="548"/>
      <c r="XY105" s="548"/>
      <c r="XZ105" s="548"/>
      <c r="YA105" s="548"/>
      <c r="YB105" s="548"/>
      <c r="YC105" s="548"/>
      <c r="YD105" s="548"/>
      <c r="YE105" s="548"/>
      <c r="YF105" s="548"/>
      <c r="YG105" s="548"/>
      <c r="YH105" s="548"/>
      <c r="YI105" s="548"/>
      <c r="YJ105" s="548"/>
      <c r="YK105" s="548"/>
      <c r="YL105" s="548"/>
      <c r="YM105" s="548"/>
      <c r="YN105" s="548"/>
      <c r="YO105" s="548"/>
      <c r="YP105" s="548"/>
      <c r="YQ105" s="548"/>
      <c r="YR105" s="548"/>
      <c r="YS105" s="548"/>
      <c r="YT105" s="548"/>
      <c r="YU105" s="548"/>
      <c r="YV105" s="548"/>
      <c r="YW105" s="548"/>
      <c r="YX105" s="548"/>
      <c r="YY105" s="548"/>
      <c r="YZ105" s="548"/>
      <c r="ZA105" s="548"/>
      <c r="ZB105" s="548"/>
      <c r="ZC105" s="548"/>
      <c r="ZD105" s="548"/>
      <c r="ZE105" s="548"/>
      <c r="ZF105" s="548"/>
      <c r="ZG105" s="548"/>
      <c r="ZH105" s="548"/>
      <c r="ZI105" s="548"/>
      <c r="ZJ105" s="548"/>
      <c r="ZK105" s="548"/>
      <c r="ZL105" s="548"/>
      <c r="ZM105" s="548"/>
      <c r="ZN105" s="548"/>
      <c r="ZO105" s="548"/>
      <c r="ZP105" s="548"/>
      <c r="ZQ105" s="548"/>
      <c r="ZR105" s="548"/>
      <c r="ZS105" s="548"/>
      <c r="ZT105" s="548"/>
      <c r="ZU105" s="548"/>
      <c r="ZV105" s="548"/>
      <c r="ZW105" s="548"/>
      <c r="ZX105" s="548"/>
      <c r="ZY105" s="548"/>
      <c r="ZZ105" s="548"/>
      <c r="AAA105" s="548"/>
      <c r="AAB105" s="548"/>
      <c r="AAC105" s="548"/>
      <c r="AAD105" s="548"/>
      <c r="AAE105" s="548"/>
      <c r="AAF105" s="548"/>
      <c r="AAG105" s="548"/>
      <c r="AAH105" s="548"/>
      <c r="AAI105" s="548"/>
      <c r="AAJ105" s="548"/>
      <c r="AAK105" s="548"/>
      <c r="AAL105" s="548"/>
      <c r="AAM105" s="548"/>
      <c r="AAN105" s="548"/>
      <c r="AAO105" s="548"/>
      <c r="AAP105" s="548"/>
      <c r="AAQ105" s="548"/>
      <c r="AAR105" s="548"/>
      <c r="AAS105" s="548"/>
      <c r="AAT105" s="548"/>
      <c r="AAU105" s="548"/>
      <c r="AAV105" s="548"/>
      <c r="AAW105" s="548"/>
      <c r="AAX105" s="548"/>
      <c r="AAY105" s="548"/>
      <c r="AAZ105" s="548"/>
      <c r="ABA105" s="548"/>
      <c r="ABB105" s="548"/>
      <c r="ABC105" s="548"/>
      <c r="ABD105" s="548"/>
      <c r="ABE105" s="548"/>
      <c r="ABF105" s="548"/>
      <c r="ABG105" s="548"/>
      <c r="ABH105" s="548"/>
      <c r="ABI105" s="548"/>
      <c r="ABJ105" s="548"/>
      <c r="ABK105" s="548"/>
      <c r="ABL105" s="548"/>
      <c r="ABM105" s="548"/>
      <c r="ABN105" s="548"/>
      <c r="ABO105" s="548"/>
      <c r="ABP105" s="548"/>
      <c r="ABQ105" s="548"/>
      <c r="ABR105" s="548"/>
      <c r="ABS105" s="548"/>
    </row>
    <row r="106" spans="1:747" customFormat="1" ht="15" customHeight="1" x14ac:dyDescent="0.2">
      <c r="A106" s="424" t="str">
        <f t="shared" si="909"/>
        <v/>
      </c>
      <c r="B106" s="415"/>
      <c r="C106" s="525"/>
      <c r="D106" s="750"/>
      <c r="E106" s="416" t="str">
        <f t="shared" si="1171"/>
        <v/>
      </c>
      <c r="F106" s="527" t="str">
        <f t="shared" si="1172"/>
        <v/>
      </c>
      <c r="G106" s="417"/>
      <c r="H106" s="585" t="str">
        <f t="shared" si="1173"/>
        <v/>
      </c>
      <c r="I106" s="424"/>
      <c r="J106" s="419"/>
      <c r="K106" s="418"/>
      <c r="L106" s="419"/>
      <c r="M106" s="415"/>
      <c r="N106" s="420"/>
      <c r="O106" s="421"/>
      <c r="P106" s="561"/>
      <c r="Q106" s="422"/>
      <c r="R106" s="561" t="str">
        <f t="shared" si="1174"/>
        <v/>
      </c>
      <c r="S106" s="664"/>
      <c r="T106" s="663"/>
      <c r="U106" s="580">
        <f t="shared" si="1175"/>
        <v>0</v>
      </c>
      <c r="V106" s="418"/>
      <c r="W106" s="582" t="str">
        <f t="shared" si="1176"/>
        <v/>
      </c>
      <c r="X106" s="479" t="str">
        <f t="shared" si="1177"/>
        <v/>
      </c>
      <c r="Y106" s="582" t="str">
        <f t="shared" si="1178"/>
        <v/>
      </c>
      <c r="Z106" s="317" t="str">
        <f t="shared" si="1179"/>
        <v/>
      </c>
      <c r="AA106" s="317" t="str">
        <f t="shared" si="1180"/>
        <v/>
      </c>
      <c r="AB106" s="317">
        <f t="shared" si="1181"/>
        <v>0</v>
      </c>
      <c r="AC106" s="317" t="str">
        <f t="shared" si="1182"/>
        <v/>
      </c>
      <c r="AD106" s="479"/>
      <c r="AE106" s="479"/>
      <c r="AF106" s="479"/>
      <c r="AG106" s="423"/>
      <c r="AH106" s="820"/>
      <c r="AI106" s="437"/>
      <c r="AJ106" s="720"/>
      <c r="AK106" s="524" t="str">
        <f t="shared" si="1183"/>
        <v/>
      </c>
      <c r="AL106" s="731">
        <f>SUMIF($J$4:$J$60,"Formação",$S$4:$S$60)</f>
        <v>0</v>
      </c>
      <c r="AM106" s="732">
        <f>SUMIF($J$4:$J$60,"Formação",$T$4:$T$60)</f>
        <v>0</v>
      </c>
      <c r="AN106" s="426">
        <f t="shared" si="1184"/>
        <v>0</v>
      </c>
      <c r="AO106" s="427" t="str">
        <f t="shared" si="1185"/>
        <v/>
      </c>
      <c r="AP106" s="426" t="str">
        <f t="shared" si="1186"/>
        <v/>
      </c>
      <c r="AQ106" s="426"/>
      <c r="AR106" s="426"/>
      <c r="AS106" s="428"/>
      <c r="AT106" s="429"/>
      <c r="AU106" s="430"/>
      <c r="AV106" s="431"/>
      <c r="AW106" s="432"/>
      <c r="AX106" s="430"/>
      <c r="AY106" s="431">
        <f t="shared" si="1187"/>
        <v>0</v>
      </c>
      <c r="AZ106" s="426"/>
      <c r="BA106" s="435" t="str">
        <f t="shared" si="1188"/>
        <v/>
      </c>
      <c r="BB106" s="435"/>
      <c r="BC106" s="426"/>
      <c r="BD106" s="426">
        <f t="array" ref="BD106">IF(SUM((BC106=$BC$3:BC105)*1)=0,BC106,0)</f>
        <v>0</v>
      </c>
      <c r="BE106" s="426"/>
      <c r="BF106" s="426"/>
      <c r="BG106" s="426">
        <f t="array" ref="BG106">IF(SUM((BF106=$BF$3:BF105)*1)=0,BF106,0)</f>
        <v>0</v>
      </c>
      <c r="BH106" s="426"/>
      <c r="BI106" s="426"/>
      <c r="BJ106" s="426"/>
      <c r="BK106" s="426"/>
      <c r="BL106" s="426"/>
      <c r="BM106" s="426"/>
      <c r="BN106" s="426"/>
      <c r="BO106" s="426"/>
      <c r="BP106" s="433">
        <f t="shared" si="1189"/>
        <v>0</v>
      </c>
      <c r="BQ106" s="426"/>
      <c r="BR106" s="434"/>
      <c r="BS106" s="426"/>
      <c r="BT106" s="433"/>
      <c r="BU106" s="435"/>
      <c r="BV106" s="435" t="str">
        <f t="shared" si="1190"/>
        <v/>
      </c>
      <c r="BW106" s="435" t="str">
        <f t="shared" si="798"/>
        <v/>
      </c>
      <c r="BX106" s="435"/>
      <c r="BY106" s="435"/>
      <c r="BZ106" s="435"/>
      <c r="CA106" s="435"/>
      <c r="CB106" s="435"/>
      <c r="CC106" s="435"/>
      <c r="CD106" s="435"/>
      <c r="CE106" s="435"/>
      <c r="CF106" s="435"/>
      <c r="CG106" s="435"/>
      <c r="CH106" s="435"/>
      <c r="CI106" s="435"/>
      <c r="CJ106" s="426" t="str">
        <f t="shared" si="799"/>
        <v/>
      </c>
      <c r="CK106" s="435"/>
      <c r="CL106" s="426"/>
      <c r="CM106" s="435"/>
      <c r="CN106" s="426"/>
      <c r="CO106" s="426"/>
      <c r="CP106" s="426"/>
      <c r="CQ106" s="426"/>
      <c r="CR106" s="426"/>
      <c r="CS106" s="426"/>
      <c r="CT106" s="426"/>
      <c r="CU106" s="426"/>
      <c r="CV106" s="426"/>
      <c r="CW106" s="493"/>
      <c r="CX106" s="493"/>
      <c r="CY106" s="426">
        <v>103</v>
      </c>
      <c r="CZ106" s="493"/>
      <c r="DA106" s="493"/>
      <c r="DB106" s="493"/>
      <c r="DC106" s="426" t="s">
        <v>846</v>
      </c>
      <c r="DD106" s="426" t="s">
        <v>1006</v>
      </c>
      <c r="DE106" s="435" t="str">
        <f t="shared" si="800"/>
        <v/>
      </c>
      <c r="DF106" s="435" t="str">
        <f t="shared" si="801"/>
        <v/>
      </c>
      <c r="DG106" s="435" t="str">
        <f t="shared" si="802"/>
        <v/>
      </c>
      <c r="DH106" s="435" t="str">
        <f t="shared" si="803"/>
        <v/>
      </c>
      <c r="DI106" s="435" t="str">
        <f t="shared" si="804"/>
        <v/>
      </c>
      <c r="DJ106" s="435" t="str">
        <f t="shared" si="805"/>
        <v/>
      </c>
      <c r="DK106" s="435" t="str">
        <f t="shared" si="1191"/>
        <v/>
      </c>
      <c r="DL106" s="435" t="str">
        <f t="shared" si="1192"/>
        <v/>
      </c>
      <c r="DM106" s="435" t="str">
        <f t="shared" si="806"/>
        <v/>
      </c>
      <c r="DN106" s="435" t="str">
        <f t="shared" si="807"/>
        <v/>
      </c>
      <c r="DO106" s="435" t="str">
        <f t="shared" si="1193"/>
        <v/>
      </c>
      <c r="DP106" s="435" t="str">
        <f t="shared" si="1194"/>
        <v/>
      </c>
      <c r="DQ106" s="435" t="str">
        <f t="shared" si="808"/>
        <v/>
      </c>
      <c r="DR106" s="435" t="str">
        <f t="shared" si="809"/>
        <v/>
      </c>
      <c r="DS106" s="435" t="str">
        <f t="shared" si="1195"/>
        <v/>
      </c>
      <c r="DT106" s="435" t="str">
        <f t="shared" si="1196"/>
        <v/>
      </c>
      <c r="DU106" s="435" t="str">
        <f t="shared" si="810"/>
        <v/>
      </c>
      <c r="DV106" s="435" t="str">
        <f t="shared" si="811"/>
        <v/>
      </c>
      <c r="DW106" s="435" t="str">
        <f t="shared" si="1197"/>
        <v/>
      </c>
      <c r="DX106" s="435" t="str">
        <f t="shared" si="1198"/>
        <v/>
      </c>
      <c r="DY106" s="435" t="str">
        <f t="shared" si="812"/>
        <v/>
      </c>
      <c r="DZ106" s="435" t="str">
        <f t="shared" si="813"/>
        <v/>
      </c>
      <c r="EA106" s="435" t="str">
        <f t="shared" si="1199"/>
        <v/>
      </c>
      <c r="EB106" s="435" t="str">
        <f t="shared" si="1200"/>
        <v/>
      </c>
      <c r="EC106" s="435" t="str">
        <f t="shared" si="1201"/>
        <v/>
      </c>
      <c r="ED106" s="435" t="str">
        <f t="shared" si="1202"/>
        <v/>
      </c>
      <c r="EE106" s="435" t="str">
        <f t="shared" si="1203"/>
        <v/>
      </c>
      <c r="EF106" s="435" t="str">
        <f t="shared" si="1204"/>
        <v/>
      </c>
      <c r="EG106" s="435" t="str">
        <f t="shared" si="1205"/>
        <v/>
      </c>
      <c r="EH106" s="435" t="str">
        <f t="shared" si="1206"/>
        <v/>
      </c>
      <c r="EI106" s="435" t="str">
        <f t="shared" si="1207"/>
        <v/>
      </c>
      <c r="EJ106" s="435" t="str">
        <f t="shared" si="1208"/>
        <v/>
      </c>
      <c r="EK106" s="485"/>
      <c r="EL106" s="485"/>
      <c r="EM106" s="485"/>
      <c r="EN106" s="485"/>
      <c r="EO106" s="448"/>
      <c r="EP106" s="448"/>
      <c r="EQ106" s="448"/>
      <c r="ER106" s="448"/>
      <c r="ES106" s="448"/>
      <c r="ET106" s="435"/>
      <c r="EU106" s="435"/>
      <c r="EV106" s="435"/>
      <c r="EW106" s="435"/>
      <c r="EX106" s="426"/>
      <c r="EY106" s="426"/>
      <c r="EZ106" s="426"/>
      <c r="FA106" s="863"/>
      <c r="FB106" s="427">
        <f t="array" ref="FB106">IF(SUM((FA106=$FA$3:FA105)*1)=0,FA106,0)</f>
        <v>0</v>
      </c>
      <c r="FC106" s="863"/>
      <c r="FD106" s="863"/>
      <c r="FE106" s="863">
        <f t="array" ref="FE106">IF(SUM((FD106=$FD$3:FD105)*1)=0,FD106,0)</f>
        <v>0</v>
      </c>
      <c r="FF106" s="863"/>
      <c r="FG106" s="863"/>
      <c r="FH106" s="863"/>
      <c r="FI106" s="427">
        <f t="array" ref="FI106">IF(SUM((FH106=$FH$3:FH105)*1)=0,FH106,0)</f>
        <v>0</v>
      </c>
      <c r="FJ106" s="863"/>
      <c r="FK106" s="863"/>
      <c r="FL106" s="863">
        <f t="array" ref="FL106">IF(SUM((FK106=$FK$3:FK105)*1)=0,FK106,0)</f>
        <v>0</v>
      </c>
      <c r="FM106" s="863"/>
      <c r="FN106" s="863"/>
      <c r="FO106" s="863"/>
      <c r="FP106" s="427">
        <f t="array" ref="FP106">IF(SUM((FO106=$FO$3:FO105)*1)=0,FO106,0)</f>
        <v>0</v>
      </c>
      <c r="FQ106" s="863"/>
      <c r="FR106" s="863"/>
      <c r="FS106" s="863">
        <f t="array" ref="FS106">IF(SUM((FR106=$FR$3:FR105)*1)=0,FR106,0)</f>
        <v>0</v>
      </c>
      <c r="FT106" s="863"/>
      <c r="FU106" s="863"/>
      <c r="FV106" s="863"/>
      <c r="FW106" s="427">
        <f t="array" ref="FW106">IF(SUM((FV106=$FV$3:FV105)*1)=0,FV106,0)</f>
        <v>0</v>
      </c>
      <c r="FX106" s="863"/>
      <c r="FY106" s="863"/>
      <c r="FZ106" s="863">
        <f t="array" ref="FZ106">IF(SUM((FY106=$FY$3:FY105)*1)=0,FY106,0)</f>
        <v>0</v>
      </c>
      <c r="GA106" s="863"/>
      <c r="GB106" s="863"/>
      <c r="GC106" s="863"/>
      <c r="GD106" s="427">
        <f t="array" ref="GD106">IF(SUM((GC106=$GC$3:GC105)*1)=0,GC106,0)</f>
        <v>0</v>
      </c>
      <c r="GE106" s="863"/>
      <c r="GF106" s="863"/>
      <c r="GG106" s="863">
        <f t="array" ref="GG106">IF(SUM((GF106=$GF$3:GF105)*1)=0,GF106,0)</f>
        <v>0</v>
      </c>
      <c r="GH106" s="863"/>
      <c r="GI106" s="863"/>
      <c r="GJ106" s="863"/>
      <c r="GK106" s="798">
        <f t="array" ref="GK106">IF(SUM((GJ106=$GJ$3:GJ105)*1)=0,GJ106,0)</f>
        <v>0</v>
      </c>
      <c r="GL106" s="863"/>
      <c r="GM106" s="863"/>
      <c r="GN106" s="798">
        <f t="array" ref="GN106">IF(SUM((GM106=$GM$3:GM105)*1)=0,GM106,0)</f>
        <v>0</v>
      </c>
      <c r="GO106" s="863"/>
      <c r="GP106" s="863"/>
      <c r="GQ106" s="863"/>
      <c r="GR106" s="798">
        <f t="array" ref="GR106">IF(SUM((GQ106=$GQ$3:GQ105)*1)=0,GQ106,0)</f>
        <v>0</v>
      </c>
      <c r="GS106" s="863"/>
      <c r="GT106" s="863"/>
      <c r="GU106" s="798">
        <f t="array" ref="GU106">IF(SUM((GT106=$GT$3:GT105)*1)=0,GT106,0)</f>
        <v>0</v>
      </c>
      <c r="GV106" s="863"/>
      <c r="GW106" s="863"/>
      <c r="GX106" s="863"/>
      <c r="GY106" s="798">
        <f t="array" ref="GY106">IF(SUM((GX106=$GX$3:GX105)*1)=0,GX106,0)</f>
        <v>0</v>
      </c>
      <c r="GZ106" s="863"/>
      <c r="HA106" s="863"/>
      <c r="HB106" s="798">
        <f t="array" ref="HB106">IF(SUM((HA106=$HA$3:HA105)*1)=0,HA106,0)</f>
        <v>0</v>
      </c>
      <c r="HC106" s="863"/>
      <c r="HD106" s="863"/>
      <c r="HE106" s="769" t="str">
        <f t="shared" si="889"/>
        <v/>
      </c>
      <c r="HF106" s="768" t="str">
        <f t="shared" ref="HF106" si="1295">IF(HE106&lt;0,"Invadiu REP-BA-C","")</f>
        <v/>
      </c>
      <c r="HG106" s="769" t="str">
        <f t="shared" si="891"/>
        <v/>
      </c>
      <c r="HH106" s="768" t="str">
        <f t="shared" si="815"/>
        <v/>
      </c>
      <c r="HI106" s="728" t="str">
        <f t="shared" si="892"/>
        <v/>
      </c>
      <c r="HJ106" s="768" t="str">
        <f t="shared" si="816"/>
        <v/>
      </c>
      <c r="HK106" s="728" t="str">
        <f t="shared" si="893"/>
        <v/>
      </c>
      <c r="HL106" s="768" t="str">
        <f t="shared" si="817"/>
        <v/>
      </c>
      <c r="HM106" s="769" t="str">
        <f t="shared" si="1219"/>
        <v/>
      </c>
      <c r="HN106" s="768" t="str">
        <f t="shared" ref="HN106" si="1296">IF(HM106&lt;0,"Invadiu REP-BA-C","")</f>
        <v/>
      </c>
      <c r="HO106" s="769" t="str">
        <f t="shared" si="1221"/>
        <v/>
      </c>
      <c r="HP106" s="768" t="str">
        <f t="shared" si="821"/>
        <v/>
      </c>
      <c r="HQ106" s="728" t="str">
        <f t="shared" si="1222"/>
        <v/>
      </c>
      <c r="HR106" s="768" t="str">
        <f t="shared" si="823"/>
        <v/>
      </c>
      <c r="HS106" s="728" t="str">
        <f t="shared" si="1223"/>
        <v/>
      </c>
      <c r="HT106" s="768" t="str">
        <f t="shared" si="825"/>
        <v/>
      </c>
      <c r="HU106" s="769" t="str">
        <f t="shared" si="1224"/>
        <v/>
      </c>
      <c r="HV106" s="768" t="str">
        <f t="shared" ref="HV106" si="1297">IF(HU106&lt;0,"Invadiu REP-BA-C","")</f>
        <v/>
      </c>
      <c r="HW106" s="769" t="str">
        <f t="shared" si="1226"/>
        <v/>
      </c>
      <c r="HX106" s="768" t="str">
        <f t="shared" si="829"/>
        <v/>
      </c>
      <c r="HY106" s="728" t="str">
        <f t="shared" si="1227"/>
        <v/>
      </c>
      <c r="HZ106" s="768" t="str">
        <f t="shared" si="831"/>
        <v/>
      </c>
      <c r="IA106" s="728" t="str">
        <f t="shared" si="1228"/>
        <v/>
      </c>
      <c r="IB106" s="768" t="str">
        <f t="shared" si="833"/>
        <v/>
      </c>
      <c r="IC106" s="769" t="str">
        <f t="shared" si="1229"/>
        <v/>
      </c>
      <c r="ID106" s="768" t="str">
        <f t="shared" ref="ID106" si="1298">IF(IC106&lt;0,"Invadiu REP-BA-C","")</f>
        <v/>
      </c>
      <c r="IE106" s="769" t="str">
        <f t="shared" si="1231"/>
        <v/>
      </c>
      <c r="IF106" s="768" t="str">
        <f t="shared" si="837"/>
        <v/>
      </c>
      <c r="IG106" s="728" t="str">
        <f t="shared" si="1232"/>
        <v/>
      </c>
      <c r="IH106" s="768" t="str">
        <f t="shared" si="839"/>
        <v/>
      </c>
      <c r="II106" s="728" t="str">
        <f t="shared" si="1233"/>
        <v/>
      </c>
      <c r="IJ106" s="768" t="str">
        <f t="shared" si="841"/>
        <v/>
      </c>
      <c r="IK106" s="769" t="str">
        <f t="shared" si="1234"/>
        <v/>
      </c>
      <c r="IL106" s="768" t="str">
        <f t="shared" ref="IL106" si="1299">IF(IK106&lt;0,"Invadiu REP-BA-C","")</f>
        <v/>
      </c>
      <c r="IM106" s="769" t="str">
        <f t="shared" si="1236"/>
        <v/>
      </c>
      <c r="IN106" s="768" t="str">
        <f t="shared" si="845"/>
        <v/>
      </c>
      <c r="IO106" s="728" t="str">
        <f t="shared" si="1237"/>
        <v/>
      </c>
      <c r="IP106" s="768" t="str">
        <f t="shared" si="847"/>
        <v/>
      </c>
      <c r="IQ106" s="728" t="str">
        <f t="shared" si="1238"/>
        <v/>
      </c>
      <c r="IR106" s="768" t="str">
        <f t="shared" si="849"/>
        <v/>
      </c>
      <c r="IS106" s="769" t="str">
        <f t="shared" si="1239"/>
        <v/>
      </c>
      <c r="IT106" s="768" t="str">
        <f t="shared" ref="IT106" si="1300">IF(IS106&lt;0,"Invadiu REP-BA-C","")</f>
        <v/>
      </c>
      <c r="IU106" s="769" t="str">
        <f t="shared" si="1241"/>
        <v/>
      </c>
      <c r="IV106" s="768" t="str">
        <f t="shared" si="853"/>
        <v/>
      </c>
      <c r="IW106" s="728" t="str">
        <f t="shared" si="1242"/>
        <v/>
      </c>
      <c r="IX106" s="768" t="str">
        <f t="shared" si="855"/>
        <v/>
      </c>
      <c r="IY106" s="728" t="str">
        <f t="shared" si="1243"/>
        <v/>
      </c>
      <c r="IZ106" s="768" t="str">
        <f t="shared" si="857"/>
        <v/>
      </c>
      <c r="JA106" s="769" t="str">
        <f t="shared" si="1244"/>
        <v/>
      </c>
      <c r="JB106" s="768" t="str">
        <f t="shared" ref="JB106" si="1301">IF(JA106&lt;0,"Invadiu REP-BA-C","")</f>
        <v/>
      </c>
      <c r="JC106" s="769" t="str">
        <f t="shared" si="1246"/>
        <v/>
      </c>
      <c r="JD106" s="768" t="str">
        <f t="shared" si="861"/>
        <v/>
      </c>
      <c r="JE106" s="728" t="str">
        <f t="shared" si="1247"/>
        <v/>
      </c>
      <c r="JF106" s="768" t="str">
        <f t="shared" si="863"/>
        <v/>
      </c>
      <c r="JG106" s="728" t="str">
        <f t="shared" si="1248"/>
        <v/>
      </c>
      <c r="JH106" s="768" t="str">
        <f t="shared" si="865"/>
        <v/>
      </c>
      <c r="JI106" s="769" t="str">
        <f t="shared" si="1249"/>
        <v/>
      </c>
      <c r="JJ106" s="768" t="str">
        <f t="shared" ref="JJ106" si="1302">IF(JI106&lt;0,"Invadiu REP-BA-C","")</f>
        <v/>
      </c>
      <c r="JK106" s="769" t="str">
        <f t="shared" si="1251"/>
        <v/>
      </c>
      <c r="JL106" s="768" t="str">
        <f t="shared" si="869"/>
        <v/>
      </c>
      <c r="JM106" s="728" t="str">
        <f t="shared" si="1252"/>
        <v/>
      </c>
      <c r="JN106" s="768" t="str">
        <f t="shared" si="871"/>
        <v/>
      </c>
      <c r="JO106" s="728" t="str">
        <f t="shared" si="1253"/>
        <v/>
      </c>
      <c r="JP106" s="768" t="str">
        <f t="shared" si="873"/>
        <v/>
      </c>
      <c r="JQ106" s="769" t="str">
        <f t="shared" si="1254"/>
        <v/>
      </c>
      <c r="JR106" s="768" t="str">
        <f t="shared" ref="JR106" si="1303">IF(JQ106&lt;0,"Invadiu REP-BA-C","")</f>
        <v/>
      </c>
      <c r="JS106" s="769" t="str">
        <f t="shared" si="1256"/>
        <v/>
      </c>
      <c r="JT106" s="768" t="str">
        <f t="shared" si="877"/>
        <v/>
      </c>
      <c r="JU106" s="728" t="str">
        <f t="shared" si="1257"/>
        <v/>
      </c>
      <c r="JV106" s="768" t="str">
        <f t="shared" si="879"/>
        <v/>
      </c>
      <c r="JW106" s="728" t="str">
        <f t="shared" si="1258"/>
        <v/>
      </c>
      <c r="JX106" s="768" t="str">
        <f t="shared" si="881"/>
        <v/>
      </c>
      <c r="JY106" s="768" t="str">
        <f t="shared" si="882"/>
        <v/>
      </c>
      <c r="JZ106" s="485" t="str">
        <f>IF(JY106="","",IF(AND(C106=$C$164,JY106&lt;&gt;""),Verificarcpf(D106),IF(AND(C106=$C$165,JY106&lt;&gt;""),VerificarCNPJ(D106))))</f>
        <v/>
      </c>
      <c r="KA106" s="768" t="str">
        <f t="shared" si="883"/>
        <v/>
      </c>
      <c r="KB106" s="485">
        <f t="shared" si="884"/>
        <v>0</v>
      </c>
      <c r="KC106" s="768">
        <f t="shared" si="885"/>
        <v>0</v>
      </c>
      <c r="KD106" s="485">
        <f t="shared" si="886"/>
        <v>0</v>
      </c>
      <c r="KE106" s="448"/>
      <c r="KF106" s="548"/>
      <c r="KG106" s="548"/>
      <c r="KH106" s="548"/>
      <c r="KI106" s="548"/>
      <c r="KJ106" s="548" t="str">
        <f t="shared" si="887"/>
        <v/>
      </c>
      <c r="KK106" s="548"/>
      <c r="KL106" s="548"/>
      <c r="KM106" s="548">
        <f t="array" ref="KM106">IF(SUM((KL106=$KL$3:KL105)*1)=0,KL106,0)</f>
        <v>0</v>
      </c>
      <c r="KN106" s="548"/>
      <c r="KO106" s="548"/>
      <c r="KP106" s="548"/>
      <c r="KQ106" s="548"/>
      <c r="KR106" s="548" t="str">
        <f t="shared" si="888"/>
        <v/>
      </c>
      <c r="KS106" s="548"/>
      <c r="KT106" s="548"/>
      <c r="KU106" s="548"/>
      <c r="KV106" s="548"/>
      <c r="KW106" s="548"/>
      <c r="KX106" s="548"/>
      <c r="KY106" s="548"/>
      <c r="KZ106" s="548"/>
      <c r="LA106" s="548"/>
      <c r="LB106" s="548"/>
      <c r="LC106" s="485" t="str">
        <f t="shared" si="902"/>
        <v/>
      </c>
      <c r="LD106" s="548"/>
      <c r="LE106" s="548"/>
      <c r="LF106" s="548"/>
      <c r="LG106" s="548"/>
      <c r="LH106" s="548"/>
      <c r="LI106" s="548"/>
      <c r="LJ106" s="548"/>
      <c r="LK106" s="548"/>
      <c r="LL106" s="548"/>
      <c r="LM106" s="548"/>
      <c r="LN106" s="548"/>
      <c r="LO106" s="548"/>
      <c r="LP106" s="485" t="str">
        <f t="shared" si="903"/>
        <v/>
      </c>
      <c r="LQ106" s="548"/>
      <c r="LR106" s="548"/>
      <c r="LS106" s="548"/>
      <c r="LT106" s="548"/>
      <c r="LU106" s="548"/>
      <c r="LV106" s="548"/>
      <c r="LW106" s="548"/>
      <c r="LX106" s="548"/>
      <c r="LY106" s="548"/>
      <c r="LZ106" s="548"/>
      <c r="MA106" s="548"/>
      <c r="MB106" s="548"/>
      <c r="MC106" s="485" t="str">
        <f t="shared" si="904"/>
        <v/>
      </c>
      <c r="MD106" s="548"/>
      <c r="ME106" s="548"/>
      <c r="MF106" s="548"/>
      <c r="MG106" s="548"/>
      <c r="MH106" s="548"/>
      <c r="MI106" s="548"/>
      <c r="MJ106" s="548"/>
      <c r="MK106" s="548"/>
      <c r="ML106" s="548"/>
      <c r="MM106" s="548"/>
      <c r="MN106" s="548"/>
      <c r="MO106" s="548"/>
      <c r="MP106" s="485" t="str">
        <f t="shared" si="905"/>
        <v/>
      </c>
      <c r="MQ106" s="548"/>
      <c r="MR106" s="548"/>
      <c r="MS106" s="548"/>
      <c r="MT106" s="548"/>
      <c r="MU106" s="548"/>
      <c r="MV106" s="548"/>
      <c r="MW106" s="548"/>
      <c r="MX106" s="548"/>
      <c r="MY106" s="548"/>
      <c r="MZ106" s="548"/>
      <c r="NA106" s="548"/>
      <c r="NB106" s="548"/>
      <c r="NC106" s="485" t="str">
        <f t="shared" si="906"/>
        <v/>
      </c>
      <c r="ND106" s="548"/>
      <c r="NE106" s="548"/>
      <c r="NF106" s="548"/>
      <c r="NG106" s="548"/>
      <c r="NH106" s="548"/>
      <c r="NI106" s="548"/>
      <c r="NJ106" s="548"/>
      <c r="NK106" s="548"/>
      <c r="NL106" s="548"/>
      <c r="NM106" s="548"/>
      <c r="NN106" s="548"/>
      <c r="NO106" s="548"/>
      <c r="NP106" s="485" t="str">
        <f t="shared" si="907"/>
        <v/>
      </c>
      <c r="NQ106" s="548"/>
      <c r="NR106" s="548"/>
      <c r="NS106" s="548"/>
      <c r="NT106" s="548"/>
      <c r="NU106" s="548"/>
      <c r="NV106" s="548"/>
      <c r="NW106" s="548"/>
      <c r="NX106" s="548"/>
      <c r="NY106" s="548"/>
      <c r="NZ106" s="548"/>
      <c r="OA106" s="548"/>
      <c r="OB106" s="548"/>
      <c r="OC106" s="485" t="str">
        <f t="shared" si="908"/>
        <v/>
      </c>
      <c r="OD106" s="548"/>
      <c r="OE106" s="548"/>
      <c r="OF106" s="548"/>
      <c r="OG106" s="548"/>
      <c r="OH106" s="548"/>
      <c r="OI106" s="548"/>
      <c r="OJ106" s="548"/>
      <c r="OK106" s="548"/>
      <c r="OL106" s="548"/>
      <c r="OM106" s="548"/>
      <c r="ON106" s="548"/>
      <c r="OO106" s="548"/>
      <c r="OP106" s="548"/>
      <c r="OQ106" s="548"/>
      <c r="OR106" s="548"/>
      <c r="OS106" s="548"/>
      <c r="OT106" s="548"/>
      <c r="OU106" s="548"/>
      <c r="OV106" s="548"/>
      <c r="OW106" s="548"/>
      <c r="OX106" s="548"/>
      <c r="OY106" s="548"/>
      <c r="OZ106" s="548"/>
      <c r="PA106" s="548"/>
      <c r="PB106" s="548"/>
      <c r="PC106" s="548"/>
      <c r="PD106" s="548"/>
      <c r="PE106" s="548"/>
      <c r="PF106" s="548"/>
      <c r="PG106" s="548"/>
      <c r="PH106" s="548"/>
      <c r="PI106" s="548"/>
      <c r="PJ106" s="548"/>
      <c r="PK106" s="548"/>
      <c r="PL106" s="548"/>
      <c r="PM106" s="548"/>
      <c r="PN106" s="548"/>
      <c r="PO106" s="548"/>
      <c r="PP106" s="548"/>
      <c r="PQ106" s="548"/>
      <c r="PR106" s="548"/>
      <c r="PS106" s="548"/>
      <c r="PT106" s="548"/>
      <c r="PU106" s="548"/>
      <c r="PV106" s="548"/>
      <c r="PW106" s="548"/>
      <c r="PX106" s="548"/>
      <c r="PY106" s="548"/>
      <c r="PZ106" s="548"/>
      <c r="QA106" s="548"/>
      <c r="QB106" s="548"/>
      <c r="QC106" s="548"/>
      <c r="QD106" s="548"/>
      <c r="QE106" s="548"/>
      <c r="QF106" s="548"/>
      <c r="QG106" s="548"/>
      <c r="QH106" s="548"/>
      <c r="QI106" s="548"/>
      <c r="QJ106" s="548"/>
      <c r="QK106" s="548"/>
      <c r="QL106" s="548"/>
      <c r="QM106" s="548"/>
      <c r="QN106" s="548"/>
      <c r="QO106" s="548"/>
      <c r="QP106" s="548"/>
      <c r="QQ106" s="1009"/>
      <c r="QR106" s="548"/>
      <c r="QS106" s="548"/>
      <c r="QT106" s="548"/>
      <c r="QU106" s="548"/>
      <c r="QV106" s="548"/>
      <c r="QW106" s="548"/>
      <c r="QX106" s="548"/>
      <c r="QY106" s="548"/>
      <c r="QZ106" s="548"/>
      <c r="RA106" s="548"/>
      <c r="RB106" s="548"/>
      <c r="RC106" s="548"/>
      <c r="RD106" s="548"/>
      <c r="RE106" s="548"/>
      <c r="RF106" s="548"/>
      <c r="RG106" s="548"/>
      <c r="RH106" s="548"/>
      <c r="RI106" s="548"/>
      <c r="RJ106" s="548"/>
      <c r="RK106" s="548"/>
      <c r="RL106" s="548"/>
      <c r="RM106" s="548"/>
      <c r="RN106" s="548"/>
      <c r="RO106" s="548"/>
      <c r="RP106" s="548"/>
      <c r="RQ106" s="548"/>
      <c r="RR106" s="548"/>
      <c r="RS106" s="548"/>
      <c r="RT106" s="548"/>
      <c r="RU106" s="548"/>
      <c r="RV106" s="548"/>
      <c r="RW106" s="548"/>
      <c r="RX106" s="548"/>
      <c r="RY106" s="548"/>
      <c r="RZ106" s="548"/>
      <c r="SA106" s="548"/>
      <c r="SB106" s="548"/>
      <c r="SC106" s="548"/>
      <c r="SD106" s="548"/>
      <c r="SE106" s="548"/>
      <c r="SF106" s="548"/>
      <c r="SG106" s="548"/>
      <c r="SH106" s="548"/>
      <c r="SI106" s="548"/>
      <c r="SJ106" s="548"/>
      <c r="SK106" s="548"/>
      <c r="SL106" s="548"/>
      <c r="SM106" s="548"/>
      <c r="SN106" s="548"/>
      <c r="SO106" s="548"/>
      <c r="SP106" s="548"/>
      <c r="SQ106" s="548"/>
      <c r="SR106" s="548"/>
      <c r="SS106" s="548"/>
      <c r="ST106" s="548"/>
      <c r="SU106" s="548"/>
      <c r="SV106" s="548"/>
      <c r="SW106" s="548"/>
      <c r="SX106" s="548"/>
      <c r="SY106" s="548"/>
      <c r="SZ106" s="548"/>
      <c r="TA106" s="548"/>
      <c r="TB106" s="548"/>
      <c r="TC106" s="548"/>
      <c r="TD106" s="548"/>
      <c r="TE106" s="548"/>
      <c r="TF106" s="548"/>
      <c r="TG106" s="548"/>
      <c r="TH106" s="548"/>
      <c r="TI106" s="548"/>
      <c r="TJ106" s="548"/>
      <c r="TK106" s="548"/>
      <c r="TL106" s="548"/>
      <c r="TM106" s="548"/>
      <c r="TN106" s="548"/>
      <c r="TO106" s="548"/>
      <c r="TP106" s="548"/>
      <c r="TQ106" s="548"/>
      <c r="TR106" s="548"/>
      <c r="TS106" s="548"/>
      <c r="TT106" s="548"/>
      <c r="TU106" s="548"/>
      <c r="TV106" s="548"/>
      <c r="TW106" s="548"/>
      <c r="TX106" s="548"/>
      <c r="TY106" s="548"/>
      <c r="TZ106" s="548"/>
      <c r="UA106" s="548"/>
      <c r="UB106" s="548"/>
      <c r="UC106" s="548"/>
      <c r="UD106" s="548"/>
      <c r="UE106" s="548"/>
      <c r="UF106" s="548"/>
      <c r="UG106" s="548"/>
      <c r="UH106" s="548"/>
      <c r="UI106" s="548"/>
      <c r="UJ106" s="548"/>
      <c r="UK106" s="548"/>
      <c r="UL106" s="548"/>
      <c r="UM106" s="548"/>
      <c r="UN106" s="548"/>
      <c r="UO106" s="548"/>
      <c r="UP106" s="548"/>
      <c r="UQ106" s="548"/>
      <c r="UR106" s="548"/>
      <c r="US106" s="548"/>
      <c r="UT106" s="548"/>
      <c r="UU106" s="548"/>
      <c r="UV106" s="548"/>
      <c r="UW106" s="548"/>
      <c r="UX106" s="548"/>
      <c r="UY106" s="548"/>
      <c r="UZ106" s="548"/>
      <c r="VA106" s="548"/>
      <c r="VB106" s="548"/>
      <c r="VC106" s="548"/>
      <c r="VD106" s="548"/>
      <c r="VE106" s="548"/>
      <c r="VF106" s="548"/>
      <c r="VG106" s="548"/>
      <c r="VH106" s="548"/>
      <c r="VI106" s="548"/>
      <c r="VJ106" s="548"/>
      <c r="VK106" s="548"/>
      <c r="VL106" s="548"/>
      <c r="VM106" s="548"/>
      <c r="VN106" s="548"/>
      <c r="VO106" s="548"/>
      <c r="VP106" s="548"/>
      <c r="VQ106" s="548"/>
      <c r="VR106" s="548"/>
      <c r="VS106" s="548"/>
      <c r="VT106" s="548"/>
      <c r="VU106" s="548"/>
      <c r="VV106" s="548"/>
      <c r="VW106" s="548"/>
      <c r="VX106" s="548"/>
      <c r="VY106" s="548"/>
      <c r="VZ106" s="548"/>
      <c r="WA106" s="548"/>
      <c r="WB106" s="548"/>
      <c r="WC106" s="548"/>
      <c r="WD106" s="548"/>
      <c r="WE106" s="548"/>
      <c r="WF106" s="548"/>
      <c r="WG106" s="548"/>
      <c r="WH106" s="548"/>
      <c r="WI106" s="548"/>
      <c r="WJ106" s="548"/>
      <c r="WK106" s="548"/>
      <c r="WL106" s="548"/>
      <c r="WM106" s="548"/>
      <c r="WN106" s="548"/>
      <c r="WO106" s="548"/>
      <c r="WP106" s="548"/>
      <c r="WQ106" s="548"/>
      <c r="WR106" s="548"/>
      <c r="WS106" s="548"/>
      <c r="WT106" s="548"/>
      <c r="WU106" s="548"/>
      <c r="WV106" s="548"/>
      <c r="WW106" s="548"/>
      <c r="WX106" s="548"/>
      <c r="WY106" s="548"/>
      <c r="WZ106" s="548"/>
      <c r="XA106" s="548"/>
      <c r="XB106" s="548"/>
      <c r="XC106" s="548"/>
      <c r="XD106" s="548"/>
      <c r="XE106" s="548"/>
      <c r="XF106" s="548"/>
      <c r="XG106" s="548"/>
      <c r="XH106" s="548"/>
      <c r="XI106" s="548"/>
      <c r="XJ106" s="548"/>
      <c r="XK106" s="548"/>
      <c r="XL106" s="548"/>
      <c r="XM106" s="548"/>
      <c r="XN106" s="548"/>
      <c r="XO106" s="548"/>
      <c r="XP106" s="548"/>
      <c r="XQ106" s="548"/>
      <c r="XR106" s="548"/>
      <c r="XS106" s="548"/>
      <c r="XT106" s="548"/>
      <c r="XU106" s="548"/>
      <c r="XV106" s="548"/>
      <c r="XW106" s="548"/>
      <c r="XX106" s="548"/>
      <c r="XY106" s="548"/>
      <c r="XZ106" s="548"/>
      <c r="YA106" s="548"/>
      <c r="YB106" s="548"/>
      <c r="YC106" s="548"/>
      <c r="YD106" s="548"/>
      <c r="YE106" s="548"/>
      <c r="YF106" s="548"/>
      <c r="YG106" s="548"/>
      <c r="YH106" s="548"/>
      <c r="YI106" s="548"/>
      <c r="YJ106" s="548"/>
      <c r="YK106" s="548"/>
      <c r="YL106" s="548"/>
      <c r="YM106" s="548"/>
      <c r="YN106" s="548"/>
      <c r="YO106" s="548"/>
      <c r="YP106" s="548"/>
      <c r="YQ106" s="548"/>
      <c r="YR106" s="548"/>
      <c r="YS106" s="548"/>
      <c r="YT106" s="548"/>
      <c r="YU106" s="548"/>
      <c r="YV106" s="548"/>
      <c r="YW106" s="548"/>
      <c r="YX106" s="548"/>
      <c r="YY106" s="548"/>
      <c r="YZ106" s="548"/>
      <c r="ZA106" s="548"/>
      <c r="ZB106" s="548"/>
      <c r="ZC106" s="548"/>
      <c r="ZD106" s="548"/>
      <c r="ZE106" s="548"/>
      <c r="ZF106" s="548"/>
      <c r="ZG106" s="548"/>
      <c r="ZH106" s="548"/>
      <c r="ZI106" s="548"/>
      <c r="ZJ106" s="548"/>
      <c r="ZK106" s="548"/>
      <c r="ZL106" s="548"/>
      <c r="ZM106" s="548"/>
      <c r="ZN106" s="548"/>
      <c r="ZO106" s="548"/>
      <c r="ZP106" s="548"/>
      <c r="ZQ106" s="548"/>
      <c r="ZR106" s="548"/>
      <c r="ZS106" s="548"/>
      <c r="ZT106" s="548"/>
      <c r="ZU106" s="548"/>
      <c r="ZV106" s="548"/>
      <c r="ZW106" s="548"/>
      <c r="ZX106" s="548"/>
      <c r="ZY106" s="548"/>
      <c r="ZZ106" s="548"/>
      <c r="AAA106" s="548"/>
      <c r="AAB106" s="548"/>
      <c r="AAC106" s="548"/>
      <c r="AAD106" s="548"/>
      <c r="AAE106" s="548"/>
      <c r="AAF106" s="548"/>
      <c r="AAG106" s="548"/>
      <c r="AAH106" s="548"/>
      <c r="AAI106" s="548"/>
      <c r="AAJ106" s="548"/>
      <c r="AAK106" s="548"/>
      <c r="AAL106" s="548"/>
      <c r="AAM106" s="548"/>
      <c r="AAN106" s="548"/>
      <c r="AAO106" s="548"/>
      <c r="AAP106" s="548"/>
      <c r="AAQ106" s="548"/>
      <c r="AAR106" s="548"/>
      <c r="AAS106" s="548"/>
      <c r="AAT106" s="548"/>
      <c r="AAU106" s="548"/>
      <c r="AAV106" s="548"/>
      <c r="AAW106" s="548"/>
      <c r="AAX106" s="548"/>
      <c r="AAY106" s="548"/>
      <c r="AAZ106" s="548"/>
      <c r="ABA106" s="548"/>
      <c r="ABB106" s="548"/>
      <c r="ABC106" s="548"/>
      <c r="ABD106" s="548"/>
      <c r="ABE106" s="548"/>
      <c r="ABF106" s="548"/>
      <c r="ABG106" s="548"/>
      <c r="ABH106" s="548"/>
      <c r="ABI106" s="548"/>
      <c r="ABJ106" s="548"/>
      <c r="ABK106" s="548"/>
      <c r="ABL106" s="548"/>
      <c r="ABM106" s="548"/>
      <c r="ABN106" s="548"/>
      <c r="ABO106" s="548"/>
      <c r="ABP106" s="548"/>
      <c r="ABQ106" s="548"/>
      <c r="ABR106" s="548"/>
      <c r="ABS106" s="548"/>
    </row>
    <row r="107" spans="1:747" customFormat="1" ht="15" customHeight="1" x14ac:dyDescent="0.2">
      <c r="A107" s="424" t="str">
        <f t="shared" si="909"/>
        <v/>
      </c>
      <c r="B107" s="415"/>
      <c r="C107" s="525"/>
      <c r="D107" s="750"/>
      <c r="E107" s="416" t="str">
        <f t="shared" si="1171"/>
        <v/>
      </c>
      <c r="F107" s="527" t="str">
        <f t="shared" si="1172"/>
        <v/>
      </c>
      <c r="G107" s="417"/>
      <c r="H107" s="585" t="str">
        <f t="shared" si="1173"/>
        <v/>
      </c>
      <c r="I107" s="424"/>
      <c r="J107" s="419"/>
      <c r="K107" s="418"/>
      <c r="L107" s="419"/>
      <c r="M107" s="415"/>
      <c r="N107" s="420"/>
      <c r="O107" s="421"/>
      <c r="P107" s="561"/>
      <c r="Q107" s="422"/>
      <c r="R107" s="561" t="str">
        <f t="shared" si="1174"/>
        <v/>
      </c>
      <c r="S107" s="664"/>
      <c r="T107" s="663"/>
      <c r="U107" s="580">
        <f t="shared" si="1175"/>
        <v>0</v>
      </c>
      <c r="V107" s="418"/>
      <c r="W107" s="582" t="str">
        <f t="shared" si="1176"/>
        <v/>
      </c>
      <c r="X107" s="479" t="str">
        <f t="shared" si="1177"/>
        <v/>
      </c>
      <c r="Y107" s="582" t="str">
        <f t="shared" si="1178"/>
        <v/>
      </c>
      <c r="Z107" s="317" t="str">
        <f t="shared" si="1179"/>
        <v/>
      </c>
      <c r="AA107" s="317" t="str">
        <f t="shared" si="1180"/>
        <v/>
      </c>
      <c r="AB107" s="317">
        <f t="shared" si="1181"/>
        <v>0</v>
      </c>
      <c r="AC107" s="317" t="str">
        <f t="shared" si="1182"/>
        <v/>
      </c>
      <c r="AD107" s="479"/>
      <c r="AE107" s="479"/>
      <c r="AF107" s="479"/>
      <c r="AG107" s="423"/>
      <c r="AH107" s="820"/>
      <c r="AI107" s="437"/>
      <c r="AJ107" s="720"/>
      <c r="AK107" s="524" t="str">
        <f t="shared" si="1183"/>
        <v/>
      </c>
      <c r="AL107" s="731">
        <f>SUMIF($J$4:$J$74,"Formação",$S$4:$S$74)</f>
        <v>0</v>
      </c>
      <c r="AM107" s="732">
        <f>SUMIF($J$4:$J$74,"Formação",$T$4:$T$74)</f>
        <v>0</v>
      </c>
      <c r="AN107" s="426">
        <f t="shared" si="1184"/>
        <v>0</v>
      </c>
      <c r="AO107" s="427" t="str">
        <f t="shared" si="1185"/>
        <v/>
      </c>
      <c r="AP107" s="426" t="str">
        <f t="shared" si="1186"/>
        <v/>
      </c>
      <c r="AQ107" s="426"/>
      <c r="AR107" s="426"/>
      <c r="AS107" s="428"/>
      <c r="AT107" s="429"/>
      <c r="AU107" s="430"/>
      <c r="AV107" s="431"/>
      <c r="AW107" s="432"/>
      <c r="AX107" s="430"/>
      <c r="AY107" s="431">
        <f t="shared" si="1187"/>
        <v>0</v>
      </c>
      <c r="AZ107" s="426"/>
      <c r="BA107" s="435" t="str">
        <f t="shared" si="1188"/>
        <v/>
      </c>
      <c r="BB107" s="435"/>
      <c r="BC107" s="426"/>
      <c r="BD107" s="426">
        <f t="array" ref="BD107">IF(SUM((BC107=$BC$3:BC106)*1)=0,BC107,0)</f>
        <v>0</v>
      </c>
      <c r="BE107" s="426"/>
      <c r="BF107" s="426"/>
      <c r="BG107" s="426">
        <f t="array" ref="BG107">IF(SUM((BF107=$BF$3:BF106)*1)=0,BF107,0)</f>
        <v>0</v>
      </c>
      <c r="BH107" s="426"/>
      <c r="BI107" s="426"/>
      <c r="BJ107" s="426"/>
      <c r="BK107" s="426"/>
      <c r="BL107" s="426"/>
      <c r="BM107" s="426"/>
      <c r="BN107" s="426"/>
      <c r="BO107" s="426"/>
      <c r="BP107" s="433">
        <f t="shared" si="1189"/>
        <v>0</v>
      </c>
      <c r="BQ107" s="426"/>
      <c r="BR107" s="434"/>
      <c r="BS107" s="426"/>
      <c r="BT107" s="433"/>
      <c r="BU107" s="435"/>
      <c r="BV107" s="435" t="str">
        <f t="shared" si="1190"/>
        <v/>
      </c>
      <c r="BW107" s="435" t="str">
        <f t="shared" si="798"/>
        <v/>
      </c>
      <c r="BX107" s="435"/>
      <c r="BY107" s="435"/>
      <c r="BZ107" s="435"/>
      <c r="CA107" s="435"/>
      <c r="CB107" s="435"/>
      <c r="CC107" s="435"/>
      <c r="CD107" s="435"/>
      <c r="CE107" s="435"/>
      <c r="CF107" s="435"/>
      <c r="CG107" s="435"/>
      <c r="CH107" s="435"/>
      <c r="CI107" s="435"/>
      <c r="CJ107" s="426" t="str">
        <f t="shared" si="799"/>
        <v/>
      </c>
      <c r="CK107" s="435"/>
      <c r="CL107" s="426"/>
      <c r="CM107" s="435"/>
      <c r="CN107" s="426"/>
      <c r="CO107" s="426"/>
      <c r="CP107" s="426"/>
      <c r="CQ107" s="426"/>
      <c r="CR107" s="426"/>
      <c r="CS107" s="426"/>
      <c r="CT107" s="426"/>
      <c r="CU107" s="426"/>
      <c r="CV107" s="426"/>
      <c r="CW107" s="493"/>
      <c r="CX107" s="493"/>
      <c r="CY107" s="426">
        <v>104</v>
      </c>
      <c r="CZ107" s="493"/>
      <c r="DA107" s="493"/>
      <c r="DB107" s="493"/>
      <c r="DC107" s="426" t="s">
        <v>847</v>
      </c>
      <c r="DD107" s="426" t="s">
        <v>1007</v>
      </c>
      <c r="DE107" s="435" t="str">
        <f t="shared" si="800"/>
        <v/>
      </c>
      <c r="DF107" s="435" t="str">
        <f t="shared" si="801"/>
        <v/>
      </c>
      <c r="DG107" s="435" t="str">
        <f t="shared" si="802"/>
        <v/>
      </c>
      <c r="DH107" s="435" t="str">
        <f t="shared" si="803"/>
        <v/>
      </c>
      <c r="DI107" s="435" t="str">
        <f t="shared" si="804"/>
        <v/>
      </c>
      <c r="DJ107" s="435" t="str">
        <f t="shared" si="805"/>
        <v/>
      </c>
      <c r="DK107" s="435" t="str">
        <f t="shared" si="1191"/>
        <v/>
      </c>
      <c r="DL107" s="435" t="str">
        <f t="shared" si="1192"/>
        <v/>
      </c>
      <c r="DM107" s="435" t="str">
        <f t="shared" si="806"/>
        <v/>
      </c>
      <c r="DN107" s="435" t="str">
        <f t="shared" si="807"/>
        <v/>
      </c>
      <c r="DO107" s="435" t="str">
        <f t="shared" si="1193"/>
        <v/>
      </c>
      <c r="DP107" s="435" t="str">
        <f t="shared" si="1194"/>
        <v/>
      </c>
      <c r="DQ107" s="435" t="str">
        <f t="shared" si="808"/>
        <v/>
      </c>
      <c r="DR107" s="435" t="str">
        <f t="shared" si="809"/>
        <v/>
      </c>
      <c r="DS107" s="435" t="str">
        <f t="shared" si="1195"/>
        <v/>
      </c>
      <c r="DT107" s="435" t="str">
        <f t="shared" si="1196"/>
        <v/>
      </c>
      <c r="DU107" s="435" t="str">
        <f t="shared" si="810"/>
        <v/>
      </c>
      <c r="DV107" s="435" t="str">
        <f t="shared" si="811"/>
        <v/>
      </c>
      <c r="DW107" s="435" t="str">
        <f t="shared" si="1197"/>
        <v/>
      </c>
      <c r="DX107" s="435" t="str">
        <f t="shared" si="1198"/>
        <v/>
      </c>
      <c r="DY107" s="435" t="str">
        <f t="shared" si="812"/>
        <v/>
      </c>
      <c r="DZ107" s="435" t="str">
        <f t="shared" si="813"/>
        <v/>
      </c>
      <c r="EA107" s="435" t="str">
        <f t="shared" si="1199"/>
        <v/>
      </c>
      <c r="EB107" s="435" t="str">
        <f t="shared" si="1200"/>
        <v/>
      </c>
      <c r="EC107" s="435" t="str">
        <f t="shared" si="1201"/>
        <v/>
      </c>
      <c r="ED107" s="435" t="str">
        <f t="shared" si="1202"/>
        <v/>
      </c>
      <c r="EE107" s="435" t="str">
        <f t="shared" si="1203"/>
        <v/>
      </c>
      <c r="EF107" s="435" t="str">
        <f t="shared" si="1204"/>
        <v/>
      </c>
      <c r="EG107" s="435" t="str">
        <f t="shared" si="1205"/>
        <v/>
      </c>
      <c r="EH107" s="435" t="str">
        <f t="shared" si="1206"/>
        <v/>
      </c>
      <c r="EI107" s="435" t="str">
        <f t="shared" si="1207"/>
        <v/>
      </c>
      <c r="EJ107" s="435" t="str">
        <f t="shared" si="1208"/>
        <v/>
      </c>
      <c r="EK107" s="485"/>
      <c r="EL107" s="485"/>
      <c r="EM107" s="485"/>
      <c r="EN107" s="485"/>
      <c r="EO107" s="448"/>
      <c r="EP107" s="448"/>
      <c r="EQ107" s="448"/>
      <c r="ER107" s="448"/>
      <c r="ES107" s="448"/>
      <c r="ET107" s="435"/>
      <c r="EU107" s="435"/>
      <c r="EV107" s="435"/>
      <c r="EW107" s="435"/>
      <c r="EX107" s="426"/>
      <c r="EY107" s="426"/>
      <c r="EZ107" s="426"/>
      <c r="FA107" s="863"/>
      <c r="FB107" s="427">
        <f t="array" ref="FB107">IF(SUM((FA107=$FA$3:FA106)*1)=0,FA107,0)</f>
        <v>0</v>
      </c>
      <c r="FC107" s="863"/>
      <c r="FD107" s="863"/>
      <c r="FE107" s="863">
        <f t="array" ref="FE107">IF(SUM((FD107=$FD$3:FD106)*1)=0,FD107,0)</f>
        <v>0</v>
      </c>
      <c r="FF107" s="863"/>
      <c r="FG107" s="863"/>
      <c r="FH107" s="863"/>
      <c r="FI107" s="427">
        <f t="array" ref="FI107">IF(SUM((FH107=$FH$3:FH106)*1)=0,FH107,0)</f>
        <v>0</v>
      </c>
      <c r="FJ107" s="863"/>
      <c r="FK107" s="863"/>
      <c r="FL107" s="863">
        <f t="array" ref="FL107">IF(SUM((FK107=$FK$3:FK106)*1)=0,FK107,0)</f>
        <v>0</v>
      </c>
      <c r="FM107" s="863"/>
      <c r="FN107" s="863"/>
      <c r="FO107" s="863"/>
      <c r="FP107" s="427">
        <f t="array" ref="FP107">IF(SUM((FO107=$FO$3:FO106)*1)=0,FO107,0)</f>
        <v>0</v>
      </c>
      <c r="FQ107" s="863"/>
      <c r="FR107" s="863"/>
      <c r="FS107" s="863">
        <f t="array" ref="FS107">IF(SUM((FR107=$FR$3:FR106)*1)=0,FR107,0)</f>
        <v>0</v>
      </c>
      <c r="FT107" s="863"/>
      <c r="FU107" s="863"/>
      <c r="FV107" s="863"/>
      <c r="FW107" s="427">
        <f t="array" ref="FW107">IF(SUM((FV107=$FV$3:FV106)*1)=0,FV107,0)</f>
        <v>0</v>
      </c>
      <c r="FX107" s="863"/>
      <c r="FY107" s="863"/>
      <c r="FZ107" s="863">
        <f t="array" ref="FZ107">IF(SUM((FY107=$FY$3:FY106)*1)=0,FY107,0)</f>
        <v>0</v>
      </c>
      <c r="GA107" s="863"/>
      <c r="GB107" s="863"/>
      <c r="GC107" s="863"/>
      <c r="GD107" s="427">
        <f t="array" ref="GD107">IF(SUM((GC107=$GC$3:GC106)*1)=0,GC107,0)</f>
        <v>0</v>
      </c>
      <c r="GE107" s="863"/>
      <c r="GF107" s="863"/>
      <c r="GG107" s="863">
        <f t="array" ref="GG107">IF(SUM((GF107=$GF$3:GF106)*1)=0,GF107,0)</f>
        <v>0</v>
      </c>
      <c r="GH107" s="863"/>
      <c r="GI107" s="863"/>
      <c r="GJ107" s="863"/>
      <c r="GK107" s="798">
        <f t="array" ref="GK107">IF(SUM((GJ107=$GJ$3:GJ106)*1)=0,GJ107,0)</f>
        <v>0</v>
      </c>
      <c r="GL107" s="863"/>
      <c r="GM107" s="863"/>
      <c r="GN107" s="798">
        <f t="array" ref="GN107">IF(SUM((GM107=$GM$3:GM106)*1)=0,GM107,0)</f>
        <v>0</v>
      </c>
      <c r="GO107" s="863"/>
      <c r="GP107" s="863"/>
      <c r="GQ107" s="863"/>
      <c r="GR107" s="798">
        <f t="array" ref="GR107">IF(SUM((GQ107=$GQ$3:GQ106)*1)=0,GQ107,0)</f>
        <v>0</v>
      </c>
      <c r="GS107" s="863"/>
      <c r="GT107" s="863"/>
      <c r="GU107" s="798">
        <f t="array" ref="GU107">IF(SUM((GT107=$GT$3:GT106)*1)=0,GT107,0)</f>
        <v>0</v>
      </c>
      <c r="GV107" s="863"/>
      <c r="GW107" s="863"/>
      <c r="GX107" s="863"/>
      <c r="GY107" s="798">
        <f t="array" ref="GY107">IF(SUM((GX107=$GX$3:GX106)*1)=0,GX107,0)</f>
        <v>0</v>
      </c>
      <c r="GZ107" s="863"/>
      <c r="HA107" s="863"/>
      <c r="HB107" s="798">
        <f t="array" ref="HB107">IF(SUM((HA107=$HA$3:HA106)*1)=0,HA107,0)</f>
        <v>0</v>
      </c>
      <c r="HC107" s="863"/>
      <c r="HD107" s="863"/>
      <c r="HE107" s="769" t="str">
        <f t="shared" si="889"/>
        <v/>
      </c>
      <c r="HF107" s="768" t="str">
        <f t="shared" ref="HF107" si="1304">IF(HE107&lt;0,"Invadiu REP-BA-C","")</f>
        <v/>
      </c>
      <c r="HG107" s="769" t="str">
        <f t="shared" si="891"/>
        <v/>
      </c>
      <c r="HH107" s="768" t="str">
        <f t="shared" si="815"/>
        <v/>
      </c>
      <c r="HI107" s="728" t="str">
        <f t="shared" si="892"/>
        <v/>
      </c>
      <c r="HJ107" s="768" t="str">
        <f t="shared" si="816"/>
        <v/>
      </c>
      <c r="HK107" s="728" t="str">
        <f t="shared" si="893"/>
        <v/>
      </c>
      <c r="HL107" s="768" t="str">
        <f t="shared" si="817"/>
        <v/>
      </c>
      <c r="HM107" s="769" t="str">
        <f t="shared" si="1219"/>
        <v/>
      </c>
      <c r="HN107" s="768" t="str">
        <f t="shared" ref="HN107" si="1305">IF(HM107&lt;0,"Invadiu REP-BA-C","")</f>
        <v/>
      </c>
      <c r="HO107" s="769" t="str">
        <f t="shared" si="1221"/>
        <v/>
      </c>
      <c r="HP107" s="768" t="str">
        <f t="shared" si="821"/>
        <v/>
      </c>
      <c r="HQ107" s="728" t="str">
        <f t="shared" si="1222"/>
        <v/>
      </c>
      <c r="HR107" s="768" t="str">
        <f t="shared" si="823"/>
        <v/>
      </c>
      <c r="HS107" s="728" t="str">
        <f t="shared" si="1223"/>
        <v/>
      </c>
      <c r="HT107" s="768" t="str">
        <f t="shared" si="825"/>
        <v/>
      </c>
      <c r="HU107" s="769" t="str">
        <f t="shared" si="1224"/>
        <v/>
      </c>
      <c r="HV107" s="768" t="str">
        <f t="shared" ref="HV107" si="1306">IF(HU107&lt;0,"Invadiu REP-BA-C","")</f>
        <v/>
      </c>
      <c r="HW107" s="769" t="str">
        <f t="shared" si="1226"/>
        <v/>
      </c>
      <c r="HX107" s="768" t="str">
        <f t="shared" si="829"/>
        <v/>
      </c>
      <c r="HY107" s="728" t="str">
        <f t="shared" si="1227"/>
        <v/>
      </c>
      <c r="HZ107" s="768" t="str">
        <f t="shared" si="831"/>
        <v/>
      </c>
      <c r="IA107" s="728" t="str">
        <f t="shared" si="1228"/>
        <v/>
      </c>
      <c r="IB107" s="768" t="str">
        <f t="shared" si="833"/>
        <v/>
      </c>
      <c r="IC107" s="769" t="str">
        <f t="shared" si="1229"/>
        <v/>
      </c>
      <c r="ID107" s="768" t="str">
        <f t="shared" ref="ID107" si="1307">IF(IC107&lt;0,"Invadiu REP-BA-C","")</f>
        <v/>
      </c>
      <c r="IE107" s="769" t="str">
        <f t="shared" si="1231"/>
        <v/>
      </c>
      <c r="IF107" s="768" t="str">
        <f t="shared" si="837"/>
        <v/>
      </c>
      <c r="IG107" s="728" t="str">
        <f t="shared" si="1232"/>
        <v/>
      </c>
      <c r="IH107" s="768" t="str">
        <f t="shared" si="839"/>
        <v/>
      </c>
      <c r="II107" s="728" t="str">
        <f t="shared" si="1233"/>
        <v/>
      </c>
      <c r="IJ107" s="768" t="str">
        <f t="shared" si="841"/>
        <v/>
      </c>
      <c r="IK107" s="769" t="str">
        <f t="shared" si="1234"/>
        <v/>
      </c>
      <c r="IL107" s="768" t="str">
        <f t="shared" ref="IL107" si="1308">IF(IK107&lt;0,"Invadiu REP-BA-C","")</f>
        <v/>
      </c>
      <c r="IM107" s="769" t="str">
        <f t="shared" si="1236"/>
        <v/>
      </c>
      <c r="IN107" s="768" t="str">
        <f t="shared" si="845"/>
        <v/>
      </c>
      <c r="IO107" s="728" t="str">
        <f t="shared" si="1237"/>
        <v/>
      </c>
      <c r="IP107" s="768" t="str">
        <f t="shared" si="847"/>
        <v/>
      </c>
      <c r="IQ107" s="728" t="str">
        <f t="shared" si="1238"/>
        <v/>
      </c>
      <c r="IR107" s="768" t="str">
        <f t="shared" si="849"/>
        <v/>
      </c>
      <c r="IS107" s="769" t="str">
        <f t="shared" si="1239"/>
        <v/>
      </c>
      <c r="IT107" s="768" t="str">
        <f t="shared" ref="IT107" si="1309">IF(IS107&lt;0,"Invadiu REP-BA-C","")</f>
        <v/>
      </c>
      <c r="IU107" s="769" t="str">
        <f t="shared" si="1241"/>
        <v/>
      </c>
      <c r="IV107" s="768" t="str">
        <f t="shared" si="853"/>
        <v/>
      </c>
      <c r="IW107" s="728" t="str">
        <f t="shared" si="1242"/>
        <v/>
      </c>
      <c r="IX107" s="768" t="str">
        <f t="shared" si="855"/>
        <v/>
      </c>
      <c r="IY107" s="728" t="str">
        <f t="shared" si="1243"/>
        <v/>
      </c>
      <c r="IZ107" s="768" t="str">
        <f t="shared" si="857"/>
        <v/>
      </c>
      <c r="JA107" s="769" t="str">
        <f t="shared" si="1244"/>
        <v/>
      </c>
      <c r="JB107" s="768" t="str">
        <f t="shared" ref="JB107" si="1310">IF(JA107&lt;0,"Invadiu REP-BA-C","")</f>
        <v/>
      </c>
      <c r="JC107" s="769" t="str">
        <f t="shared" si="1246"/>
        <v/>
      </c>
      <c r="JD107" s="768" t="str">
        <f t="shared" si="861"/>
        <v/>
      </c>
      <c r="JE107" s="728" t="str">
        <f t="shared" si="1247"/>
        <v/>
      </c>
      <c r="JF107" s="768" t="str">
        <f t="shared" si="863"/>
        <v/>
      </c>
      <c r="JG107" s="728" t="str">
        <f t="shared" si="1248"/>
        <v/>
      </c>
      <c r="JH107" s="768" t="str">
        <f t="shared" si="865"/>
        <v/>
      </c>
      <c r="JI107" s="769" t="str">
        <f t="shared" si="1249"/>
        <v/>
      </c>
      <c r="JJ107" s="768" t="str">
        <f t="shared" ref="JJ107" si="1311">IF(JI107&lt;0,"Invadiu REP-BA-C","")</f>
        <v/>
      </c>
      <c r="JK107" s="769" t="str">
        <f t="shared" si="1251"/>
        <v/>
      </c>
      <c r="JL107" s="768" t="str">
        <f t="shared" si="869"/>
        <v/>
      </c>
      <c r="JM107" s="728" t="str">
        <f t="shared" si="1252"/>
        <v/>
      </c>
      <c r="JN107" s="768" t="str">
        <f t="shared" si="871"/>
        <v/>
      </c>
      <c r="JO107" s="728" t="str">
        <f t="shared" si="1253"/>
        <v/>
      </c>
      <c r="JP107" s="768" t="str">
        <f t="shared" si="873"/>
        <v/>
      </c>
      <c r="JQ107" s="769" t="str">
        <f t="shared" si="1254"/>
        <v/>
      </c>
      <c r="JR107" s="768" t="str">
        <f t="shared" ref="JR107" si="1312">IF(JQ107&lt;0,"Invadiu REP-BA-C","")</f>
        <v/>
      </c>
      <c r="JS107" s="769" t="str">
        <f t="shared" si="1256"/>
        <v/>
      </c>
      <c r="JT107" s="768" t="str">
        <f t="shared" si="877"/>
        <v/>
      </c>
      <c r="JU107" s="728" t="str">
        <f t="shared" si="1257"/>
        <v/>
      </c>
      <c r="JV107" s="768" t="str">
        <f t="shared" si="879"/>
        <v/>
      </c>
      <c r="JW107" s="728" t="str">
        <f t="shared" si="1258"/>
        <v/>
      </c>
      <c r="JX107" s="768" t="str">
        <f t="shared" si="881"/>
        <v/>
      </c>
      <c r="JY107" s="768" t="str">
        <f t="shared" si="882"/>
        <v/>
      </c>
      <c r="JZ107" s="485" t="str">
        <f>IF(JY107="","",IF(AND(C107=$C$164,JY107&lt;&gt;""),Verificarcpf(D107),IF(AND(C107=$C$165,JY107&lt;&gt;""),VerificarCNPJ(D107))))</f>
        <v/>
      </c>
      <c r="KA107" s="768" t="str">
        <f t="shared" si="883"/>
        <v/>
      </c>
      <c r="KB107" s="485">
        <f t="shared" si="884"/>
        <v>0</v>
      </c>
      <c r="KC107" s="768">
        <f t="shared" si="885"/>
        <v>0</v>
      </c>
      <c r="KD107" s="485">
        <f t="shared" si="886"/>
        <v>0</v>
      </c>
      <c r="KE107" s="448"/>
      <c r="KF107" s="548"/>
      <c r="KG107" s="548"/>
      <c r="KH107" s="548"/>
      <c r="KI107" s="548"/>
      <c r="KJ107" s="548" t="str">
        <f t="shared" si="887"/>
        <v/>
      </c>
      <c r="KK107" s="548"/>
      <c r="KL107" s="548"/>
      <c r="KM107" s="548">
        <f t="array" ref="KM107">IF(SUM((KL107=$KL$3:KL106)*1)=0,KL107,0)</f>
        <v>0</v>
      </c>
      <c r="KN107" s="548"/>
      <c r="KO107" s="548"/>
      <c r="KP107" s="548"/>
      <c r="KQ107" s="548"/>
      <c r="KR107" s="548" t="str">
        <f t="shared" si="888"/>
        <v/>
      </c>
      <c r="KS107" s="548"/>
      <c r="KT107" s="548"/>
      <c r="KU107" s="548"/>
      <c r="KV107" s="548"/>
      <c r="KW107" s="548"/>
      <c r="KX107" s="548"/>
      <c r="KY107" s="548"/>
      <c r="KZ107" s="548"/>
      <c r="LA107" s="548"/>
      <c r="LB107" s="548"/>
      <c r="LC107" s="485" t="str">
        <f t="shared" si="902"/>
        <v/>
      </c>
      <c r="LD107" s="548"/>
      <c r="LE107" s="548"/>
      <c r="LF107" s="548"/>
      <c r="LG107" s="548"/>
      <c r="LH107" s="548"/>
      <c r="LI107" s="548"/>
      <c r="LJ107" s="548"/>
      <c r="LK107" s="548"/>
      <c r="LL107" s="548"/>
      <c r="LM107" s="548"/>
      <c r="LN107" s="548"/>
      <c r="LO107" s="548"/>
      <c r="LP107" s="485" t="str">
        <f t="shared" si="903"/>
        <v/>
      </c>
      <c r="LQ107" s="548"/>
      <c r="LR107" s="548"/>
      <c r="LS107" s="548"/>
      <c r="LT107" s="548"/>
      <c r="LU107" s="548"/>
      <c r="LV107" s="548"/>
      <c r="LW107" s="548"/>
      <c r="LX107" s="548"/>
      <c r="LY107" s="548"/>
      <c r="LZ107" s="548"/>
      <c r="MA107" s="548"/>
      <c r="MB107" s="548"/>
      <c r="MC107" s="485" t="str">
        <f t="shared" si="904"/>
        <v/>
      </c>
      <c r="MD107" s="548"/>
      <c r="ME107" s="548"/>
      <c r="MF107" s="548"/>
      <c r="MG107" s="548"/>
      <c r="MH107" s="548"/>
      <c r="MI107" s="548"/>
      <c r="MJ107" s="548"/>
      <c r="MK107" s="548"/>
      <c r="ML107" s="548"/>
      <c r="MM107" s="548"/>
      <c r="MN107" s="548"/>
      <c r="MO107" s="548"/>
      <c r="MP107" s="485" t="str">
        <f t="shared" si="905"/>
        <v/>
      </c>
      <c r="MQ107" s="548"/>
      <c r="MR107" s="548"/>
      <c r="MS107" s="548"/>
      <c r="MT107" s="548"/>
      <c r="MU107" s="548"/>
      <c r="MV107" s="548"/>
      <c r="MW107" s="548"/>
      <c r="MX107" s="548"/>
      <c r="MY107" s="548"/>
      <c r="MZ107" s="548"/>
      <c r="NA107" s="548"/>
      <c r="NB107" s="548"/>
      <c r="NC107" s="485" t="str">
        <f t="shared" si="906"/>
        <v/>
      </c>
      <c r="ND107" s="548"/>
      <c r="NE107" s="548"/>
      <c r="NF107" s="548"/>
      <c r="NG107" s="548"/>
      <c r="NH107" s="548"/>
      <c r="NI107" s="548"/>
      <c r="NJ107" s="548"/>
      <c r="NK107" s="548"/>
      <c r="NL107" s="548"/>
      <c r="NM107" s="548"/>
      <c r="NN107" s="548"/>
      <c r="NO107" s="548"/>
      <c r="NP107" s="485" t="str">
        <f t="shared" si="907"/>
        <v/>
      </c>
      <c r="NQ107" s="548"/>
      <c r="NR107" s="548"/>
      <c r="NS107" s="548"/>
      <c r="NT107" s="548"/>
      <c r="NU107" s="548"/>
      <c r="NV107" s="548"/>
      <c r="NW107" s="548"/>
      <c r="NX107" s="548"/>
      <c r="NY107" s="548"/>
      <c r="NZ107" s="548"/>
      <c r="OA107" s="548"/>
      <c r="OB107" s="548"/>
      <c r="OC107" s="485" t="str">
        <f t="shared" si="908"/>
        <v/>
      </c>
      <c r="OD107" s="548"/>
      <c r="OE107" s="548"/>
      <c r="OF107" s="548"/>
      <c r="OG107" s="548"/>
      <c r="OH107" s="548"/>
      <c r="OI107" s="548"/>
      <c r="OJ107" s="548"/>
      <c r="OK107" s="548"/>
      <c r="OL107" s="548"/>
      <c r="OM107" s="548"/>
      <c r="ON107" s="548"/>
      <c r="OO107" s="548"/>
      <c r="OP107" s="548"/>
      <c r="OQ107" s="548"/>
      <c r="OR107" s="548"/>
      <c r="OS107" s="548"/>
      <c r="OT107" s="548"/>
      <c r="OU107" s="548"/>
      <c r="OV107" s="548"/>
      <c r="OW107" s="548"/>
      <c r="OX107" s="548"/>
      <c r="OY107" s="548"/>
      <c r="OZ107" s="548"/>
      <c r="PA107" s="548"/>
      <c r="PB107" s="548"/>
      <c r="PC107" s="548"/>
      <c r="PD107" s="548"/>
      <c r="PE107" s="548"/>
      <c r="PF107" s="548"/>
      <c r="PG107" s="548"/>
      <c r="PH107" s="548"/>
      <c r="PI107" s="548"/>
      <c r="PJ107" s="548"/>
      <c r="PK107" s="548"/>
      <c r="PL107" s="548"/>
      <c r="PM107" s="548"/>
      <c r="PN107" s="548"/>
      <c r="PO107" s="548"/>
      <c r="PP107" s="548"/>
      <c r="PQ107" s="548"/>
      <c r="PR107" s="548"/>
      <c r="PS107" s="548"/>
      <c r="PT107" s="548"/>
      <c r="PU107" s="548"/>
      <c r="PV107" s="548"/>
      <c r="PW107" s="548"/>
      <c r="PX107" s="548"/>
      <c r="PY107" s="548"/>
      <c r="PZ107" s="548"/>
      <c r="QA107" s="548"/>
      <c r="QB107" s="548"/>
      <c r="QC107" s="548"/>
      <c r="QD107" s="548"/>
      <c r="QE107" s="548"/>
      <c r="QF107" s="548"/>
      <c r="QG107" s="548"/>
      <c r="QH107" s="548"/>
      <c r="QI107" s="548"/>
      <c r="QJ107" s="548"/>
      <c r="QK107" s="548"/>
      <c r="QL107" s="548"/>
      <c r="QM107" s="548"/>
      <c r="QN107" s="548"/>
      <c r="QO107" s="548"/>
      <c r="QP107" s="548"/>
      <c r="QQ107" s="1009"/>
      <c r="QR107" s="548"/>
      <c r="QS107" s="548"/>
      <c r="QT107" s="548"/>
      <c r="QU107" s="548"/>
      <c r="QV107" s="548"/>
      <c r="QW107" s="548"/>
      <c r="QX107" s="548"/>
      <c r="QY107" s="548"/>
      <c r="QZ107" s="548"/>
      <c r="RA107" s="548"/>
      <c r="RB107" s="548"/>
      <c r="RC107" s="548"/>
      <c r="RD107" s="548"/>
      <c r="RE107" s="548"/>
      <c r="RF107" s="548"/>
      <c r="RG107" s="548"/>
      <c r="RH107" s="548"/>
      <c r="RI107" s="548"/>
      <c r="RJ107" s="548"/>
      <c r="RK107" s="548"/>
      <c r="RL107" s="548"/>
      <c r="RM107" s="548"/>
      <c r="RN107" s="548"/>
      <c r="RO107" s="548"/>
      <c r="RP107" s="548"/>
      <c r="RQ107" s="548"/>
      <c r="RR107" s="548"/>
      <c r="RS107" s="548"/>
      <c r="RT107" s="548"/>
      <c r="RU107" s="548"/>
      <c r="RV107" s="548"/>
      <c r="RW107" s="548"/>
      <c r="RX107" s="548"/>
      <c r="RY107" s="548"/>
      <c r="RZ107" s="548"/>
      <c r="SA107" s="548"/>
      <c r="SB107" s="548"/>
      <c r="SC107" s="548"/>
      <c r="SD107" s="548"/>
      <c r="SE107" s="548"/>
      <c r="SF107" s="548"/>
      <c r="SG107" s="548"/>
      <c r="SH107" s="548"/>
      <c r="SI107" s="548"/>
      <c r="SJ107" s="548"/>
      <c r="SK107" s="548"/>
      <c r="SL107" s="548"/>
      <c r="SM107" s="548"/>
      <c r="SN107" s="548"/>
      <c r="SO107" s="548"/>
      <c r="SP107" s="548"/>
      <c r="SQ107" s="548"/>
      <c r="SR107" s="548"/>
      <c r="SS107" s="548"/>
      <c r="ST107" s="548"/>
      <c r="SU107" s="548"/>
      <c r="SV107" s="548"/>
      <c r="SW107" s="548"/>
      <c r="SX107" s="548"/>
      <c r="SY107" s="548"/>
      <c r="SZ107" s="548"/>
      <c r="TA107" s="548"/>
      <c r="TB107" s="548"/>
      <c r="TC107" s="548"/>
      <c r="TD107" s="548"/>
      <c r="TE107" s="548"/>
      <c r="TF107" s="548"/>
      <c r="TG107" s="548"/>
      <c r="TH107" s="548"/>
      <c r="TI107" s="548"/>
      <c r="TJ107" s="548"/>
      <c r="TK107" s="548"/>
      <c r="TL107" s="548"/>
      <c r="TM107" s="548"/>
      <c r="TN107" s="548"/>
      <c r="TO107" s="548"/>
      <c r="TP107" s="548"/>
      <c r="TQ107" s="548"/>
      <c r="TR107" s="548"/>
      <c r="TS107" s="548"/>
      <c r="TT107" s="548"/>
      <c r="TU107" s="548"/>
      <c r="TV107" s="548"/>
      <c r="TW107" s="548"/>
      <c r="TX107" s="548"/>
      <c r="TY107" s="548"/>
      <c r="TZ107" s="548"/>
      <c r="UA107" s="548"/>
      <c r="UB107" s="548"/>
      <c r="UC107" s="548"/>
      <c r="UD107" s="548"/>
      <c r="UE107" s="548"/>
      <c r="UF107" s="548"/>
      <c r="UG107" s="548"/>
      <c r="UH107" s="548"/>
      <c r="UI107" s="548"/>
      <c r="UJ107" s="548"/>
      <c r="UK107" s="548"/>
      <c r="UL107" s="548"/>
      <c r="UM107" s="548"/>
      <c r="UN107" s="548"/>
      <c r="UO107" s="548"/>
      <c r="UP107" s="548"/>
      <c r="UQ107" s="548"/>
      <c r="UR107" s="548"/>
      <c r="US107" s="548"/>
      <c r="UT107" s="548"/>
      <c r="UU107" s="548"/>
      <c r="UV107" s="548"/>
      <c r="UW107" s="548"/>
      <c r="UX107" s="548"/>
      <c r="UY107" s="548"/>
      <c r="UZ107" s="548"/>
      <c r="VA107" s="548"/>
      <c r="VB107" s="548"/>
      <c r="VC107" s="548"/>
      <c r="VD107" s="548"/>
      <c r="VE107" s="548"/>
      <c r="VF107" s="548"/>
      <c r="VG107" s="548"/>
      <c r="VH107" s="548"/>
      <c r="VI107" s="548"/>
      <c r="VJ107" s="548"/>
      <c r="VK107" s="548"/>
      <c r="VL107" s="548"/>
      <c r="VM107" s="548"/>
      <c r="VN107" s="548"/>
      <c r="VO107" s="548"/>
      <c r="VP107" s="548"/>
      <c r="VQ107" s="548"/>
      <c r="VR107" s="548"/>
      <c r="VS107" s="548"/>
      <c r="VT107" s="548"/>
      <c r="VU107" s="548"/>
      <c r="VV107" s="548"/>
      <c r="VW107" s="548"/>
      <c r="VX107" s="548"/>
      <c r="VY107" s="548"/>
      <c r="VZ107" s="548"/>
      <c r="WA107" s="548"/>
      <c r="WB107" s="548"/>
      <c r="WC107" s="548"/>
      <c r="WD107" s="548"/>
      <c r="WE107" s="548"/>
      <c r="WF107" s="548"/>
      <c r="WG107" s="548"/>
      <c r="WH107" s="548"/>
      <c r="WI107" s="548"/>
      <c r="WJ107" s="548"/>
      <c r="WK107" s="548"/>
      <c r="WL107" s="548"/>
      <c r="WM107" s="548"/>
      <c r="WN107" s="548"/>
      <c r="WO107" s="548"/>
      <c r="WP107" s="548"/>
      <c r="WQ107" s="548"/>
      <c r="WR107" s="548"/>
      <c r="WS107" s="548"/>
      <c r="WT107" s="548"/>
      <c r="WU107" s="548"/>
      <c r="WV107" s="548"/>
      <c r="WW107" s="548"/>
      <c r="WX107" s="548"/>
      <c r="WY107" s="548"/>
      <c r="WZ107" s="548"/>
      <c r="XA107" s="548"/>
      <c r="XB107" s="548"/>
      <c r="XC107" s="548"/>
      <c r="XD107" s="548"/>
      <c r="XE107" s="548"/>
      <c r="XF107" s="548"/>
      <c r="XG107" s="548"/>
      <c r="XH107" s="548"/>
      <c r="XI107" s="548"/>
      <c r="XJ107" s="548"/>
      <c r="XK107" s="548"/>
      <c r="XL107" s="548"/>
      <c r="XM107" s="548"/>
      <c r="XN107" s="548"/>
      <c r="XO107" s="548"/>
      <c r="XP107" s="548"/>
      <c r="XQ107" s="548"/>
      <c r="XR107" s="548"/>
      <c r="XS107" s="548"/>
      <c r="XT107" s="548"/>
      <c r="XU107" s="548"/>
      <c r="XV107" s="548"/>
      <c r="XW107" s="548"/>
      <c r="XX107" s="548"/>
      <c r="XY107" s="548"/>
      <c r="XZ107" s="548"/>
      <c r="YA107" s="548"/>
      <c r="YB107" s="548"/>
      <c r="YC107" s="548"/>
      <c r="YD107" s="548"/>
      <c r="YE107" s="548"/>
      <c r="YF107" s="548"/>
      <c r="YG107" s="548"/>
      <c r="YH107" s="548"/>
      <c r="YI107" s="548"/>
      <c r="YJ107" s="548"/>
      <c r="YK107" s="548"/>
      <c r="YL107" s="548"/>
      <c r="YM107" s="548"/>
      <c r="YN107" s="548"/>
      <c r="YO107" s="548"/>
      <c r="YP107" s="548"/>
      <c r="YQ107" s="548"/>
      <c r="YR107" s="548"/>
      <c r="YS107" s="548"/>
      <c r="YT107" s="548"/>
      <c r="YU107" s="548"/>
      <c r="YV107" s="548"/>
      <c r="YW107" s="548"/>
      <c r="YX107" s="548"/>
      <c r="YY107" s="548"/>
      <c r="YZ107" s="548"/>
      <c r="ZA107" s="548"/>
      <c r="ZB107" s="548"/>
      <c r="ZC107" s="548"/>
      <c r="ZD107" s="548"/>
      <c r="ZE107" s="548"/>
      <c r="ZF107" s="548"/>
      <c r="ZG107" s="548"/>
      <c r="ZH107" s="548"/>
      <c r="ZI107" s="548"/>
      <c r="ZJ107" s="548"/>
      <c r="ZK107" s="548"/>
      <c r="ZL107" s="548"/>
      <c r="ZM107" s="548"/>
      <c r="ZN107" s="548"/>
      <c r="ZO107" s="548"/>
      <c r="ZP107" s="548"/>
      <c r="ZQ107" s="548"/>
      <c r="ZR107" s="548"/>
      <c r="ZS107" s="548"/>
      <c r="ZT107" s="548"/>
      <c r="ZU107" s="548"/>
      <c r="ZV107" s="548"/>
      <c r="ZW107" s="548"/>
      <c r="ZX107" s="548"/>
      <c r="ZY107" s="548"/>
      <c r="ZZ107" s="548"/>
      <c r="AAA107" s="548"/>
      <c r="AAB107" s="548"/>
      <c r="AAC107" s="548"/>
      <c r="AAD107" s="548"/>
      <c r="AAE107" s="548"/>
      <c r="AAF107" s="548"/>
      <c r="AAG107" s="548"/>
      <c r="AAH107" s="548"/>
      <c r="AAI107" s="548"/>
      <c r="AAJ107" s="548"/>
      <c r="AAK107" s="548"/>
      <c r="AAL107" s="548"/>
      <c r="AAM107" s="548"/>
      <c r="AAN107" s="548"/>
      <c r="AAO107" s="548"/>
      <c r="AAP107" s="548"/>
      <c r="AAQ107" s="548"/>
      <c r="AAR107" s="548"/>
      <c r="AAS107" s="548"/>
      <c r="AAT107" s="548"/>
      <c r="AAU107" s="548"/>
      <c r="AAV107" s="548"/>
      <c r="AAW107" s="548"/>
      <c r="AAX107" s="548"/>
      <c r="AAY107" s="548"/>
      <c r="AAZ107" s="548"/>
      <c r="ABA107" s="548"/>
      <c r="ABB107" s="548"/>
      <c r="ABC107" s="548"/>
      <c r="ABD107" s="548"/>
      <c r="ABE107" s="548"/>
      <c r="ABF107" s="548"/>
      <c r="ABG107" s="548"/>
      <c r="ABH107" s="548"/>
      <c r="ABI107" s="548"/>
      <c r="ABJ107" s="548"/>
      <c r="ABK107" s="548"/>
      <c r="ABL107" s="548"/>
      <c r="ABM107" s="548"/>
      <c r="ABN107" s="548"/>
      <c r="ABO107" s="548"/>
      <c r="ABP107" s="548"/>
      <c r="ABQ107" s="548"/>
      <c r="ABR107" s="548"/>
      <c r="ABS107" s="548"/>
    </row>
    <row r="108" spans="1:747" customFormat="1" ht="15" customHeight="1" x14ac:dyDescent="0.2">
      <c r="A108" s="424" t="str">
        <f t="shared" si="909"/>
        <v/>
      </c>
      <c r="B108" s="415"/>
      <c r="C108" s="525"/>
      <c r="D108" s="750"/>
      <c r="E108" s="416" t="str">
        <f t="shared" si="1171"/>
        <v/>
      </c>
      <c r="F108" s="527" t="str">
        <f t="shared" si="1172"/>
        <v/>
      </c>
      <c r="G108" s="417"/>
      <c r="H108" s="585" t="str">
        <f t="shared" si="1173"/>
        <v/>
      </c>
      <c r="I108" s="424"/>
      <c r="J108" s="419"/>
      <c r="K108" s="418"/>
      <c r="L108" s="419"/>
      <c r="M108" s="415"/>
      <c r="N108" s="420"/>
      <c r="O108" s="421"/>
      <c r="P108" s="561"/>
      <c r="Q108" s="422"/>
      <c r="R108" s="561" t="str">
        <f t="shared" si="1174"/>
        <v/>
      </c>
      <c r="S108" s="664"/>
      <c r="T108" s="663"/>
      <c r="U108" s="580">
        <f t="shared" si="1175"/>
        <v>0</v>
      </c>
      <c r="V108" s="418"/>
      <c r="W108" s="582" t="str">
        <f t="shared" si="1176"/>
        <v/>
      </c>
      <c r="X108" s="479" t="str">
        <f t="shared" si="1177"/>
        <v/>
      </c>
      <c r="Y108" s="582" t="str">
        <f t="shared" si="1178"/>
        <v/>
      </c>
      <c r="Z108" s="317" t="str">
        <f t="shared" si="1179"/>
        <v/>
      </c>
      <c r="AA108" s="317" t="str">
        <f t="shared" si="1180"/>
        <v/>
      </c>
      <c r="AB108" s="317">
        <f t="shared" si="1181"/>
        <v>0</v>
      </c>
      <c r="AC108" s="317" t="str">
        <f t="shared" si="1182"/>
        <v/>
      </c>
      <c r="AD108" s="479"/>
      <c r="AE108" s="479"/>
      <c r="AF108" s="479"/>
      <c r="AG108" s="423"/>
      <c r="AH108" s="820"/>
      <c r="AI108" s="437"/>
      <c r="AJ108" s="720"/>
      <c r="AK108" s="524" t="str">
        <f t="shared" si="1183"/>
        <v/>
      </c>
      <c r="AL108" s="731">
        <f>SUMIF($J$4:$J$88,"Formação",$S$4:$S$88)</f>
        <v>0</v>
      </c>
      <c r="AM108" s="732">
        <f>SUMIF($J$4:$J$88,"Formação",$T$4:$T$88)</f>
        <v>0</v>
      </c>
      <c r="AN108" s="426">
        <f t="shared" si="1184"/>
        <v>0</v>
      </c>
      <c r="AO108" s="427" t="str">
        <f t="shared" si="1185"/>
        <v/>
      </c>
      <c r="AP108" s="426" t="str">
        <f t="shared" si="1186"/>
        <v/>
      </c>
      <c r="AQ108" s="426"/>
      <c r="AR108" s="426"/>
      <c r="AS108" s="428"/>
      <c r="AT108" s="429"/>
      <c r="AU108" s="430"/>
      <c r="AV108" s="431"/>
      <c r="AW108" s="432"/>
      <c r="AX108" s="430"/>
      <c r="AY108" s="431">
        <f t="shared" si="1187"/>
        <v>0</v>
      </c>
      <c r="AZ108" s="426"/>
      <c r="BA108" s="435" t="str">
        <f t="shared" si="1188"/>
        <v/>
      </c>
      <c r="BB108" s="435"/>
      <c r="BC108" s="426"/>
      <c r="BD108" s="426">
        <f t="array" ref="BD108">IF(SUM((BC108=$BC$3:BC107)*1)=0,BC108,0)</f>
        <v>0</v>
      </c>
      <c r="BE108" s="426"/>
      <c r="BF108" s="426"/>
      <c r="BG108" s="426">
        <f t="array" ref="BG108">IF(SUM((BF108=$BF$3:BF107)*1)=0,BF108,0)</f>
        <v>0</v>
      </c>
      <c r="BH108" s="426"/>
      <c r="BI108" s="426"/>
      <c r="BJ108" s="426"/>
      <c r="BK108" s="426"/>
      <c r="BL108" s="426"/>
      <c r="BM108" s="426"/>
      <c r="BN108" s="426"/>
      <c r="BO108" s="426"/>
      <c r="BP108" s="433">
        <f t="shared" si="1189"/>
        <v>0</v>
      </c>
      <c r="BQ108" s="426"/>
      <c r="BR108" s="434"/>
      <c r="BS108" s="426"/>
      <c r="BT108" s="433"/>
      <c r="BU108" s="435"/>
      <c r="BV108" s="435" t="str">
        <f t="shared" si="1190"/>
        <v/>
      </c>
      <c r="BW108" s="435" t="str">
        <f t="shared" si="798"/>
        <v/>
      </c>
      <c r="BX108" s="435"/>
      <c r="BY108" s="435"/>
      <c r="BZ108" s="435"/>
      <c r="CA108" s="435"/>
      <c r="CB108" s="435"/>
      <c r="CC108" s="435"/>
      <c r="CD108" s="435"/>
      <c r="CE108" s="435"/>
      <c r="CF108" s="435"/>
      <c r="CG108" s="435"/>
      <c r="CH108" s="435"/>
      <c r="CI108" s="435"/>
      <c r="CJ108" s="426" t="str">
        <f t="shared" si="799"/>
        <v/>
      </c>
      <c r="CK108" s="435"/>
      <c r="CL108" s="426"/>
      <c r="CM108" s="435"/>
      <c r="CN108" s="426"/>
      <c r="CO108" s="426"/>
      <c r="CP108" s="426"/>
      <c r="CQ108" s="426"/>
      <c r="CR108" s="426"/>
      <c r="CS108" s="426"/>
      <c r="CT108" s="426"/>
      <c r="CU108" s="426"/>
      <c r="CV108" s="426"/>
      <c r="CW108" s="493"/>
      <c r="CX108" s="493"/>
      <c r="CY108" s="426">
        <v>105</v>
      </c>
      <c r="CZ108" s="493"/>
      <c r="DA108" s="493"/>
      <c r="DB108" s="493"/>
      <c r="DC108" s="426" t="s">
        <v>848</v>
      </c>
      <c r="DD108" s="426" t="s">
        <v>1008</v>
      </c>
      <c r="DE108" s="435" t="str">
        <f t="shared" si="800"/>
        <v/>
      </c>
      <c r="DF108" s="435" t="str">
        <f t="shared" si="801"/>
        <v/>
      </c>
      <c r="DG108" s="435" t="str">
        <f t="shared" si="802"/>
        <v/>
      </c>
      <c r="DH108" s="435" t="str">
        <f t="shared" si="803"/>
        <v/>
      </c>
      <c r="DI108" s="435" t="str">
        <f t="shared" si="804"/>
        <v/>
      </c>
      <c r="DJ108" s="435" t="str">
        <f t="shared" si="805"/>
        <v/>
      </c>
      <c r="DK108" s="435" t="str">
        <f t="shared" si="1191"/>
        <v/>
      </c>
      <c r="DL108" s="435" t="str">
        <f t="shared" si="1192"/>
        <v/>
      </c>
      <c r="DM108" s="435" t="str">
        <f t="shared" si="806"/>
        <v/>
      </c>
      <c r="DN108" s="435" t="str">
        <f t="shared" si="807"/>
        <v/>
      </c>
      <c r="DO108" s="435" t="str">
        <f t="shared" si="1193"/>
        <v/>
      </c>
      <c r="DP108" s="435" t="str">
        <f t="shared" si="1194"/>
        <v/>
      </c>
      <c r="DQ108" s="435" t="str">
        <f t="shared" si="808"/>
        <v/>
      </c>
      <c r="DR108" s="435" t="str">
        <f t="shared" si="809"/>
        <v/>
      </c>
      <c r="DS108" s="435" t="str">
        <f t="shared" si="1195"/>
        <v/>
      </c>
      <c r="DT108" s="435" t="str">
        <f t="shared" si="1196"/>
        <v/>
      </c>
      <c r="DU108" s="435" t="str">
        <f t="shared" si="810"/>
        <v/>
      </c>
      <c r="DV108" s="435" t="str">
        <f t="shared" si="811"/>
        <v/>
      </c>
      <c r="DW108" s="435" t="str">
        <f t="shared" si="1197"/>
        <v/>
      </c>
      <c r="DX108" s="435" t="str">
        <f t="shared" si="1198"/>
        <v/>
      </c>
      <c r="DY108" s="435" t="str">
        <f t="shared" si="812"/>
        <v/>
      </c>
      <c r="DZ108" s="435" t="str">
        <f t="shared" si="813"/>
        <v/>
      </c>
      <c r="EA108" s="435" t="str">
        <f t="shared" si="1199"/>
        <v/>
      </c>
      <c r="EB108" s="435" t="str">
        <f t="shared" si="1200"/>
        <v/>
      </c>
      <c r="EC108" s="435" t="str">
        <f t="shared" si="1201"/>
        <v/>
      </c>
      <c r="ED108" s="435" t="str">
        <f t="shared" si="1202"/>
        <v/>
      </c>
      <c r="EE108" s="435" t="str">
        <f t="shared" si="1203"/>
        <v/>
      </c>
      <c r="EF108" s="435" t="str">
        <f t="shared" si="1204"/>
        <v/>
      </c>
      <c r="EG108" s="435" t="str">
        <f t="shared" si="1205"/>
        <v/>
      </c>
      <c r="EH108" s="435" t="str">
        <f t="shared" si="1206"/>
        <v/>
      </c>
      <c r="EI108" s="435" t="str">
        <f t="shared" si="1207"/>
        <v/>
      </c>
      <c r="EJ108" s="435" t="str">
        <f t="shared" si="1208"/>
        <v/>
      </c>
      <c r="EK108" s="485"/>
      <c r="EL108" s="485"/>
      <c r="EM108" s="485"/>
      <c r="EN108" s="485"/>
      <c r="EO108" s="448"/>
      <c r="EP108" s="448"/>
      <c r="EQ108" s="448"/>
      <c r="ER108" s="448"/>
      <c r="ES108" s="448"/>
      <c r="ET108" s="435"/>
      <c r="EU108" s="435"/>
      <c r="EV108" s="435"/>
      <c r="EW108" s="435"/>
      <c r="EX108" s="426"/>
      <c r="EY108" s="426"/>
      <c r="EZ108" s="426"/>
      <c r="FA108" s="863"/>
      <c r="FB108" s="427">
        <f t="array" ref="FB108">IF(SUM((FA108=$FA$3:FA107)*1)=0,FA108,0)</f>
        <v>0</v>
      </c>
      <c r="FC108" s="863"/>
      <c r="FD108" s="863"/>
      <c r="FE108" s="863">
        <f t="array" ref="FE108">IF(SUM((FD108=$FD$3:FD107)*1)=0,FD108,0)</f>
        <v>0</v>
      </c>
      <c r="FF108" s="863"/>
      <c r="FG108" s="863"/>
      <c r="FH108" s="863"/>
      <c r="FI108" s="427">
        <f t="array" ref="FI108">IF(SUM((FH108=$FH$3:FH107)*1)=0,FH108,0)</f>
        <v>0</v>
      </c>
      <c r="FJ108" s="863"/>
      <c r="FK108" s="863"/>
      <c r="FL108" s="863">
        <f t="array" ref="FL108">IF(SUM((FK108=$FK$3:FK107)*1)=0,FK108,0)</f>
        <v>0</v>
      </c>
      <c r="FM108" s="863"/>
      <c r="FN108" s="863"/>
      <c r="FO108" s="863"/>
      <c r="FP108" s="427">
        <f t="array" ref="FP108">IF(SUM((FO108=$FO$3:FO107)*1)=0,FO108,0)</f>
        <v>0</v>
      </c>
      <c r="FQ108" s="863"/>
      <c r="FR108" s="863"/>
      <c r="FS108" s="863">
        <f t="array" ref="FS108">IF(SUM((FR108=$FR$3:FR107)*1)=0,FR108,0)</f>
        <v>0</v>
      </c>
      <c r="FT108" s="863"/>
      <c r="FU108" s="863"/>
      <c r="FV108" s="863"/>
      <c r="FW108" s="427">
        <f t="array" ref="FW108">IF(SUM((FV108=$FV$3:FV107)*1)=0,FV108,0)</f>
        <v>0</v>
      </c>
      <c r="FX108" s="863"/>
      <c r="FY108" s="863"/>
      <c r="FZ108" s="863">
        <f t="array" ref="FZ108">IF(SUM((FY108=$FY$3:FY107)*1)=0,FY108,0)</f>
        <v>0</v>
      </c>
      <c r="GA108" s="863"/>
      <c r="GB108" s="863"/>
      <c r="GC108" s="863"/>
      <c r="GD108" s="427">
        <f t="array" ref="GD108">IF(SUM((GC108=$GC$3:GC107)*1)=0,GC108,0)</f>
        <v>0</v>
      </c>
      <c r="GE108" s="863"/>
      <c r="GF108" s="863"/>
      <c r="GG108" s="863">
        <f t="array" ref="GG108">IF(SUM((GF108=$GF$3:GF107)*1)=0,GF108,0)</f>
        <v>0</v>
      </c>
      <c r="GH108" s="863"/>
      <c r="GI108" s="863"/>
      <c r="GJ108" s="863"/>
      <c r="GK108" s="798">
        <f t="array" ref="GK108">IF(SUM((GJ108=$GJ$3:GJ107)*1)=0,GJ108,0)</f>
        <v>0</v>
      </c>
      <c r="GL108" s="863"/>
      <c r="GM108" s="863"/>
      <c r="GN108" s="798">
        <f t="array" ref="GN108">IF(SUM((GM108=$GM$3:GM107)*1)=0,GM108,0)</f>
        <v>0</v>
      </c>
      <c r="GO108" s="863"/>
      <c r="GP108" s="863"/>
      <c r="GQ108" s="863"/>
      <c r="GR108" s="798">
        <f t="array" ref="GR108">IF(SUM((GQ108=$GQ$3:GQ107)*1)=0,GQ108,0)</f>
        <v>0</v>
      </c>
      <c r="GS108" s="863"/>
      <c r="GT108" s="863"/>
      <c r="GU108" s="798">
        <f t="array" ref="GU108">IF(SUM((GT108=$GT$3:GT107)*1)=0,GT108,0)</f>
        <v>0</v>
      </c>
      <c r="GV108" s="863"/>
      <c r="GW108" s="863"/>
      <c r="GX108" s="863"/>
      <c r="GY108" s="798">
        <f t="array" ref="GY108">IF(SUM((GX108=$GX$3:GX107)*1)=0,GX108,0)</f>
        <v>0</v>
      </c>
      <c r="GZ108" s="863"/>
      <c r="HA108" s="863"/>
      <c r="HB108" s="798">
        <f t="array" ref="HB108">IF(SUM((HA108=$HA$3:HA107)*1)=0,HA108,0)</f>
        <v>0</v>
      </c>
      <c r="HC108" s="863"/>
      <c r="HD108" s="863"/>
      <c r="HE108" s="769" t="str">
        <f t="shared" si="889"/>
        <v/>
      </c>
      <c r="HF108" s="768" t="str">
        <f t="shared" ref="HF108" si="1313">IF(HE108&lt;0,"Invadiu REP-BA-C","")</f>
        <v/>
      </c>
      <c r="HG108" s="769" t="str">
        <f t="shared" si="891"/>
        <v/>
      </c>
      <c r="HH108" s="768" t="str">
        <f t="shared" si="815"/>
        <v/>
      </c>
      <c r="HI108" s="728" t="str">
        <f t="shared" si="892"/>
        <v/>
      </c>
      <c r="HJ108" s="768" t="str">
        <f t="shared" si="816"/>
        <v/>
      </c>
      <c r="HK108" s="728" t="str">
        <f t="shared" si="893"/>
        <v/>
      </c>
      <c r="HL108" s="768" t="str">
        <f t="shared" si="817"/>
        <v/>
      </c>
      <c r="HM108" s="769" t="str">
        <f t="shared" si="1219"/>
        <v/>
      </c>
      <c r="HN108" s="768" t="str">
        <f t="shared" ref="HN108" si="1314">IF(HM108&lt;0,"Invadiu REP-BA-C","")</f>
        <v/>
      </c>
      <c r="HO108" s="769" t="str">
        <f t="shared" si="1221"/>
        <v/>
      </c>
      <c r="HP108" s="768" t="str">
        <f t="shared" si="821"/>
        <v/>
      </c>
      <c r="HQ108" s="728" t="str">
        <f t="shared" si="1222"/>
        <v/>
      </c>
      <c r="HR108" s="768" t="str">
        <f t="shared" si="823"/>
        <v/>
      </c>
      <c r="HS108" s="728" t="str">
        <f t="shared" si="1223"/>
        <v/>
      </c>
      <c r="HT108" s="768" t="str">
        <f t="shared" si="825"/>
        <v/>
      </c>
      <c r="HU108" s="769" t="str">
        <f t="shared" si="1224"/>
        <v/>
      </c>
      <c r="HV108" s="768" t="str">
        <f t="shared" ref="HV108" si="1315">IF(HU108&lt;0,"Invadiu REP-BA-C","")</f>
        <v/>
      </c>
      <c r="HW108" s="769" t="str">
        <f t="shared" si="1226"/>
        <v/>
      </c>
      <c r="HX108" s="768" t="str">
        <f t="shared" si="829"/>
        <v/>
      </c>
      <c r="HY108" s="728" t="str">
        <f t="shared" si="1227"/>
        <v/>
      </c>
      <c r="HZ108" s="768" t="str">
        <f t="shared" si="831"/>
        <v/>
      </c>
      <c r="IA108" s="728" t="str">
        <f t="shared" si="1228"/>
        <v/>
      </c>
      <c r="IB108" s="768" t="str">
        <f t="shared" si="833"/>
        <v/>
      </c>
      <c r="IC108" s="769" t="str">
        <f t="shared" si="1229"/>
        <v/>
      </c>
      <c r="ID108" s="768" t="str">
        <f t="shared" ref="ID108" si="1316">IF(IC108&lt;0,"Invadiu REP-BA-C","")</f>
        <v/>
      </c>
      <c r="IE108" s="769" t="str">
        <f t="shared" si="1231"/>
        <v/>
      </c>
      <c r="IF108" s="768" t="str">
        <f t="shared" si="837"/>
        <v/>
      </c>
      <c r="IG108" s="728" t="str">
        <f t="shared" si="1232"/>
        <v/>
      </c>
      <c r="IH108" s="768" t="str">
        <f t="shared" si="839"/>
        <v/>
      </c>
      <c r="II108" s="728" t="str">
        <f t="shared" si="1233"/>
        <v/>
      </c>
      <c r="IJ108" s="768" t="str">
        <f t="shared" si="841"/>
        <v/>
      </c>
      <c r="IK108" s="769" t="str">
        <f t="shared" si="1234"/>
        <v/>
      </c>
      <c r="IL108" s="768" t="str">
        <f t="shared" ref="IL108" si="1317">IF(IK108&lt;0,"Invadiu REP-BA-C","")</f>
        <v/>
      </c>
      <c r="IM108" s="769" t="str">
        <f t="shared" si="1236"/>
        <v/>
      </c>
      <c r="IN108" s="768" t="str">
        <f t="shared" si="845"/>
        <v/>
      </c>
      <c r="IO108" s="728" t="str">
        <f t="shared" si="1237"/>
        <v/>
      </c>
      <c r="IP108" s="768" t="str">
        <f t="shared" si="847"/>
        <v/>
      </c>
      <c r="IQ108" s="728" t="str">
        <f t="shared" si="1238"/>
        <v/>
      </c>
      <c r="IR108" s="768" t="str">
        <f t="shared" si="849"/>
        <v/>
      </c>
      <c r="IS108" s="769" t="str">
        <f t="shared" si="1239"/>
        <v/>
      </c>
      <c r="IT108" s="768" t="str">
        <f t="shared" ref="IT108" si="1318">IF(IS108&lt;0,"Invadiu REP-BA-C","")</f>
        <v/>
      </c>
      <c r="IU108" s="769" t="str">
        <f t="shared" si="1241"/>
        <v/>
      </c>
      <c r="IV108" s="768" t="str">
        <f t="shared" si="853"/>
        <v/>
      </c>
      <c r="IW108" s="728" t="str">
        <f t="shared" si="1242"/>
        <v/>
      </c>
      <c r="IX108" s="768" t="str">
        <f t="shared" si="855"/>
        <v/>
      </c>
      <c r="IY108" s="728" t="str">
        <f t="shared" si="1243"/>
        <v/>
      </c>
      <c r="IZ108" s="768" t="str">
        <f t="shared" si="857"/>
        <v/>
      </c>
      <c r="JA108" s="769" t="str">
        <f t="shared" si="1244"/>
        <v/>
      </c>
      <c r="JB108" s="768" t="str">
        <f t="shared" ref="JB108" si="1319">IF(JA108&lt;0,"Invadiu REP-BA-C","")</f>
        <v/>
      </c>
      <c r="JC108" s="769" t="str">
        <f t="shared" si="1246"/>
        <v/>
      </c>
      <c r="JD108" s="768" t="str">
        <f t="shared" si="861"/>
        <v/>
      </c>
      <c r="JE108" s="728" t="str">
        <f t="shared" si="1247"/>
        <v/>
      </c>
      <c r="JF108" s="768" t="str">
        <f t="shared" si="863"/>
        <v/>
      </c>
      <c r="JG108" s="728" t="str">
        <f t="shared" si="1248"/>
        <v/>
      </c>
      <c r="JH108" s="768" t="str">
        <f t="shared" si="865"/>
        <v/>
      </c>
      <c r="JI108" s="769" t="str">
        <f t="shared" si="1249"/>
        <v/>
      </c>
      <c r="JJ108" s="768" t="str">
        <f t="shared" ref="JJ108" si="1320">IF(JI108&lt;0,"Invadiu REP-BA-C","")</f>
        <v/>
      </c>
      <c r="JK108" s="769" t="str">
        <f t="shared" si="1251"/>
        <v/>
      </c>
      <c r="JL108" s="768" t="str">
        <f t="shared" si="869"/>
        <v/>
      </c>
      <c r="JM108" s="728" t="str">
        <f t="shared" si="1252"/>
        <v/>
      </c>
      <c r="JN108" s="768" t="str">
        <f t="shared" si="871"/>
        <v/>
      </c>
      <c r="JO108" s="728" t="str">
        <f t="shared" si="1253"/>
        <v/>
      </c>
      <c r="JP108" s="768" t="str">
        <f t="shared" si="873"/>
        <v/>
      </c>
      <c r="JQ108" s="769" t="str">
        <f t="shared" si="1254"/>
        <v/>
      </c>
      <c r="JR108" s="768" t="str">
        <f t="shared" ref="JR108" si="1321">IF(JQ108&lt;0,"Invadiu REP-BA-C","")</f>
        <v/>
      </c>
      <c r="JS108" s="769" t="str">
        <f t="shared" si="1256"/>
        <v/>
      </c>
      <c r="JT108" s="768" t="str">
        <f t="shared" si="877"/>
        <v/>
      </c>
      <c r="JU108" s="728" t="str">
        <f t="shared" si="1257"/>
        <v/>
      </c>
      <c r="JV108" s="768" t="str">
        <f t="shared" si="879"/>
        <v/>
      </c>
      <c r="JW108" s="728" t="str">
        <f t="shared" si="1258"/>
        <v/>
      </c>
      <c r="JX108" s="768" t="str">
        <f t="shared" si="881"/>
        <v/>
      </c>
      <c r="JY108" s="768" t="str">
        <f t="shared" si="882"/>
        <v/>
      </c>
      <c r="JZ108" s="485" t="str">
        <f>IF(JY108="","",IF(AND(C108=$C$164,JY108&lt;&gt;""),Verificarcpf(D108),IF(AND(C108=$C$165,JY108&lt;&gt;""),VerificarCNPJ(D108))))</f>
        <v/>
      </c>
      <c r="KA108" s="768" t="str">
        <f t="shared" si="883"/>
        <v/>
      </c>
      <c r="KB108" s="485">
        <f t="shared" si="884"/>
        <v>0</v>
      </c>
      <c r="KC108" s="768">
        <f t="shared" si="885"/>
        <v>0</v>
      </c>
      <c r="KD108" s="485">
        <f t="shared" si="886"/>
        <v>0</v>
      </c>
      <c r="KE108" s="448"/>
      <c r="KF108" s="548"/>
      <c r="KG108" s="548"/>
      <c r="KH108" s="548"/>
      <c r="KI108" s="548"/>
      <c r="KJ108" s="548" t="str">
        <f t="shared" si="887"/>
        <v/>
      </c>
      <c r="KK108" s="548"/>
      <c r="KL108" s="548"/>
      <c r="KM108" s="548">
        <f t="array" ref="KM108">IF(SUM((KL108=$KL$3:KL107)*1)=0,KL108,0)</f>
        <v>0</v>
      </c>
      <c r="KN108" s="548"/>
      <c r="KO108" s="548"/>
      <c r="KP108" s="548"/>
      <c r="KQ108" s="548"/>
      <c r="KR108" s="548" t="str">
        <f t="shared" si="888"/>
        <v/>
      </c>
      <c r="KS108" s="548"/>
      <c r="KT108" s="548"/>
      <c r="KU108" s="548"/>
      <c r="KV108" s="548"/>
      <c r="KW108" s="548"/>
      <c r="KX108" s="548"/>
      <c r="KY108" s="548"/>
      <c r="KZ108" s="548"/>
      <c r="LA108" s="548"/>
      <c r="LB108" s="548"/>
      <c r="LC108" s="485" t="str">
        <f t="shared" si="902"/>
        <v/>
      </c>
      <c r="LD108" s="548"/>
      <c r="LE108" s="548"/>
      <c r="LF108" s="548"/>
      <c r="LG108" s="548"/>
      <c r="LH108" s="548"/>
      <c r="LI108" s="548"/>
      <c r="LJ108" s="548"/>
      <c r="LK108" s="548"/>
      <c r="LL108" s="548"/>
      <c r="LM108" s="548"/>
      <c r="LN108" s="548"/>
      <c r="LO108" s="548"/>
      <c r="LP108" s="485" t="str">
        <f t="shared" si="903"/>
        <v/>
      </c>
      <c r="LQ108" s="548"/>
      <c r="LR108" s="548"/>
      <c r="LS108" s="548"/>
      <c r="LT108" s="548"/>
      <c r="LU108" s="548"/>
      <c r="LV108" s="548"/>
      <c r="LW108" s="548"/>
      <c r="LX108" s="548"/>
      <c r="LY108" s="548"/>
      <c r="LZ108" s="548"/>
      <c r="MA108" s="548"/>
      <c r="MB108" s="548"/>
      <c r="MC108" s="485" t="str">
        <f t="shared" si="904"/>
        <v/>
      </c>
      <c r="MD108" s="548"/>
      <c r="ME108" s="548"/>
      <c r="MF108" s="548"/>
      <c r="MG108" s="548"/>
      <c r="MH108" s="548"/>
      <c r="MI108" s="548"/>
      <c r="MJ108" s="548"/>
      <c r="MK108" s="548"/>
      <c r="ML108" s="548"/>
      <c r="MM108" s="548"/>
      <c r="MN108" s="548"/>
      <c r="MO108" s="548"/>
      <c r="MP108" s="485" t="str">
        <f t="shared" si="905"/>
        <v/>
      </c>
      <c r="MQ108" s="548"/>
      <c r="MR108" s="548"/>
      <c r="MS108" s="548"/>
      <c r="MT108" s="548"/>
      <c r="MU108" s="548"/>
      <c r="MV108" s="548"/>
      <c r="MW108" s="548"/>
      <c r="MX108" s="548"/>
      <c r="MY108" s="548"/>
      <c r="MZ108" s="548"/>
      <c r="NA108" s="548"/>
      <c r="NB108" s="548"/>
      <c r="NC108" s="485" t="str">
        <f t="shared" si="906"/>
        <v/>
      </c>
      <c r="ND108" s="548"/>
      <c r="NE108" s="548"/>
      <c r="NF108" s="548"/>
      <c r="NG108" s="548"/>
      <c r="NH108" s="548"/>
      <c r="NI108" s="548"/>
      <c r="NJ108" s="548"/>
      <c r="NK108" s="548"/>
      <c r="NL108" s="548"/>
      <c r="NM108" s="548"/>
      <c r="NN108" s="548"/>
      <c r="NO108" s="548"/>
      <c r="NP108" s="485" t="str">
        <f t="shared" si="907"/>
        <v/>
      </c>
      <c r="NQ108" s="548"/>
      <c r="NR108" s="548"/>
      <c r="NS108" s="548"/>
      <c r="NT108" s="548"/>
      <c r="NU108" s="548"/>
      <c r="NV108" s="548"/>
      <c r="NW108" s="548"/>
      <c r="NX108" s="548"/>
      <c r="NY108" s="548"/>
      <c r="NZ108" s="548"/>
      <c r="OA108" s="548"/>
      <c r="OB108" s="548"/>
      <c r="OC108" s="485" t="str">
        <f t="shared" si="908"/>
        <v/>
      </c>
      <c r="OD108" s="548"/>
      <c r="OE108" s="548"/>
      <c r="OF108" s="548"/>
      <c r="OG108" s="548"/>
      <c r="OH108" s="548"/>
      <c r="OI108" s="548"/>
      <c r="OJ108" s="548"/>
      <c r="OK108" s="548"/>
      <c r="OL108" s="548"/>
      <c r="OM108" s="548"/>
      <c r="ON108" s="548"/>
      <c r="OO108" s="548"/>
      <c r="OP108" s="548"/>
      <c r="OQ108" s="548"/>
      <c r="OR108" s="548"/>
      <c r="OS108" s="548"/>
      <c r="OT108" s="548"/>
      <c r="OU108" s="548"/>
      <c r="OV108" s="548"/>
      <c r="OW108" s="548"/>
      <c r="OX108" s="548"/>
      <c r="OY108" s="548"/>
      <c r="OZ108" s="548"/>
      <c r="PA108" s="548"/>
      <c r="PB108" s="548"/>
      <c r="PC108" s="548"/>
      <c r="PD108" s="548"/>
      <c r="PE108" s="548"/>
      <c r="PF108" s="548"/>
      <c r="PG108" s="548"/>
      <c r="PH108" s="548"/>
      <c r="PI108" s="548"/>
      <c r="PJ108" s="548"/>
      <c r="PK108" s="548"/>
      <c r="PL108" s="548"/>
      <c r="PM108" s="548"/>
      <c r="PN108" s="548"/>
      <c r="PO108" s="548"/>
      <c r="PP108" s="548"/>
      <c r="PQ108" s="548"/>
      <c r="PR108" s="548"/>
      <c r="PS108" s="548"/>
      <c r="PT108" s="548"/>
      <c r="PU108" s="548"/>
      <c r="PV108" s="548"/>
      <c r="PW108" s="548"/>
      <c r="PX108" s="548"/>
      <c r="PY108" s="548"/>
      <c r="PZ108" s="548"/>
      <c r="QA108" s="548"/>
      <c r="QB108" s="548"/>
      <c r="QC108" s="548"/>
      <c r="QD108" s="548"/>
      <c r="QE108" s="548"/>
      <c r="QF108" s="548"/>
      <c r="QG108" s="548"/>
      <c r="QH108" s="548"/>
      <c r="QI108" s="548"/>
      <c r="QJ108" s="548"/>
      <c r="QK108" s="548"/>
      <c r="QL108" s="548"/>
      <c r="QM108" s="548"/>
      <c r="QN108" s="548"/>
      <c r="QO108" s="548"/>
      <c r="QP108" s="548"/>
      <c r="QQ108" s="1009"/>
      <c r="QR108" s="548"/>
      <c r="QS108" s="548"/>
      <c r="QT108" s="548"/>
      <c r="QU108" s="548"/>
      <c r="QV108" s="548"/>
      <c r="QW108" s="548"/>
      <c r="QX108" s="548"/>
      <c r="QY108" s="548"/>
      <c r="QZ108" s="548"/>
      <c r="RA108" s="548"/>
      <c r="RB108" s="548"/>
      <c r="RC108" s="548"/>
      <c r="RD108" s="548"/>
      <c r="RE108" s="548"/>
      <c r="RF108" s="548"/>
      <c r="RG108" s="548"/>
      <c r="RH108" s="548"/>
      <c r="RI108" s="548"/>
      <c r="RJ108" s="548"/>
      <c r="RK108" s="548"/>
      <c r="RL108" s="548"/>
      <c r="RM108" s="548"/>
      <c r="RN108" s="548"/>
      <c r="RO108" s="548"/>
      <c r="RP108" s="548"/>
      <c r="RQ108" s="548"/>
      <c r="RR108" s="548"/>
      <c r="RS108" s="548"/>
      <c r="RT108" s="548"/>
      <c r="RU108" s="548"/>
      <c r="RV108" s="548"/>
      <c r="RW108" s="548"/>
      <c r="RX108" s="548"/>
      <c r="RY108" s="548"/>
      <c r="RZ108" s="548"/>
      <c r="SA108" s="548"/>
      <c r="SB108" s="548"/>
      <c r="SC108" s="548"/>
      <c r="SD108" s="548"/>
      <c r="SE108" s="548"/>
      <c r="SF108" s="548"/>
      <c r="SG108" s="548"/>
      <c r="SH108" s="548"/>
      <c r="SI108" s="548"/>
      <c r="SJ108" s="548"/>
      <c r="SK108" s="548"/>
      <c r="SL108" s="548"/>
      <c r="SM108" s="548"/>
      <c r="SN108" s="548"/>
      <c r="SO108" s="548"/>
      <c r="SP108" s="548"/>
      <c r="SQ108" s="548"/>
      <c r="SR108" s="548"/>
      <c r="SS108" s="548"/>
      <c r="ST108" s="548"/>
      <c r="SU108" s="548"/>
      <c r="SV108" s="548"/>
      <c r="SW108" s="548"/>
      <c r="SX108" s="548"/>
      <c r="SY108" s="548"/>
      <c r="SZ108" s="548"/>
      <c r="TA108" s="548"/>
      <c r="TB108" s="548"/>
      <c r="TC108" s="548"/>
      <c r="TD108" s="548"/>
      <c r="TE108" s="548"/>
      <c r="TF108" s="548"/>
      <c r="TG108" s="548"/>
      <c r="TH108" s="548"/>
      <c r="TI108" s="548"/>
      <c r="TJ108" s="548"/>
      <c r="TK108" s="548"/>
      <c r="TL108" s="548"/>
      <c r="TM108" s="548"/>
      <c r="TN108" s="548"/>
      <c r="TO108" s="548"/>
      <c r="TP108" s="548"/>
      <c r="TQ108" s="548"/>
      <c r="TR108" s="548"/>
      <c r="TS108" s="548"/>
      <c r="TT108" s="548"/>
      <c r="TU108" s="548"/>
      <c r="TV108" s="548"/>
      <c r="TW108" s="548"/>
      <c r="TX108" s="548"/>
      <c r="TY108" s="548"/>
      <c r="TZ108" s="548"/>
      <c r="UA108" s="548"/>
      <c r="UB108" s="548"/>
      <c r="UC108" s="548"/>
      <c r="UD108" s="548"/>
      <c r="UE108" s="548"/>
      <c r="UF108" s="548"/>
      <c r="UG108" s="548"/>
      <c r="UH108" s="548"/>
      <c r="UI108" s="548"/>
      <c r="UJ108" s="548"/>
      <c r="UK108" s="548"/>
      <c r="UL108" s="548"/>
      <c r="UM108" s="548"/>
      <c r="UN108" s="548"/>
      <c r="UO108" s="548"/>
      <c r="UP108" s="548"/>
      <c r="UQ108" s="548"/>
      <c r="UR108" s="548"/>
      <c r="US108" s="548"/>
      <c r="UT108" s="548"/>
      <c r="UU108" s="548"/>
      <c r="UV108" s="548"/>
      <c r="UW108" s="548"/>
      <c r="UX108" s="548"/>
      <c r="UY108" s="548"/>
      <c r="UZ108" s="548"/>
      <c r="VA108" s="548"/>
      <c r="VB108" s="548"/>
      <c r="VC108" s="548"/>
      <c r="VD108" s="548"/>
      <c r="VE108" s="548"/>
      <c r="VF108" s="548"/>
      <c r="VG108" s="548"/>
      <c r="VH108" s="548"/>
      <c r="VI108" s="548"/>
      <c r="VJ108" s="548"/>
      <c r="VK108" s="548"/>
      <c r="VL108" s="548"/>
      <c r="VM108" s="548"/>
      <c r="VN108" s="548"/>
      <c r="VO108" s="548"/>
      <c r="VP108" s="548"/>
      <c r="VQ108" s="548"/>
      <c r="VR108" s="548"/>
      <c r="VS108" s="548"/>
      <c r="VT108" s="548"/>
      <c r="VU108" s="548"/>
      <c r="VV108" s="548"/>
      <c r="VW108" s="548"/>
      <c r="VX108" s="548"/>
      <c r="VY108" s="548"/>
      <c r="VZ108" s="548"/>
      <c r="WA108" s="548"/>
      <c r="WB108" s="548"/>
      <c r="WC108" s="548"/>
      <c r="WD108" s="548"/>
      <c r="WE108" s="548"/>
      <c r="WF108" s="548"/>
      <c r="WG108" s="548"/>
      <c r="WH108" s="548"/>
      <c r="WI108" s="548"/>
      <c r="WJ108" s="548"/>
      <c r="WK108" s="548"/>
      <c r="WL108" s="548"/>
      <c r="WM108" s="548"/>
      <c r="WN108" s="548"/>
      <c r="WO108" s="548"/>
      <c r="WP108" s="548"/>
      <c r="WQ108" s="548"/>
      <c r="WR108" s="548"/>
      <c r="WS108" s="548"/>
      <c r="WT108" s="548"/>
      <c r="WU108" s="548"/>
      <c r="WV108" s="548"/>
      <c r="WW108" s="548"/>
      <c r="WX108" s="548"/>
      <c r="WY108" s="548"/>
      <c r="WZ108" s="548"/>
      <c r="XA108" s="548"/>
      <c r="XB108" s="548"/>
      <c r="XC108" s="548"/>
      <c r="XD108" s="548"/>
      <c r="XE108" s="548"/>
      <c r="XF108" s="548"/>
      <c r="XG108" s="548"/>
      <c r="XH108" s="548"/>
      <c r="XI108" s="548"/>
      <c r="XJ108" s="548"/>
      <c r="XK108" s="548"/>
      <c r="XL108" s="548"/>
      <c r="XM108" s="548"/>
      <c r="XN108" s="548"/>
      <c r="XO108" s="548"/>
      <c r="XP108" s="548"/>
      <c r="XQ108" s="548"/>
      <c r="XR108" s="548"/>
      <c r="XS108" s="548"/>
      <c r="XT108" s="548"/>
      <c r="XU108" s="548"/>
      <c r="XV108" s="548"/>
      <c r="XW108" s="548"/>
      <c r="XX108" s="548"/>
      <c r="XY108" s="548"/>
      <c r="XZ108" s="548"/>
      <c r="YA108" s="548"/>
      <c r="YB108" s="548"/>
      <c r="YC108" s="548"/>
      <c r="YD108" s="548"/>
      <c r="YE108" s="548"/>
      <c r="YF108" s="548"/>
      <c r="YG108" s="548"/>
      <c r="YH108" s="548"/>
      <c r="YI108" s="548"/>
      <c r="YJ108" s="548"/>
      <c r="YK108" s="548"/>
      <c r="YL108" s="548"/>
      <c r="YM108" s="548"/>
      <c r="YN108" s="548"/>
      <c r="YO108" s="548"/>
      <c r="YP108" s="548"/>
      <c r="YQ108" s="548"/>
      <c r="YR108" s="548"/>
      <c r="YS108" s="548"/>
      <c r="YT108" s="548"/>
      <c r="YU108" s="548"/>
      <c r="YV108" s="548"/>
      <c r="YW108" s="548"/>
      <c r="YX108" s="548"/>
      <c r="YY108" s="548"/>
      <c r="YZ108" s="548"/>
      <c r="ZA108" s="548"/>
      <c r="ZB108" s="548"/>
      <c r="ZC108" s="548"/>
      <c r="ZD108" s="548"/>
      <c r="ZE108" s="548"/>
      <c r="ZF108" s="548"/>
      <c r="ZG108" s="548"/>
      <c r="ZH108" s="548"/>
      <c r="ZI108" s="548"/>
      <c r="ZJ108" s="548"/>
      <c r="ZK108" s="548"/>
      <c r="ZL108" s="548"/>
      <c r="ZM108" s="548"/>
      <c r="ZN108" s="548"/>
      <c r="ZO108" s="548"/>
      <c r="ZP108" s="548"/>
      <c r="ZQ108" s="548"/>
      <c r="ZR108" s="548"/>
      <c r="ZS108" s="548"/>
      <c r="ZT108" s="548"/>
      <c r="ZU108" s="548"/>
      <c r="ZV108" s="548"/>
      <c r="ZW108" s="548"/>
      <c r="ZX108" s="548"/>
      <c r="ZY108" s="548"/>
      <c r="ZZ108" s="548"/>
      <c r="AAA108" s="548"/>
      <c r="AAB108" s="548"/>
      <c r="AAC108" s="548"/>
      <c r="AAD108" s="548"/>
      <c r="AAE108" s="548"/>
      <c r="AAF108" s="548"/>
      <c r="AAG108" s="548"/>
      <c r="AAH108" s="548"/>
      <c r="AAI108" s="548"/>
      <c r="AAJ108" s="548"/>
      <c r="AAK108" s="548"/>
      <c r="AAL108" s="548"/>
      <c r="AAM108" s="548"/>
      <c r="AAN108" s="548"/>
      <c r="AAO108" s="548"/>
      <c r="AAP108" s="548"/>
      <c r="AAQ108" s="548"/>
      <c r="AAR108" s="548"/>
      <c r="AAS108" s="548"/>
      <c r="AAT108" s="548"/>
      <c r="AAU108" s="548"/>
      <c r="AAV108" s="548"/>
      <c r="AAW108" s="548"/>
      <c r="AAX108" s="548"/>
      <c r="AAY108" s="548"/>
      <c r="AAZ108" s="548"/>
      <c r="ABA108" s="548"/>
      <c r="ABB108" s="548"/>
      <c r="ABC108" s="548"/>
      <c r="ABD108" s="548"/>
      <c r="ABE108" s="548"/>
      <c r="ABF108" s="548"/>
      <c r="ABG108" s="548"/>
      <c r="ABH108" s="548"/>
      <c r="ABI108" s="548"/>
      <c r="ABJ108" s="548"/>
      <c r="ABK108" s="548"/>
      <c r="ABL108" s="548"/>
      <c r="ABM108" s="548"/>
      <c r="ABN108" s="548"/>
      <c r="ABO108" s="548"/>
      <c r="ABP108" s="548"/>
      <c r="ABQ108" s="548"/>
      <c r="ABR108" s="548"/>
      <c r="ABS108" s="548"/>
    </row>
    <row r="109" spans="1:747" customFormat="1" ht="15" customHeight="1" x14ac:dyDescent="0.2">
      <c r="A109" s="424" t="str">
        <f t="shared" si="909"/>
        <v/>
      </c>
      <c r="B109" s="415"/>
      <c r="C109" s="525"/>
      <c r="D109" s="750"/>
      <c r="E109" s="416" t="str">
        <f t="shared" si="1171"/>
        <v/>
      </c>
      <c r="F109" s="527" t="str">
        <f t="shared" si="1172"/>
        <v/>
      </c>
      <c r="G109" s="417"/>
      <c r="H109" s="585" t="str">
        <f t="shared" si="1173"/>
        <v/>
      </c>
      <c r="I109" s="424"/>
      <c r="J109" s="419"/>
      <c r="K109" s="418"/>
      <c r="L109" s="419"/>
      <c r="M109" s="415"/>
      <c r="N109" s="420"/>
      <c r="O109" s="421"/>
      <c r="P109" s="561"/>
      <c r="Q109" s="422"/>
      <c r="R109" s="561" t="str">
        <f t="shared" si="1174"/>
        <v/>
      </c>
      <c r="S109" s="664"/>
      <c r="T109" s="663"/>
      <c r="U109" s="580">
        <f t="shared" si="1175"/>
        <v>0</v>
      </c>
      <c r="V109" s="418"/>
      <c r="W109" s="582" t="str">
        <f t="shared" si="1176"/>
        <v/>
      </c>
      <c r="X109" s="479" t="str">
        <f t="shared" si="1177"/>
        <v/>
      </c>
      <c r="Y109" s="582" t="str">
        <f t="shared" si="1178"/>
        <v/>
      </c>
      <c r="Z109" s="317" t="str">
        <f t="shared" si="1179"/>
        <v/>
      </c>
      <c r="AA109" s="317" t="str">
        <f t="shared" si="1180"/>
        <v/>
      </c>
      <c r="AB109" s="317">
        <f t="shared" si="1181"/>
        <v>0</v>
      </c>
      <c r="AC109" s="317" t="str">
        <f t="shared" si="1182"/>
        <v/>
      </c>
      <c r="AD109" s="479"/>
      <c r="AE109" s="479"/>
      <c r="AF109" s="479"/>
      <c r="AG109" s="423"/>
      <c r="AH109" s="820"/>
      <c r="AI109" s="437"/>
      <c r="AJ109" s="720"/>
      <c r="AK109" s="524" t="str">
        <f t="shared" si="1183"/>
        <v/>
      </c>
      <c r="AL109" s="731">
        <f>SUMIF($J$4:$J$102,"Formação",$S$4:$S$102)</f>
        <v>0</v>
      </c>
      <c r="AM109" s="732">
        <f>SUMIF($J$4:$J$102,"Formação",$T$4:$T$102)</f>
        <v>0</v>
      </c>
      <c r="AN109" s="426">
        <f t="shared" si="1184"/>
        <v>0</v>
      </c>
      <c r="AO109" s="427" t="str">
        <f t="shared" si="1185"/>
        <v/>
      </c>
      <c r="AP109" s="426" t="str">
        <f t="shared" si="1186"/>
        <v/>
      </c>
      <c r="AQ109" s="426"/>
      <c r="AR109" s="426"/>
      <c r="AS109" s="428"/>
      <c r="AT109" s="429"/>
      <c r="AU109" s="430"/>
      <c r="AV109" s="431"/>
      <c r="AW109" s="432"/>
      <c r="AX109" s="430"/>
      <c r="AY109" s="431">
        <f t="shared" si="1187"/>
        <v>0</v>
      </c>
      <c r="AZ109" s="426"/>
      <c r="BA109" s="435" t="str">
        <f t="shared" si="1188"/>
        <v/>
      </c>
      <c r="BB109" s="435"/>
      <c r="BC109" s="426"/>
      <c r="BD109" s="426">
        <f t="array" ref="BD109">IF(SUM((BC109=$BC$3:BC108)*1)=0,BC109,0)</f>
        <v>0</v>
      </c>
      <c r="BE109" s="426"/>
      <c r="BF109" s="426"/>
      <c r="BG109" s="426">
        <f t="array" ref="BG109">IF(SUM((BF109=$BF$3:BF108)*1)=0,BF109,0)</f>
        <v>0</v>
      </c>
      <c r="BH109" s="426"/>
      <c r="BI109" s="426"/>
      <c r="BJ109" s="426"/>
      <c r="BK109" s="426"/>
      <c r="BL109" s="426"/>
      <c r="BM109" s="426"/>
      <c r="BN109" s="426"/>
      <c r="BO109" s="426"/>
      <c r="BP109" s="433">
        <f t="shared" si="1189"/>
        <v>0</v>
      </c>
      <c r="BQ109" s="426"/>
      <c r="BR109" s="434"/>
      <c r="BS109" s="426"/>
      <c r="BT109" s="433"/>
      <c r="BU109" s="435"/>
      <c r="BV109" s="435" t="str">
        <f t="shared" si="1190"/>
        <v/>
      </c>
      <c r="BW109" s="435" t="str">
        <f t="shared" si="798"/>
        <v/>
      </c>
      <c r="BX109" s="435"/>
      <c r="BY109" s="435"/>
      <c r="BZ109" s="435"/>
      <c r="CA109" s="435"/>
      <c r="CB109" s="435"/>
      <c r="CC109" s="435"/>
      <c r="CD109" s="435"/>
      <c r="CE109" s="435"/>
      <c r="CF109" s="435"/>
      <c r="CG109" s="435"/>
      <c r="CH109" s="435"/>
      <c r="CI109" s="435"/>
      <c r="CJ109" s="426" t="str">
        <f t="shared" si="799"/>
        <v/>
      </c>
      <c r="CK109" s="435"/>
      <c r="CL109" s="426"/>
      <c r="CM109" s="435"/>
      <c r="CN109" s="426"/>
      <c r="CO109" s="426"/>
      <c r="CP109" s="426"/>
      <c r="CQ109" s="426"/>
      <c r="CR109" s="426"/>
      <c r="CS109" s="426"/>
      <c r="CT109" s="426"/>
      <c r="CU109" s="426"/>
      <c r="CV109" s="426"/>
      <c r="CW109" s="493"/>
      <c r="CX109" s="493"/>
      <c r="CY109" s="426">
        <v>106</v>
      </c>
      <c r="CZ109" s="493"/>
      <c r="DA109" s="493"/>
      <c r="DB109" s="493"/>
      <c r="DC109" s="426" t="s">
        <v>849</v>
      </c>
      <c r="DD109" s="426" t="s">
        <v>1009</v>
      </c>
      <c r="DE109" s="435" t="str">
        <f t="shared" si="800"/>
        <v/>
      </c>
      <c r="DF109" s="435" t="str">
        <f t="shared" si="801"/>
        <v/>
      </c>
      <c r="DG109" s="435" t="str">
        <f t="shared" si="802"/>
        <v/>
      </c>
      <c r="DH109" s="435" t="str">
        <f t="shared" si="803"/>
        <v/>
      </c>
      <c r="DI109" s="435" t="str">
        <f t="shared" si="804"/>
        <v/>
      </c>
      <c r="DJ109" s="435" t="str">
        <f t="shared" si="805"/>
        <v/>
      </c>
      <c r="DK109" s="435" t="str">
        <f t="shared" si="1191"/>
        <v/>
      </c>
      <c r="DL109" s="435" t="str">
        <f t="shared" si="1192"/>
        <v/>
      </c>
      <c r="DM109" s="435" t="str">
        <f t="shared" si="806"/>
        <v/>
      </c>
      <c r="DN109" s="435" t="str">
        <f t="shared" si="807"/>
        <v/>
      </c>
      <c r="DO109" s="435" t="str">
        <f t="shared" si="1193"/>
        <v/>
      </c>
      <c r="DP109" s="435" t="str">
        <f t="shared" si="1194"/>
        <v/>
      </c>
      <c r="DQ109" s="435" t="str">
        <f t="shared" si="808"/>
        <v/>
      </c>
      <c r="DR109" s="435" t="str">
        <f t="shared" si="809"/>
        <v/>
      </c>
      <c r="DS109" s="435" t="str">
        <f t="shared" si="1195"/>
        <v/>
      </c>
      <c r="DT109" s="435" t="str">
        <f t="shared" si="1196"/>
        <v/>
      </c>
      <c r="DU109" s="435" t="str">
        <f t="shared" si="810"/>
        <v/>
      </c>
      <c r="DV109" s="435" t="str">
        <f t="shared" si="811"/>
        <v/>
      </c>
      <c r="DW109" s="435" t="str">
        <f t="shared" si="1197"/>
        <v/>
      </c>
      <c r="DX109" s="435" t="str">
        <f t="shared" si="1198"/>
        <v/>
      </c>
      <c r="DY109" s="435" t="str">
        <f t="shared" si="812"/>
        <v/>
      </c>
      <c r="DZ109" s="435" t="str">
        <f t="shared" si="813"/>
        <v/>
      </c>
      <c r="EA109" s="435" t="str">
        <f t="shared" si="1199"/>
        <v/>
      </c>
      <c r="EB109" s="435" t="str">
        <f t="shared" si="1200"/>
        <v/>
      </c>
      <c r="EC109" s="435" t="str">
        <f t="shared" si="1201"/>
        <v/>
      </c>
      <c r="ED109" s="435" t="str">
        <f t="shared" si="1202"/>
        <v/>
      </c>
      <c r="EE109" s="435" t="str">
        <f t="shared" si="1203"/>
        <v/>
      </c>
      <c r="EF109" s="435" t="str">
        <f t="shared" si="1204"/>
        <v/>
      </c>
      <c r="EG109" s="435" t="str">
        <f t="shared" si="1205"/>
        <v/>
      </c>
      <c r="EH109" s="435" t="str">
        <f t="shared" si="1206"/>
        <v/>
      </c>
      <c r="EI109" s="435" t="str">
        <f t="shared" si="1207"/>
        <v/>
      </c>
      <c r="EJ109" s="435" t="str">
        <f t="shared" si="1208"/>
        <v/>
      </c>
      <c r="EK109" s="485"/>
      <c r="EL109" s="485"/>
      <c r="EM109" s="485"/>
      <c r="EN109" s="485"/>
      <c r="EO109" s="448"/>
      <c r="EP109" s="448"/>
      <c r="EQ109" s="448"/>
      <c r="ER109" s="448"/>
      <c r="ES109" s="448"/>
      <c r="ET109" s="435"/>
      <c r="EU109" s="435"/>
      <c r="EV109" s="435"/>
      <c r="EW109" s="435"/>
      <c r="EX109" s="426"/>
      <c r="EY109" s="426"/>
      <c r="EZ109" s="426"/>
      <c r="FA109" s="863"/>
      <c r="FB109" s="427">
        <f t="array" ref="FB109">IF(SUM((FA109=$FA$3:FA108)*1)=0,FA109,0)</f>
        <v>0</v>
      </c>
      <c r="FC109" s="863"/>
      <c r="FD109" s="863"/>
      <c r="FE109" s="863">
        <f t="array" ref="FE109">IF(SUM((FD109=$FD$3:FD108)*1)=0,FD109,0)</f>
        <v>0</v>
      </c>
      <c r="FF109" s="863"/>
      <c r="FG109" s="863"/>
      <c r="FH109" s="863"/>
      <c r="FI109" s="427">
        <f t="array" ref="FI109">IF(SUM((FH109=$FH$3:FH108)*1)=0,FH109,0)</f>
        <v>0</v>
      </c>
      <c r="FJ109" s="863"/>
      <c r="FK109" s="863"/>
      <c r="FL109" s="863">
        <f t="array" ref="FL109">IF(SUM((FK109=$FK$3:FK108)*1)=0,FK109,0)</f>
        <v>0</v>
      </c>
      <c r="FM109" s="863"/>
      <c r="FN109" s="863"/>
      <c r="FO109" s="863"/>
      <c r="FP109" s="427">
        <f t="array" ref="FP109">IF(SUM((FO109=$FO$3:FO108)*1)=0,FO109,0)</f>
        <v>0</v>
      </c>
      <c r="FQ109" s="863"/>
      <c r="FR109" s="863"/>
      <c r="FS109" s="863">
        <f t="array" ref="FS109">IF(SUM((FR109=$FR$3:FR108)*1)=0,FR109,0)</f>
        <v>0</v>
      </c>
      <c r="FT109" s="863"/>
      <c r="FU109" s="863"/>
      <c r="FV109" s="863"/>
      <c r="FW109" s="427">
        <f t="array" ref="FW109">IF(SUM((FV109=$FV$3:FV108)*1)=0,FV109,0)</f>
        <v>0</v>
      </c>
      <c r="FX109" s="863"/>
      <c r="FY109" s="863"/>
      <c r="FZ109" s="863">
        <f t="array" ref="FZ109">IF(SUM((FY109=$FY$3:FY108)*1)=0,FY109,0)</f>
        <v>0</v>
      </c>
      <c r="GA109" s="863"/>
      <c r="GB109" s="863"/>
      <c r="GC109" s="863"/>
      <c r="GD109" s="427">
        <f t="array" ref="GD109">IF(SUM((GC109=$GC$3:GC108)*1)=0,GC109,0)</f>
        <v>0</v>
      </c>
      <c r="GE109" s="863"/>
      <c r="GF109" s="863"/>
      <c r="GG109" s="863">
        <f t="array" ref="GG109">IF(SUM((GF109=$GF$3:GF108)*1)=0,GF109,0)</f>
        <v>0</v>
      </c>
      <c r="GH109" s="863"/>
      <c r="GI109" s="863"/>
      <c r="GJ109" s="863"/>
      <c r="GK109" s="798">
        <f t="array" ref="GK109">IF(SUM((GJ109=$GJ$3:GJ108)*1)=0,GJ109,0)</f>
        <v>0</v>
      </c>
      <c r="GL109" s="863"/>
      <c r="GM109" s="863"/>
      <c r="GN109" s="798">
        <f t="array" ref="GN109">IF(SUM((GM109=$GM$3:GM108)*1)=0,GM109,0)</f>
        <v>0</v>
      </c>
      <c r="GO109" s="863"/>
      <c r="GP109" s="863"/>
      <c r="GQ109" s="863"/>
      <c r="GR109" s="798">
        <f t="array" ref="GR109">IF(SUM((GQ109=$GQ$3:GQ108)*1)=0,GQ109,0)</f>
        <v>0</v>
      </c>
      <c r="GS109" s="863"/>
      <c r="GT109" s="863"/>
      <c r="GU109" s="798">
        <f t="array" ref="GU109">IF(SUM((GT109=$GT$3:GT108)*1)=0,GT109,0)</f>
        <v>0</v>
      </c>
      <c r="GV109" s="863"/>
      <c r="GW109" s="863"/>
      <c r="GX109" s="863"/>
      <c r="GY109" s="798">
        <f t="array" ref="GY109">IF(SUM((GX109=$GX$3:GX108)*1)=0,GX109,0)</f>
        <v>0</v>
      </c>
      <c r="GZ109" s="863"/>
      <c r="HA109" s="863"/>
      <c r="HB109" s="798">
        <f t="array" ref="HB109">IF(SUM((HA109=$HA$3:HA108)*1)=0,HA109,0)</f>
        <v>0</v>
      </c>
      <c r="HC109" s="863"/>
      <c r="HD109" s="863"/>
      <c r="HE109" s="769" t="str">
        <f t="shared" si="889"/>
        <v/>
      </c>
      <c r="HF109" s="768" t="str">
        <f t="shared" ref="HF109" si="1322">IF(HE109&lt;0,"Invadiu REP-BA-C","")</f>
        <v/>
      </c>
      <c r="HG109" s="769" t="str">
        <f t="shared" si="891"/>
        <v/>
      </c>
      <c r="HH109" s="768" t="str">
        <f t="shared" si="815"/>
        <v/>
      </c>
      <c r="HI109" s="728" t="str">
        <f t="shared" si="892"/>
        <v/>
      </c>
      <c r="HJ109" s="768" t="str">
        <f t="shared" si="816"/>
        <v/>
      </c>
      <c r="HK109" s="728" t="str">
        <f t="shared" si="893"/>
        <v/>
      </c>
      <c r="HL109" s="768" t="str">
        <f t="shared" si="817"/>
        <v/>
      </c>
      <c r="HM109" s="769" t="str">
        <f t="shared" si="1219"/>
        <v/>
      </c>
      <c r="HN109" s="768" t="str">
        <f t="shared" ref="HN109" si="1323">IF(HM109&lt;0,"Invadiu REP-BA-C","")</f>
        <v/>
      </c>
      <c r="HO109" s="769" t="str">
        <f t="shared" si="1221"/>
        <v/>
      </c>
      <c r="HP109" s="768" t="str">
        <f t="shared" si="821"/>
        <v/>
      </c>
      <c r="HQ109" s="728" t="str">
        <f t="shared" si="1222"/>
        <v/>
      </c>
      <c r="HR109" s="768" t="str">
        <f t="shared" si="823"/>
        <v/>
      </c>
      <c r="HS109" s="728" t="str">
        <f t="shared" si="1223"/>
        <v/>
      </c>
      <c r="HT109" s="768" t="str">
        <f t="shared" si="825"/>
        <v/>
      </c>
      <c r="HU109" s="769" t="str">
        <f t="shared" si="1224"/>
        <v/>
      </c>
      <c r="HV109" s="768" t="str">
        <f t="shared" ref="HV109" si="1324">IF(HU109&lt;0,"Invadiu REP-BA-C","")</f>
        <v/>
      </c>
      <c r="HW109" s="769" t="str">
        <f t="shared" si="1226"/>
        <v/>
      </c>
      <c r="HX109" s="768" t="str">
        <f t="shared" si="829"/>
        <v/>
      </c>
      <c r="HY109" s="728" t="str">
        <f t="shared" si="1227"/>
        <v/>
      </c>
      <c r="HZ109" s="768" t="str">
        <f t="shared" si="831"/>
        <v/>
      </c>
      <c r="IA109" s="728" t="str">
        <f t="shared" si="1228"/>
        <v/>
      </c>
      <c r="IB109" s="768" t="str">
        <f t="shared" si="833"/>
        <v/>
      </c>
      <c r="IC109" s="769" t="str">
        <f t="shared" si="1229"/>
        <v/>
      </c>
      <c r="ID109" s="768" t="str">
        <f t="shared" ref="ID109" si="1325">IF(IC109&lt;0,"Invadiu REP-BA-C","")</f>
        <v/>
      </c>
      <c r="IE109" s="769" t="str">
        <f t="shared" si="1231"/>
        <v/>
      </c>
      <c r="IF109" s="768" t="str">
        <f t="shared" si="837"/>
        <v/>
      </c>
      <c r="IG109" s="728" t="str">
        <f t="shared" si="1232"/>
        <v/>
      </c>
      <c r="IH109" s="768" t="str">
        <f t="shared" si="839"/>
        <v/>
      </c>
      <c r="II109" s="728" t="str">
        <f t="shared" si="1233"/>
        <v/>
      </c>
      <c r="IJ109" s="768" t="str">
        <f t="shared" si="841"/>
        <v/>
      </c>
      <c r="IK109" s="769" t="str">
        <f t="shared" si="1234"/>
        <v/>
      </c>
      <c r="IL109" s="768" t="str">
        <f t="shared" ref="IL109" si="1326">IF(IK109&lt;0,"Invadiu REP-BA-C","")</f>
        <v/>
      </c>
      <c r="IM109" s="769" t="str">
        <f t="shared" si="1236"/>
        <v/>
      </c>
      <c r="IN109" s="768" t="str">
        <f t="shared" si="845"/>
        <v/>
      </c>
      <c r="IO109" s="728" t="str">
        <f t="shared" si="1237"/>
        <v/>
      </c>
      <c r="IP109" s="768" t="str">
        <f t="shared" si="847"/>
        <v/>
      </c>
      <c r="IQ109" s="728" t="str">
        <f t="shared" si="1238"/>
        <v/>
      </c>
      <c r="IR109" s="768" t="str">
        <f t="shared" si="849"/>
        <v/>
      </c>
      <c r="IS109" s="769" t="str">
        <f t="shared" si="1239"/>
        <v/>
      </c>
      <c r="IT109" s="768" t="str">
        <f t="shared" ref="IT109" si="1327">IF(IS109&lt;0,"Invadiu REP-BA-C","")</f>
        <v/>
      </c>
      <c r="IU109" s="769" t="str">
        <f t="shared" si="1241"/>
        <v/>
      </c>
      <c r="IV109" s="768" t="str">
        <f t="shared" si="853"/>
        <v/>
      </c>
      <c r="IW109" s="728" t="str">
        <f t="shared" si="1242"/>
        <v/>
      </c>
      <c r="IX109" s="768" t="str">
        <f t="shared" si="855"/>
        <v/>
      </c>
      <c r="IY109" s="728" t="str">
        <f t="shared" si="1243"/>
        <v/>
      </c>
      <c r="IZ109" s="768" t="str">
        <f t="shared" si="857"/>
        <v/>
      </c>
      <c r="JA109" s="769" t="str">
        <f t="shared" si="1244"/>
        <v/>
      </c>
      <c r="JB109" s="768" t="str">
        <f t="shared" ref="JB109" si="1328">IF(JA109&lt;0,"Invadiu REP-BA-C","")</f>
        <v/>
      </c>
      <c r="JC109" s="769" t="str">
        <f t="shared" si="1246"/>
        <v/>
      </c>
      <c r="JD109" s="768" t="str">
        <f t="shared" si="861"/>
        <v/>
      </c>
      <c r="JE109" s="728" t="str">
        <f t="shared" si="1247"/>
        <v/>
      </c>
      <c r="JF109" s="768" t="str">
        <f t="shared" si="863"/>
        <v/>
      </c>
      <c r="JG109" s="728" t="str">
        <f t="shared" si="1248"/>
        <v/>
      </c>
      <c r="JH109" s="768" t="str">
        <f t="shared" si="865"/>
        <v/>
      </c>
      <c r="JI109" s="769" t="str">
        <f t="shared" si="1249"/>
        <v/>
      </c>
      <c r="JJ109" s="768" t="str">
        <f t="shared" ref="JJ109" si="1329">IF(JI109&lt;0,"Invadiu REP-BA-C","")</f>
        <v/>
      </c>
      <c r="JK109" s="769" t="str">
        <f t="shared" si="1251"/>
        <v/>
      </c>
      <c r="JL109" s="768" t="str">
        <f t="shared" si="869"/>
        <v/>
      </c>
      <c r="JM109" s="728" t="str">
        <f t="shared" si="1252"/>
        <v/>
      </c>
      <c r="JN109" s="768" t="str">
        <f t="shared" si="871"/>
        <v/>
      </c>
      <c r="JO109" s="728" t="str">
        <f t="shared" si="1253"/>
        <v/>
      </c>
      <c r="JP109" s="768" t="str">
        <f t="shared" si="873"/>
        <v/>
      </c>
      <c r="JQ109" s="769" t="str">
        <f t="shared" si="1254"/>
        <v/>
      </c>
      <c r="JR109" s="768" t="str">
        <f t="shared" ref="JR109" si="1330">IF(JQ109&lt;0,"Invadiu REP-BA-C","")</f>
        <v/>
      </c>
      <c r="JS109" s="769" t="str">
        <f t="shared" si="1256"/>
        <v/>
      </c>
      <c r="JT109" s="768" t="str">
        <f t="shared" si="877"/>
        <v/>
      </c>
      <c r="JU109" s="728" t="str">
        <f t="shared" si="1257"/>
        <v/>
      </c>
      <c r="JV109" s="768" t="str">
        <f t="shared" si="879"/>
        <v/>
      </c>
      <c r="JW109" s="728" t="str">
        <f t="shared" si="1258"/>
        <v/>
      </c>
      <c r="JX109" s="768" t="str">
        <f t="shared" si="881"/>
        <v/>
      </c>
      <c r="JY109" s="768" t="str">
        <f t="shared" si="882"/>
        <v/>
      </c>
      <c r="JZ109" s="485" t="str">
        <f>IF(JY109="","",IF(AND(C109=$C$164,JY109&lt;&gt;""),Verificarcpf(D109),IF(AND(C109=$C$165,JY109&lt;&gt;""),VerificarCNPJ(D109))))</f>
        <v/>
      </c>
      <c r="KA109" s="768" t="str">
        <f t="shared" si="883"/>
        <v/>
      </c>
      <c r="KB109" s="485">
        <f t="shared" si="884"/>
        <v>0</v>
      </c>
      <c r="KC109" s="768">
        <f t="shared" si="885"/>
        <v>0</v>
      </c>
      <c r="KD109" s="485">
        <f t="shared" si="886"/>
        <v>0</v>
      </c>
      <c r="KE109" s="448"/>
      <c r="KF109" s="548"/>
      <c r="KG109" s="548"/>
      <c r="KH109" s="548"/>
      <c r="KI109" s="548"/>
      <c r="KJ109" s="548" t="str">
        <f t="shared" si="887"/>
        <v/>
      </c>
      <c r="KK109" s="548"/>
      <c r="KL109" s="548"/>
      <c r="KM109" s="548">
        <f t="array" ref="KM109">IF(SUM((KL109=$KL$3:KL108)*1)=0,KL109,0)</f>
        <v>0</v>
      </c>
      <c r="KN109" s="548"/>
      <c r="KO109" s="548"/>
      <c r="KP109" s="548"/>
      <c r="KQ109" s="548"/>
      <c r="KR109" s="548" t="str">
        <f t="shared" si="888"/>
        <v/>
      </c>
      <c r="KS109" s="548"/>
      <c r="KT109" s="548"/>
      <c r="KU109" s="548"/>
      <c r="KV109" s="548"/>
      <c r="KW109" s="548"/>
      <c r="KX109" s="548"/>
      <c r="KY109" s="548"/>
      <c r="KZ109" s="548"/>
      <c r="LA109" s="548"/>
      <c r="LB109" s="548"/>
      <c r="LC109" s="485" t="str">
        <f t="shared" si="902"/>
        <v/>
      </c>
      <c r="LD109" s="548"/>
      <c r="LE109" s="548"/>
      <c r="LF109" s="548"/>
      <c r="LG109" s="548"/>
      <c r="LH109" s="548"/>
      <c r="LI109" s="548"/>
      <c r="LJ109" s="548"/>
      <c r="LK109" s="548"/>
      <c r="LL109" s="548"/>
      <c r="LM109" s="548"/>
      <c r="LN109" s="548"/>
      <c r="LO109" s="548"/>
      <c r="LP109" s="485" t="str">
        <f t="shared" si="903"/>
        <v/>
      </c>
      <c r="LQ109" s="548"/>
      <c r="LR109" s="548"/>
      <c r="LS109" s="548"/>
      <c r="LT109" s="548"/>
      <c r="LU109" s="548"/>
      <c r="LV109" s="548"/>
      <c r="LW109" s="548"/>
      <c r="LX109" s="548"/>
      <c r="LY109" s="548"/>
      <c r="LZ109" s="548"/>
      <c r="MA109" s="548"/>
      <c r="MB109" s="548"/>
      <c r="MC109" s="485" t="str">
        <f t="shared" si="904"/>
        <v/>
      </c>
      <c r="MD109" s="548"/>
      <c r="ME109" s="548"/>
      <c r="MF109" s="548"/>
      <c r="MG109" s="548"/>
      <c r="MH109" s="548"/>
      <c r="MI109" s="548"/>
      <c r="MJ109" s="548"/>
      <c r="MK109" s="548"/>
      <c r="ML109" s="548"/>
      <c r="MM109" s="548"/>
      <c r="MN109" s="548"/>
      <c r="MO109" s="548"/>
      <c r="MP109" s="485" t="str">
        <f t="shared" si="905"/>
        <v/>
      </c>
      <c r="MQ109" s="548"/>
      <c r="MR109" s="548"/>
      <c r="MS109" s="548"/>
      <c r="MT109" s="548"/>
      <c r="MU109" s="548"/>
      <c r="MV109" s="548"/>
      <c r="MW109" s="548"/>
      <c r="MX109" s="548"/>
      <c r="MY109" s="548"/>
      <c r="MZ109" s="548"/>
      <c r="NA109" s="548"/>
      <c r="NB109" s="548"/>
      <c r="NC109" s="485" t="str">
        <f t="shared" si="906"/>
        <v/>
      </c>
      <c r="ND109" s="548"/>
      <c r="NE109" s="548"/>
      <c r="NF109" s="548"/>
      <c r="NG109" s="548"/>
      <c r="NH109" s="548"/>
      <c r="NI109" s="548"/>
      <c r="NJ109" s="548"/>
      <c r="NK109" s="548"/>
      <c r="NL109" s="548"/>
      <c r="NM109" s="548"/>
      <c r="NN109" s="548"/>
      <c r="NO109" s="548"/>
      <c r="NP109" s="485" t="str">
        <f t="shared" si="907"/>
        <v/>
      </c>
      <c r="NQ109" s="548"/>
      <c r="NR109" s="548"/>
      <c r="NS109" s="548"/>
      <c r="NT109" s="548"/>
      <c r="NU109" s="548"/>
      <c r="NV109" s="548"/>
      <c r="NW109" s="548"/>
      <c r="NX109" s="548"/>
      <c r="NY109" s="548"/>
      <c r="NZ109" s="548"/>
      <c r="OA109" s="548"/>
      <c r="OB109" s="548"/>
      <c r="OC109" s="485" t="str">
        <f t="shared" si="908"/>
        <v/>
      </c>
      <c r="OD109" s="548"/>
      <c r="OE109" s="548"/>
      <c r="OF109" s="548"/>
      <c r="OG109" s="548"/>
      <c r="OH109" s="548"/>
      <c r="OI109" s="548"/>
      <c r="OJ109" s="548"/>
      <c r="OK109" s="548"/>
      <c r="OL109" s="548"/>
      <c r="OM109" s="548"/>
      <c r="ON109" s="548"/>
      <c r="OO109" s="548"/>
      <c r="OP109" s="548"/>
      <c r="OQ109" s="548"/>
      <c r="OR109" s="548"/>
      <c r="OS109" s="548"/>
      <c r="OT109" s="548"/>
      <c r="OU109" s="548"/>
      <c r="OV109" s="548"/>
      <c r="OW109" s="548"/>
      <c r="OX109" s="548"/>
      <c r="OY109" s="548"/>
      <c r="OZ109" s="548"/>
      <c r="PA109" s="548"/>
      <c r="PB109" s="548"/>
      <c r="PC109" s="548"/>
      <c r="PD109" s="548"/>
      <c r="PE109" s="548"/>
      <c r="PF109" s="548"/>
      <c r="PG109" s="548"/>
      <c r="PH109" s="548"/>
      <c r="PI109" s="548"/>
      <c r="PJ109" s="548"/>
      <c r="PK109" s="548"/>
      <c r="PL109" s="548"/>
      <c r="PM109" s="548"/>
      <c r="PN109" s="548"/>
      <c r="PO109" s="548"/>
      <c r="PP109" s="548"/>
      <c r="PQ109" s="548"/>
      <c r="PR109" s="548"/>
      <c r="PS109" s="548"/>
      <c r="PT109" s="548"/>
      <c r="PU109" s="548"/>
      <c r="PV109" s="548"/>
      <c r="PW109" s="548"/>
      <c r="PX109" s="548"/>
      <c r="PY109" s="548"/>
      <c r="PZ109" s="548"/>
      <c r="QA109" s="548"/>
      <c r="QB109" s="548"/>
      <c r="QC109" s="548"/>
      <c r="QD109" s="548"/>
      <c r="QE109" s="548"/>
      <c r="QF109" s="548"/>
      <c r="QG109" s="548"/>
      <c r="QH109" s="548"/>
      <c r="QI109" s="548"/>
      <c r="QJ109" s="548"/>
      <c r="QK109" s="548"/>
      <c r="QL109" s="548"/>
      <c r="QM109" s="548"/>
      <c r="QN109" s="548"/>
      <c r="QO109" s="548"/>
      <c r="QP109" s="548"/>
      <c r="QQ109" s="1009"/>
      <c r="QR109" s="548"/>
      <c r="QS109" s="548"/>
      <c r="QT109" s="548"/>
      <c r="QU109" s="548"/>
      <c r="QV109" s="548"/>
      <c r="QW109" s="548"/>
      <c r="QX109" s="548"/>
      <c r="QY109" s="548"/>
      <c r="QZ109" s="548"/>
      <c r="RA109" s="548"/>
      <c r="RB109" s="548"/>
      <c r="RC109" s="548"/>
      <c r="RD109" s="548"/>
      <c r="RE109" s="548"/>
      <c r="RF109" s="548"/>
      <c r="RG109" s="548"/>
      <c r="RH109" s="548"/>
      <c r="RI109" s="548"/>
      <c r="RJ109" s="548"/>
      <c r="RK109" s="548"/>
      <c r="RL109" s="548"/>
      <c r="RM109" s="548"/>
      <c r="RN109" s="548"/>
      <c r="RO109" s="548"/>
      <c r="RP109" s="548"/>
      <c r="RQ109" s="548"/>
      <c r="RR109" s="548"/>
      <c r="RS109" s="548"/>
      <c r="RT109" s="548"/>
      <c r="RU109" s="548"/>
      <c r="RV109" s="548"/>
      <c r="RW109" s="548"/>
      <c r="RX109" s="548"/>
      <c r="RY109" s="548"/>
      <c r="RZ109" s="548"/>
      <c r="SA109" s="548"/>
      <c r="SB109" s="548"/>
      <c r="SC109" s="548"/>
      <c r="SD109" s="548"/>
      <c r="SE109" s="548"/>
      <c r="SF109" s="548"/>
      <c r="SG109" s="548"/>
      <c r="SH109" s="548"/>
      <c r="SI109" s="548"/>
      <c r="SJ109" s="548"/>
      <c r="SK109" s="548"/>
      <c r="SL109" s="548"/>
      <c r="SM109" s="548"/>
      <c r="SN109" s="548"/>
      <c r="SO109" s="548"/>
      <c r="SP109" s="548"/>
      <c r="SQ109" s="548"/>
      <c r="SR109" s="548"/>
      <c r="SS109" s="548"/>
      <c r="ST109" s="548"/>
      <c r="SU109" s="548"/>
      <c r="SV109" s="548"/>
      <c r="SW109" s="548"/>
      <c r="SX109" s="548"/>
      <c r="SY109" s="548"/>
      <c r="SZ109" s="548"/>
      <c r="TA109" s="548"/>
      <c r="TB109" s="548"/>
      <c r="TC109" s="548"/>
      <c r="TD109" s="548"/>
      <c r="TE109" s="548"/>
      <c r="TF109" s="548"/>
      <c r="TG109" s="548"/>
      <c r="TH109" s="548"/>
      <c r="TI109" s="548"/>
      <c r="TJ109" s="548"/>
      <c r="TK109" s="548"/>
      <c r="TL109" s="548"/>
      <c r="TM109" s="548"/>
      <c r="TN109" s="548"/>
      <c r="TO109" s="548"/>
      <c r="TP109" s="548"/>
      <c r="TQ109" s="548"/>
      <c r="TR109" s="548"/>
      <c r="TS109" s="548"/>
      <c r="TT109" s="548"/>
      <c r="TU109" s="548"/>
      <c r="TV109" s="548"/>
      <c r="TW109" s="548"/>
      <c r="TX109" s="548"/>
      <c r="TY109" s="548"/>
      <c r="TZ109" s="548"/>
      <c r="UA109" s="548"/>
      <c r="UB109" s="548"/>
      <c r="UC109" s="548"/>
      <c r="UD109" s="548"/>
      <c r="UE109" s="548"/>
      <c r="UF109" s="548"/>
      <c r="UG109" s="548"/>
      <c r="UH109" s="548"/>
      <c r="UI109" s="548"/>
      <c r="UJ109" s="548"/>
      <c r="UK109" s="548"/>
      <c r="UL109" s="548"/>
      <c r="UM109" s="548"/>
      <c r="UN109" s="548"/>
      <c r="UO109" s="548"/>
      <c r="UP109" s="548"/>
      <c r="UQ109" s="548"/>
      <c r="UR109" s="548"/>
      <c r="US109" s="548"/>
      <c r="UT109" s="548"/>
      <c r="UU109" s="548"/>
      <c r="UV109" s="548"/>
      <c r="UW109" s="548"/>
      <c r="UX109" s="548"/>
      <c r="UY109" s="548"/>
      <c r="UZ109" s="548"/>
      <c r="VA109" s="548"/>
      <c r="VB109" s="548"/>
      <c r="VC109" s="548"/>
      <c r="VD109" s="548"/>
      <c r="VE109" s="548"/>
      <c r="VF109" s="548"/>
      <c r="VG109" s="548"/>
      <c r="VH109" s="548"/>
      <c r="VI109" s="548"/>
      <c r="VJ109" s="548"/>
      <c r="VK109" s="548"/>
      <c r="VL109" s="548"/>
      <c r="VM109" s="548"/>
      <c r="VN109" s="548"/>
      <c r="VO109" s="548"/>
      <c r="VP109" s="548"/>
      <c r="VQ109" s="548"/>
      <c r="VR109" s="548"/>
      <c r="VS109" s="548"/>
      <c r="VT109" s="548"/>
      <c r="VU109" s="548"/>
      <c r="VV109" s="548"/>
      <c r="VW109" s="548"/>
      <c r="VX109" s="548"/>
      <c r="VY109" s="548"/>
      <c r="VZ109" s="548"/>
      <c r="WA109" s="548"/>
      <c r="WB109" s="548"/>
      <c r="WC109" s="548"/>
      <c r="WD109" s="548"/>
      <c r="WE109" s="548"/>
      <c r="WF109" s="548"/>
      <c r="WG109" s="548"/>
      <c r="WH109" s="548"/>
      <c r="WI109" s="548"/>
      <c r="WJ109" s="548"/>
      <c r="WK109" s="548"/>
      <c r="WL109" s="548"/>
      <c r="WM109" s="548"/>
      <c r="WN109" s="548"/>
      <c r="WO109" s="548"/>
      <c r="WP109" s="548"/>
      <c r="WQ109" s="548"/>
      <c r="WR109" s="548"/>
      <c r="WS109" s="548"/>
      <c r="WT109" s="548"/>
      <c r="WU109" s="548"/>
      <c r="WV109" s="548"/>
      <c r="WW109" s="548"/>
      <c r="WX109" s="548"/>
      <c r="WY109" s="548"/>
      <c r="WZ109" s="548"/>
      <c r="XA109" s="548"/>
      <c r="XB109" s="548"/>
      <c r="XC109" s="548"/>
      <c r="XD109" s="548"/>
      <c r="XE109" s="548"/>
      <c r="XF109" s="548"/>
      <c r="XG109" s="548"/>
      <c r="XH109" s="548"/>
      <c r="XI109" s="548"/>
      <c r="XJ109" s="548"/>
      <c r="XK109" s="548"/>
      <c r="XL109" s="548"/>
      <c r="XM109" s="548"/>
      <c r="XN109" s="548"/>
      <c r="XO109" s="548"/>
      <c r="XP109" s="548"/>
      <c r="XQ109" s="548"/>
      <c r="XR109" s="548"/>
      <c r="XS109" s="548"/>
      <c r="XT109" s="548"/>
      <c r="XU109" s="548"/>
      <c r="XV109" s="548"/>
      <c r="XW109" s="548"/>
      <c r="XX109" s="548"/>
      <c r="XY109" s="548"/>
      <c r="XZ109" s="548"/>
      <c r="YA109" s="548"/>
      <c r="YB109" s="548"/>
      <c r="YC109" s="548"/>
      <c r="YD109" s="548"/>
      <c r="YE109" s="548"/>
      <c r="YF109" s="548"/>
      <c r="YG109" s="548"/>
      <c r="YH109" s="548"/>
      <c r="YI109" s="548"/>
      <c r="YJ109" s="548"/>
      <c r="YK109" s="548"/>
      <c r="YL109" s="548"/>
      <c r="YM109" s="548"/>
      <c r="YN109" s="548"/>
      <c r="YO109" s="548"/>
      <c r="YP109" s="548"/>
      <c r="YQ109" s="548"/>
      <c r="YR109" s="548"/>
      <c r="YS109" s="548"/>
      <c r="YT109" s="548"/>
      <c r="YU109" s="548"/>
      <c r="YV109" s="548"/>
      <c r="YW109" s="548"/>
      <c r="YX109" s="548"/>
      <c r="YY109" s="548"/>
      <c r="YZ109" s="548"/>
      <c r="ZA109" s="548"/>
      <c r="ZB109" s="548"/>
      <c r="ZC109" s="548"/>
      <c r="ZD109" s="548"/>
      <c r="ZE109" s="548"/>
      <c r="ZF109" s="548"/>
      <c r="ZG109" s="548"/>
      <c r="ZH109" s="548"/>
      <c r="ZI109" s="548"/>
      <c r="ZJ109" s="548"/>
      <c r="ZK109" s="548"/>
      <c r="ZL109" s="548"/>
      <c r="ZM109" s="548"/>
      <c r="ZN109" s="548"/>
      <c r="ZO109" s="548"/>
      <c r="ZP109" s="548"/>
      <c r="ZQ109" s="548"/>
      <c r="ZR109" s="548"/>
      <c r="ZS109" s="548"/>
      <c r="ZT109" s="548"/>
      <c r="ZU109" s="548"/>
      <c r="ZV109" s="548"/>
      <c r="ZW109" s="548"/>
      <c r="ZX109" s="548"/>
      <c r="ZY109" s="548"/>
      <c r="ZZ109" s="548"/>
      <c r="AAA109" s="548"/>
      <c r="AAB109" s="548"/>
      <c r="AAC109" s="548"/>
      <c r="AAD109" s="548"/>
      <c r="AAE109" s="548"/>
      <c r="AAF109" s="548"/>
      <c r="AAG109" s="548"/>
      <c r="AAH109" s="548"/>
      <c r="AAI109" s="548"/>
      <c r="AAJ109" s="548"/>
      <c r="AAK109" s="548"/>
      <c r="AAL109" s="548"/>
      <c r="AAM109" s="548"/>
      <c r="AAN109" s="548"/>
      <c r="AAO109" s="548"/>
      <c r="AAP109" s="548"/>
      <c r="AAQ109" s="548"/>
      <c r="AAR109" s="548"/>
      <c r="AAS109" s="548"/>
      <c r="AAT109" s="548"/>
      <c r="AAU109" s="548"/>
      <c r="AAV109" s="548"/>
      <c r="AAW109" s="548"/>
      <c r="AAX109" s="548"/>
      <c r="AAY109" s="548"/>
      <c r="AAZ109" s="548"/>
      <c r="ABA109" s="548"/>
      <c r="ABB109" s="548"/>
      <c r="ABC109" s="548"/>
      <c r="ABD109" s="548"/>
      <c r="ABE109" s="548"/>
      <c r="ABF109" s="548"/>
      <c r="ABG109" s="548"/>
      <c r="ABH109" s="548"/>
      <c r="ABI109" s="548"/>
      <c r="ABJ109" s="548"/>
      <c r="ABK109" s="548"/>
      <c r="ABL109" s="548"/>
      <c r="ABM109" s="548"/>
      <c r="ABN109" s="548"/>
      <c r="ABO109" s="548"/>
      <c r="ABP109" s="548"/>
      <c r="ABQ109" s="548"/>
      <c r="ABR109" s="548"/>
      <c r="ABS109" s="548"/>
    </row>
    <row r="110" spans="1:747" customFormat="1" ht="15" customHeight="1" x14ac:dyDescent="0.2">
      <c r="A110" s="424" t="str">
        <f t="shared" si="909"/>
        <v/>
      </c>
      <c r="B110" s="415"/>
      <c r="C110" s="525"/>
      <c r="D110" s="750"/>
      <c r="E110" s="416" t="str">
        <f t="shared" si="1171"/>
        <v/>
      </c>
      <c r="F110" s="527" t="str">
        <f t="shared" si="1172"/>
        <v/>
      </c>
      <c r="G110" s="417"/>
      <c r="H110" s="585" t="str">
        <f t="shared" si="1173"/>
        <v/>
      </c>
      <c r="I110" s="424"/>
      <c r="J110" s="419"/>
      <c r="K110" s="418"/>
      <c r="L110" s="419"/>
      <c r="M110" s="415"/>
      <c r="N110" s="420"/>
      <c r="O110" s="421"/>
      <c r="P110" s="561"/>
      <c r="Q110" s="422"/>
      <c r="R110" s="561" t="str">
        <f t="shared" si="1174"/>
        <v/>
      </c>
      <c r="S110" s="664"/>
      <c r="T110" s="663"/>
      <c r="U110" s="580">
        <f t="shared" si="1175"/>
        <v>0</v>
      </c>
      <c r="V110" s="418"/>
      <c r="W110" s="582" t="str">
        <f t="shared" si="1176"/>
        <v/>
      </c>
      <c r="X110" s="479" t="str">
        <f t="shared" si="1177"/>
        <v/>
      </c>
      <c r="Y110" s="582" t="str">
        <f t="shared" si="1178"/>
        <v/>
      </c>
      <c r="Z110" s="317" t="str">
        <f t="shared" si="1179"/>
        <v/>
      </c>
      <c r="AA110" s="317" t="str">
        <f t="shared" si="1180"/>
        <v/>
      </c>
      <c r="AB110" s="317">
        <f t="shared" si="1181"/>
        <v>0</v>
      </c>
      <c r="AC110" s="317" t="str">
        <f t="shared" si="1182"/>
        <v/>
      </c>
      <c r="AD110" s="479"/>
      <c r="AE110" s="479"/>
      <c r="AF110" s="479"/>
      <c r="AG110" s="423"/>
      <c r="AH110" s="820"/>
      <c r="AI110" s="437"/>
      <c r="AJ110" s="720"/>
      <c r="AK110" s="524" t="str">
        <f t="shared" si="1183"/>
        <v/>
      </c>
      <c r="AL110" s="731">
        <f>SUMIF($J$4:$J$116,"Formação",$S$4:$S$116)</f>
        <v>0</v>
      </c>
      <c r="AM110" s="732">
        <f>SUMIF($J$4:$J$116,"Formação",$T$4:$T$116)</f>
        <v>0</v>
      </c>
      <c r="AN110" s="426">
        <f t="shared" si="1184"/>
        <v>0</v>
      </c>
      <c r="AO110" s="427" t="str">
        <f t="shared" si="1185"/>
        <v/>
      </c>
      <c r="AP110" s="426" t="str">
        <f t="shared" si="1186"/>
        <v/>
      </c>
      <c r="AQ110" s="426"/>
      <c r="AR110" s="426"/>
      <c r="AS110" s="428"/>
      <c r="AT110" s="429"/>
      <c r="AU110" s="430"/>
      <c r="AV110" s="431"/>
      <c r="AW110" s="432"/>
      <c r="AX110" s="430"/>
      <c r="AY110" s="431">
        <f t="shared" si="1187"/>
        <v>0</v>
      </c>
      <c r="AZ110" s="426"/>
      <c r="BA110" s="435" t="str">
        <f t="shared" si="1188"/>
        <v/>
      </c>
      <c r="BB110" s="435"/>
      <c r="BC110" s="426"/>
      <c r="BD110" s="426">
        <f t="array" ref="BD110">IF(SUM((BC110=$BC$3:BC109)*1)=0,BC110,0)</f>
        <v>0</v>
      </c>
      <c r="BE110" s="426"/>
      <c r="BF110" s="426"/>
      <c r="BG110" s="426">
        <f t="array" ref="BG110">IF(SUM((BF110=$BF$3:BF109)*1)=0,BF110,0)</f>
        <v>0</v>
      </c>
      <c r="BH110" s="426"/>
      <c r="BI110" s="426"/>
      <c r="BJ110" s="426"/>
      <c r="BK110" s="426"/>
      <c r="BL110" s="426"/>
      <c r="BM110" s="426"/>
      <c r="BN110" s="426"/>
      <c r="BO110" s="426"/>
      <c r="BP110" s="433">
        <f t="shared" si="1189"/>
        <v>0</v>
      </c>
      <c r="BQ110" s="426"/>
      <c r="BR110" s="434"/>
      <c r="BS110" s="426"/>
      <c r="BT110" s="433"/>
      <c r="BU110" s="435"/>
      <c r="BV110" s="435" t="str">
        <f t="shared" si="1190"/>
        <v/>
      </c>
      <c r="BW110" s="435" t="str">
        <f t="shared" si="798"/>
        <v/>
      </c>
      <c r="BX110" s="435"/>
      <c r="BY110" s="435"/>
      <c r="BZ110" s="435"/>
      <c r="CA110" s="435"/>
      <c r="CB110" s="435"/>
      <c r="CC110" s="435"/>
      <c r="CD110" s="435"/>
      <c r="CE110" s="435"/>
      <c r="CF110" s="435"/>
      <c r="CG110" s="435"/>
      <c r="CH110" s="435"/>
      <c r="CI110" s="435"/>
      <c r="CJ110" s="426" t="str">
        <f t="shared" si="799"/>
        <v/>
      </c>
      <c r="CK110" s="435"/>
      <c r="CL110" s="426"/>
      <c r="CM110" s="435"/>
      <c r="CN110" s="426"/>
      <c r="CO110" s="426"/>
      <c r="CP110" s="426"/>
      <c r="CQ110" s="426"/>
      <c r="CR110" s="426"/>
      <c r="CS110" s="426"/>
      <c r="CT110" s="426"/>
      <c r="CU110" s="426"/>
      <c r="CV110" s="426"/>
      <c r="CW110" s="493"/>
      <c r="CX110" s="493"/>
      <c r="CY110" s="426">
        <v>107</v>
      </c>
      <c r="CZ110" s="493"/>
      <c r="DA110" s="493"/>
      <c r="DB110" s="493"/>
      <c r="DC110" s="426" t="s">
        <v>850</v>
      </c>
      <c r="DD110" s="426" t="s">
        <v>1010</v>
      </c>
      <c r="DE110" s="435" t="str">
        <f t="shared" si="800"/>
        <v/>
      </c>
      <c r="DF110" s="435" t="str">
        <f t="shared" si="801"/>
        <v/>
      </c>
      <c r="DG110" s="435" t="str">
        <f t="shared" si="802"/>
        <v/>
      </c>
      <c r="DH110" s="435" t="str">
        <f t="shared" si="803"/>
        <v/>
      </c>
      <c r="DI110" s="435" t="str">
        <f t="shared" si="804"/>
        <v/>
      </c>
      <c r="DJ110" s="435" t="str">
        <f t="shared" si="805"/>
        <v/>
      </c>
      <c r="DK110" s="435" t="str">
        <f t="shared" si="1191"/>
        <v/>
      </c>
      <c r="DL110" s="435" t="str">
        <f t="shared" si="1192"/>
        <v/>
      </c>
      <c r="DM110" s="435" t="str">
        <f t="shared" si="806"/>
        <v/>
      </c>
      <c r="DN110" s="435" t="str">
        <f t="shared" si="807"/>
        <v/>
      </c>
      <c r="DO110" s="435" t="str">
        <f t="shared" si="1193"/>
        <v/>
      </c>
      <c r="DP110" s="435" t="str">
        <f t="shared" si="1194"/>
        <v/>
      </c>
      <c r="DQ110" s="435" t="str">
        <f t="shared" si="808"/>
        <v/>
      </c>
      <c r="DR110" s="435" t="str">
        <f t="shared" si="809"/>
        <v/>
      </c>
      <c r="DS110" s="435" t="str">
        <f t="shared" si="1195"/>
        <v/>
      </c>
      <c r="DT110" s="435" t="str">
        <f t="shared" si="1196"/>
        <v/>
      </c>
      <c r="DU110" s="435" t="str">
        <f t="shared" si="810"/>
        <v/>
      </c>
      <c r="DV110" s="435" t="str">
        <f t="shared" si="811"/>
        <v/>
      </c>
      <c r="DW110" s="435" t="str">
        <f t="shared" si="1197"/>
        <v/>
      </c>
      <c r="DX110" s="435" t="str">
        <f t="shared" si="1198"/>
        <v/>
      </c>
      <c r="DY110" s="435" t="str">
        <f t="shared" si="812"/>
        <v/>
      </c>
      <c r="DZ110" s="435" t="str">
        <f t="shared" si="813"/>
        <v/>
      </c>
      <c r="EA110" s="435" t="str">
        <f t="shared" si="1199"/>
        <v/>
      </c>
      <c r="EB110" s="435" t="str">
        <f t="shared" si="1200"/>
        <v/>
      </c>
      <c r="EC110" s="435" t="str">
        <f t="shared" si="1201"/>
        <v/>
      </c>
      <c r="ED110" s="435" t="str">
        <f t="shared" si="1202"/>
        <v/>
      </c>
      <c r="EE110" s="435" t="str">
        <f t="shared" si="1203"/>
        <v/>
      </c>
      <c r="EF110" s="435" t="str">
        <f t="shared" si="1204"/>
        <v/>
      </c>
      <c r="EG110" s="435" t="str">
        <f t="shared" si="1205"/>
        <v/>
      </c>
      <c r="EH110" s="435" t="str">
        <f t="shared" si="1206"/>
        <v/>
      </c>
      <c r="EI110" s="435" t="str">
        <f t="shared" si="1207"/>
        <v/>
      </c>
      <c r="EJ110" s="435" t="str">
        <f t="shared" si="1208"/>
        <v/>
      </c>
      <c r="EK110" s="485"/>
      <c r="EL110" s="485"/>
      <c r="EM110" s="485"/>
      <c r="EN110" s="485"/>
      <c r="EO110" s="448"/>
      <c r="EP110" s="448"/>
      <c r="EQ110" s="448"/>
      <c r="ER110" s="448"/>
      <c r="ES110" s="448"/>
      <c r="ET110" s="435"/>
      <c r="EU110" s="435"/>
      <c r="EV110" s="435"/>
      <c r="EW110" s="435"/>
      <c r="EX110" s="426"/>
      <c r="EY110" s="426"/>
      <c r="EZ110" s="426"/>
      <c r="FA110" s="863"/>
      <c r="FB110" s="427">
        <f t="array" ref="FB110">IF(SUM((FA110=$FA$3:FA109)*1)=0,FA110,0)</f>
        <v>0</v>
      </c>
      <c r="FC110" s="863"/>
      <c r="FD110" s="863"/>
      <c r="FE110" s="863">
        <f t="array" ref="FE110">IF(SUM((FD110=$FD$3:FD109)*1)=0,FD110,0)</f>
        <v>0</v>
      </c>
      <c r="FF110" s="863"/>
      <c r="FG110" s="863"/>
      <c r="FH110" s="863"/>
      <c r="FI110" s="427">
        <f t="array" ref="FI110">IF(SUM((FH110=$FH$3:FH109)*1)=0,FH110,0)</f>
        <v>0</v>
      </c>
      <c r="FJ110" s="863"/>
      <c r="FK110" s="863"/>
      <c r="FL110" s="863">
        <f t="array" ref="FL110">IF(SUM((FK110=$FK$3:FK109)*1)=0,FK110,0)</f>
        <v>0</v>
      </c>
      <c r="FM110" s="863"/>
      <c r="FN110" s="863"/>
      <c r="FO110" s="863"/>
      <c r="FP110" s="427">
        <f t="array" ref="FP110">IF(SUM((FO110=$FO$3:FO109)*1)=0,FO110,0)</f>
        <v>0</v>
      </c>
      <c r="FQ110" s="863"/>
      <c r="FR110" s="863"/>
      <c r="FS110" s="863">
        <f t="array" ref="FS110">IF(SUM((FR110=$FR$3:FR109)*1)=0,FR110,0)</f>
        <v>0</v>
      </c>
      <c r="FT110" s="863"/>
      <c r="FU110" s="863"/>
      <c r="FV110" s="863"/>
      <c r="FW110" s="427">
        <f t="array" ref="FW110">IF(SUM((FV110=$FV$3:FV109)*1)=0,FV110,0)</f>
        <v>0</v>
      </c>
      <c r="FX110" s="863"/>
      <c r="FY110" s="863"/>
      <c r="FZ110" s="863">
        <f t="array" ref="FZ110">IF(SUM((FY110=$FY$3:FY109)*1)=0,FY110,0)</f>
        <v>0</v>
      </c>
      <c r="GA110" s="863"/>
      <c r="GB110" s="863"/>
      <c r="GC110" s="863"/>
      <c r="GD110" s="427">
        <f t="array" ref="GD110">IF(SUM((GC110=$GC$3:GC109)*1)=0,GC110,0)</f>
        <v>0</v>
      </c>
      <c r="GE110" s="863"/>
      <c r="GF110" s="863"/>
      <c r="GG110" s="863">
        <f t="array" ref="GG110">IF(SUM((GF110=$GF$3:GF109)*1)=0,GF110,0)</f>
        <v>0</v>
      </c>
      <c r="GH110" s="863"/>
      <c r="GI110" s="863"/>
      <c r="GJ110" s="863"/>
      <c r="GK110" s="798">
        <f t="array" ref="GK110">IF(SUM((GJ110=$GJ$3:GJ109)*1)=0,GJ110,0)</f>
        <v>0</v>
      </c>
      <c r="GL110" s="863"/>
      <c r="GM110" s="863"/>
      <c r="GN110" s="798">
        <f t="array" ref="GN110">IF(SUM((GM110=$GM$3:GM109)*1)=0,GM110,0)</f>
        <v>0</v>
      </c>
      <c r="GO110" s="863"/>
      <c r="GP110" s="863"/>
      <c r="GQ110" s="863"/>
      <c r="GR110" s="798">
        <f t="array" ref="GR110">IF(SUM((GQ110=$GQ$3:GQ109)*1)=0,GQ110,0)</f>
        <v>0</v>
      </c>
      <c r="GS110" s="863"/>
      <c r="GT110" s="863"/>
      <c r="GU110" s="798">
        <f t="array" ref="GU110">IF(SUM((GT110=$GT$3:GT109)*1)=0,GT110,0)</f>
        <v>0</v>
      </c>
      <c r="GV110" s="863"/>
      <c r="GW110" s="863"/>
      <c r="GX110" s="863"/>
      <c r="GY110" s="798">
        <f t="array" ref="GY110">IF(SUM((GX110=$GX$3:GX109)*1)=0,GX110,0)</f>
        <v>0</v>
      </c>
      <c r="GZ110" s="863"/>
      <c r="HA110" s="863"/>
      <c r="HB110" s="798">
        <f t="array" ref="HB110">IF(SUM((HA110=$HA$3:HA109)*1)=0,HA110,0)</f>
        <v>0</v>
      </c>
      <c r="HC110" s="863"/>
      <c r="HD110" s="863"/>
      <c r="HE110" s="769" t="str">
        <f t="shared" si="889"/>
        <v/>
      </c>
      <c r="HF110" s="768" t="str">
        <f t="shared" ref="HF110" si="1331">IF(HE110&lt;0,"Invadiu REP-BA-C","")</f>
        <v/>
      </c>
      <c r="HG110" s="769" t="str">
        <f t="shared" si="891"/>
        <v/>
      </c>
      <c r="HH110" s="768" t="str">
        <f t="shared" si="815"/>
        <v/>
      </c>
      <c r="HI110" s="728" t="str">
        <f t="shared" si="892"/>
        <v/>
      </c>
      <c r="HJ110" s="768" t="str">
        <f t="shared" si="816"/>
        <v/>
      </c>
      <c r="HK110" s="728" t="str">
        <f t="shared" si="893"/>
        <v/>
      </c>
      <c r="HL110" s="768" t="str">
        <f t="shared" si="817"/>
        <v/>
      </c>
      <c r="HM110" s="769" t="str">
        <f t="shared" si="1219"/>
        <v/>
      </c>
      <c r="HN110" s="768" t="str">
        <f t="shared" ref="HN110" si="1332">IF(HM110&lt;0,"Invadiu REP-BA-C","")</f>
        <v/>
      </c>
      <c r="HO110" s="769" t="str">
        <f t="shared" si="1221"/>
        <v/>
      </c>
      <c r="HP110" s="768" t="str">
        <f t="shared" si="821"/>
        <v/>
      </c>
      <c r="HQ110" s="728" t="str">
        <f t="shared" si="1222"/>
        <v/>
      </c>
      <c r="HR110" s="768" t="str">
        <f t="shared" si="823"/>
        <v/>
      </c>
      <c r="HS110" s="728" t="str">
        <f t="shared" si="1223"/>
        <v/>
      </c>
      <c r="HT110" s="768" t="str">
        <f t="shared" si="825"/>
        <v/>
      </c>
      <c r="HU110" s="769" t="str">
        <f t="shared" si="1224"/>
        <v/>
      </c>
      <c r="HV110" s="768" t="str">
        <f t="shared" ref="HV110" si="1333">IF(HU110&lt;0,"Invadiu REP-BA-C","")</f>
        <v/>
      </c>
      <c r="HW110" s="769" t="str">
        <f t="shared" si="1226"/>
        <v/>
      </c>
      <c r="HX110" s="768" t="str">
        <f t="shared" si="829"/>
        <v/>
      </c>
      <c r="HY110" s="728" t="str">
        <f t="shared" si="1227"/>
        <v/>
      </c>
      <c r="HZ110" s="768" t="str">
        <f t="shared" si="831"/>
        <v/>
      </c>
      <c r="IA110" s="728" t="str">
        <f t="shared" si="1228"/>
        <v/>
      </c>
      <c r="IB110" s="768" t="str">
        <f t="shared" si="833"/>
        <v/>
      </c>
      <c r="IC110" s="769" t="str">
        <f t="shared" si="1229"/>
        <v/>
      </c>
      <c r="ID110" s="768" t="str">
        <f t="shared" ref="ID110" si="1334">IF(IC110&lt;0,"Invadiu REP-BA-C","")</f>
        <v/>
      </c>
      <c r="IE110" s="769" t="str">
        <f t="shared" si="1231"/>
        <v/>
      </c>
      <c r="IF110" s="768" t="str">
        <f t="shared" si="837"/>
        <v/>
      </c>
      <c r="IG110" s="728" t="str">
        <f t="shared" si="1232"/>
        <v/>
      </c>
      <c r="IH110" s="768" t="str">
        <f t="shared" si="839"/>
        <v/>
      </c>
      <c r="II110" s="728" t="str">
        <f t="shared" si="1233"/>
        <v/>
      </c>
      <c r="IJ110" s="768" t="str">
        <f t="shared" si="841"/>
        <v/>
      </c>
      <c r="IK110" s="769" t="str">
        <f t="shared" si="1234"/>
        <v/>
      </c>
      <c r="IL110" s="768" t="str">
        <f t="shared" ref="IL110" si="1335">IF(IK110&lt;0,"Invadiu REP-BA-C","")</f>
        <v/>
      </c>
      <c r="IM110" s="769" t="str">
        <f t="shared" si="1236"/>
        <v/>
      </c>
      <c r="IN110" s="768" t="str">
        <f t="shared" si="845"/>
        <v/>
      </c>
      <c r="IO110" s="728" t="str">
        <f t="shared" si="1237"/>
        <v/>
      </c>
      <c r="IP110" s="768" t="str">
        <f t="shared" si="847"/>
        <v/>
      </c>
      <c r="IQ110" s="728" t="str">
        <f t="shared" si="1238"/>
        <v/>
      </c>
      <c r="IR110" s="768" t="str">
        <f t="shared" si="849"/>
        <v/>
      </c>
      <c r="IS110" s="769" t="str">
        <f t="shared" si="1239"/>
        <v/>
      </c>
      <c r="IT110" s="768" t="str">
        <f t="shared" ref="IT110" si="1336">IF(IS110&lt;0,"Invadiu REP-BA-C","")</f>
        <v/>
      </c>
      <c r="IU110" s="769" t="str">
        <f t="shared" si="1241"/>
        <v/>
      </c>
      <c r="IV110" s="768" t="str">
        <f t="shared" si="853"/>
        <v/>
      </c>
      <c r="IW110" s="728" t="str">
        <f t="shared" si="1242"/>
        <v/>
      </c>
      <c r="IX110" s="768" t="str">
        <f t="shared" si="855"/>
        <v/>
      </c>
      <c r="IY110" s="728" t="str">
        <f t="shared" si="1243"/>
        <v/>
      </c>
      <c r="IZ110" s="768" t="str">
        <f t="shared" si="857"/>
        <v/>
      </c>
      <c r="JA110" s="769" t="str">
        <f t="shared" si="1244"/>
        <v/>
      </c>
      <c r="JB110" s="768" t="str">
        <f t="shared" ref="JB110" si="1337">IF(JA110&lt;0,"Invadiu REP-BA-C","")</f>
        <v/>
      </c>
      <c r="JC110" s="769" t="str">
        <f t="shared" si="1246"/>
        <v/>
      </c>
      <c r="JD110" s="768" t="str">
        <f t="shared" si="861"/>
        <v/>
      </c>
      <c r="JE110" s="728" t="str">
        <f t="shared" si="1247"/>
        <v/>
      </c>
      <c r="JF110" s="768" t="str">
        <f t="shared" si="863"/>
        <v/>
      </c>
      <c r="JG110" s="728" t="str">
        <f t="shared" si="1248"/>
        <v/>
      </c>
      <c r="JH110" s="768" t="str">
        <f t="shared" si="865"/>
        <v/>
      </c>
      <c r="JI110" s="769" t="str">
        <f t="shared" si="1249"/>
        <v/>
      </c>
      <c r="JJ110" s="768" t="str">
        <f t="shared" ref="JJ110" si="1338">IF(JI110&lt;0,"Invadiu REP-BA-C","")</f>
        <v/>
      </c>
      <c r="JK110" s="769" t="str">
        <f t="shared" si="1251"/>
        <v/>
      </c>
      <c r="JL110" s="768" t="str">
        <f t="shared" si="869"/>
        <v/>
      </c>
      <c r="JM110" s="728" t="str">
        <f t="shared" si="1252"/>
        <v/>
      </c>
      <c r="JN110" s="768" t="str">
        <f t="shared" si="871"/>
        <v/>
      </c>
      <c r="JO110" s="728" t="str">
        <f t="shared" si="1253"/>
        <v/>
      </c>
      <c r="JP110" s="768" t="str">
        <f t="shared" si="873"/>
        <v/>
      </c>
      <c r="JQ110" s="769" t="str">
        <f t="shared" si="1254"/>
        <v/>
      </c>
      <c r="JR110" s="768" t="str">
        <f t="shared" ref="JR110" si="1339">IF(JQ110&lt;0,"Invadiu REP-BA-C","")</f>
        <v/>
      </c>
      <c r="JS110" s="769" t="str">
        <f t="shared" si="1256"/>
        <v/>
      </c>
      <c r="JT110" s="768" t="str">
        <f t="shared" si="877"/>
        <v/>
      </c>
      <c r="JU110" s="728" t="str">
        <f t="shared" si="1257"/>
        <v/>
      </c>
      <c r="JV110" s="768" t="str">
        <f t="shared" si="879"/>
        <v/>
      </c>
      <c r="JW110" s="728" t="str">
        <f t="shared" si="1258"/>
        <v/>
      </c>
      <c r="JX110" s="768" t="str">
        <f t="shared" si="881"/>
        <v/>
      </c>
      <c r="JY110" s="768" t="str">
        <f t="shared" si="882"/>
        <v/>
      </c>
      <c r="JZ110" s="485" t="str">
        <f>IF(JY110="","",IF(AND(C110=$C$164,JY110&lt;&gt;""),Verificarcpf(D110),IF(AND(C110=$C$165,JY110&lt;&gt;""),VerificarCNPJ(D110))))</f>
        <v/>
      </c>
      <c r="KA110" s="768" t="str">
        <f t="shared" si="883"/>
        <v/>
      </c>
      <c r="KB110" s="485">
        <f t="shared" si="884"/>
        <v>0</v>
      </c>
      <c r="KC110" s="768">
        <f t="shared" si="885"/>
        <v>0</v>
      </c>
      <c r="KD110" s="485">
        <f t="shared" si="886"/>
        <v>0</v>
      </c>
      <c r="KE110" s="448"/>
      <c r="KF110" s="548"/>
      <c r="KG110" s="548"/>
      <c r="KH110" s="548"/>
      <c r="KI110" s="548"/>
      <c r="KJ110" s="548" t="str">
        <f t="shared" si="887"/>
        <v/>
      </c>
      <c r="KK110" s="548"/>
      <c r="KL110" s="548"/>
      <c r="KM110" s="548">
        <f t="array" ref="KM110">IF(SUM((KL110=$KL$3:KL109)*1)=0,KL110,0)</f>
        <v>0</v>
      </c>
      <c r="KN110" s="548"/>
      <c r="KO110" s="548"/>
      <c r="KP110" s="548"/>
      <c r="KQ110" s="548"/>
      <c r="KR110" s="548" t="str">
        <f t="shared" si="888"/>
        <v/>
      </c>
      <c r="KS110" s="548"/>
      <c r="KT110" s="548"/>
      <c r="KU110" s="548"/>
      <c r="KV110" s="548"/>
      <c r="KW110" s="548"/>
      <c r="KX110" s="548"/>
      <c r="KY110" s="548"/>
      <c r="KZ110" s="548"/>
      <c r="LA110" s="548"/>
      <c r="LB110" s="548"/>
      <c r="LC110" s="485" t="str">
        <f t="shared" si="902"/>
        <v/>
      </c>
      <c r="LD110" s="548"/>
      <c r="LE110" s="548"/>
      <c r="LF110" s="548"/>
      <c r="LG110" s="548"/>
      <c r="LH110" s="548"/>
      <c r="LI110" s="548"/>
      <c r="LJ110" s="548"/>
      <c r="LK110" s="548"/>
      <c r="LL110" s="548"/>
      <c r="LM110" s="548"/>
      <c r="LN110" s="548"/>
      <c r="LO110" s="548"/>
      <c r="LP110" s="485" t="str">
        <f t="shared" si="903"/>
        <v/>
      </c>
      <c r="LQ110" s="548"/>
      <c r="LR110" s="548"/>
      <c r="LS110" s="548"/>
      <c r="LT110" s="548"/>
      <c r="LU110" s="548"/>
      <c r="LV110" s="548"/>
      <c r="LW110" s="548"/>
      <c r="LX110" s="548"/>
      <c r="LY110" s="548"/>
      <c r="LZ110" s="548"/>
      <c r="MA110" s="548"/>
      <c r="MB110" s="548"/>
      <c r="MC110" s="485" t="str">
        <f t="shared" si="904"/>
        <v/>
      </c>
      <c r="MD110" s="548"/>
      <c r="ME110" s="548"/>
      <c r="MF110" s="548"/>
      <c r="MG110" s="548"/>
      <c r="MH110" s="548"/>
      <c r="MI110" s="548"/>
      <c r="MJ110" s="548"/>
      <c r="MK110" s="548"/>
      <c r="ML110" s="548"/>
      <c r="MM110" s="548"/>
      <c r="MN110" s="548"/>
      <c r="MO110" s="548"/>
      <c r="MP110" s="485" t="str">
        <f t="shared" si="905"/>
        <v/>
      </c>
      <c r="MQ110" s="548"/>
      <c r="MR110" s="548"/>
      <c r="MS110" s="548"/>
      <c r="MT110" s="548"/>
      <c r="MU110" s="548"/>
      <c r="MV110" s="548"/>
      <c r="MW110" s="548"/>
      <c r="MX110" s="548"/>
      <c r="MY110" s="548"/>
      <c r="MZ110" s="548"/>
      <c r="NA110" s="548"/>
      <c r="NB110" s="548"/>
      <c r="NC110" s="485" t="str">
        <f t="shared" si="906"/>
        <v/>
      </c>
      <c r="ND110" s="548"/>
      <c r="NE110" s="548"/>
      <c r="NF110" s="548"/>
      <c r="NG110" s="548"/>
      <c r="NH110" s="548"/>
      <c r="NI110" s="548"/>
      <c r="NJ110" s="548"/>
      <c r="NK110" s="548"/>
      <c r="NL110" s="548"/>
      <c r="NM110" s="548"/>
      <c r="NN110" s="548"/>
      <c r="NO110" s="548"/>
      <c r="NP110" s="485" t="str">
        <f t="shared" si="907"/>
        <v/>
      </c>
      <c r="NQ110" s="548"/>
      <c r="NR110" s="548"/>
      <c r="NS110" s="548"/>
      <c r="NT110" s="548"/>
      <c r="NU110" s="548"/>
      <c r="NV110" s="548"/>
      <c r="NW110" s="548"/>
      <c r="NX110" s="548"/>
      <c r="NY110" s="548"/>
      <c r="NZ110" s="548"/>
      <c r="OA110" s="548"/>
      <c r="OB110" s="548"/>
      <c r="OC110" s="485" t="str">
        <f t="shared" si="908"/>
        <v/>
      </c>
      <c r="OD110" s="548"/>
      <c r="OE110" s="548"/>
      <c r="OF110" s="548"/>
      <c r="OG110" s="548"/>
      <c r="OH110" s="548"/>
      <c r="OI110" s="548"/>
      <c r="OJ110" s="548"/>
      <c r="OK110" s="548"/>
      <c r="OL110" s="548"/>
      <c r="OM110" s="548"/>
      <c r="ON110" s="548"/>
      <c r="OO110" s="548"/>
      <c r="OP110" s="548"/>
      <c r="OQ110" s="548"/>
      <c r="OR110" s="548"/>
      <c r="OS110" s="548"/>
      <c r="OT110" s="548"/>
      <c r="OU110" s="548"/>
      <c r="OV110" s="548"/>
      <c r="OW110" s="548"/>
      <c r="OX110" s="548"/>
      <c r="OY110" s="548"/>
      <c r="OZ110" s="548"/>
      <c r="PA110" s="548"/>
      <c r="PB110" s="548"/>
      <c r="PC110" s="548"/>
      <c r="PD110" s="548"/>
      <c r="PE110" s="548"/>
      <c r="PF110" s="548"/>
      <c r="PG110" s="548"/>
      <c r="PH110" s="548"/>
      <c r="PI110" s="548"/>
      <c r="PJ110" s="548"/>
      <c r="PK110" s="548"/>
      <c r="PL110" s="548"/>
      <c r="PM110" s="548"/>
      <c r="PN110" s="548"/>
      <c r="PO110" s="548"/>
      <c r="PP110" s="548"/>
      <c r="PQ110" s="548"/>
      <c r="PR110" s="548"/>
      <c r="PS110" s="548"/>
      <c r="PT110" s="548"/>
      <c r="PU110" s="548"/>
      <c r="PV110" s="548"/>
      <c r="PW110" s="548"/>
      <c r="PX110" s="548"/>
      <c r="PY110" s="548"/>
      <c r="PZ110" s="548"/>
      <c r="QA110" s="548"/>
      <c r="QB110" s="548"/>
      <c r="QC110" s="548"/>
      <c r="QD110" s="548"/>
      <c r="QE110" s="548"/>
      <c r="QF110" s="548"/>
      <c r="QG110" s="548"/>
      <c r="QH110" s="548"/>
      <c r="QI110" s="548"/>
      <c r="QJ110" s="548"/>
      <c r="QK110" s="548"/>
      <c r="QL110" s="548"/>
      <c r="QM110" s="548"/>
      <c r="QN110" s="548"/>
      <c r="QO110" s="548"/>
      <c r="QP110" s="548"/>
      <c r="QQ110" s="1009"/>
      <c r="QR110" s="548"/>
      <c r="QS110" s="548"/>
      <c r="QT110" s="548"/>
      <c r="QU110" s="548"/>
      <c r="QV110" s="548"/>
      <c r="QW110" s="548"/>
      <c r="QX110" s="548"/>
      <c r="QY110" s="548"/>
      <c r="QZ110" s="548"/>
      <c r="RA110" s="548"/>
      <c r="RB110" s="548"/>
      <c r="RC110" s="548"/>
      <c r="RD110" s="548"/>
      <c r="RE110" s="548"/>
      <c r="RF110" s="548"/>
      <c r="RG110" s="548"/>
      <c r="RH110" s="548"/>
      <c r="RI110" s="548"/>
      <c r="RJ110" s="548"/>
      <c r="RK110" s="548"/>
      <c r="RL110" s="548"/>
      <c r="RM110" s="548"/>
      <c r="RN110" s="548"/>
      <c r="RO110" s="548"/>
      <c r="RP110" s="548"/>
      <c r="RQ110" s="548"/>
      <c r="RR110" s="548"/>
      <c r="RS110" s="548"/>
      <c r="RT110" s="548"/>
      <c r="RU110" s="548"/>
      <c r="RV110" s="548"/>
      <c r="RW110" s="548"/>
      <c r="RX110" s="548"/>
      <c r="RY110" s="548"/>
      <c r="RZ110" s="548"/>
      <c r="SA110" s="548"/>
      <c r="SB110" s="548"/>
      <c r="SC110" s="548"/>
      <c r="SD110" s="548"/>
      <c r="SE110" s="548"/>
      <c r="SF110" s="548"/>
      <c r="SG110" s="548"/>
      <c r="SH110" s="548"/>
      <c r="SI110" s="548"/>
      <c r="SJ110" s="548"/>
      <c r="SK110" s="548"/>
      <c r="SL110" s="548"/>
      <c r="SM110" s="548"/>
      <c r="SN110" s="548"/>
      <c r="SO110" s="548"/>
      <c r="SP110" s="548"/>
      <c r="SQ110" s="548"/>
      <c r="SR110" s="548"/>
      <c r="SS110" s="548"/>
      <c r="ST110" s="548"/>
      <c r="SU110" s="548"/>
      <c r="SV110" s="548"/>
      <c r="SW110" s="548"/>
      <c r="SX110" s="548"/>
      <c r="SY110" s="548"/>
      <c r="SZ110" s="548"/>
      <c r="TA110" s="548"/>
      <c r="TB110" s="548"/>
      <c r="TC110" s="548"/>
      <c r="TD110" s="548"/>
      <c r="TE110" s="548"/>
      <c r="TF110" s="548"/>
      <c r="TG110" s="548"/>
      <c r="TH110" s="548"/>
      <c r="TI110" s="548"/>
      <c r="TJ110" s="548"/>
      <c r="TK110" s="548"/>
      <c r="TL110" s="548"/>
      <c r="TM110" s="548"/>
      <c r="TN110" s="548"/>
      <c r="TO110" s="548"/>
      <c r="TP110" s="548"/>
      <c r="TQ110" s="548"/>
      <c r="TR110" s="548"/>
      <c r="TS110" s="548"/>
      <c r="TT110" s="548"/>
      <c r="TU110" s="548"/>
      <c r="TV110" s="548"/>
      <c r="TW110" s="548"/>
      <c r="TX110" s="548"/>
      <c r="TY110" s="548"/>
      <c r="TZ110" s="548"/>
      <c r="UA110" s="548"/>
      <c r="UB110" s="548"/>
      <c r="UC110" s="548"/>
      <c r="UD110" s="548"/>
      <c r="UE110" s="548"/>
      <c r="UF110" s="548"/>
      <c r="UG110" s="548"/>
      <c r="UH110" s="548"/>
      <c r="UI110" s="548"/>
      <c r="UJ110" s="548"/>
      <c r="UK110" s="548"/>
      <c r="UL110" s="548"/>
      <c r="UM110" s="548"/>
      <c r="UN110" s="548"/>
      <c r="UO110" s="548"/>
      <c r="UP110" s="548"/>
      <c r="UQ110" s="548"/>
      <c r="UR110" s="548"/>
      <c r="US110" s="548"/>
      <c r="UT110" s="548"/>
      <c r="UU110" s="548"/>
      <c r="UV110" s="548"/>
      <c r="UW110" s="548"/>
      <c r="UX110" s="548"/>
      <c r="UY110" s="548"/>
      <c r="UZ110" s="548"/>
      <c r="VA110" s="548"/>
      <c r="VB110" s="548"/>
      <c r="VC110" s="548"/>
      <c r="VD110" s="548"/>
      <c r="VE110" s="548"/>
      <c r="VF110" s="548"/>
      <c r="VG110" s="548"/>
      <c r="VH110" s="548"/>
      <c r="VI110" s="548"/>
      <c r="VJ110" s="548"/>
      <c r="VK110" s="548"/>
      <c r="VL110" s="548"/>
      <c r="VM110" s="548"/>
      <c r="VN110" s="548"/>
      <c r="VO110" s="548"/>
      <c r="VP110" s="548"/>
      <c r="VQ110" s="548"/>
      <c r="VR110" s="548"/>
      <c r="VS110" s="548"/>
      <c r="VT110" s="548"/>
      <c r="VU110" s="548"/>
      <c r="VV110" s="548"/>
      <c r="VW110" s="548"/>
      <c r="VX110" s="548"/>
      <c r="VY110" s="548"/>
      <c r="VZ110" s="548"/>
      <c r="WA110" s="548"/>
      <c r="WB110" s="548"/>
      <c r="WC110" s="548"/>
      <c r="WD110" s="548"/>
      <c r="WE110" s="548"/>
      <c r="WF110" s="548"/>
      <c r="WG110" s="548"/>
      <c r="WH110" s="548"/>
      <c r="WI110" s="548"/>
      <c r="WJ110" s="548"/>
      <c r="WK110" s="548"/>
      <c r="WL110" s="548"/>
      <c r="WM110" s="548"/>
      <c r="WN110" s="548"/>
      <c r="WO110" s="548"/>
      <c r="WP110" s="548"/>
      <c r="WQ110" s="548"/>
      <c r="WR110" s="548"/>
      <c r="WS110" s="548"/>
      <c r="WT110" s="548"/>
      <c r="WU110" s="548"/>
      <c r="WV110" s="548"/>
      <c r="WW110" s="548"/>
      <c r="WX110" s="548"/>
      <c r="WY110" s="548"/>
      <c r="WZ110" s="548"/>
      <c r="XA110" s="548"/>
      <c r="XB110" s="548"/>
      <c r="XC110" s="548"/>
      <c r="XD110" s="548"/>
      <c r="XE110" s="548"/>
      <c r="XF110" s="548"/>
      <c r="XG110" s="548"/>
      <c r="XH110" s="548"/>
      <c r="XI110" s="548"/>
      <c r="XJ110" s="548"/>
      <c r="XK110" s="548"/>
      <c r="XL110" s="548"/>
      <c r="XM110" s="548"/>
      <c r="XN110" s="548"/>
      <c r="XO110" s="548"/>
      <c r="XP110" s="548"/>
      <c r="XQ110" s="548"/>
      <c r="XR110" s="548"/>
      <c r="XS110" s="548"/>
      <c r="XT110" s="548"/>
      <c r="XU110" s="548"/>
      <c r="XV110" s="548"/>
      <c r="XW110" s="548"/>
      <c r="XX110" s="548"/>
      <c r="XY110" s="548"/>
      <c r="XZ110" s="548"/>
      <c r="YA110" s="548"/>
      <c r="YB110" s="548"/>
      <c r="YC110" s="548"/>
      <c r="YD110" s="548"/>
      <c r="YE110" s="548"/>
      <c r="YF110" s="548"/>
      <c r="YG110" s="548"/>
      <c r="YH110" s="548"/>
      <c r="YI110" s="548"/>
      <c r="YJ110" s="548"/>
      <c r="YK110" s="548"/>
      <c r="YL110" s="548"/>
      <c r="YM110" s="548"/>
      <c r="YN110" s="548"/>
      <c r="YO110" s="548"/>
      <c r="YP110" s="548"/>
      <c r="YQ110" s="548"/>
      <c r="YR110" s="548"/>
      <c r="YS110" s="548"/>
      <c r="YT110" s="548"/>
      <c r="YU110" s="548"/>
      <c r="YV110" s="548"/>
      <c r="YW110" s="548"/>
      <c r="YX110" s="548"/>
      <c r="YY110" s="548"/>
      <c r="YZ110" s="548"/>
      <c r="ZA110" s="548"/>
      <c r="ZB110" s="548"/>
      <c r="ZC110" s="548"/>
      <c r="ZD110" s="548"/>
      <c r="ZE110" s="548"/>
      <c r="ZF110" s="548"/>
      <c r="ZG110" s="548"/>
      <c r="ZH110" s="548"/>
      <c r="ZI110" s="548"/>
      <c r="ZJ110" s="548"/>
      <c r="ZK110" s="548"/>
      <c r="ZL110" s="548"/>
      <c r="ZM110" s="548"/>
      <c r="ZN110" s="548"/>
      <c r="ZO110" s="548"/>
      <c r="ZP110" s="548"/>
      <c r="ZQ110" s="548"/>
      <c r="ZR110" s="548"/>
      <c r="ZS110" s="548"/>
      <c r="ZT110" s="548"/>
      <c r="ZU110" s="548"/>
      <c r="ZV110" s="548"/>
      <c r="ZW110" s="548"/>
      <c r="ZX110" s="548"/>
      <c r="ZY110" s="548"/>
      <c r="ZZ110" s="548"/>
      <c r="AAA110" s="548"/>
      <c r="AAB110" s="548"/>
      <c r="AAC110" s="548"/>
      <c r="AAD110" s="548"/>
      <c r="AAE110" s="548"/>
      <c r="AAF110" s="548"/>
      <c r="AAG110" s="548"/>
      <c r="AAH110" s="548"/>
      <c r="AAI110" s="548"/>
      <c r="AAJ110" s="548"/>
      <c r="AAK110" s="548"/>
      <c r="AAL110" s="548"/>
      <c r="AAM110" s="548"/>
      <c r="AAN110" s="548"/>
      <c r="AAO110" s="548"/>
      <c r="AAP110" s="548"/>
      <c r="AAQ110" s="548"/>
      <c r="AAR110" s="548"/>
      <c r="AAS110" s="548"/>
      <c r="AAT110" s="548"/>
      <c r="AAU110" s="548"/>
      <c r="AAV110" s="548"/>
      <c r="AAW110" s="548"/>
      <c r="AAX110" s="548"/>
      <c r="AAY110" s="548"/>
      <c r="AAZ110" s="548"/>
      <c r="ABA110" s="548"/>
      <c r="ABB110" s="548"/>
      <c r="ABC110" s="548"/>
      <c r="ABD110" s="548"/>
      <c r="ABE110" s="548"/>
      <c r="ABF110" s="548"/>
      <c r="ABG110" s="548"/>
      <c r="ABH110" s="548"/>
      <c r="ABI110" s="548"/>
      <c r="ABJ110" s="548"/>
      <c r="ABK110" s="548"/>
      <c r="ABL110" s="548"/>
      <c r="ABM110" s="548"/>
      <c r="ABN110" s="548"/>
      <c r="ABO110" s="548"/>
      <c r="ABP110" s="548"/>
      <c r="ABQ110" s="548"/>
      <c r="ABR110" s="548"/>
      <c r="ABS110" s="548"/>
    </row>
    <row r="111" spans="1:747" customFormat="1" ht="15" customHeight="1" x14ac:dyDescent="0.2">
      <c r="A111" s="424" t="str">
        <f t="shared" si="909"/>
        <v/>
      </c>
      <c r="B111" s="415"/>
      <c r="C111" s="525"/>
      <c r="D111" s="750"/>
      <c r="E111" s="416" t="str">
        <f t="shared" si="1171"/>
        <v/>
      </c>
      <c r="F111" s="527" t="str">
        <f t="shared" si="1172"/>
        <v/>
      </c>
      <c r="G111" s="417"/>
      <c r="H111" s="585" t="str">
        <f t="shared" si="1173"/>
        <v/>
      </c>
      <c r="I111" s="424"/>
      <c r="J111" s="419"/>
      <c r="K111" s="418"/>
      <c r="L111" s="419"/>
      <c r="M111" s="415"/>
      <c r="N111" s="420"/>
      <c r="O111" s="421"/>
      <c r="P111" s="561"/>
      <c r="Q111" s="422"/>
      <c r="R111" s="561" t="str">
        <f t="shared" si="1174"/>
        <v/>
      </c>
      <c r="S111" s="664"/>
      <c r="T111" s="663"/>
      <c r="U111" s="580">
        <f t="shared" si="1175"/>
        <v>0</v>
      </c>
      <c r="V111" s="418"/>
      <c r="W111" s="582" t="str">
        <f t="shared" si="1176"/>
        <v/>
      </c>
      <c r="X111" s="479" t="str">
        <f t="shared" si="1177"/>
        <v/>
      </c>
      <c r="Y111" s="582" t="str">
        <f t="shared" si="1178"/>
        <v/>
      </c>
      <c r="Z111" s="317" t="str">
        <f t="shared" si="1179"/>
        <v/>
      </c>
      <c r="AA111" s="317" t="str">
        <f t="shared" si="1180"/>
        <v/>
      </c>
      <c r="AB111" s="317">
        <f t="shared" si="1181"/>
        <v>0</v>
      </c>
      <c r="AC111" s="317" t="str">
        <f t="shared" si="1182"/>
        <v/>
      </c>
      <c r="AD111" s="479"/>
      <c r="AE111" s="479"/>
      <c r="AF111" s="479"/>
      <c r="AG111" s="423"/>
      <c r="AH111" s="820"/>
      <c r="AI111" s="437"/>
      <c r="AJ111" s="720"/>
      <c r="AK111" s="524" t="str">
        <f t="shared" si="1183"/>
        <v/>
      </c>
      <c r="AL111" s="731">
        <f>SUMIF($J$4:$J$130,"Formação",$S$4:$S$130)</f>
        <v>0</v>
      </c>
      <c r="AM111" s="732">
        <f>SUMIF($J$4:$J$130,"Formação",$T$4:$T$130)</f>
        <v>0</v>
      </c>
      <c r="AN111" s="426">
        <f t="shared" si="1184"/>
        <v>0</v>
      </c>
      <c r="AO111" s="427" t="str">
        <f t="shared" si="1185"/>
        <v/>
      </c>
      <c r="AP111" s="426" t="str">
        <f t="shared" si="1186"/>
        <v/>
      </c>
      <c r="AQ111" s="426"/>
      <c r="AR111" s="426"/>
      <c r="AS111" s="428"/>
      <c r="AT111" s="429"/>
      <c r="AU111" s="430"/>
      <c r="AV111" s="431"/>
      <c r="AW111" s="432"/>
      <c r="AX111" s="430"/>
      <c r="AY111" s="431">
        <f t="shared" si="1187"/>
        <v>0</v>
      </c>
      <c r="AZ111" s="426"/>
      <c r="BA111" s="435" t="str">
        <f t="shared" si="1188"/>
        <v/>
      </c>
      <c r="BB111" s="435"/>
      <c r="BC111" s="426"/>
      <c r="BD111" s="426">
        <f t="array" ref="BD111">IF(SUM((BC111=$BC$3:BC110)*1)=0,BC111,0)</f>
        <v>0</v>
      </c>
      <c r="BE111" s="426"/>
      <c r="BF111" s="426"/>
      <c r="BG111" s="426">
        <f t="array" ref="BG111">IF(SUM((BF111=$BF$3:BF110)*1)=0,BF111,0)</f>
        <v>0</v>
      </c>
      <c r="BH111" s="426"/>
      <c r="BI111" s="426"/>
      <c r="BJ111" s="426"/>
      <c r="BK111" s="426"/>
      <c r="BL111" s="426"/>
      <c r="BM111" s="426"/>
      <c r="BN111" s="426"/>
      <c r="BO111" s="426"/>
      <c r="BP111" s="433">
        <f t="shared" si="1189"/>
        <v>0</v>
      </c>
      <c r="BQ111" s="426"/>
      <c r="BR111" s="434"/>
      <c r="BS111" s="426"/>
      <c r="BT111" s="433"/>
      <c r="BU111" s="435"/>
      <c r="BV111" s="435" t="str">
        <f t="shared" si="1190"/>
        <v/>
      </c>
      <c r="BW111" s="435" t="str">
        <f t="shared" si="798"/>
        <v/>
      </c>
      <c r="BX111" s="435"/>
      <c r="BY111" s="435"/>
      <c r="BZ111" s="435"/>
      <c r="CA111" s="435"/>
      <c r="CB111" s="435"/>
      <c r="CC111" s="435"/>
      <c r="CD111" s="435"/>
      <c r="CE111" s="435"/>
      <c r="CF111" s="435"/>
      <c r="CG111" s="435"/>
      <c r="CH111" s="435"/>
      <c r="CI111" s="435"/>
      <c r="CJ111" s="426" t="str">
        <f t="shared" si="799"/>
        <v/>
      </c>
      <c r="CK111" s="435"/>
      <c r="CL111" s="426"/>
      <c r="CM111" s="435"/>
      <c r="CN111" s="426"/>
      <c r="CO111" s="426"/>
      <c r="CP111" s="426"/>
      <c r="CQ111" s="426"/>
      <c r="CR111" s="426"/>
      <c r="CS111" s="426"/>
      <c r="CT111" s="426"/>
      <c r="CU111" s="426"/>
      <c r="CV111" s="426"/>
      <c r="CW111" s="493"/>
      <c r="CX111" s="493"/>
      <c r="CY111" s="426">
        <v>108</v>
      </c>
      <c r="CZ111" s="493"/>
      <c r="DA111" s="493"/>
      <c r="DB111" s="493"/>
      <c r="DC111" s="426" t="s">
        <v>851</v>
      </c>
      <c r="DD111" s="426" t="s">
        <v>1011</v>
      </c>
      <c r="DE111" s="435" t="str">
        <f t="shared" si="800"/>
        <v/>
      </c>
      <c r="DF111" s="435" t="str">
        <f t="shared" si="801"/>
        <v/>
      </c>
      <c r="DG111" s="435" t="str">
        <f t="shared" si="802"/>
        <v/>
      </c>
      <c r="DH111" s="435" t="str">
        <f t="shared" si="803"/>
        <v/>
      </c>
      <c r="DI111" s="435" t="str">
        <f t="shared" si="804"/>
        <v/>
      </c>
      <c r="DJ111" s="435" t="str">
        <f t="shared" si="805"/>
        <v/>
      </c>
      <c r="DK111" s="435" t="str">
        <f t="shared" si="1191"/>
        <v/>
      </c>
      <c r="DL111" s="435" t="str">
        <f t="shared" si="1192"/>
        <v/>
      </c>
      <c r="DM111" s="435" t="str">
        <f t="shared" si="806"/>
        <v/>
      </c>
      <c r="DN111" s="435" t="str">
        <f t="shared" si="807"/>
        <v/>
      </c>
      <c r="DO111" s="435" t="str">
        <f t="shared" si="1193"/>
        <v/>
      </c>
      <c r="DP111" s="435" t="str">
        <f t="shared" si="1194"/>
        <v/>
      </c>
      <c r="DQ111" s="435" t="str">
        <f t="shared" si="808"/>
        <v/>
      </c>
      <c r="DR111" s="435" t="str">
        <f t="shared" si="809"/>
        <v/>
      </c>
      <c r="DS111" s="435" t="str">
        <f t="shared" si="1195"/>
        <v/>
      </c>
      <c r="DT111" s="435" t="str">
        <f t="shared" si="1196"/>
        <v/>
      </c>
      <c r="DU111" s="435" t="str">
        <f t="shared" si="810"/>
        <v/>
      </c>
      <c r="DV111" s="435" t="str">
        <f t="shared" si="811"/>
        <v/>
      </c>
      <c r="DW111" s="435" t="str">
        <f t="shared" si="1197"/>
        <v/>
      </c>
      <c r="DX111" s="435" t="str">
        <f t="shared" si="1198"/>
        <v/>
      </c>
      <c r="DY111" s="435" t="str">
        <f t="shared" si="812"/>
        <v/>
      </c>
      <c r="DZ111" s="435" t="str">
        <f t="shared" si="813"/>
        <v/>
      </c>
      <c r="EA111" s="435" t="str">
        <f t="shared" si="1199"/>
        <v/>
      </c>
      <c r="EB111" s="435" t="str">
        <f t="shared" si="1200"/>
        <v/>
      </c>
      <c r="EC111" s="435" t="str">
        <f t="shared" si="1201"/>
        <v/>
      </c>
      <c r="ED111" s="435" t="str">
        <f t="shared" si="1202"/>
        <v/>
      </c>
      <c r="EE111" s="435" t="str">
        <f t="shared" si="1203"/>
        <v/>
      </c>
      <c r="EF111" s="435" t="str">
        <f t="shared" si="1204"/>
        <v/>
      </c>
      <c r="EG111" s="435" t="str">
        <f t="shared" si="1205"/>
        <v/>
      </c>
      <c r="EH111" s="435" t="str">
        <f t="shared" si="1206"/>
        <v/>
      </c>
      <c r="EI111" s="435" t="str">
        <f t="shared" si="1207"/>
        <v/>
      </c>
      <c r="EJ111" s="435" t="str">
        <f t="shared" si="1208"/>
        <v/>
      </c>
      <c r="EK111" s="485"/>
      <c r="EL111" s="485"/>
      <c r="EM111" s="485"/>
      <c r="EN111" s="485"/>
      <c r="EO111" s="448"/>
      <c r="EP111" s="448"/>
      <c r="EQ111" s="448"/>
      <c r="ER111" s="448"/>
      <c r="ES111" s="448"/>
      <c r="ET111" s="435"/>
      <c r="EU111" s="435"/>
      <c r="EV111" s="435"/>
      <c r="EW111" s="435"/>
      <c r="EX111" s="426"/>
      <c r="EY111" s="426"/>
      <c r="EZ111" s="426"/>
      <c r="FA111" s="863"/>
      <c r="FB111" s="427">
        <f t="array" ref="FB111">IF(SUM((FA111=$FA$3:FA110)*1)=0,FA111,0)</f>
        <v>0</v>
      </c>
      <c r="FC111" s="863"/>
      <c r="FD111" s="863"/>
      <c r="FE111" s="863">
        <f t="array" ref="FE111">IF(SUM((FD111=$FD$3:FD110)*1)=0,FD111,0)</f>
        <v>0</v>
      </c>
      <c r="FF111" s="863"/>
      <c r="FG111" s="863"/>
      <c r="FH111" s="863"/>
      <c r="FI111" s="427">
        <f t="array" ref="FI111">IF(SUM((FH111=$FH$3:FH110)*1)=0,FH111,0)</f>
        <v>0</v>
      </c>
      <c r="FJ111" s="863"/>
      <c r="FK111" s="863"/>
      <c r="FL111" s="863">
        <f t="array" ref="FL111">IF(SUM((FK111=$FK$3:FK110)*1)=0,FK111,0)</f>
        <v>0</v>
      </c>
      <c r="FM111" s="863"/>
      <c r="FN111" s="863"/>
      <c r="FO111" s="863"/>
      <c r="FP111" s="427">
        <f t="array" ref="FP111">IF(SUM((FO111=$FO$3:FO110)*1)=0,FO111,0)</f>
        <v>0</v>
      </c>
      <c r="FQ111" s="863"/>
      <c r="FR111" s="863"/>
      <c r="FS111" s="863">
        <f t="array" ref="FS111">IF(SUM((FR111=$FR$3:FR110)*1)=0,FR111,0)</f>
        <v>0</v>
      </c>
      <c r="FT111" s="863"/>
      <c r="FU111" s="863"/>
      <c r="FV111" s="863"/>
      <c r="FW111" s="427">
        <f t="array" ref="FW111">IF(SUM((FV111=$FV$3:FV110)*1)=0,FV111,0)</f>
        <v>0</v>
      </c>
      <c r="FX111" s="863"/>
      <c r="FY111" s="863"/>
      <c r="FZ111" s="863">
        <f t="array" ref="FZ111">IF(SUM((FY111=$FY$3:FY110)*1)=0,FY111,0)</f>
        <v>0</v>
      </c>
      <c r="GA111" s="863"/>
      <c r="GB111" s="863"/>
      <c r="GC111" s="863"/>
      <c r="GD111" s="427">
        <f t="array" ref="GD111">IF(SUM((GC111=$GC$3:GC110)*1)=0,GC111,0)</f>
        <v>0</v>
      </c>
      <c r="GE111" s="863"/>
      <c r="GF111" s="863"/>
      <c r="GG111" s="863">
        <f t="array" ref="GG111">IF(SUM((GF111=$GF$3:GF110)*1)=0,GF111,0)</f>
        <v>0</v>
      </c>
      <c r="GH111" s="863"/>
      <c r="GI111" s="863"/>
      <c r="GJ111" s="863"/>
      <c r="GK111" s="798">
        <f t="array" ref="GK111">IF(SUM((GJ111=$GJ$3:GJ110)*1)=0,GJ111,0)</f>
        <v>0</v>
      </c>
      <c r="GL111" s="863"/>
      <c r="GM111" s="863"/>
      <c r="GN111" s="798">
        <f t="array" ref="GN111">IF(SUM((GM111=$GM$3:GM110)*1)=0,GM111,0)</f>
        <v>0</v>
      </c>
      <c r="GO111" s="863"/>
      <c r="GP111" s="863"/>
      <c r="GQ111" s="863"/>
      <c r="GR111" s="798">
        <f t="array" ref="GR111">IF(SUM((GQ111=$GQ$3:GQ110)*1)=0,GQ111,0)</f>
        <v>0</v>
      </c>
      <c r="GS111" s="863"/>
      <c r="GT111" s="863"/>
      <c r="GU111" s="798">
        <f t="array" ref="GU111">IF(SUM((GT111=$GT$3:GT110)*1)=0,GT111,0)</f>
        <v>0</v>
      </c>
      <c r="GV111" s="863"/>
      <c r="GW111" s="863"/>
      <c r="GX111" s="863"/>
      <c r="GY111" s="798">
        <f t="array" ref="GY111">IF(SUM((GX111=$GX$3:GX110)*1)=0,GX111,0)</f>
        <v>0</v>
      </c>
      <c r="GZ111" s="863"/>
      <c r="HA111" s="863"/>
      <c r="HB111" s="798">
        <f t="array" ref="HB111">IF(SUM((HA111=$HA$3:HA110)*1)=0,HA111,0)</f>
        <v>0</v>
      </c>
      <c r="HC111" s="863"/>
      <c r="HD111" s="863"/>
      <c r="HE111" s="769" t="str">
        <f t="shared" si="889"/>
        <v/>
      </c>
      <c r="HF111" s="768" t="str">
        <f t="shared" ref="HF111" si="1340">IF(HE111&lt;0,"Invadiu REP-BA-C","")</f>
        <v/>
      </c>
      <c r="HG111" s="769" t="str">
        <f t="shared" si="891"/>
        <v/>
      </c>
      <c r="HH111" s="768" t="str">
        <f t="shared" si="815"/>
        <v/>
      </c>
      <c r="HI111" s="728" t="str">
        <f t="shared" si="892"/>
        <v/>
      </c>
      <c r="HJ111" s="768" t="str">
        <f t="shared" si="816"/>
        <v/>
      </c>
      <c r="HK111" s="728" t="str">
        <f t="shared" si="893"/>
        <v/>
      </c>
      <c r="HL111" s="768" t="str">
        <f t="shared" si="817"/>
        <v/>
      </c>
      <c r="HM111" s="769" t="str">
        <f t="shared" si="1219"/>
        <v/>
      </c>
      <c r="HN111" s="768" t="str">
        <f t="shared" ref="HN111" si="1341">IF(HM111&lt;0,"Invadiu REP-BA-C","")</f>
        <v/>
      </c>
      <c r="HO111" s="769" t="str">
        <f t="shared" si="1221"/>
        <v/>
      </c>
      <c r="HP111" s="768" t="str">
        <f t="shared" si="821"/>
        <v/>
      </c>
      <c r="HQ111" s="728" t="str">
        <f t="shared" si="1222"/>
        <v/>
      </c>
      <c r="HR111" s="768" t="str">
        <f t="shared" si="823"/>
        <v/>
      </c>
      <c r="HS111" s="728" t="str">
        <f t="shared" si="1223"/>
        <v/>
      </c>
      <c r="HT111" s="768" t="str">
        <f t="shared" si="825"/>
        <v/>
      </c>
      <c r="HU111" s="769" t="str">
        <f t="shared" si="1224"/>
        <v/>
      </c>
      <c r="HV111" s="768" t="str">
        <f t="shared" ref="HV111" si="1342">IF(HU111&lt;0,"Invadiu REP-BA-C","")</f>
        <v/>
      </c>
      <c r="HW111" s="769" t="str">
        <f t="shared" si="1226"/>
        <v/>
      </c>
      <c r="HX111" s="768" t="str">
        <f t="shared" si="829"/>
        <v/>
      </c>
      <c r="HY111" s="728" t="str">
        <f t="shared" si="1227"/>
        <v/>
      </c>
      <c r="HZ111" s="768" t="str">
        <f t="shared" si="831"/>
        <v/>
      </c>
      <c r="IA111" s="728" t="str">
        <f t="shared" si="1228"/>
        <v/>
      </c>
      <c r="IB111" s="768" t="str">
        <f t="shared" si="833"/>
        <v/>
      </c>
      <c r="IC111" s="769" t="str">
        <f t="shared" si="1229"/>
        <v/>
      </c>
      <c r="ID111" s="768" t="str">
        <f t="shared" ref="ID111" si="1343">IF(IC111&lt;0,"Invadiu REP-BA-C","")</f>
        <v/>
      </c>
      <c r="IE111" s="769" t="str">
        <f t="shared" si="1231"/>
        <v/>
      </c>
      <c r="IF111" s="768" t="str">
        <f t="shared" si="837"/>
        <v/>
      </c>
      <c r="IG111" s="728" t="str">
        <f t="shared" si="1232"/>
        <v/>
      </c>
      <c r="IH111" s="768" t="str">
        <f t="shared" si="839"/>
        <v/>
      </c>
      <c r="II111" s="728" t="str">
        <f t="shared" si="1233"/>
        <v/>
      </c>
      <c r="IJ111" s="768" t="str">
        <f t="shared" si="841"/>
        <v/>
      </c>
      <c r="IK111" s="769" t="str">
        <f t="shared" si="1234"/>
        <v/>
      </c>
      <c r="IL111" s="768" t="str">
        <f t="shared" ref="IL111" si="1344">IF(IK111&lt;0,"Invadiu REP-BA-C","")</f>
        <v/>
      </c>
      <c r="IM111" s="769" t="str">
        <f t="shared" si="1236"/>
        <v/>
      </c>
      <c r="IN111" s="768" t="str">
        <f t="shared" si="845"/>
        <v/>
      </c>
      <c r="IO111" s="728" t="str">
        <f t="shared" si="1237"/>
        <v/>
      </c>
      <c r="IP111" s="768" t="str">
        <f t="shared" si="847"/>
        <v/>
      </c>
      <c r="IQ111" s="728" t="str">
        <f t="shared" si="1238"/>
        <v/>
      </c>
      <c r="IR111" s="768" t="str">
        <f t="shared" si="849"/>
        <v/>
      </c>
      <c r="IS111" s="769" t="str">
        <f t="shared" si="1239"/>
        <v/>
      </c>
      <c r="IT111" s="768" t="str">
        <f t="shared" ref="IT111" si="1345">IF(IS111&lt;0,"Invadiu REP-BA-C","")</f>
        <v/>
      </c>
      <c r="IU111" s="769" t="str">
        <f t="shared" si="1241"/>
        <v/>
      </c>
      <c r="IV111" s="768" t="str">
        <f t="shared" si="853"/>
        <v/>
      </c>
      <c r="IW111" s="728" t="str">
        <f t="shared" si="1242"/>
        <v/>
      </c>
      <c r="IX111" s="768" t="str">
        <f t="shared" si="855"/>
        <v/>
      </c>
      <c r="IY111" s="728" t="str">
        <f t="shared" si="1243"/>
        <v/>
      </c>
      <c r="IZ111" s="768" t="str">
        <f t="shared" si="857"/>
        <v/>
      </c>
      <c r="JA111" s="769" t="str">
        <f t="shared" si="1244"/>
        <v/>
      </c>
      <c r="JB111" s="768" t="str">
        <f t="shared" ref="JB111" si="1346">IF(JA111&lt;0,"Invadiu REP-BA-C","")</f>
        <v/>
      </c>
      <c r="JC111" s="769" t="str">
        <f t="shared" si="1246"/>
        <v/>
      </c>
      <c r="JD111" s="768" t="str">
        <f t="shared" si="861"/>
        <v/>
      </c>
      <c r="JE111" s="728" t="str">
        <f t="shared" si="1247"/>
        <v/>
      </c>
      <c r="JF111" s="768" t="str">
        <f t="shared" si="863"/>
        <v/>
      </c>
      <c r="JG111" s="728" t="str">
        <f t="shared" si="1248"/>
        <v/>
      </c>
      <c r="JH111" s="768" t="str">
        <f t="shared" si="865"/>
        <v/>
      </c>
      <c r="JI111" s="769" t="str">
        <f t="shared" si="1249"/>
        <v/>
      </c>
      <c r="JJ111" s="768" t="str">
        <f t="shared" ref="JJ111" si="1347">IF(JI111&lt;0,"Invadiu REP-BA-C","")</f>
        <v/>
      </c>
      <c r="JK111" s="769" t="str">
        <f t="shared" si="1251"/>
        <v/>
      </c>
      <c r="JL111" s="768" t="str">
        <f t="shared" si="869"/>
        <v/>
      </c>
      <c r="JM111" s="728" t="str">
        <f t="shared" si="1252"/>
        <v/>
      </c>
      <c r="JN111" s="768" t="str">
        <f t="shared" si="871"/>
        <v/>
      </c>
      <c r="JO111" s="728" t="str">
        <f t="shared" si="1253"/>
        <v/>
      </c>
      <c r="JP111" s="768" t="str">
        <f t="shared" si="873"/>
        <v/>
      </c>
      <c r="JQ111" s="769" t="str">
        <f t="shared" si="1254"/>
        <v/>
      </c>
      <c r="JR111" s="768" t="str">
        <f t="shared" ref="JR111" si="1348">IF(JQ111&lt;0,"Invadiu REP-BA-C","")</f>
        <v/>
      </c>
      <c r="JS111" s="769" t="str">
        <f t="shared" si="1256"/>
        <v/>
      </c>
      <c r="JT111" s="768" t="str">
        <f t="shared" si="877"/>
        <v/>
      </c>
      <c r="JU111" s="728" t="str">
        <f t="shared" si="1257"/>
        <v/>
      </c>
      <c r="JV111" s="768" t="str">
        <f t="shared" si="879"/>
        <v/>
      </c>
      <c r="JW111" s="728" t="str">
        <f t="shared" si="1258"/>
        <v/>
      </c>
      <c r="JX111" s="768" t="str">
        <f t="shared" si="881"/>
        <v/>
      </c>
      <c r="JY111" s="768" t="str">
        <f t="shared" si="882"/>
        <v/>
      </c>
      <c r="JZ111" s="485" t="str">
        <f>IF(JY111="","",IF(AND(C111=$C$164,JY111&lt;&gt;""),Verificarcpf(D111),IF(AND(C111=$C$165,JY111&lt;&gt;""),VerificarCNPJ(D111))))</f>
        <v/>
      </c>
      <c r="KA111" s="768" t="str">
        <f t="shared" si="883"/>
        <v/>
      </c>
      <c r="KB111" s="485">
        <f t="shared" si="884"/>
        <v>0</v>
      </c>
      <c r="KC111" s="768">
        <f t="shared" si="885"/>
        <v>0</v>
      </c>
      <c r="KD111" s="485">
        <f t="shared" si="886"/>
        <v>0</v>
      </c>
      <c r="KE111" s="448"/>
      <c r="KF111" s="548"/>
      <c r="KG111" s="548"/>
      <c r="KH111" s="548"/>
      <c r="KI111" s="548"/>
      <c r="KJ111" s="548" t="str">
        <f t="shared" si="887"/>
        <v/>
      </c>
      <c r="KK111" s="548"/>
      <c r="KL111" s="548"/>
      <c r="KM111" s="548">
        <f t="array" ref="KM111">IF(SUM((KL111=$KL$3:KL110)*1)=0,KL111,0)</f>
        <v>0</v>
      </c>
      <c r="KN111" s="548"/>
      <c r="KO111" s="548"/>
      <c r="KP111" s="548"/>
      <c r="KQ111" s="548"/>
      <c r="KR111" s="548" t="str">
        <f t="shared" si="888"/>
        <v/>
      </c>
      <c r="KS111" s="548"/>
      <c r="KT111" s="548"/>
      <c r="KU111" s="548"/>
      <c r="KV111" s="548"/>
      <c r="KW111" s="548"/>
      <c r="KX111" s="548"/>
      <c r="KY111" s="548"/>
      <c r="KZ111" s="548"/>
      <c r="LA111" s="548"/>
      <c r="LB111" s="548"/>
      <c r="LC111" s="485" t="str">
        <f t="shared" si="902"/>
        <v/>
      </c>
      <c r="LD111" s="548"/>
      <c r="LE111" s="548"/>
      <c r="LF111" s="548"/>
      <c r="LG111" s="548"/>
      <c r="LH111" s="548"/>
      <c r="LI111" s="548"/>
      <c r="LJ111" s="548"/>
      <c r="LK111" s="548"/>
      <c r="LL111" s="548"/>
      <c r="LM111" s="548"/>
      <c r="LN111" s="548"/>
      <c r="LO111" s="548"/>
      <c r="LP111" s="485" t="str">
        <f t="shared" si="903"/>
        <v/>
      </c>
      <c r="LQ111" s="548"/>
      <c r="LR111" s="548"/>
      <c r="LS111" s="548"/>
      <c r="LT111" s="548"/>
      <c r="LU111" s="548"/>
      <c r="LV111" s="548"/>
      <c r="LW111" s="548"/>
      <c r="LX111" s="548"/>
      <c r="LY111" s="548"/>
      <c r="LZ111" s="548"/>
      <c r="MA111" s="548"/>
      <c r="MB111" s="548"/>
      <c r="MC111" s="485" t="str">
        <f t="shared" si="904"/>
        <v/>
      </c>
      <c r="MD111" s="548"/>
      <c r="ME111" s="548"/>
      <c r="MF111" s="548"/>
      <c r="MG111" s="548"/>
      <c r="MH111" s="548"/>
      <c r="MI111" s="548"/>
      <c r="MJ111" s="548"/>
      <c r="MK111" s="548"/>
      <c r="ML111" s="548"/>
      <c r="MM111" s="548"/>
      <c r="MN111" s="548"/>
      <c r="MO111" s="548"/>
      <c r="MP111" s="485" t="str">
        <f t="shared" si="905"/>
        <v/>
      </c>
      <c r="MQ111" s="548"/>
      <c r="MR111" s="548"/>
      <c r="MS111" s="548"/>
      <c r="MT111" s="548"/>
      <c r="MU111" s="548"/>
      <c r="MV111" s="548"/>
      <c r="MW111" s="548"/>
      <c r="MX111" s="548"/>
      <c r="MY111" s="548"/>
      <c r="MZ111" s="548"/>
      <c r="NA111" s="548"/>
      <c r="NB111" s="548"/>
      <c r="NC111" s="485" t="str">
        <f t="shared" si="906"/>
        <v/>
      </c>
      <c r="ND111" s="548"/>
      <c r="NE111" s="548"/>
      <c r="NF111" s="548"/>
      <c r="NG111" s="548"/>
      <c r="NH111" s="548"/>
      <c r="NI111" s="548"/>
      <c r="NJ111" s="548"/>
      <c r="NK111" s="548"/>
      <c r="NL111" s="548"/>
      <c r="NM111" s="548"/>
      <c r="NN111" s="548"/>
      <c r="NO111" s="548"/>
      <c r="NP111" s="485" t="str">
        <f t="shared" si="907"/>
        <v/>
      </c>
      <c r="NQ111" s="548"/>
      <c r="NR111" s="548"/>
      <c r="NS111" s="548"/>
      <c r="NT111" s="548"/>
      <c r="NU111" s="548"/>
      <c r="NV111" s="548"/>
      <c r="NW111" s="548"/>
      <c r="NX111" s="548"/>
      <c r="NY111" s="548"/>
      <c r="NZ111" s="548"/>
      <c r="OA111" s="548"/>
      <c r="OB111" s="548"/>
      <c r="OC111" s="485" t="str">
        <f t="shared" si="908"/>
        <v/>
      </c>
      <c r="OD111" s="548"/>
      <c r="OE111" s="548"/>
      <c r="OF111" s="548"/>
      <c r="OG111" s="548"/>
      <c r="OH111" s="548"/>
      <c r="OI111" s="548"/>
      <c r="OJ111" s="548"/>
      <c r="OK111" s="548"/>
      <c r="OL111" s="548"/>
      <c r="OM111" s="548"/>
      <c r="ON111" s="548"/>
      <c r="OO111" s="548"/>
      <c r="OP111" s="548"/>
      <c r="OQ111" s="548"/>
      <c r="OR111" s="548"/>
      <c r="OS111" s="548"/>
      <c r="OT111" s="548"/>
      <c r="OU111" s="548"/>
      <c r="OV111" s="548"/>
      <c r="OW111" s="548"/>
      <c r="OX111" s="548"/>
      <c r="OY111" s="548"/>
      <c r="OZ111" s="548"/>
      <c r="PA111" s="548"/>
      <c r="PB111" s="548"/>
      <c r="PC111" s="548"/>
      <c r="PD111" s="548"/>
      <c r="PE111" s="548"/>
      <c r="PF111" s="548"/>
      <c r="PG111" s="548"/>
      <c r="PH111" s="548"/>
      <c r="PI111" s="548"/>
      <c r="PJ111" s="548"/>
      <c r="PK111" s="548"/>
      <c r="PL111" s="548"/>
      <c r="PM111" s="548"/>
      <c r="PN111" s="548"/>
      <c r="PO111" s="548"/>
      <c r="PP111" s="548"/>
      <c r="PQ111" s="548"/>
      <c r="PR111" s="548"/>
      <c r="PS111" s="548"/>
      <c r="PT111" s="548"/>
      <c r="PU111" s="548"/>
      <c r="PV111" s="548"/>
      <c r="PW111" s="548"/>
      <c r="PX111" s="548"/>
      <c r="PY111" s="548"/>
      <c r="PZ111" s="548"/>
      <c r="QA111" s="548"/>
      <c r="QB111" s="548"/>
      <c r="QC111" s="548"/>
      <c r="QD111" s="548"/>
      <c r="QE111" s="548"/>
      <c r="QF111" s="548"/>
      <c r="QG111" s="548"/>
      <c r="QH111" s="548"/>
      <c r="QI111" s="548"/>
      <c r="QJ111" s="548"/>
      <c r="QK111" s="548"/>
      <c r="QL111" s="548"/>
      <c r="QM111" s="548"/>
      <c r="QN111" s="548"/>
      <c r="QO111" s="548"/>
      <c r="QP111" s="548"/>
      <c r="QQ111" s="1009"/>
      <c r="QR111" s="548"/>
      <c r="QS111" s="548"/>
      <c r="QT111" s="548"/>
      <c r="QU111" s="548"/>
      <c r="QV111" s="548"/>
      <c r="QW111" s="548"/>
      <c r="QX111" s="548"/>
      <c r="QY111" s="548"/>
      <c r="QZ111" s="548"/>
      <c r="RA111" s="548"/>
      <c r="RB111" s="548"/>
      <c r="RC111" s="548"/>
      <c r="RD111" s="548"/>
      <c r="RE111" s="548"/>
      <c r="RF111" s="548"/>
      <c r="RG111" s="548"/>
      <c r="RH111" s="548"/>
      <c r="RI111" s="548"/>
      <c r="RJ111" s="548"/>
      <c r="RK111" s="548"/>
      <c r="RL111" s="548"/>
      <c r="RM111" s="548"/>
      <c r="RN111" s="548"/>
      <c r="RO111" s="548"/>
      <c r="RP111" s="548"/>
      <c r="RQ111" s="548"/>
      <c r="RR111" s="548"/>
      <c r="RS111" s="548"/>
      <c r="RT111" s="548"/>
      <c r="RU111" s="548"/>
      <c r="RV111" s="548"/>
      <c r="RW111" s="548"/>
      <c r="RX111" s="548"/>
      <c r="RY111" s="548"/>
      <c r="RZ111" s="548"/>
      <c r="SA111" s="548"/>
      <c r="SB111" s="548"/>
      <c r="SC111" s="548"/>
      <c r="SD111" s="548"/>
      <c r="SE111" s="548"/>
      <c r="SF111" s="548"/>
      <c r="SG111" s="548"/>
      <c r="SH111" s="548"/>
      <c r="SI111" s="548"/>
      <c r="SJ111" s="548"/>
      <c r="SK111" s="548"/>
      <c r="SL111" s="548"/>
      <c r="SM111" s="548"/>
      <c r="SN111" s="548"/>
      <c r="SO111" s="548"/>
      <c r="SP111" s="548"/>
      <c r="SQ111" s="548"/>
      <c r="SR111" s="548"/>
      <c r="SS111" s="548"/>
      <c r="ST111" s="548"/>
      <c r="SU111" s="548"/>
      <c r="SV111" s="548"/>
      <c r="SW111" s="548"/>
      <c r="SX111" s="548"/>
      <c r="SY111" s="548"/>
      <c r="SZ111" s="548"/>
      <c r="TA111" s="548"/>
      <c r="TB111" s="548"/>
      <c r="TC111" s="548"/>
      <c r="TD111" s="548"/>
      <c r="TE111" s="548"/>
      <c r="TF111" s="548"/>
      <c r="TG111" s="548"/>
      <c r="TH111" s="548"/>
      <c r="TI111" s="548"/>
      <c r="TJ111" s="548"/>
      <c r="TK111" s="548"/>
      <c r="TL111" s="548"/>
      <c r="TM111" s="548"/>
      <c r="TN111" s="548"/>
      <c r="TO111" s="548"/>
      <c r="TP111" s="548"/>
      <c r="TQ111" s="548"/>
      <c r="TR111" s="548"/>
      <c r="TS111" s="548"/>
      <c r="TT111" s="548"/>
      <c r="TU111" s="548"/>
      <c r="TV111" s="548"/>
      <c r="TW111" s="548"/>
      <c r="TX111" s="548"/>
      <c r="TY111" s="548"/>
      <c r="TZ111" s="548"/>
      <c r="UA111" s="548"/>
      <c r="UB111" s="548"/>
      <c r="UC111" s="548"/>
      <c r="UD111" s="548"/>
      <c r="UE111" s="548"/>
      <c r="UF111" s="548"/>
      <c r="UG111" s="548"/>
      <c r="UH111" s="548"/>
      <c r="UI111" s="548"/>
      <c r="UJ111" s="548"/>
      <c r="UK111" s="548"/>
      <c r="UL111" s="548"/>
      <c r="UM111" s="548"/>
      <c r="UN111" s="548"/>
      <c r="UO111" s="548"/>
      <c r="UP111" s="548"/>
      <c r="UQ111" s="548"/>
      <c r="UR111" s="548"/>
      <c r="US111" s="548"/>
      <c r="UT111" s="548"/>
      <c r="UU111" s="548"/>
      <c r="UV111" s="548"/>
      <c r="UW111" s="548"/>
      <c r="UX111" s="548"/>
      <c r="UY111" s="548"/>
      <c r="UZ111" s="548"/>
      <c r="VA111" s="548"/>
      <c r="VB111" s="548"/>
      <c r="VC111" s="548"/>
      <c r="VD111" s="548"/>
      <c r="VE111" s="548"/>
      <c r="VF111" s="548"/>
      <c r="VG111" s="548"/>
      <c r="VH111" s="548"/>
      <c r="VI111" s="548"/>
      <c r="VJ111" s="548"/>
      <c r="VK111" s="548"/>
      <c r="VL111" s="548"/>
      <c r="VM111" s="548"/>
      <c r="VN111" s="548"/>
      <c r="VO111" s="548"/>
      <c r="VP111" s="548"/>
      <c r="VQ111" s="548"/>
      <c r="VR111" s="548"/>
      <c r="VS111" s="548"/>
      <c r="VT111" s="548"/>
      <c r="VU111" s="548"/>
      <c r="VV111" s="548"/>
      <c r="VW111" s="548"/>
      <c r="VX111" s="548"/>
      <c r="VY111" s="548"/>
      <c r="VZ111" s="548"/>
      <c r="WA111" s="548"/>
      <c r="WB111" s="548"/>
      <c r="WC111" s="548"/>
      <c r="WD111" s="548"/>
      <c r="WE111" s="548"/>
      <c r="WF111" s="548"/>
      <c r="WG111" s="548"/>
      <c r="WH111" s="548"/>
      <c r="WI111" s="548"/>
      <c r="WJ111" s="548"/>
      <c r="WK111" s="548"/>
      <c r="WL111" s="548"/>
      <c r="WM111" s="548"/>
      <c r="WN111" s="548"/>
      <c r="WO111" s="548"/>
      <c r="WP111" s="548"/>
      <c r="WQ111" s="548"/>
      <c r="WR111" s="548"/>
      <c r="WS111" s="548"/>
      <c r="WT111" s="548"/>
      <c r="WU111" s="548"/>
      <c r="WV111" s="548"/>
      <c r="WW111" s="548"/>
      <c r="WX111" s="548"/>
      <c r="WY111" s="548"/>
      <c r="WZ111" s="548"/>
      <c r="XA111" s="548"/>
      <c r="XB111" s="548"/>
      <c r="XC111" s="548"/>
      <c r="XD111" s="548"/>
      <c r="XE111" s="548"/>
      <c r="XF111" s="548"/>
      <c r="XG111" s="548"/>
      <c r="XH111" s="548"/>
      <c r="XI111" s="548"/>
      <c r="XJ111" s="548"/>
      <c r="XK111" s="548"/>
      <c r="XL111" s="548"/>
      <c r="XM111" s="548"/>
      <c r="XN111" s="548"/>
      <c r="XO111" s="548"/>
      <c r="XP111" s="548"/>
      <c r="XQ111" s="548"/>
      <c r="XR111" s="548"/>
      <c r="XS111" s="548"/>
      <c r="XT111" s="548"/>
      <c r="XU111" s="548"/>
      <c r="XV111" s="548"/>
      <c r="XW111" s="548"/>
      <c r="XX111" s="548"/>
      <c r="XY111" s="548"/>
      <c r="XZ111" s="548"/>
      <c r="YA111" s="548"/>
      <c r="YB111" s="548"/>
      <c r="YC111" s="548"/>
      <c r="YD111" s="548"/>
      <c r="YE111" s="548"/>
      <c r="YF111" s="548"/>
      <c r="YG111" s="548"/>
      <c r="YH111" s="548"/>
      <c r="YI111" s="548"/>
      <c r="YJ111" s="548"/>
      <c r="YK111" s="548"/>
      <c r="YL111" s="548"/>
      <c r="YM111" s="548"/>
      <c r="YN111" s="548"/>
      <c r="YO111" s="548"/>
      <c r="YP111" s="548"/>
      <c r="YQ111" s="548"/>
      <c r="YR111" s="548"/>
      <c r="YS111" s="548"/>
      <c r="YT111" s="548"/>
      <c r="YU111" s="548"/>
      <c r="YV111" s="548"/>
      <c r="YW111" s="548"/>
      <c r="YX111" s="548"/>
      <c r="YY111" s="548"/>
      <c r="YZ111" s="548"/>
      <c r="ZA111" s="548"/>
      <c r="ZB111" s="548"/>
      <c r="ZC111" s="548"/>
      <c r="ZD111" s="548"/>
      <c r="ZE111" s="548"/>
      <c r="ZF111" s="548"/>
      <c r="ZG111" s="548"/>
      <c r="ZH111" s="548"/>
      <c r="ZI111" s="548"/>
      <c r="ZJ111" s="548"/>
      <c r="ZK111" s="548"/>
      <c r="ZL111" s="548"/>
      <c r="ZM111" s="548"/>
      <c r="ZN111" s="548"/>
      <c r="ZO111" s="548"/>
      <c r="ZP111" s="548"/>
      <c r="ZQ111" s="548"/>
      <c r="ZR111" s="548"/>
      <c r="ZS111" s="548"/>
      <c r="ZT111" s="548"/>
      <c r="ZU111" s="548"/>
      <c r="ZV111" s="548"/>
      <c r="ZW111" s="548"/>
      <c r="ZX111" s="548"/>
      <c r="ZY111" s="548"/>
      <c r="ZZ111" s="548"/>
      <c r="AAA111" s="548"/>
      <c r="AAB111" s="548"/>
      <c r="AAC111" s="548"/>
      <c r="AAD111" s="548"/>
      <c r="AAE111" s="548"/>
      <c r="AAF111" s="548"/>
      <c r="AAG111" s="548"/>
      <c r="AAH111" s="548"/>
      <c r="AAI111" s="548"/>
      <c r="AAJ111" s="548"/>
      <c r="AAK111" s="548"/>
      <c r="AAL111" s="548"/>
      <c r="AAM111" s="548"/>
      <c r="AAN111" s="548"/>
      <c r="AAO111" s="548"/>
      <c r="AAP111" s="548"/>
      <c r="AAQ111" s="548"/>
      <c r="AAR111" s="548"/>
      <c r="AAS111" s="548"/>
      <c r="AAT111" s="548"/>
      <c r="AAU111" s="548"/>
      <c r="AAV111" s="548"/>
      <c r="AAW111" s="548"/>
      <c r="AAX111" s="548"/>
      <c r="AAY111" s="548"/>
      <c r="AAZ111" s="548"/>
      <c r="ABA111" s="548"/>
      <c r="ABB111" s="548"/>
      <c r="ABC111" s="548"/>
      <c r="ABD111" s="548"/>
      <c r="ABE111" s="548"/>
      <c r="ABF111" s="548"/>
      <c r="ABG111" s="548"/>
      <c r="ABH111" s="548"/>
      <c r="ABI111" s="548"/>
      <c r="ABJ111" s="548"/>
      <c r="ABK111" s="548"/>
      <c r="ABL111" s="548"/>
      <c r="ABM111" s="548"/>
      <c r="ABN111" s="548"/>
      <c r="ABO111" s="548"/>
      <c r="ABP111" s="548"/>
      <c r="ABQ111" s="548"/>
      <c r="ABR111" s="548"/>
      <c r="ABS111" s="548"/>
    </row>
    <row r="112" spans="1:747" customFormat="1" ht="15" customHeight="1" x14ac:dyDescent="0.2">
      <c r="A112" s="424" t="str">
        <f t="shared" si="909"/>
        <v/>
      </c>
      <c r="B112" s="415"/>
      <c r="C112" s="525"/>
      <c r="D112" s="750"/>
      <c r="E112" s="416" t="str">
        <f t="shared" si="1171"/>
        <v/>
      </c>
      <c r="F112" s="527" t="str">
        <f t="shared" si="1172"/>
        <v/>
      </c>
      <c r="G112" s="417"/>
      <c r="H112" s="585" t="str">
        <f t="shared" si="1173"/>
        <v/>
      </c>
      <c r="I112" s="424"/>
      <c r="J112" s="419"/>
      <c r="K112" s="418"/>
      <c r="L112" s="419"/>
      <c r="M112" s="415"/>
      <c r="N112" s="420"/>
      <c r="O112" s="421"/>
      <c r="P112" s="561"/>
      <c r="Q112" s="422"/>
      <c r="R112" s="561" t="str">
        <f t="shared" si="1174"/>
        <v/>
      </c>
      <c r="S112" s="664"/>
      <c r="T112" s="663"/>
      <c r="U112" s="580">
        <f t="shared" si="1175"/>
        <v>0</v>
      </c>
      <c r="V112" s="418"/>
      <c r="W112" s="582" t="str">
        <f t="shared" si="1176"/>
        <v/>
      </c>
      <c r="X112" s="479" t="str">
        <f t="shared" si="1177"/>
        <v/>
      </c>
      <c r="Y112" s="582" t="str">
        <f t="shared" si="1178"/>
        <v/>
      </c>
      <c r="Z112" s="317" t="str">
        <f t="shared" si="1179"/>
        <v/>
      </c>
      <c r="AA112" s="317" t="str">
        <f t="shared" si="1180"/>
        <v/>
      </c>
      <c r="AB112" s="317">
        <f t="shared" si="1181"/>
        <v>0</v>
      </c>
      <c r="AC112" s="317" t="str">
        <f t="shared" si="1182"/>
        <v/>
      </c>
      <c r="AD112" s="479"/>
      <c r="AE112" s="479"/>
      <c r="AF112" s="479"/>
      <c r="AG112" s="423"/>
      <c r="AH112" s="820"/>
      <c r="AI112" s="437"/>
      <c r="AJ112" s="720"/>
      <c r="AK112" s="524" t="str">
        <f t="shared" si="1183"/>
        <v/>
      </c>
      <c r="AL112" s="731">
        <f>SUMIF($J$4:$J$144,"Formação",$S$4:$S$144)</f>
        <v>0</v>
      </c>
      <c r="AM112" s="732">
        <f>SUMIF($J$4:$J$144,"Formação",$T$4:$T$144)</f>
        <v>0</v>
      </c>
      <c r="AN112" s="426">
        <f t="shared" si="1184"/>
        <v>0</v>
      </c>
      <c r="AO112" s="427" t="str">
        <f t="shared" si="1185"/>
        <v/>
      </c>
      <c r="AP112" s="426" t="str">
        <f t="shared" si="1186"/>
        <v/>
      </c>
      <c r="AQ112" s="426"/>
      <c r="AR112" s="426"/>
      <c r="AS112" s="428"/>
      <c r="AT112" s="429"/>
      <c r="AU112" s="430"/>
      <c r="AV112" s="431"/>
      <c r="AW112" s="432"/>
      <c r="AX112" s="430"/>
      <c r="AY112" s="431">
        <f t="shared" si="1187"/>
        <v>0</v>
      </c>
      <c r="AZ112" s="426"/>
      <c r="BA112" s="435" t="str">
        <f t="shared" si="1188"/>
        <v/>
      </c>
      <c r="BB112" s="435"/>
      <c r="BC112" s="426"/>
      <c r="BD112" s="426">
        <f t="array" ref="BD112">IF(SUM((BC112=$BC$3:BC111)*1)=0,BC112,0)</f>
        <v>0</v>
      </c>
      <c r="BE112" s="426"/>
      <c r="BF112" s="426"/>
      <c r="BG112" s="426">
        <f t="array" ref="BG112">IF(SUM((BF112=$BF$3:BF111)*1)=0,BF112,0)</f>
        <v>0</v>
      </c>
      <c r="BH112" s="426"/>
      <c r="BI112" s="426"/>
      <c r="BJ112" s="426"/>
      <c r="BK112" s="426"/>
      <c r="BL112" s="426"/>
      <c r="BM112" s="426"/>
      <c r="BN112" s="426"/>
      <c r="BO112" s="426"/>
      <c r="BP112" s="433">
        <f t="shared" si="1189"/>
        <v>0</v>
      </c>
      <c r="BQ112" s="426"/>
      <c r="BR112" s="434"/>
      <c r="BS112" s="426"/>
      <c r="BT112" s="433"/>
      <c r="BU112" s="435"/>
      <c r="BV112" s="435" t="str">
        <f t="shared" si="1190"/>
        <v/>
      </c>
      <c r="BW112" s="435" t="str">
        <f t="shared" si="798"/>
        <v/>
      </c>
      <c r="BX112" s="435"/>
      <c r="BY112" s="435"/>
      <c r="BZ112" s="435"/>
      <c r="CA112" s="435"/>
      <c r="CB112" s="435"/>
      <c r="CC112" s="435"/>
      <c r="CD112" s="435"/>
      <c r="CE112" s="435"/>
      <c r="CF112" s="435"/>
      <c r="CG112" s="435"/>
      <c r="CH112" s="435"/>
      <c r="CI112" s="435"/>
      <c r="CJ112" s="426" t="str">
        <f t="shared" si="799"/>
        <v/>
      </c>
      <c r="CK112" s="435"/>
      <c r="CL112" s="426"/>
      <c r="CM112" s="435"/>
      <c r="CN112" s="426"/>
      <c r="CO112" s="426"/>
      <c r="CP112" s="426"/>
      <c r="CQ112" s="426"/>
      <c r="CR112" s="426"/>
      <c r="CS112" s="426"/>
      <c r="CT112" s="426"/>
      <c r="CU112" s="426"/>
      <c r="CV112" s="426"/>
      <c r="CW112" s="493"/>
      <c r="CX112" s="493"/>
      <c r="CY112" s="426">
        <v>109</v>
      </c>
      <c r="CZ112" s="493"/>
      <c r="DA112" s="493"/>
      <c r="DB112" s="493"/>
      <c r="DC112" s="426" t="s">
        <v>852</v>
      </c>
      <c r="DD112" s="426" t="s">
        <v>1012</v>
      </c>
      <c r="DE112" s="435" t="str">
        <f t="shared" si="800"/>
        <v/>
      </c>
      <c r="DF112" s="435" t="str">
        <f t="shared" si="801"/>
        <v/>
      </c>
      <c r="DG112" s="435" t="str">
        <f t="shared" si="802"/>
        <v/>
      </c>
      <c r="DH112" s="435" t="str">
        <f t="shared" si="803"/>
        <v/>
      </c>
      <c r="DI112" s="435" t="str">
        <f t="shared" si="804"/>
        <v/>
      </c>
      <c r="DJ112" s="435" t="str">
        <f t="shared" si="805"/>
        <v/>
      </c>
      <c r="DK112" s="435" t="str">
        <f t="shared" si="1191"/>
        <v/>
      </c>
      <c r="DL112" s="435" t="str">
        <f t="shared" si="1192"/>
        <v/>
      </c>
      <c r="DM112" s="435" t="str">
        <f t="shared" si="806"/>
        <v/>
      </c>
      <c r="DN112" s="435" t="str">
        <f t="shared" si="807"/>
        <v/>
      </c>
      <c r="DO112" s="435" t="str">
        <f t="shared" si="1193"/>
        <v/>
      </c>
      <c r="DP112" s="435" t="str">
        <f t="shared" si="1194"/>
        <v/>
      </c>
      <c r="DQ112" s="435" t="str">
        <f t="shared" si="808"/>
        <v/>
      </c>
      <c r="DR112" s="435" t="str">
        <f t="shared" si="809"/>
        <v/>
      </c>
      <c r="DS112" s="435" t="str">
        <f t="shared" si="1195"/>
        <v/>
      </c>
      <c r="DT112" s="435" t="str">
        <f t="shared" si="1196"/>
        <v/>
      </c>
      <c r="DU112" s="435" t="str">
        <f t="shared" si="810"/>
        <v/>
      </c>
      <c r="DV112" s="435" t="str">
        <f t="shared" si="811"/>
        <v/>
      </c>
      <c r="DW112" s="435" t="str">
        <f t="shared" si="1197"/>
        <v/>
      </c>
      <c r="DX112" s="435" t="str">
        <f t="shared" si="1198"/>
        <v/>
      </c>
      <c r="DY112" s="435" t="str">
        <f t="shared" si="812"/>
        <v/>
      </c>
      <c r="DZ112" s="435" t="str">
        <f t="shared" si="813"/>
        <v/>
      </c>
      <c r="EA112" s="435" t="str">
        <f t="shared" si="1199"/>
        <v/>
      </c>
      <c r="EB112" s="435" t="str">
        <f t="shared" si="1200"/>
        <v/>
      </c>
      <c r="EC112" s="435" t="str">
        <f t="shared" si="1201"/>
        <v/>
      </c>
      <c r="ED112" s="435" t="str">
        <f t="shared" si="1202"/>
        <v/>
      </c>
      <c r="EE112" s="435" t="str">
        <f t="shared" si="1203"/>
        <v/>
      </c>
      <c r="EF112" s="435" t="str">
        <f t="shared" si="1204"/>
        <v/>
      </c>
      <c r="EG112" s="435" t="str">
        <f t="shared" si="1205"/>
        <v/>
      </c>
      <c r="EH112" s="435" t="str">
        <f t="shared" si="1206"/>
        <v/>
      </c>
      <c r="EI112" s="435" t="str">
        <f t="shared" si="1207"/>
        <v/>
      </c>
      <c r="EJ112" s="435" t="str">
        <f t="shared" si="1208"/>
        <v/>
      </c>
      <c r="EK112" s="485"/>
      <c r="EL112" s="485"/>
      <c r="EM112" s="485"/>
      <c r="EN112" s="485"/>
      <c r="EO112" s="448"/>
      <c r="EP112" s="448"/>
      <c r="EQ112" s="448"/>
      <c r="ER112" s="448"/>
      <c r="ES112" s="448"/>
      <c r="ET112" s="435"/>
      <c r="EU112" s="435"/>
      <c r="EV112" s="435"/>
      <c r="EW112" s="435"/>
      <c r="EX112" s="426"/>
      <c r="EY112" s="426"/>
      <c r="EZ112" s="426"/>
      <c r="FA112" s="863"/>
      <c r="FB112" s="427">
        <f t="array" ref="FB112">IF(SUM((FA112=$FA$3:FA111)*1)=0,FA112,0)</f>
        <v>0</v>
      </c>
      <c r="FC112" s="863"/>
      <c r="FD112" s="863"/>
      <c r="FE112" s="863">
        <f t="array" ref="FE112">IF(SUM((FD112=$FD$3:FD111)*1)=0,FD112,0)</f>
        <v>0</v>
      </c>
      <c r="FF112" s="863"/>
      <c r="FG112" s="863"/>
      <c r="FH112" s="863"/>
      <c r="FI112" s="427">
        <f t="array" ref="FI112">IF(SUM((FH112=$FH$3:FH111)*1)=0,FH112,0)</f>
        <v>0</v>
      </c>
      <c r="FJ112" s="863"/>
      <c r="FK112" s="863"/>
      <c r="FL112" s="863">
        <f t="array" ref="FL112">IF(SUM((FK112=$FK$3:FK111)*1)=0,FK112,0)</f>
        <v>0</v>
      </c>
      <c r="FM112" s="863"/>
      <c r="FN112" s="863"/>
      <c r="FO112" s="863"/>
      <c r="FP112" s="427">
        <f t="array" ref="FP112">IF(SUM((FO112=$FO$3:FO111)*1)=0,FO112,0)</f>
        <v>0</v>
      </c>
      <c r="FQ112" s="863"/>
      <c r="FR112" s="863"/>
      <c r="FS112" s="863">
        <f t="array" ref="FS112">IF(SUM((FR112=$FR$3:FR111)*1)=0,FR112,0)</f>
        <v>0</v>
      </c>
      <c r="FT112" s="863"/>
      <c r="FU112" s="863"/>
      <c r="FV112" s="863"/>
      <c r="FW112" s="427">
        <f t="array" ref="FW112">IF(SUM((FV112=$FV$3:FV111)*1)=0,FV112,0)</f>
        <v>0</v>
      </c>
      <c r="FX112" s="863"/>
      <c r="FY112" s="863"/>
      <c r="FZ112" s="863">
        <f t="array" ref="FZ112">IF(SUM((FY112=$FY$3:FY111)*1)=0,FY112,0)</f>
        <v>0</v>
      </c>
      <c r="GA112" s="863"/>
      <c r="GB112" s="863"/>
      <c r="GC112" s="863"/>
      <c r="GD112" s="427">
        <f t="array" ref="GD112">IF(SUM((GC112=$GC$3:GC111)*1)=0,GC112,0)</f>
        <v>0</v>
      </c>
      <c r="GE112" s="863"/>
      <c r="GF112" s="863"/>
      <c r="GG112" s="863">
        <f t="array" ref="GG112">IF(SUM((GF112=$GF$3:GF111)*1)=0,GF112,0)</f>
        <v>0</v>
      </c>
      <c r="GH112" s="863"/>
      <c r="GI112" s="863"/>
      <c r="GJ112" s="863"/>
      <c r="GK112" s="798">
        <f t="array" ref="GK112">IF(SUM((GJ112=$GJ$3:GJ111)*1)=0,GJ112,0)</f>
        <v>0</v>
      </c>
      <c r="GL112" s="863"/>
      <c r="GM112" s="863"/>
      <c r="GN112" s="798">
        <f t="array" ref="GN112">IF(SUM((GM112=$GM$3:GM111)*1)=0,GM112,0)</f>
        <v>0</v>
      </c>
      <c r="GO112" s="863"/>
      <c r="GP112" s="863"/>
      <c r="GQ112" s="863"/>
      <c r="GR112" s="798">
        <f t="array" ref="GR112">IF(SUM((GQ112=$GQ$3:GQ111)*1)=0,GQ112,0)</f>
        <v>0</v>
      </c>
      <c r="GS112" s="863"/>
      <c r="GT112" s="863"/>
      <c r="GU112" s="798">
        <f t="array" ref="GU112">IF(SUM((GT112=$GT$3:GT111)*1)=0,GT112,0)</f>
        <v>0</v>
      </c>
      <c r="GV112" s="863"/>
      <c r="GW112" s="863"/>
      <c r="GX112" s="863"/>
      <c r="GY112" s="798">
        <f t="array" ref="GY112">IF(SUM((GX112=$GX$3:GX111)*1)=0,GX112,0)</f>
        <v>0</v>
      </c>
      <c r="GZ112" s="863"/>
      <c r="HA112" s="863"/>
      <c r="HB112" s="798">
        <f t="array" ref="HB112">IF(SUM((HA112=$HA$3:HA111)*1)=0,HA112,0)</f>
        <v>0</v>
      </c>
      <c r="HC112" s="863"/>
      <c r="HD112" s="863"/>
      <c r="HE112" s="769" t="str">
        <f t="shared" si="889"/>
        <v/>
      </c>
      <c r="HF112" s="768" t="str">
        <f t="shared" ref="HF112" si="1349">IF(HE112&lt;0,"Invadiu REP-BA-C","")</f>
        <v/>
      </c>
      <c r="HG112" s="769" t="str">
        <f t="shared" si="891"/>
        <v/>
      </c>
      <c r="HH112" s="768" t="str">
        <f t="shared" si="815"/>
        <v/>
      </c>
      <c r="HI112" s="728" t="str">
        <f t="shared" si="892"/>
        <v/>
      </c>
      <c r="HJ112" s="768" t="str">
        <f t="shared" si="816"/>
        <v/>
      </c>
      <c r="HK112" s="728" t="str">
        <f t="shared" si="893"/>
        <v/>
      </c>
      <c r="HL112" s="768" t="str">
        <f t="shared" si="817"/>
        <v/>
      </c>
      <c r="HM112" s="769" t="str">
        <f t="shared" si="1219"/>
        <v/>
      </c>
      <c r="HN112" s="768" t="str">
        <f t="shared" ref="HN112" si="1350">IF(HM112&lt;0,"Invadiu REP-BA-C","")</f>
        <v/>
      </c>
      <c r="HO112" s="769" t="str">
        <f t="shared" si="1221"/>
        <v/>
      </c>
      <c r="HP112" s="768" t="str">
        <f t="shared" si="821"/>
        <v/>
      </c>
      <c r="HQ112" s="728" t="str">
        <f t="shared" si="1222"/>
        <v/>
      </c>
      <c r="HR112" s="768" t="str">
        <f t="shared" si="823"/>
        <v/>
      </c>
      <c r="HS112" s="728" t="str">
        <f t="shared" si="1223"/>
        <v/>
      </c>
      <c r="HT112" s="768" t="str">
        <f t="shared" si="825"/>
        <v/>
      </c>
      <c r="HU112" s="769" t="str">
        <f t="shared" si="1224"/>
        <v/>
      </c>
      <c r="HV112" s="768" t="str">
        <f t="shared" ref="HV112" si="1351">IF(HU112&lt;0,"Invadiu REP-BA-C","")</f>
        <v/>
      </c>
      <c r="HW112" s="769" t="str">
        <f t="shared" si="1226"/>
        <v/>
      </c>
      <c r="HX112" s="768" t="str">
        <f t="shared" si="829"/>
        <v/>
      </c>
      <c r="HY112" s="728" t="str">
        <f t="shared" si="1227"/>
        <v/>
      </c>
      <c r="HZ112" s="768" t="str">
        <f t="shared" si="831"/>
        <v/>
      </c>
      <c r="IA112" s="728" t="str">
        <f t="shared" si="1228"/>
        <v/>
      </c>
      <c r="IB112" s="768" t="str">
        <f t="shared" si="833"/>
        <v/>
      </c>
      <c r="IC112" s="769" t="str">
        <f t="shared" si="1229"/>
        <v/>
      </c>
      <c r="ID112" s="768" t="str">
        <f t="shared" ref="ID112" si="1352">IF(IC112&lt;0,"Invadiu REP-BA-C","")</f>
        <v/>
      </c>
      <c r="IE112" s="769" t="str">
        <f t="shared" si="1231"/>
        <v/>
      </c>
      <c r="IF112" s="768" t="str">
        <f t="shared" si="837"/>
        <v/>
      </c>
      <c r="IG112" s="728" t="str">
        <f t="shared" si="1232"/>
        <v/>
      </c>
      <c r="IH112" s="768" t="str">
        <f t="shared" si="839"/>
        <v/>
      </c>
      <c r="II112" s="728" t="str">
        <f t="shared" si="1233"/>
        <v/>
      </c>
      <c r="IJ112" s="768" t="str">
        <f t="shared" si="841"/>
        <v/>
      </c>
      <c r="IK112" s="769" t="str">
        <f t="shared" si="1234"/>
        <v/>
      </c>
      <c r="IL112" s="768" t="str">
        <f t="shared" ref="IL112" si="1353">IF(IK112&lt;0,"Invadiu REP-BA-C","")</f>
        <v/>
      </c>
      <c r="IM112" s="769" t="str">
        <f t="shared" si="1236"/>
        <v/>
      </c>
      <c r="IN112" s="768" t="str">
        <f t="shared" si="845"/>
        <v/>
      </c>
      <c r="IO112" s="728" t="str">
        <f t="shared" si="1237"/>
        <v/>
      </c>
      <c r="IP112" s="768" t="str">
        <f t="shared" si="847"/>
        <v/>
      </c>
      <c r="IQ112" s="728" t="str">
        <f t="shared" si="1238"/>
        <v/>
      </c>
      <c r="IR112" s="768" t="str">
        <f t="shared" si="849"/>
        <v/>
      </c>
      <c r="IS112" s="769" t="str">
        <f t="shared" si="1239"/>
        <v/>
      </c>
      <c r="IT112" s="768" t="str">
        <f t="shared" ref="IT112" si="1354">IF(IS112&lt;0,"Invadiu REP-BA-C","")</f>
        <v/>
      </c>
      <c r="IU112" s="769" t="str">
        <f t="shared" si="1241"/>
        <v/>
      </c>
      <c r="IV112" s="768" t="str">
        <f t="shared" si="853"/>
        <v/>
      </c>
      <c r="IW112" s="728" t="str">
        <f t="shared" si="1242"/>
        <v/>
      </c>
      <c r="IX112" s="768" t="str">
        <f t="shared" si="855"/>
        <v/>
      </c>
      <c r="IY112" s="728" t="str">
        <f t="shared" si="1243"/>
        <v/>
      </c>
      <c r="IZ112" s="768" t="str">
        <f t="shared" si="857"/>
        <v/>
      </c>
      <c r="JA112" s="769" t="str">
        <f t="shared" si="1244"/>
        <v/>
      </c>
      <c r="JB112" s="768" t="str">
        <f t="shared" ref="JB112" si="1355">IF(JA112&lt;0,"Invadiu REP-BA-C","")</f>
        <v/>
      </c>
      <c r="JC112" s="769" t="str">
        <f t="shared" si="1246"/>
        <v/>
      </c>
      <c r="JD112" s="768" t="str">
        <f t="shared" si="861"/>
        <v/>
      </c>
      <c r="JE112" s="728" t="str">
        <f t="shared" si="1247"/>
        <v/>
      </c>
      <c r="JF112" s="768" t="str">
        <f t="shared" si="863"/>
        <v/>
      </c>
      <c r="JG112" s="728" t="str">
        <f t="shared" si="1248"/>
        <v/>
      </c>
      <c r="JH112" s="768" t="str">
        <f t="shared" si="865"/>
        <v/>
      </c>
      <c r="JI112" s="769" t="str">
        <f t="shared" si="1249"/>
        <v/>
      </c>
      <c r="JJ112" s="768" t="str">
        <f t="shared" ref="JJ112" si="1356">IF(JI112&lt;0,"Invadiu REP-BA-C","")</f>
        <v/>
      </c>
      <c r="JK112" s="769" t="str">
        <f t="shared" si="1251"/>
        <v/>
      </c>
      <c r="JL112" s="768" t="str">
        <f t="shared" si="869"/>
        <v/>
      </c>
      <c r="JM112" s="728" t="str">
        <f t="shared" si="1252"/>
        <v/>
      </c>
      <c r="JN112" s="768" t="str">
        <f t="shared" si="871"/>
        <v/>
      </c>
      <c r="JO112" s="728" t="str">
        <f t="shared" si="1253"/>
        <v/>
      </c>
      <c r="JP112" s="768" t="str">
        <f t="shared" si="873"/>
        <v/>
      </c>
      <c r="JQ112" s="769" t="str">
        <f t="shared" si="1254"/>
        <v/>
      </c>
      <c r="JR112" s="768" t="str">
        <f t="shared" ref="JR112" si="1357">IF(JQ112&lt;0,"Invadiu REP-BA-C","")</f>
        <v/>
      </c>
      <c r="JS112" s="769" t="str">
        <f t="shared" si="1256"/>
        <v/>
      </c>
      <c r="JT112" s="768" t="str">
        <f t="shared" si="877"/>
        <v/>
      </c>
      <c r="JU112" s="728" t="str">
        <f t="shared" si="1257"/>
        <v/>
      </c>
      <c r="JV112" s="768" t="str">
        <f t="shared" si="879"/>
        <v/>
      </c>
      <c r="JW112" s="728" t="str">
        <f t="shared" si="1258"/>
        <v/>
      </c>
      <c r="JX112" s="768" t="str">
        <f t="shared" si="881"/>
        <v/>
      </c>
      <c r="JY112" s="768" t="str">
        <f t="shared" si="882"/>
        <v/>
      </c>
      <c r="JZ112" s="485" t="str">
        <f>IF(JY112="","",IF(AND(C112=$C$164,JY112&lt;&gt;""),Verificarcpf(D112),IF(AND(C112=$C$165,JY112&lt;&gt;""),VerificarCNPJ(D112))))</f>
        <v/>
      </c>
      <c r="KA112" s="768" t="str">
        <f t="shared" si="883"/>
        <v/>
      </c>
      <c r="KB112" s="485">
        <f t="shared" si="884"/>
        <v>0</v>
      </c>
      <c r="KC112" s="768">
        <f t="shared" si="885"/>
        <v>0</v>
      </c>
      <c r="KD112" s="485">
        <f t="shared" si="886"/>
        <v>0</v>
      </c>
      <c r="KE112" s="448"/>
      <c r="KF112" s="548"/>
      <c r="KG112" s="548"/>
      <c r="KH112" s="548"/>
      <c r="KI112" s="548"/>
      <c r="KJ112" s="548" t="str">
        <f t="shared" si="887"/>
        <v/>
      </c>
      <c r="KK112" s="548"/>
      <c r="KL112" s="548"/>
      <c r="KM112" s="548">
        <f t="array" ref="KM112">IF(SUM((KL112=$KL$3:KL111)*1)=0,KL112,0)</f>
        <v>0</v>
      </c>
      <c r="KN112" s="548"/>
      <c r="KO112" s="548"/>
      <c r="KP112" s="548"/>
      <c r="KQ112" s="548"/>
      <c r="KR112" s="548" t="str">
        <f t="shared" si="888"/>
        <v/>
      </c>
      <c r="KS112" s="548"/>
      <c r="KT112" s="548"/>
      <c r="KU112" s="548"/>
      <c r="KV112" s="548"/>
      <c r="KW112" s="548"/>
      <c r="KX112" s="548"/>
      <c r="KY112" s="548"/>
      <c r="KZ112" s="548"/>
      <c r="LA112" s="548"/>
      <c r="LB112" s="548"/>
      <c r="LC112" s="485" t="str">
        <f t="shared" si="902"/>
        <v/>
      </c>
      <c r="LD112" s="548"/>
      <c r="LE112" s="548"/>
      <c r="LF112" s="548"/>
      <c r="LG112" s="548"/>
      <c r="LH112" s="548"/>
      <c r="LI112" s="548"/>
      <c r="LJ112" s="548"/>
      <c r="LK112" s="548"/>
      <c r="LL112" s="548"/>
      <c r="LM112" s="548"/>
      <c r="LN112" s="548"/>
      <c r="LO112" s="548"/>
      <c r="LP112" s="485" t="str">
        <f t="shared" si="903"/>
        <v/>
      </c>
      <c r="LQ112" s="548"/>
      <c r="LR112" s="548"/>
      <c r="LS112" s="548"/>
      <c r="LT112" s="548"/>
      <c r="LU112" s="548"/>
      <c r="LV112" s="548"/>
      <c r="LW112" s="548"/>
      <c r="LX112" s="548"/>
      <c r="LY112" s="548"/>
      <c r="LZ112" s="548"/>
      <c r="MA112" s="548"/>
      <c r="MB112" s="548"/>
      <c r="MC112" s="485" t="str">
        <f t="shared" si="904"/>
        <v/>
      </c>
      <c r="MD112" s="548"/>
      <c r="ME112" s="548"/>
      <c r="MF112" s="548"/>
      <c r="MG112" s="548"/>
      <c r="MH112" s="548"/>
      <c r="MI112" s="548"/>
      <c r="MJ112" s="548"/>
      <c r="MK112" s="548"/>
      <c r="ML112" s="548"/>
      <c r="MM112" s="548"/>
      <c r="MN112" s="548"/>
      <c r="MO112" s="548"/>
      <c r="MP112" s="485" t="str">
        <f t="shared" si="905"/>
        <v/>
      </c>
      <c r="MQ112" s="548"/>
      <c r="MR112" s="548"/>
      <c r="MS112" s="548"/>
      <c r="MT112" s="548"/>
      <c r="MU112" s="548"/>
      <c r="MV112" s="548"/>
      <c r="MW112" s="548"/>
      <c r="MX112" s="548"/>
      <c r="MY112" s="548"/>
      <c r="MZ112" s="548"/>
      <c r="NA112" s="548"/>
      <c r="NB112" s="548"/>
      <c r="NC112" s="485" t="str">
        <f t="shared" si="906"/>
        <v/>
      </c>
      <c r="ND112" s="548"/>
      <c r="NE112" s="548"/>
      <c r="NF112" s="548"/>
      <c r="NG112" s="548"/>
      <c r="NH112" s="548"/>
      <c r="NI112" s="548"/>
      <c r="NJ112" s="548"/>
      <c r="NK112" s="548"/>
      <c r="NL112" s="548"/>
      <c r="NM112" s="548"/>
      <c r="NN112" s="548"/>
      <c r="NO112" s="548"/>
      <c r="NP112" s="485" t="str">
        <f t="shared" si="907"/>
        <v/>
      </c>
      <c r="NQ112" s="548"/>
      <c r="NR112" s="548"/>
      <c r="NS112" s="548"/>
      <c r="NT112" s="548"/>
      <c r="NU112" s="548"/>
      <c r="NV112" s="548"/>
      <c r="NW112" s="548"/>
      <c r="NX112" s="548"/>
      <c r="NY112" s="548"/>
      <c r="NZ112" s="548"/>
      <c r="OA112" s="548"/>
      <c r="OB112" s="548"/>
      <c r="OC112" s="485" t="str">
        <f t="shared" si="908"/>
        <v/>
      </c>
      <c r="OD112" s="548"/>
      <c r="OE112" s="548"/>
      <c r="OF112" s="548"/>
      <c r="OG112" s="548"/>
      <c r="OH112" s="548"/>
      <c r="OI112" s="548"/>
      <c r="OJ112" s="548"/>
      <c r="OK112" s="548"/>
      <c r="OL112" s="548"/>
      <c r="OM112" s="548"/>
      <c r="ON112" s="548"/>
      <c r="OO112" s="548"/>
      <c r="OP112" s="548"/>
      <c r="OQ112" s="548"/>
      <c r="OR112" s="548"/>
      <c r="OS112" s="548"/>
      <c r="OT112" s="548"/>
      <c r="OU112" s="548"/>
      <c r="OV112" s="548"/>
      <c r="OW112" s="548"/>
      <c r="OX112" s="548"/>
      <c r="OY112" s="548"/>
      <c r="OZ112" s="548"/>
      <c r="PA112" s="548"/>
      <c r="PB112" s="548"/>
      <c r="PC112" s="548"/>
      <c r="PD112" s="548"/>
      <c r="PE112" s="548"/>
      <c r="PF112" s="548"/>
      <c r="PG112" s="548"/>
      <c r="PH112" s="548"/>
      <c r="PI112" s="548"/>
      <c r="PJ112" s="548"/>
      <c r="PK112" s="548"/>
      <c r="PL112" s="548"/>
      <c r="PM112" s="548"/>
      <c r="PN112" s="548"/>
      <c r="PO112" s="548"/>
      <c r="PP112" s="548"/>
      <c r="PQ112" s="548"/>
      <c r="PR112" s="548"/>
      <c r="PS112" s="548"/>
      <c r="PT112" s="548"/>
      <c r="PU112" s="548"/>
      <c r="PV112" s="548"/>
      <c r="PW112" s="548"/>
      <c r="PX112" s="548"/>
      <c r="PY112" s="548"/>
      <c r="PZ112" s="548"/>
      <c r="QA112" s="548"/>
      <c r="QB112" s="548"/>
      <c r="QC112" s="548"/>
      <c r="QD112" s="548"/>
      <c r="QE112" s="548"/>
      <c r="QF112" s="548"/>
      <c r="QG112" s="548"/>
      <c r="QH112" s="548"/>
      <c r="QI112" s="548"/>
      <c r="QJ112" s="548"/>
      <c r="QK112" s="548"/>
      <c r="QL112" s="548"/>
      <c r="QM112" s="548"/>
      <c r="QN112" s="548"/>
      <c r="QO112" s="548"/>
      <c r="QP112" s="548"/>
      <c r="QQ112" s="1009"/>
      <c r="QR112" s="548"/>
      <c r="QS112" s="548"/>
      <c r="QT112" s="548"/>
      <c r="QU112" s="548"/>
      <c r="QV112" s="548"/>
      <c r="QW112" s="548"/>
      <c r="QX112" s="548"/>
      <c r="QY112" s="548"/>
      <c r="QZ112" s="548"/>
      <c r="RA112" s="548"/>
      <c r="RB112" s="548"/>
      <c r="RC112" s="548"/>
      <c r="RD112" s="548"/>
      <c r="RE112" s="548"/>
      <c r="RF112" s="548"/>
      <c r="RG112" s="548"/>
      <c r="RH112" s="548"/>
      <c r="RI112" s="548"/>
      <c r="RJ112" s="548"/>
      <c r="RK112" s="548"/>
      <c r="RL112" s="548"/>
      <c r="RM112" s="548"/>
      <c r="RN112" s="548"/>
      <c r="RO112" s="548"/>
      <c r="RP112" s="548"/>
      <c r="RQ112" s="548"/>
      <c r="RR112" s="548"/>
      <c r="RS112" s="548"/>
      <c r="RT112" s="548"/>
      <c r="RU112" s="548"/>
      <c r="RV112" s="548"/>
      <c r="RW112" s="548"/>
      <c r="RX112" s="548"/>
      <c r="RY112" s="548"/>
      <c r="RZ112" s="548"/>
      <c r="SA112" s="548"/>
      <c r="SB112" s="548"/>
      <c r="SC112" s="548"/>
      <c r="SD112" s="548"/>
      <c r="SE112" s="548"/>
      <c r="SF112" s="548"/>
      <c r="SG112" s="548"/>
      <c r="SH112" s="548"/>
      <c r="SI112" s="548"/>
      <c r="SJ112" s="548"/>
      <c r="SK112" s="548"/>
      <c r="SL112" s="548"/>
      <c r="SM112" s="548"/>
      <c r="SN112" s="548"/>
      <c r="SO112" s="548"/>
      <c r="SP112" s="548"/>
      <c r="SQ112" s="548"/>
      <c r="SR112" s="548"/>
      <c r="SS112" s="548"/>
      <c r="ST112" s="548"/>
      <c r="SU112" s="548"/>
      <c r="SV112" s="548"/>
      <c r="SW112" s="548"/>
      <c r="SX112" s="548"/>
      <c r="SY112" s="548"/>
      <c r="SZ112" s="548"/>
      <c r="TA112" s="548"/>
      <c r="TB112" s="548"/>
      <c r="TC112" s="548"/>
      <c r="TD112" s="548"/>
      <c r="TE112" s="548"/>
      <c r="TF112" s="548"/>
      <c r="TG112" s="548"/>
      <c r="TH112" s="548"/>
      <c r="TI112" s="548"/>
      <c r="TJ112" s="548"/>
      <c r="TK112" s="548"/>
      <c r="TL112" s="548"/>
      <c r="TM112" s="548"/>
      <c r="TN112" s="548"/>
      <c r="TO112" s="548"/>
      <c r="TP112" s="548"/>
      <c r="TQ112" s="548"/>
      <c r="TR112" s="548"/>
      <c r="TS112" s="548"/>
      <c r="TT112" s="548"/>
      <c r="TU112" s="548"/>
      <c r="TV112" s="548"/>
      <c r="TW112" s="548"/>
      <c r="TX112" s="548"/>
      <c r="TY112" s="548"/>
      <c r="TZ112" s="548"/>
      <c r="UA112" s="548"/>
      <c r="UB112" s="548"/>
      <c r="UC112" s="548"/>
      <c r="UD112" s="548"/>
      <c r="UE112" s="548"/>
      <c r="UF112" s="548"/>
      <c r="UG112" s="548"/>
      <c r="UH112" s="548"/>
      <c r="UI112" s="548"/>
      <c r="UJ112" s="548"/>
      <c r="UK112" s="548"/>
      <c r="UL112" s="548"/>
      <c r="UM112" s="548"/>
      <c r="UN112" s="548"/>
      <c r="UO112" s="548"/>
      <c r="UP112" s="548"/>
      <c r="UQ112" s="548"/>
      <c r="UR112" s="548"/>
      <c r="US112" s="548"/>
      <c r="UT112" s="548"/>
      <c r="UU112" s="548"/>
      <c r="UV112" s="548"/>
      <c r="UW112" s="548"/>
      <c r="UX112" s="548"/>
      <c r="UY112" s="548"/>
      <c r="UZ112" s="548"/>
      <c r="VA112" s="548"/>
      <c r="VB112" s="548"/>
      <c r="VC112" s="548"/>
      <c r="VD112" s="548"/>
      <c r="VE112" s="548"/>
      <c r="VF112" s="548"/>
      <c r="VG112" s="548"/>
      <c r="VH112" s="548"/>
      <c r="VI112" s="548"/>
      <c r="VJ112" s="548"/>
      <c r="VK112" s="548"/>
      <c r="VL112" s="548"/>
      <c r="VM112" s="548"/>
      <c r="VN112" s="548"/>
      <c r="VO112" s="548"/>
      <c r="VP112" s="548"/>
      <c r="VQ112" s="548"/>
      <c r="VR112" s="548"/>
      <c r="VS112" s="548"/>
      <c r="VT112" s="548"/>
      <c r="VU112" s="548"/>
      <c r="VV112" s="548"/>
      <c r="VW112" s="548"/>
      <c r="VX112" s="548"/>
      <c r="VY112" s="548"/>
      <c r="VZ112" s="548"/>
      <c r="WA112" s="548"/>
      <c r="WB112" s="548"/>
      <c r="WC112" s="548"/>
      <c r="WD112" s="548"/>
      <c r="WE112" s="548"/>
      <c r="WF112" s="548"/>
      <c r="WG112" s="548"/>
      <c r="WH112" s="548"/>
      <c r="WI112" s="548"/>
      <c r="WJ112" s="548"/>
      <c r="WK112" s="548"/>
      <c r="WL112" s="548"/>
      <c r="WM112" s="548"/>
      <c r="WN112" s="548"/>
      <c r="WO112" s="548"/>
      <c r="WP112" s="548"/>
      <c r="WQ112" s="548"/>
      <c r="WR112" s="548"/>
      <c r="WS112" s="548"/>
      <c r="WT112" s="548"/>
      <c r="WU112" s="548"/>
      <c r="WV112" s="548"/>
      <c r="WW112" s="548"/>
      <c r="WX112" s="548"/>
      <c r="WY112" s="548"/>
      <c r="WZ112" s="548"/>
      <c r="XA112" s="548"/>
      <c r="XB112" s="548"/>
      <c r="XC112" s="548"/>
      <c r="XD112" s="548"/>
      <c r="XE112" s="548"/>
      <c r="XF112" s="548"/>
      <c r="XG112" s="548"/>
      <c r="XH112" s="548"/>
      <c r="XI112" s="548"/>
      <c r="XJ112" s="548"/>
      <c r="XK112" s="548"/>
      <c r="XL112" s="548"/>
      <c r="XM112" s="548"/>
      <c r="XN112" s="548"/>
      <c r="XO112" s="548"/>
      <c r="XP112" s="548"/>
      <c r="XQ112" s="548"/>
      <c r="XR112" s="548"/>
      <c r="XS112" s="548"/>
      <c r="XT112" s="548"/>
      <c r="XU112" s="548"/>
      <c r="XV112" s="548"/>
      <c r="XW112" s="548"/>
      <c r="XX112" s="548"/>
      <c r="XY112" s="548"/>
      <c r="XZ112" s="548"/>
      <c r="YA112" s="548"/>
      <c r="YB112" s="548"/>
      <c r="YC112" s="548"/>
      <c r="YD112" s="548"/>
      <c r="YE112" s="548"/>
      <c r="YF112" s="548"/>
      <c r="YG112" s="548"/>
      <c r="YH112" s="548"/>
      <c r="YI112" s="548"/>
      <c r="YJ112" s="548"/>
      <c r="YK112" s="548"/>
      <c r="YL112" s="548"/>
      <c r="YM112" s="548"/>
      <c r="YN112" s="548"/>
      <c r="YO112" s="548"/>
      <c r="YP112" s="548"/>
      <c r="YQ112" s="548"/>
      <c r="YR112" s="548"/>
      <c r="YS112" s="548"/>
      <c r="YT112" s="548"/>
      <c r="YU112" s="548"/>
      <c r="YV112" s="548"/>
      <c r="YW112" s="548"/>
      <c r="YX112" s="548"/>
      <c r="YY112" s="548"/>
      <c r="YZ112" s="548"/>
      <c r="ZA112" s="548"/>
      <c r="ZB112" s="548"/>
      <c r="ZC112" s="548"/>
      <c r="ZD112" s="548"/>
      <c r="ZE112" s="548"/>
      <c r="ZF112" s="548"/>
      <c r="ZG112" s="548"/>
      <c r="ZH112" s="548"/>
      <c r="ZI112" s="548"/>
      <c r="ZJ112" s="548"/>
      <c r="ZK112" s="548"/>
      <c r="ZL112" s="548"/>
      <c r="ZM112" s="548"/>
      <c r="ZN112" s="548"/>
      <c r="ZO112" s="548"/>
      <c r="ZP112" s="548"/>
      <c r="ZQ112" s="548"/>
      <c r="ZR112" s="548"/>
      <c r="ZS112" s="548"/>
      <c r="ZT112" s="548"/>
      <c r="ZU112" s="548"/>
      <c r="ZV112" s="548"/>
      <c r="ZW112" s="548"/>
      <c r="ZX112" s="548"/>
      <c r="ZY112" s="548"/>
      <c r="ZZ112" s="548"/>
      <c r="AAA112" s="548"/>
      <c r="AAB112" s="548"/>
      <c r="AAC112" s="548"/>
      <c r="AAD112" s="548"/>
      <c r="AAE112" s="548"/>
      <c r="AAF112" s="548"/>
      <c r="AAG112" s="548"/>
      <c r="AAH112" s="548"/>
      <c r="AAI112" s="548"/>
      <c r="AAJ112" s="548"/>
      <c r="AAK112" s="548"/>
      <c r="AAL112" s="548"/>
      <c r="AAM112" s="548"/>
      <c r="AAN112" s="548"/>
      <c r="AAO112" s="548"/>
      <c r="AAP112" s="548"/>
      <c r="AAQ112" s="548"/>
      <c r="AAR112" s="548"/>
      <c r="AAS112" s="548"/>
      <c r="AAT112" s="548"/>
      <c r="AAU112" s="548"/>
      <c r="AAV112" s="548"/>
      <c r="AAW112" s="548"/>
      <c r="AAX112" s="548"/>
      <c r="AAY112" s="548"/>
      <c r="AAZ112" s="548"/>
      <c r="ABA112" s="548"/>
      <c r="ABB112" s="548"/>
      <c r="ABC112" s="548"/>
      <c r="ABD112" s="548"/>
      <c r="ABE112" s="548"/>
      <c r="ABF112" s="548"/>
      <c r="ABG112" s="548"/>
      <c r="ABH112" s="548"/>
      <c r="ABI112" s="548"/>
      <c r="ABJ112" s="548"/>
      <c r="ABK112" s="548"/>
      <c r="ABL112" s="548"/>
      <c r="ABM112" s="548"/>
      <c r="ABN112" s="548"/>
      <c r="ABO112" s="548"/>
      <c r="ABP112" s="548"/>
      <c r="ABQ112" s="548"/>
      <c r="ABR112" s="548"/>
      <c r="ABS112" s="548"/>
    </row>
    <row r="113" spans="1:747" customFormat="1" ht="15" customHeight="1" x14ac:dyDescent="0.2">
      <c r="A113" s="424" t="str">
        <f t="shared" si="909"/>
        <v/>
      </c>
      <c r="B113" s="415"/>
      <c r="C113" s="525"/>
      <c r="D113" s="750"/>
      <c r="E113" s="416" t="str">
        <f t="shared" si="1171"/>
        <v/>
      </c>
      <c r="F113" s="527" t="str">
        <f t="shared" si="1172"/>
        <v/>
      </c>
      <c r="G113" s="417"/>
      <c r="H113" s="585" t="str">
        <f t="shared" si="1173"/>
        <v/>
      </c>
      <c r="I113" s="424"/>
      <c r="J113" s="419"/>
      <c r="K113" s="418"/>
      <c r="L113" s="419"/>
      <c r="M113" s="415"/>
      <c r="N113" s="420"/>
      <c r="O113" s="421"/>
      <c r="P113" s="561"/>
      <c r="Q113" s="422"/>
      <c r="R113" s="561" t="str">
        <f t="shared" si="1174"/>
        <v/>
      </c>
      <c r="S113" s="664"/>
      <c r="T113" s="663"/>
      <c r="U113" s="580">
        <f t="shared" si="1175"/>
        <v>0</v>
      </c>
      <c r="V113" s="418"/>
      <c r="W113" s="582" t="str">
        <f t="shared" si="1176"/>
        <v/>
      </c>
      <c r="X113" s="479" t="str">
        <f t="shared" si="1177"/>
        <v/>
      </c>
      <c r="Y113" s="582" t="str">
        <f t="shared" si="1178"/>
        <v/>
      </c>
      <c r="Z113" s="317" t="str">
        <f t="shared" si="1179"/>
        <v/>
      </c>
      <c r="AA113" s="317" t="str">
        <f t="shared" si="1180"/>
        <v/>
      </c>
      <c r="AB113" s="317">
        <f t="shared" si="1181"/>
        <v>0</v>
      </c>
      <c r="AC113" s="317" t="str">
        <f t="shared" si="1182"/>
        <v/>
      </c>
      <c r="AD113" s="479"/>
      <c r="AE113" s="479"/>
      <c r="AF113" s="479"/>
      <c r="AG113" s="423"/>
      <c r="AH113" s="820"/>
      <c r="AI113" s="437"/>
      <c r="AJ113" s="720"/>
      <c r="AK113" s="524" t="str">
        <f t="shared" si="1183"/>
        <v/>
      </c>
      <c r="AL113" s="731">
        <f>SUMIF($J$4:$J$158,"Formação",$S$4:$S$158)</f>
        <v>0</v>
      </c>
      <c r="AM113" s="732">
        <f>SUMIF($J$4:$J$158,"Formação",$T$4:$T$158)</f>
        <v>0</v>
      </c>
      <c r="AN113" s="426">
        <f t="shared" si="1184"/>
        <v>0</v>
      </c>
      <c r="AO113" s="427" t="str">
        <f t="shared" si="1185"/>
        <v/>
      </c>
      <c r="AP113" s="426" t="str">
        <f t="shared" si="1186"/>
        <v/>
      </c>
      <c r="AQ113" s="426"/>
      <c r="AR113" s="426"/>
      <c r="AS113" s="428"/>
      <c r="AT113" s="429"/>
      <c r="AU113" s="430"/>
      <c r="AV113" s="431"/>
      <c r="AW113" s="432"/>
      <c r="AX113" s="430"/>
      <c r="AY113" s="431">
        <f t="shared" si="1187"/>
        <v>0</v>
      </c>
      <c r="AZ113" s="426"/>
      <c r="BA113" s="435" t="str">
        <f t="shared" si="1188"/>
        <v/>
      </c>
      <c r="BB113" s="435"/>
      <c r="BC113" s="426"/>
      <c r="BD113" s="426">
        <f t="array" ref="BD113">IF(SUM((BC113=$BC$3:BC112)*1)=0,BC113,0)</f>
        <v>0</v>
      </c>
      <c r="BE113" s="426"/>
      <c r="BF113" s="426"/>
      <c r="BG113" s="426">
        <f t="array" ref="BG113">IF(SUM((BF113=$BF$3:BF112)*1)=0,BF113,0)</f>
        <v>0</v>
      </c>
      <c r="BH113" s="426"/>
      <c r="BI113" s="426"/>
      <c r="BJ113" s="426"/>
      <c r="BK113" s="426"/>
      <c r="BL113" s="426"/>
      <c r="BM113" s="426"/>
      <c r="BN113" s="426"/>
      <c r="BO113" s="426"/>
      <c r="BP113" s="433">
        <f t="shared" si="1189"/>
        <v>0</v>
      </c>
      <c r="BQ113" s="426"/>
      <c r="BR113" s="434"/>
      <c r="BS113" s="426"/>
      <c r="BT113" s="433"/>
      <c r="BU113" s="435"/>
      <c r="BV113" s="435" t="str">
        <f t="shared" si="1190"/>
        <v/>
      </c>
      <c r="BW113" s="435" t="str">
        <f t="shared" si="798"/>
        <v/>
      </c>
      <c r="BX113" s="435"/>
      <c r="BY113" s="435"/>
      <c r="BZ113" s="435"/>
      <c r="CA113" s="435"/>
      <c r="CB113" s="435"/>
      <c r="CC113" s="435"/>
      <c r="CD113" s="435"/>
      <c r="CE113" s="435"/>
      <c r="CF113" s="435"/>
      <c r="CG113" s="435"/>
      <c r="CH113" s="435"/>
      <c r="CI113" s="435"/>
      <c r="CJ113" s="426" t="str">
        <f t="shared" si="799"/>
        <v/>
      </c>
      <c r="CK113" s="435"/>
      <c r="CL113" s="426"/>
      <c r="CM113" s="435"/>
      <c r="CN113" s="426"/>
      <c r="CO113" s="426"/>
      <c r="CP113" s="426"/>
      <c r="CQ113" s="426"/>
      <c r="CR113" s="426"/>
      <c r="CS113" s="426"/>
      <c r="CT113" s="426"/>
      <c r="CU113" s="426"/>
      <c r="CV113" s="426"/>
      <c r="CW113" s="493"/>
      <c r="CX113" s="493"/>
      <c r="CY113" s="426">
        <v>110</v>
      </c>
      <c r="CZ113" s="493"/>
      <c r="DA113" s="493"/>
      <c r="DB113" s="493"/>
      <c r="DC113" s="426" t="s">
        <v>853</v>
      </c>
      <c r="DD113" s="426" t="s">
        <v>1013</v>
      </c>
      <c r="DE113" s="435" t="str">
        <f t="shared" si="800"/>
        <v/>
      </c>
      <c r="DF113" s="435" t="str">
        <f t="shared" si="801"/>
        <v/>
      </c>
      <c r="DG113" s="435" t="str">
        <f t="shared" si="802"/>
        <v/>
      </c>
      <c r="DH113" s="435" t="str">
        <f t="shared" si="803"/>
        <v/>
      </c>
      <c r="DI113" s="435" t="str">
        <f t="shared" si="804"/>
        <v/>
      </c>
      <c r="DJ113" s="435" t="str">
        <f t="shared" si="805"/>
        <v/>
      </c>
      <c r="DK113" s="435" t="str">
        <f t="shared" si="1191"/>
        <v/>
      </c>
      <c r="DL113" s="435" t="str">
        <f t="shared" si="1192"/>
        <v/>
      </c>
      <c r="DM113" s="435" t="str">
        <f t="shared" si="806"/>
        <v/>
      </c>
      <c r="DN113" s="435" t="str">
        <f t="shared" si="807"/>
        <v/>
      </c>
      <c r="DO113" s="435" t="str">
        <f t="shared" si="1193"/>
        <v/>
      </c>
      <c r="DP113" s="435" t="str">
        <f t="shared" si="1194"/>
        <v/>
      </c>
      <c r="DQ113" s="435" t="str">
        <f t="shared" si="808"/>
        <v/>
      </c>
      <c r="DR113" s="435" t="str">
        <f t="shared" si="809"/>
        <v/>
      </c>
      <c r="DS113" s="435" t="str">
        <f t="shared" si="1195"/>
        <v/>
      </c>
      <c r="DT113" s="435" t="str">
        <f t="shared" si="1196"/>
        <v/>
      </c>
      <c r="DU113" s="435" t="str">
        <f t="shared" si="810"/>
        <v/>
      </c>
      <c r="DV113" s="435" t="str">
        <f t="shared" si="811"/>
        <v/>
      </c>
      <c r="DW113" s="435" t="str">
        <f t="shared" si="1197"/>
        <v/>
      </c>
      <c r="DX113" s="435" t="str">
        <f t="shared" si="1198"/>
        <v/>
      </c>
      <c r="DY113" s="435" t="str">
        <f t="shared" si="812"/>
        <v/>
      </c>
      <c r="DZ113" s="435" t="str">
        <f t="shared" si="813"/>
        <v/>
      </c>
      <c r="EA113" s="435" t="str">
        <f t="shared" si="1199"/>
        <v/>
      </c>
      <c r="EB113" s="435" t="str">
        <f t="shared" si="1200"/>
        <v/>
      </c>
      <c r="EC113" s="435" t="str">
        <f t="shared" si="1201"/>
        <v/>
      </c>
      <c r="ED113" s="435" t="str">
        <f t="shared" si="1202"/>
        <v/>
      </c>
      <c r="EE113" s="435" t="str">
        <f t="shared" si="1203"/>
        <v/>
      </c>
      <c r="EF113" s="435" t="str">
        <f t="shared" si="1204"/>
        <v/>
      </c>
      <c r="EG113" s="435" t="str">
        <f t="shared" si="1205"/>
        <v/>
      </c>
      <c r="EH113" s="435" t="str">
        <f t="shared" si="1206"/>
        <v/>
      </c>
      <c r="EI113" s="435" t="str">
        <f t="shared" si="1207"/>
        <v/>
      </c>
      <c r="EJ113" s="435" t="str">
        <f t="shared" si="1208"/>
        <v/>
      </c>
      <c r="EK113" s="485"/>
      <c r="EL113" s="485"/>
      <c r="EM113" s="485"/>
      <c r="EN113" s="485"/>
      <c r="EO113" s="448"/>
      <c r="EP113" s="448"/>
      <c r="EQ113" s="448"/>
      <c r="ER113" s="448"/>
      <c r="ES113" s="448"/>
      <c r="ET113" s="435"/>
      <c r="EU113" s="435"/>
      <c r="EV113" s="435"/>
      <c r="EW113" s="435"/>
      <c r="EX113" s="426"/>
      <c r="EY113" s="426"/>
      <c r="EZ113" s="426"/>
      <c r="FA113" s="863"/>
      <c r="FB113" s="427">
        <f t="array" ref="FB113">IF(SUM((FA113=$FA$3:FA112)*1)=0,FA113,0)</f>
        <v>0</v>
      </c>
      <c r="FC113" s="863"/>
      <c r="FD113" s="863"/>
      <c r="FE113" s="863">
        <f t="array" ref="FE113">IF(SUM((FD113=$FD$3:FD112)*1)=0,FD113,0)</f>
        <v>0</v>
      </c>
      <c r="FF113" s="863"/>
      <c r="FG113" s="863"/>
      <c r="FH113" s="863"/>
      <c r="FI113" s="427">
        <f t="array" ref="FI113">IF(SUM((FH113=$FH$3:FH112)*1)=0,FH113,0)</f>
        <v>0</v>
      </c>
      <c r="FJ113" s="863"/>
      <c r="FK113" s="863"/>
      <c r="FL113" s="863">
        <f t="array" ref="FL113">IF(SUM((FK113=$FK$3:FK112)*1)=0,FK113,0)</f>
        <v>0</v>
      </c>
      <c r="FM113" s="863"/>
      <c r="FN113" s="863"/>
      <c r="FO113" s="863"/>
      <c r="FP113" s="427">
        <f t="array" ref="FP113">IF(SUM((FO113=$FO$3:FO112)*1)=0,FO113,0)</f>
        <v>0</v>
      </c>
      <c r="FQ113" s="863"/>
      <c r="FR113" s="863"/>
      <c r="FS113" s="863">
        <f t="array" ref="FS113">IF(SUM((FR113=$FR$3:FR112)*1)=0,FR113,0)</f>
        <v>0</v>
      </c>
      <c r="FT113" s="863"/>
      <c r="FU113" s="863"/>
      <c r="FV113" s="863"/>
      <c r="FW113" s="427">
        <f t="array" ref="FW113">IF(SUM((FV113=$FV$3:FV112)*1)=0,FV113,0)</f>
        <v>0</v>
      </c>
      <c r="FX113" s="863"/>
      <c r="FY113" s="863"/>
      <c r="FZ113" s="863">
        <f t="array" ref="FZ113">IF(SUM((FY113=$FY$3:FY112)*1)=0,FY113,0)</f>
        <v>0</v>
      </c>
      <c r="GA113" s="863"/>
      <c r="GB113" s="863"/>
      <c r="GC113" s="863"/>
      <c r="GD113" s="427">
        <f t="array" ref="GD113">IF(SUM((GC113=$GC$3:GC112)*1)=0,GC113,0)</f>
        <v>0</v>
      </c>
      <c r="GE113" s="863"/>
      <c r="GF113" s="863"/>
      <c r="GG113" s="863">
        <f t="array" ref="GG113">IF(SUM((GF113=$GF$3:GF112)*1)=0,GF113,0)</f>
        <v>0</v>
      </c>
      <c r="GH113" s="863"/>
      <c r="GI113" s="863"/>
      <c r="GJ113" s="863"/>
      <c r="GK113" s="798">
        <f t="array" ref="GK113">IF(SUM((GJ113=$GJ$3:GJ112)*1)=0,GJ113,0)</f>
        <v>0</v>
      </c>
      <c r="GL113" s="863"/>
      <c r="GM113" s="863"/>
      <c r="GN113" s="798">
        <f t="array" ref="GN113">IF(SUM((GM113=$GM$3:GM112)*1)=0,GM113,0)</f>
        <v>0</v>
      </c>
      <c r="GO113" s="863"/>
      <c r="GP113" s="863"/>
      <c r="GQ113" s="863"/>
      <c r="GR113" s="798">
        <f t="array" ref="GR113">IF(SUM((GQ113=$GQ$3:GQ112)*1)=0,GQ113,0)</f>
        <v>0</v>
      </c>
      <c r="GS113" s="863"/>
      <c r="GT113" s="863"/>
      <c r="GU113" s="798">
        <f t="array" ref="GU113">IF(SUM((GT113=$GT$3:GT112)*1)=0,GT113,0)</f>
        <v>0</v>
      </c>
      <c r="GV113" s="863"/>
      <c r="GW113" s="863"/>
      <c r="GX113" s="863"/>
      <c r="GY113" s="798">
        <f t="array" ref="GY113">IF(SUM((GX113=$GX$3:GX112)*1)=0,GX113,0)</f>
        <v>0</v>
      </c>
      <c r="GZ113" s="863"/>
      <c r="HA113" s="863"/>
      <c r="HB113" s="798">
        <f t="array" ref="HB113">IF(SUM((HA113=$HA$3:HA112)*1)=0,HA113,0)</f>
        <v>0</v>
      </c>
      <c r="HC113" s="863"/>
      <c r="HD113" s="863"/>
      <c r="HE113" s="769" t="str">
        <f t="shared" si="889"/>
        <v/>
      </c>
      <c r="HF113" s="768" t="str">
        <f t="shared" ref="HF113" si="1358">IF(HE113&lt;0,"Invadiu REP-BA-C","")</f>
        <v/>
      </c>
      <c r="HG113" s="769" t="str">
        <f t="shared" si="891"/>
        <v/>
      </c>
      <c r="HH113" s="768" t="str">
        <f t="shared" si="815"/>
        <v/>
      </c>
      <c r="HI113" s="728" t="str">
        <f t="shared" si="892"/>
        <v/>
      </c>
      <c r="HJ113" s="768" t="str">
        <f t="shared" si="816"/>
        <v/>
      </c>
      <c r="HK113" s="728" t="str">
        <f t="shared" si="893"/>
        <v/>
      </c>
      <c r="HL113" s="768" t="str">
        <f t="shared" si="817"/>
        <v/>
      </c>
      <c r="HM113" s="769" t="str">
        <f t="shared" si="1219"/>
        <v/>
      </c>
      <c r="HN113" s="768" t="str">
        <f t="shared" ref="HN113" si="1359">IF(HM113&lt;0,"Invadiu REP-BA-C","")</f>
        <v/>
      </c>
      <c r="HO113" s="769" t="str">
        <f t="shared" si="1221"/>
        <v/>
      </c>
      <c r="HP113" s="768" t="str">
        <f t="shared" si="821"/>
        <v/>
      </c>
      <c r="HQ113" s="728" t="str">
        <f t="shared" si="1222"/>
        <v/>
      </c>
      <c r="HR113" s="768" t="str">
        <f t="shared" si="823"/>
        <v/>
      </c>
      <c r="HS113" s="728" t="str">
        <f t="shared" si="1223"/>
        <v/>
      </c>
      <c r="HT113" s="768" t="str">
        <f t="shared" si="825"/>
        <v/>
      </c>
      <c r="HU113" s="769" t="str">
        <f t="shared" si="1224"/>
        <v/>
      </c>
      <c r="HV113" s="768" t="str">
        <f t="shared" ref="HV113" si="1360">IF(HU113&lt;0,"Invadiu REP-BA-C","")</f>
        <v/>
      </c>
      <c r="HW113" s="769" t="str">
        <f t="shared" si="1226"/>
        <v/>
      </c>
      <c r="HX113" s="768" t="str">
        <f t="shared" si="829"/>
        <v/>
      </c>
      <c r="HY113" s="728" t="str">
        <f t="shared" si="1227"/>
        <v/>
      </c>
      <c r="HZ113" s="768" t="str">
        <f t="shared" si="831"/>
        <v/>
      </c>
      <c r="IA113" s="728" t="str">
        <f t="shared" si="1228"/>
        <v/>
      </c>
      <c r="IB113" s="768" t="str">
        <f t="shared" si="833"/>
        <v/>
      </c>
      <c r="IC113" s="769" t="str">
        <f t="shared" si="1229"/>
        <v/>
      </c>
      <c r="ID113" s="768" t="str">
        <f t="shared" ref="ID113" si="1361">IF(IC113&lt;0,"Invadiu REP-BA-C","")</f>
        <v/>
      </c>
      <c r="IE113" s="769" t="str">
        <f t="shared" si="1231"/>
        <v/>
      </c>
      <c r="IF113" s="768" t="str">
        <f t="shared" si="837"/>
        <v/>
      </c>
      <c r="IG113" s="728" t="str">
        <f t="shared" si="1232"/>
        <v/>
      </c>
      <c r="IH113" s="768" t="str">
        <f t="shared" si="839"/>
        <v/>
      </c>
      <c r="II113" s="728" t="str">
        <f t="shared" si="1233"/>
        <v/>
      </c>
      <c r="IJ113" s="768" t="str">
        <f t="shared" si="841"/>
        <v/>
      </c>
      <c r="IK113" s="769" t="str">
        <f t="shared" si="1234"/>
        <v/>
      </c>
      <c r="IL113" s="768" t="str">
        <f t="shared" ref="IL113" si="1362">IF(IK113&lt;0,"Invadiu REP-BA-C","")</f>
        <v/>
      </c>
      <c r="IM113" s="769" t="str">
        <f t="shared" si="1236"/>
        <v/>
      </c>
      <c r="IN113" s="768" t="str">
        <f t="shared" si="845"/>
        <v/>
      </c>
      <c r="IO113" s="728" t="str">
        <f t="shared" si="1237"/>
        <v/>
      </c>
      <c r="IP113" s="768" t="str">
        <f t="shared" si="847"/>
        <v/>
      </c>
      <c r="IQ113" s="728" t="str">
        <f t="shared" si="1238"/>
        <v/>
      </c>
      <c r="IR113" s="768" t="str">
        <f t="shared" si="849"/>
        <v/>
      </c>
      <c r="IS113" s="769" t="str">
        <f t="shared" si="1239"/>
        <v/>
      </c>
      <c r="IT113" s="768" t="str">
        <f t="shared" ref="IT113" si="1363">IF(IS113&lt;0,"Invadiu REP-BA-C","")</f>
        <v/>
      </c>
      <c r="IU113" s="769" t="str">
        <f t="shared" si="1241"/>
        <v/>
      </c>
      <c r="IV113" s="768" t="str">
        <f t="shared" si="853"/>
        <v/>
      </c>
      <c r="IW113" s="728" t="str">
        <f t="shared" si="1242"/>
        <v/>
      </c>
      <c r="IX113" s="768" t="str">
        <f t="shared" si="855"/>
        <v/>
      </c>
      <c r="IY113" s="728" t="str">
        <f t="shared" si="1243"/>
        <v/>
      </c>
      <c r="IZ113" s="768" t="str">
        <f t="shared" si="857"/>
        <v/>
      </c>
      <c r="JA113" s="769" t="str">
        <f t="shared" si="1244"/>
        <v/>
      </c>
      <c r="JB113" s="768" t="str">
        <f t="shared" ref="JB113" si="1364">IF(JA113&lt;0,"Invadiu REP-BA-C","")</f>
        <v/>
      </c>
      <c r="JC113" s="769" t="str">
        <f t="shared" si="1246"/>
        <v/>
      </c>
      <c r="JD113" s="768" t="str">
        <f t="shared" si="861"/>
        <v/>
      </c>
      <c r="JE113" s="728" t="str">
        <f t="shared" si="1247"/>
        <v/>
      </c>
      <c r="JF113" s="768" t="str">
        <f t="shared" si="863"/>
        <v/>
      </c>
      <c r="JG113" s="728" t="str">
        <f t="shared" si="1248"/>
        <v/>
      </c>
      <c r="JH113" s="768" t="str">
        <f t="shared" si="865"/>
        <v/>
      </c>
      <c r="JI113" s="769" t="str">
        <f t="shared" si="1249"/>
        <v/>
      </c>
      <c r="JJ113" s="768" t="str">
        <f t="shared" ref="JJ113" si="1365">IF(JI113&lt;0,"Invadiu REP-BA-C","")</f>
        <v/>
      </c>
      <c r="JK113" s="769" t="str">
        <f t="shared" si="1251"/>
        <v/>
      </c>
      <c r="JL113" s="768" t="str">
        <f t="shared" si="869"/>
        <v/>
      </c>
      <c r="JM113" s="728" t="str">
        <f t="shared" si="1252"/>
        <v/>
      </c>
      <c r="JN113" s="768" t="str">
        <f t="shared" si="871"/>
        <v/>
      </c>
      <c r="JO113" s="728" t="str">
        <f t="shared" si="1253"/>
        <v/>
      </c>
      <c r="JP113" s="768" t="str">
        <f t="shared" si="873"/>
        <v/>
      </c>
      <c r="JQ113" s="769" t="str">
        <f t="shared" si="1254"/>
        <v/>
      </c>
      <c r="JR113" s="768" t="str">
        <f t="shared" ref="JR113" si="1366">IF(JQ113&lt;0,"Invadiu REP-BA-C","")</f>
        <v/>
      </c>
      <c r="JS113" s="769" t="str">
        <f t="shared" si="1256"/>
        <v/>
      </c>
      <c r="JT113" s="768" t="str">
        <f t="shared" si="877"/>
        <v/>
      </c>
      <c r="JU113" s="728" t="str">
        <f t="shared" si="1257"/>
        <v/>
      </c>
      <c r="JV113" s="768" t="str">
        <f t="shared" si="879"/>
        <v/>
      </c>
      <c r="JW113" s="728" t="str">
        <f t="shared" si="1258"/>
        <v/>
      </c>
      <c r="JX113" s="768" t="str">
        <f t="shared" si="881"/>
        <v/>
      </c>
      <c r="JY113" s="768" t="str">
        <f t="shared" si="882"/>
        <v/>
      </c>
      <c r="JZ113" s="485" t="str">
        <f>IF(JY113="","",IF(AND(C113=$C$164,JY113&lt;&gt;""),Verificarcpf(D113),IF(AND(C113=$C$165,JY113&lt;&gt;""),VerificarCNPJ(D113))))</f>
        <v/>
      </c>
      <c r="KA113" s="768" t="str">
        <f t="shared" si="883"/>
        <v/>
      </c>
      <c r="KB113" s="485">
        <f t="shared" si="884"/>
        <v>0</v>
      </c>
      <c r="KC113" s="768">
        <f t="shared" si="885"/>
        <v>0</v>
      </c>
      <c r="KD113" s="485">
        <f t="shared" si="886"/>
        <v>0</v>
      </c>
      <c r="KE113" s="448"/>
      <c r="KF113" s="548"/>
      <c r="KG113" s="548"/>
      <c r="KH113" s="548"/>
      <c r="KI113" s="548"/>
      <c r="KJ113" s="548" t="str">
        <f t="shared" si="887"/>
        <v/>
      </c>
      <c r="KK113" s="548"/>
      <c r="KL113" s="548"/>
      <c r="KM113" s="548">
        <f t="array" ref="KM113">IF(SUM((KL113=$KL$3:KL112)*1)=0,KL113,0)</f>
        <v>0</v>
      </c>
      <c r="KN113" s="548"/>
      <c r="KO113" s="548"/>
      <c r="KP113" s="548"/>
      <c r="KQ113" s="548"/>
      <c r="KR113" s="548" t="str">
        <f t="shared" si="888"/>
        <v/>
      </c>
      <c r="KS113" s="548"/>
      <c r="KT113" s="548"/>
      <c r="KU113" s="548"/>
      <c r="KV113" s="548"/>
      <c r="KW113" s="548"/>
      <c r="KX113" s="548"/>
      <c r="KY113" s="548"/>
      <c r="KZ113" s="548"/>
      <c r="LA113" s="548"/>
      <c r="LB113" s="548"/>
      <c r="LC113" s="485" t="str">
        <f t="shared" si="902"/>
        <v/>
      </c>
      <c r="LD113" s="548"/>
      <c r="LE113" s="548"/>
      <c r="LF113" s="548"/>
      <c r="LG113" s="548"/>
      <c r="LH113" s="548"/>
      <c r="LI113" s="548"/>
      <c r="LJ113" s="548"/>
      <c r="LK113" s="548"/>
      <c r="LL113" s="548"/>
      <c r="LM113" s="548"/>
      <c r="LN113" s="548"/>
      <c r="LO113" s="548"/>
      <c r="LP113" s="485" t="str">
        <f t="shared" si="903"/>
        <v/>
      </c>
      <c r="LQ113" s="548"/>
      <c r="LR113" s="548"/>
      <c r="LS113" s="548"/>
      <c r="LT113" s="548"/>
      <c r="LU113" s="548"/>
      <c r="LV113" s="548"/>
      <c r="LW113" s="548"/>
      <c r="LX113" s="548"/>
      <c r="LY113" s="548"/>
      <c r="LZ113" s="548"/>
      <c r="MA113" s="548"/>
      <c r="MB113" s="548"/>
      <c r="MC113" s="485" t="str">
        <f t="shared" si="904"/>
        <v/>
      </c>
      <c r="MD113" s="548"/>
      <c r="ME113" s="548"/>
      <c r="MF113" s="548"/>
      <c r="MG113" s="548"/>
      <c r="MH113" s="548"/>
      <c r="MI113" s="548"/>
      <c r="MJ113" s="548"/>
      <c r="MK113" s="548"/>
      <c r="ML113" s="548"/>
      <c r="MM113" s="548"/>
      <c r="MN113" s="548"/>
      <c r="MO113" s="548"/>
      <c r="MP113" s="485" t="str">
        <f t="shared" si="905"/>
        <v/>
      </c>
      <c r="MQ113" s="548"/>
      <c r="MR113" s="548"/>
      <c r="MS113" s="548"/>
      <c r="MT113" s="548"/>
      <c r="MU113" s="548"/>
      <c r="MV113" s="548"/>
      <c r="MW113" s="548"/>
      <c r="MX113" s="548"/>
      <c r="MY113" s="548"/>
      <c r="MZ113" s="548"/>
      <c r="NA113" s="548"/>
      <c r="NB113" s="548"/>
      <c r="NC113" s="485" t="str">
        <f t="shared" si="906"/>
        <v/>
      </c>
      <c r="ND113" s="548"/>
      <c r="NE113" s="548"/>
      <c r="NF113" s="548"/>
      <c r="NG113" s="548"/>
      <c r="NH113" s="548"/>
      <c r="NI113" s="548"/>
      <c r="NJ113" s="548"/>
      <c r="NK113" s="548"/>
      <c r="NL113" s="548"/>
      <c r="NM113" s="548"/>
      <c r="NN113" s="548"/>
      <c r="NO113" s="548"/>
      <c r="NP113" s="485" t="str">
        <f t="shared" si="907"/>
        <v/>
      </c>
      <c r="NQ113" s="548"/>
      <c r="NR113" s="548"/>
      <c r="NS113" s="548"/>
      <c r="NT113" s="548"/>
      <c r="NU113" s="548"/>
      <c r="NV113" s="548"/>
      <c r="NW113" s="548"/>
      <c r="NX113" s="548"/>
      <c r="NY113" s="548"/>
      <c r="NZ113" s="548"/>
      <c r="OA113" s="548"/>
      <c r="OB113" s="548"/>
      <c r="OC113" s="485" t="str">
        <f t="shared" si="908"/>
        <v/>
      </c>
      <c r="OD113" s="548"/>
      <c r="OE113" s="548"/>
      <c r="OF113" s="548"/>
      <c r="OG113" s="548"/>
      <c r="OH113" s="548"/>
      <c r="OI113" s="548"/>
      <c r="OJ113" s="548"/>
      <c r="OK113" s="548"/>
      <c r="OL113" s="548"/>
      <c r="OM113" s="548"/>
      <c r="ON113" s="548"/>
      <c r="OO113" s="548"/>
      <c r="OP113" s="548"/>
      <c r="OQ113" s="548"/>
      <c r="OR113" s="548"/>
      <c r="OS113" s="548"/>
      <c r="OT113" s="548"/>
      <c r="OU113" s="548"/>
      <c r="OV113" s="548"/>
      <c r="OW113" s="548"/>
      <c r="OX113" s="548"/>
      <c r="OY113" s="548"/>
      <c r="OZ113" s="548"/>
      <c r="PA113" s="548"/>
      <c r="PB113" s="548"/>
      <c r="PC113" s="548"/>
      <c r="PD113" s="548"/>
      <c r="PE113" s="548"/>
      <c r="PF113" s="548"/>
      <c r="PG113" s="548"/>
      <c r="PH113" s="548"/>
      <c r="PI113" s="548"/>
      <c r="PJ113" s="548"/>
      <c r="PK113" s="548"/>
      <c r="PL113" s="548"/>
      <c r="PM113" s="548"/>
      <c r="PN113" s="548"/>
      <c r="PO113" s="548"/>
      <c r="PP113" s="548"/>
      <c r="PQ113" s="548"/>
      <c r="PR113" s="548"/>
      <c r="PS113" s="548"/>
      <c r="PT113" s="548"/>
      <c r="PU113" s="548"/>
      <c r="PV113" s="548"/>
      <c r="PW113" s="548"/>
      <c r="PX113" s="548"/>
      <c r="PY113" s="548"/>
      <c r="PZ113" s="548"/>
      <c r="QA113" s="548"/>
      <c r="QB113" s="548"/>
      <c r="QC113" s="548"/>
      <c r="QD113" s="548"/>
      <c r="QE113" s="548"/>
      <c r="QF113" s="548"/>
      <c r="QG113" s="548"/>
      <c r="QH113" s="548"/>
      <c r="QI113" s="548"/>
      <c r="QJ113" s="548"/>
      <c r="QK113" s="548"/>
      <c r="QL113" s="548"/>
      <c r="QM113" s="548"/>
      <c r="QN113" s="548"/>
      <c r="QO113" s="548"/>
      <c r="QP113" s="548"/>
      <c r="QQ113" s="1009"/>
      <c r="QR113" s="548"/>
      <c r="QS113" s="548"/>
      <c r="QT113" s="548"/>
      <c r="QU113" s="548"/>
      <c r="QV113" s="548"/>
      <c r="QW113" s="548"/>
      <c r="QX113" s="548"/>
      <c r="QY113" s="548"/>
      <c r="QZ113" s="548"/>
      <c r="RA113" s="548"/>
      <c r="RB113" s="548"/>
      <c r="RC113" s="548"/>
      <c r="RD113" s="548"/>
      <c r="RE113" s="548"/>
      <c r="RF113" s="548"/>
      <c r="RG113" s="548"/>
      <c r="RH113" s="548"/>
      <c r="RI113" s="548"/>
      <c r="RJ113" s="548"/>
      <c r="RK113" s="548"/>
      <c r="RL113" s="548"/>
      <c r="RM113" s="548"/>
      <c r="RN113" s="548"/>
      <c r="RO113" s="548"/>
      <c r="RP113" s="548"/>
      <c r="RQ113" s="548"/>
      <c r="RR113" s="548"/>
      <c r="RS113" s="548"/>
      <c r="RT113" s="548"/>
      <c r="RU113" s="548"/>
      <c r="RV113" s="548"/>
      <c r="RW113" s="548"/>
      <c r="RX113" s="548"/>
      <c r="RY113" s="548"/>
      <c r="RZ113" s="548"/>
      <c r="SA113" s="548"/>
      <c r="SB113" s="548"/>
      <c r="SC113" s="548"/>
      <c r="SD113" s="548"/>
      <c r="SE113" s="548"/>
      <c r="SF113" s="548"/>
      <c r="SG113" s="548"/>
      <c r="SH113" s="548"/>
      <c r="SI113" s="548"/>
      <c r="SJ113" s="548"/>
      <c r="SK113" s="548"/>
      <c r="SL113" s="548"/>
      <c r="SM113" s="548"/>
      <c r="SN113" s="548"/>
      <c r="SO113" s="548"/>
      <c r="SP113" s="548"/>
      <c r="SQ113" s="548"/>
      <c r="SR113" s="548"/>
      <c r="SS113" s="548"/>
      <c r="ST113" s="548"/>
      <c r="SU113" s="548"/>
      <c r="SV113" s="548"/>
      <c r="SW113" s="548"/>
      <c r="SX113" s="548"/>
      <c r="SY113" s="548"/>
      <c r="SZ113" s="548"/>
      <c r="TA113" s="548"/>
      <c r="TB113" s="548"/>
      <c r="TC113" s="548"/>
      <c r="TD113" s="548"/>
      <c r="TE113" s="548"/>
      <c r="TF113" s="548"/>
      <c r="TG113" s="548"/>
      <c r="TH113" s="548"/>
      <c r="TI113" s="548"/>
      <c r="TJ113" s="548"/>
      <c r="TK113" s="548"/>
      <c r="TL113" s="548"/>
      <c r="TM113" s="548"/>
      <c r="TN113" s="548"/>
      <c r="TO113" s="548"/>
      <c r="TP113" s="548"/>
      <c r="TQ113" s="548"/>
      <c r="TR113" s="548"/>
      <c r="TS113" s="548"/>
      <c r="TT113" s="548"/>
      <c r="TU113" s="548"/>
      <c r="TV113" s="548"/>
      <c r="TW113" s="548"/>
      <c r="TX113" s="548"/>
      <c r="TY113" s="548"/>
      <c r="TZ113" s="548"/>
      <c r="UA113" s="548"/>
      <c r="UB113" s="548"/>
      <c r="UC113" s="548"/>
      <c r="UD113" s="548"/>
      <c r="UE113" s="548"/>
      <c r="UF113" s="548"/>
      <c r="UG113" s="548"/>
      <c r="UH113" s="548"/>
      <c r="UI113" s="548"/>
      <c r="UJ113" s="548"/>
      <c r="UK113" s="548"/>
      <c r="UL113" s="548"/>
      <c r="UM113" s="548"/>
      <c r="UN113" s="548"/>
      <c r="UO113" s="548"/>
      <c r="UP113" s="548"/>
      <c r="UQ113" s="548"/>
      <c r="UR113" s="548"/>
      <c r="US113" s="548"/>
      <c r="UT113" s="548"/>
      <c r="UU113" s="548"/>
      <c r="UV113" s="548"/>
      <c r="UW113" s="548"/>
      <c r="UX113" s="548"/>
      <c r="UY113" s="548"/>
      <c r="UZ113" s="548"/>
      <c r="VA113" s="548"/>
      <c r="VB113" s="548"/>
      <c r="VC113" s="548"/>
      <c r="VD113" s="548"/>
      <c r="VE113" s="548"/>
      <c r="VF113" s="548"/>
      <c r="VG113" s="548"/>
      <c r="VH113" s="548"/>
      <c r="VI113" s="548"/>
      <c r="VJ113" s="548"/>
      <c r="VK113" s="548"/>
      <c r="VL113" s="548"/>
      <c r="VM113" s="548"/>
      <c r="VN113" s="548"/>
      <c r="VO113" s="548"/>
      <c r="VP113" s="548"/>
      <c r="VQ113" s="548"/>
      <c r="VR113" s="548"/>
      <c r="VS113" s="548"/>
      <c r="VT113" s="548"/>
      <c r="VU113" s="548"/>
      <c r="VV113" s="548"/>
      <c r="VW113" s="548"/>
      <c r="VX113" s="548"/>
      <c r="VY113" s="548"/>
      <c r="VZ113" s="548"/>
      <c r="WA113" s="548"/>
      <c r="WB113" s="548"/>
      <c r="WC113" s="548"/>
      <c r="WD113" s="548"/>
      <c r="WE113" s="548"/>
      <c r="WF113" s="548"/>
      <c r="WG113" s="548"/>
      <c r="WH113" s="548"/>
      <c r="WI113" s="548"/>
      <c r="WJ113" s="548"/>
      <c r="WK113" s="548"/>
      <c r="WL113" s="548"/>
      <c r="WM113" s="548"/>
      <c r="WN113" s="548"/>
      <c r="WO113" s="548"/>
      <c r="WP113" s="548"/>
      <c r="WQ113" s="548"/>
      <c r="WR113" s="548"/>
      <c r="WS113" s="548"/>
      <c r="WT113" s="548"/>
      <c r="WU113" s="548"/>
      <c r="WV113" s="548"/>
      <c r="WW113" s="548"/>
      <c r="WX113" s="548"/>
      <c r="WY113" s="548"/>
      <c r="WZ113" s="548"/>
      <c r="XA113" s="548"/>
      <c r="XB113" s="548"/>
      <c r="XC113" s="548"/>
      <c r="XD113" s="548"/>
      <c r="XE113" s="548"/>
      <c r="XF113" s="548"/>
      <c r="XG113" s="548"/>
      <c r="XH113" s="548"/>
      <c r="XI113" s="548"/>
      <c r="XJ113" s="548"/>
      <c r="XK113" s="548"/>
      <c r="XL113" s="548"/>
      <c r="XM113" s="548"/>
      <c r="XN113" s="548"/>
      <c r="XO113" s="548"/>
      <c r="XP113" s="548"/>
      <c r="XQ113" s="548"/>
      <c r="XR113" s="548"/>
      <c r="XS113" s="548"/>
      <c r="XT113" s="548"/>
      <c r="XU113" s="548"/>
      <c r="XV113" s="548"/>
      <c r="XW113" s="548"/>
      <c r="XX113" s="548"/>
      <c r="XY113" s="548"/>
      <c r="XZ113" s="548"/>
      <c r="YA113" s="548"/>
      <c r="YB113" s="548"/>
      <c r="YC113" s="548"/>
      <c r="YD113" s="548"/>
      <c r="YE113" s="548"/>
      <c r="YF113" s="548"/>
      <c r="YG113" s="548"/>
      <c r="YH113" s="548"/>
      <c r="YI113" s="548"/>
      <c r="YJ113" s="548"/>
      <c r="YK113" s="548"/>
      <c r="YL113" s="548"/>
      <c r="YM113" s="548"/>
      <c r="YN113" s="548"/>
      <c r="YO113" s="548"/>
      <c r="YP113" s="548"/>
      <c r="YQ113" s="548"/>
      <c r="YR113" s="548"/>
      <c r="YS113" s="548"/>
      <c r="YT113" s="548"/>
      <c r="YU113" s="548"/>
      <c r="YV113" s="548"/>
      <c r="YW113" s="548"/>
      <c r="YX113" s="548"/>
      <c r="YY113" s="548"/>
      <c r="YZ113" s="548"/>
      <c r="ZA113" s="548"/>
      <c r="ZB113" s="548"/>
      <c r="ZC113" s="548"/>
      <c r="ZD113" s="548"/>
      <c r="ZE113" s="548"/>
      <c r="ZF113" s="548"/>
      <c r="ZG113" s="548"/>
      <c r="ZH113" s="548"/>
      <c r="ZI113" s="548"/>
      <c r="ZJ113" s="548"/>
      <c r="ZK113" s="548"/>
      <c r="ZL113" s="548"/>
      <c r="ZM113" s="548"/>
      <c r="ZN113" s="548"/>
      <c r="ZO113" s="548"/>
      <c r="ZP113" s="548"/>
      <c r="ZQ113" s="548"/>
      <c r="ZR113" s="548"/>
      <c r="ZS113" s="548"/>
      <c r="ZT113" s="548"/>
      <c r="ZU113" s="548"/>
      <c r="ZV113" s="548"/>
      <c r="ZW113" s="548"/>
      <c r="ZX113" s="548"/>
      <c r="ZY113" s="548"/>
      <c r="ZZ113" s="548"/>
      <c r="AAA113" s="548"/>
      <c r="AAB113" s="548"/>
      <c r="AAC113" s="548"/>
      <c r="AAD113" s="548"/>
      <c r="AAE113" s="548"/>
      <c r="AAF113" s="548"/>
      <c r="AAG113" s="548"/>
      <c r="AAH113" s="548"/>
      <c r="AAI113" s="548"/>
      <c r="AAJ113" s="548"/>
      <c r="AAK113" s="548"/>
      <c r="AAL113" s="548"/>
      <c r="AAM113" s="548"/>
      <c r="AAN113" s="548"/>
      <c r="AAO113" s="548"/>
      <c r="AAP113" s="548"/>
      <c r="AAQ113" s="548"/>
      <c r="AAR113" s="548"/>
      <c r="AAS113" s="548"/>
      <c r="AAT113" s="548"/>
      <c r="AAU113" s="548"/>
      <c r="AAV113" s="548"/>
      <c r="AAW113" s="548"/>
      <c r="AAX113" s="548"/>
      <c r="AAY113" s="548"/>
      <c r="AAZ113" s="548"/>
      <c r="ABA113" s="548"/>
      <c r="ABB113" s="548"/>
      <c r="ABC113" s="548"/>
      <c r="ABD113" s="548"/>
      <c r="ABE113" s="548"/>
      <c r="ABF113" s="548"/>
      <c r="ABG113" s="548"/>
      <c r="ABH113" s="548"/>
      <c r="ABI113" s="548"/>
      <c r="ABJ113" s="548"/>
      <c r="ABK113" s="548"/>
      <c r="ABL113" s="548"/>
      <c r="ABM113" s="548"/>
      <c r="ABN113" s="548"/>
      <c r="ABO113" s="548"/>
      <c r="ABP113" s="548"/>
      <c r="ABQ113" s="548"/>
      <c r="ABR113" s="548"/>
      <c r="ABS113" s="548"/>
    </row>
    <row r="114" spans="1:747" customFormat="1" ht="15" customHeight="1" thickBot="1" x14ac:dyDescent="0.25">
      <c r="A114" s="424" t="str">
        <f t="shared" si="909"/>
        <v/>
      </c>
      <c r="B114" s="415"/>
      <c r="C114" s="525"/>
      <c r="D114" s="750"/>
      <c r="E114" s="416" t="str">
        <f t="shared" si="1171"/>
        <v/>
      </c>
      <c r="F114" s="527" t="str">
        <f t="shared" si="1172"/>
        <v/>
      </c>
      <c r="G114" s="417"/>
      <c r="H114" s="585" t="str">
        <f t="shared" si="1173"/>
        <v/>
      </c>
      <c r="I114" s="424"/>
      <c r="J114" s="419"/>
      <c r="K114" s="418"/>
      <c r="L114" s="419"/>
      <c r="M114" s="415"/>
      <c r="N114" s="420"/>
      <c r="O114" s="421"/>
      <c r="P114" s="561"/>
      <c r="Q114" s="422"/>
      <c r="R114" s="561" t="str">
        <f t="shared" si="1174"/>
        <v/>
      </c>
      <c r="S114" s="664"/>
      <c r="T114" s="997"/>
      <c r="U114" s="580">
        <f t="shared" si="1175"/>
        <v>0</v>
      </c>
      <c r="V114" s="418"/>
      <c r="W114" s="582" t="str">
        <f t="shared" si="1176"/>
        <v/>
      </c>
      <c r="X114" s="479" t="str">
        <f t="shared" si="1177"/>
        <v/>
      </c>
      <c r="Y114" s="582" t="str">
        <f t="shared" si="1178"/>
        <v/>
      </c>
      <c r="Z114" s="317" t="str">
        <f t="shared" si="1179"/>
        <v/>
      </c>
      <c r="AA114" s="317" t="str">
        <f t="shared" si="1180"/>
        <v/>
      </c>
      <c r="AB114" s="317">
        <f t="shared" si="1181"/>
        <v>0</v>
      </c>
      <c r="AC114" s="317" t="str">
        <f t="shared" si="1182"/>
        <v/>
      </c>
      <c r="AD114" s="479"/>
      <c r="AE114" s="479"/>
      <c r="AF114" s="479"/>
      <c r="AG114" s="423"/>
      <c r="AH114" s="820"/>
      <c r="AI114" s="437"/>
      <c r="AJ114" s="720"/>
      <c r="AK114" s="524" t="str">
        <f t="shared" si="1183"/>
        <v/>
      </c>
      <c r="AL114" s="733">
        <f>SUMIF($J$4:$J$163,"Formação",$S$4:$S$163)</f>
        <v>0</v>
      </c>
      <c r="AM114" s="816">
        <f>SUMIF($J$4:$J$163,"Formação",$T$4:$T$163)</f>
        <v>0</v>
      </c>
      <c r="AN114" s="426">
        <f t="shared" si="1184"/>
        <v>0</v>
      </c>
      <c r="AO114" s="427" t="str">
        <f t="shared" si="1185"/>
        <v/>
      </c>
      <c r="AP114" s="426" t="str">
        <f t="shared" si="1186"/>
        <v/>
      </c>
      <c r="AQ114" s="426"/>
      <c r="AR114" s="426"/>
      <c r="AS114" s="428"/>
      <c r="AT114" s="429"/>
      <c r="AU114" s="430"/>
      <c r="AV114" s="431"/>
      <c r="AW114" s="432"/>
      <c r="AX114" s="430"/>
      <c r="AY114" s="431">
        <f t="shared" si="1187"/>
        <v>0</v>
      </c>
      <c r="AZ114" s="426"/>
      <c r="BA114" s="435" t="str">
        <f t="shared" si="1188"/>
        <v/>
      </c>
      <c r="BB114" s="435"/>
      <c r="BC114" s="426"/>
      <c r="BD114" s="426">
        <f t="array" ref="BD114">IF(SUM((BC114=$BC$3:BC113)*1)=0,BC114,0)</f>
        <v>0</v>
      </c>
      <c r="BE114" s="426"/>
      <c r="BF114" s="426"/>
      <c r="BG114" s="426">
        <f t="array" ref="BG114">IF(SUM((BF114=$BF$3:BF113)*1)=0,BF114,0)</f>
        <v>0</v>
      </c>
      <c r="BH114" s="426"/>
      <c r="BI114" s="426"/>
      <c r="BJ114" s="426"/>
      <c r="BK114" s="426"/>
      <c r="BL114" s="426"/>
      <c r="BM114" s="426"/>
      <c r="BN114" s="426"/>
      <c r="BO114" s="426"/>
      <c r="BP114" s="433">
        <f t="shared" si="1189"/>
        <v>0</v>
      </c>
      <c r="BQ114" s="426"/>
      <c r="BR114" s="434"/>
      <c r="BS114" s="426"/>
      <c r="BT114" s="433"/>
      <c r="BU114" s="435"/>
      <c r="BV114" s="435" t="str">
        <f t="shared" si="1190"/>
        <v/>
      </c>
      <c r="BW114" s="435" t="str">
        <f t="shared" si="798"/>
        <v/>
      </c>
      <c r="BX114" s="435"/>
      <c r="BY114" s="435"/>
      <c r="BZ114" s="435"/>
      <c r="CA114" s="435"/>
      <c r="CB114" s="435"/>
      <c r="CC114" s="435"/>
      <c r="CD114" s="435"/>
      <c r="CE114" s="435"/>
      <c r="CF114" s="435"/>
      <c r="CG114" s="435"/>
      <c r="CH114" s="435"/>
      <c r="CI114" s="435"/>
      <c r="CJ114" s="426" t="str">
        <f t="shared" si="799"/>
        <v/>
      </c>
      <c r="CK114" s="435"/>
      <c r="CL114" s="426"/>
      <c r="CM114" s="435"/>
      <c r="CN114" s="426"/>
      <c r="CO114" s="426"/>
      <c r="CP114" s="426"/>
      <c r="CQ114" s="426"/>
      <c r="CR114" s="426"/>
      <c r="CS114" s="426"/>
      <c r="CT114" s="426"/>
      <c r="CU114" s="426"/>
      <c r="CV114" s="426"/>
      <c r="CW114" s="493"/>
      <c r="CX114" s="493"/>
      <c r="CY114" s="426">
        <v>111</v>
      </c>
      <c r="CZ114" s="493"/>
      <c r="DA114" s="493"/>
      <c r="DB114" s="493"/>
      <c r="DC114" s="426" t="s">
        <v>854</v>
      </c>
      <c r="DD114" s="426" t="s">
        <v>1014</v>
      </c>
      <c r="DE114" s="435" t="str">
        <f t="shared" si="800"/>
        <v/>
      </c>
      <c r="DF114" s="435" t="str">
        <f t="shared" si="801"/>
        <v/>
      </c>
      <c r="DG114" s="435" t="str">
        <f t="shared" si="802"/>
        <v/>
      </c>
      <c r="DH114" s="435" t="str">
        <f t="shared" si="803"/>
        <v/>
      </c>
      <c r="DI114" s="435" t="str">
        <f t="shared" si="804"/>
        <v/>
      </c>
      <c r="DJ114" s="435" t="str">
        <f t="shared" si="805"/>
        <v/>
      </c>
      <c r="DK114" s="435" t="str">
        <f t="shared" si="1191"/>
        <v/>
      </c>
      <c r="DL114" s="435" t="str">
        <f t="shared" si="1192"/>
        <v/>
      </c>
      <c r="DM114" s="435" t="str">
        <f t="shared" si="806"/>
        <v/>
      </c>
      <c r="DN114" s="435" t="str">
        <f t="shared" si="807"/>
        <v/>
      </c>
      <c r="DO114" s="435" t="str">
        <f t="shared" si="1193"/>
        <v/>
      </c>
      <c r="DP114" s="435" t="str">
        <f t="shared" si="1194"/>
        <v/>
      </c>
      <c r="DQ114" s="435" t="str">
        <f t="shared" si="808"/>
        <v/>
      </c>
      <c r="DR114" s="435" t="str">
        <f t="shared" si="809"/>
        <v/>
      </c>
      <c r="DS114" s="435" t="str">
        <f t="shared" si="1195"/>
        <v/>
      </c>
      <c r="DT114" s="435" t="str">
        <f t="shared" si="1196"/>
        <v/>
      </c>
      <c r="DU114" s="435" t="str">
        <f t="shared" si="810"/>
        <v/>
      </c>
      <c r="DV114" s="435" t="str">
        <f t="shared" si="811"/>
        <v/>
      </c>
      <c r="DW114" s="435" t="str">
        <f t="shared" si="1197"/>
        <v/>
      </c>
      <c r="DX114" s="435" t="str">
        <f t="shared" si="1198"/>
        <v/>
      </c>
      <c r="DY114" s="435" t="str">
        <f t="shared" si="812"/>
        <v/>
      </c>
      <c r="DZ114" s="435" t="str">
        <f t="shared" si="813"/>
        <v/>
      </c>
      <c r="EA114" s="435" t="str">
        <f t="shared" si="1199"/>
        <v/>
      </c>
      <c r="EB114" s="435" t="str">
        <f t="shared" si="1200"/>
        <v/>
      </c>
      <c r="EC114" s="435" t="str">
        <f t="shared" si="1201"/>
        <v/>
      </c>
      <c r="ED114" s="435" t="str">
        <f t="shared" si="1202"/>
        <v/>
      </c>
      <c r="EE114" s="435" t="str">
        <f t="shared" si="1203"/>
        <v/>
      </c>
      <c r="EF114" s="435" t="str">
        <f t="shared" si="1204"/>
        <v/>
      </c>
      <c r="EG114" s="435" t="str">
        <f t="shared" si="1205"/>
        <v/>
      </c>
      <c r="EH114" s="435" t="str">
        <f t="shared" si="1206"/>
        <v/>
      </c>
      <c r="EI114" s="435" t="str">
        <f t="shared" si="1207"/>
        <v/>
      </c>
      <c r="EJ114" s="435" t="str">
        <f t="shared" si="1208"/>
        <v/>
      </c>
      <c r="EK114" s="485"/>
      <c r="EL114" s="485"/>
      <c r="EM114" s="485"/>
      <c r="EN114" s="485"/>
      <c r="EO114" s="448"/>
      <c r="EP114" s="448"/>
      <c r="EQ114" s="448"/>
      <c r="ER114" s="448"/>
      <c r="ES114" s="448"/>
      <c r="ET114" s="435"/>
      <c r="EU114" s="435"/>
      <c r="EV114" s="435"/>
      <c r="EW114" s="435"/>
      <c r="EX114" s="426"/>
      <c r="EY114" s="426"/>
      <c r="EZ114" s="426"/>
      <c r="FA114" s="863"/>
      <c r="FB114" s="427">
        <f t="array" ref="FB114">IF(SUM((FA114=$FA$3:FA113)*1)=0,FA114,0)</f>
        <v>0</v>
      </c>
      <c r="FC114" s="863"/>
      <c r="FD114" s="863"/>
      <c r="FE114" s="863">
        <f t="array" ref="FE114">IF(SUM((FD114=$FD$3:FD113)*1)=0,FD114,0)</f>
        <v>0</v>
      </c>
      <c r="FF114" s="863"/>
      <c r="FG114" s="863"/>
      <c r="FH114" s="863"/>
      <c r="FI114" s="427">
        <f t="array" ref="FI114">IF(SUM((FH114=$FH$3:FH113)*1)=0,FH114,0)</f>
        <v>0</v>
      </c>
      <c r="FJ114" s="863"/>
      <c r="FK114" s="863"/>
      <c r="FL114" s="863">
        <f t="array" ref="FL114">IF(SUM((FK114=$FK$3:FK113)*1)=0,FK114,0)</f>
        <v>0</v>
      </c>
      <c r="FM114" s="863"/>
      <c r="FN114" s="863"/>
      <c r="FO114" s="863"/>
      <c r="FP114" s="427">
        <f t="array" ref="FP114">IF(SUM((FO114=$FO$3:FO113)*1)=0,FO114,0)</f>
        <v>0</v>
      </c>
      <c r="FQ114" s="863"/>
      <c r="FR114" s="863"/>
      <c r="FS114" s="863">
        <f t="array" ref="FS114">IF(SUM((FR114=$FR$3:FR113)*1)=0,FR114,0)</f>
        <v>0</v>
      </c>
      <c r="FT114" s="863"/>
      <c r="FU114" s="863"/>
      <c r="FV114" s="863"/>
      <c r="FW114" s="427">
        <f t="array" ref="FW114">IF(SUM((FV114=$FV$3:FV113)*1)=0,FV114,0)</f>
        <v>0</v>
      </c>
      <c r="FX114" s="863"/>
      <c r="FY114" s="863"/>
      <c r="FZ114" s="863">
        <f t="array" ref="FZ114">IF(SUM((FY114=$FY$3:FY113)*1)=0,FY114,0)</f>
        <v>0</v>
      </c>
      <c r="GA114" s="863"/>
      <c r="GB114" s="863"/>
      <c r="GC114" s="863"/>
      <c r="GD114" s="427">
        <f t="array" ref="GD114">IF(SUM((GC114=$GC$3:GC113)*1)=0,GC114,0)</f>
        <v>0</v>
      </c>
      <c r="GE114" s="863"/>
      <c r="GF114" s="863"/>
      <c r="GG114" s="863">
        <f t="array" ref="GG114">IF(SUM((GF114=$GF$3:GF113)*1)=0,GF114,0)</f>
        <v>0</v>
      </c>
      <c r="GH114" s="863"/>
      <c r="GI114" s="863"/>
      <c r="GJ114" s="863"/>
      <c r="GK114" s="798">
        <f t="array" ref="GK114">IF(SUM((GJ114=$GJ$3:GJ113)*1)=0,GJ114,0)</f>
        <v>0</v>
      </c>
      <c r="GL114" s="863"/>
      <c r="GM114" s="863"/>
      <c r="GN114" s="798">
        <f t="array" ref="GN114">IF(SUM((GM114=$GM$3:GM113)*1)=0,GM114,0)</f>
        <v>0</v>
      </c>
      <c r="GO114" s="863"/>
      <c r="GP114" s="863"/>
      <c r="GQ114" s="863"/>
      <c r="GR114" s="798">
        <f t="array" ref="GR114">IF(SUM((GQ114=$GQ$3:GQ113)*1)=0,GQ114,0)</f>
        <v>0</v>
      </c>
      <c r="GS114" s="863"/>
      <c r="GT114" s="863"/>
      <c r="GU114" s="798">
        <f t="array" ref="GU114">IF(SUM((GT114=$GT$3:GT113)*1)=0,GT114,0)</f>
        <v>0</v>
      </c>
      <c r="GV114" s="863"/>
      <c r="GW114" s="863"/>
      <c r="GX114" s="863"/>
      <c r="GY114" s="798">
        <f t="array" ref="GY114">IF(SUM((GX114=$GX$3:GX113)*1)=0,GX114,0)</f>
        <v>0</v>
      </c>
      <c r="GZ114" s="863"/>
      <c r="HA114" s="863"/>
      <c r="HB114" s="798">
        <f t="array" ref="HB114">IF(SUM((HA114=$HA$3:HA113)*1)=0,HA114,0)</f>
        <v>0</v>
      </c>
      <c r="HC114" s="863"/>
      <c r="HD114" s="863"/>
      <c r="HE114" s="769" t="str">
        <f t="shared" si="889"/>
        <v/>
      </c>
      <c r="HF114" s="768" t="str">
        <f t="shared" ref="HF114" si="1367">IF(HE114&lt;0,"Invadiu REP-BA-C","")</f>
        <v/>
      </c>
      <c r="HG114" s="769" t="str">
        <f t="shared" si="891"/>
        <v/>
      </c>
      <c r="HH114" s="768" t="str">
        <f t="shared" si="815"/>
        <v/>
      </c>
      <c r="HI114" s="728" t="str">
        <f t="shared" si="892"/>
        <v/>
      </c>
      <c r="HJ114" s="768" t="str">
        <f t="shared" si="816"/>
        <v/>
      </c>
      <c r="HK114" s="728" t="str">
        <f t="shared" si="893"/>
        <v/>
      </c>
      <c r="HL114" s="768" t="str">
        <f t="shared" si="817"/>
        <v/>
      </c>
      <c r="HM114" s="769" t="str">
        <f t="shared" si="1219"/>
        <v/>
      </c>
      <c r="HN114" s="768" t="str">
        <f t="shared" ref="HN114" si="1368">IF(HM114&lt;0,"Invadiu REP-BA-C","")</f>
        <v/>
      </c>
      <c r="HO114" s="769" t="str">
        <f t="shared" si="1221"/>
        <v/>
      </c>
      <c r="HP114" s="768" t="str">
        <f t="shared" si="821"/>
        <v/>
      </c>
      <c r="HQ114" s="728" t="str">
        <f t="shared" si="1222"/>
        <v/>
      </c>
      <c r="HR114" s="768" t="str">
        <f t="shared" si="823"/>
        <v/>
      </c>
      <c r="HS114" s="728" t="str">
        <f t="shared" si="1223"/>
        <v/>
      </c>
      <c r="HT114" s="768" t="str">
        <f t="shared" si="825"/>
        <v/>
      </c>
      <c r="HU114" s="769" t="str">
        <f t="shared" si="1224"/>
        <v/>
      </c>
      <c r="HV114" s="768" t="str">
        <f t="shared" ref="HV114" si="1369">IF(HU114&lt;0,"Invadiu REP-BA-C","")</f>
        <v/>
      </c>
      <c r="HW114" s="769" t="str">
        <f t="shared" si="1226"/>
        <v/>
      </c>
      <c r="HX114" s="768" t="str">
        <f t="shared" si="829"/>
        <v/>
      </c>
      <c r="HY114" s="728" t="str">
        <f t="shared" si="1227"/>
        <v/>
      </c>
      <c r="HZ114" s="768" t="str">
        <f t="shared" si="831"/>
        <v/>
      </c>
      <c r="IA114" s="728" t="str">
        <f t="shared" si="1228"/>
        <v/>
      </c>
      <c r="IB114" s="768" t="str">
        <f t="shared" si="833"/>
        <v/>
      </c>
      <c r="IC114" s="769" t="str">
        <f t="shared" si="1229"/>
        <v/>
      </c>
      <c r="ID114" s="768" t="str">
        <f t="shared" ref="ID114" si="1370">IF(IC114&lt;0,"Invadiu REP-BA-C","")</f>
        <v/>
      </c>
      <c r="IE114" s="769" t="str">
        <f t="shared" si="1231"/>
        <v/>
      </c>
      <c r="IF114" s="768" t="str">
        <f t="shared" si="837"/>
        <v/>
      </c>
      <c r="IG114" s="728" t="str">
        <f t="shared" si="1232"/>
        <v/>
      </c>
      <c r="IH114" s="768" t="str">
        <f t="shared" si="839"/>
        <v/>
      </c>
      <c r="II114" s="728" t="str">
        <f t="shared" si="1233"/>
        <v/>
      </c>
      <c r="IJ114" s="768" t="str">
        <f t="shared" si="841"/>
        <v/>
      </c>
      <c r="IK114" s="769" t="str">
        <f t="shared" si="1234"/>
        <v/>
      </c>
      <c r="IL114" s="768" t="str">
        <f t="shared" ref="IL114" si="1371">IF(IK114&lt;0,"Invadiu REP-BA-C","")</f>
        <v/>
      </c>
      <c r="IM114" s="769" t="str">
        <f t="shared" si="1236"/>
        <v/>
      </c>
      <c r="IN114" s="768" t="str">
        <f t="shared" si="845"/>
        <v/>
      </c>
      <c r="IO114" s="728" t="str">
        <f t="shared" si="1237"/>
        <v/>
      </c>
      <c r="IP114" s="768" t="str">
        <f t="shared" si="847"/>
        <v/>
      </c>
      <c r="IQ114" s="728" t="str">
        <f t="shared" si="1238"/>
        <v/>
      </c>
      <c r="IR114" s="768" t="str">
        <f t="shared" si="849"/>
        <v/>
      </c>
      <c r="IS114" s="769" t="str">
        <f t="shared" si="1239"/>
        <v/>
      </c>
      <c r="IT114" s="768" t="str">
        <f t="shared" ref="IT114" si="1372">IF(IS114&lt;0,"Invadiu REP-BA-C","")</f>
        <v/>
      </c>
      <c r="IU114" s="769" t="str">
        <f t="shared" si="1241"/>
        <v/>
      </c>
      <c r="IV114" s="768" t="str">
        <f t="shared" si="853"/>
        <v/>
      </c>
      <c r="IW114" s="728" t="str">
        <f t="shared" si="1242"/>
        <v/>
      </c>
      <c r="IX114" s="768" t="str">
        <f t="shared" si="855"/>
        <v/>
      </c>
      <c r="IY114" s="728" t="str">
        <f t="shared" si="1243"/>
        <v/>
      </c>
      <c r="IZ114" s="768" t="str">
        <f t="shared" si="857"/>
        <v/>
      </c>
      <c r="JA114" s="769" t="str">
        <f t="shared" si="1244"/>
        <v/>
      </c>
      <c r="JB114" s="768" t="str">
        <f t="shared" ref="JB114" si="1373">IF(JA114&lt;0,"Invadiu REP-BA-C","")</f>
        <v/>
      </c>
      <c r="JC114" s="769" t="str">
        <f t="shared" si="1246"/>
        <v/>
      </c>
      <c r="JD114" s="768" t="str">
        <f t="shared" si="861"/>
        <v/>
      </c>
      <c r="JE114" s="728" t="str">
        <f t="shared" si="1247"/>
        <v/>
      </c>
      <c r="JF114" s="768" t="str">
        <f t="shared" si="863"/>
        <v/>
      </c>
      <c r="JG114" s="728" t="str">
        <f t="shared" si="1248"/>
        <v/>
      </c>
      <c r="JH114" s="768" t="str">
        <f t="shared" si="865"/>
        <v/>
      </c>
      <c r="JI114" s="769" t="str">
        <f t="shared" si="1249"/>
        <v/>
      </c>
      <c r="JJ114" s="768" t="str">
        <f t="shared" ref="JJ114" si="1374">IF(JI114&lt;0,"Invadiu REP-BA-C","")</f>
        <v/>
      </c>
      <c r="JK114" s="769" t="str">
        <f t="shared" si="1251"/>
        <v/>
      </c>
      <c r="JL114" s="768" t="str">
        <f t="shared" si="869"/>
        <v/>
      </c>
      <c r="JM114" s="728" t="str">
        <f t="shared" si="1252"/>
        <v/>
      </c>
      <c r="JN114" s="768" t="str">
        <f t="shared" si="871"/>
        <v/>
      </c>
      <c r="JO114" s="728" t="str">
        <f t="shared" si="1253"/>
        <v/>
      </c>
      <c r="JP114" s="768" t="str">
        <f t="shared" si="873"/>
        <v/>
      </c>
      <c r="JQ114" s="769" t="str">
        <f t="shared" si="1254"/>
        <v/>
      </c>
      <c r="JR114" s="768" t="str">
        <f t="shared" ref="JR114" si="1375">IF(JQ114&lt;0,"Invadiu REP-BA-C","")</f>
        <v/>
      </c>
      <c r="JS114" s="769" t="str">
        <f t="shared" si="1256"/>
        <v/>
      </c>
      <c r="JT114" s="768" t="str">
        <f t="shared" si="877"/>
        <v/>
      </c>
      <c r="JU114" s="728" t="str">
        <f t="shared" si="1257"/>
        <v/>
      </c>
      <c r="JV114" s="768" t="str">
        <f t="shared" si="879"/>
        <v/>
      </c>
      <c r="JW114" s="728" t="str">
        <f t="shared" si="1258"/>
        <v/>
      </c>
      <c r="JX114" s="768" t="str">
        <f t="shared" si="881"/>
        <v/>
      </c>
      <c r="JY114" s="768" t="str">
        <f t="shared" si="882"/>
        <v/>
      </c>
      <c r="JZ114" s="485" t="str">
        <f>IF(JY114="","",IF(AND(C114=$C$164,JY114&lt;&gt;""),Verificarcpf(D114),IF(AND(C114=$C$165,JY114&lt;&gt;""),VerificarCNPJ(D114))))</f>
        <v/>
      </c>
      <c r="KA114" s="768" t="str">
        <f t="shared" si="883"/>
        <v/>
      </c>
      <c r="KB114" s="485">
        <f t="shared" si="884"/>
        <v>0</v>
      </c>
      <c r="KC114" s="768">
        <f t="shared" si="885"/>
        <v>0</v>
      </c>
      <c r="KD114" s="485">
        <f t="shared" si="886"/>
        <v>0</v>
      </c>
      <c r="KE114" s="448"/>
      <c r="KF114" s="548"/>
      <c r="KG114" s="548"/>
      <c r="KH114" s="548"/>
      <c r="KI114" s="548"/>
      <c r="KJ114" s="548" t="str">
        <f t="shared" si="887"/>
        <v/>
      </c>
      <c r="KK114" s="548"/>
      <c r="KL114" s="548"/>
      <c r="KM114" s="548">
        <f t="array" ref="KM114">IF(SUM((KL114=$KL$3:KL113)*1)=0,KL114,0)</f>
        <v>0</v>
      </c>
      <c r="KN114" s="548"/>
      <c r="KO114" s="548"/>
      <c r="KP114" s="548"/>
      <c r="KQ114" s="548"/>
      <c r="KR114" s="548" t="str">
        <f t="shared" si="888"/>
        <v/>
      </c>
      <c r="KS114" s="548"/>
      <c r="KT114" s="548"/>
      <c r="KU114" s="548"/>
      <c r="KV114" s="548"/>
      <c r="KW114" s="548"/>
      <c r="KX114" s="548"/>
      <c r="KY114" s="548"/>
      <c r="KZ114" s="548"/>
      <c r="LA114" s="548"/>
      <c r="LB114" s="548"/>
      <c r="LC114" s="485" t="str">
        <f t="shared" si="902"/>
        <v/>
      </c>
      <c r="LD114" s="548"/>
      <c r="LE114" s="548"/>
      <c r="LF114" s="548"/>
      <c r="LG114" s="548"/>
      <c r="LH114" s="548"/>
      <c r="LI114" s="548"/>
      <c r="LJ114" s="548"/>
      <c r="LK114" s="548"/>
      <c r="LL114" s="548"/>
      <c r="LM114" s="548"/>
      <c r="LN114" s="548"/>
      <c r="LO114" s="548"/>
      <c r="LP114" s="485" t="str">
        <f t="shared" si="903"/>
        <v/>
      </c>
      <c r="LQ114" s="548"/>
      <c r="LR114" s="548"/>
      <c r="LS114" s="548"/>
      <c r="LT114" s="548"/>
      <c r="LU114" s="548"/>
      <c r="LV114" s="548"/>
      <c r="LW114" s="548"/>
      <c r="LX114" s="548"/>
      <c r="LY114" s="548"/>
      <c r="LZ114" s="548"/>
      <c r="MA114" s="548"/>
      <c r="MB114" s="548"/>
      <c r="MC114" s="485" t="str">
        <f t="shared" si="904"/>
        <v/>
      </c>
      <c r="MD114" s="548"/>
      <c r="ME114" s="548"/>
      <c r="MF114" s="548"/>
      <c r="MG114" s="548"/>
      <c r="MH114" s="548"/>
      <c r="MI114" s="548"/>
      <c r="MJ114" s="548"/>
      <c r="MK114" s="548"/>
      <c r="ML114" s="548"/>
      <c r="MM114" s="548"/>
      <c r="MN114" s="548"/>
      <c r="MO114" s="548"/>
      <c r="MP114" s="485" t="str">
        <f t="shared" si="905"/>
        <v/>
      </c>
      <c r="MQ114" s="548"/>
      <c r="MR114" s="548"/>
      <c r="MS114" s="548"/>
      <c r="MT114" s="548"/>
      <c r="MU114" s="548"/>
      <c r="MV114" s="548"/>
      <c r="MW114" s="548"/>
      <c r="MX114" s="548"/>
      <c r="MY114" s="548"/>
      <c r="MZ114" s="548"/>
      <c r="NA114" s="548"/>
      <c r="NB114" s="548"/>
      <c r="NC114" s="485" t="str">
        <f t="shared" si="906"/>
        <v/>
      </c>
      <c r="ND114" s="548"/>
      <c r="NE114" s="548"/>
      <c r="NF114" s="548"/>
      <c r="NG114" s="548"/>
      <c r="NH114" s="548"/>
      <c r="NI114" s="548"/>
      <c r="NJ114" s="548"/>
      <c r="NK114" s="548"/>
      <c r="NL114" s="548"/>
      <c r="NM114" s="548"/>
      <c r="NN114" s="548"/>
      <c r="NO114" s="548"/>
      <c r="NP114" s="485" t="str">
        <f t="shared" si="907"/>
        <v/>
      </c>
      <c r="NQ114" s="548"/>
      <c r="NR114" s="548"/>
      <c r="NS114" s="548"/>
      <c r="NT114" s="548"/>
      <c r="NU114" s="548"/>
      <c r="NV114" s="548"/>
      <c r="NW114" s="548"/>
      <c r="NX114" s="548"/>
      <c r="NY114" s="548"/>
      <c r="NZ114" s="548"/>
      <c r="OA114" s="548"/>
      <c r="OB114" s="548"/>
      <c r="OC114" s="485" t="str">
        <f t="shared" si="908"/>
        <v/>
      </c>
      <c r="OD114" s="548"/>
      <c r="OE114" s="548"/>
      <c r="OF114" s="548"/>
      <c r="OG114" s="548"/>
      <c r="OH114" s="548"/>
      <c r="OI114" s="548"/>
      <c r="OJ114" s="548"/>
      <c r="OK114" s="548"/>
      <c r="OL114" s="548"/>
      <c r="OM114" s="548"/>
      <c r="ON114" s="548"/>
      <c r="OO114" s="548"/>
      <c r="OP114" s="548"/>
      <c r="OQ114" s="548"/>
      <c r="OR114" s="548"/>
      <c r="OS114" s="548"/>
      <c r="OT114" s="548"/>
      <c r="OU114" s="548"/>
      <c r="OV114" s="548"/>
      <c r="OW114" s="548"/>
      <c r="OX114" s="548"/>
      <c r="OY114" s="548"/>
      <c r="OZ114" s="548"/>
      <c r="PA114" s="548"/>
      <c r="PB114" s="548"/>
      <c r="PC114" s="548"/>
      <c r="PD114" s="548"/>
      <c r="PE114" s="548"/>
      <c r="PF114" s="548"/>
      <c r="PG114" s="548"/>
      <c r="PH114" s="548"/>
      <c r="PI114" s="548"/>
      <c r="PJ114" s="548"/>
      <c r="PK114" s="548"/>
      <c r="PL114" s="548"/>
      <c r="PM114" s="548"/>
      <c r="PN114" s="548"/>
      <c r="PO114" s="548"/>
      <c r="PP114" s="548"/>
      <c r="PQ114" s="548"/>
      <c r="PR114" s="548"/>
      <c r="PS114" s="548"/>
      <c r="PT114" s="548"/>
      <c r="PU114" s="548"/>
      <c r="PV114" s="548"/>
      <c r="PW114" s="548"/>
      <c r="PX114" s="548"/>
      <c r="PY114" s="548"/>
      <c r="PZ114" s="548"/>
      <c r="QA114" s="548"/>
      <c r="QB114" s="548"/>
      <c r="QC114" s="548"/>
      <c r="QD114" s="548"/>
      <c r="QE114" s="548"/>
      <c r="QF114" s="548"/>
      <c r="QG114" s="548"/>
      <c r="QH114" s="548"/>
      <c r="QI114" s="548"/>
      <c r="QJ114" s="548"/>
      <c r="QK114" s="548"/>
      <c r="QL114" s="548"/>
      <c r="QM114" s="548"/>
      <c r="QN114" s="548"/>
      <c r="QO114" s="548"/>
      <c r="QP114" s="548"/>
      <c r="QQ114" s="1009"/>
      <c r="QR114" s="548"/>
      <c r="QS114" s="548"/>
      <c r="QT114" s="548"/>
      <c r="QU114" s="548"/>
      <c r="QV114" s="548"/>
      <c r="QW114" s="548"/>
      <c r="QX114" s="548"/>
      <c r="QY114" s="548"/>
      <c r="QZ114" s="548"/>
      <c r="RA114" s="548"/>
      <c r="RB114" s="548"/>
      <c r="RC114" s="548"/>
      <c r="RD114" s="548"/>
      <c r="RE114" s="548"/>
      <c r="RF114" s="548"/>
      <c r="RG114" s="548"/>
      <c r="RH114" s="548"/>
      <c r="RI114" s="548"/>
      <c r="RJ114" s="548"/>
      <c r="RK114" s="548"/>
      <c r="RL114" s="548"/>
      <c r="RM114" s="548"/>
      <c r="RN114" s="548"/>
      <c r="RO114" s="548"/>
      <c r="RP114" s="548"/>
      <c r="RQ114" s="548"/>
      <c r="RR114" s="548"/>
      <c r="RS114" s="548"/>
      <c r="RT114" s="548"/>
      <c r="RU114" s="548"/>
      <c r="RV114" s="548"/>
      <c r="RW114" s="548"/>
      <c r="RX114" s="548"/>
      <c r="RY114" s="548"/>
      <c r="RZ114" s="548"/>
      <c r="SA114" s="548"/>
      <c r="SB114" s="548"/>
      <c r="SC114" s="548"/>
      <c r="SD114" s="548"/>
      <c r="SE114" s="548"/>
      <c r="SF114" s="548"/>
      <c r="SG114" s="548"/>
      <c r="SH114" s="548"/>
      <c r="SI114" s="548"/>
      <c r="SJ114" s="548"/>
      <c r="SK114" s="548"/>
      <c r="SL114" s="548"/>
      <c r="SM114" s="548"/>
      <c r="SN114" s="548"/>
      <c r="SO114" s="548"/>
      <c r="SP114" s="548"/>
      <c r="SQ114" s="548"/>
      <c r="SR114" s="548"/>
      <c r="SS114" s="548"/>
      <c r="ST114" s="548"/>
      <c r="SU114" s="548"/>
      <c r="SV114" s="548"/>
      <c r="SW114" s="548"/>
      <c r="SX114" s="548"/>
      <c r="SY114" s="548"/>
      <c r="SZ114" s="548"/>
      <c r="TA114" s="548"/>
      <c r="TB114" s="548"/>
      <c r="TC114" s="548"/>
      <c r="TD114" s="548"/>
      <c r="TE114" s="548"/>
      <c r="TF114" s="548"/>
      <c r="TG114" s="548"/>
      <c r="TH114" s="548"/>
      <c r="TI114" s="548"/>
      <c r="TJ114" s="548"/>
      <c r="TK114" s="548"/>
      <c r="TL114" s="548"/>
      <c r="TM114" s="548"/>
      <c r="TN114" s="548"/>
      <c r="TO114" s="548"/>
      <c r="TP114" s="548"/>
      <c r="TQ114" s="548"/>
      <c r="TR114" s="548"/>
      <c r="TS114" s="548"/>
      <c r="TT114" s="548"/>
      <c r="TU114" s="548"/>
      <c r="TV114" s="548"/>
      <c r="TW114" s="548"/>
      <c r="TX114" s="548"/>
      <c r="TY114" s="548"/>
      <c r="TZ114" s="548"/>
      <c r="UA114" s="548"/>
      <c r="UB114" s="548"/>
      <c r="UC114" s="548"/>
      <c r="UD114" s="548"/>
      <c r="UE114" s="548"/>
      <c r="UF114" s="548"/>
      <c r="UG114" s="548"/>
      <c r="UH114" s="548"/>
      <c r="UI114" s="548"/>
      <c r="UJ114" s="548"/>
      <c r="UK114" s="548"/>
      <c r="UL114" s="548"/>
      <c r="UM114" s="548"/>
      <c r="UN114" s="548"/>
      <c r="UO114" s="548"/>
      <c r="UP114" s="548"/>
      <c r="UQ114" s="548"/>
      <c r="UR114" s="548"/>
      <c r="US114" s="548"/>
      <c r="UT114" s="548"/>
      <c r="UU114" s="548"/>
      <c r="UV114" s="548"/>
      <c r="UW114" s="548"/>
      <c r="UX114" s="548"/>
      <c r="UY114" s="548"/>
      <c r="UZ114" s="548"/>
      <c r="VA114" s="548"/>
      <c r="VB114" s="548"/>
      <c r="VC114" s="548"/>
      <c r="VD114" s="548"/>
      <c r="VE114" s="548"/>
      <c r="VF114" s="548"/>
      <c r="VG114" s="548"/>
      <c r="VH114" s="548"/>
      <c r="VI114" s="548"/>
      <c r="VJ114" s="548"/>
      <c r="VK114" s="548"/>
      <c r="VL114" s="548"/>
      <c r="VM114" s="548"/>
      <c r="VN114" s="548"/>
      <c r="VO114" s="548"/>
      <c r="VP114" s="548"/>
      <c r="VQ114" s="548"/>
      <c r="VR114" s="548"/>
      <c r="VS114" s="548"/>
      <c r="VT114" s="548"/>
      <c r="VU114" s="548"/>
      <c r="VV114" s="548"/>
      <c r="VW114" s="548"/>
      <c r="VX114" s="548"/>
      <c r="VY114" s="548"/>
      <c r="VZ114" s="548"/>
      <c r="WA114" s="548"/>
      <c r="WB114" s="548"/>
      <c r="WC114" s="548"/>
      <c r="WD114" s="548"/>
      <c r="WE114" s="548"/>
      <c r="WF114" s="548"/>
      <c r="WG114" s="548"/>
      <c r="WH114" s="548"/>
      <c r="WI114" s="548"/>
      <c r="WJ114" s="548"/>
      <c r="WK114" s="548"/>
      <c r="WL114" s="548"/>
      <c r="WM114" s="548"/>
      <c r="WN114" s="548"/>
      <c r="WO114" s="548"/>
      <c r="WP114" s="548"/>
      <c r="WQ114" s="548"/>
      <c r="WR114" s="548"/>
      <c r="WS114" s="548"/>
      <c r="WT114" s="548"/>
      <c r="WU114" s="548"/>
      <c r="WV114" s="548"/>
      <c r="WW114" s="548"/>
      <c r="WX114" s="548"/>
      <c r="WY114" s="548"/>
      <c r="WZ114" s="548"/>
      <c r="XA114" s="548"/>
      <c r="XB114" s="548"/>
      <c r="XC114" s="548"/>
      <c r="XD114" s="548"/>
      <c r="XE114" s="548"/>
      <c r="XF114" s="548"/>
      <c r="XG114" s="548"/>
      <c r="XH114" s="548"/>
      <c r="XI114" s="548"/>
      <c r="XJ114" s="548"/>
      <c r="XK114" s="548"/>
      <c r="XL114" s="548"/>
      <c r="XM114" s="548"/>
      <c r="XN114" s="548"/>
      <c r="XO114" s="548"/>
      <c r="XP114" s="548"/>
      <c r="XQ114" s="548"/>
      <c r="XR114" s="548"/>
      <c r="XS114" s="548"/>
      <c r="XT114" s="548"/>
      <c r="XU114" s="548"/>
      <c r="XV114" s="548"/>
      <c r="XW114" s="548"/>
      <c r="XX114" s="548"/>
      <c r="XY114" s="548"/>
      <c r="XZ114" s="548"/>
      <c r="YA114" s="548"/>
      <c r="YB114" s="548"/>
      <c r="YC114" s="548"/>
      <c r="YD114" s="548"/>
      <c r="YE114" s="548"/>
      <c r="YF114" s="548"/>
      <c r="YG114" s="548"/>
      <c r="YH114" s="548"/>
      <c r="YI114" s="548"/>
      <c r="YJ114" s="548"/>
      <c r="YK114" s="548"/>
      <c r="YL114" s="548"/>
      <c r="YM114" s="548"/>
      <c r="YN114" s="548"/>
      <c r="YO114" s="548"/>
      <c r="YP114" s="548"/>
      <c r="YQ114" s="548"/>
      <c r="YR114" s="548"/>
      <c r="YS114" s="548"/>
      <c r="YT114" s="548"/>
      <c r="YU114" s="548"/>
      <c r="YV114" s="548"/>
      <c r="YW114" s="548"/>
      <c r="YX114" s="548"/>
      <c r="YY114" s="548"/>
      <c r="YZ114" s="548"/>
      <c r="ZA114" s="548"/>
      <c r="ZB114" s="548"/>
      <c r="ZC114" s="548"/>
      <c r="ZD114" s="548"/>
      <c r="ZE114" s="548"/>
      <c r="ZF114" s="548"/>
      <c r="ZG114" s="548"/>
      <c r="ZH114" s="548"/>
      <c r="ZI114" s="548"/>
      <c r="ZJ114" s="548"/>
      <c r="ZK114" s="548"/>
      <c r="ZL114" s="548"/>
      <c r="ZM114" s="548"/>
      <c r="ZN114" s="548"/>
      <c r="ZO114" s="548"/>
      <c r="ZP114" s="548"/>
      <c r="ZQ114" s="548"/>
      <c r="ZR114" s="548"/>
      <c r="ZS114" s="548"/>
      <c r="ZT114" s="548"/>
      <c r="ZU114" s="548"/>
      <c r="ZV114" s="548"/>
      <c r="ZW114" s="548"/>
      <c r="ZX114" s="548"/>
      <c r="ZY114" s="548"/>
      <c r="ZZ114" s="548"/>
      <c r="AAA114" s="548"/>
      <c r="AAB114" s="548"/>
      <c r="AAC114" s="548"/>
      <c r="AAD114" s="548"/>
      <c r="AAE114" s="548"/>
      <c r="AAF114" s="548"/>
      <c r="AAG114" s="548"/>
      <c r="AAH114" s="548"/>
      <c r="AAI114" s="548"/>
      <c r="AAJ114" s="548"/>
      <c r="AAK114" s="548"/>
      <c r="AAL114" s="548"/>
      <c r="AAM114" s="548"/>
      <c r="AAN114" s="548"/>
      <c r="AAO114" s="548"/>
      <c r="AAP114" s="548"/>
      <c r="AAQ114" s="548"/>
      <c r="AAR114" s="548"/>
      <c r="AAS114" s="548"/>
      <c r="AAT114" s="548"/>
      <c r="AAU114" s="548"/>
      <c r="AAV114" s="548"/>
      <c r="AAW114" s="548"/>
      <c r="AAX114" s="548"/>
      <c r="AAY114" s="548"/>
      <c r="AAZ114" s="548"/>
      <c r="ABA114" s="548"/>
      <c r="ABB114" s="548"/>
      <c r="ABC114" s="548"/>
      <c r="ABD114" s="548"/>
      <c r="ABE114" s="548"/>
      <c r="ABF114" s="548"/>
      <c r="ABG114" s="548"/>
      <c r="ABH114" s="548"/>
      <c r="ABI114" s="548"/>
      <c r="ABJ114" s="548"/>
      <c r="ABK114" s="548"/>
      <c r="ABL114" s="548"/>
      <c r="ABM114" s="548"/>
      <c r="ABN114" s="548"/>
      <c r="ABO114" s="548"/>
      <c r="ABP114" s="548"/>
      <c r="ABQ114" s="548"/>
      <c r="ABR114" s="548"/>
      <c r="ABS114" s="548"/>
    </row>
    <row r="115" spans="1:747" customFormat="1" ht="15" customHeight="1" thickBot="1" x14ac:dyDescent="0.25">
      <c r="A115" s="424" t="str">
        <f t="shared" si="909"/>
        <v/>
      </c>
      <c r="B115" s="415"/>
      <c r="C115" s="525"/>
      <c r="D115" s="750"/>
      <c r="E115" s="416" t="str">
        <f t="shared" si="1171"/>
        <v/>
      </c>
      <c r="F115" s="527" t="str">
        <f t="shared" si="1172"/>
        <v/>
      </c>
      <c r="G115" s="417"/>
      <c r="H115" s="585" t="str">
        <f t="shared" si="1173"/>
        <v/>
      </c>
      <c r="I115" s="424"/>
      <c r="J115" s="419"/>
      <c r="K115" s="418"/>
      <c r="L115" s="419"/>
      <c r="M115" s="415"/>
      <c r="N115" s="420"/>
      <c r="O115" s="421"/>
      <c r="P115" s="561"/>
      <c r="Q115" s="422"/>
      <c r="R115" s="561" t="str">
        <f t="shared" si="1174"/>
        <v/>
      </c>
      <c r="S115" s="664"/>
      <c r="T115" s="663"/>
      <c r="U115" s="580">
        <f t="shared" si="1175"/>
        <v>0</v>
      </c>
      <c r="V115" s="418"/>
      <c r="W115" s="582" t="str">
        <f t="shared" si="1176"/>
        <v/>
      </c>
      <c r="X115" s="479" t="str">
        <f t="shared" si="1177"/>
        <v/>
      </c>
      <c r="Y115" s="582" t="str">
        <f t="shared" si="1178"/>
        <v/>
      </c>
      <c r="Z115" s="317" t="str">
        <f t="shared" si="1179"/>
        <v/>
      </c>
      <c r="AA115" s="317" t="str">
        <f t="shared" si="1180"/>
        <v/>
      </c>
      <c r="AB115" s="317">
        <f t="shared" si="1181"/>
        <v>0</v>
      </c>
      <c r="AC115" s="317" t="str">
        <f t="shared" si="1182"/>
        <v/>
      </c>
      <c r="AD115" s="479"/>
      <c r="AE115" s="479"/>
      <c r="AF115" s="479"/>
      <c r="AG115" s="423"/>
      <c r="AH115" s="820"/>
      <c r="AI115" s="437"/>
      <c r="AJ115" s="720"/>
      <c r="AK115" s="524" t="str">
        <f t="shared" si="1183"/>
        <v/>
      </c>
      <c r="AL115" s="748" t="str">
        <f>IF(Dados!$E$3="","",($JA$2+$JC$2)-$AL$114)</f>
        <v/>
      </c>
      <c r="AM115" s="753" t="str">
        <f>IF(Dados!$E$3="","",($JE$2+$JG$2)-$AM$114)</f>
        <v/>
      </c>
      <c r="AN115" s="426">
        <f t="shared" si="1184"/>
        <v>0</v>
      </c>
      <c r="AO115" s="427" t="str">
        <f t="shared" si="1185"/>
        <v/>
      </c>
      <c r="AP115" s="426" t="str">
        <f t="shared" si="1186"/>
        <v/>
      </c>
      <c r="AQ115" s="426"/>
      <c r="AR115" s="426"/>
      <c r="AS115" s="428"/>
      <c r="AT115" s="429"/>
      <c r="AU115" s="430"/>
      <c r="AV115" s="431"/>
      <c r="AW115" s="432"/>
      <c r="AX115" s="430"/>
      <c r="AY115" s="431">
        <f t="shared" si="1187"/>
        <v>0</v>
      </c>
      <c r="AZ115" s="426"/>
      <c r="BA115" s="435" t="str">
        <f t="shared" si="1188"/>
        <v/>
      </c>
      <c r="BB115" s="435"/>
      <c r="BC115" s="426"/>
      <c r="BD115" s="426">
        <f t="array" ref="BD115">IF(SUM((BC115=$BC$3:BC114)*1)=0,BC115,0)</f>
        <v>0</v>
      </c>
      <c r="BE115" s="426"/>
      <c r="BF115" s="426"/>
      <c r="BG115" s="426">
        <f t="array" ref="BG115">IF(SUM((BF115=$BF$3:BF114)*1)=0,BF115,0)</f>
        <v>0</v>
      </c>
      <c r="BH115" s="426"/>
      <c r="BI115" s="426"/>
      <c r="BJ115" s="426"/>
      <c r="BK115" s="426"/>
      <c r="BL115" s="426"/>
      <c r="BM115" s="426"/>
      <c r="BN115" s="426"/>
      <c r="BO115" s="426"/>
      <c r="BP115" s="433">
        <f t="shared" si="1189"/>
        <v>0</v>
      </c>
      <c r="BQ115" s="426"/>
      <c r="BR115" s="434"/>
      <c r="BS115" s="426"/>
      <c r="BT115" s="433"/>
      <c r="BU115" s="435"/>
      <c r="BV115" s="435" t="str">
        <f t="shared" si="1190"/>
        <v/>
      </c>
      <c r="BW115" s="435" t="str">
        <f t="shared" si="798"/>
        <v/>
      </c>
      <c r="BX115" s="435"/>
      <c r="BY115" s="435"/>
      <c r="BZ115" s="435"/>
      <c r="CA115" s="435"/>
      <c r="CB115" s="435"/>
      <c r="CC115" s="435"/>
      <c r="CD115" s="435"/>
      <c r="CE115" s="435"/>
      <c r="CF115" s="435"/>
      <c r="CG115" s="435"/>
      <c r="CH115" s="435"/>
      <c r="CI115" s="435"/>
      <c r="CJ115" s="426" t="str">
        <f t="shared" si="799"/>
        <v/>
      </c>
      <c r="CK115" s="435"/>
      <c r="CL115" s="426"/>
      <c r="CM115" s="435"/>
      <c r="CN115" s="426"/>
      <c r="CO115" s="426"/>
      <c r="CP115" s="426"/>
      <c r="CQ115" s="426"/>
      <c r="CR115" s="426"/>
      <c r="CS115" s="426"/>
      <c r="CT115" s="426"/>
      <c r="CU115" s="426"/>
      <c r="CV115" s="426"/>
      <c r="CW115" s="493"/>
      <c r="CX115" s="493"/>
      <c r="CY115" s="426">
        <v>112</v>
      </c>
      <c r="CZ115" s="493"/>
      <c r="DA115" s="493"/>
      <c r="DB115" s="493"/>
      <c r="DC115" s="426" t="s">
        <v>855</v>
      </c>
      <c r="DD115" s="426" t="s">
        <v>1015</v>
      </c>
      <c r="DE115" s="435" t="str">
        <f t="shared" si="800"/>
        <v/>
      </c>
      <c r="DF115" s="435" t="str">
        <f t="shared" si="801"/>
        <v/>
      </c>
      <c r="DG115" s="435" t="str">
        <f t="shared" si="802"/>
        <v/>
      </c>
      <c r="DH115" s="435" t="str">
        <f t="shared" si="803"/>
        <v/>
      </c>
      <c r="DI115" s="435" t="str">
        <f t="shared" si="804"/>
        <v/>
      </c>
      <c r="DJ115" s="435" t="str">
        <f t="shared" si="805"/>
        <v/>
      </c>
      <c r="DK115" s="435" t="str">
        <f t="shared" si="1191"/>
        <v/>
      </c>
      <c r="DL115" s="435" t="str">
        <f t="shared" si="1192"/>
        <v/>
      </c>
      <c r="DM115" s="435" t="str">
        <f t="shared" si="806"/>
        <v/>
      </c>
      <c r="DN115" s="435" t="str">
        <f t="shared" si="807"/>
        <v/>
      </c>
      <c r="DO115" s="435" t="str">
        <f t="shared" si="1193"/>
        <v/>
      </c>
      <c r="DP115" s="435" t="str">
        <f t="shared" si="1194"/>
        <v/>
      </c>
      <c r="DQ115" s="435" t="str">
        <f t="shared" si="808"/>
        <v/>
      </c>
      <c r="DR115" s="435" t="str">
        <f t="shared" si="809"/>
        <v/>
      </c>
      <c r="DS115" s="435" t="str">
        <f t="shared" si="1195"/>
        <v/>
      </c>
      <c r="DT115" s="435" t="str">
        <f t="shared" si="1196"/>
        <v/>
      </c>
      <c r="DU115" s="435" t="str">
        <f t="shared" si="810"/>
        <v/>
      </c>
      <c r="DV115" s="435" t="str">
        <f t="shared" si="811"/>
        <v/>
      </c>
      <c r="DW115" s="435" t="str">
        <f t="shared" si="1197"/>
        <v/>
      </c>
      <c r="DX115" s="435" t="str">
        <f t="shared" si="1198"/>
        <v/>
      </c>
      <c r="DY115" s="435" t="str">
        <f t="shared" si="812"/>
        <v/>
      </c>
      <c r="DZ115" s="435" t="str">
        <f t="shared" si="813"/>
        <v/>
      </c>
      <c r="EA115" s="435" t="str">
        <f t="shared" si="1199"/>
        <v/>
      </c>
      <c r="EB115" s="435" t="str">
        <f t="shared" si="1200"/>
        <v/>
      </c>
      <c r="EC115" s="435" t="str">
        <f t="shared" si="1201"/>
        <v/>
      </c>
      <c r="ED115" s="435" t="str">
        <f t="shared" si="1202"/>
        <v/>
      </c>
      <c r="EE115" s="435" t="str">
        <f t="shared" si="1203"/>
        <v/>
      </c>
      <c r="EF115" s="435" t="str">
        <f t="shared" si="1204"/>
        <v/>
      </c>
      <c r="EG115" s="435" t="str">
        <f t="shared" si="1205"/>
        <v/>
      </c>
      <c r="EH115" s="435" t="str">
        <f t="shared" si="1206"/>
        <v/>
      </c>
      <c r="EI115" s="435" t="str">
        <f t="shared" si="1207"/>
        <v/>
      </c>
      <c r="EJ115" s="435" t="str">
        <f t="shared" si="1208"/>
        <v/>
      </c>
      <c r="EK115" s="485"/>
      <c r="EL115" s="485"/>
      <c r="EM115" s="485"/>
      <c r="EN115" s="485"/>
      <c r="EO115" s="448"/>
      <c r="EP115" s="448"/>
      <c r="EQ115" s="448"/>
      <c r="ER115" s="448"/>
      <c r="ES115" s="448"/>
      <c r="ET115" s="435"/>
      <c r="EU115" s="435"/>
      <c r="EV115" s="435"/>
      <c r="EW115" s="435"/>
      <c r="EX115" s="426"/>
      <c r="EY115" s="426"/>
      <c r="EZ115" s="426"/>
      <c r="FA115" s="863"/>
      <c r="FB115" s="427">
        <f t="array" ref="FB115">IF(SUM((FA115=$FA$3:FA114)*1)=0,FA115,0)</f>
        <v>0</v>
      </c>
      <c r="FC115" s="863"/>
      <c r="FD115" s="863"/>
      <c r="FE115" s="863">
        <f t="array" ref="FE115">IF(SUM((FD115=$FD$3:FD114)*1)=0,FD115,0)</f>
        <v>0</v>
      </c>
      <c r="FF115" s="863"/>
      <c r="FG115" s="863"/>
      <c r="FH115" s="863"/>
      <c r="FI115" s="427">
        <f t="array" ref="FI115">IF(SUM((FH115=$FH$3:FH114)*1)=0,FH115,0)</f>
        <v>0</v>
      </c>
      <c r="FJ115" s="863"/>
      <c r="FK115" s="863"/>
      <c r="FL115" s="863">
        <f t="array" ref="FL115">IF(SUM((FK115=$FK$3:FK114)*1)=0,FK115,0)</f>
        <v>0</v>
      </c>
      <c r="FM115" s="863"/>
      <c r="FN115" s="863"/>
      <c r="FO115" s="863"/>
      <c r="FP115" s="427">
        <f t="array" ref="FP115">IF(SUM((FO115=$FO$3:FO114)*1)=0,FO115,0)</f>
        <v>0</v>
      </c>
      <c r="FQ115" s="863"/>
      <c r="FR115" s="863"/>
      <c r="FS115" s="863">
        <f t="array" ref="FS115">IF(SUM((FR115=$FR$3:FR114)*1)=0,FR115,0)</f>
        <v>0</v>
      </c>
      <c r="FT115" s="863"/>
      <c r="FU115" s="863"/>
      <c r="FV115" s="863"/>
      <c r="FW115" s="427">
        <f t="array" ref="FW115">IF(SUM((FV115=$FV$3:FV114)*1)=0,FV115,0)</f>
        <v>0</v>
      </c>
      <c r="FX115" s="863"/>
      <c r="FY115" s="863"/>
      <c r="FZ115" s="863">
        <f t="array" ref="FZ115">IF(SUM((FY115=$FY$3:FY114)*1)=0,FY115,0)</f>
        <v>0</v>
      </c>
      <c r="GA115" s="863"/>
      <c r="GB115" s="863"/>
      <c r="GC115" s="863"/>
      <c r="GD115" s="427">
        <f t="array" ref="GD115">IF(SUM((GC115=$GC$3:GC114)*1)=0,GC115,0)</f>
        <v>0</v>
      </c>
      <c r="GE115" s="863"/>
      <c r="GF115" s="863"/>
      <c r="GG115" s="863">
        <f t="array" ref="GG115">IF(SUM((GF115=$GF$3:GF114)*1)=0,GF115,0)</f>
        <v>0</v>
      </c>
      <c r="GH115" s="863"/>
      <c r="GI115" s="863"/>
      <c r="GJ115" s="863"/>
      <c r="GK115" s="798">
        <f t="array" ref="GK115">IF(SUM((GJ115=$GJ$3:GJ114)*1)=0,GJ115,0)</f>
        <v>0</v>
      </c>
      <c r="GL115" s="863"/>
      <c r="GM115" s="863"/>
      <c r="GN115" s="798">
        <f t="array" ref="GN115">IF(SUM((GM115=$GM$3:GM114)*1)=0,GM115,0)</f>
        <v>0</v>
      </c>
      <c r="GO115" s="863"/>
      <c r="GP115" s="863"/>
      <c r="GQ115" s="863"/>
      <c r="GR115" s="798">
        <f t="array" ref="GR115">IF(SUM((GQ115=$GQ$3:GQ114)*1)=0,GQ115,0)</f>
        <v>0</v>
      </c>
      <c r="GS115" s="863"/>
      <c r="GT115" s="863"/>
      <c r="GU115" s="798">
        <f t="array" ref="GU115">IF(SUM((GT115=$GT$3:GT114)*1)=0,GT115,0)</f>
        <v>0</v>
      </c>
      <c r="GV115" s="863"/>
      <c r="GW115" s="863"/>
      <c r="GX115" s="863"/>
      <c r="GY115" s="798">
        <f t="array" ref="GY115">IF(SUM((GX115=$GX$3:GX114)*1)=0,GX115,0)</f>
        <v>0</v>
      </c>
      <c r="GZ115" s="863"/>
      <c r="HA115" s="863"/>
      <c r="HB115" s="798">
        <f t="array" ref="HB115">IF(SUM((HA115=$HA$3:HA114)*1)=0,HA115,0)</f>
        <v>0</v>
      </c>
      <c r="HC115" s="863"/>
      <c r="HD115" s="863"/>
      <c r="HE115" s="769" t="str">
        <f t="shared" si="889"/>
        <v/>
      </c>
      <c r="HF115" s="768" t="str">
        <f t="shared" ref="HF115" si="1376">IF(HE115&lt;0,"Invadiu REP-BA-C","")</f>
        <v/>
      </c>
      <c r="HG115" s="769" t="str">
        <f t="shared" si="891"/>
        <v/>
      </c>
      <c r="HH115" s="768" t="str">
        <f t="shared" si="815"/>
        <v/>
      </c>
      <c r="HI115" s="728" t="str">
        <f t="shared" si="892"/>
        <v/>
      </c>
      <c r="HJ115" s="768" t="str">
        <f t="shared" si="816"/>
        <v/>
      </c>
      <c r="HK115" s="728" t="str">
        <f t="shared" si="893"/>
        <v/>
      </c>
      <c r="HL115" s="768" t="str">
        <f t="shared" si="817"/>
        <v/>
      </c>
      <c r="HM115" s="769" t="str">
        <f t="shared" si="1219"/>
        <v/>
      </c>
      <c r="HN115" s="768" t="str">
        <f t="shared" ref="HN115" si="1377">IF(HM115&lt;0,"Invadiu REP-BA-C","")</f>
        <v/>
      </c>
      <c r="HO115" s="769" t="str">
        <f t="shared" si="1221"/>
        <v/>
      </c>
      <c r="HP115" s="768" t="str">
        <f t="shared" si="821"/>
        <v/>
      </c>
      <c r="HQ115" s="728" t="str">
        <f t="shared" si="1222"/>
        <v/>
      </c>
      <c r="HR115" s="768" t="str">
        <f t="shared" si="823"/>
        <v/>
      </c>
      <c r="HS115" s="728" t="str">
        <f t="shared" si="1223"/>
        <v/>
      </c>
      <c r="HT115" s="768" t="str">
        <f t="shared" si="825"/>
        <v/>
      </c>
      <c r="HU115" s="769" t="str">
        <f t="shared" si="1224"/>
        <v/>
      </c>
      <c r="HV115" s="768" t="str">
        <f t="shared" ref="HV115" si="1378">IF(HU115&lt;0,"Invadiu REP-BA-C","")</f>
        <v/>
      </c>
      <c r="HW115" s="769" t="str">
        <f t="shared" si="1226"/>
        <v/>
      </c>
      <c r="HX115" s="768" t="str">
        <f t="shared" si="829"/>
        <v/>
      </c>
      <c r="HY115" s="728" t="str">
        <f t="shared" si="1227"/>
        <v/>
      </c>
      <c r="HZ115" s="768" t="str">
        <f t="shared" si="831"/>
        <v/>
      </c>
      <c r="IA115" s="728" t="str">
        <f t="shared" si="1228"/>
        <v/>
      </c>
      <c r="IB115" s="768" t="str">
        <f t="shared" si="833"/>
        <v/>
      </c>
      <c r="IC115" s="769" t="str">
        <f t="shared" si="1229"/>
        <v/>
      </c>
      <c r="ID115" s="768" t="str">
        <f t="shared" ref="ID115" si="1379">IF(IC115&lt;0,"Invadiu REP-BA-C","")</f>
        <v/>
      </c>
      <c r="IE115" s="769" t="str">
        <f t="shared" si="1231"/>
        <v/>
      </c>
      <c r="IF115" s="768" t="str">
        <f t="shared" si="837"/>
        <v/>
      </c>
      <c r="IG115" s="728" t="str">
        <f t="shared" si="1232"/>
        <v/>
      </c>
      <c r="IH115" s="768" t="str">
        <f t="shared" si="839"/>
        <v/>
      </c>
      <c r="II115" s="728" t="str">
        <f t="shared" si="1233"/>
        <v/>
      </c>
      <c r="IJ115" s="768" t="str">
        <f t="shared" si="841"/>
        <v/>
      </c>
      <c r="IK115" s="769" t="str">
        <f t="shared" si="1234"/>
        <v/>
      </c>
      <c r="IL115" s="768" t="str">
        <f t="shared" ref="IL115" si="1380">IF(IK115&lt;0,"Invadiu REP-BA-C","")</f>
        <v/>
      </c>
      <c r="IM115" s="769" t="str">
        <f t="shared" si="1236"/>
        <v/>
      </c>
      <c r="IN115" s="768" t="str">
        <f t="shared" si="845"/>
        <v/>
      </c>
      <c r="IO115" s="728" t="str">
        <f t="shared" si="1237"/>
        <v/>
      </c>
      <c r="IP115" s="768" t="str">
        <f t="shared" si="847"/>
        <v/>
      </c>
      <c r="IQ115" s="728" t="str">
        <f t="shared" si="1238"/>
        <v/>
      </c>
      <c r="IR115" s="768" t="str">
        <f t="shared" si="849"/>
        <v/>
      </c>
      <c r="IS115" s="769" t="str">
        <f t="shared" si="1239"/>
        <v/>
      </c>
      <c r="IT115" s="768" t="str">
        <f t="shared" ref="IT115" si="1381">IF(IS115&lt;0,"Invadiu REP-BA-C","")</f>
        <v/>
      </c>
      <c r="IU115" s="769" t="str">
        <f t="shared" si="1241"/>
        <v/>
      </c>
      <c r="IV115" s="768" t="str">
        <f t="shared" si="853"/>
        <v/>
      </c>
      <c r="IW115" s="728" t="str">
        <f t="shared" si="1242"/>
        <v/>
      </c>
      <c r="IX115" s="768" t="str">
        <f t="shared" si="855"/>
        <v/>
      </c>
      <c r="IY115" s="728" t="str">
        <f t="shared" si="1243"/>
        <v/>
      </c>
      <c r="IZ115" s="768" t="str">
        <f t="shared" si="857"/>
        <v/>
      </c>
      <c r="JA115" s="769" t="str">
        <f t="shared" si="1244"/>
        <v/>
      </c>
      <c r="JB115" s="768" t="str">
        <f t="shared" ref="JB115" si="1382">IF(JA115&lt;0,"Invadiu REP-BA-C","")</f>
        <v/>
      </c>
      <c r="JC115" s="769" t="str">
        <f t="shared" si="1246"/>
        <v/>
      </c>
      <c r="JD115" s="768" t="str">
        <f t="shared" si="861"/>
        <v/>
      </c>
      <c r="JE115" s="728" t="str">
        <f t="shared" si="1247"/>
        <v/>
      </c>
      <c r="JF115" s="768" t="str">
        <f t="shared" si="863"/>
        <v/>
      </c>
      <c r="JG115" s="728" t="str">
        <f t="shared" si="1248"/>
        <v/>
      </c>
      <c r="JH115" s="768" t="str">
        <f t="shared" si="865"/>
        <v/>
      </c>
      <c r="JI115" s="769" t="str">
        <f t="shared" si="1249"/>
        <v/>
      </c>
      <c r="JJ115" s="768" t="str">
        <f t="shared" ref="JJ115" si="1383">IF(JI115&lt;0,"Invadiu REP-BA-C","")</f>
        <v/>
      </c>
      <c r="JK115" s="769" t="str">
        <f t="shared" si="1251"/>
        <v/>
      </c>
      <c r="JL115" s="768" t="str">
        <f t="shared" si="869"/>
        <v/>
      </c>
      <c r="JM115" s="728" t="str">
        <f t="shared" si="1252"/>
        <v/>
      </c>
      <c r="JN115" s="768" t="str">
        <f t="shared" si="871"/>
        <v/>
      </c>
      <c r="JO115" s="728" t="str">
        <f t="shared" si="1253"/>
        <v/>
      </c>
      <c r="JP115" s="768" t="str">
        <f t="shared" si="873"/>
        <v/>
      </c>
      <c r="JQ115" s="769" t="str">
        <f t="shared" si="1254"/>
        <v/>
      </c>
      <c r="JR115" s="768" t="str">
        <f t="shared" ref="JR115" si="1384">IF(JQ115&lt;0,"Invadiu REP-BA-C","")</f>
        <v/>
      </c>
      <c r="JS115" s="769" t="str">
        <f t="shared" si="1256"/>
        <v/>
      </c>
      <c r="JT115" s="768" t="str">
        <f t="shared" si="877"/>
        <v/>
      </c>
      <c r="JU115" s="728" t="str">
        <f t="shared" si="1257"/>
        <v/>
      </c>
      <c r="JV115" s="768" t="str">
        <f t="shared" si="879"/>
        <v/>
      </c>
      <c r="JW115" s="728" t="str">
        <f t="shared" si="1258"/>
        <v/>
      </c>
      <c r="JX115" s="768" t="str">
        <f t="shared" si="881"/>
        <v/>
      </c>
      <c r="JY115" s="768" t="str">
        <f t="shared" si="882"/>
        <v/>
      </c>
      <c r="JZ115" s="485" t="str">
        <f>IF(JY115="","",IF(AND(C115=$C$164,JY115&lt;&gt;""),Verificarcpf(D115),IF(AND(C115=$C$165,JY115&lt;&gt;""),VerificarCNPJ(D115))))</f>
        <v/>
      </c>
      <c r="KA115" s="768" t="str">
        <f t="shared" si="883"/>
        <v/>
      </c>
      <c r="KB115" s="485">
        <f t="shared" si="884"/>
        <v>0</v>
      </c>
      <c r="KC115" s="768">
        <f t="shared" si="885"/>
        <v>0</v>
      </c>
      <c r="KD115" s="485">
        <f t="shared" si="886"/>
        <v>0</v>
      </c>
      <c r="KE115" s="448"/>
      <c r="KF115" s="548"/>
      <c r="KG115" s="548"/>
      <c r="KH115" s="548"/>
      <c r="KI115" s="548"/>
      <c r="KJ115" s="548" t="str">
        <f t="shared" si="887"/>
        <v/>
      </c>
      <c r="KK115" s="548"/>
      <c r="KL115" s="548"/>
      <c r="KM115" s="548">
        <f t="array" ref="KM115">IF(SUM((KL115=$KL$3:KL114)*1)=0,KL115,0)</f>
        <v>0</v>
      </c>
      <c r="KN115" s="548"/>
      <c r="KO115" s="548"/>
      <c r="KP115" s="548"/>
      <c r="KQ115" s="548"/>
      <c r="KR115" s="548" t="str">
        <f t="shared" si="888"/>
        <v/>
      </c>
      <c r="KS115" s="548"/>
      <c r="KT115" s="548"/>
      <c r="KU115" s="548"/>
      <c r="KV115" s="548"/>
      <c r="KW115" s="548"/>
      <c r="KX115" s="548"/>
      <c r="KY115" s="548"/>
      <c r="KZ115" s="548"/>
      <c r="LA115" s="548"/>
      <c r="LB115" s="548"/>
      <c r="LC115" s="485" t="str">
        <f t="shared" si="902"/>
        <v/>
      </c>
      <c r="LD115" s="548"/>
      <c r="LE115" s="548"/>
      <c r="LF115" s="548"/>
      <c r="LG115" s="548"/>
      <c r="LH115" s="548"/>
      <c r="LI115" s="548"/>
      <c r="LJ115" s="548"/>
      <c r="LK115" s="548"/>
      <c r="LL115" s="548"/>
      <c r="LM115" s="548"/>
      <c r="LN115" s="548"/>
      <c r="LO115" s="548"/>
      <c r="LP115" s="485" t="str">
        <f t="shared" si="903"/>
        <v/>
      </c>
      <c r="LQ115" s="548"/>
      <c r="LR115" s="548"/>
      <c r="LS115" s="548"/>
      <c r="LT115" s="548"/>
      <c r="LU115" s="548"/>
      <c r="LV115" s="548"/>
      <c r="LW115" s="548"/>
      <c r="LX115" s="548"/>
      <c r="LY115" s="548"/>
      <c r="LZ115" s="548"/>
      <c r="MA115" s="548"/>
      <c r="MB115" s="548"/>
      <c r="MC115" s="485" t="str">
        <f t="shared" si="904"/>
        <v/>
      </c>
      <c r="MD115" s="548"/>
      <c r="ME115" s="548"/>
      <c r="MF115" s="548"/>
      <c r="MG115" s="548"/>
      <c r="MH115" s="548"/>
      <c r="MI115" s="548"/>
      <c r="MJ115" s="548"/>
      <c r="MK115" s="548"/>
      <c r="ML115" s="548"/>
      <c r="MM115" s="548"/>
      <c r="MN115" s="548"/>
      <c r="MO115" s="548"/>
      <c r="MP115" s="485" t="str">
        <f t="shared" si="905"/>
        <v/>
      </c>
      <c r="MQ115" s="548"/>
      <c r="MR115" s="548"/>
      <c r="MS115" s="548"/>
      <c r="MT115" s="548"/>
      <c r="MU115" s="548"/>
      <c r="MV115" s="548"/>
      <c r="MW115" s="548"/>
      <c r="MX115" s="548"/>
      <c r="MY115" s="548"/>
      <c r="MZ115" s="548"/>
      <c r="NA115" s="548"/>
      <c r="NB115" s="548"/>
      <c r="NC115" s="485" t="str">
        <f t="shared" si="906"/>
        <v/>
      </c>
      <c r="ND115" s="548"/>
      <c r="NE115" s="548"/>
      <c r="NF115" s="548"/>
      <c r="NG115" s="548"/>
      <c r="NH115" s="548"/>
      <c r="NI115" s="548"/>
      <c r="NJ115" s="548"/>
      <c r="NK115" s="548"/>
      <c r="NL115" s="548"/>
      <c r="NM115" s="548"/>
      <c r="NN115" s="548"/>
      <c r="NO115" s="548"/>
      <c r="NP115" s="485" t="str">
        <f t="shared" si="907"/>
        <v/>
      </c>
      <c r="NQ115" s="548"/>
      <c r="NR115" s="548"/>
      <c r="NS115" s="548"/>
      <c r="NT115" s="548"/>
      <c r="NU115" s="548"/>
      <c r="NV115" s="548"/>
      <c r="NW115" s="548"/>
      <c r="NX115" s="548"/>
      <c r="NY115" s="548"/>
      <c r="NZ115" s="548"/>
      <c r="OA115" s="548"/>
      <c r="OB115" s="548"/>
      <c r="OC115" s="485" t="str">
        <f t="shared" si="908"/>
        <v/>
      </c>
      <c r="OD115" s="548"/>
      <c r="OE115" s="548"/>
      <c r="OF115" s="548"/>
      <c r="OG115" s="548"/>
      <c r="OH115" s="548"/>
      <c r="OI115" s="548"/>
      <c r="OJ115" s="548"/>
      <c r="OK115" s="548"/>
      <c r="OL115" s="548"/>
      <c r="OM115" s="548"/>
      <c r="ON115" s="548"/>
      <c r="OO115" s="548"/>
      <c r="OP115" s="548"/>
      <c r="OQ115" s="548"/>
      <c r="OR115" s="548"/>
      <c r="OS115" s="548"/>
      <c r="OT115" s="548"/>
      <c r="OU115" s="548"/>
      <c r="OV115" s="548"/>
      <c r="OW115" s="548"/>
      <c r="OX115" s="548"/>
      <c r="OY115" s="548"/>
      <c r="OZ115" s="548"/>
      <c r="PA115" s="548"/>
      <c r="PB115" s="548"/>
      <c r="PC115" s="548"/>
      <c r="PD115" s="548"/>
      <c r="PE115" s="548"/>
      <c r="PF115" s="548"/>
      <c r="PG115" s="548"/>
      <c r="PH115" s="548"/>
      <c r="PI115" s="548"/>
      <c r="PJ115" s="548"/>
      <c r="PK115" s="548"/>
      <c r="PL115" s="548"/>
      <c r="PM115" s="548"/>
      <c r="PN115" s="548"/>
      <c r="PO115" s="548"/>
      <c r="PP115" s="548"/>
      <c r="PQ115" s="548"/>
      <c r="PR115" s="548"/>
      <c r="PS115" s="548"/>
      <c r="PT115" s="548"/>
      <c r="PU115" s="548"/>
      <c r="PV115" s="548"/>
      <c r="PW115" s="548"/>
      <c r="PX115" s="548"/>
      <c r="PY115" s="548"/>
      <c r="PZ115" s="548"/>
      <c r="QA115" s="548"/>
      <c r="QB115" s="548"/>
      <c r="QC115" s="548"/>
      <c r="QD115" s="548"/>
      <c r="QE115" s="548"/>
      <c r="QF115" s="548"/>
      <c r="QG115" s="548"/>
      <c r="QH115" s="548"/>
      <c r="QI115" s="548"/>
      <c r="QJ115" s="548"/>
      <c r="QK115" s="548"/>
      <c r="QL115" s="548"/>
      <c r="QM115" s="548"/>
      <c r="QN115" s="548"/>
      <c r="QO115" s="548"/>
      <c r="QP115" s="548"/>
      <c r="QQ115" s="1009"/>
      <c r="QR115" s="548"/>
      <c r="QS115" s="548"/>
      <c r="QT115" s="548"/>
      <c r="QU115" s="548"/>
      <c r="QV115" s="548"/>
      <c r="QW115" s="548"/>
      <c r="QX115" s="548"/>
      <c r="QY115" s="548"/>
      <c r="QZ115" s="548"/>
      <c r="RA115" s="548"/>
      <c r="RB115" s="548"/>
      <c r="RC115" s="548"/>
      <c r="RD115" s="548"/>
      <c r="RE115" s="548"/>
      <c r="RF115" s="548"/>
      <c r="RG115" s="548"/>
      <c r="RH115" s="548"/>
      <c r="RI115" s="548"/>
      <c r="RJ115" s="548"/>
      <c r="RK115" s="548"/>
      <c r="RL115" s="548"/>
      <c r="RM115" s="548"/>
      <c r="RN115" s="548"/>
      <c r="RO115" s="548"/>
      <c r="RP115" s="548"/>
      <c r="RQ115" s="548"/>
      <c r="RR115" s="548"/>
      <c r="RS115" s="548"/>
      <c r="RT115" s="548"/>
      <c r="RU115" s="548"/>
      <c r="RV115" s="548"/>
      <c r="RW115" s="548"/>
      <c r="RX115" s="548"/>
      <c r="RY115" s="548"/>
      <c r="RZ115" s="548"/>
      <c r="SA115" s="548"/>
      <c r="SB115" s="548"/>
      <c r="SC115" s="548"/>
      <c r="SD115" s="548"/>
      <c r="SE115" s="548"/>
      <c r="SF115" s="548"/>
      <c r="SG115" s="548"/>
      <c r="SH115" s="548"/>
      <c r="SI115" s="548"/>
      <c r="SJ115" s="548"/>
      <c r="SK115" s="548"/>
      <c r="SL115" s="548"/>
      <c r="SM115" s="548"/>
      <c r="SN115" s="548"/>
      <c r="SO115" s="548"/>
      <c r="SP115" s="548"/>
      <c r="SQ115" s="548"/>
      <c r="SR115" s="548"/>
      <c r="SS115" s="548"/>
      <c r="ST115" s="548"/>
      <c r="SU115" s="548"/>
      <c r="SV115" s="548"/>
      <c r="SW115" s="548"/>
      <c r="SX115" s="548"/>
      <c r="SY115" s="548"/>
      <c r="SZ115" s="548"/>
      <c r="TA115" s="548"/>
      <c r="TB115" s="548"/>
      <c r="TC115" s="548"/>
      <c r="TD115" s="548"/>
      <c r="TE115" s="548"/>
      <c r="TF115" s="548"/>
      <c r="TG115" s="548"/>
      <c r="TH115" s="548"/>
      <c r="TI115" s="548"/>
      <c r="TJ115" s="548"/>
      <c r="TK115" s="548"/>
      <c r="TL115" s="548"/>
      <c r="TM115" s="548"/>
      <c r="TN115" s="548"/>
      <c r="TO115" s="548"/>
      <c r="TP115" s="548"/>
      <c r="TQ115" s="548"/>
      <c r="TR115" s="548"/>
      <c r="TS115" s="548"/>
      <c r="TT115" s="548"/>
      <c r="TU115" s="548"/>
      <c r="TV115" s="548"/>
      <c r="TW115" s="548"/>
      <c r="TX115" s="548"/>
      <c r="TY115" s="548"/>
      <c r="TZ115" s="548"/>
      <c r="UA115" s="548"/>
      <c r="UB115" s="548"/>
      <c r="UC115" s="548"/>
      <c r="UD115" s="548"/>
      <c r="UE115" s="548"/>
      <c r="UF115" s="548"/>
      <c r="UG115" s="548"/>
      <c r="UH115" s="548"/>
      <c r="UI115" s="548"/>
      <c r="UJ115" s="548"/>
      <c r="UK115" s="548"/>
      <c r="UL115" s="548"/>
      <c r="UM115" s="548"/>
      <c r="UN115" s="548"/>
      <c r="UO115" s="548"/>
      <c r="UP115" s="548"/>
      <c r="UQ115" s="548"/>
      <c r="UR115" s="548"/>
      <c r="US115" s="548"/>
      <c r="UT115" s="548"/>
      <c r="UU115" s="548"/>
      <c r="UV115" s="548"/>
      <c r="UW115" s="548"/>
      <c r="UX115" s="548"/>
      <c r="UY115" s="548"/>
      <c r="UZ115" s="548"/>
      <c r="VA115" s="548"/>
      <c r="VB115" s="548"/>
      <c r="VC115" s="548"/>
      <c r="VD115" s="548"/>
      <c r="VE115" s="548"/>
      <c r="VF115" s="548"/>
      <c r="VG115" s="548"/>
      <c r="VH115" s="548"/>
      <c r="VI115" s="548"/>
      <c r="VJ115" s="548"/>
      <c r="VK115" s="548"/>
      <c r="VL115" s="548"/>
      <c r="VM115" s="548"/>
      <c r="VN115" s="548"/>
      <c r="VO115" s="548"/>
      <c r="VP115" s="548"/>
      <c r="VQ115" s="548"/>
      <c r="VR115" s="548"/>
      <c r="VS115" s="548"/>
      <c r="VT115" s="548"/>
      <c r="VU115" s="548"/>
      <c r="VV115" s="548"/>
      <c r="VW115" s="548"/>
      <c r="VX115" s="548"/>
      <c r="VY115" s="548"/>
      <c r="VZ115" s="548"/>
      <c r="WA115" s="548"/>
      <c r="WB115" s="548"/>
      <c r="WC115" s="548"/>
      <c r="WD115" s="548"/>
      <c r="WE115" s="548"/>
      <c r="WF115" s="548"/>
      <c r="WG115" s="548"/>
      <c r="WH115" s="548"/>
      <c r="WI115" s="548"/>
      <c r="WJ115" s="548"/>
      <c r="WK115" s="548"/>
      <c r="WL115" s="548"/>
      <c r="WM115" s="548"/>
      <c r="WN115" s="548"/>
      <c r="WO115" s="548"/>
      <c r="WP115" s="548"/>
      <c r="WQ115" s="548"/>
      <c r="WR115" s="548"/>
      <c r="WS115" s="548"/>
      <c r="WT115" s="548"/>
      <c r="WU115" s="548"/>
      <c r="WV115" s="548"/>
      <c r="WW115" s="548"/>
      <c r="WX115" s="548"/>
      <c r="WY115" s="548"/>
      <c r="WZ115" s="548"/>
      <c r="XA115" s="548"/>
      <c r="XB115" s="548"/>
      <c r="XC115" s="548"/>
      <c r="XD115" s="548"/>
      <c r="XE115" s="548"/>
      <c r="XF115" s="548"/>
      <c r="XG115" s="548"/>
      <c r="XH115" s="548"/>
      <c r="XI115" s="548"/>
      <c r="XJ115" s="548"/>
      <c r="XK115" s="548"/>
      <c r="XL115" s="548"/>
      <c r="XM115" s="548"/>
      <c r="XN115" s="548"/>
      <c r="XO115" s="548"/>
      <c r="XP115" s="548"/>
      <c r="XQ115" s="548"/>
      <c r="XR115" s="548"/>
      <c r="XS115" s="548"/>
      <c r="XT115" s="548"/>
      <c r="XU115" s="548"/>
      <c r="XV115" s="548"/>
      <c r="XW115" s="548"/>
      <c r="XX115" s="548"/>
      <c r="XY115" s="548"/>
      <c r="XZ115" s="548"/>
      <c r="YA115" s="548"/>
      <c r="YB115" s="548"/>
      <c r="YC115" s="548"/>
      <c r="YD115" s="548"/>
      <c r="YE115" s="548"/>
      <c r="YF115" s="548"/>
      <c r="YG115" s="548"/>
      <c r="YH115" s="548"/>
      <c r="YI115" s="548"/>
      <c r="YJ115" s="548"/>
      <c r="YK115" s="548"/>
      <c r="YL115" s="548"/>
      <c r="YM115" s="548"/>
      <c r="YN115" s="548"/>
      <c r="YO115" s="548"/>
      <c r="YP115" s="548"/>
      <c r="YQ115" s="548"/>
      <c r="YR115" s="548"/>
      <c r="YS115" s="548"/>
      <c r="YT115" s="548"/>
      <c r="YU115" s="548"/>
      <c r="YV115" s="548"/>
      <c r="YW115" s="548"/>
      <c r="YX115" s="548"/>
      <c r="YY115" s="548"/>
      <c r="YZ115" s="548"/>
      <c r="ZA115" s="548"/>
      <c r="ZB115" s="548"/>
      <c r="ZC115" s="548"/>
      <c r="ZD115" s="548"/>
      <c r="ZE115" s="548"/>
      <c r="ZF115" s="548"/>
      <c r="ZG115" s="548"/>
      <c r="ZH115" s="548"/>
      <c r="ZI115" s="548"/>
      <c r="ZJ115" s="548"/>
      <c r="ZK115" s="548"/>
      <c r="ZL115" s="548"/>
      <c r="ZM115" s="548"/>
      <c r="ZN115" s="548"/>
      <c r="ZO115" s="548"/>
      <c r="ZP115" s="548"/>
      <c r="ZQ115" s="548"/>
      <c r="ZR115" s="548"/>
      <c r="ZS115" s="548"/>
      <c r="ZT115" s="548"/>
      <c r="ZU115" s="548"/>
      <c r="ZV115" s="548"/>
      <c r="ZW115" s="548"/>
      <c r="ZX115" s="548"/>
      <c r="ZY115" s="548"/>
      <c r="ZZ115" s="548"/>
      <c r="AAA115" s="548"/>
      <c r="AAB115" s="548"/>
      <c r="AAC115" s="548"/>
      <c r="AAD115" s="548"/>
      <c r="AAE115" s="548"/>
      <c r="AAF115" s="548"/>
      <c r="AAG115" s="548"/>
      <c r="AAH115" s="548"/>
      <c r="AAI115" s="548"/>
      <c r="AAJ115" s="548"/>
      <c r="AAK115" s="548"/>
      <c r="AAL115" s="548"/>
      <c r="AAM115" s="548"/>
      <c r="AAN115" s="548"/>
      <c r="AAO115" s="548"/>
      <c r="AAP115" s="548"/>
      <c r="AAQ115" s="548"/>
      <c r="AAR115" s="548"/>
      <c r="AAS115" s="548"/>
      <c r="AAT115" s="548"/>
      <c r="AAU115" s="548"/>
      <c r="AAV115" s="548"/>
      <c r="AAW115" s="548"/>
      <c r="AAX115" s="548"/>
      <c r="AAY115" s="548"/>
      <c r="AAZ115" s="548"/>
      <c r="ABA115" s="548"/>
      <c r="ABB115" s="548"/>
      <c r="ABC115" s="548"/>
      <c r="ABD115" s="548"/>
      <c r="ABE115" s="548"/>
      <c r="ABF115" s="548"/>
      <c r="ABG115" s="548"/>
      <c r="ABH115" s="548"/>
      <c r="ABI115" s="548"/>
      <c r="ABJ115" s="548"/>
      <c r="ABK115" s="548"/>
      <c r="ABL115" s="548"/>
      <c r="ABM115" s="548"/>
      <c r="ABN115" s="548"/>
      <c r="ABO115" s="548"/>
      <c r="ABP115" s="548"/>
      <c r="ABQ115" s="548"/>
      <c r="ABR115" s="548"/>
      <c r="ABS115" s="548"/>
    </row>
    <row r="116" spans="1:747" customFormat="1" ht="15" customHeight="1" thickBot="1" x14ac:dyDescent="0.25">
      <c r="A116" s="424" t="str">
        <f t="shared" si="909"/>
        <v/>
      </c>
      <c r="B116" s="415"/>
      <c r="C116" s="525"/>
      <c r="D116" s="750"/>
      <c r="E116" s="416" t="str">
        <f t="shared" si="1171"/>
        <v/>
      </c>
      <c r="F116" s="527" t="str">
        <f t="shared" si="1172"/>
        <v/>
      </c>
      <c r="G116" s="417"/>
      <c r="H116" s="585" t="str">
        <f t="shared" si="1173"/>
        <v/>
      </c>
      <c r="I116" s="424"/>
      <c r="J116" s="419"/>
      <c r="K116" s="418"/>
      <c r="L116" s="419"/>
      <c r="M116" s="415"/>
      <c r="N116" s="420"/>
      <c r="O116" s="421"/>
      <c r="P116" s="561"/>
      <c r="Q116" s="422"/>
      <c r="R116" s="561" t="str">
        <f t="shared" si="1174"/>
        <v/>
      </c>
      <c r="S116" s="664"/>
      <c r="T116" s="663"/>
      <c r="U116" s="580">
        <f t="shared" si="1175"/>
        <v>0</v>
      </c>
      <c r="V116" s="418"/>
      <c r="W116" s="582" t="str">
        <f t="shared" si="1176"/>
        <v/>
      </c>
      <c r="X116" s="479" t="str">
        <f t="shared" si="1177"/>
        <v/>
      </c>
      <c r="Y116" s="582" t="str">
        <f t="shared" si="1178"/>
        <v/>
      </c>
      <c r="Z116" s="317" t="str">
        <f t="shared" si="1179"/>
        <v/>
      </c>
      <c r="AA116" s="317" t="str">
        <f t="shared" si="1180"/>
        <v/>
      </c>
      <c r="AB116" s="317">
        <f t="shared" si="1181"/>
        <v>0</v>
      </c>
      <c r="AC116" s="317" t="str">
        <f t="shared" si="1182"/>
        <v/>
      </c>
      <c r="AD116" s="479"/>
      <c r="AE116" s="479"/>
      <c r="AF116" s="479"/>
      <c r="AG116" s="423"/>
      <c r="AH116" s="820"/>
      <c r="AI116" s="437"/>
      <c r="AJ116" s="720"/>
      <c r="AK116" s="524" t="str">
        <f t="shared" si="1183"/>
        <v/>
      </c>
      <c r="AL116" s="1956" t="s">
        <v>12316</v>
      </c>
      <c r="AM116" s="1957"/>
      <c r="AN116" s="426">
        <f t="shared" si="1184"/>
        <v>0</v>
      </c>
      <c r="AO116" s="427" t="str">
        <f t="shared" si="1185"/>
        <v/>
      </c>
      <c r="AP116" s="426" t="str">
        <f t="shared" si="1186"/>
        <v/>
      </c>
      <c r="AQ116" s="426"/>
      <c r="AR116" s="426"/>
      <c r="AS116" s="428"/>
      <c r="AT116" s="429"/>
      <c r="AU116" s="430"/>
      <c r="AV116" s="431"/>
      <c r="AW116" s="432"/>
      <c r="AX116" s="430"/>
      <c r="AY116" s="431">
        <f t="shared" si="1187"/>
        <v>0</v>
      </c>
      <c r="AZ116" s="426"/>
      <c r="BA116" s="435" t="str">
        <f t="shared" si="1188"/>
        <v/>
      </c>
      <c r="BB116" s="435"/>
      <c r="BC116" s="426"/>
      <c r="BD116" s="426">
        <f t="array" ref="BD116">IF(SUM((BC116=$BC$3:BC115)*1)=0,BC116,0)</f>
        <v>0</v>
      </c>
      <c r="BE116" s="426"/>
      <c r="BF116" s="426"/>
      <c r="BG116" s="426">
        <f t="array" ref="BG116">IF(SUM((BF116=$BF$3:BF115)*1)=0,BF116,0)</f>
        <v>0</v>
      </c>
      <c r="BH116" s="426"/>
      <c r="BI116" s="426"/>
      <c r="BJ116" s="426"/>
      <c r="BK116" s="426"/>
      <c r="BL116" s="426"/>
      <c r="BM116" s="426"/>
      <c r="BN116" s="426"/>
      <c r="BO116" s="426"/>
      <c r="BP116" s="433">
        <f t="shared" si="1189"/>
        <v>0</v>
      </c>
      <c r="BQ116" s="426"/>
      <c r="BR116" s="434"/>
      <c r="BS116" s="426"/>
      <c r="BT116" s="433"/>
      <c r="BU116" s="435"/>
      <c r="BV116" s="435" t="str">
        <f t="shared" si="1190"/>
        <v/>
      </c>
      <c r="BW116" s="435" t="str">
        <f t="shared" si="798"/>
        <v/>
      </c>
      <c r="BX116" s="435"/>
      <c r="BY116" s="435"/>
      <c r="BZ116" s="435"/>
      <c r="CA116" s="435"/>
      <c r="CB116" s="435"/>
      <c r="CC116" s="435"/>
      <c r="CD116" s="435"/>
      <c r="CE116" s="435"/>
      <c r="CF116" s="435"/>
      <c r="CG116" s="435"/>
      <c r="CH116" s="435"/>
      <c r="CI116" s="435"/>
      <c r="CJ116" s="426" t="str">
        <f t="shared" si="799"/>
        <v/>
      </c>
      <c r="CK116" s="435"/>
      <c r="CL116" s="426"/>
      <c r="CM116" s="435"/>
      <c r="CN116" s="426"/>
      <c r="CO116" s="426"/>
      <c r="CP116" s="426"/>
      <c r="CQ116" s="426"/>
      <c r="CR116" s="426"/>
      <c r="CS116" s="426"/>
      <c r="CT116" s="426"/>
      <c r="CU116" s="426"/>
      <c r="CV116" s="426"/>
      <c r="CW116" s="493"/>
      <c r="CX116" s="493"/>
      <c r="CY116" s="426">
        <v>113</v>
      </c>
      <c r="CZ116" s="493"/>
      <c r="DA116" s="493"/>
      <c r="DB116" s="493"/>
      <c r="DC116" s="426" t="s">
        <v>856</v>
      </c>
      <c r="DD116" s="426" t="s">
        <v>1016</v>
      </c>
      <c r="DE116" s="435" t="str">
        <f t="shared" si="800"/>
        <v/>
      </c>
      <c r="DF116" s="435" t="str">
        <f t="shared" si="801"/>
        <v/>
      </c>
      <c r="DG116" s="435" t="str">
        <f t="shared" si="802"/>
        <v/>
      </c>
      <c r="DH116" s="435" t="str">
        <f t="shared" si="803"/>
        <v/>
      </c>
      <c r="DI116" s="435" t="str">
        <f t="shared" si="804"/>
        <v/>
      </c>
      <c r="DJ116" s="435" t="str">
        <f t="shared" si="805"/>
        <v/>
      </c>
      <c r="DK116" s="435" t="str">
        <f t="shared" si="1191"/>
        <v/>
      </c>
      <c r="DL116" s="435" t="str">
        <f t="shared" si="1192"/>
        <v/>
      </c>
      <c r="DM116" s="435" t="str">
        <f t="shared" si="806"/>
        <v/>
      </c>
      <c r="DN116" s="435" t="str">
        <f t="shared" si="807"/>
        <v/>
      </c>
      <c r="DO116" s="435" t="str">
        <f t="shared" si="1193"/>
        <v/>
      </c>
      <c r="DP116" s="435" t="str">
        <f t="shared" si="1194"/>
        <v/>
      </c>
      <c r="DQ116" s="435" t="str">
        <f t="shared" si="808"/>
        <v/>
      </c>
      <c r="DR116" s="435" t="str">
        <f t="shared" si="809"/>
        <v/>
      </c>
      <c r="DS116" s="435" t="str">
        <f t="shared" si="1195"/>
        <v/>
      </c>
      <c r="DT116" s="435" t="str">
        <f t="shared" si="1196"/>
        <v/>
      </c>
      <c r="DU116" s="435" t="str">
        <f t="shared" si="810"/>
        <v/>
      </c>
      <c r="DV116" s="435" t="str">
        <f t="shared" si="811"/>
        <v/>
      </c>
      <c r="DW116" s="435" t="str">
        <f t="shared" si="1197"/>
        <v/>
      </c>
      <c r="DX116" s="435" t="str">
        <f t="shared" si="1198"/>
        <v/>
      </c>
      <c r="DY116" s="435" t="str">
        <f t="shared" si="812"/>
        <v/>
      </c>
      <c r="DZ116" s="435" t="str">
        <f t="shared" si="813"/>
        <v/>
      </c>
      <c r="EA116" s="435" t="str">
        <f t="shared" si="1199"/>
        <v/>
      </c>
      <c r="EB116" s="435" t="str">
        <f t="shared" si="1200"/>
        <v/>
      </c>
      <c r="EC116" s="435" t="str">
        <f t="shared" si="1201"/>
        <v/>
      </c>
      <c r="ED116" s="435" t="str">
        <f t="shared" si="1202"/>
        <v/>
      </c>
      <c r="EE116" s="435" t="str">
        <f t="shared" si="1203"/>
        <v/>
      </c>
      <c r="EF116" s="435" t="str">
        <f t="shared" si="1204"/>
        <v/>
      </c>
      <c r="EG116" s="435" t="str">
        <f t="shared" si="1205"/>
        <v/>
      </c>
      <c r="EH116" s="435" t="str">
        <f t="shared" si="1206"/>
        <v/>
      </c>
      <c r="EI116" s="435" t="str">
        <f t="shared" si="1207"/>
        <v/>
      </c>
      <c r="EJ116" s="435" t="str">
        <f t="shared" si="1208"/>
        <v/>
      </c>
      <c r="EK116" s="485"/>
      <c r="EL116" s="485"/>
      <c r="EM116" s="485"/>
      <c r="EN116" s="485"/>
      <c r="EO116" s="448"/>
      <c r="EP116" s="448"/>
      <c r="EQ116" s="448"/>
      <c r="ER116" s="448"/>
      <c r="ES116" s="448"/>
      <c r="ET116" s="435"/>
      <c r="EU116" s="435"/>
      <c r="EV116" s="435"/>
      <c r="EW116" s="435"/>
      <c r="EX116" s="426"/>
      <c r="EY116" s="426"/>
      <c r="EZ116" s="426"/>
      <c r="FA116" s="863"/>
      <c r="FB116" s="427">
        <f t="array" ref="FB116">IF(SUM((FA116=$FA$3:FA115)*1)=0,FA116,0)</f>
        <v>0</v>
      </c>
      <c r="FC116" s="863"/>
      <c r="FD116" s="863"/>
      <c r="FE116" s="863">
        <f t="array" ref="FE116">IF(SUM((FD116=$FD$3:FD115)*1)=0,FD116,0)</f>
        <v>0</v>
      </c>
      <c r="FF116" s="863"/>
      <c r="FG116" s="863"/>
      <c r="FH116" s="863"/>
      <c r="FI116" s="427">
        <f t="array" ref="FI116">IF(SUM((FH116=$FH$3:FH115)*1)=0,FH116,0)</f>
        <v>0</v>
      </c>
      <c r="FJ116" s="863"/>
      <c r="FK116" s="863"/>
      <c r="FL116" s="863">
        <f t="array" ref="FL116">IF(SUM((FK116=$FK$3:FK115)*1)=0,FK116,0)</f>
        <v>0</v>
      </c>
      <c r="FM116" s="863"/>
      <c r="FN116" s="863"/>
      <c r="FO116" s="863"/>
      <c r="FP116" s="427">
        <f t="array" ref="FP116">IF(SUM((FO116=$FO$3:FO115)*1)=0,FO116,0)</f>
        <v>0</v>
      </c>
      <c r="FQ116" s="863"/>
      <c r="FR116" s="863"/>
      <c r="FS116" s="863">
        <f t="array" ref="FS116">IF(SUM((FR116=$FR$3:FR115)*1)=0,FR116,0)</f>
        <v>0</v>
      </c>
      <c r="FT116" s="863"/>
      <c r="FU116" s="863"/>
      <c r="FV116" s="863"/>
      <c r="FW116" s="427">
        <f t="array" ref="FW116">IF(SUM((FV116=$FV$3:FV115)*1)=0,FV116,0)</f>
        <v>0</v>
      </c>
      <c r="FX116" s="863"/>
      <c r="FY116" s="863"/>
      <c r="FZ116" s="863">
        <f t="array" ref="FZ116">IF(SUM((FY116=$FY$3:FY115)*1)=0,FY116,0)</f>
        <v>0</v>
      </c>
      <c r="GA116" s="863"/>
      <c r="GB116" s="863"/>
      <c r="GC116" s="863"/>
      <c r="GD116" s="427">
        <f t="array" ref="GD116">IF(SUM((GC116=$GC$3:GC115)*1)=0,GC116,0)</f>
        <v>0</v>
      </c>
      <c r="GE116" s="863"/>
      <c r="GF116" s="863"/>
      <c r="GG116" s="863">
        <f t="array" ref="GG116">IF(SUM((GF116=$GF$3:GF115)*1)=0,GF116,0)</f>
        <v>0</v>
      </c>
      <c r="GH116" s="863"/>
      <c r="GI116" s="863"/>
      <c r="GJ116" s="863"/>
      <c r="GK116" s="798">
        <f t="array" ref="GK116">IF(SUM((GJ116=$GJ$3:GJ115)*1)=0,GJ116,0)</f>
        <v>0</v>
      </c>
      <c r="GL116" s="863"/>
      <c r="GM116" s="863"/>
      <c r="GN116" s="798">
        <f t="array" ref="GN116">IF(SUM((GM116=$GM$3:GM115)*1)=0,GM116,0)</f>
        <v>0</v>
      </c>
      <c r="GO116" s="863"/>
      <c r="GP116" s="863"/>
      <c r="GQ116" s="863"/>
      <c r="GR116" s="798">
        <f t="array" ref="GR116">IF(SUM((GQ116=$GQ$3:GQ115)*1)=0,GQ116,0)</f>
        <v>0</v>
      </c>
      <c r="GS116" s="863"/>
      <c r="GT116" s="863"/>
      <c r="GU116" s="798">
        <f t="array" ref="GU116">IF(SUM((GT116=$GT$3:GT115)*1)=0,GT116,0)</f>
        <v>0</v>
      </c>
      <c r="GV116" s="863"/>
      <c r="GW116" s="863"/>
      <c r="GX116" s="863"/>
      <c r="GY116" s="798">
        <f t="array" ref="GY116">IF(SUM((GX116=$GX$3:GX115)*1)=0,GX116,0)</f>
        <v>0</v>
      </c>
      <c r="GZ116" s="863"/>
      <c r="HA116" s="863"/>
      <c r="HB116" s="798">
        <f t="array" ref="HB116">IF(SUM((HA116=$HA$3:HA115)*1)=0,HA116,0)</f>
        <v>0</v>
      </c>
      <c r="HC116" s="863"/>
      <c r="HD116" s="863"/>
      <c r="HE116" s="769" t="str">
        <f t="shared" si="889"/>
        <v/>
      </c>
      <c r="HF116" s="768" t="str">
        <f t="shared" ref="HF116" si="1385">IF(HE116&lt;0,"Invadiu REP-BA-C","")</f>
        <v/>
      </c>
      <c r="HG116" s="769" t="str">
        <f t="shared" si="891"/>
        <v/>
      </c>
      <c r="HH116" s="768" t="str">
        <f t="shared" si="815"/>
        <v/>
      </c>
      <c r="HI116" s="728" t="str">
        <f t="shared" si="892"/>
        <v/>
      </c>
      <c r="HJ116" s="768" t="str">
        <f t="shared" si="816"/>
        <v/>
      </c>
      <c r="HK116" s="728" t="str">
        <f t="shared" si="893"/>
        <v/>
      </c>
      <c r="HL116" s="768" t="str">
        <f t="shared" si="817"/>
        <v/>
      </c>
      <c r="HM116" s="769" t="str">
        <f t="shared" si="1219"/>
        <v/>
      </c>
      <c r="HN116" s="768" t="str">
        <f t="shared" ref="HN116" si="1386">IF(HM116&lt;0,"Invadiu REP-BA-C","")</f>
        <v/>
      </c>
      <c r="HO116" s="769" t="str">
        <f t="shared" si="1221"/>
        <v/>
      </c>
      <c r="HP116" s="768" t="str">
        <f t="shared" si="821"/>
        <v/>
      </c>
      <c r="HQ116" s="728" t="str">
        <f t="shared" si="1222"/>
        <v/>
      </c>
      <c r="HR116" s="768" t="str">
        <f t="shared" si="823"/>
        <v/>
      </c>
      <c r="HS116" s="728" t="str">
        <f t="shared" si="1223"/>
        <v/>
      </c>
      <c r="HT116" s="768" t="str">
        <f t="shared" si="825"/>
        <v/>
      </c>
      <c r="HU116" s="769" t="str">
        <f t="shared" si="1224"/>
        <v/>
      </c>
      <c r="HV116" s="768" t="str">
        <f t="shared" ref="HV116" si="1387">IF(HU116&lt;0,"Invadiu REP-BA-C","")</f>
        <v/>
      </c>
      <c r="HW116" s="769" t="str">
        <f t="shared" si="1226"/>
        <v/>
      </c>
      <c r="HX116" s="768" t="str">
        <f t="shared" si="829"/>
        <v/>
      </c>
      <c r="HY116" s="728" t="str">
        <f t="shared" si="1227"/>
        <v/>
      </c>
      <c r="HZ116" s="768" t="str">
        <f t="shared" si="831"/>
        <v/>
      </c>
      <c r="IA116" s="728" t="str">
        <f t="shared" si="1228"/>
        <v/>
      </c>
      <c r="IB116" s="768" t="str">
        <f t="shared" si="833"/>
        <v/>
      </c>
      <c r="IC116" s="769" t="str">
        <f t="shared" si="1229"/>
        <v/>
      </c>
      <c r="ID116" s="768" t="str">
        <f t="shared" ref="ID116" si="1388">IF(IC116&lt;0,"Invadiu REP-BA-C","")</f>
        <v/>
      </c>
      <c r="IE116" s="769" t="str">
        <f t="shared" si="1231"/>
        <v/>
      </c>
      <c r="IF116" s="768" t="str">
        <f t="shared" si="837"/>
        <v/>
      </c>
      <c r="IG116" s="728" t="str">
        <f t="shared" si="1232"/>
        <v/>
      </c>
      <c r="IH116" s="768" t="str">
        <f t="shared" si="839"/>
        <v/>
      </c>
      <c r="II116" s="728" t="str">
        <f t="shared" si="1233"/>
        <v/>
      </c>
      <c r="IJ116" s="768" t="str">
        <f t="shared" si="841"/>
        <v/>
      </c>
      <c r="IK116" s="769" t="str">
        <f t="shared" si="1234"/>
        <v/>
      </c>
      <c r="IL116" s="768" t="str">
        <f t="shared" ref="IL116" si="1389">IF(IK116&lt;0,"Invadiu REP-BA-C","")</f>
        <v/>
      </c>
      <c r="IM116" s="769" t="str">
        <f t="shared" si="1236"/>
        <v/>
      </c>
      <c r="IN116" s="768" t="str">
        <f t="shared" si="845"/>
        <v/>
      </c>
      <c r="IO116" s="728" t="str">
        <f t="shared" si="1237"/>
        <v/>
      </c>
      <c r="IP116" s="768" t="str">
        <f t="shared" si="847"/>
        <v/>
      </c>
      <c r="IQ116" s="728" t="str">
        <f t="shared" si="1238"/>
        <v/>
      </c>
      <c r="IR116" s="768" t="str">
        <f t="shared" si="849"/>
        <v/>
      </c>
      <c r="IS116" s="769" t="str">
        <f t="shared" si="1239"/>
        <v/>
      </c>
      <c r="IT116" s="768" t="str">
        <f t="shared" ref="IT116" si="1390">IF(IS116&lt;0,"Invadiu REP-BA-C","")</f>
        <v/>
      </c>
      <c r="IU116" s="769" t="str">
        <f t="shared" si="1241"/>
        <v/>
      </c>
      <c r="IV116" s="768" t="str">
        <f t="shared" si="853"/>
        <v/>
      </c>
      <c r="IW116" s="728" t="str">
        <f t="shared" si="1242"/>
        <v/>
      </c>
      <c r="IX116" s="768" t="str">
        <f t="shared" si="855"/>
        <v/>
      </c>
      <c r="IY116" s="728" t="str">
        <f t="shared" si="1243"/>
        <v/>
      </c>
      <c r="IZ116" s="768" t="str">
        <f t="shared" si="857"/>
        <v/>
      </c>
      <c r="JA116" s="769" t="str">
        <f t="shared" si="1244"/>
        <v/>
      </c>
      <c r="JB116" s="768" t="str">
        <f t="shared" ref="JB116" si="1391">IF(JA116&lt;0,"Invadiu REP-BA-C","")</f>
        <v/>
      </c>
      <c r="JC116" s="769" t="str">
        <f t="shared" si="1246"/>
        <v/>
      </c>
      <c r="JD116" s="768" t="str">
        <f t="shared" si="861"/>
        <v/>
      </c>
      <c r="JE116" s="728" t="str">
        <f t="shared" si="1247"/>
        <v/>
      </c>
      <c r="JF116" s="768" t="str">
        <f t="shared" si="863"/>
        <v/>
      </c>
      <c r="JG116" s="728" t="str">
        <f t="shared" si="1248"/>
        <v/>
      </c>
      <c r="JH116" s="768" t="str">
        <f t="shared" si="865"/>
        <v/>
      </c>
      <c r="JI116" s="769" t="str">
        <f t="shared" si="1249"/>
        <v/>
      </c>
      <c r="JJ116" s="768" t="str">
        <f t="shared" ref="JJ116" si="1392">IF(JI116&lt;0,"Invadiu REP-BA-C","")</f>
        <v/>
      </c>
      <c r="JK116" s="769" t="str">
        <f t="shared" si="1251"/>
        <v/>
      </c>
      <c r="JL116" s="768" t="str">
        <f t="shared" si="869"/>
        <v/>
      </c>
      <c r="JM116" s="728" t="str">
        <f t="shared" si="1252"/>
        <v/>
      </c>
      <c r="JN116" s="768" t="str">
        <f t="shared" si="871"/>
        <v/>
      </c>
      <c r="JO116" s="728" t="str">
        <f t="shared" si="1253"/>
        <v/>
      </c>
      <c r="JP116" s="768" t="str">
        <f t="shared" si="873"/>
        <v/>
      </c>
      <c r="JQ116" s="769" t="str">
        <f t="shared" si="1254"/>
        <v/>
      </c>
      <c r="JR116" s="768" t="str">
        <f t="shared" ref="JR116" si="1393">IF(JQ116&lt;0,"Invadiu REP-BA-C","")</f>
        <v/>
      </c>
      <c r="JS116" s="769" t="str">
        <f t="shared" si="1256"/>
        <v/>
      </c>
      <c r="JT116" s="768" t="str">
        <f t="shared" si="877"/>
        <v/>
      </c>
      <c r="JU116" s="728" t="str">
        <f t="shared" si="1257"/>
        <v/>
      </c>
      <c r="JV116" s="768" t="str">
        <f t="shared" si="879"/>
        <v/>
      </c>
      <c r="JW116" s="728" t="str">
        <f t="shared" si="1258"/>
        <v/>
      </c>
      <c r="JX116" s="768" t="str">
        <f t="shared" si="881"/>
        <v/>
      </c>
      <c r="JY116" s="768" t="str">
        <f t="shared" si="882"/>
        <v/>
      </c>
      <c r="JZ116" s="485" t="str">
        <f>IF(JY116="","",IF(AND(C116=$C$164,JY116&lt;&gt;""),Verificarcpf(D116),IF(AND(C116=$C$165,JY116&lt;&gt;""),VerificarCNPJ(D116))))</f>
        <v/>
      </c>
      <c r="KA116" s="768" t="str">
        <f t="shared" si="883"/>
        <v/>
      </c>
      <c r="KB116" s="485">
        <f t="shared" si="884"/>
        <v>0</v>
      </c>
      <c r="KC116" s="768">
        <f t="shared" si="885"/>
        <v>0</v>
      </c>
      <c r="KD116" s="485">
        <f t="shared" si="886"/>
        <v>0</v>
      </c>
      <c r="KE116" s="448"/>
      <c r="KF116" s="548"/>
      <c r="KG116" s="548"/>
      <c r="KH116" s="548"/>
      <c r="KI116" s="548"/>
      <c r="KJ116" s="548" t="str">
        <f t="shared" si="887"/>
        <v/>
      </c>
      <c r="KK116" s="548"/>
      <c r="KL116" s="548"/>
      <c r="KM116" s="548">
        <f t="array" ref="KM116">IF(SUM((KL116=$KL$3:KL115)*1)=0,KL116,0)</f>
        <v>0</v>
      </c>
      <c r="KN116" s="548"/>
      <c r="KO116" s="548"/>
      <c r="KP116" s="548"/>
      <c r="KQ116" s="548"/>
      <c r="KR116" s="548" t="str">
        <f t="shared" si="888"/>
        <v/>
      </c>
      <c r="KS116" s="548"/>
      <c r="KT116" s="548"/>
      <c r="KU116" s="548"/>
      <c r="KV116" s="548"/>
      <c r="KW116" s="548"/>
      <c r="KX116" s="548"/>
      <c r="KY116" s="548"/>
      <c r="KZ116" s="548"/>
      <c r="LA116" s="548"/>
      <c r="LB116" s="548"/>
      <c r="LC116" s="485" t="str">
        <f t="shared" si="902"/>
        <v/>
      </c>
      <c r="LD116" s="548"/>
      <c r="LE116" s="548"/>
      <c r="LF116" s="548"/>
      <c r="LG116" s="548"/>
      <c r="LH116" s="548"/>
      <c r="LI116" s="548"/>
      <c r="LJ116" s="548"/>
      <c r="LK116" s="548"/>
      <c r="LL116" s="548"/>
      <c r="LM116" s="548"/>
      <c r="LN116" s="548"/>
      <c r="LO116" s="548"/>
      <c r="LP116" s="485" t="str">
        <f t="shared" si="903"/>
        <v/>
      </c>
      <c r="LQ116" s="548"/>
      <c r="LR116" s="548"/>
      <c r="LS116" s="548"/>
      <c r="LT116" s="548"/>
      <c r="LU116" s="548"/>
      <c r="LV116" s="548"/>
      <c r="LW116" s="548"/>
      <c r="LX116" s="548"/>
      <c r="LY116" s="548"/>
      <c r="LZ116" s="548"/>
      <c r="MA116" s="548"/>
      <c r="MB116" s="548"/>
      <c r="MC116" s="485" t="str">
        <f t="shared" si="904"/>
        <v/>
      </c>
      <c r="MD116" s="548"/>
      <c r="ME116" s="548"/>
      <c r="MF116" s="548"/>
      <c r="MG116" s="548"/>
      <c r="MH116" s="548"/>
      <c r="MI116" s="548"/>
      <c r="MJ116" s="548"/>
      <c r="MK116" s="548"/>
      <c r="ML116" s="548"/>
      <c r="MM116" s="548"/>
      <c r="MN116" s="548"/>
      <c r="MO116" s="548"/>
      <c r="MP116" s="485" t="str">
        <f t="shared" si="905"/>
        <v/>
      </c>
      <c r="MQ116" s="548"/>
      <c r="MR116" s="548"/>
      <c r="MS116" s="548"/>
      <c r="MT116" s="548"/>
      <c r="MU116" s="548"/>
      <c r="MV116" s="548"/>
      <c r="MW116" s="548"/>
      <c r="MX116" s="548"/>
      <c r="MY116" s="548"/>
      <c r="MZ116" s="548"/>
      <c r="NA116" s="548"/>
      <c r="NB116" s="548"/>
      <c r="NC116" s="485" t="str">
        <f t="shared" si="906"/>
        <v/>
      </c>
      <c r="ND116" s="548"/>
      <c r="NE116" s="548"/>
      <c r="NF116" s="548"/>
      <c r="NG116" s="548"/>
      <c r="NH116" s="548"/>
      <c r="NI116" s="548"/>
      <c r="NJ116" s="548"/>
      <c r="NK116" s="548"/>
      <c r="NL116" s="548"/>
      <c r="NM116" s="548"/>
      <c r="NN116" s="548"/>
      <c r="NO116" s="548"/>
      <c r="NP116" s="485" t="str">
        <f t="shared" si="907"/>
        <v/>
      </c>
      <c r="NQ116" s="548"/>
      <c r="NR116" s="548"/>
      <c r="NS116" s="548"/>
      <c r="NT116" s="548"/>
      <c r="NU116" s="548"/>
      <c r="NV116" s="548"/>
      <c r="NW116" s="548"/>
      <c r="NX116" s="548"/>
      <c r="NY116" s="548"/>
      <c r="NZ116" s="548"/>
      <c r="OA116" s="548"/>
      <c r="OB116" s="548"/>
      <c r="OC116" s="485" t="str">
        <f t="shared" si="908"/>
        <v/>
      </c>
      <c r="OD116" s="548"/>
      <c r="OE116" s="548"/>
      <c r="OF116" s="548"/>
      <c r="OG116" s="548"/>
      <c r="OH116" s="548"/>
      <c r="OI116" s="548"/>
      <c r="OJ116" s="548"/>
      <c r="OK116" s="548"/>
      <c r="OL116" s="548"/>
      <c r="OM116" s="548"/>
      <c r="ON116" s="548"/>
      <c r="OO116" s="548"/>
      <c r="OP116" s="548"/>
      <c r="OQ116" s="548"/>
      <c r="OR116" s="548"/>
      <c r="OS116" s="548"/>
      <c r="OT116" s="548"/>
      <c r="OU116" s="548"/>
      <c r="OV116" s="548"/>
      <c r="OW116" s="548"/>
      <c r="OX116" s="548"/>
      <c r="OY116" s="548"/>
      <c r="OZ116" s="548"/>
      <c r="PA116" s="548"/>
      <c r="PB116" s="548"/>
      <c r="PC116" s="548"/>
      <c r="PD116" s="548"/>
      <c r="PE116" s="548"/>
      <c r="PF116" s="548"/>
      <c r="PG116" s="548"/>
      <c r="PH116" s="548"/>
      <c r="PI116" s="548"/>
      <c r="PJ116" s="548"/>
      <c r="PK116" s="548"/>
      <c r="PL116" s="548"/>
      <c r="PM116" s="548"/>
      <c r="PN116" s="548"/>
      <c r="PO116" s="548"/>
      <c r="PP116" s="548"/>
      <c r="PQ116" s="548"/>
      <c r="PR116" s="548"/>
      <c r="PS116" s="548"/>
      <c r="PT116" s="548"/>
      <c r="PU116" s="548"/>
      <c r="PV116" s="548"/>
      <c r="PW116" s="548"/>
      <c r="PX116" s="548"/>
      <c r="PY116" s="548"/>
      <c r="PZ116" s="548"/>
      <c r="QA116" s="548"/>
      <c r="QB116" s="548"/>
      <c r="QC116" s="548"/>
      <c r="QD116" s="548"/>
      <c r="QE116" s="548"/>
      <c r="QF116" s="548"/>
      <c r="QG116" s="548"/>
      <c r="QH116" s="548"/>
      <c r="QI116" s="548"/>
      <c r="QJ116" s="548"/>
      <c r="QK116" s="548"/>
      <c r="QL116" s="548"/>
      <c r="QM116" s="548"/>
      <c r="QN116" s="548"/>
      <c r="QO116" s="548"/>
      <c r="QP116" s="548"/>
      <c r="QQ116" s="1009"/>
      <c r="QR116" s="548"/>
      <c r="QS116" s="548"/>
      <c r="QT116" s="548"/>
      <c r="QU116" s="548"/>
      <c r="QV116" s="548"/>
      <c r="QW116" s="548"/>
      <c r="QX116" s="548"/>
      <c r="QY116" s="548"/>
      <c r="QZ116" s="548"/>
      <c r="RA116" s="548"/>
      <c r="RB116" s="548"/>
      <c r="RC116" s="548"/>
      <c r="RD116" s="548"/>
      <c r="RE116" s="548"/>
      <c r="RF116" s="548"/>
      <c r="RG116" s="548"/>
      <c r="RH116" s="548"/>
      <c r="RI116" s="548"/>
      <c r="RJ116" s="548"/>
      <c r="RK116" s="548"/>
      <c r="RL116" s="548"/>
      <c r="RM116" s="548"/>
      <c r="RN116" s="548"/>
      <c r="RO116" s="548"/>
      <c r="RP116" s="548"/>
      <c r="RQ116" s="548"/>
      <c r="RR116" s="548"/>
      <c r="RS116" s="548"/>
      <c r="RT116" s="548"/>
      <c r="RU116" s="548"/>
      <c r="RV116" s="548"/>
      <c r="RW116" s="548"/>
      <c r="RX116" s="548"/>
      <c r="RY116" s="548"/>
      <c r="RZ116" s="548"/>
      <c r="SA116" s="548"/>
      <c r="SB116" s="548"/>
      <c r="SC116" s="548"/>
      <c r="SD116" s="548"/>
      <c r="SE116" s="548"/>
      <c r="SF116" s="548"/>
      <c r="SG116" s="548"/>
      <c r="SH116" s="548"/>
      <c r="SI116" s="548"/>
      <c r="SJ116" s="548"/>
      <c r="SK116" s="548"/>
      <c r="SL116" s="548"/>
      <c r="SM116" s="548"/>
      <c r="SN116" s="548"/>
      <c r="SO116" s="548"/>
      <c r="SP116" s="548"/>
      <c r="SQ116" s="548"/>
      <c r="SR116" s="548"/>
      <c r="SS116" s="548"/>
      <c r="ST116" s="548"/>
      <c r="SU116" s="548"/>
      <c r="SV116" s="548"/>
      <c r="SW116" s="548"/>
      <c r="SX116" s="548"/>
      <c r="SY116" s="548"/>
      <c r="SZ116" s="548"/>
      <c r="TA116" s="548"/>
      <c r="TB116" s="548"/>
      <c r="TC116" s="548"/>
      <c r="TD116" s="548"/>
      <c r="TE116" s="548"/>
      <c r="TF116" s="548"/>
      <c r="TG116" s="548"/>
      <c r="TH116" s="548"/>
      <c r="TI116" s="548"/>
      <c r="TJ116" s="548"/>
      <c r="TK116" s="548"/>
      <c r="TL116" s="548"/>
      <c r="TM116" s="548"/>
      <c r="TN116" s="548"/>
      <c r="TO116" s="548"/>
      <c r="TP116" s="548"/>
      <c r="TQ116" s="548"/>
      <c r="TR116" s="548"/>
      <c r="TS116" s="548"/>
      <c r="TT116" s="548"/>
      <c r="TU116" s="548"/>
      <c r="TV116" s="548"/>
      <c r="TW116" s="548"/>
      <c r="TX116" s="548"/>
      <c r="TY116" s="548"/>
      <c r="TZ116" s="548"/>
      <c r="UA116" s="548"/>
      <c r="UB116" s="548"/>
      <c r="UC116" s="548"/>
      <c r="UD116" s="548"/>
      <c r="UE116" s="548"/>
      <c r="UF116" s="548"/>
      <c r="UG116" s="548"/>
      <c r="UH116" s="548"/>
      <c r="UI116" s="548"/>
      <c r="UJ116" s="548"/>
      <c r="UK116" s="548"/>
      <c r="UL116" s="548"/>
      <c r="UM116" s="548"/>
      <c r="UN116" s="548"/>
      <c r="UO116" s="548"/>
      <c r="UP116" s="548"/>
      <c r="UQ116" s="548"/>
      <c r="UR116" s="548"/>
      <c r="US116" s="548"/>
      <c r="UT116" s="548"/>
      <c r="UU116" s="548"/>
      <c r="UV116" s="548"/>
      <c r="UW116" s="548"/>
      <c r="UX116" s="548"/>
      <c r="UY116" s="548"/>
      <c r="UZ116" s="548"/>
      <c r="VA116" s="548"/>
      <c r="VB116" s="548"/>
      <c r="VC116" s="548"/>
      <c r="VD116" s="548"/>
      <c r="VE116" s="548"/>
      <c r="VF116" s="548"/>
      <c r="VG116" s="548"/>
      <c r="VH116" s="548"/>
      <c r="VI116" s="548"/>
      <c r="VJ116" s="548"/>
      <c r="VK116" s="548"/>
      <c r="VL116" s="548"/>
      <c r="VM116" s="548"/>
      <c r="VN116" s="548"/>
      <c r="VO116" s="548"/>
      <c r="VP116" s="548"/>
      <c r="VQ116" s="548"/>
      <c r="VR116" s="548"/>
      <c r="VS116" s="548"/>
      <c r="VT116" s="548"/>
      <c r="VU116" s="548"/>
      <c r="VV116" s="548"/>
      <c r="VW116" s="548"/>
      <c r="VX116" s="548"/>
      <c r="VY116" s="548"/>
      <c r="VZ116" s="548"/>
      <c r="WA116" s="548"/>
      <c r="WB116" s="548"/>
      <c r="WC116" s="548"/>
      <c r="WD116" s="548"/>
      <c r="WE116" s="548"/>
      <c r="WF116" s="548"/>
      <c r="WG116" s="548"/>
      <c r="WH116" s="548"/>
      <c r="WI116" s="548"/>
      <c r="WJ116" s="548"/>
      <c r="WK116" s="548"/>
      <c r="WL116" s="548"/>
      <c r="WM116" s="548"/>
      <c r="WN116" s="548"/>
      <c r="WO116" s="548"/>
      <c r="WP116" s="548"/>
      <c r="WQ116" s="548"/>
      <c r="WR116" s="548"/>
      <c r="WS116" s="548"/>
      <c r="WT116" s="548"/>
      <c r="WU116" s="548"/>
      <c r="WV116" s="548"/>
      <c r="WW116" s="548"/>
      <c r="WX116" s="548"/>
      <c r="WY116" s="548"/>
      <c r="WZ116" s="548"/>
      <c r="XA116" s="548"/>
      <c r="XB116" s="548"/>
      <c r="XC116" s="548"/>
      <c r="XD116" s="548"/>
      <c r="XE116" s="548"/>
      <c r="XF116" s="548"/>
      <c r="XG116" s="548"/>
      <c r="XH116" s="548"/>
      <c r="XI116" s="548"/>
      <c r="XJ116" s="548"/>
      <c r="XK116" s="548"/>
      <c r="XL116" s="548"/>
      <c r="XM116" s="548"/>
      <c r="XN116" s="548"/>
      <c r="XO116" s="548"/>
      <c r="XP116" s="548"/>
      <c r="XQ116" s="548"/>
      <c r="XR116" s="548"/>
      <c r="XS116" s="548"/>
      <c r="XT116" s="548"/>
      <c r="XU116" s="548"/>
      <c r="XV116" s="548"/>
      <c r="XW116" s="548"/>
      <c r="XX116" s="548"/>
      <c r="XY116" s="548"/>
      <c r="XZ116" s="548"/>
      <c r="YA116" s="548"/>
      <c r="YB116" s="548"/>
      <c r="YC116" s="548"/>
      <c r="YD116" s="548"/>
      <c r="YE116" s="548"/>
      <c r="YF116" s="548"/>
      <c r="YG116" s="548"/>
      <c r="YH116" s="548"/>
      <c r="YI116" s="548"/>
      <c r="YJ116" s="548"/>
      <c r="YK116" s="548"/>
      <c r="YL116" s="548"/>
      <c r="YM116" s="548"/>
      <c r="YN116" s="548"/>
      <c r="YO116" s="548"/>
      <c r="YP116" s="548"/>
      <c r="YQ116" s="548"/>
      <c r="YR116" s="548"/>
      <c r="YS116" s="548"/>
      <c r="YT116" s="548"/>
      <c r="YU116" s="548"/>
      <c r="YV116" s="548"/>
      <c r="YW116" s="548"/>
      <c r="YX116" s="548"/>
      <c r="YY116" s="548"/>
      <c r="YZ116" s="548"/>
      <c r="ZA116" s="548"/>
      <c r="ZB116" s="548"/>
      <c r="ZC116" s="548"/>
      <c r="ZD116" s="548"/>
      <c r="ZE116" s="548"/>
      <c r="ZF116" s="548"/>
      <c r="ZG116" s="548"/>
      <c r="ZH116" s="548"/>
      <c r="ZI116" s="548"/>
      <c r="ZJ116" s="548"/>
      <c r="ZK116" s="548"/>
      <c r="ZL116" s="548"/>
      <c r="ZM116" s="548"/>
      <c r="ZN116" s="548"/>
      <c r="ZO116" s="548"/>
      <c r="ZP116" s="548"/>
      <c r="ZQ116" s="548"/>
      <c r="ZR116" s="548"/>
      <c r="ZS116" s="548"/>
      <c r="ZT116" s="548"/>
      <c r="ZU116" s="548"/>
      <c r="ZV116" s="548"/>
      <c r="ZW116" s="548"/>
      <c r="ZX116" s="548"/>
      <c r="ZY116" s="548"/>
      <c r="ZZ116" s="548"/>
      <c r="AAA116" s="548"/>
      <c r="AAB116" s="548"/>
      <c r="AAC116" s="548"/>
      <c r="AAD116" s="548"/>
      <c r="AAE116" s="548"/>
      <c r="AAF116" s="548"/>
      <c r="AAG116" s="548"/>
      <c r="AAH116" s="548"/>
      <c r="AAI116" s="548"/>
      <c r="AAJ116" s="548"/>
      <c r="AAK116" s="548"/>
      <c r="AAL116" s="548"/>
      <c r="AAM116" s="548"/>
      <c r="AAN116" s="548"/>
      <c r="AAO116" s="548"/>
      <c r="AAP116" s="548"/>
      <c r="AAQ116" s="548"/>
      <c r="AAR116" s="548"/>
      <c r="AAS116" s="548"/>
      <c r="AAT116" s="548"/>
      <c r="AAU116" s="548"/>
      <c r="AAV116" s="548"/>
      <c r="AAW116" s="548"/>
      <c r="AAX116" s="548"/>
      <c r="AAY116" s="548"/>
      <c r="AAZ116" s="548"/>
      <c r="ABA116" s="548"/>
      <c r="ABB116" s="548"/>
      <c r="ABC116" s="548"/>
      <c r="ABD116" s="548"/>
      <c r="ABE116" s="548"/>
      <c r="ABF116" s="548"/>
      <c r="ABG116" s="548"/>
      <c r="ABH116" s="548"/>
      <c r="ABI116" s="548"/>
      <c r="ABJ116" s="548"/>
      <c r="ABK116" s="548"/>
      <c r="ABL116" s="548"/>
      <c r="ABM116" s="548"/>
      <c r="ABN116" s="548"/>
      <c r="ABO116" s="548"/>
      <c r="ABP116" s="548"/>
      <c r="ABQ116" s="548"/>
      <c r="ABR116" s="548"/>
      <c r="ABS116" s="548"/>
    </row>
    <row r="117" spans="1:747" customFormat="1" ht="15" customHeight="1" x14ac:dyDescent="0.2">
      <c r="A117" s="424" t="str">
        <f t="shared" si="909"/>
        <v/>
      </c>
      <c r="B117" s="415"/>
      <c r="C117" s="525"/>
      <c r="D117" s="750"/>
      <c r="E117" s="416" t="str">
        <f t="shared" si="1171"/>
        <v/>
      </c>
      <c r="F117" s="527" t="str">
        <f t="shared" si="1172"/>
        <v/>
      </c>
      <c r="G117" s="417"/>
      <c r="H117" s="585" t="str">
        <f t="shared" si="1173"/>
        <v/>
      </c>
      <c r="I117" s="424"/>
      <c r="J117" s="419"/>
      <c r="K117" s="418"/>
      <c r="L117" s="419"/>
      <c r="M117" s="415"/>
      <c r="N117" s="420"/>
      <c r="O117" s="421"/>
      <c r="P117" s="561"/>
      <c r="Q117" s="422"/>
      <c r="R117" s="561" t="str">
        <f t="shared" si="1174"/>
        <v/>
      </c>
      <c r="S117" s="664"/>
      <c r="T117" s="663"/>
      <c r="U117" s="580">
        <f t="shared" si="1175"/>
        <v>0</v>
      </c>
      <c r="V117" s="418"/>
      <c r="W117" s="582" t="str">
        <f t="shared" si="1176"/>
        <v/>
      </c>
      <c r="X117" s="479" t="str">
        <f t="shared" si="1177"/>
        <v/>
      </c>
      <c r="Y117" s="582" t="str">
        <f t="shared" si="1178"/>
        <v/>
      </c>
      <c r="Z117" s="317" t="str">
        <f t="shared" si="1179"/>
        <v/>
      </c>
      <c r="AA117" s="317" t="str">
        <f t="shared" si="1180"/>
        <v/>
      </c>
      <c r="AB117" s="317">
        <f t="shared" si="1181"/>
        <v>0</v>
      </c>
      <c r="AC117" s="317" t="str">
        <f t="shared" si="1182"/>
        <v/>
      </c>
      <c r="AD117" s="479"/>
      <c r="AE117" s="479"/>
      <c r="AF117" s="479"/>
      <c r="AG117" s="423"/>
      <c r="AH117" s="820"/>
      <c r="AI117" s="437"/>
      <c r="AJ117" s="720"/>
      <c r="AK117" s="524" t="str">
        <f t="shared" si="1183"/>
        <v/>
      </c>
      <c r="AL117" s="719" t="str">
        <f>$AL$5</f>
        <v>itens de Despesas</v>
      </c>
      <c r="AM117" s="719" t="str">
        <f>$AM$5</f>
        <v>total pag. Mod. 2</v>
      </c>
      <c r="AN117" s="426">
        <f t="shared" si="1184"/>
        <v>0</v>
      </c>
      <c r="AO117" s="427" t="str">
        <f t="shared" si="1185"/>
        <v/>
      </c>
      <c r="AP117" s="426" t="str">
        <f t="shared" si="1186"/>
        <v/>
      </c>
      <c r="AQ117" s="426"/>
      <c r="AR117" s="426"/>
      <c r="AS117" s="428"/>
      <c r="AT117" s="429"/>
      <c r="AU117" s="430"/>
      <c r="AV117" s="431"/>
      <c r="AW117" s="432"/>
      <c r="AX117" s="430"/>
      <c r="AY117" s="431">
        <f t="shared" si="1187"/>
        <v>0</v>
      </c>
      <c r="AZ117" s="426"/>
      <c r="BA117" s="435" t="str">
        <f t="shared" si="1188"/>
        <v/>
      </c>
      <c r="BB117" s="435"/>
      <c r="BC117" s="426"/>
      <c r="BD117" s="426">
        <f t="array" ref="BD117">IF(SUM((BC117=$BC$3:BC116)*1)=0,BC117,0)</f>
        <v>0</v>
      </c>
      <c r="BE117" s="426"/>
      <c r="BF117" s="426"/>
      <c r="BG117" s="426">
        <f t="array" ref="BG117">IF(SUM((BF117=$BF$3:BF116)*1)=0,BF117,0)</f>
        <v>0</v>
      </c>
      <c r="BH117" s="426"/>
      <c r="BI117" s="426"/>
      <c r="BJ117" s="426"/>
      <c r="BK117" s="426"/>
      <c r="BL117" s="426"/>
      <c r="BM117" s="426"/>
      <c r="BN117" s="426"/>
      <c r="BO117" s="426"/>
      <c r="BP117" s="433">
        <f t="shared" si="1189"/>
        <v>0</v>
      </c>
      <c r="BQ117" s="426"/>
      <c r="BR117" s="434"/>
      <c r="BS117" s="426"/>
      <c r="BT117" s="433"/>
      <c r="BU117" s="435"/>
      <c r="BV117" s="435" t="str">
        <f t="shared" si="1190"/>
        <v/>
      </c>
      <c r="BW117" s="435" t="str">
        <f t="shared" si="798"/>
        <v/>
      </c>
      <c r="BX117" s="435"/>
      <c r="BY117" s="435"/>
      <c r="BZ117" s="435"/>
      <c r="CA117" s="435"/>
      <c r="CB117" s="435"/>
      <c r="CC117" s="435"/>
      <c r="CD117" s="435"/>
      <c r="CE117" s="435"/>
      <c r="CF117" s="435"/>
      <c r="CG117" s="435"/>
      <c r="CH117" s="435"/>
      <c r="CI117" s="435"/>
      <c r="CJ117" s="426" t="str">
        <f t="shared" si="799"/>
        <v/>
      </c>
      <c r="CK117" s="435"/>
      <c r="CL117" s="426"/>
      <c r="CM117" s="435"/>
      <c r="CN117" s="426"/>
      <c r="CO117" s="426"/>
      <c r="CP117" s="426"/>
      <c r="CQ117" s="426"/>
      <c r="CR117" s="426"/>
      <c r="CS117" s="426"/>
      <c r="CT117" s="426"/>
      <c r="CU117" s="426"/>
      <c r="CV117" s="426"/>
      <c r="CW117" s="493"/>
      <c r="CX117" s="493"/>
      <c r="CY117" s="426">
        <v>114</v>
      </c>
      <c r="CZ117" s="493"/>
      <c r="DA117" s="493"/>
      <c r="DB117" s="493"/>
      <c r="DC117" s="426" t="s">
        <v>857</v>
      </c>
      <c r="DD117" s="426" t="s">
        <v>1017</v>
      </c>
      <c r="DE117" s="435" t="str">
        <f t="shared" si="800"/>
        <v/>
      </c>
      <c r="DF117" s="435" t="str">
        <f t="shared" si="801"/>
        <v/>
      </c>
      <c r="DG117" s="435" t="str">
        <f t="shared" si="802"/>
        <v/>
      </c>
      <c r="DH117" s="435" t="str">
        <f t="shared" si="803"/>
        <v/>
      </c>
      <c r="DI117" s="435" t="str">
        <f t="shared" si="804"/>
        <v/>
      </c>
      <c r="DJ117" s="435" t="str">
        <f t="shared" si="805"/>
        <v/>
      </c>
      <c r="DK117" s="435" t="str">
        <f t="shared" si="1191"/>
        <v/>
      </c>
      <c r="DL117" s="435" t="str">
        <f t="shared" si="1192"/>
        <v/>
      </c>
      <c r="DM117" s="435" t="str">
        <f t="shared" si="806"/>
        <v/>
      </c>
      <c r="DN117" s="435" t="str">
        <f t="shared" si="807"/>
        <v/>
      </c>
      <c r="DO117" s="435" t="str">
        <f t="shared" si="1193"/>
        <v/>
      </c>
      <c r="DP117" s="435" t="str">
        <f t="shared" si="1194"/>
        <v/>
      </c>
      <c r="DQ117" s="435" t="str">
        <f t="shared" si="808"/>
        <v/>
      </c>
      <c r="DR117" s="435" t="str">
        <f t="shared" si="809"/>
        <v/>
      </c>
      <c r="DS117" s="435" t="str">
        <f t="shared" si="1195"/>
        <v/>
      </c>
      <c r="DT117" s="435" t="str">
        <f t="shared" si="1196"/>
        <v/>
      </c>
      <c r="DU117" s="435" t="str">
        <f t="shared" si="810"/>
        <v/>
      </c>
      <c r="DV117" s="435" t="str">
        <f t="shared" si="811"/>
        <v/>
      </c>
      <c r="DW117" s="435" t="str">
        <f t="shared" si="1197"/>
        <v/>
      </c>
      <c r="DX117" s="435" t="str">
        <f t="shared" si="1198"/>
        <v/>
      </c>
      <c r="DY117" s="435" t="str">
        <f t="shared" si="812"/>
        <v/>
      </c>
      <c r="DZ117" s="435" t="str">
        <f t="shared" si="813"/>
        <v/>
      </c>
      <c r="EA117" s="435" t="str">
        <f t="shared" si="1199"/>
        <v/>
      </c>
      <c r="EB117" s="435" t="str">
        <f t="shared" si="1200"/>
        <v/>
      </c>
      <c r="EC117" s="435" t="str">
        <f t="shared" si="1201"/>
        <v/>
      </c>
      <c r="ED117" s="435" t="str">
        <f t="shared" si="1202"/>
        <v/>
      </c>
      <c r="EE117" s="435" t="str">
        <f t="shared" si="1203"/>
        <v/>
      </c>
      <c r="EF117" s="435" t="str">
        <f t="shared" si="1204"/>
        <v/>
      </c>
      <c r="EG117" s="435" t="str">
        <f t="shared" si="1205"/>
        <v/>
      </c>
      <c r="EH117" s="435" t="str">
        <f t="shared" si="1206"/>
        <v/>
      </c>
      <c r="EI117" s="435" t="str">
        <f t="shared" si="1207"/>
        <v/>
      </c>
      <c r="EJ117" s="435" t="str">
        <f t="shared" si="1208"/>
        <v/>
      </c>
      <c r="EK117" s="485"/>
      <c r="EL117" s="485"/>
      <c r="EM117" s="485"/>
      <c r="EN117" s="485"/>
      <c r="EO117" s="448"/>
      <c r="EP117" s="448"/>
      <c r="EQ117" s="448"/>
      <c r="ER117" s="448"/>
      <c r="ES117" s="448"/>
      <c r="ET117" s="435"/>
      <c r="EU117" s="435"/>
      <c r="EV117" s="435"/>
      <c r="EW117" s="435"/>
      <c r="EX117" s="426"/>
      <c r="EY117" s="426"/>
      <c r="EZ117" s="426"/>
      <c r="FA117" s="863"/>
      <c r="FB117" s="427">
        <f t="array" ref="FB117">IF(SUM((FA117=$FA$3:FA116)*1)=0,FA117,0)</f>
        <v>0</v>
      </c>
      <c r="FC117" s="863"/>
      <c r="FD117" s="863"/>
      <c r="FE117" s="863">
        <f t="array" ref="FE117">IF(SUM((FD117=$FD$3:FD116)*1)=0,FD117,0)</f>
        <v>0</v>
      </c>
      <c r="FF117" s="863"/>
      <c r="FG117" s="863"/>
      <c r="FH117" s="863"/>
      <c r="FI117" s="427">
        <f t="array" ref="FI117">IF(SUM((FH117=$FH$3:FH116)*1)=0,FH117,0)</f>
        <v>0</v>
      </c>
      <c r="FJ117" s="863"/>
      <c r="FK117" s="863"/>
      <c r="FL117" s="863">
        <f t="array" ref="FL117">IF(SUM((FK117=$FK$3:FK116)*1)=0,FK117,0)</f>
        <v>0</v>
      </c>
      <c r="FM117" s="863"/>
      <c r="FN117" s="863"/>
      <c r="FO117" s="863"/>
      <c r="FP117" s="427">
        <f t="array" ref="FP117">IF(SUM((FO117=$FO$3:FO116)*1)=0,FO117,0)</f>
        <v>0</v>
      </c>
      <c r="FQ117" s="863"/>
      <c r="FR117" s="863"/>
      <c r="FS117" s="863">
        <f t="array" ref="FS117">IF(SUM((FR117=$FR$3:FR116)*1)=0,FR117,0)</f>
        <v>0</v>
      </c>
      <c r="FT117" s="863"/>
      <c r="FU117" s="863"/>
      <c r="FV117" s="863"/>
      <c r="FW117" s="427">
        <f t="array" ref="FW117">IF(SUM((FV117=$FV$3:FV116)*1)=0,FV117,0)</f>
        <v>0</v>
      </c>
      <c r="FX117" s="863"/>
      <c r="FY117" s="863"/>
      <c r="FZ117" s="863">
        <f t="array" ref="FZ117">IF(SUM((FY117=$FY$3:FY116)*1)=0,FY117,0)</f>
        <v>0</v>
      </c>
      <c r="GA117" s="863"/>
      <c r="GB117" s="863"/>
      <c r="GC117" s="863"/>
      <c r="GD117" s="427">
        <f t="array" ref="GD117">IF(SUM((GC117=$GC$3:GC116)*1)=0,GC117,0)</f>
        <v>0</v>
      </c>
      <c r="GE117" s="863"/>
      <c r="GF117" s="863"/>
      <c r="GG117" s="863">
        <f t="array" ref="GG117">IF(SUM((GF117=$GF$3:GF116)*1)=0,GF117,0)</f>
        <v>0</v>
      </c>
      <c r="GH117" s="863"/>
      <c r="GI117" s="863"/>
      <c r="GJ117" s="863"/>
      <c r="GK117" s="798">
        <f t="array" ref="GK117">IF(SUM((GJ117=$GJ$3:GJ116)*1)=0,GJ117,0)</f>
        <v>0</v>
      </c>
      <c r="GL117" s="863"/>
      <c r="GM117" s="863"/>
      <c r="GN117" s="798">
        <f t="array" ref="GN117">IF(SUM((GM117=$GM$3:GM116)*1)=0,GM117,0)</f>
        <v>0</v>
      </c>
      <c r="GO117" s="863"/>
      <c r="GP117" s="863"/>
      <c r="GQ117" s="863"/>
      <c r="GR117" s="798">
        <f t="array" ref="GR117">IF(SUM((GQ117=$GQ$3:GQ116)*1)=0,GQ117,0)</f>
        <v>0</v>
      </c>
      <c r="GS117" s="863"/>
      <c r="GT117" s="863"/>
      <c r="GU117" s="798">
        <f t="array" ref="GU117">IF(SUM((GT117=$GT$3:GT116)*1)=0,GT117,0)</f>
        <v>0</v>
      </c>
      <c r="GV117" s="863"/>
      <c r="GW117" s="863"/>
      <c r="GX117" s="863"/>
      <c r="GY117" s="798">
        <f t="array" ref="GY117">IF(SUM((GX117=$GX$3:GX116)*1)=0,GX117,0)</f>
        <v>0</v>
      </c>
      <c r="GZ117" s="863"/>
      <c r="HA117" s="863"/>
      <c r="HB117" s="798">
        <f t="array" ref="HB117">IF(SUM((HA117=$HA$3:HA116)*1)=0,HA117,0)</f>
        <v>0</v>
      </c>
      <c r="HC117" s="863"/>
      <c r="HD117" s="863"/>
      <c r="HE117" s="769" t="str">
        <f t="shared" si="889"/>
        <v/>
      </c>
      <c r="HF117" s="768" t="str">
        <f t="shared" ref="HF117" si="1394">IF(HE117&lt;0,"Invadiu REP-BA-C","")</f>
        <v/>
      </c>
      <c r="HG117" s="769" t="str">
        <f t="shared" si="891"/>
        <v/>
      </c>
      <c r="HH117" s="768" t="str">
        <f t="shared" si="815"/>
        <v/>
      </c>
      <c r="HI117" s="728" t="str">
        <f t="shared" si="892"/>
        <v/>
      </c>
      <c r="HJ117" s="768" t="str">
        <f t="shared" si="816"/>
        <v/>
      </c>
      <c r="HK117" s="728" t="str">
        <f t="shared" si="893"/>
        <v/>
      </c>
      <c r="HL117" s="768" t="str">
        <f t="shared" si="817"/>
        <v/>
      </c>
      <c r="HM117" s="769" t="str">
        <f t="shared" si="1219"/>
        <v/>
      </c>
      <c r="HN117" s="768" t="str">
        <f t="shared" ref="HN117" si="1395">IF(HM117&lt;0,"Invadiu REP-BA-C","")</f>
        <v/>
      </c>
      <c r="HO117" s="769" t="str">
        <f t="shared" si="1221"/>
        <v/>
      </c>
      <c r="HP117" s="768" t="str">
        <f t="shared" si="821"/>
        <v/>
      </c>
      <c r="HQ117" s="728" t="str">
        <f t="shared" si="1222"/>
        <v/>
      </c>
      <c r="HR117" s="768" t="str">
        <f t="shared" si="823"/>
        <v/>
      </c>
      <c r="HS117" s="728" t="str">
        <f t="shared" si="1223"/>
        <v/>
      </c>
      <c r="HT117" s="768" t="str">
        <f t="shared" si="825"/>
        <v/>
      </c>
      <c r="HU117" s="769" t="str">
        <f t="shared" si="1224"/>
        <v/>
      </c>
      <c r="HV117" s="768" t="str">
        <f t="shared" ref="HV117" si="1396">IF(HU117&lt;0,"Invadiu REP-BA-C","")</f>
        <v/>
      </c>
      <c r="HW117" s="769" t="str">
        <f t="shared" si="1226"/>
        <v/>
      </c>
      <c r="HX117" s="768" t="str">
        <f t="shared" si="829"/>
        <v/>
      </c>
      <c r="HY117" s="728" t="str">
        <f t="shared" si="1227"/>
        <v/>
      </c>
      <c r="HZ117" s="768" t="str">
        <f t="shared" si="831"/>
        <v/>
      </c>
      <c r="IA117" s="728" t="str">
        <f t="shared" si="1228"/>
        <v/>
      </c>
      <c r="IB117" s="768" t="str">
        <f t="shared" si="833"/>
        <v/>
      </c>
      <c r="IC117" s="769" t="str">
        <f t="shared" si="1229"/>
        <v/>
      </c>
      <c r="ID117" s="768" t="str">
        <f t="shared" ref="ID117" si="1397">IF(IC117&lt;0,"Invadiu REP-BA-C","")</f>
        <v/>
      </c>
      <c r="IE117" s="769" t="str">
        <f t="shared" si="1231"/>
        <v/>
      </c>
      <c r="IF117" s="768" t="str">
        <f t="shared" si="837"/>
        <v/>
      </c>
      <c r="IG117" s="728" t="str">
        <f t="shared" si="1232"/>
        <v/>
      </c>
      <c r="IH117" s="768" t="str">
        <f t="shared" si="839"/>
        <v/>
      </c>
      <c r="II117" s="728" t="str">
        <f t="shared" si="1233"/>
        <v/>
      </c>
      <c r="IJ117" s="768" t="str">
        <f t="shared" si="841"/>
        <v/>
      </c>
      <c r="IK117" s="769" t="str">
        <f t="shared" si="1234"/>
        <v/>
      </c>
      <c r="IL117" s="768" t="str">
        <f t="shared" ref="IL117" si="1398">IF(IK117&lt;0,"Invadiu REP-BA-C","")</f>
        <v/>
      </c>
      <c r="IM117" s="769" t="str">
        <f t="shared" si="1236"/>
        <v/>
      </c>
      <c r="IN117" s="768" t="str">
        <f t="shared" si="845"/>
        <v/>
      </c>
      <c r="IO117" s="728" t="str">
        <f t="shared" si="1237"/>
        <v/>
      </c>
      <c r="IP117" s="768" t="str">
        <f t="shared" si="847"/>
        <v/>
      </c>
      <c r="IQ117" s="728" t="str">
        <f t="shared" si="1238"/>
        <v/>
      </c>
      <c r="IR117" s="768" t="str">
        <f t="shared" si="849"/>
        <v/>
      </c>
      <c r="IS117" s="769" t="str">
        <f t="shared" si="1239"/>
        <v/>
      </c>
      <c r="IT117" s="768" t="str">
        <f t="shared" ref="IT117" si="1399">IF(IS117&lt;0,"Invadiu REP-BA-C","")</f>
        <v/>
      </c>
      <c r="IU117" s="769" t="str">
        <f t="shared" si="1241"/>
        <v/>
      </c>
      <c r="IV117" s="768" t="str">
        <f t="shared" si="853"/>
        <v/>
      </c>
      <c r="IW117" s="728" t="str">
        <f t="shared" si="1242"/>
        <v/>
      </c>
      <c r="IX117" s="768" t="str">
        <f t="shared" si="855"/>
        <v/>
      </c>
      <c r="IY117" s="728" t="str">
        <f t="shared" si="1243"/>
        <v/>
      </c>
      <c r="IZ117" s="768" t="str">
        <f t="shared" si="857"/>
        <v/>
      </c>
      <c r="JA117" s="769" t="str">
        <f t="shared" si="1244"/>
        <v/>
      </c>
      <c r="JB117" s="768" t="str">
        <f t="shared" ref="JB117" si="1400">IF(JA117&lt;0,"Invadiu REP-BA-C","")</f>
        <v/>
      </c>
      <c r="JC117" s="769" t="str">
        <f t="shared" si="1246"/>
        <v/>
      </c>
      <c r="JD117" s="768" t="str">
        <f t="shared" si="861"/>
        <v/>
      </c>
      <c r="JE117" s="728" t="str">
        <f t="shared" si="1247"/>
        <v/>
      </c>
      <c r="JF117" s="768" t="str">
        <f t="shared" si="863"/>
        <v/>
      </c>
      <c r="JG117" s="728" t="str">
        <f t="shared" si="1248"/>
        <v/>
      </c>
      <c r="JH117" s="768" t="str">
        <f t="shared" si="865"/>
        <v/>
      </c>
      <c r="JI117" s="769" t="str">
        <f t="shared" si="1249"/>
        <v/>
      </c>
      <c r="JJ117" s="768" t="str">
        <f t="shared" ref="JJ117" si="1401">IF(JI117&lt;0,"Invadiu REP-BA-C","")</f>
        <v/>
      </c>
      <c r="JK117" s="769" t="str">
        <f t="shared" si="1251"/>
        <v/>
      </c>
      <c r="JL117" s="768" t="str">
        <f t="shared" si="869"/>
        <v/>
      </c>
      <c r="JM117" s="728" t="str">
        <f t="shared" si="1252"/>
        <v/>
      </c>
      <c r="JN117" s="768" t="str">
        <f t="shared" si="871"/>
        <v/>
      </c>
      <c r="JO117" s="728" t="str">
        <f t="shared" si="1253"/>
        <v/>
      </c>
      <c r="JP117" s="768" t="str">
        <f t="shared" si="873"/>
        <v/>
      </c>
      <c r="JQ117" s="769" t="str">
        <f t="shared" si="1254"/>
        <v/>
      </c>
      <c r="JR117" s="768" t="str">
        <f t="shared" ref="JR117" si="1402">IF(JQ117&lt;0,"Invadiu REP-BA-C","")</f>
        <v/>
      </c>
      <c r="JS117" s="769" t="str">
        <f t="shared" si="1256"/>
        <v/>
      </c>
      <c r="JT117" s="768" t="str">
        <f t="shared" si="877"/>
        <v/>
      </c>
      <c r="JU117" s="728" t="str">
        <f t="shared" si="1257"/>
        <v/>
      </c>
      <c r="JV117" s="768" t="str">
        <f t="shared" si="879"/>
        <v/>
      </c>
      <c r="JW117" s="728" t="str">
        <f t="shared" si="1258"/>
        <v/>
      </c>
      <c r="JX117" s="768" t="str">
        <f t="shared" si="881"/>
        <v/>
      </c>
      <c r="JY117" s="768" t="str">
        <f t="shared" si="882"/>
        <v/>
      </c>
      <c r="JZ117" s="485" t="str">
        <f>IF(JY117="","",IF(AND(C117=$C$164,JY117&lt;&gt;""),Verificarcpf(D117),IF(AND(C117=$C$165,JY117&lt;&gt;""),VerificarCNPJ(D117))))</f>
        <v/>
      </c>
      <c r="KA117" s="768" t="str">
        <f t="shared" si="883"/>
        <v/>
      </c>
      <c r="KB117" s="485">
        <f t="shared" si="884"/>
        <v>0</v>
      </c>
      <c r="KC117" s="768">
        <f t="shared" si="885"/>
        <v>0</v>
      </c>
      <c r="KD117" s="485">
        <f t="shared" si="886"/>
        <v>0</v>
      </c>
      <c r="KE117" s="448"/>
      <c r="KF117" s="548"/>
      <c r="KG117" s="548"/>
      <c r="KH117" s="548"/>
      <c r="KI117" s="548"/>
      <c r="KJ117" s="548" t="str">
        <f t="shared" si="887"/>
        <v/>
      </c>
      <c r="KK117" s="548"/>
      <c r="KL117" s="548"/>
      <c r="KM117" s="548">
        <f t="array" ref="KM117">IF(SUM((KL117=$KL$3:KL116)*1)=0,KL117,0)</f>
        <v>0</v>
      </c>
      <c r="KN117" s="548"/>
      <c r="KO117" s="548"/>
      <c r="KP117" s="548"/>
      <c r="KQ117" s="548"/>
      <c r="KR117" s="548" t="str">
        <f t="shared" si="888"/>
        <v/>
      </c>
      <c r="KS117" s="548"/>
      <c r="KT117" s="548"/>
      <c r="KU117" s="548"/>
      <c r="KV117" s="548"/>
      <c r="KW117" s="548"/>
      <c r="KX117" s="548"/>
      <c r="KY117" s="548"/>
      <c r="KZ117" s="548"/>
      <c r="LA117" s="548"/>
      <c r="LB117" s="548"/>
      <c r="LC117" s="485" t="str">
        <f t="shared" si="902"/>
        <v/>
      </c>
      <c r="LD117" s="548"/>
      <c r="LE117" s="548"/>
      <c r="LF117" s="548"/>
      <c r="LG117" s="548"/>
      <c r="LH117" s="548"/>
      <c r="LI117" s="548"/>
      <c r="LJ117" s="548"/>
      <c r="LK117" s="548"/>
      <c r="LL117" s="548"/>
      <c r="LM117" s="548"/>
      <c r="LN117" s="548"/>
      <c r="LO117" s="548"/>
      <c r="LP117" s="485" t="str">
        <f t="shared" si="903"/>
        <v/>
      </c>
      <c r="LQ117" s="548"/>
      <c r="LR117" s="548"/>
      <c r="LS117" s="548"/>
      <c r="LT117" s="548"/>
      <c r="LU117" s="548"/>
      <c r="LV117" s="548"/>
      <c r="LW117" s="548"/>
      <c r="LX117" s="548"/>
      <c r="LY117" s="548"/>
      <c r="LZ117" s="548"/>
      <c r="MA117" s="548"/>
      <c r="MB117" s="548"/>
      <c r="MC117" s="485" t="str">
        <f t="shared" si="904"/>
        <v/>
      </c>
      <c r="MD117" s="548"/>
      <c r="ME117" s="548"/>
      <c r="MF117" s="548"/>
      <c r="MG117" s="548"/>
      <c r="MH117" s="548"/>
      <c r="MI117" s="548"/>
      <c r="MJ117" s="548"/>
      <c r="MK117" s="548"/>
      <c r="ML117" s="548"/>
      <c r="MM117" s="548"/>
      <c r="MN117" s="548"/>
      <c r="MO117" s="548"/>
      <c r="MP117" s="485" t="str">
        <f t="shared" si="905"/>
        <v/>
      </c>
      <c r="MQ117" s="548"/>
      <c r="MR117" s="548"/>
      <c r="MS117" s="548"/>
      <c r="MT117" s="548"/>
      <c r="MU117" s="548"/>
      <c r="MV117" s="548"/>
      <c r="MW117" s="548"/>
      <c r="MX117" s="548"/>
      <c r="MY117" s="548"/>
      <c r="MZ117" s="548"/>
      <c r="NA117" s="548"/>
      <c r="NB117" s="548"/>
      <c r="NC117" s="485" t="str">
        <f t="shared" si="906"/>
        <v/>
      </c>
      <c r="ND117" s="548"/>
      <c r="NE117" s="548"/>
      <c r="NF117" s="548"/>
      <c r="NG117" s="548"/>
      <c r="NH117" s="548"/>
      <c r="NI117" s="548"/>
      <c r="NJ117" s="548"/>
      <c r="NK117" s="548"/>
      <c r="NL117" s="548"/>
      <c r="NM117" s="548"/>
      <c r="NN117" s="548"/>
      <c r="NO117" s="548"/>
      <c r="NP117" s="485" t="str">
        <f t="shared" si="907"/>
        <v/>
      </c>
      <c r="NQ117" s="548"/>
      <c r="NR117" s="548"/>
      <c r="NS117" s="548"/>
      <c r="NT117" s="548"/>
      <c r="NU117" s="548"/>
      <c r="NV117" s="548"/>
      <c r="NW117" s="548"/>
      <c r="NX117" s="548"/>
      <c r="NY117" s="548"/>
      <c r="NZ117" s="548"/>
      <c r="OA117" s="548"/>
      <c r="OB117" s="548"/>
      <c r="OC117" s="485" t="str">
        <f t="shared" si="908"/>
        <v/>
      </c>
      <c r="OD117" s="548"/>
      <c r="OE117" s="548"/>
      <c r="OF117" s="548"/>
      <c r="OG117" s="548"/>
      <c r="OH117" s="548"/>
      <c r="OI117" s="548"/>
      <c r="OJ117" s="548"/>
      <c r="OK117" s="548"/>
      <c r="OL117" s="548"/>
      <c r="OM117" s="548"/>
      <c r="ON117" s="548"/>
      <c r="OO117" s="548"/>
      <c r="OP117" s="548"/>
      <c r="OQ117" s="548"/>
      <c r="OR117" s="548"/>
      <c r="OS117" s="548"/>
      <c r="OT117" s="548"/>
      <c r="OU117" s="548"/>
      <c r="OV117" s="548"/>
      <c r="OW117" s="548"/>
      <c r="OX117" s="548"/>
      <c r="OY117" s="548"/>
      <c r="OZ117" s="548"/>
      <c r="PA117" s="548"/>
      <c r="PB117" s="548"/>
      <c r="PC117" s="548"/>
      <c r="PD117" s="548"/>
      <c r="PE117" s="548"/>
      <c r="PF117" s="548"/>
      <c r="PG117" s="548"/>
      <c r="PH117" s="548"/>
      <c r="PI117" s="548"/>
      <c r="PJ117" s="548"/>
      <c r="PK117" s="548"/>
      <c r="PL117" s="548"/>
      <c r="PM117" s="548"/>
      <c r="PN117" s="548"/>
      <c r="PO117" s="548"/>
      <c r="PP117" s="548"/>
      <c r="PQ117" s="548"/>
      <c r="PR117" s="548"/>
      <c r="PS117" s="548"/>
      <c r="PT117" s="548"/>
      <c r="PU117" s="548"/>
      <c r="PV117" s="548"/>
      <c r="PW117" s="548"/>
      <c r="PX117" s="548"/>
      <c r="PY117" s="548"/>
      <c r="PZ117" s="548"/>
      <c r="QA117" s="548"/>
      <c r="QB117" s="548"/>
      <c r="QC117" s="548"/>
      <c r="QD117" s="548"/>
      <c r="QE117" s="548"/>
      <c r="QF117" s="548"/>
      <c r="QG117" s="548"/>
      <c r="QH117" s="548"/>
      <c r="QI117" s="548"/>
      <c r="QJ117" s="548"/>
      <c r="QK117" s="548"/>
      <c r="QL117" s="548"/>
      <c r="QM117" s="548"/>
      <c r="QN117" s="548"/>
      <c r="QO117" s="548"/>
      <c r="QP117" s="548"/>
      <c r="QQ117" s="1009"/>
      <c r="QR117" s="548"/>
      <c r="QS117" s="548"/>
      <c r="QT117" s="548"/>
      <c r="QU117" s="548"/>
      <c r="QV117" s="548"/>
      <c r="QW117" s="548"/>
      <c r="QX117" s="548"/>
      <c r="QY117" s="548"/>
      <c r="QZ117" s="548"/>
      <c r="RA117" s="548"/>
      <c r="RB117" s="548"/>
      <c r="RC117" s="548"/>
      <c r="RD117" s="548"/>
      <c r="RE117" s="548"/>
      <c r="RF117" s="548"/>
      <c r="RG117" s="548"/>
      <c r="RH117" s="548"/>
      <c r="RI117" s="548"/>
      <c r="RJ117" s="548"/>
      <c r="RK117" s="548"/>
      <c r="RL117" s="548"/>
      <c r="RM117" s="548"/>
      <c r="RN117" s="548"/>
      <c r="RO117" s="548"/>
      <c r="RP117" s="548"/>
      <c r="RQ117" s="548"/>
      <c r="RR117" s="548"/>
      <c r="RS117" s="548"/>
      <c r="RT117" s="548"/>
      <c r="RU117" s="548"/>
      <c r="RV117" s="548"/>
      <c r="RW117" s="548"/>
      <c r="RX117" s="548"/>
      <c r="RY117" s="548"/>
      <c r="RZ117" s="548"/>
      <c r="SA117" s="548"/>
      <c r="SB117" s="548"/>
      <c r="SC117" s="548"/>
      <c r="SD117" s="548"/>
      <c r="SE117" s="548"/>
      <c r="SF117" s="548"/>
      <c r="SG117" s="548"/>
      <c r="SH117" s="548"/>
      <c r="SI117" s="548"/>
      <c r="SJ117" s="548"/>
      <c r="SK117" s="548"/>
      <c r="SL117" s="548"/>
      <c r="SM117" s="548"/>
      <c r="SN117" s="548"/>
      <c r="SO117" s="548"/>
      <c r="SP117" s="548"/>
      <c r="SQ117" s="548"/>
      <c r="SR117" s="548"/>
      <c r="SS117" s="548"/>
      <c r="ST117" s="548"/>
      <c r="SU117" s="548"/>
      <c r="SV117" s="548"/>
      <c r="SW117" s="548"/>
      <c r="SX117" s="548"/>
      <c r="SY117" s="548"/>
      <c r="SZ117" s="548"/>
      <c r="TA117" s="548"/>
      <c r="TB117" s="548"/>
      <c r="TC117" s="548"/>
      <c r="TD117" s="548"/>
      <c r="TE117" s="548"/>
      <c r="TF117" s="548"/>
      <c r="TG117" s="548"/>
      <c r="TH117" s="548"/>
      <c r="TI117" s="548"/>
      <c r="TJ117" s="548"/>
      <c r="TK117" s="548"/>
      <c r="TL117" s="548"/>
      <c r="TM117" s="548"/>
      <c r="TN117" s="548"/>
      <c r="TO117" s="548"/>
      <c r="TP117" s="548"/>
      <c r="TQ117" s="548"/>
      <c r="TR117" s="548"/>
      <c r="TS117" s="548"/>
      <c r="TT117" s="548"/>
      <c r="TU117" s="548"/>
      <c r="TV117" s="548"/>
      <c r="TW117" s="548"/>
      <c r="TX117" s="548"/>
      <c r="TY117" s="548"/>
      <c r="TZ117" s="548"/>
      <c r="UA117" s="548"/>
      <c r="UB117" s="548"/>
      <c r="UC117" s="548"/>
      <c r="UD117" s="548"/>
      <c r="UE117" s="548"/>
      <c r="UF117" s="548"/>
      <c r="UG117" s="548"/>
      <c r="UH117" s="548"/>
      <c r="UI117" s="548"/>
      <c r="UJ117" s="548"/>
      <c r="UK117" s="548"/>
      <c r="UL117" s="548"/>
      <c r="UM117" s="548"/>
      <c r="UN117" s="548"/>
      <c r="UO117" s="548"/>
      <c r="UP117" s="548"/>
      <c r="UQ117" s="548"/>
      <c r="UR117" s="548"/>
      <c r="US117" s="548"/>
      <c r="UT117" s="548"/>
      <c r="UU117" s="548"/>
      <c r="UV117" s="548"/>
      <c r="UW117" s="548"/>
      <c r="UX117" s="548"/>
      <c r="UY117" s="548"/>
      <c r="UZ117" s="548"/>
      <c r="VA117" s="548"/>
      <c r="VB117" s="548"/>
      <c r="VC117" s="548"/>
      <c r="VD117" s="548"/>
      <c r="VE117" s="548"/>
      <c r="VF117" s="548"/>
      <c r="VG117" s="548"/>
      <c r="VH117" s="548"/>
      <c r="VI117" s="548"/>
      <c r="VJ117" s="548"/>
      <c r="VK117" s="548"/>
      <c r="VL117" s="548"/>
      <c r="VM117" s="548"/>
      <c r="VN117" s="548"/>
      <c r="VO117" s="548"/>
      <c r="VP117" s="548"/>
      <c r="VQ117" s="548"/>
      <c r="VR117" s="548"/>
      <c r="VS117" s="548"/>
      <c r="VT117" s="548"/>
      <c r="VU117" s="548"/>
      <c r="VV117" s="548"/>
      <c r="VW117" s="548"/>
      <c r="VX117" s="548"/>
      <c r="VY117" s="548"/>
      <c r="VZ117" s="548"/>
      <c r="WA117" s="548"/>
      <c r="WB117" s="548"/>
      <c r="WC117" s="548"/>
      <c r="WD117" s="548"/>
      <c r="WE117" s="548"/>
      <c r="WF117" s="548"/>
      <c r="WG117" s="548"/>
      <c r="WH117" s="548"/>
      <c r="WI117" s="548"/>
      <c r="WJ117" s="548"/>
      <c r="WK117" s="548"/>
      <c r="WL117" s="548"/>
      <c r="WM117" s="548"/>
      <c r="WN117" s="548"/>
      <c r="WO117" s="548"/>
      <c r="WP117" s="548"/>
      <c r="WQ117" s="548"/>
      <c r="WR117" s="548"/>
      <c r="WS117" s="548"/>
      <c r="WT117" s="548"/>
      <c r="WU117" s="548"/>
      <c r="WV117" s="548"/>
      <c r="WW117" s="548"/>
      <c r="WX117" s="548"/>
      <c r="WY117" s="548"/>
      <c r="WZ117" s="548"/>
      <c r="XA117" s="548"/>
      <c r="XB117" s="548"/>
      <c r="XC117" s="548"/>
      <c r="XD117" s="548"/>
      <c r="XE117" s="548"/>
      <c r="XF117" s="548"/>
      <c r="XG117" s="548"/>
      <c r="XH117" s="548"/>
      <c r="XI117" s="548"/>
      <c r="XJ117" s="548"/>
      <c r="XK117" s="548"/>
      <c r="XL117" s="548"/>
      <c r="XM117" s="548"/>
      <c r="XN117" s="548"/>
      <c r="XO117" s="548"/>
      <c r="XP117" s="548"/>
      <c r="XQ117" s="548"/>
      <c r="XR117" s="548"/>
      <c r="XS117" s="548"/>
      <c r="XT117" s="548"/>
      <c r="XU117" s="548"/>
      <c r="XV117" s="548"/>
      <c r="XW117" s="548"/>
      <c r="XX117" s="548"/>
      <c r="XY117" s="548"/>
      <c r="XZ117" s="548"/>
      <c r="YA117" s="548"/>
      <c r="YB117" s="548"/>
      <c r="YC117" s="548"/>
      <c r="YD117" s="548"/>
      <c r="YE117" s="548"/>
      <c r="YF117" s="548"/>
      <c r="YG117" s="548"/>
      <c r="YH117" s="548"/>
      <c r="YI117" s="548"/>
      <c r="YJ117" s="548"/>
      <c r="YK117" s="548"/>
      <c r="YL117" s="548"/>
      <c r="YM117" s="548"/>
      <c r="YN117" s="548"/>
      <c r="YO117" s="548"/>
      <c r="YP117" s="548"/>
      <c r="YQ117" s="548"/>
      <c r="YR117" s="548"/>
      <c r="YS117" s="548"/>
      <c r="YT117" s="548"/>
      <c r="YU117" s="548"/>
      <c r="YV117" s="548"/>
      <c r="YW117" s="548"/>
      <c r="YX117" s="548"/>
      <c r="YY117" s="548"/>
      <c r="YZ117" s="548"/>
      <c r="ZA117" s="548"/>
      <c r="ZB117" s="548"/>
      <c r="ZC117" s="548"/>
      <c r="ZD117" s="548"/>
      <c r="ZE117" s="548"/>
      <c r="ZF117" s="548"/>
      <c r="ZG117" s="548"/>
      <c r="ZH117" s="548"/>
      <c r="ZI117" s="548"/>
      <c r="ZJ117" s="548"/>
      <c r="ZK117" s="548"/>
      <c r="ZL117" s="548"/>
      <c r="ZM117" s="548"/>
      <c r="ZN117" s="548"/>
      <c r="ZO117" s="548"/>
      <c r="ZP117" s="548"/>
      <c r="ZQ117" s="548"/>
      <c r="ZR117" s="548"/>
      <c r="ZS117" s="548"/>
      <c r="ZT117" s="548"/>
      <c r="ZU117" s="548"/>
      <c r="ZV117" s="548"/>
      <c r="ZW117" s="548"/>
      <c r="ZX117" s="548"/>
      <c r="ZY117" s="548"/>
      <c r="ZZ117" s="548"/>
      <c r="AAA117" s="548"/>
      <c r="AAB117" s="548"/>
      <c r="AAC117" s="548"/>
      <c r="AAD117" s="548"/>
      <c r="AAE117" s="548"/>
      <c r="AAF117" s="548"/>
      <c r="AAG117" s="548"/>
      <c r="AAH117" s="548"/>
      <c r="AAI117" s="548"/>
      <c r="AAJ117" s="548"/>
      <c r="AAK117" s="548"/>
      <c r="AAL117" s="548"/>
      <c r="AAM117" s="548"/>
      <c r="AAN117" s="548"/>
      <c r="AAO117" s="548"/>
      <c r="AAP117" s="548"/>
      <c r="AAQ117" s="548"/>
      <c r="AAR117" s="548"/>
      <c r="AAS117" s="548"/>
      <c r="AAT117" s="548"/>
      <c r="AAU117" s="548"/>
      <c r="AAV117" s="548"/>
      <c r="AAW117" s="548"/>
      <c r="AAX117" s="548"/>
      <c r="AAY117" s="548"/>
      <c r="AAZ117" s="548"/>
      <c r="ABA117" s="548"/>
      <c r="ABB117" s="548"/>
      <c r="ABC117" s="548"/>
      <c r="ABD117" s="548"/>
      <c r="ABE117" s="548"/>
      <c r="ABF117" s="548"/>
      <c r="ABG117" s="548"/>
      <c r="ABH117" s="548"/>
      <c r="ABI117" s="548"/>
      <c r="ABJ117" s="548"/>
      <c r="ABK117" s="548"/>
      <c r="ABL117" s="548"/>
      <c r="ABM117" s="548"/>
      <c r="ABN117" s="548"/>
      <c r="ABO117" s="548"/>
      <c r="ABP117" s="548"/>
      <c r="ABQ117" s="548"/>
      <c r="ABR117" s="548"/>
      <c r="ABS117" s="548"/>
    </row>
    <row r="118" spans="1:747" customFormat="1" ht="15" customHeight="1" thickBot="1" x14ac:dyDescent="0.25">
      <c r="A118" s="424" t="str">
        <f t="shared" si="909"/>
        <v/>
      </c>
      <c r="B118" s="415"/>
      <c r="C118" s="525"/>
      <c r="D118" s="750"/>
      <c r="E118" s="416" t="str">
        <f t="shared" si="1171"/>
        <v/>
      </c>
      <c r="F118" s="527" t="str">
        <f t="shared" si="1172"/>
        <v/>
      </c>
      <c r="G118" s="417"/>
      <c r="H118" s="585" t="str">
        <f t="shared" si="1173"/>
        <v/>
      </c>
      <c r="I118" s="424"/>
      <c r="J118" s="419"/>
      <c r="K118" s="418"/>
      <c r="L118" s="419"/>
      <c r="M118" s="415"/>
      <c r="N118" s="420"/>
      <c r="O118" s="421"/>
      <c r="P118" s="561"/>
      <c r="Q118" s="422"/>
      <c r="R118" s="561" t="str">
        <f t="shared" si="1174"/>
        <v/>
      </c>
      <c r="S118" s="664"/>
      <c r="T118" s="663"/>
      <c r="U118" s="580">
        <f t="shared" si="1175"/>
        <v>0</v>
      </c>
      <c r="V118" s="418"/>
      <c r="W118" s="582" t="str">
        <f t="shared" si="1176"/>
        <v/>
      </c>
      <c r="X118" s="479" t="str">
        <f t="shared" si="1177"/>
        <v/>
      </c>
      <c r="Y118" s="582" t="str">
        <f t="shared" si="1178"/>
        <v/>
      </c>
      <c r="Z118" s="317" t="str">
        <f t="shared" si="1179"/>
        <v/>
      </c>
      <c r="AA118" s="317" t="str">
        <f t="shared" si="1180"/>
        <v/>
      </c>
      <c r="AB118" s="317">
        <f t="shared" si="1181"/>
        <v>0</v>
      </c>
      <c r="AC118" s="317" t="str">
        <f t="shared" si="1182"/>
        <v/>
      </c>
      <c r="AD118" s="479"/>
      <c r="AE118" s="479"/>
      <c r="AF118" s="479"/>
      <c r="AG118" s="423"/>
      <c r="AH118" s="820"/>
      <c r="AI118" s="437"/>
      <c r="AJ118" s="660"/>
      <c r="AK118" s="524" t="str">
        <f t="shared" si="1183"/>
        <v/>
      </c>
      <c r="AL118" s="507">
        <f>COUNTIF($J$4:$J$163,"Mais Escola")</f>
        <v>0</v>
      </c>
      <c r="AM118" s="507">
        <f>IF(AL118&lt;=15,1,IF(AND(AL118&gt;15,AL118&lt;=29),2,IF(AND(AL118&gt;29,AL118&lt;=43),3,IF(AND(AL118&gt;43,AL118&lt;=57),4,IF(AND(AL118&gt;57,AL118&lt;=71),5,IF(AND(AL118&gt;71,AL118&lt;=85),6,IF(AND(AL118&gt;85,AL118&lt;=99),7,IF(AND(AL118&gt;99,AL118&lt;=113),8,IF(AND(AL118&gt;113,AL118&lt;=127),9,IF(AND(AL118&gt;127,AL118&lt;=141),10,IF(AND(AL118&gt;141,AL118&lt;=155),11,IF(AND(AL118&gt;155,AL118&lt;=160),12,$AN$1))))))))))))</f>
        <v>1</v>
      </c>
      <c r="AN118" s="426">
        <f t="shared" si="1184"/>
        <v>0</v>
      </c>
      <c r="AO118" s="427" t="str">
        <f t="shared" si="1185"/>
        <v/>
      </c>
      <c r="AP118" s="426" t="str">
        <f t="shared" si="1186"/>
        <v/>
      </c>
      <c r="AQ118" s="426"/>
      <c r="AR118" s="426"/>
      <c r="AS118" s="428"/>
      <c r="AT118" s="429"/>
      <c r="AU118" s="430"/>
      <c r="AV118" s="431"/>
      <c r="AW118" s="432"/>
      <c r="AX118" s="430"/>
      <c r="AY118" s="431">
        <f t="shared" si="1187"/>
        <v>0</v>
      </c>
      <c r="AZ118" s="426"/>
      <c r="BA118" s="435" t="str">
        <f t="shared" si="1188"/>
        <v/>
      </c>
      <c r="BB118" s="435"/>
      <c r="BC118" s="426"/>
      <c r="BD118" s="426">
        <f t="array" ref="BD118">IF(SUM((BC118=$BC$3:BC117)*1)=0,BC118,0)</f>
        <v>0</v>
      </c>
      <c r="BE118" s="426"/>
      <c r="BF118" s="426"/>
      <c r="BG118" s="426">
        <f t="array" ref="BG118">IF(SUM((BF118=$BF$3:BF117)*1)=0,BF118,0)</f>
        <v>0</v>
      </c>
      <c r="BH118" s="426"/>
      <c r="BI118" s="426"/>
      <c r="BJ118" s="426"/>
      <c r="BK118" s="426"/>
      <c r="BL118" s="426"/>
      <c r="BM118" s="426"/>
      <c r="BN118" s="426"/>
      <c r="BO118" s="426"/>
      <c r="BP118" s="433">
        <f t="shared" si="1189"/>
        <v>0</v>
      </c>
      <c r="BQ118" s="426"/>
      <c r="BR118" s="434"/>
      <c r="BS118" s="426"/>
      <c r="BT118" s="433"/>
      <c r="BU118" s="435"/>
      <c r="BV118" s="435" t="str">
        <f t="shared" si="1190"/>
        <v/>
      </c>
      <c r="BW118" s="435" t="str">
        <f t="shared" si="798"/>
        <v/>
      </c>
      <c r="BX118" s="435"/>
      <c r="BY118" s="435"/>
      <c r="BZ118" s="435"/>
      <c r="CA118" s="435"/>
      <c r="CB118" s="435"/>
      <c r="CC118" s="435"/>
      <c r="CD118" s="435"/>
      <c r="CE118" s="435"/>
      <c r="CF118" s="435"/>
      <c r="CG118" s="435"/>
      <c r="CH118" s="435"/>
      <c r="CI118" s="435"/>
      <c r="CJ118" s="426" t="str">
        <f t="shared" si="799"/>
        <v/>
      </c>
      <c r="CK118" s="435"/>
      <c r="CL118" s="426"/>
      <c r="CM118" s="435"/>
      <c r="CN118" s="426"/>
      <c r="CO118" s="426"/>
      <c r="CP118" s="426"/>
      <c r="CQ118" s="426"/>
      <c r="CR118" s="426"/>
      <c r="CS118" s="426"/>
      <c r="CT118" s="426"/>
      <c r="CU118" s="426"/>
      <c r="CV118" s="426"/>
      <c r="CW118" s="493"/>
      <c r="CX118" s="493"/>
      <c r="CY118" s="426">
        <v>115</v>
      </c>
      <c r="CZ118" s="493"/>
      <c r="DA118" s="493"/>
      <c r="DB118" s="493"/>
      <c r="DC118" s="426" t="s">
        <v>858</v>
      </c>
      <c r="DD118" s="426" t="s">
        <v>1018</v>
      </c>
      <c r="DE118" s="435" t="str">
        <f t="shared" si="800"/>
        <v/>
      </c>
      <c r="DF118" s="435" t="str">
        <f t="shared" si="801"/>
        <v/>
      </c>
      <c r="DG118" s="435" t="str">
        <f t="shared" si="802"/>
        <v/>
      </c>
      <c r="DH118" s="435" t="str">
        <f t="shared" si="803"/>
        <v/>
      </c>
      <c r="DI118" s="435" t="str">
        <f t="shared" si="804"/>
        <v/>
      </c>
      <c r="DJ118" s="435" t="str">
        <f t="shared" si="805"/>
        <v/>
      </c>
      <c r="DK118" s="435" t="str">
        <f t="shared" si="1191"/>
        <v/>
      </c>
      <c r="DL118" s="435" t="str">
        <f t="shared" si="1192"/>
        <v/>
      </c>
      <c r="DM118" s="435" t="str">
        <f t="shared" si="806"/>
        <v/>
      </c>
      <c r="DN118" s="435" t="str">
        <f t="shared" si="807"/>
        <v/>
      </c>
      <c r="DO118" s="435" t="str">
        <f t="shared" si="1193"/>
        <v/>
      </c>
      <c r="DP118" s="435" t="str">
        <f t="shared" si="1194"/>
        <v/>
      </c>
      <c r="DQ118" s="435" t="str">
        <f t="shared" si="808"/>
        <v/>
      </c>
      <c r="DR118" s="435" t="str">
        <f t="shared" si="809"/>
        <v/>
      </c>
      <c r="DS118" s="435" t="str">
        <f t="shared" si="1195"/>
        <v/>
      </c>
      <c r="DT118" s="435" t="str">
        <f t="shared" si="1196"/>
        <v/>
      </c>
      <c r="DU118" s="435" t="str">
        <f t="shared" si="810"/>
        <v/>
      </c>
      <c r="DV118" s="435" t="str">
        <f t="shared" si="811"/>
        <v/>
      </c>
      <c r="DW118" s="435" t="str">
        <f t="shared" si="1197"/>
        <v/>
      </c>
      <c r="DX118" s="435" t="str">
        <f t="shared" si="1198"/>
        <v/>
      </c>
      <c r="DY118" s="435" t="str">
        <f t="shared" si="812"/>
        <v/>
      </c>
      <c r="DZ118" s="435" t="str">
        <f t="shared" si="813"/>
        <v/>
      </c>
      <c r="EA118" s="435" t="str">
        <f t="shared" si="1199"/>
        <v/>
      </c>
      <c r="EB118" s="435" t="str">
        <f t="shared" si="1200"/>
        <v/>
      </c>
      <c r="EC118" s="435" t="str">
        <f t="shared" si="1201"/>
        <v/>
      </c>
      <c r="ED118" s="435" t="str">
        <f t="shared" si="1202"/>
        <v/>
      </c>
      <c r="EE118" s="435" t="str">
        <f t="shared" si="1203"/>
        <v/>
      </c>
      <c r="EF118" s="435" t="str">
        <f t="shared" si="1204"/>
        <v/>
      </c>
      <c r="EG118" s="435" t="str">
        <f t="shared" si="1205"/>
        <v/>
      </c>
      <c r="EH118" s="435" t="str">
        <f t="shared" si="1206"/>
        <v/>
      </c>
      <c r="EI118" s="435" t="str">
        <f t="shared" si="1207"/>
        <v/>
      </c>
      <c r="EJ118" s="435" t="str">
        <f t="shared" si="1208"/>
        <v/>
      </c>
      <c r="EK118" s="485"/>
      <c r="EL118" s="485"/>
      <c r="EM118" s="485"/>
      <c r="EN118" s="485"/>
      <c r="EO118" s="448"/>
      <c r="EP118" s="448"/>
      <c r="EQ118" s="448"/>
      <c r="ER118" s="448"/>
      <c r="ES118" s="448"/>
      <c r="ET118" s="435"/>
      <c r="EU118" s="435"/>
      <c r="EV118" s="435"/>
      <c r="EW118" s="435"/>
      <c r="EX118" s="426"/>
      <c r="EY118" s="426"/>
      <c r="EZ118" s="426"/>
      <c r="FA118" s="863"/>
      <c r="FB118" s="427">
        <f t="array" ref="FB118">IF(SUM((FA118=$FA$3:FA117)*1)=0,FA118,0)</f>
        <v>0</v>
      </c>
      <c r="FC118" s="863"/>
      <c r="FD118" s="863"/>
      <c r="FE118" s="863">
        <f t="array" ref="FE118">IF(SUM((FD118=$FD$3:FD117)*1)=0,FD118,0)</f>
        <v>0</v>
      </c>
      <c r="FF118" s="863"/>
      <c r="FG118" s="863"/>
      <c r="FH118" s="863"/>
      <c r="FI118" s="427">
        <f t="array" ref="FI118">IF(SUM((FH118=$FH$3:FH117)*1)=0,FH118,0)</f>
        <v>0</v>
      </c>
      <c r="FJ118" s="863"/>
      <c r="FK118" s="863"/>
      <c r="FL118" s="863">
        <f t="array" ref="FL118">IF(SUM((FK118=$FK$3:FK117)*1)=0,FK118,0)</f>
        <v>0</v>
      </c>
      <c r="FM118" s="863"/>
      <c r="FN118" s="863"/>
      <c r="FO118" s="863"/>
      <c r="FP118" s="427">
        <f t="array" ref="FP118">IF(SUM((FO118=$FO$3:FO117)*1)=0,FO118,0)</f>
        <v>0</v>
      </c>
      <c r="FQ118" s="863"/>
      <c r="FR118" s="863"/>
      <c r="FS118" s="863">
        <f t="array" ref="FS118">IF(SUM((FR118=$FR$3:FR117)*1)=0,FR118,0)</f>
        <v>0</v>
      </c>
      <c r="FT118" s="863"/>
      <c r="FU118" s="863"/>
      <c r="FV118" s="863"/>
      <c r="FW118" s="427">
        <f t="array" ref="FW118">IF(SUM((FV118=$FV$3:FV117)*1)=0,FV118,0)</f>
        <v>0</v>
      </c>
      <c r="FX118" s="863"/>
      <c r="FY118" s="863"/>
      <c r="FZ118" s="863">
        <f t="array" ref="FZ118">IF(SUM((FY118=$FY$3:FY117)*1)=0,FY118,0)</f>
        <v>0</v>
      </c>
      <c r="GA118" s="863"/>
      <c r="GB118" s="863"/>
      <c r="GC118" s="863"/>
      <c r="GD118" s="427">
        <f t="array" ref="GD118">IF(SUM((GC118=$GC$3:GC117)*1)=0,GC118,0)</f>
        <v>0</v>
      </c>
      <c r="GE118" s="863"/>
      <c r="GF118" s="863"/>
      <c r="GG118" s="863">
        <f t="array" ref="GG118">IF(SUM((GF118=$GF$3:GF117)*1)=0,GF118,0)</f>
        <v>0</v>
      </c>
      <c r="GH118" s="863"/>
      <c r="GI118" s="863"/>
      <c r="GJ118" s="863"/>
      <c r="GK118" s="798">
        <f t="array" ref="GK118">IF(SUM((GJ118=$GJ$3:GJ117)*1)=0,GJ118,0)</f>
        <v>0</v>
      </c>
      <c r="GL118" s="863"/>
      <c r="GM118" s="863"/>
      <c r="GN118" s="798">
        <f t="array" ref="GN118">IF(SUM((GM118=$GM$3:GM117)*1)=0,GM118,0)</f>
        <v>0</v>
      </c>
      <c r="GO118" s="863"/>
      <c r="GP118" s="863"/>
      <c r="GQ118" s="863"/>
      <c r="GR118" s="798">
        <f t="array" ref="GR118">IF(SUM((GQ118=$GQ$3:GQ117)*1)=0,GQ118,0)</f>
        <v>0</v>
      </c>
      <c r="GS118" s="863"/>
      <c r="GT118" s="863"/>
      <c r="GU118" s="798">
        <f t="array" ref="GU118">IF(SUM((GT118=$GT$3:GT117)*1)=0,GT118,0)</f>
        <v>0</v>
      </c>
      <c r="GV118" s="863"/>
      <c r="GW118" s="863"/>
      <c r="GX118" s="863"/>
      <c r="GY118" s="798">
        <f t="array" ref="GY118">IF(SUM((GX118=$GX$3:GX117)*1)=0,GX118,0)</f>
        <v>0</v>
      </c>
      <c r="GZ118" s="863"/>
      <c r="HA118" s="863"/>
      <c r="HB118" s="798">
        <f t="array" ref="HB118">IF(SUM((HA118=$HA$3:HA117)*1)=0,HA118,0)</f>
        <v>0</v>
      </c>
      <c r="HC118" s="863"/>
      <c r="HD118" s="863"/>
      <c r="HE118" s="769" t="str">
        <f t="shared" si="889"/>
        <v/>
      </c>
      <c r="HF118" s="768" t="str">
        <f t="shared" ref="HF118" si="1403">IF(HE118&lt;0,"Invadiu REP-BA-C","")</f>
        <v/>
      </c>
      <c r="HG118" s="769" t="str">
        <f t="shared" si="891"/>
        <v/>
      </c>
      <c r="HH118" s="768" t="str">
        <f t="shared" si="815"/>
        <v/>
      </c>
      <c r="HI118" s="728" t="str">
        <f t="shared" si="892"/>
        <v/>
      </c>
      <c r="HJ118" s="768" t="str">
        <f t="shared" si="816"/>
        <v/>
      </c>
      <c r="HK118" s="728" t="str">
        <f t="shared" si="893"/>
        <v/>
      </c>
      <c r="HL118" s="768" t="str">
        <f t="shared" si="817"/>
        <v/>
      </c>
      <c r="HM118" s="769" t="str">
        <f t="shared" si="1219"/>
        <v/>
      </c>
      <c r="HN118" s="768" t="str">
        <f t="shared" ref="HN118" si="1404">IF(HM118&lt;0,"Invadiu REP-BA-C","")</f>
        <v/>
      </c>
      <c r="HO118" s="769" t="str">
        <f t="shared" si="1221"/>
        <v/>
      </c>
      <c r="HP118" s="768" t="str">
        <f t="shared" si="821"/>
        <v/>
      </c>
      <c r="HQ118" s="728" t="str">
        <f t="shared" si="1222"/>
        <v/>
      </c>
      <c r="HR118" s="768" t="str">
        <f t="shared" si="823"/>
        <v/>
      </c>
      <c r="HS118" s="728" t="str">
        <f t="shared" si="1223"/>
        <v/>
      </c>
      <c r="HT118" s="768" t="str">
        <f t="shared" si="825"/>
        <v/>
      </c>
      <c r="HU118" s="769" t="str">
        <f t="shared" si="1224"/>
        <v/>
      </c>
      <c r="HV118" s="768" t="str">
        <f t="shared" ref="HV118" si="1405">IF(HU118&lt;0,"Invadiu REP-BA-C","")</f>
        <v/>
      </c>
      <c r="HW118" s="769" t="str">
        <f t="shared" si="1226"/>
        <v/>
      </c>
      <c r="HX118" s="768" t="str">
        <f t="shared" si="829"/>
        <v/>
      </c>
      <c r="HY118" s="728" t="str">
        <f t="shared" si="1227"/>
        <v/>
      </c>
      <c r="HZ118" s="768" t="str">
        <f t="shared" si="831"/>
        <v/>
      </c>
      <c r="IA118" s="728" t="str">
        <f t="shared" si="1228"/>
        <v/>
      </c>
      <c r="IB118" s="768" t="str">
        <f t="shared" si="833"/>
        <v/>
      </c>
      <c r="IC118" s="769" t="str">
        <f t="shared" si="1229"/>
        <v/>
      </c>
      <c r="ID118" s="768" t="str">
        <f t="shared" ref="ID118" si="1406">IF(IC118&lt;0,"Invadiu REP-BA-C","")</f>
        <v/>
      </c>
      <c r="IE118" s="769" t="str">
        <f t="shared" si="1231"/>
        <v/>
      </c>
      <c r="IF118" s="768" t="str">
        <f t="shared" si="837"/>
        <v/>
      </c>
      <c r="IG118" s="728" t="str">
        <f t="shared" si="1232"/>
        <v/>
      </c>
      <c r="IH118" s="768" t="str">
        <f t="shared" si="839"/>
        <v/>
      </c>
      <c r="II118" s="728" t="str">
        <f t="shared" si="1233"/>
        <v/>
      </c>
      <c r="IJ118" s="768" t="str">
        <f t="shared" si="841"/>
        <v/>
      </c>
      <c r="IK118" s="769" t="str">
        <f t="shared" si="1234"/>
        <v/>
      </c>
      <c r="IL118" s="768" t="str">
        <f t="shared" ref="IL118" si="1407">IF(IK118&lt;0,"Invadiu REP-BA-C","")</f>
        <v/>
      </c>
      <c r="IM118" s="769" t="str">
        <f t="shared" si="1236"/>
        <v/>
      </c>
      <c r="IN118" s="768" t="str">
        <f t="shared" si="845"/>
        <v/>
      </c>
      <c r="IO118" s="728" t="str">
        <f t="shared" si="1237"/>
        <v/>
      </c>
      <c r="IP118" s="768" t="str">
        <f t="shared" si="847"/>
        <v/>
      </c>
      <c r="IQ118" s="728" t="str">
        <f t="shared" si="1238"/>
        <v/>
      </c>
      <c r="IR118" s="768" t="str">
        <f t="shared" si="849"/>
        <v/>
      </c>
      <c r="IS118" s="769" t="str">
        <f t="shared" si="1239"/>
        <v/>
      </c>
      <c r="IT118" s="768" t="str">
        <f t="shared" ref="IT118" si="1408">IF(IS118&lt;0,"Invadiu REP-BA-C","")</f>
        <v/>
      </c>
      <c r="IU118" s="769" t="str">
        <f t="shared" si="1241"/>
        <v/>
      </c>
      <c r="IV118" s="768" t="str">
        <f t="shared" si="853"/>
        <v/>
      </c>
      <c r="IW118" s="728" t="str">
        <f t="shared" si="1242"/>
        <v/>
      </c>
      <c r="IX118" s="768" t="str">
        <f t="shared" si="855"/>
        <v/>
      </c>
      <c r="IY118" s="728" t="str">
        <f t="shared" si="1243"/>
        <v/>
      </c>
      <c r="IZ118" s="768" t="str">
        <f t="shared" si="857"/>
        <v/>
      </c>
      <c r="JA118" s="769" t="str">
        <f t="shared" si="1244"/>
        <v/>
      </c>
      <c r="JB118" s="768" t="str">
        <f t="shared" ref="JB118" si="1409">IF(JA118&lt;0,"Invadiu REP-BA-C","")</f>
        <v/>
      </c>
      <c r="JC118" s="769" t="str">
        <f t="shared" si="1246"/>
        <v/>
      </c>
      <c r="JD118" s="768" t="str">
        <f t="shared" si="861"/>
        <v/>
      </c>
      <c r="JE118" s="728" t="str">
        <f t="shared" si="1247"/>
        <v/>
      </c>
      <c r="JF118" s="768" t="str">
        <f t="shared" si="863"/>
        <v/>
      </c>
      <c r="JG118" s="728" t="str">
        <f t="shared" si="1248"/>
        <v/>
      </c>
      <c r="JH118" s="768" t="str">
        <f t="shared" si="865"/>
        <v/>
      </c>
      <c r="JI118" s="769" t="str">
        <f t="shared" si="1249"/>
        <v/>
      </c>
      <c r="JJ118" s="768" t="str">
        <f t="shared" ref="JJ118" si="1410">IF(JI118&lt;0,"Invadiu REP-BA-C","")</f>
        <v/>
      </c>
      <c r="JK118" s="769" t="str">
        <f t="shared" si="1251"/>
        <v/>
      </c>
      <c r="JL118" s="768" t="str">
        <f t="shared" si="869"/>
        <v/>
      </c>
      <c r="JM118" s="728" t="str">
        <f t="shared" si="1252"/>
        <v/>
      </c>
      <c r="JN118" s="768" t="str">
        <f t="shared" si="871"/>
        <v/>
      </c>
      <c r="JO118" s="728" t="str">
        <f t="shared" si="1253"/>
        <v/>
      </c>
      <c r="JP118" s="768" t="str">
        <f t="shared" si="873"/>
        <v/>
      </c>
      <c r="JQ118" s="769" t="str">
        <f t="shared" si="1254"/>
        <v/>
      </c>
      <c r="JR118" s="768" t="str">
        <f t="shared" ref="JR118" si="1411">IF(JQ118&lt;0,"Invadiu REP-BA-C","")</f>
        <v/>
      </c>
      <c r="JS118" s="769" t="str">
        <f t="shared" si="1256"/>
        <v/>
      </c>
      <c r="JT118" s="768" t="str">
        <f t="shared" si="877"/>
        <v/>
      </c>
      <c r="JU118" s="728" t="str">
        <f t="shared" si="1257"/>
        <v/>
      </c>
      <c r="JV118" s="768" t="str">
        <f t="shared" si="879"/>
        <v/>
      </c>
      <c r="JW118" s="728" t="str">
        <f t="shared" si="1258"/>
        <v/>
      </c>
      <c r="JX118" s="768" t="str">
        <f t="shared" si="881"/>
        <v/>
      </c>
      <c r="JY118" s="768" t="str">
        <f t="shared" si="882"/>
        <v/>
      </c>
      <c r="JZ118" s="485" t="str">
        <f>IF(JY118="","",IF(AND(C118=$C$164,JY118&lt;&gt;""),Verificarcpf(D118),IF(AND(C118=$C$165,JY118&lt;&gt;""),VerificarCNPJ(D118))))</f>
        <v/>
      </c>
      <c r="KA118" s="768" t="str">
        <f t="shared" si="883"/>
        <v/>
      </c>
      <c r="KB118" s="485">
        <f t="shared" si="884"/>
        <v>0</v>
      </c>
      <c r="KC118" s="768">
        <f t="shared" si="885"/>
        <v>0</v>
      </c>
      <c r="KD118" s="485">
        <f t="shared" si="886"/>
        <v>0</v>
      </c>
      <c r="KE118" s="448"/>
      <c r="KF118" s="548"/>
      <c r="KG118" s="548"/>
      <c r="KH118" s="548"/>
      <c r="KI118" s="548"/>
      <c r="KJ118" s="548" t="str">
        <f t="shared" si="887"/>
        <v/>
      </c>
      <c r="KK118" s="548"/>
      <c r="KL118" s="548"/>
      <c r="KM118" s="548">
        <f t="array" ref="KM118">IF(SUM((KL118=$KL$3:KL117)*1)=0,KL118,0)</f>
        <v>0</v>
      </c>
      <c r="KN118" s="548"/>
      <c r="KO118" s="548"/>
      <c r="KP118" s="548"/>
      <c r="KQ118" s="548"/>
      <c r="KR118" s="548" t="str">
        <f t="shared" si="888"/>
        <v/>
      </c>
      <c r="KS118" s="548"/>
      <c r="KT118" s="548"/>
      <c r="KU118" s="548"/>
      <c r="KV118" s="548"/>
      <c r="KW118" s="548"/>
      <c r="KX118" s="548"/>
      <c r="KY118" s="548"/>
      <c r="KZ118" s="548"/>
      <c r="LA118" s="548"/>
      <c r="LB118" s="548"/>
      <c r="LC118" s="485" t="str">
        <f t="shared" si="902"/>
        <v/>
      </c>
      <c r="LD118" s="548"/>
      <c r="LE118" s="548"/>
      <c r="LF118" s="548"/>
      <c r="LG118" s="548"/>
      <c r="LH118" s="548"/>
      <c r="LI118" s="548"/>
      <c r="LJ118" s="548"/>
      <c r="LK118" s="548"/>
      <c r="LL118" s="548"/>
      <c r="LM118" s="548"/>
      <c r="LN118" s="548"/>
      <c r="LO118" s="548"/>
      <c r="LP118" s="485" t="str">
        <f t="shared" si="903"/>
        <v/>
      </c>
      <c r="LQ118" s="548"/>
      <c r="LR118" s="548"/>
      <c r="LS118" s="548"/>
      <c r="LT118" s="548"/>
      <c r="LU118" s="548"/>
      <c r="LV118" s="548"/>
      <c r="LW118" s="548"/>
      <c r="LX118" s="548"/>
      <c r="LY118" s="548"/>
      <c r="LZ118" s="548"/>
      <c r="MA118" s="548"/>
      <c r="MB118" s="548"/>
      <c r="MC118" s="485" t="str">
        <f t="shared" si="904"/>
        <v/>
      </c>
      <c r="MD118" s="548"/>
      <c r="ME118" s="548"/>
      <c r="MF118" s="548"/>
      <c r="MG118" s="548"/>
      <c r="MH118" s="548"/>
      <c r="MI118" s="548"/>
      <c r="MJ118" s="548"/>
      <c r="MK118" s="548"/>
      <c r="ML118" s="548"/>
      <c r="MM118" s="548"/>
      <c r="MN118" s="548"/>
      <c r="MO118" s="548"/>
      <c r="MP118" s="485" t="str">
        <f t="shared" si="905"/>
        <v/>
      </c>
      <c r="MQ118" s="548"/>
      <c r="MR118" s="548"/>
      <c r="MS118" s="548"/>
      <c r="MT118" s="548"/>
      <c r="MU118" s="548"/>
      <c r="MV118" s="548"/>
      <c r="MW118" s="548"/>
      <c r="MX118" s="548"/>
      <c r="MY118" s="548"/>
      <c r="MZ118" s="548"/>
      <c r="NA118" s="548"/>
      <c r="NB118" s="548"/>
      <c r="NC118" s="485" t="str">
        <f t="shared" si="906"/>
        <v/>
      </c>
      <c r="ND118" s="548"/>
      <c r="NE118" s="548"/>
      <c r="NF118" s="548"/>
      <c r="NG118" s="548"/>
      <c r="NH118" s="548"/>
      <c r="NI118" s="548"/>
      <c r="NJ118" s="548"/>
      <c r="NK118" s="548"/>
      <c r="NL118" s="548"/>
      <c r="NM118" s="548"/>
      <c r="NN118" s="548"/>
      <c r="NO118" s="548"/>
      <c r="NP118" s="485" t="str">
        <f t="shared" si="907"/>
        <v/>
      </c>
      <c r="NQ118" s="548"/>
      <c r="NR118" s="548"/>
      <c r="NS118" s="548"/>
      <c r="NT118" s="548"/>
      <c r="NU118" s="548"/>
      <c r="NV118" s="548"/>
      <c r="NW118" s="548"/>
      <c r="NX118" s="548"/>
      <c r="NY118" s="548"/>
      <c r="NZ118" s="548"/>
      <c r="OA118" s="548"/>
      <c r="OB118" s="548"/>
      <c r="OC118" s="485" t="str">
        <f t="shared" si="908"/>
        <v/>
      </c>
      <c r="OD118" s="548"/>
      <c r="OE118" s="548"/>
      <c r="OF118" s="548"/>
      <c r="OG118" s="548"/>
      <c r="OH118" s="548"/>
      <c r="OI118" s="548"/>
      <c r="OJ118" s="548"/>
      <c r="OK118" s="548"/>
      <c r="OL118" s="548"/>
      <c r="OM118" s="548"/>
      <c r="ON118" s="548"/>
      <c r="OO118" s="548"/>
      <c r="OP118" s="548"/>
      <c r="OQ118" s="548"/>
      <c r="OR118" s="548"/>
      <c r="OS118" s="548"/>
      <c r="OT118" s="548"/>
      <c r="OU118" s="548"/>
      <c r="OV118" s="548"/>
      <c r="OW118" s="548"/>
      <c r="OX118" s="548"/>
      <c r="OY118" s="548"/>
      <c r="OZ118" s="548"/>
      <c r="PA118" s="548"/>
      <c r="PB118" s="548"/>
      <c r="PC118" s="548"/>
      <c r="PD118" s="548"/>
      <c r="PE118" s="548"/>
      <c r="PF118" s="548"/>
      <c r="PG118" s="548"/>
      <c r="PH118" s="548"/>
      <c r="PI118" s="548"/>
      <c r="PJ118" s="548"/>
      <c r="PK118" s="548"/>
      <c r="PL118" s="548"/>
      <c r="PM118" s="548"/>
      <c r="PN118" s="548"/>
      <c r="PO118" s="548"/>
      <c r="PP118" s="548"/>
      <c r="PQ118" s="548"/>
      <c r="PR118" s="548"/>
      <c r="PS118" s="548"/>
      <c r="PT118" s="548"/>
      <c r="PU118" s="548"/>
      <c r="PV118" s="548"/>
      <c r="PW118" s="548"/>
      <c r="PX118" s="548"/>
      <c r="PY118" s="548"/>
      <c r="PZ118" s="548"/>
      <c r="QA118" s="548"/>
      <c r="QB118" s="548"/>
      <c r="QC118" s="548"/>
      <c r="QD118" s="548"/>
      <c r="QE118" s="548"/>
      <c r="QF118" s="548"/>
      <c r="QG118" s="548"/>
      <c r="QH118" s="548"/>
      <c r="QI118" s="548"/>
      <c r="QJ118" s="548"/>
      <c r="QK118" s="548"/>
      <c r="QL118" s="548"/>
      <c r="QM118" s="548"/>
      <c r="QN118" s="548"/>
      <c r="QO118" s="548"/>
      <c r="QP118" s="548"/>
      <c r="QQ118" s="1009"/>
      <c r="QR118" s="548"/>
      <c r="QS118" s="548"/>
      <c r="QT118" s="548"/>
      <c r="QU118" s="548"/>
      <c r="QV118" s="548"/>
      <c r="QW118" s="548"/>
      <c r="QX118" s="548"/>
      <c r="QY118" s="548"/>
      <c r="QZ118" s="548"/>
      <c r="RA118" s="548"/>
      <c r="RB118" s="548"/>
      <c r="RC118" s="548"/>
      <c r="RD118" s="548"/>
      <c r="RE118" s="548"/>
      <c r="RF118" s="548"/>
      <c r="RG118" s="548"/>
      <c r="RH118" s="548"/>
      <c r="RI118" s="548"/>
      <c r="RJ118" s="548"/>
      <c r="RK118" s="548"/>
      <c r="RL118" s="548"/>
      <c r="RM118" s="548"/>
      <c r="RN118" s="548"/>
      <c r="RO118" s="548"/>
      <c r="RP118" s="548"/>
      <c r="RQ118" s="548"/>
      <c r="RR118" s="548"/>
      <c r="RS118" s="548"/>
      <c r="RT118" s="548"/>
      <c r="RU118" s="548"/>
      <c r="RV118" s="548"/>
      <c r="RW118" s="548"/>
      <c r="RX118" s="548"/>
      <c r="RY118" s="548"/>
      <c r="RZ118" s="548"/>
      <c r="SA118" s="548"/>
      <c r="SB118" s="548"/>
      <c r="SC118" s="548"/>
      <c r="SD118" s="548"/>
      <c r="SE118" s="548"/>
      <c r="SF118" s="548"/>
      <c r="SG118" s="548"/>
      <c r="SH118" s="548"/>
      <c r="SI118" s="548"/>
      <c r="SJ118" s="548"/>
      <c r="SK118" s="548"/>
      <c r="SL118" s="548"/>
      <c r="SM118" s="548"/>
      <c r="SN118" s="548"/>
      <c r="SO118" s="548"/>
      <c r="SP118" s="548"/>
      <c r="SQ118" s="548"/>
      <c r="SR118" s="548"/>
      <c r="SS118" s="548"/>
      <c r="ST118" s="548"/>
      <c r="SU118" s="548"/>
      <c r="SV118" s="548"/>
      <c r="SW118" s="548"/>
      <c r="SX118" s="548"/>
      <c r="SY118" s="548"/>
      <c r="SZ118" s="548"/>
      <c r="TA118" s="548"/>
      <c r="TB118" s="548"/>
      <c r="TC118" s="548"/>
      <c r="TD118" s="548"/>
      <c r="TE118" s="548"/>
      <c r="TF118" s="548"/>
      <c r="TG118" s="548"/>
      <c r="TH118" s="548"/>
      <c r="TI118" s="548"/>
      <c r="TJ118" s="548"/>
      <c r="TK118" s="548"/>
      <c r="TL118" s="548"/>
      <c r="TM118" s="548"/>
      <c r="TN118" s="548"/>
      <c r="TO118" s="548"/>
      <c r="TP118" s="548"/>
      <c r="TQ118" s="548"/>
      <c r="TR118" s="548"/>
      <c r="TS118" s="548"/>
      <c r="TT118" s="548"/>
      <c r="TU118" s="548"/>
      <c r="TV118" s="548"/>
      <c r="TW118" s="548"/>
      <c r="TX118" s="548"/>
      <c r="TY118" s="548"/>
      <c r="TZ118" s="548"/>
      <c r="UA118" s="548"/>
      <c r="UB118" s="548"/>
      <c r="UC118" s="548"/>
      <c r="UD118" s="548"/>
      <c r="UE118" s="548"/>
      <c r="UF118" s="548"/>
      <c r="UG118" s="548"/>
      <c r="UH118" s="548"/>
      <c r="UI118" s="548"/>
      <c r="UJ118" s="548"/>
      <c r="UK118" s="548"/>
      <c r="UL118" s="548"/>
      <c r="UM118" s="548"/>
      <c r="UN118" s="548"/>
      <c r="UO118" s="548"/>
      <c r="UP118" s="548"/>
      <c r="UQ118" s="548"/>
      <c r="UR118" s="548"/>
      <c r="US118" s="548"/>
      <c r="UT118" s="548"/>
      <c r="UU118" s="548"/>
      <c r="UV118" s="548"/>
      <c r="UW118" s="548"/>
      <c r="UX118" s="548"/>
      <c r="UY118" s="548"/>
      <c r="UZ118" s="548"/>
      <c r="VA118" s="548"/>
      <c r="VB118" s="548"/>
      <c r="VC118" s="548"/>
      <c r="VD118" s="548"/>
      <c r="VE118" s="548"/>
      <c r="VF118" s="548"/>
      <c r="VG118" s="548"/>
      <c r="VH118" s="548"/>
      <c r="VI118" s="548"/>
      <c r="VJ118" s="548"/>
      <c r="VK118" s="548"/>
      <c r="VL118" s="548"/>
      <c r="VM118" s="548"/>
      <c r="VN118" s="548"/>
      <c r="VO118" s="548"/>
      <c r="VP118" s="548"/>
      <c r="VQ118" s="548"/>
      <c r="VR118" s="548"/>
      <c r="VS118" s="548"/>
      <c r="VT118" s="548"/>
      <c r="VU118" s="548"/>
      <c r="VV118" s="548"/>
      <c r="VW118" s="548"/>
      <c r="VX118" s="548"/>
      <c r="VY118" s="548"/>
      <c r="VZ118" s="548"/>
      <c r="WA118" s="548"/>
      <c r="WB118" s="548"/>
      <c r="WC118" s="548"/>
      <c r="WD118" s="548"/>
      <c r="WE118" s="548"/>
      <c r="WF118" s="548"/>
      <c r="WG118" s="548"/>
      <c r="WH118" s="548"/>
      <c r="WI118" s="548"/>
      <c r="WJ118" s="548"/>
      <c r="WK118" s="548"/>
      <c r="WL118" s="548"/>
      <c r="WM118" s="548"/>
      <c r="WN118" s="548"/>
      <c r="WO118" s="548"/>
      <c r="WP118" s="548"/>
      <c r="WQ118" s="548"/>
      <c r="WR118" s="548"/>
      <c r="WS118" s="548"/>
      <c r="WT118" s="548"/>
      <c r="WU118" s="548"/>
      <c r="WV118" s="548"/>
      <c r="WW118" s="548"/>
      <c r="WX118" s="548"/>
      <c r="WY118" s="548"/>
      <c r="WZ118" s="548"/>
      <c r="XA118" s="548"/>
      <c r="XB118" s="548"/>
      <c r="XC118" s="548"/>
      <c r="XD118" s="548"/>
      <c r="XE118" s="548"/>
      <c r="XF118" s="548"/>
      <c r="XG118" s="548"/>
      <c r="XH118" s="548"/>
      <c r="XI118" s="548"/>
      <c r="XJ118" s="548"/>
      <c r="XK118" s="548"/>
      <c r="XL118" s="548"/>
      <c r="XM118" s="548"/>
      <c r="XN118" s="548"/>
      <c r="XO118" s="548"/>
      <c r="XP118" s="548"/>
      <c r="XQ118" s="548"/>
      <c r="XR118" s="548"/>
      <c r="XS118" s="548"/>
      <c r="XT118" s="548"/>
      <c r="XU118" s="548"/>
      <c r="XV118" s="548"/>
      <c r="XW118" s="548"/>
      <c r="XX118" s="548"/>
      <c r="XY118" s="548"/>
      <c r="XZ118" s="548"/>
      <c r="YA118" s="548"/>
      <c r="YB118" s="548"/>
      <c r="YC118" s="548"/>
      <c r="YD118" s="548"/>
      <c r="YE118" s="548"/>
      <c r="YF118" s="548"/>
      <c r="YG118" s="548"/>
      <c r="YH118" s="548"/>
      <c r="YI118" s="548"/>
      <c r="YJ118" s="548"/>
      <c r="YK118" s="548"/>
      <c r="YL118" s="548"/>
      <c r="YM118" s="548"/>
      <c r="YN118" s="548"/>
      <c r="YO118" s="548"/>
      <c r="YP118" s="548"/>
      <c r="YQ118" s="548"/>
      <c r="YR118" s="548"/>
      <c r="YS118" s="548"/>
      <c r="YT118" s="548"/>
      <c r="YU118" s="548"/>
      <c r="YV118" s="548"/>
      <c r="YW118" s="548"/>
      <c r="YX118" s="548"/>
      <c r="YY118" s="548"/>
      <c r="YZ118" s="548"/>
      <c r="ZA118" s="548"/>
      <c r="ZB118" s="548"/>
      <c r="ZC118" s="548"/>
      <c r="ZD118" s="548"/>
      <c r="ZE118" s="548"/>
      <c r="ZF118" s="548"/>
      <c r="ZG118" s="548"/>
      <c r="ZH118" s="548"/>
      <c r="ZI118" s="548"/>
      <c r="ZJ118" s="548"/>
      <c r="ZK118" s="548"/>
      <c r="ZL118" s="548"/>
      <c r="ZM118" s="548"/>
      <c r="ZN118" s="548"/>
      <c r="ZO118" s="548"/>
      <c r="ZP118" s="548"/>
      <c r="ZQ118" s="548"/>
      <c r="ZR118" s="548"/>
      <c r="ZS118" s="548"/>
      <c r="ZT118" s="548"/>
      <c r="ZU118" s="548"/>
      <c r="ZV118" s="548"/>
      <c r="ZW118" s="548"/>
      <c r="ZX118" s="548"/>
      <c r="ZY118" s="548"/>
      <c r="ZZ118" s="548"/>
      <c r="AAA118" s="548"/>
      <c r="AAB118" s="548"/>
      <c r="AAC118" s="548"/>
      <c r="AAD118" s="548"/>
      <c r="AAE118" s="548"/>
      <c r="AAF118" s="548"/>
      <c r="AAG118" s="548"/>
      <c r="AAH118" s="548"/>
      <c r="AAI118" s="548"/>
      <c r="AAJ118" s="548"/>
      <c r="AAK118" s="548"/>
      <c r="AAL118" s="548"/>
      <c r="AAM118" s="548"/>
      <c r="AAN118" s="548"/>
      <c r="AAO118" s="548"/>
      <c r="AAP118" s="548"/>
      <c r="AAQ118" s="548"/>
      <c r="AAR118" s="548"/>
      <c r="AAS118" s="548"/>
      <c r="AAT118" s="548"/>
      <c r="AAU118" s="548"/>
      <c r="AAV118" s="548"/>
      <c r="AAW118" s="548"/>
      <c r="AAX118" s="548"/>
      <c r="AAY118" s="548"/>
      <c r="AAZ118" s="548"/>
      <c r="ABA118" s="548"/>
      <c r="ABB118" s="548"/>
      <c r="ABC118" s="548"/>
      <c r="ABD118" s="548"/>
      <c r="ABE118" s="548"/>
      <c r="ABF118" s="548"/>
      <c r="ABG118" s="548"/>
      <c r="ABH118" s="548"/>
      <c r="ABI118" s="548"/>
      <c r="ABJ118" s="548"/>
      <c r="ABK118" s="548"/>
      <c r="ABL118" s="548"/>
      <c r="ABM118" s="548"/>
      <c r="ABN118" s="548"/>
      <c r="ABO118" s="548"/>
      <c r="ABP118" s="548"/>
      <c r="ABQ118" s="548"/>
      <c r="ABR118" s="548"/>
      <c r="ABS118" s="548"/>
    </row>
    <row r="119" spans="1:747" customFormat="1" ht="15" customHeight="1" x14ac:dyDescent="0.2">
      <c r="A119" s="424" t="str">
        <f t="shared" si="909"/>
        <v/>
      </c>
      <c r="B119" s="415"/>
      <c r="C119" s="525"/>
      <c r="D119" s="750"/>
      <c r="E119" s="416" t="str">
        <f t="shared" si="1171"/>
        <v/>
      </c>
      <c r="F119" s="527" t="str">
        <f t="shared" si="1172"/>
        <v/>
      </c>
      <c r="G119" s="417"/>
      <c r="H119" s="585" t="str">
        <f t="shared" si="1173"/>
        <v/>
      </c>
      <c r="I119" s="424"/>
      <c r="J119" s="419"/>
      <c r="K119" s="418"/>
      <c r="L119" s="419"/>
      <c r="M119" s="415"/>
      <c r="N119" s="420"/>
      <c r="O119" s="421"/>
      <c r="P119" s="561"/>
      <c r="Q119" s="422"/>
      <c r="R119" s="561" t="str">
        <f t="shared" si="1174"/>
        <v/>
      </c>
      <c r="S119" s="664"/>
      <c r="T119" s="663"/>
      <c r="U119" s="580">
        <f t="shared" si="1175"/>
        <v>0</v>
      </c>
      <c r="V119" s="418"/>
      <c r="W119" s="582" t="str">
        <f t="shared" si="1176"/>
        <v/>
      </c>
      <c r="X119" s="479" t="str">
        <f t="shared" si="1177"/>
        <v/>
      </c>
      <c r="Y119" s="582" t="str">
        <f t="shared" si="1178"/>
        <v/>
      </c>
      <c r="Z119" s="317" t="str">
        <f t="shared" si="1179"/>
        <v/>
      </c>
      <c r="AA119" s="317" t="str">
        <f t="shared" si="1180"/>
        <v/>
      </c>
      <c r="AB119" s="317">
        <f t="shared" si="1181"/>
        <v>0</v>
      </c>
      <c r="AC119" s="317" t="str">
        <f t="shared" si="1182"/>
        <v/>
      </c>
      <c r="AD119" s="479"/>
      <c r="AE119" s="479"/>
      <c r="AF119" s="479"/>
      <c r="AG119" s="423"/>
      <c r="AH119" s="820"/>
      <c r="AI119" s="437"/>
      <c r="AJ119" s="660"/>
      <c r="AK119" s="524" t="str">
        <f t="shared" si="1183"/>
        <v/>
      </c>
      <c r="AL119" s="729">
        <f>SUMIF($J$4:$J$18,"Mais Escola",$S$4:$S$18)</f>
        <v>0</v>
      </c>
      <c r="AM119" s="730">
        <f>SUMIF($J$4:$J$18,"Mais Escola",$T$4:$T$18)</f>
        <v>0</v>
      </c>
      <c r="AN119" s="426">
        <f t="shared" si="1184"/>
        <v>0</v>
      </c>
      <c r="AO119" s="427" t="str">
        <f t="shared" si="1185"/>
        <v/>
      </c>
      <c r="AP119" s="426" t="str">
        <f t="shared" si="1186"/>
        <v/>
      </c>
      <c r="AQ119" s="426"/>
      <c r="AR119" s="426"/>
      <c r="AS119" s="428"/>
      <c r="AT119" s="429"/>
      <c r="AU119" s="430"/>
      <c r="AV119" s="431"/>
      <c r="AW119" s="432"/>
      <c r="AX119" s="430"/>
      <c r="AY119" s="431">
        <f t="shared" si="1187"/>
        <v>0</v>
      </c>
      <c r="AZ119" s="426"/>
      <c r="BA119" s="435" t="str">
        <f t="shared" si="1188"/>
        <v/>
      </c>
      <c r="BB119" s="435"/>
      <c r="BC119" s="426"/>
      <c r="BD119" s="426">
        <f t="array" ref="BD119">IF(SUM((BC119=$BC$3:BC118)*1)=0,BC119,0)</f>
        <v>0</v>
      </c>
      <c r="BE119" s="426"/>
      <c r="BF119" s="426"/>
      <c r="BG119" s="426">
        <f t="array" ref="BG119">IF(SUM((BF119=$BF$3:BF118)*1)=0,BF119,0)</f>
        <v>0</v>
      </c>
      <c r="BH119" s="426"/>
      <c r="BI119" s="426"/>
      <c r="BJ119" s="426"/>
      <c r="BK119" s="426"/>
      <c r="BL119" s="426"/>
      <c r="BM119" s="426"/>
      <c r="BN119" s="426"/>
      <c r="BO119" s="426"/>
      <c r="BP119" s="433">
        <f t="shared" si="1189"/>
        <v>0</v>
      </c>
      <c r="BQ119" s="426"/>
      <c r="BR119" s="434"/>
      <c r="BS119" s="426"/>
      <c r="BT119" s="433"/>
      <c r="BU119" s="435"/>
      <c r="BV119" s="435" t="str">
        <f t="shared" si="1190"/>
        <v/>
      </c>
      <c r="BW119" s="435" t="str">
        <f t="shared" si="798"/>
        <v/>
      </c>
      <c r="BX119" s="435"/>
      <c r="BY119" s="435"/>
      <c r="BZ119" s="435"/>
      <c r="CA119" s="435"/>
      <c r="CB119" s="435"/>
      <c r="CC119" s="435"/>
      <c r="CD119" s="435"/>
      <c r="CE119" s="435"/>
      <c r="CF119" s="435"/>
      <c r="CG119" s="435"/>
      <c r="CH119" s="435"/>
      <c r="CI119" s="435"/>
      <c r="CJ119" s="426" t="str">
        <f t="shared" si="799"/>
        <v/>
      </c>
      <c r="CK119" s="435"/>
      <c r="CL119" s="426"/>
      <c r="CM119" s="435"/>
      <c r="CN119" s="426"/>
      <c r="CO119" s="426"/>
      <c r="CP119" s="426"/>
      <c r="CQ119" s="426"/>
      <c r="CR119" s="426"/>
      <c r="CS119" s="426"/>
      <c r="CT119" s="426"/>
      <c r="CU119" s="426"/>
      <c r="CV119" s="426"/>
      <c r="CW119" s="493"/>
      <c r="CX119" s="493"/>
      <c r="CY119" s="426">
        <v>116</v>
      </c>
      <c r="CZ119" s="493"/>
      <c r="DA119" s="493"/>
      <c r="DB119" s="493"/>
      <c r="DC119" s="426" t="s">
        <v>859</v>
      </c>
      <c r="DD119" s="426" t="s">
        <v>1019</v>
      </c>
      <c r="DE119" s="435" t="str">
        <f t="shared" si="800"/>
        <v/>
      </c>
      <c r="DF119" s="435" t="str">
        <f t="shared" si="801"/>
        <v/>
      </c>
      <c r="DG119" s="435" t="str">
        <f t="shared" si="802"/>
        <v/>
      </c>
      <c r="DH119" s="435" t="str">
        <f t="shared" si="803"/>
        <v/>
      </c>
      <c r="DI119" s="435" t="str">
        <f t="shared" si="804"/>
        <v/>
      </c>
      <c r="DJ119" s="435" t="str">
        <f t="shared" si="805"/>
        <v/>
      </c>
      <c r="DK119" s="435" t="str">
        <f t="shared" si="1191"/>
        <v/>
      </c>
      <c r="DL119" s="435" t="str">
        <f t="shared" si="1192"/>
        <v/>
      </c>
      <c r="DM119" s="435" t="str">
        <f t="shared" si="806"/>
        <v/>
      </c>
      <c r="DN119" s="435" t="str">
        <f t="shared" si="807"/>
        <v/>
      </c>
      <c r="DO119" s="435" t="str">
        <f t="shared" si="1193"/>
        <v/>
      </c>
      <c r="DP119" s="435" t="str">
        <f t="shared" si="1194"/>
        <v/>
      </c>
      <c r="DQ119" s="435" t="str">
        <f t="shared" si="808"/>
        <v/>
      </c>
      <c r="DR119" s="435" t="str">
        <f t="shared" si="809"/>
        <v/>
      </c>
      <c r="DS119" s="435" t="str">
        <f t="shared" si="1195"/>
        <v/>
      </c>
      <c r="DT119" s="435" t="str">
        <f t="shared" si="1196"/>
        <v/>
      </c>
      <c r="DU119" s="435" t="str">
        <f t="shared" si="810"/>
        <v/>
      </c>
      <c r="DV119" s="435" t="str">
        <f t="shared" si="811"/>
        <v/>
      </c>
      <c r="DW119" s="435" t="str">
        <f t="shared" si="1197"/>
        <v/>
      </c>
      <c r="DX119" s="435" t="str">
        <f t="shared" si="1198"/>
        <v/>
      </c>
      <c r="DY119" s="435" t="str">
        <f t="shared" si="812"/>
        <v/>
      </c>
      <c r="DZ119" s="435" t="str">
        <f t="shared" si="813"/>
        <v/>
      </c>
      <c r="EA119" s="435" t="str">
        <f t="shared" si="1199"/>
        <v/>
      </c>
      <c r="EB119" s="435" t="str">
        <f t="shared" si="1200"/>
        <v/>
      </c>
      <c r="EC119" s="435" t="str">
        <f t="shared" si="1201"/>
        <v/>
      </c>
      <c r="ED119" s="435" t="str">
        <f t="shared" si="1202"/>
        <v/>
      </c>
      <c r="EE119" s="435" t="str">
        <f t="shared" si="1203"/>
        <v/>
      </c>
      <c r="EF119" s="435" t="str">
        <f t="shared" si="1204"/>
        <v/>
      </c>
      <c r="EG119" s="435" t="str">
        <f t="shared" si="1205"/>
        <v/>
      </c>
      <c r="EH119" s="435" t="str">
        <f t="shared" si="1206"/>
        <v/>
      </c>
      <c r="EI119" s="435" t="str">
        <f t="shared" si="1207"/>
        <v/>
      </c>
      <c r="EJ119" s="435" t="str">
        <f t="shared" si="1208"/>
        <v/>
      </c>
      <c r="EK119" s="485"/>
      <c r="EL119" s="485"/>
      <c r="EM119" s="485"/>
      <c r="EN119" s="485"/>
      <c r="EO119" s="448"/>
      <c r="EP119" s="448"/>
      <c r="EQ119" s="448"/>
      <c r="ER119" s="448"/>
      <c r="ES119" s="448"/>
      <c r="ET119" s="435"/>
      <c r="EU119" s="435"/>
      <c r="EV119" s="435"/>
      <c r="EW119" s="435"/>
      <c r="EX119" s="426"/>
      <c r="EY119" s="426"/>
      <c r="EZ119" s="426"/>
      <c r="FA119" s="863"/>
      <c r="FB119" s="427">
        <f t="array" ref="FB119">IF(SUM((FA119=$FA$3:FA118)*1)=0,FA119,0)</f>
        <v>0</v>
      </c>
      <c r="FC119" s="863"/>
      <c r="FD119" s="863"/>
      <c r="FE119" s="863">
        <f t="array" ref="FE119">IF(SUM((FD119=$FD$3:FD118)*1)=0,FD119,0)</f>
        <v>0</v>
      </c>
      <c r="FF119" s="863"/>
      <c r="FG119" s="863"/>
      <c r="FH119" s="863"/>
      <c r="FI119" s="427">
        <f t="array" ref="FI119">IF(SUM((FH119=$FH$3:FH118)*1)=0,FH119,0)</f>
        <v>0</v>
      </c>
      <c r="FJ119" s="863"/>
      <c r="FK119" s="863"/>
      <c r="FL119" s="863">
        <f t="array" ref="FL119">IF(SUM((FK119=$FK$3:FK118)*1)=0,FK119,0)</f>
        <v>0</v>
      </c>
      <c r="FM119" s="863"/>
      <c r="FN119" s="863"/>
      <c r="FO119" s="863"/>
      <c r="FP119" s="427">
        <f t="array" ref="FP119">IF(SUM((FO119=$FO$3:FO118)*1)=0,FO119,0)</f>
        <v>0</v>
      </c>
      <c r="FQ119" s="863"/>
      <c r="FR119" s="863"/>
      <c r="FS119" s="863">
        <f t="array" ref="FS119">IF(SUM((FR119=$FR$3:FR118)*1)=0,FR119,0)</f>
        <v>0</v>
      </c>
      <c r="FT119" s="863"/>
      <c r="FU119" s="863"/>
      <c r="FV119" s="863"/>
      <c r="FW119" s="427">
        <f t="array" ref="FW119">IF(SUM((FV119=$FV$3:FV118)*1)=0,FV119,0)</f>
        <v>0</v>
      </c>
      <c r="FX119" s="863"/>
      <c r="FY119" s="863"/>
      <c r="FZ119" s="863">
        <f t="array" ref="FZ119">IF(SUM((FY119=$FY$3:FY118)*1)=0,FY119,0)</f>
        <v>0</v>
      </c>
      <c r="GA119" s="863"/>
      <c r="GB119" s="863"/>
      <c r="GC119" s="863"/>
      <c r="GD119" s="427">
        <f t="array" ref="GD119">IF(SUM((GC119=$GC$3:GC118)*1)=0,GC119,0)</f>
        <v>0</v>
      </c>
      <c r="GE119" s="863"/>
      <c r="GF119" s="863"/>
      <c r="GG119" s="863">
        <f t="array" ref="GG119">IF(SUM((GF119=$GF$3:GF118)*1)=0,GF119,0)</f>
        <v>0</v>
      </c>
      <c r="GH119" s="863"/>
      <c r="GI119" s="863"/>
      <c r="GJ119" s="863"/>
      <c r="GK119" s="798">
        <f t="array" ref="GK119">IF(SUM((GJ119=$GJ$3:GJ118)*1)=0,GJ119,0)</f>
        <v>0</v>
      </c>
      <c r="GL119" s="863"/>
      <c r="GM119" s="863"/>
      <c r="GN119" s="798">
        <f t="array" ref="GN119">IF(SUM((GM119=$GM$3:GM118)*1)=0,GM119,0)</f>
        <v>0</v>
      </c>
      <c r="GO119" s="863"/>
      <c r="GP119" s="863"/>
      <c r="GQ119" s="863"/>
      <c r="GR119" s="798">
        <f t="array" ref="GR119">IF(SUM((GQ119=$GQ$3:GQ118)*1)=0,GQ119,0)</f>
        <v>0</v>
      </c>
      <c r="GS119" s="863"/>
      <c r="GT119" s="863"/>
      <c r="GU119" s="798">
        <f t="array" ref="GU119">IF(SUM((GT119=$GT$3:GT118)*1)=0,GT119,0)</f>
        <v>0</v>
      </c>
      <c r="GV119" s="863"/>
      <c r="GW119" s="863"/>
      <c r="GX119" s="863"/>
      <c r="GY119" s="798">
        <f t="array" ref="GY119">IF(SUM((GX119=$GX$3:GX118)*1)=0,GX119,0)</f>
        <v>0</v>
      </c>
      <c r="GZ119" s="863"/>
      <c r="HA119" s="863"/>
      <c r="HB119" s="798">
        <f t="array" ref="HB119">IF(SUM((HA119=$HA$3:HA118)*1)=0,HA119,0)</f>
        <v>0</v>
      </c>
      <c r="HC119" s="863"/>
      <c r="HD119" s="863"/>
      <c r="HE119" s="769" t="str">
        <f t="shared" si="889"/>
        <v/>
      </c>
      <c r="HF119" s="768" t="str">
        <f t="shared" ref="HF119" si="1412">IF(HE119&lt;0,"Invadiu REP-BA-C","")</f>
        <v/>
      </c>
      <c r="HG119" s="769" t="str">
        <f t="shared" si="891"/>
        <v/>
      </c>
      <c r="HH119" s="768" t="str">
        <f t="shared" si="815"/>
        <v/>
      </c>
      <c r="HI119" s="728" t="str">
        <f t="shared" si="892"/>
        <v/>
      </c>
      <c r="HJ119" s="768" t="str">
        <f t="shared" si="816"/>
        <v/>
      </c>
      <c r="HK119" s="728" t="str">
        <f t="shared" si="893"/>
        <v/>
      </c>
      <c r="HL119" s="768" t="str">
        <f t="shared" si="817"/>
        <v/>
      </c>
      <c r="HM119" s="769" t="str">
        <f t="shared" si="1219"/>
        <v/>
      </c>
      <c r="HN119" s="768" t="str">
        <f t="shared" ref="HN119" si="1413">IF(HM119&lt;0,"Invadiu REP-BA-C","")</f>
        <v/>
      </c>
      <c r="HO119" s="769" t="str">
        <f t="shared" si="1221"/>
        <v/>
      </c>
      <c r="HP119" s="768" t="str">
        <f t="shared" si="821"/>
        <v/>
      </c>
      <c r="HQ119" s="728" t="str">
        <f t="shared" si="1222"/>
        <v/>
      </c>
      <c r="HR119" s="768" t="str">
        <f t="shared" si="823"/>
        <v/>
      </c>
      <c r="HS119" s="728" t="str">
        <f t="shared" si="1223"/>
        <v/>
      </c>
      <c r="HT119" s="768" t="str">
        <f t="shared" si="825"/>
        <v/>
      </c>
      <c r="HU119" s="769" t="str">
        <f t="shared" si="1224"/>
        <v/>
      </c>
      <c r="HV119" s="768" t="str">
        <f t="shared" ref="HV119" si="1414">IF(HU119&lt;0,"Invadiu REP-BA-C","")</f>
        <v/>
      </c>
      <c r="HW119" s="769" t="str">
        <f t="shared" si="1226"/>
        <v/>
      </c>
      <c r="HX119" s="768" t="str">
        <f t="shared" si="829"/>
        <v/>
      </c>
      <c r="HY119" s="728" t="str">
        <f t="shared" si="1227"/>
        <v/>
      </c>
      <c r="HZ119" s="768" t="str">
        <f t="shared" si="831"/>
        <v/>
      </c>
      <c r="IA119" s="728" t="str">
        <f t="shared" si="1228"/>
        <v/>
      </c>
      <c r="IB119" s="768" t="str">
        <f t="shared" si="833"/>
        <v/>
      </c>
      <c r="IC119" s="769" t="str">
        <f t="shared" si="1229"/>
        <v/>
      </c>
      <c r="ID119" s="768" t="str">
        <f t="shared" ref="ID119" si="1415">IF(IC119&lt;0,"Invadiu REP-BA-C","")</f>
        <v/>
      </c>
      <c r="IE119" s="769" t="str">
        <f t="shared" si="1231"/>
        <v/>
      </c>
      <c r="IF119" s="768" t="str">
        <f t="shared" si="837"/>
        <v/>
      </c>
      <c r="IG119" s="728" t="str">
        <f t="shared" si="1232"/>
        <v/>
      </c>
      <c r="IH119" s="768" t="str">
        <f t="shared" si="839"/>
        <v/>
      </c>
      <c r="II119" s="728" t="str">
        <f t="shared" si="1233"/>
        <v/>
      </c>
      <c r="IJ119" s="768" t="str">
        <f t="shared" si="841"/>
        <v/>
      </c>
      <c r="IK119" s="769" t="str">
        <f t="shared" si="1234"/>
        <v/>
      </c>
      <c r="IL119" s="768" t="str">
        <f t="shared" ref="IL119" si="1416">IF(IK119&lt;0,"Invadiu REP-BA-C","")</f>
        <v/>
      </c>
      <c r="IM119" s="769" t="str">
        <f t="shared" si="1236"/>
        <v/>
      </c>
      <c r="IN119" s="768" t="str">
        <f t="shared" si="845"/>
        <v/>
      </c>
      <c r="IO119" s="728" t="str">
        <f t="shared" si="1237"/>
        <v/>
      </c>
      <c r="IP119" s="768" t="str">
        <f t="shared" si="847"/>
        <v/>
      </c>
      <c r="IQ119" s="728" t="str">
        <f t="shared" si="1238"/>
        <v/>
      </c>
      <c r="IR119" s="768" t="str">
        <f t="shared" si="849"/>
        <v/>
      </c>
      <c r="IS119" s="769" t="str">
        <f t="shared" si="1239"/>
        <v/>
      </c>
      <c r="IT119" s="768" t="str">
        <f t="shared" ref="IT119" si="1417">IF(IS119&lt;0,"Invadiu REP-BA-C","")</f>
        <v/>
      </c>
      <c r="IU119" s="769" t="str">
        <f t="shared" si="1241"/>
        <v/>
      </c>
      <c r="IV119" s="768" t="str">
        <f t="shared" si="853"/>
        <v/>
      </c>
      <c r="IW119" s="728" t="str">
        <f t="shared" si="1242"/>
        <v/>
      </c>
      <c r="IX119" s="768" t="str">
        <f t="shared" si="855"/>
        <v/>
      </c>
      <c r="IY119" s="728" t="str">
        <f t="shared" si="1243"/>
        <v/>
      </c>
      <c r="IZ119" s="768" t="str">
        <f t="shared" si="857"/>
        <v/>
      </c>
      <c r="JA119" s="769" t="str">
        <f t="shared" si="1244"/>
        <v/>
      </c>
      <c r="JB119" s="768" t="str">
        <f t="shared" ref="JB119" si="1418">IF(JA119&lt;0,"Invadiu REP-BA-C","")</f>
        <v/>
      </c>
      <c r="JC119" s="769" t="str">
        <f t="shared" si="1246"/>
        <v/>
      </c>
      <c r="JD119" s="768" t="str">
        <f t="shared" si="861"/>
        <v/>
      </c>
      <c r="JE119" s="728" t="str">
        <f t="shared" si="1247"/>
        <v/>
      </c>
      <c r="JF119" s="768" t="str">
        <f t="shared" si="863"/>
        <v/>
      </c>
      <c r="JG119" s="728" t="str">
        <f t="shared" si="1248"/>
        <v/>
      </c>
      <c r="JH119" s="768" t="str">
        <f t="shared" si="865"/>
        <v/>
      </c>
      <c r="JI119" s="769" t="str">
        <f t="shared" si="1249"/>
        <v/>
      </c>
      <c r="JJ119" s="768" t="str">
        <f t="shared" ref="JJ119" si="1419">IF(JI119&lt;0,"Invadiu REP-BA-C","")</f>
        <v/>
      </c>
      <c r="JK119" s="769" t="str">
        <f t="shared" si="1251"/>
        <v/>
      </c>
      <c r="JL119" s="768" t="str">
        <f t="shared" si="869"/>
        <v/>
      </c>
      <c r="JM119" s="728" t="str">
        <f t="shared" si="1252"/>
        <v/>
      </c>
      <c r="JN119" s="768" t="str">
        <f t="shared" si="871"/>
        <v/>
      </c>
      <c r="JO119" s="728" t="str">
        <f t="shared" si="1253"/>
        <v/>
      </c>
      <c r="JP119" s="768" t="str">
        <f t="shared" si="873"/>
        <v/>
      </c>
      <c r="JQ119" s="769" t="str">
        <f t="shared" si="1254"/>
        <v/>
      </c>
      <c r="JR119" s="768" t="str">
        <f t="shared" ref="JR119" si="1420">IF(JQ119&lt;0,"Invadiu REP-BA-C","")</f>
        <v/>
      </c>
      <c r="JS119" s="769" t="str">
        <f t="shared" si="1256"/>
        <v/>
      </c>
      <c r="JT119" s="768" t="str">
        <f t="shared" si="877"/>
        <v/>
      </c>
      <c r="JU119" s="728" t="str">
        <f t="shared" si="1257"/>
        <v/>
      </c>
      <c r="JV119" s="768" t="str">
        <f t="shared" si="879"/>
        <v/>
      </c>
      <c r="JW119" s="728" t="str">
        <f t="shared" si="1258"/>
        <v/>
      </c>
      <c r="JX119" s="768" t="str">
        <f t="shared" si="881"/>
        <v/>
      </c>
      <c r="JY119" s="768" t="str">
        <f t="shared" si="882"/>
        <v/>
      </c>
      <c r="JZ119" s="485" t="str">
        <f>IF(JY119="","",IF(AND(C119=$C$164,JY119&lt;&gt;""),Verificarcpf(D119),IF(AND(C119=$C$165,JY119&lt;&gt;""),VerificarCNPJ(D119))))</f>
        <v/>
      </c>
      <c r="KA119" s="768" t="str">
        <f t="shared" si="883"/>
        <v/>
      </c>
      <c r="KB119" s="485">
        <f t="shared" si="884"/>
        <v>0</v>
      </c>
      <c r="KC119" s="768">
        <f t="shared" si="885"/>
        <v>0</v>
      </c>
      <c r="KD119" s="485">
        <f t="shared" si="886"/>
        <v>0</v>
      </c>
      <c r="KE119" s="448"/>
      <c r="KF119" s="548"/>
      <c r="KG119" s="548"/>
      <c r="KH119" s="548"/>
      <c r="KI119" s="548"/>
      <c r="KJ119" s="548" t="str">
        <f t="shared" si="887"/>
        <v/>
      </c>
      <c r="KK119" s="548"/>
      <c r="KL119" s="548"/>
      <c r="KM119" s="548">
        <f t="array" ref="KM119">IF(SUM((KL119=$KL$3:KL118)*1)=0,KL119,0)</f>
        <v>0</v>
      </c>
      <c r="KN119" s="548"/>
      <c r="KO119" s="548"/>
      <c r="KP119" s="548"/>
      <c r="KQ119" s="548"/>
      <c r="KR119" s="548" t="str">
        <f t="shared" si="888"/>
        <v/>
      </c>
      <c r="KS119" s="548"/>
      <c r="KT119" s="548"/>
      <c r="KU119" s="548"/>
      <c r="KV119" s="548"/>
      <c r="KW119" s="548"/>
      <c r="KX119" s="548"/>
      <c r="KY119" s="548"/>
      <c r="KZ119" s="548"/>
      <c r="LA119" s="548"/>
      <c r="LB119" s="548"/>
      <c r="LC119" s="485" t="str">
        <f t="shared" si="902"/>
        <v/>
      </c>
      <c r="LD119" s="548"/>
      <c r="LE119" s="548"/>
      <c r="LF119" s="548"/>
      <c r="LG119" s="548"/>
      <c r="LH119" s="548"/>
      <c r="LI119" s="548"/>
      <c r="LJ119" s="548"/>
      <c r="LK119" s="548"/>
      <c r="LL119" s="548"/>
      <c r="LM119" s="548"/>
      <c r="LN119" s="548"/>
      <c r="LO119" s="548"/>
      <c r="LP119" s="485" t="str">
        <f t="shared" si="903"/>
        <v/>
      </c>
      <c r="LQ119" s="548"/>
      <c r="LR119" s="548"/>
      <c r="LS119" s="548"/>
      <c r="LT119" s="548"/>
      <c r="LU119" s="548"/>
      <c r="LV119" s="548"/>
      <c r="LW119" s="548"/>
      <c r="LX119" s="548"/>
      <c r="LY119" s="548"/>
      <c r="LZ119" s="548"/>
      <c r="MA119" s="548"/>
      <c r="MB119" s="548"/>
      <c r="MC119" s="485" t="str">
        <f t="shared" si="904"/>
        <v/>
      </c>
      <c r="MD119" s="548"/>
      <c r="ME119" s="548"/>
      <c r="MF119" s="548"/>
      <c r="MG119" s="548"/>
      <c r="MH119" s="548"/>
      <c r="MI119" s="548"/>
      <c r="MJ119" s="548"/>
      <c r="MK119" s="548"/>
      <c r="ML119" s="548"/>
      <c r="MM119" s="548"/>
      <c r="MN119" s="548"/>
      <c r="MO119" s="548"/>
      <c r="MP119" s="485" t="str">
        <f t="shared" si="905"/>
        <v/>
      </c>
      <c r="MQ119" s="548"/>
      <c r="MR119" s="548"/>
      <c r="MS119" s="548"/>
      <c r="MT119" s="548"/>
      <c r="MU119" s="548"/>
      <c r="MV119" s="548"/>
      <c r="MW119" s="548"/>
      <c r="MX119" s="548"/>
      <c r="MY119" s="548"/>
      <c r="MZ119" s="548"/>
      <c r="NA119" s="548"/>
      <c r="NB119" s="548"/>
      <c r="NC119" s="485" t="str">
        <f t="shared" si="906"/>
        <v/>
      </c>
      <c r="ND119" s="548"/>
      <c r="NE119" s="548"/>
      <c r="NF119" s="548"/>
      <c r="NG119" s="548"/>
      <c r="NH119" s="548"/>
      <c r="NI119" s="548"/>
      <c r="NJ119" s="548"/>
      <c r="NK119" s="548"/>
      <c r="NL119" s="548"/>
      <c r="NM119" s="548"/>
      <c r="NN119" s="548"/>
      <c r="NO119" s="548"/>
      <c r="NP119" s="485" t="str">
        <f t="shared" si="907"/>
        <v/>
      </c>
      <c r="NQ119" s="548"/>
      <c r="NR119" s="548"/>
      <c r="NS119" s="548"/>
      <c r="NT119" s="548"/>
      <c r="NU119" s="548"/>
      <c r="NV119" s="548"/>
      <c r="NW119" s="548"/>
      <c r="NX119" s="548"/>
      <c r="NY119" s="548"/>
      <c r="NZ119" s="548"/>
      <c r="OA119" s="548"/>
      <c r="OB119" s="548"/>
      <c r="OC119" s="485" t="str">
        <f t="shared" si="908"/>
        <v/>
      </c>
      <c r="OD119" s="548"/>
      <c r="OE119" s="548"/>
      <c r="OF119" s="548"/>
      <c r="OG119" s="548"/>
      <c r="OH119" s="548"/>
      <c r="OI119" s="548"/>
      <c r="OJ119" s="548"/>
      <c r="OK119" s="548"/>
      <c r="OL119" s="548"/>
      <c r="OM119" s="548"/>
      <c r="ON119" s="548"/>
      <c r="OO119" s="548"/>
      <c r="OP119" s="548"/>
      <c r="OQ119" s="548"/>
      <c r="OR119" s="548"/>
      <c r="OS119" s="548"/>
      <c r="OT119" s="548"/>
      <c r="OU119" s="548"/>
      <c r="OV119" s="548"/>
      <c r="OW119" s="548"/>
      <c r="OX119" s="548"/>
      <c r="OY119" s="548"/>
      <c r="OZ119" s="548"/>
      <c r="PA119" s="548"/>
      <c r="PB119" s="548"/>
      <c r="PC119" s="548"/>
      <c r="PD119" s="548"/>
      <c r="PE119" s="548"/>
      <c r="PF119" s="548"/>
      <c r="PG119" s="548"/>
      <c r="PH119" s="548"/>
      <c r="PI119" s="548"/>
      <c r="PJ119" s="548"/>
      <c r="PK119" s="548"/>
      <c r="PL119" s="548"/>
      <c r="PM119" s="548"/>
      <c r="PN119" s="548"/>
      <c r="PO119" s="548"/>
      <c r="PP119" s="548"/>
      <c r="PQ119" s="548"/>
      <c r="PR119" s="548"/>
      <c r="PS119" s="548"/>
      <c r="PT119" s="548"/>
      <c r="PU119" s="548"/>
      <c r="PV119" s="548"/>
      <c r="PW119" s="548"/>
      <c r="PX119" s="548"/>
      <c r="PY119" s="548"/>
      <c r="PZ119" s="548"/>
      <c r="QA119" s="548"/>
      <c r="QB119" s="548"/>
      <c r="QC119" s="548"/>
      <c r="QD119" s="548"/>
      <c r="QE119" s="548"/>
      <c r="QF119" s="548"/>
      <c r="QG119" s="548"/>
      <c r="QH119" s="548"/>
      <c r="QI119" s="548"/>
      <c r="QJ119" s="548"/>
      <c r="QK119" s="548"/>
      <c r="QL119" s="548"/>
      <c r="QM119" s="548"/>
      <c r="QN119" s="548"/>
      <c r="QO119" s="548"/>
      <c r="QP119" s="548"/>
      <c r="QQ119" s="1009"/>
      <c r="QR119" s="548"/>
      <c r="QS119" s="548"/>
      <c r="QT119" s="548"/>
      <c r="QU119" s="548"/>
      <c r="QV119" s="548"/>
      <c r="QW119" s="548"/>
      <c r="QX119" s="548"/>
      <c r="QY119" s="548"/>
      <c r="QZ119" s="548"/>
      <c r="RA119" s="548"/>
      <c r="RB119" s="548"/>
      <c r="RC119" s="548"/>
      <c r="RD119" s="548"/>
      <c r="RE119" s="548"/>
      <c r="RF119" s="548"/>
      <c r="RG119" s="548"/>
      <c r="RH119" s="548"/>
      <c r="RI119" s="548"/>
      <c r="RJ119" s="548"/>
      <c r="RK119" s="548"/>
      <c r="RL119" s="548"/>
      <c r="RM119" s="548"/>
      <c r="RN119" s="548"/>
      <c r="RO119" s="548"/>
      <c r="RP119" s="548"/>
      <c r="RQ119" s="548"/>
      <c r="RR119" s="548"/>
      <c r="RS119" s="548"/>
      <c r="RT119" s="548"/>
      <c r="RU119" s="548"/>
      <c r="RV119" s="548"/>
      <c r="RW119" s="548"/>
      <c r="RX119" s="548"/>
      <c r="RY119" s="548"/>
      <c r="RZ119" s="548"/>
      <c r="SA119" s="548"/>
      <c r="SB119" s="548"/>
      <c r="SC119" s="548"/>
      <c r="SD119" s="548"/>
      <c r="SE119" s="548"/>
      <c r="SF119" s="548"/>
      <c r="SG119" s="548"/>
      <c r="SH119" s="548"/>
      <c r="SI119" s="548"/>
      <c r="SJ119" s="548"/>
      <c r="SK119" s="548"/>
      <c r="SL119" s="548"/>
      <c r="SM119" s="548"/>
      <c r="SN119" s="548"/>
      <c r="SO119" s="548"/>
      <c r="SP119" s="548"/>
      <c r="SQ119" s="548"/>
      <c r="SR119" s="548"/>
      <c r="SS119" s="548"/>
      <c r="ST119" s="548"/>
      <c r="SU119" s="548"/>
      <c r="SV119" s="548"/>
      <c r="SW119" s="548"/>
      <c r="SX119" s="548"/>
      <c r="SY119" s="548"/>
      <c r="SZ119" s="548"/>
      <c r="TA119" s="548"/>
      <c r="TB119" s="548"/>
      <c r="TC119" s="548"/>
      <c r="TD119" s="548"/>
      <c r="TE119" s="548"/>
      <c r="TF119" s="548"/>
      <c r="TG119" s="548"/>
      <c r="TH119" s="548"/>
      <c r="TI119" s="548"/>
      <c r="TJ119" s="548"/>
      <c r="TK119" s="548"/>
      <c r="TL119" s="548"/>
      <c r="TM119" s="548"/>
      <c r="TN119" s="548"/>
      <c r="TO119" s="548"/>
      <c r="TP119" s="548"/>
      <c r="TQ119" s="548"/>
      <c r="TR119" s="548"/>
      <c r="TS119" s="548"/>
      <c r="TT119" s="548"/>
      <c r="TU119" s="548"/>
      <c r="TV119" s="548"/>
      <c r="TW119" s="548"/>
      <c r="TX119" s="548"/>
      <c r="TY119" s="548"/>
      <c r="TZ119" s="548"/>
      <c r="UA119" s="548"/>
      <c r="UB119" s="548"/>
      <c r="UC119" s="548"/>
      <c r="UD119" s="548"/>
      <c r="UE119" s="548"/>
      <c r="UF119" s="548"/>
      <c r="UG119" s="548"/>
      <c r="UH119" s="548"/>
      <c r="UI119" s="548"/>
      <c r="UJ119" s="548"/>
      <c r="UK119" s="548"/>
      <c r="UL119" s="548"/>
      <c r="UM119" s="548"/>
      <c r="UN119" s="548"/>
      <c r="UO119" s="548"/>
      <c r="UP119" s="548"/>
      <c r="UQ119" s="548"/>
      <c r="UR119" s="548"/>
      <c r="US119" s="548"/>
      <c r="UT119" s="548"/>
      <c r="UU119" s="548"/>
      <c r="UV119" s="548"/>
      <c r="UW119" s="548"/>
      <c r="UX119" s="548"/>
      <c r="UY119" s="548"/>
      <c r="UZ119" s="548"/>
      <c r="VA119" s="548"/>
      <c r="VB119" s="548"/>
      <c r="VC119" s="548"/>
      <c r="VD119" s="548"/>
      <c r="VE119" s="548"/>
      <c r="VF119" s="548"/>
      <c r="VG119" s="548"/>
      <c r="VH119" s="548"/>
      <c r="VI119" s="548"/>
      <c r="VJ119" s="548"/>
      <c r="VK119" s="548"/>
      <c r="VL119" s="548"/>
      <c r="VM119" s="548"/>
      <c r="VN119" s="548"/>
      <c r="VO119" s="548"/>
      <c r="VP119" s="548"/>
      <c r="VQ119" s="548"/>
      <c r="VR119" s="548"/>
      <c r="VS119" s="548"/>
      <c r="VT119" s="548"/>
      <c r="VU119" s="548"/>
      <c r="VV119" s="548"/>
      <c r="VW119" s="548"/>
      <c r="VX119" s="548"/>
      <c r="VY119" s="548"/>
      <c r="VZ119" s="548"/>
      <c r="WA119" s="548"/>
      <c r="WB119" s="548"/>
      <c r="WC119" s="548"/>
      <c r="WD119" s="548"/>
      <c r="WE119" s="548"/>
      <c r="WF119" s="548"/>
      <c r="WG119" s="548"/>
      <c r="WH119" s="548"/>
      <c r="WI119" s="548"/>
      <c r="WJ119" s="548"/>
      <c r="WK119" s="548"/>
      <c r="WL119" s="548"/>
      <c r="WM119" s="548"/>
      <c r="WN119" s="548"/>
      <c r="WO119" s="548"/>
      <c r="WP119" s="548"/>
      <c r="WQ119" s="548"/>
      <c r="WR119" s="548"/>
      <c r="WS119" s="548"/>
      <c r="WT119" s="548"/>
      <c r="WU119" s="548"/>
      <c r="WV119" s="548"/>
      <c r="WW119" s="548"/>
      <c r="WX119" s="548"/>
      <c r="WY119" s="548"/>
      <c r="WZ119" s="548"/>
      <c r="XA119" s="548"/>
      <c r="XB119" s="548"/>
      <c r="XC119" s="548"/>
      <c r="XD119" s="548"/>
      <c r="XE119" s="548"/>
      <c r="XF119" s="548"/>
      <c r="XG119" s="548"/>
      <c r="XH119" s="548"/>
      <c r="XI119" s="548"/>
      <c r="XJ119" s="548"/>
      <c r="XK119" s="548"/>
      <c r="XL119" s="548"/>
      <c r="XM119" s="548"/>
      <c r="XN119" s="548"/>
      <c r="XO119" s="548"/>
      <c r="XP119" s="548"/>
      <c r="XQ119" s="548"/>
      <c r="XR119" s="548"/>
      <c r="XS119" s="548"/>
      <c r="XT119" s="548"/>
      <c r="XU119" s="548"/>
      <c r="XV119" s="548"/>
      <c r="XW119" s="548"/>
      <c r="XX119" s="548"/>
      <c r="XY119" s="548"/>
      <c r="XZ119" s="548"/>
      <c r="YA119" s="548"/>
      <c r="YB119" s="548"/>
      <c r="YC119" s="548"/>
      <c r="YD119" s="548"/>
      <c r="YE119" s="548"/>
      <c r="YF119" s="548"/>
      <c r="YG119" s="548"/>
      <c r="YH119" s="548"/>
      <c r="YI119" s="548"/>
      <c r="YJ119" s="548"/>
      <c r="YK119" s="548"/>
      <c r="YL119" s="548"/>
      <c r="YM119" s="548"/>
      <c r="YN119" s="548"/>
      <c r="YO119" s="548"/>
      <c r="YP119" s="548"/>
      <c r="YQ119" s="548"/>
      <c r="YR119" s="548"/>
      <c r="YS119" s="548"/>
      <c r="YT119" s="548"/>
      <c r="YU119" s="548"/>
      <c r="YV119" s="548"/>
      <c r="YW119" s="548"/>
      <c r="YX119" s="548"/>
      <c r="YY119" s="548"/>
      <c r="YZ119" s="548"/>
      <c r="ZA119" s="548"/>
      <c r="ZB119" s="548"/>
      <c r="ZC119" s="548"/>
      <c r="ZD119" s="548"/>
      <c r="ZE119" s="548"/>
      <c r="ZF119" s="548"/>
      <c r="ZG119" s="548"/>
      <c r="ZH119" s="548"/>
      <c r="ZI119" s="548"/>
      <c r="ZJ119" s="548"/>
      <c r="ZK119" s="548"/>
      <c r="ZL119" s="548"/>
      <c r="ZM119" s="548"/>
      <c r="ZN119" s="548"/>
      <c r="ZO119" s="548"/>
      <c r="ZP119" s="548"/>
      <c r="ZQ119" s="548"/>
      <c r="ZR119" s="548"/>
      <c r="ZS119" s="548"/>
      <c r="ZT119" s="548"/>
      <c r="ZU119" s="548"/>
      <c r="ZV119" s="548"/>
      <c r="ZW119" s="548"/>
      <c r="ZX119" s="548"/>
      <c r="ZY119" s="548"/>
      <c r="ZZ119" s="548"/>
      <c r="AAA119" s="548"/>
      <c r="AAB119" s="548"/>
      <c r="AAC119" s="548"/>
      <c r="AAD119" s="548"/>
      <c r="AAE119" s="548"/>
      <c r="AAF119" s="548"/>
      <c r="AAG119" s="548"/>
      <c r="AAH119" s="548"/>
      <c r="AAI119" s="548"/>
      <c r="AAJ119" s="548"/>
      <c r="AAK119" s="548"/>
      <c r="AAL119" s="548"/>
      <c r="AAM119" s="548"/>
      <c r="AAN119" s="548"/>
      <c r="AAO119" s="548"/>
      <c r="AAP119" s="548"/>
      <c r="AAQ119" s="548"/>
      <c r="AAR119" s="548"/>
      <c r="AAS119" s="548"/>
      <c r="AAT119" s="548"/>
      <c r="AAU119" s="548"/>
      <c r="AAV119" s="548"/>
      <c r="AAW119" s="548"/>
      <c r="AAX119" s="548"/>
      <c r="AAY119" s="548"/>
      <c r="AAZ119" s="548"/>
      <c r="ABA119" s="548"/>
      <c r="ABB119" s="548"/>
      <c r="ABC119" s="548"/>
      <c r="ABD119" s="548"/>
      <c r="ABE119" s="548"/>
      <c r="ABF119" s="548"/>
      <c r="ABG119" s="548"/>
      <c r="ABH119" s="548"/>
      <c r="ABI119" s="548"/>
      <c r="ABJ119" s="548"/>
      <c r="ABK119" s="548"/>
      <c r="ABL119" s="548"/>
      <c r="ABM119" s="548"/>
      <c r="ABN119" s="548"/>
      <c r="ABO119" s="548"/>
      <c r="ABP119" s="548"/>
      <c r="ABQ119" s="548"/>
      <c r="ABR119" s="548"/>
      <c r="ABS119" s="548"/>
    </row>
    <row r="120" spans="1:747" customFormat="1" ht="15" customHeight="1" x14ac:dyDescent="0.2">
      <c r="A120" s="424" t="str">
        <f t="shared" si="909"/>
        <v/>
      </c>
      <c r="B120" s="415"/>
      <c r="C120" s="525"/>
      <c r="D120" s="750"/>
      <c r="E120" s="416" t="str">
        <f t="shared" si="1171"/>
        <v/>
      </c>
      <c r="F120" s="527" t="str">
        <f t="shared" si="1172"/>
        <v/>
      </c>
      <c r="G120" s="417"/>
      <c r="H120" s="585" t="str">
        <f t="shared" si="1173"/>
        <v/>
      </c>
      <c r="I120" s="424"/>
      <c r="J120" s="419"/>
      <c r="K120" s="418"/>
      <c r="L120" s="419"/>
      <c r="M120" s="415"/>
      <c r="N120" s="420"/>
      <c r="O120" s="421"/>
      <c r="P120" s="561"/>
      <c r="Q120" s="422"/>
      <c r="R120" s="561" t="str">
        <f t="shared" si="1174"/>
        <v/>
      </c>
      <c r="S120" s="664"/>
      <c r="T120" s="997"/>
      <c r="U120" s="580">
        <f t="shared" si="1175"/>
        <v>0</v>
      </c>
      <c r="V120" s="418"/>
      <c r="W120" s="582" t="str">
        <f t="shared" si="1176"/>
        <v/>
      </c>
      <c r="X120" s="479" t="str">
        <f t="shared" si="1177"/>
        <v/>
      </c>
      <c r="Y120" s="582" t="str">
        <f t="shared" si="1178"/>
        <v/>
      </c>
      <c r="Z120" s="317" t="str">
        <f t="shared" si="1179"/>
        <v/>
      </c>
      <c r="AA120" s="317" t="str">
        <f t="shared" si="1180"/>
        <v/>
      </c>
      <c r="AB120" s="317">
        <f t="shared" si="1181"/>
        <v>0</v>
      </c>
      <c r="AC120" s="317" t="str">
        <f t="shared" si="1182"/>
        <v/>
      </c>
      <c r="AD120" s="479"/>
      <c r="AE120" s="479"/>
      <c r="AF120" s="479"/>
      <c r="AG120" s="423"/>
      <c r="AH120" s="820"/>
      <c r="AI120" s="437"/>
      <c r="AJ120" s="660"/>
      <c r="AK120" s="524" t="str">
        <f t="shared" si="1183"/>
        <v/>
      </c>
      <c r="AL120" s="731">
        <f>SUMIF($J$4:$J$32,"Mais Escola",$S$4:$S$32)</f>
        <v>0</v>
      </c>
      <c r="AM120" s="732">
        <f>SUMIF($J$4:$J$32,"Mais Escola",$T$4:$T$32)</f>
        <v>0</v>
      </c>
      <c r="AN120" s="426">
        <f t="shared" si="1184"/>
        <v>0</v>
      </c>
      <c r="AO120" s="427" t="str">
        <f t="shared" si="1185"/>
        <v/>
      </c>
      <c r="AP120" s="426" t="str">
        <f t="shared" si="1186"/>
        <v/>
      </c>
      <c r="AQ120" s="426"/>
      <c r="AR120" s="426"/>
      <c r="AS120" s="428"/>
      <c r="AT120" s="429"/>
      <c r="AU120" s="430"/>
      <c r="AV120" s="431"/>
      <c r="AW120" s="432"/>
      <c r="AX120" s="430"/>
      <c r="AY120" s="431">
        <f t="shared" si="1187"/>
        <v>0</v>
      </c>
      <c r="AZ120" s="426"/>
      <c r="BA120" s="435" t="str">
        <f t="shared" si="1188"/>
        <v/>
      </c>
      <c r="BB120" s="435"/>
      <c r="BC120" s="426"/>
      <c r="BD120" s="426">
        <f t="array" ref="BD120">IF(SUM((BC120=$BC$3:BC119)*1)=0,BC120,0)</f>
        <v>0</v>
      </c>
      <c r="BE120" s="426"/>
      <c r="BF120" s="426"/>
      <c r="BG120" s="426">
        <f t="array" ref="BG120">IF(SUM((BF120=$BF$3:BF119)*1)=0,BF120,0)</f>
        <v>0</v>
      </c>
      <c r="BH120" s="426"/>
      <c r="BI120" s="426"/>
      <c r="BJ120" s="426"/>
      <c r="BK120" s="426"/>
      <c r="BL120" s="426"/>
      <c r="BM120" s="426"/>
      <c r="BN120" s="426"/>
      <c r="BO120" s="426"/>
      <c r="BP120" s="433">
        <f t="shared" si="1189"/>
        <v>0</v>
      </c>
      <c r="BQ120" s="426"/>
      <c r="BR120" s="434"/>
      <c r="BS120" s="426"/>
      <c r="BT120" s="433"/>
      <c r="BU120" s="435"/>
      <c r="BV120" s="435" t="str">
        <f t="shared" si="1190"/>
        <v/>
      </c>
      <c r="BW120" s="435" t="str">
        <f t="shared" si="798"/>
        <v/>
      </c>
      <c r="BX120" s="435"/>
      <c r="BY120" s="435"/>
      <c r="BZ120" s="435"/>
      <c r="CA120" s="435"/>
      <c r="CB120" s="435"/>
      <c r="CC120" s="435"/>
      <c r="CD120" s="435"/>
      <c r="CE120" s="435"/>
      <c r="CF120" s="435"/>
      <c r="CG120" s="435"/>
      <c r="CH120" s="435"/>
      <c r="CI120" s="435"/>
      <c r="CJ120" s="426" t="str">
        <f t="shared" si="799"/>
        <v/>
      </c>
      <c r="CK120" s="435"/>
      <c r="CL120" s="426"/>
      <c r="CM120" s="435"/>
      <c r="CN120" s="426"/>
      <c r="CO120" s="426"/>
      <c r="CP120" s="426"/>
      <c r="CQ120" s="426"/>
      <c r="CR120" s="426"/>
      <c r="CS120" s="426"/>
      <c r="CT120" s="426"/>
      <c r="CU120" s="426"/>
      <c r="CV120" s="426"/>
      <c r="CW120" s="493"/>
      <c r="CX120" s="493"/>
      <c r="CY120" s="426">
        <v>117</v>
      </c>
      <c r="CZ120" s="493"/>
      <c r="DA120" s="493"/>
      <c r="DB120" s="493"/>
      <c r="DC120" s="426" t="s">
        <v>860</v>
      </c>
      <c r="DD120" s="426" t="s">
        <v>1020</v>
      </c>
      <c r="DE120" s="435" t="str">
        <f t="shared" si="800"/>
        <v/>
      </c>
      <c r="DF120" s="435" t="str">
        <f t="shared" si="801"/>
        <v/>
      </c>
      <c r="DG120" s="435" t="str">
        <f t="shared" si="802"/>
        <v/>
      </c>
      <c r="DH120" s="435" t="str">
        <f t="shared" si="803"/>
        <v/>
      </c>
      <c r="DI120" s="435" t="str">
        <f t="shared" si="804"/>
        <v/>
      </c>
      <c r="DJ120" s="435" t="str">
        <f t="shared" si="805"/>
        <v/>
      </c>
      <c r="DK120" s="435" t="str">
        <f t="shared" si="1191"/>
        <v/>
      </c>
      <c r="DL120" s="435" t="str">
        <f t="shared" si="1192"/>
        <v/>
      </c>
      <c r="DM120" s="435" t="str">
        <f t="shared" si="806"/>
        <v/>
      </c>
      <c r="DN120" s="435" t="str">
        <f t="shared" si="807"/>
        <v/>
      </c>
      <c r="DO120" s="435" t="str">
        <f t="shared" si="1193"/>
        <v/>
      </c>
      <c r="DP120" s="435" t="str">
        <f t="shared" si="1194"/>
        <v/>
      </c>
      <c r="DQ120" s="435" t="str">
        <f t="shared" si="808"/>
        <v/>
      </c>
      <c r="DR120" s="435" t="str">
        <f t="shared" si="809"/>
        <v/>
      </c>
      <c r="DS120" s="435" t="str">
        <f t="shared" si="1195"/>
        <v/>
      </c>
      <c r="DT120" s="435" t="str">
        <f t="shared" si="1196"/>
        <v/>
      </c>
      <c r="DU120" s="435" t="str">
        <f t="shared" si="810"/>
        <v/>
      </c>
      <c r="DV120" s="435" t="str">
        <f t="shared" si="811"/>
        <v/>
      </c>
      <c r="DW120" s="435" t="str">
        <f t="shared" si="1197"/>
        <v/>
      </c>
      <c r="DX120" s="435" t="str">
        <f t="shared" si="1198"/>
        <v/>
      </c>
      <c r="DY120" s="435" t="str">
        <f t="shared" si="812"/>
        <v/>
      </c>
      <c r="DZ120" s="435" t="str">
        <f t="shared" si="813"/>
        <v/>
      </c>
      <c r="EA120" s="435" t="str">
        <f t="shared" si="1199"/>
        <v/>
      </c>
      <c r="EB120" s="435" t="str">
        <f t="shared" si="1200"/>
        <v/>
      </c>
      <c r="EC120" s="435" t="str">
        <f t="shared" si="1201"/>
        <v/>
      </c>
      <c r="ED120" s="435" t="str">
        <f t="shared" si="1202"/>
        <v/>
      </c>
      <c r="EE120" s="435" t="str">
        <f t="shared" si="1203"/>
        <v/>
      </c>
      <c r="EF120" s="435" t="str">
        <f t="shared" si="1204"/>
        <v/>
      </c>
      <c r="EG120" s="435" t="str">
        <f t="shared" si="1205"/>
        <v/>
      </c>
      <c r="EH120" s="435" t="str">
        <f t="shared" si="1206"/>
        <v/>
      </c>
      <c r="EI120" s="435" t="str">
        <f t="shared" si="1207"/>
        <v/>
      </c>
      <c r="EJ120" s="435" t="str">
        <f t="shared" si="1208"/>
        <v/>
      </c>
      <c r="EK120" s="485"/>
      <c r="EL120" s="485"/>
      <c r="EM120" s="485"/>
      <c r="EN120" s="485"/>
      <c r="EO120" s="448"/>
      <c r="EP120" s="448"/>
      <c r="EQ120" s="448"/>
      <c r="ER120" s="448"/>
      <c r="ES120" s="448"/>
      <c r="ET120" s="435"/>
      <c r="EU120" s="435"/>
      <c r="EV120" s="435"/>
      <c r="EW120" s="435"/>
      <c r="EX120" s="426"/>
      <c r="EY120" s="426"/>
      <c r="EZ120" s="426"/>
      <c r="FA120" s="863"/>
      <c r="FB120" s="427">
        <f t="array" ref="FB120">IF(SUM((FA120=$FA$3:FA119)*1)=0,FA120,0)</f>
        <v>0</v>
      </c>
      <c r="FC120" s="863"/>
      <c r="FD120" s="863"/>
      <c r="FE120" s="863">
        <f t="array" ref="FE120">IF(SUM((FD120=$FD$3:FD119)*1)=0,FD120,0)</f>
        <v>0</v>
      </c>
      <c r="FF120" s="863"/>
      <c r="FG120" s="863"/>
      <c r="FH120" s="863"/>
      <c r="FI120" s="427">
        <f t="array" ref="FI120">IF(SUM((FH120=$FH$3:FH119)*1)=0,FH120,0)</f>
        <v>0</v>
      </c>
      <c r="FJ120" s="863"/>
      <c r="FK120" s="863"/>
      <c r="FL120" s="863">
        <f t="array" ref="FL120">IF(SUM((FK120=$FK$3:FK119)*1)=0,FK120,0)</f>
        <v>0</v>
      </c>
      <c r="FM120" s="863"/>
      <c r="FN120" s="863"/>
      <c r="FO120" s="863"/>
      <c r="FP120" s="427">
        <f t="array" ref="FP120">IF(SUM((FO120=$FO$3:FO119)*1)=0,FO120,0)</f>
        <v>0</v>
      </c>
      <c r="FQ120" s="863"/>
      <c r="FR120" s="863"/>
      <c r="FS120" s="863">
        <f t="array" ref="FS120">IF(SUM((FR120=$FR$3:FR119)*1)=0,FR120,0)</f>
        <v>0</v>
      </c>
      <c r="FT120" s="863"/>
      <c r="FU120" s="863"/>
      <c r="FV120" s="863"/>
      <c r="FW120" s="427">
        <f t="array" ref="FW120">IF(SUM((FV120=$FV$3:FV119)*1)=0,FV120,0)</f>
        <v>0</v>
      </c>
      <c r="FX120" s="863"/>
      <c r="FY120" s="863"/>
      <c r="FZ120" s="863">
        <f t="array" ref="FZ120">IF(SUM((FY120=$FY$3:FY119)*1)=0,FY120,0)</f>
        <v>0</v>
      </c>
      <c r="GA120" s="863"/>
      <c r="GB120" s="863"/>
      <c r="GC120" s="863"/>
      <c r="GD120" s="427">
        <f t="array" ref="GD120">IF(SUM((GC120=$GC$3:GC119)*1)=0,GC120,0)</f>
        <v>0</v>
      </c>
      <c r="GE120" s="863"/>
      <c r="GF120" s="863"/>
      <c r="GG120" s="863">
        <f t="array" ref="GG120">IF(SUM((GF120=$GF$3:GF119)*1)=0,GF120,0)</f>
        <v>0</v>
      </c>
      <c r="GH120" s="863"/>
      <c r="GI120" s="863"/>
      <c r="GJ120" s="863"/>
      <c r="GK120" s="798">
        <f t="array" ref="GK120">IF(SUM((GJ120=$GJ$3:GJ119)*1)=0,GJ120,0)</f>
        <v>0</v>
      </c>
      <c r="GL120" s="863"/>
      <c r="GM120" s="863"/>
      <c r="GN120" s="798">
        <f t="array" ref="GN120">IF(SUM((GM120=$GM$3:GM119)*1)=0,GM120,0)</f>
        <v>0</v>
      </c>
      <c r="GO120" s="863"/>
      <c r="GP120" s="863"/>
      <c r="GQ120" s="863"/>
      <c r="GR120" s="798">
        <f t="array" ref="GR120">IF(SUM((GQ120=$GQ$3:GQ119)*1)=0,GQ120,0)</f>
        <v>0</v>
      </c>
      <c r="GS120" s="863"/>
      <c r="GT120" s="863"/>
      <c r="GU120" s="798">
        <f t="array" ref="GU120">IF(SUM((GT120=$GT$3:GT119)*1)=0,GT120,0)</f>
        <v>0</v>
      </c>
      <c r="GV120" s="863"/>
      <c r="GW120" s="863"/>
      <c r="GX120" s="863"/>
      <c r="GY120" s="798">
        <f t="array" ref="GY120">IF(SUM((GX120=$GX$3:GX119)*1)=0,GX120,0)</f>
        <v>0</v>
      </c>
      <c r="GZ120" s="863"/>
      <c r="HA120" s="863"/>
      <c r="HB120" s="798">
        <f t="array" ref="HB120">IF(SUM((HA120=$HA$3:HA119)*1)=0,HA120,0)</f>
        <v>0</v>
      </c>
      <c r="HC120" s="863"/>
      <c r="HD120" s="863"/>
      <c r="HE120" s="769" t="str">
        <f t="shared" si="889"/>
        <v/>
      </c>
      <c r="HF120" s="768" t="str">
        <f t="shared" ref="HF120" si="1421">IF(HE120&lt;0,"Invadiu REP-BA-C","")</f>
        <v/>
      </c>
      <c r="HG120" s="769" t="str">
        <f t="shared" si="891"/>
        <v/>
      </c>
      <c r="HH120" s="768" t="str">
        <f t="shared" si="815"/>
        <v/>
      </c>
      <c r="HI120" s="728" t="str">
        <f t="shared" si="892"/>
        <v/>
      </c>
      <c r="HJ120" s="768" t="str">
        <f t="shared" si="816"/>
        <v/>
      </c>
      <c r="HK120" s="728" t="str">
        <f t="shared" si="893"/>
        <v/>
      </c>
      <c r="HL120" s="768" t="str">
        <f t="shared" si="817"/>
        <v/>
      </c>
      <c r="HM120" s="769" t="str">
        <f t="shared" si="1219"/>
        <v/>
      </c>
      <c r="HN120" s="768" t="str">
        <f t="shared" ref="HN120" si="1422">IF(HM120&lt;0,"Invadiu REP-BA-C","")</f>
        <v/>
      </c>
      <c r="HO120" s="769" t="str">
        <f t="shared" si="1221"/>
        <v/>
      </c>
      <c r="HP120" s="768" t="str">
        <f t="shared" si="821"/>
        <v/>
      </c>
      <c r="HQ120" s="728" t="str">
        <f t="shared" si="1222"/>
        <v/>
      </c>
      <c r="HR120" s="768" t="str">
        <f t="shared" si="823"/>
        <v/>
      </c>
      <c r="HS120" s="728" t="str">
        <f t="shared" si="1223"/>
        <v/>
      </c>
      <c r="HT120" s="768" t="str">
        <f t="shared" si="825"/>
        <v/>
      </c>
      <c r="HU120" s="769" t="str">
        <f t="shared" si="1224"/>
        <v/>
      </c>
      <c r="HV120" s="768" t="str">
        <f t="shared" ref="HV120" si="1423">IF(HU120&lt;0,"Invadiu REP-BA-C","")</f>
        <v/>
      </c>
      <c r="HW120" s="769" t="str">
        <f t="shared" si="1226"/>
        <v/>
      </c>
      <c r="HX120" s="768" t="str">
        <f t="shared" si="829"/>
        <v/>
      </c>
      <c r="HY120" s="728" t="str">
        <f t="shared" si="1227"/>
        <v/>
      </c>
      <c r="HZ120" s="768" t="str">
        <f t="shared" si="831"/>
        <v/>
      </c>
      <c r="IA120" s="728" t="str">
        <f t="shared" si="1228"/>
        <v/>
      </c>
      <c r="IB120" s="768" t="str">
        <f t="shared" si="833"/>
        <v/>
      </c>
      <c r="IC120" s="769" t="str">
        <f t="shared" si="1229"/>
        <v/>
      </c>
      <c r="ID120" s="768" t="str">
        <f t="shared" ref="ID120" si="1424">IF(IC120&lt;0,"Invadiu REP-BA-C","")</f>
        <v/>
      </c>
      <c r="IE120" s="769" t="str">
        <f t="shared" si="1231"/>
        <v/>
      </c>
      <c r="IF120" s="768" t="str">
        <f t="shared" si="837"/>
        <v/>
      </c>
      <c r="IG120" s="728" t="str">
        <f t="shared" si="1232"/>
        <v/>
      </c>
      <c r="IH120" s="768" t="str">
        <f t="shared" si="839"/>
        <v/>
      </c>
      <c r="II120" s="728" t="str">
        <f t="shared" si="1233"/>
        <v/>
      </c>
      <c r="IJ120" s="768" t="str">
        <f t="shared" si="841"/>
        <v/>
      </c>
      <c r="IK120" s="769" t="str">
        <f t="shared" si="1234"/>
        <v/>
      </c>
      <c r="IL120" s="768" t="str">
        <f t="shared" ref="IL120" si="1425">IF(IK120&lt;0,"Invadiu REP-BA-C","")</f>
        <v/>
      </c>
      <c r="IM120" s="769" t="str">
        <f t="shared" si="1236"/>
        <v/>
      </c>
      <c r="IN120" s="768" t="str">
        <f t="shared" si="845"/>
        <v/>
      </c>
      <c r="IO120" s="728" t="str">
        <f t="shared" si="1237"/>
        <v/>
      </c>
      <c r="IP120" s="768" t="str">
        <f t="shared" si="847"/>
        <v/>
      </c>
      <c r="IQ120" s="728" t="str">
        <f t="shared" si="1238"/>
        <v/>
      </c>
      <c r="IR120" s="768" t="str">
        <f t="shared" si="849"/>
        <v/>
      </c>
      <c r="IS120" s="769" t="str">
        <f t="shared" si="1239"/>
        <v/>
      </c>
      <c r="IT120" s="768" t="str">
        <f t="shared" ref="IT120" si="1426">IF(IS120&lt;0,"Invadiu REP-BA-C","")</f>
        <v/>
      </c>
      <c r="IU120" s="769" t="str">
        <f t="shared" si="1241"/>
        <v/>
      </c>
      <c r="IV120" s="768" t="str">
        <f t="shared" si="853"/>
        <v/>
      </c>
      <c r="IW120" s="728" t="str">
        <f t="shared" si="1242"/>
        <v/>
      </c>
      <c r="IX120" s="768" t="str">
        <f t="shared" si="855"/>
        <v/>
      </c>
      <c r="IY120" s="728" t="str">
        <f t="shared" si="1243"/>
        <v/>
      </c>
      <c r="IZ120" s="768" t="str">
        <f t="shared" si="857"/>
        <v/>
      </c>
      <c r="JA120" s="769" t="str">
        <f t="shared" si="1244"/>
        <v/>
      </c>
      <c r="JB120" s="768" t="str">
        <f t="shared" ref="JB120" si="1427">IF(JA120&lt;0,"Invadiu REP-BA-C","")</f>
        <v/>
      </c>
      <c r="JC120" s="769" t="str">
        <f t="shared" si="1246"/>
        <v/>
      </c>
      <c r="JD120" s="768" t="str">
        <f t="shared" si="861"/>
        <v/>
      </c>
      <c r="JE120" s="728" t="str">
        <f t="shared" si="1247"/>
        <v/>
      </c>
      <c r="JF120" s="768" t="str">
        <f t="shared" si="863"/>
        <v/>
      </c>
      <c r="JG120" s="728" t="str">
        <f t="shared" si="1248"/>
        <v/>
      </c>
      <c r="JH120" s="768" t="str">
        <f t="shared" si="865"/>
        <v/>
      </c>
      <c r="JI120" s="769" t="str">
        <f t="shared" si="1249"/>
        <v/>
      </c>
      <c r="JJ120" s="768" t="str">
        <f t="shared" ref="JJ120" si="1428">IF(JI120&lt;0,"Invadiu REP-BA-C","")</f>
        <v/>
      </c>
      <c r="JK120" s="769" t="str">
        <f t="shared" si="1251"/>
        <v/>
      </c>
      <c r="JL120" s="768" t="str">
        <f t="shared" si="869"/>
        <v/>
      </c>
      <c r="JM120" s="728" t="str">
        <f t="shared" si="1252"/>
        <v/>
      </c>
      <c r="JN120" s="768" t="str">
        <f t="shared" si="871"/>
        <v/>
      </c>
      <c r="JO120" s="728" t="str">
        <f t="shared" si="1253"/>
        <v/>
      </c>
      <c r="JP120" s="768" t="str">
        <f t="shared" si="873"/>
        <v/>
      </c>
      <c r="JQ120" s="769" t="str">
        <f t="shared" si="1254"/>
        <v/>
      </c>
      <c r="JR120" s="768" t="str">
        <f t="shared" ref="JR120" si="1429">IF(JQ120&lt;0,"Invadiu REP-BA-C","")</f>
        <v/>
      </c>
      <c r="JS120" s="769" t="str">
        <f t="shared" si="1256"/>
        <v/>
      </c>
      <c r="JT120" s="768" t="str">
        <f t="shared" si="877"/>
        <v/>
      </c>
      <c r="JU120" s="728" t="str">
        <f t="shared" si="1257"/>
        <v/>
      </c>
      <c r="JV120" s="768" t="str">
        <f t="shared" si="879"/>
        <v/>
      </c>
      <c r="JW120" s="728" t="str">
        <f t="shared" si="1258"/>
        <v/>
      </c>
      <c r="JX120" s="768" t="str">
        <f t="shared" si="881"/>
        <v/>
      </c>
      <c r="JY120" s="768" t="str">
        <f t="shared" si="882"/>
        <v/>
      </c>
      <c r="JZ120" s="485" t="str">
        <f>IF(JY120="","",IF(AND(C120=$C$164,JY120&lt;&gt;""),Verificarcpf(D120),IF(AND(C120=$C$165,JY120&lt;&gt;""),VerificarCNPJ(D120))))</f>
        <v/>
      </c>
      <c r="KA120" s="768" t="str">
        <f t="shared" si="883"/>
        <v/>
      </c>
      <c r="KB120" s="485">
        <f t="shared" si="884"/>
        <v>0</v>
      </c>
      <c r="KC120" s="768">
        <f t="shared" si="885"/>
        <v>0</v>
      </c>
      <c r="KD120" s="485">
        <f t="shared" si="886"/>
        <v>0</v>
      </c>
      <c r="KE120" s="448"/>
      <c r="KF120" s="548"/>
      <c r="KG120" s="548"/>
      <c r="KH120" s="548"/>
      <c r="KI120" s="548"/>
      <c r="KJ120" s="548" t="str">
        <f t="shared" si="887"/>
        <v/>
      </c>
      <c r="KK120" s="548"/>
      <c r="KL120" s="548"/>
      <c r="KM120" s="548">
        <f t="array" ref="KM120">IF(SUM((KL120=$KL$3:KL119)*1)=0,KL120,0)</f>
        <v>0</v>
      </c>
      <c r="KN120" s="548"/>
      <c r="KO120" s="548"/>
      <c r="KP120" s="548"/>
      <c r="KQ120" s="548"/>
      <c r="KR120" s="548" t="str">
        <f t="shared" si="888"/>
        <v/>
      </c>
      <c r="KS120" s="548"/>
      <c r="KT120" s="548"/>
      <c r="KU120" s="548"/>
      <c r="KV120" s="548"/>
      <c r="KW120" s="548"/>
      <c r="KX120" s="548"/>
      <c r="KY120" s="548"/>
      <c r="KZ120" s="548"/>
      <c r="LA120" s="548"/>
      <c r="LB120" s="548"/>
      <c r="LC120" s="485" t="str">
        <f t="shared" si="902"/>
        <v/>
      </c>
      <c r="LD120" s="548"/>
      <c r="LE120" s="548"/>
      <c r="LF120" s="548"/>
      <c r="LG120" s="548"/>
      <c r="LH120" s="548"/>
      <c r="LI120" s="548"/>
      <c r="LJ120" s="548"/>
      <c r="LK120" s="548"/>
      <c r="LL120" s="548"/>
      <c r="LM120" s="548"/>
      <c r="LN120" s="548"/>
      <c r="LO120" s="548"/>
      <c r="LP120" s="485" t="str">
        <f t="shared" si="903"/>
        <v/>
      </c>
      <c r="LQ120" s="548"/>
      <c r="LR120" s="548"/>
      <c r="LS120" s="548"/>
      <c r="LT120" s="548"/>
      <c r="LU120" s="548"/>
      <c r="LV120" s="548"/>
      <c r="LW120" s="548"/>
      <c r="LX120" s="548"/>
      <c r="LY120" s="548"/>
      <c r="LZ120" s="548"/>
      <c r="MA120" s="548"/>
      <c r="MB120" s="548"/>
      <c r="MC120" s="485" t="str">
        <f t="shared" si="904"/>
        <v/>
      </c>
      <c r="MD120" s="548"/>
      <c r="ME120" s="548"/>
      <c r="MF120" s="548"/>
      <c r="MG120" s="548"/>
      <c r="MH120" s="548"/>
      <c r="MI120" s="548"/>
      <c r="MJ120" s="548"/>
      <c r="MK120" s="548"/>
      <c r="ML120" s="548"/>
      <c r="MM120" s="548"/>
      <c r="MN120" s="548"/>
      <c r="MO120" s="548"/>
      <c r="MP120" s="485" t="str">
        <f t="shared" si="905"/>
        <v/>
      </c>
      <c r="MQ120" s="548"/>
      <c r="MR120" s="548"/>
      <c r="MS120" s="548"/>
      <c r="MT120" s="548"/>
      <c r="MU120" s="548"/>
      <c r="MV120" s="548"/>
      <c r="MW120" s="548"/>
      <c r="MX120" s="548"/>
      <c r="MY120" s="548"/>
      <c r="MZ120" s="548"/>
      <c r="NA120" s="548"/>
      <c r="NB120" s="548"/>
      <c r="NC120" s="485" t="str">
        <f t="shared" si="906"/>
        <v/>
      </c>
      <c r="ND120" s="548"/>
      <c r="NE120" s="548"/>
      <c r="NF120" s="548"/>
      <c r="NG120" s="548"/>
      <c r="NH120" s="548"/>
      <c r="NI120" s="548"/>
      <c r="NJ120" s="548"/>
      <c r="NK120" s="548"/>
      <c r="NL120" s="548"/>
      <c r="NM120" s="548"/>
      <c r="NN120" s="548"/>
      <c r="NO120" s="548"/>
      <c r="NP120" s="485" t="str">
        <f t="shared" si="907"/>
        <v/>
      </c>
      <c r="NQ120" s="548"/>
      <c r="NR120" s="548"/>
      <c r="NS120" s="548"/>
      <c r="NT120" s="548"/>
      <c r="NU120" s="548"/>
      <c r="NV120" s="548"/>
      <c r="NW120" s="548"/>
      <c r="NX120" s="548"/>
      <c r="NY120" s="548"/>
      <c r="NZ120" s="548"/>
      <c r="OA120" s="548"/>
      <c r="OB120" s="548"/>
      <c r="OC120" s="485" t="str">
        <f t="shared" si="908"/>
        <v/>
      </c>
      <c r="OD120" s="548"/>
      <c r="OE120" s="548"/>
      <c r="OF120" s="548"/>
      <c r="OG120" s="548"/>
      <c r="OH120" s="548"/>
      <c r="OI120" s="548"/>
      <c r="OJ120" s="548"/>
      <c r="OK120" s="548"/>
      <c r="OL120" s="548"/>
      <c r="OM120" s="548"/>
      <c r="ON120" s="548"/>
      <c r="OO120" s="548"/>
      <c r="OP120" s="548"/>
      <c r="OQ120" s="548"/>
      <c r="OR120" s="548"/>
      <c r="OS120" s="548"/>
      <c r="OT120" s="548"/>
      <c r="OU120" s="548"/>
      <c r="OV120" s="548"/>
      <c r="OW120" s="548"/>
      <c r="OX120" s="548"/>
      <c r="OY120" s="548"/>
      <c r="OZ120" s="548"/>
      <c r="PA120" s="548"/>
      <c r="PB120" s="548"/>
      <c r="PC120" s="548"/>
      <c r="PD120" s="548"/>
      <c r="PE120" s="548"/>
      <c r="PF120" s="548"/>
      <c r="PG120" s="548"/>
      <c r="PH120" s="548"/>
      <c r="PI120" s="548"/>
      <c r="PJ120" s="548"/>
      <c r="PK120" s="548"/>
      <c r="PL120" s="548"/>
      <c r="PM120" s="548"/>
      <c r="PN120" s="548"/>
      <c r="PO120" s="548"/>
      <c r="PP120" s="548"/>
      <c r="PQ120" s="548"/>
      <c r="PR120" s="548"/>
      <c r="PS120" s="548"/>
      <c r="PT120" s="548"/>
      <c r="PU120" s="548"/>
      <c r="PV120" s="548"/>
      <c r="PW120" s="548"/>
      <c r="PX120" s="548"/>
      <c r="PY120" s="548"/>
      <c r="PZ120" s="548"/>
      <c r="QA120" s="548"/>
      <c r="QB120" s="548"/>
      <c r="QC120" s="548"/>
      <c r="QD120" s="548"/>
      <c r="QE120" s="548"/>
      <c r="QF120" s="548"/>
      <c r="QG120" s="548"/>
      <c r="QH120" s="548"/>
      <c r="QI120" s="548"/>
      <c r="QJ120" s="548"/>
      <c r="QK120" s="548"/>
      <c r="QL120" s="548"/>
      <c r="QM120" s="548"/>
      <c r="QN120" s="548"/>
      <c r="QO120" s="548"/>
      <c r="QP120" s="548"/>
      <c r="QQ120" s="1009"/>
      <c r="QR120" s="548"/>
      <c r="QS120" s="548"/>
      <c r="QT120" s="548"/>
      <c r="QU120" s="548"/>
      <c r="QV120" s="548"/>
      <c r="QW120" s="548"/>
      <c r="QX120" s="548"/>
      <c r="QY120" s="548"/>
      <c r="QZ120" s="548"/>
      <c r="RA120" s="548"/>
      <c r="RB120" s="548"/>
      <c r="RC120" s="548"/>
      <c r="RD120" s="548"/>
      <c r="RE120" s="548"/>
      <c r="RF120" s="548"/>
      <c r="RG120" s="548"/>
      <c r="RH120" s="548"/>
      <c r="RI120" s="548"/>
      <c r="RJ120" s="548"/>
      <c r="RK120" s="548"/>
      <c r="RL120" s="548"/>
      <c r="RM120" s="548"/>
      <c r="RN120" s="548"/>
      <c r="RO120" s="548"/>
      <c r="RP120" s="548"/>
      <c r="RQ120" s="548"/>
      <c r="RR120" s="548"/>
      <c r="RS120" s="548"/>
      <c r="RT120" s="548"/>
      <c r="RU120" s="548"/>
      <c r="RV120" s="548"/>
      <c r="RW120" s="548"/>
      <c r="RX120" s="548"/>
      <c r="RY120" s="548"/>
      <c r="RZ120" s="548"/>
      <c r="SA120" s="548"/>
      <c r="SB120" s="548"/>
      <c r="SC120" s="548"/>
      <c r="SD120" s="548"/>
      <c r="SE120" s="548"/>
      <c r="SF120" s="548"/>
      <c r="SG120" s="548"/>
      <c r="SH120" s="548"/>
      <c r="SI120" s="548"/>
      <c r="SJ120" s="548"/>
      <c r="SK120" s="548"/>
      <c r="SL120" s="548"/>
      <c r="SM120" s="548"/>
      <c r="SN120" s="548"/>
      <c r="SO120" s="548"/>
      <c r="SP120" s="548"/>
      <c r="SQ120" s="548"/>
      <c r="SR120" s="548"/>
      <c r="SS120" s="548"/>
      <c r="ST120" s="548"/>
      <c r="SU120" s="548"/>
      <c r="SV120" s="548"/>
      <c r="SW120" s="548"/>
      <c r="SX120" s="548"/>
      <c r="SY120" s="548"/>
      <c r="SZ120" s="548"/>
      <c r="TA120" s="548"/>
      <c r="TB120" s="548"/>
      <c r="TC120" s="548"/>
      <c r="TD120" s="548"/>
      <c r="TE120" s="548"/>
      <c r="TF120" s="548"/>
      <c r="TG120" s="548"/>
      <c r="TH120" s="548"/>
      <c r="TI120" s="548"/>
      <c r="TJ120" s="548"/>
      <c r="TK120" s="548"/>
      <c r="TL120" s="548"/>
      <c r="TM120" s="548"/>
      <c r="TN120" s="548"/>
      <c r="TO120" s="548"/>
      <c r="TP120" s="548"/>
      <c r="TQ120" s="548"/>
      <c r="TR120" s="548"/>
      <c r="TS120" s="548"/>
      <c r="TT120" s="548"/>
      <c r="TU120" s="548"/>
      <c r="TV120" s="548"/>
      <c r="TW120" s="548"/>
      <c r="TX120" s="548"/>
      <c r="TY120" s="548"/>
      <c r="TZ120" s="548"/>
      <c r="UA120" s="548"/>
      <c r="UB120" s="548"/>
      <c r="UC120" s="548"/>
      <c r="UD120" s="548"/>
      <c r="UE120" s="548"/>
      <c r="UF120" s="548"/>
      <c r="UG120" s="548"/>
      <c r="UH120" s="548"/>
      <c r="UI120" s="548"/>
      <c r="UJ120" s="548"/>
      <c r="UK120" s="548"/>
      <c r="UL120" s="548"/>
      <c r="UM120" s="548"/>
      <c r="UN120" s="548"/>
      <c r="UO120" s="548"/>
      <c r="UP120" s="548"/>
      <c r="UQ120" s="548"/>
      <c r="UR120" s="548"/>
      <c r="US120" s="548"/>
      <c r="UT120" s="548"/>
      <c r="UU120" s="548"/>
      <c r="UV120" s="548"/>
      <c r="UW120" s="548"/>
      <c r="UX120" s="548"/>
      <c r="UY120" s="548"/>
      <c r="UZ120" s="548"/>
      <c r="VA120" s="548"/>
      <c r="VB120" s="548"/>
      <c r="VC120" s="548"/>
      <c r="VD120" s="548"/>
      <c r="VE120" s="548"/>
      <c r="VF120" s="548"/>
      <c r="VG120" s="548"/>
      <c r="VH120" s="548"/>
      <c r="VI120" s="548"/>
      <c r="VJ120" s="548"/>
      <c r="VK120" s="548"/>
      <c r="VL120" s="548"/>
      <c r="VM120" s="548"/>
      <c r="VN120" s="548"/>
      <c r="VO120" s="548"/>
      <c r="VP120" s="548"/>
      <c r="VQ120" s="548"/>
      <c r="VR120" s="548"/>
      <c r="VS120" s="548"/>
      <c r="VT120" s="548"/>
      <c r="VU120" s="548"/>
      <c r="VV120" s="548"/>
      <c r="VW120" s="548"/>
      <c r="VX120" s="548"/>
      <c r="VY120" s="548"/>
      <c r="VZ120" s="548"/>
      <c r="WA120" s="548"/>
      <c r="WB120" s="548"/>
      <c r="WC120" s="548"/>
      <c r="WD120" s="548"/>
      <c r="WE120" s="548"/>
      <c r="WF120" s="548"/>
      <c r="WG120" s="548"/>
      <c r="WH120" s="548"/>
      <c r="WI120" s="548"/>
      <c r="WJ120" s="548"/>
      <c r="WK120" s="548"/>
      <c r="WL120" s="548"/>
      <c r="WM120" s="548"/>
      <c r="WN120" s="548"/>
      <c r="WO120" s="548"/>
      <c r="WP120" s="548"/>
      <c r="WQ120" s="548"/>
      <c r="WR120" s="548"/>
      <c r="WS120" s="548"/>
      <c r="WT120" s="548"/>
      <c r="WU120" s="548"/>
      <c r="WV120" s="548"/>
      <c r="WW120" s="548"/>
      <c r="WX120" s="548"/>
      <c r="WY120" s="548"/>
      <c r="WZ120" s="548"/>
      <c r="XA120" s="548"/>
      <c r="XB120" s="548"/>
      <c r="XC120" s="548"/>
      <c r="XD120" s="548"/>
      <c r="XE120" s="548"/>
      <c r="XF120" s="548"/>
      <c r="XG120" s="548"/>
      <c r="XH120" s="548"/>
      <c r="XI120" s="548"/>
      <c r="XJ120" s="548"/>
      <c r="XK120" s="548"/>
      <c r="XL120" s="548"/>
      <c r="XM120" s="548"/>
      <c r="XN120" s="548"/>
      <c r="XO120" s="548"/>
      <c r="XP120" s="548"/>
      <c r="XQ120" s="548"/>
      <c r="XR120" s="548"/>
      <c r="XS120" s="548"/>
      <c r="XT120" s="548"/>
      <c r="XU120" s="548"/>
      <c r="XV120" s="548"/>
      <c r="XW120" s="548"/>
      <c r="XX120" s="548"/>
      <c r="XY120" s="548"/>
      <c r="XZ120" s="548"/>
      <c r="YA120" s="548"/>
      <c r="YB120" s="548"/>
      <c r="YC120" s="548"/>
      <c r="YD120" s="548"/>
      <c r="YE120" s="548"/>
      <c r="YF120" s="548"/>
      <c r="YG120" s="548"/>
      <c r="YH120" s="548"/>
      <c r="YI120" s="548"/>
      <c r="YJ120" s="548"/>
      <c r="YK120" s="548"/>
      <c r="YL120" s="548"/>
      <c r="YM120" s="548"/>
      <c r="YN120" s="548"/>
      <c r="YO120" s="548"/>
      <c r="YP120" s="548"/>
      <c r="YQ120" s="548"/>
      <c r="YR120" s="548"/>
      <c r="YS120" s="548"/>
      <c r="YT120" s="548"/>
      <c r="YU120" s="548"/>
      <c r="YV120" s="548"/>
      <c r="YW120" s="548"/>
      <c r="YX120" s="548"/>
      <c r="YY120" s="548"/>
      <c r="YZ120" s="548"/>
      <c r="ZA120" s="548"/>
      <c r="ZB120" s="548"/>
      <c r="ZC120" s="548"/>
      <c r="ZD120" s="548"/>
      <c r="ZE120" s="548"/>
      <c r="ZF120" s="548"/>
      <c r="ZG120" s="548"/>
      <c r="ZH120" s="548"/>
      <c r="ZI120" s="548"/>
      <c r="ZJ120" s="548"/>
      <c r="ZK120" s="548"/>
      <c r="ZL120" s="548"/>
      <c r="ZM120" s="548"/>
      <c r="ZN120" s="548"/>
      <c r="ZO120" s="548"/>
      <c r="ZP120" s="548"/>
      <c r="ZQ120" s="548"/>
      <c r="ZR120" s="548"/>
      <c r="ZS120" s="548"/>
      <c r="ZT120" s="548"/>
      <c r="ZU120" s="548"/>
      <c r="ZV120" s="548"/>
      <c r="ZW120" s="548"/>
      <c r="ZX120" s="548"/>
      <c r="ZY120" s="548"/>
      <c r="ZZ120" s="548"/>
      <c r="AAA120" s="548"/>
      <c r="AAB120" s="548"/>
      <c r="AAC120" s="548"/>
      <c r="AAD120" s="548"/>
      <c r="AAE120" s="548"/>
      <c r="AAF120" s="548"/>
      <c r="AAG120" s="548"/>
      <c r="AAH120" s="548"/>
      <c r="AAI120" s="548"/>
      <c r="AAJ120" s="548"/>
      <c r="AAK120" s="548"/>
      <c r="AAL120" s="548"/>
      <c r="AAM120" s="548"/>
      <c r="AAN120" s="548"/>
      <c r="AAO120" s="548"/>
      <c r="AAP120" s="548"/>
      <c r="AAQ120" s="548"/>
      <c r="AAR120" s="548"/>
      <c r="AAS120" s="548"/>
      <c r="AAT120" s="548"/>
      <c r="AAU120" s="548"/>
      <c r="AAV120" s="548"/>
      <c r="AAW120" s="548"/>
      <c r="AAX120" s="548"/>
      <c r="AAY120" s="548"/>
      <c r="AAZ120" s="548"/>
      <c r="ABA120" s="548"/>
      <c r="ABB120" s="548"/>
      <c r="ABC120" s="548"/>
      <c r="ABD120" s="548"/>
      <c r="ABE120" s="548"/>
      <c r="ABF120" s="548"/>
      <c r="ABG120" s="548"/>
      <c r="ABH120" s="548"/>
      <c r="ABI120" s="548"/>
      <c r="ABJ120" s="548"/>
      <c r="ABK120" s="548"/>
      <c r="ABL120" s="548"/>
      <c r="ABM120" s="548"/>
      <c r="ABN120" s="548"/>
      <c r="ABO120" s="548"/>
      <c r="ABP120" s="548"/>
      <c r="ABQ120" s="548"/>
      <c r="ABR120" s="548"/>
      <c r="ABS120" s="548"/>
    </row>
    <row r="121" spans="1:747" customFormat="1" ht="15" customHeight="1" x14ac:dyDescent="0.2">
      <c r="A121" s="424" t="str">
        <f t="shared" si="909"/>
        <v/>
      </c>
      <c r="B121" s="415"/>
      <c r="C121" s="525"/>
      <c r="D121" s="750"/>
      <c r="E121" s="416" t="str">
        <f t="shared" si="1171"/>
        <v/>
      </c>
      <c r="F121" s="527" t="str">
        <f t="shared" si="1172"/>
        <v/>
      </c>
      <c r="G121" s="417"/>
      <c r="H121" s="585" t="str">
        <f t="shared" si="1173"/>
        <v/>
      </c>
      <c r="I121" s="424"/>
      <c r="J121" s="419"/>
      <c r="K121" s="418"/>
      <c r="L121" s="419"/>
      <c r="M121" s="415"/>
      <c r="N121" s="420"/>
      <c r="O121" s="421"/>
      <c r="P121" s="561"/>
      <c r="Q121" s="422"/>
      <c r="R121" s="561" t="str">
        <f t="shared" si="1174"/>
        <v/>
      </c>
      <c r="S121" s="664"/>
      <c r="T121" s="663"/>
      <c r="U121" s="580">
        <f t="shared" si="1175"/>
        <v>0</v>
      </c>
      <c r="V121" s="418"/>
      <c r="W121" s="582" t="str">
        <f t="shared" si="1176"/>
        <v/>
      </c>
      <c r="X121" s="479" t="str">
        <f t="shared" si="1177"/>
        <v/>
      </c>
      <c r="Y121" s="582" t="str">
        <f t="shared" si="1178"/>
        <v/>
      </c>
      <c r="Z121" s="317" t="str">
        <f t="shared" si="1179"/>
        <v/>
      </c>
      <c r="AA121" s="317" t="str">
        <f t="shared" si="1180"/>
        <v/>
      </c>
      <c r="AB121" s="317">
        <f t="shared" si="1181"/>
        <v>0</v>
      </c>
      <c r="AC121" s="317" t="str">
        <f t="shared" si="1182"/>
        <v/>
      </c>
      <c r="AD121" s="479"/>
      <c r="AE121" s="479"/>
      <c r="AF121" s="479"/>
      <c r="AG121" s="423"/>
      <c r="AH121" s="820"/>
      <c r="AI121" s="437"/>
      <c r="AJ121" s="660"/>
      <c r="AK121" s="524" t="str">
        <f t="shared" si="1183"/>
        <v/>
      </c>
      <c r="AL121" s="731">
        <f>SUMIF($J$4:$J$46,"Mais Escola",$S$4:$S$46)</f>
        <v>0</v>
      </c>
      <c r="AM121" s="732">
        <f>SUMIF($J$4:$J$46,"Mais Escola",$T$4:$T$46)</f>
        <v>0</v>
      </c>
      <c r="AN121" s="426">
        <f t="shared" si="1184"/>
        <v>0</v>
      </c>
      <c r="AO121" s="427" t="str">
        <f t="shared" si="1185"/>
        <v/>
      </c>
      <c r="AP121" s="426" t="str">
        <f t="shared" si="1186"/>
        <v/>
      </c>
      <c r="AQ121" s="426"/>
      <c r="AR121" s="426"/>
      <c r="AS121" s="428"/>
      <c r="AT121" s="429"/>
      <c r="AU121" s="430"/>
      <c r="AV121" s="431"/>
      <c r="AW121" s="432"/>
      <c r="AX121" s="430"/>
      <c r="AY121" s="431">
        <f t="shared" si="1187"/>
        <v>0</v>
      </c>
      <c r="AZ121" s="426"/>
      <c r="BA121" s="435" t="str">
        <f t="shared" si="1188"/>
        <v/>
      </c>
      <c r="BB121" s="435"/>
      <c r="BC121" s="426"/>
      <c r="BD121" s="426">
        <f t="array" ref="BD121">IF(SUM((BC121=$BC$3:BC120)*1)=0,BC121,0)</f>
        <v>0</v>
      </c>
      <c r="BE121" s="426"/>
      <c r="BF121" s="426"/>
      <c r="BG121" s="426">
        <f t="array" ref="BG121">IF(SUM((BF121=$BF$3:BF120)*1)=0,BF121,0)</f>
        <v>0</v>
      </c>
      <c r="BH121" s="426"/>
      <c r="BI121" s="426"/>
      <c r="BJ121" s="426"/>
      <c r="BK121" s="426"/>
      <c r="BL121" s="426"/>
      <c r="BM121" s="426"/>
      <c r="BN121" s="426"/>
      <c r="BO121" s="426"/>
      <c r="BP121" s="433">
        <f t="shared" si="1189"/>
        <v>0</v>
      </c>
      <c r="BQ121" s="426"/>
      <c r="BR121" s="434"/>
      <c r="BS121" s="426"/>
      <c r="BT121" s="433"/>
      <c r="BU121" s="435"/>
      <c r="BV121" s="435" t="str">
        <f t="shared" si="1190"/>
        <v/>
      </c>
      <c r="BW121" s="435" t="str">
        <f t="shared" si="798"/>
        <v/>
      </c>
      <c r="BX121" s="435"/>
      <c r="BY121" s="435"/>
      <c r="BZ121" s="435"/>
      <c r="CA121" s="435"/>
      <c r="CB121" s="435"/>
      <c r="CC121" s="435"/>
      <c r="CD121" s="435"/>
      <c r="CE121" s="435"/>
      <c r="CF121" s="435"/>
      <c r="CG121" s="435"/>
      <c r="CH121" s="435"/>
      <c r="CI121" s="435"/>
      <c r="CJ121" s="426" t="str">
        <f t="shared" si="799"/>
        <v/>
      </c>
      <c r="CK121" s="435"/>
      <c r="CL121" s="426"/>
      <c r="CM121" s="435"/>
      <c r="CN121" s="426"/>
      <c r="CO121" s="426"/>
      <c r="CP121" s="426"/>
      <c r="CQ121" s="426"/>
      <c r="CR121" s="426"/>
      <c r="CS121" s="426"/>
      <c r="CT121" s="426"/>
      <c r="CU121" s="426"/>
      <c r="CV121" s="426"/>
      <c r="CW121" s="493"/>
      <c r="CX121" s="493"/>
      <c r="CY121" s="426">
        <v>118</v>
      </c>
      <c r="CZ121" s="493"/>
      <c r="DA121" s="493"/>
      <c r="DB121" s="493"/>
      <c r="DC121" s="426" t="s">
        <v>861</v>
      </c>
      <c r="DD121" s="426" t="s">
        <v>1021</v>
      </c>
      <c r="DE121" s="435" t="str">
        <f t="shared" si="800"/>
        <v/>
      </c>
      <c r="DF121" s="435" t="str">
        <f t="shared" si="801"/>
        <v/>
      </c>
      <c r="DG121" s="435" t="str">
        <f t="shared" si="802"/>
        <v/>
      </c>
      <c r="DH121" s="435" t="str">
        <f t="shared" si="803"/>
        <v/>
      </c>
      <c r="DI121" s="435" t="str">
        <f t="shared" si="804"/>
        <v/>
      </c>
      <c r="DJ121" s="435" t="str">
        <f t="shared" si="805"/>
        <v/>
      </c>
      <c r="DK121" s="435" t="str">
        <f t="shared" si="1191"/>
        <v/>
      </c>
      <c r="DL121" s="435" t="str">
        <f t="shared" si="1192"/>
        <v/>
      </c>
      <c r="DM121" s="435" t="str">
        <f t="shared" si="806"/>
        <v/>
      </c>
      <c r="DN121" s="435" t="str">
        <f t="shared" si="807"/>
        <v/>
      </c>
      <c r="DO121" s="435" t="str">
        <f t="shared" si="1193"/>
        <v/>
      </c>
      <c r="DP121" s="435" t="str">
        <f t="shared" si="1194"/>
        <v/>
      </c>
      <c r="DQ121" s="435" t="str">
        <f t="shared" si="808"/>
        <v/>
      </c>
      <c r="DR121" s="435" t="str">
        <f t="shared" si="809"/>
        <v/>
      </c>
      <c r="DS121" s="435" t="str">
        <f t="shared" si="1195"/>
        <v/>
      </c>
      <c r="DT121" s="435" t="str">
        <f t="shared" si="1196"/>
        <v/>
      </c>
      <c r="DU121" s="435" t="str">
        <f t="shared" si="810"/>
        <v/>
      </c>
      <c r="DV121" s="435" t="str">
        <f t="shared" si="811"/>
        <v/>
      </c>
      <c r="DW121" s="435" t="str">
        <f t="shared" si="1197"/>
        <v/>
      </c>
      <c r="DX121" s="435" t="str">
        <f t="shared" si="1198"/>
        <v/>
      </c>
      <c r="DY121" s="435" t="str">
        <f t="shared" si="812"/>
        <v/>
      </c>
      <c r="DZ121" s="435" t="str">
        <f t="shared" si="813"/>
        <v/>
      </c>
      <c r="EA121" s="435" t="str">
        <f t="shared" si="1199"/>
        <v/>
      </c>
      <c r="EB121" s="435" t="str">
        <f t="shared" si="1200"/>
        <v/>
      </c>
      <c r="EC121" s="435" t="str">
        <f t="shared" si="1201"/>
        <v/>
      </c>
      <c r="ED121" s="435" t="str">
        <f t="shared" si="1202"/>
        <v/>
      </c>
      <c r="EE121" s="435" t="str">
        <f t="shared" si="1203"/>
        <v/>
      </c>
      <c r="EF121" s="435" t="str">
        <f t="shared" si="1204"/>
        <v/>
      </c>
      <c r="EG121" s="435" t="str">
        <f t="shared" si="1205"/>
        <v/>
      </c>
      <c r="EH121" s="435" t="str">
        <f t="shared" si="1206"/>
        <v/>
      </c>
      <c r="EI121" s="435" t="str">
        <f t="shared" si="1207"/>
        <v/>
      </c>
      <c r="EJ121" s="435" t="str">
        <f t="shared" si="1208"/>
        <v/>
      </c>
      <c r="EK121" s="485"/>
      <c r="EL121" s="485"/>
      <c r="EM121" s="485"/>
      <c r="EN121" s="485"/>
      <c r="EO121" s="448"/>
      <c r="EP121" s="448"/>
      <c r="EQ121" s="448"/>
      <c r="ER121" s="448"/>
      <c r="ES121" s="448"/>
      <c r="ET121" s="435"/>
      <c r="EU121" s="435"/>
      <c r="EV121" s="435"/>
      <c r="EW121" s="435"/>
      <c r="EX121" s="426"/>
      <c r="EY121" s="426"/>
      <c r="EZ121" s="426"/>
      <c r="FA121" s="863"/>
      <c r="FB121" s="427">
        <f t="array" ref="FB121">IF(SUM((FA121=$FA$3:FA120)*1)=0,FA121,0)</f>
        <v>0</v>
      </c>
      <c r="FC121" s="863"/>
      <c r="FD121" s="863"/>
      <c r="FE121" s="863">
        <f t="array" ref="FE121">IF(SUM((FD121=$FD$3:FD120)*1)=0,FD121,0)</f>
        <v>0</v>
      </c>
      <c r="FF121" s="863"/>
      <c r="FG121" s="863"/>
      <c r="FH121" s="863"/>
      <c r="FI121" s="427">
        <f t="array" ref="FI121">IF(SUM((FH121=$FH$3:FH120)*1)=0,FH121,0)</f>
        <v>0</v>
      </c>
      <c r="FJ121" s="863"/>
      <c r="FK121" s="863"/>
      <c r="FL121" s="863">
        <f t="array" ref="FL121">IF(SUM((FK121=$FK$3:FK120)*1)=0,FK121,0)</f>
        <v>0</v>
      </c>
      <c r="FM121" s="863"/>
      <c r="FN121" s="863"/>
      <c r="FO121" s="863"/>
      <c r="FP121" s="427">
        <f t="array" ref="FP121">IF(SUM((FO121=$FO$3:FO120)*1)=0,FO121,0)</f>
        <v>0</v>
      </c>
      <c r="FQ121" s="863"/>
      <c r="FR121" s="863"/>
      <c r="FS121" s="863">
        <f t="array" ref="FS121">IF(SUM((FR121=$FR$3:FR120)*1)=0,FR121,0)</f>
        <v>0</v>
      </c>
      <c r="FT121" s="863"/>
      <c r="FU121" s="863"/>
      <c r="FV121" s="863"/>
      <c r="FW121" s="427">
        <f t="array" ref="FW121">IF(SUM((FV121=$FV$3:FV120)*1)=0,FV121,0)</f>
        <v>0</v>
      </c>
      <c r="FX121" s="863"/>
      <c r="FY121" s="863"/>
      <c r="FZ121" s="863">
        <f t="array" ref="FZ121">IF(SUM((FY121=$FY$3:FY120)*1)=0,FY121,0)</f>
        <v>0</v>
      </c>
      <c r="GA121" s="863"/>
      <c r="GB121" s="863"/>
      <c r="GC121" s="863"/>
      <c r="GD121" s="427">
        <f t="array" ref="GD121">IF(SUM((GC121=$GC$3:GC120)*1)=0,GC121,0)</f>
        <v>0</v>
      </c>
      <c r="GE121" s="863"/>
      <c r="GF121" s="863"/>
      <c r="GG121" s="863">
        <f t="array" ref="GG121">IF(SUM((GF121=$GF$3:GF120)*1)=0,GF121,0)</f>
        <v>0</v>
      </c>
      <c r="GH121" s="863"/>
      <c r="GI121" s="863"/>
      <c r="GJ121" s="863"/>
      <c r="GK121" s="798">
        <f t="array" ref="GK121">IF(SUM((GJ121=$GJ$3:GJ120)*1)=0,GJ121,0)</f>
        <v>0</v>
      </c>
      <c r="GL121" s="863"/>
      <c r="GM121" s="863"/>
      <c r="GN121" s="798">
        <f t="array" ref="GN121">IF(SUM((GM121=$GM$3:GM120)*1)=0,GM121,0)</f>
        <v>0</v>
      </c>
      <c r="GO121" s="863"/>
      <c r="GP121" s="863"/>
      <c r="GQ121" s="863"/>
      <c r="GR121" s="798">
        <f t="array" ref="GR121">IF(SUM((GQ121=$GQ$3:GQ120)*1)=0,GQ121,0)</f>
        <v>0</v>
      </c>
      <c r="GS121" s="863"/>
      <c r="GT121" s="863"/>
      <c r="GU121" s="798">
        <f t="array" ref="GU121">IF(SUM((GT121=$GT$3:GT120)*1)=0,GT121,0)</f>
        <v>0</v>
      </c>
      <c r="GV121" s="863"/>
      <c r="GW121" s="863"/>
      <c r="GX121" s="863"/>
      <c r="GY121" s="798">
        <f t="array" ref="GY121">IF(SUM((GX121=$GX$3:GX120)*1)=0,GX121,0)</f>
        <v>0</v>
      </c>
      <c r="GZ121" s="863"/>
      <c r="HA121" s="863"/>
      <c r="HB121" s="798">
        <f t="array" ref="HB121">IF(SUM((HA121=$HA$3:HA120)*1)=0,HA121,0)</f>
        <v>0</v>
      </c>
      <c r="HC121" s="863"/>
      <c r="HD121" s="863"/>
      <c r="HE121" s="769" t="str">
        <f t="shared" si="889"/>
        <v/>
      </c>
      <c r="HF121" s="768" t="str">
        <f t="shared" ref="HF121" si="1430">IF(HE121&lt;0,"Invadiu REP-BA-C","")</f>
        <v/>
      </c>
      <c r="HG121" s="769" t="str">
        <f t="shared" si="891"/>
        <v/>
      </c>
      <c r="HH121" s="768" t="str">
        <f t="shared" si="815"/>
        <v/>
      </c>
      <c r="HI121" s="728" t="str">
        <f t="shared" si="892"/>
        <v/>
      </c>
      <c r="HJ121" s="768" t="str">
        <f t="shared" si="816"/>
        <v/>
      </c>
      <c r="HK121" s="728" t="str">
        <f t="shared" si="893"/>
        <v/>
      </c>
      <c r="HL121" s="768" t="str">
        <f t="shared" si="817"/>
        <v/>
      </c>
      <c r="HM121" s="769" t="str">
        <f t="shared" si="1219"/>
        <v/>
      </c>
      <c r="HN121" s="768" t="str">
        <f t="shared" ref="HN121" si="1431">IF(HM121&lt;0,"Invadiu REP-BA-C","")</f>
        <v/>
      </c>
      <c r="HO121" s="769" t="str">
        <f t="shared" si="1221"/>
        <v/>
      </c>
      <c r="HP121" s="768" t="str">
        <f t="shared" si="821"/>
        <v/>
      </c>
      <c r="HQ121" s="728" t="str">
        <f t="shared" si="1222"/>
        <v/>
      </c>
      <c r="HR121" s="768" t="str">
        <f t="shared" si="823"/>
        <v/>
      </c>
      <c r="HS121" s="728" t="str">
        <f t="shared" si="1223"/>
        <v/>
      </c>
      <c r="HT121" s="768" t="str">
        <f t="shared" si="825"/>
        <v/>
      </c>
      <c r="HU121" s="769" t="str">
        <f t="shared" si="1224"/>
        <v/>
      </c>
      <c r="HV121" s="768" t="str">
        <f t="shared" ref="HV121" si="1432">IF(HU121&lt;0,"Invadiu REP-BA-C","")</f>
        <v/>
      </c>
      <c r="HW121" s="769" t="str">
        <f t="shared" si="1226"/>
        <v/>
      </c>
      <c r="HX121" s="768" t="str">
        <f t="shared" si="829"/>
        <v/>
      </c>
      <c r="HY121" s="728" t="str">
        <f t="shared" si="1227"/>
        <v/>
      </c>
      <c r="HZ121" s="768" t="str">
        <f t="shared" si="831"/>
        <v/>
      </c>
      <c r="IA121" s="728" t="str">
        <f t="shared" si="1228"/>
        <v/>
      </c>
      <c r="IB121" s="768" t="str">
        <f t="shared" si="833"/>
        <v/>
      </c>
      <c r="IC121" s="769" t="str">
        <f t="shared" si="1229"/>
        <v/>
      </c>
      <c r="ID121" s="768" t="str">
        <f t="shared" ref="ID121" si="1433">IF(IC121&lt;0,"Invadiu REP-BA-C","")</f>
        <v/>
      </c>
      <c r="IE121" s="769" t="str">
        <f t="shared" si="1231"/>
        <v/>
      </c>
      <c r="IF121" s="768" t="str">
        <f t="shared" si="837"/>
        <v/>
      </c>
      <c r="IG121" s="728" t="str">
        <f t="shared" si="1232"/>
        <v/>
      </c>
      <c r="IH121" s="768" t="str">
        <f t="shared" si="839"/>
        <v/>
      </c>
      <c r="II121" s="728" t="str">
        <f t="shared" si="1233"/>
        <v/>
      </c>
      <c r="IJ121" s="768" t="str">
        <f t="shared" si="841"/>
        <v/>
      </c>
      <c r="IK121" s="769" t="str">
        <f t="shared" si="1234"/>
        <v/>
      </c>
      <c r="IL121" s="768" t="str">
        <f t="shared" ref="IL121" si="1434">IF(IK121&lt;0,"Invadiu REP-BA-C","")</f>
        <v/>
      </c>
      <c r="IM121" s="769" t="str">
        <f t="shared" si="1236"/>
        <v/>
      </c>
      <c r="IN121" s="768" t="str">
        <f t="shared" si="845"/>
        <v/>
      </c>
      <c r="IO121" s="728" t="str">
        <f t="shared" si="1237"/>
        <v/>
      </c>
      <c r="IP121" s="768" t="str">
        <f t="shared" si="847"/>
        <v/>
      </c>
      <c r="IQ121" s="728" t="str">
        <f t="shared" si="1238"/>
        <v/>
      </c>
      <c r="IR121" s="768" t="str">
        <f t="shared" si="849"/>
        <v/>
      </c>
      <c r="IS121" s="769" t="str">
        <f t="shared" si="1239"/>
        <v/>
      </c>
      <c r="IT121" s="768" t="str">
        <f t="shared" ref="IT121" si="1435">IF(IS121&lt;0,"Invadiu REP-BA-C","")</f>
        <v/>
      </c>
      <c r="IU121" s="769" t="str">
        <f t="shared" si="1241"/>
        <v/>
      </c>
      <c r="IV121" s="768" t="str">
        <f t="shared" si="853"/>
        <v/>
      </c>
      <c r="IW121" s="728" t="str">
        <f t="shared" si="1242"/>
        <v/>
      </c>
      <c r="IX121" s="768" t="str">
        <f t="shared" si="855"/>
        <v/>
      </c>
      <c r="IY121" s="728" t="str">
        <f t="shared" si="1243"/>
        <v/>
      </c>
      <c r="IZ121" s="768" t="str">
        <f t="shared" si="857"/>
        <v/>
      </c>
      <c r="JA121" s="769" t="str">
        <f t="shared" si="1244"/>
        <v/>
      </c>
      <c r="JB121" s="768" t="str">
        <f t="shared" ref="JB121" si="1436">IF(JA121&lt;0,"Invadiu REP-BA-C","")</f>
        <v/>
      </c>
      <c r="JC121" s="769" t="str">
        <f t="shared" si="1246"/>
        <v/>
      </c>
      <c r="JD121" s="768" t="str">
        <f t="shared" si="861"/>
        <v/>
      </c>
      <c r="JE121" s="728" t="str">
        <f t="shared" si="1247"/>
        <v/>
      </c>
      <c r="JF121" s="768" t="str">
        <f t="shared" si="863"/>
        <v/>
      </c>
      <c r="JG121" s="728" t="str">
        <f t="shared" si="1248"/>
        <v/>
      </c>
      <c r="JH121" s="768" t="str">
        <f t="shared" si="865"/>
        <v/>
      </c>
      <c r="JI121" s="769" t="str">
        <f t="shared" si="1249"/>
        <v/>
      </c>
      <c r="JJ121" s="768" t="str">
        <f t="shared" ref="JJ121" si="1437">IF(JI121&lt;0,"Invadiu REP-BA-C","")</f>
        <v/>
      </c>
      <c r="JK121" s="769" t="str">
        <f t="shared" si="1251"/>
        <v/>
      </c>
      <c r="JL121" s="768" t="str">
        <f t="shared" si="869"/>
        <v/>
      </c>
      <c r="JM121" s="728" t="str">
        <f t="shared" si="1252"/>
        <v/>
      </c>
      <c r="JN121" s="768" t="str">
        <f t="shared" si="871"/>
        <v/>
      </c>
      <c r="JO121" s="728" t="str">
        <f t="shared" si="1253"/>
        <v/>
      </c>
      <c r="JP121" s="768" t="str">
        <f t="shared" si="873"/>
        <v/>
      </c>
      <c r="JQ121" s="769" t="str">
        <f t="shared" si="1254"/>
        <v/>
      </c>
      <c r="JR121" s="768" t="str">
        <f t="shared" ref="JR121" si="1438">IF(JQ121&lt;0,"Invadiu REP-BA-C","")</f>
        <v/>
      </c>
      <c r="JS121" s="769" t="str">
        <f t="shared" si="1256"/>
        <v/>
      </c>
      <c r="JT121" s="768" t="str">
        <f t="shared" si="877"/>
        <v/>
      </c>
      <c r="JU121" s="728" t="str">
        <f t="shared" si="1257"/>
        <v/>
      </c>
      <c r="JV121" s="768" t="str">
        <f t="shared" si="879"/>
        <v/>
      </c>
      <c r="JW121" s="728" t="str">
        <f t="shared" si="1258"/>
        <v/>
      </c>
      <c r="JX121" s="768" t="str">
        <f t="shared" si="881"/>
        <v/>
      </c>
      <c r="JY121" s="768" t="str">
        <f t="shared" si="882"/>
        <v/>
      </c>
      <c r="JZ121" s="485" t="str">
        <f>IF(JY121="","",IF(AND(C121=$C$164,JY121&lt;&gt;""),Verificarcpf(D121),IF(AND(C121=$C$165,JY121&lt;&gt;""),VerificarCNPJ(D121))))</f>
        <v/>
      </c>
      <c r="KA121" s="768" t="str">
        <f t="shared" si="883"/>
        <v/>
      </c>
      <c r="KB121" s="485">
        <f t="shared" si="884"/>
        <v>0</v>
      </c>
      <c r="KC121" s="768">
        <f t="shared" si="885"/>
        <v>0</v>
      </c>
      <c r="KD121" s="485">
        <f t="shared" si="886"/>
        <v>0</v>
      </c>
      <c r="KE121" s="448"/>
      <c r="KF121" s="548"/>
      <c r="KG121" s="548"/>
      <c r="KH121" s="548"/>
      <c r="KI121" s="548"/>
      <c r="KJ121" s="548" t="str">
        <f t="shared" si="887"/>
        <v/>
      </c>
      <c r="KK121" s="548"/>
      <c r="KL121" s="548"/>
      <c r="KM121" s="548">
        <f t="array" ref="KM121">IF(SUM((KL121=$KL$3:KL120)*1)=0,KL121,0)</f>
        <v>0</v>
      </c>
      <c r="KN121" s="548"/>
      <c r="KO121" s="548"/>
      <c r="KP121" s="548"/>
      <c r="KQ121" s="548"/>
      <c r="KR121" s="548" t="str">
        <f t="shared" si="888"/>
        <v/>
      </c>
      <c r="KS121" s="548"/>
      <c r="KT121" s="548"/>
      <c r="KU121" s="548"/>
      <c r="KV121" s="548"/>
      <c r="KW121" s="548"/>
      <c r="KX121" s="548"/>
      <c r="KY121" s="548"/>
      <c r="KZ121" s="548"/>
      <c r="LA121" s="548"/>
      <c r="LB121" s="548"/>
      <c r="LC121" s="485" t="str">
        <f t="shared" si="902"/>
        <v/>
      </c>
      <c r="LD121" s="548"/>
      <c r="LE121" s="548"/>
      <c r="LF121" s="548"/>
      <c r="LG121" s="548"/>
      <c r="LH121" s="548"/>
      <c r="LI121" s="548"/>
      <c r="LJ121" s="548"/>
      <c r="LK121" s="548"/>
      <c r="LL121" s="548"/>
      <c r="LM121" s="548"/>
      <c r="LN121" s="548"/>
      <c r="LO121" s="548"/>
      <c r="LP121" s="485" t="str">
        <f t="shared" si="903"/>
        <v/>
      </c>
      <c r="LQ121" s="548"/>
      <c r="LR121" s="548"/>
      <c r="LS121" s="548"/>
      <c r="LT121" s="548"/>
      <c r="LU121" s="548"/>
      <c r="LV121" s="548"/>
      <c r="LW121" s="548"/>
      <c r="LX121" s="548"/>
      <c r="LY121" s="548"/>
      <c r="LZ121" s="548"/>
      <c r="MA121" s="548"/>
      <c r="MB121" s="548"/>
      <c r="MC121" s="485" t="str">
        <f t="shared" si="904"/>
        <v/>
      </c>
      <c r="MD121" s="548"/>
      <c r="ME121" s="548"/>
      <c r="MF121" s="548"/>
      <c r="MG121" s="548"/>
      <c r="MH121" s="548"/>
      <c r="MI121" s="548"/>
      <c r="MJ121" s="548"/>
      <c r="MK121" s="548"/>
      <c r="ML121" s="548"/>
      <c r="MM121" s="548"/>
      <c r="MN121" s="548"/>
      <c r="MO121" s="548"/>
      <c r="MP121" s="485" t="str">
        <f t="shared" si="905"/>
        <v/>
      </c>
      <c r="MQ121" s="548"/>
      <c r="MR121" s="548"/>
      <c r="MS121" s="548"/>
      <c r="MT121" s="548"/>
      <c r="MU121" s="548"/>
      <c r="MV121" s="548"/>
      <c r="MW121" s="548"/>
      <c r="MX121" s="548"/>
      <c r="MY121" s="548"/>
      <c r="MZ121" s="548"/>
      <c r="NA121" s="548"/>
      <c r="NB121" s="548"/>
      <c r="NC121" s="485" t="str">
        <f t="shared" si="906"/>
        <v/>
      </c>
      <c r="ND121" s="548"/>
      <c r="NE121" s="548"/>
      <c r="NF121" s="548"/>
      <c r="NG121" s="548"/>
      <c r="NH121" s="548"/>
      <c r="NI121" s="548"/>
      <c r="NJ121" s="548"/>
      <c r="NK121" s="548"/>
      <c r="NL121" s="548"/>
      <c r="NM121" s="548"/>
      <c r="NN121" s="548"/>
      <c r="NO121" s="548"/>
      <c r="NP121" s="485" t="str">
        <f t="shared" si="907"/>
        <v/>
      </c>
      <c r="NQ121" s="548"/>
      <c r="NR121" s="548"/>
      <c r="NS121" s="548"/>
      <c r="NT121" s="548"/>
      <c r="NU121" s="548"/>
      <c r="NV121" s="548"/>
      <c r="NW121" s="548"/>
      <c r="NX121" s="548"/>
      <c r="NY121" s="548"/>
      <c r="NZ121" s="548"/>
      <c r="OA121" s="548"/>
      <c r="OB121" s="548"/>
      <c r="OC121" s="485" t="str">
        <f t="shared" si="908"/>
        <v/>
      </c>
      <c r="OD121" s="548"/>
      <c r="OE121" s="548"/>
      <c r="OF121" s="548"/>
      <c r="OG121" s="548"/>
      <c r="OH121" s="548"/>
      <c r="OI121" s="548"/>
      <c r="OJ121" s="548"/>
      <c r="OK121" s="548"/>
      <c r="OL121" s="548"/>
      <c r="OM121" s="548"/>
      <c r="ON121" s="548"/>
      <c r="OO121" s="548"/>
      <c r="OP121" s="548"/>
      <c r="OQ121" s="548"/>
      <c r="OR121" s="548"/>
      <c r="OS121" s="548"/>
      <c r="OT121" s="548"/>
      <c r="OU121" s="548"/>
      <c r="OV121" s="548"/>
      <c r="OW121" s="548"/>
      <c r="OX121" s="548"/>
      <c r="OY121" s="548"/>
      <c r="OZ121" s="548"/>
      <c r="PA121" s="548"/>
      <c r="PB121" s="548"/>
      <c r="PC121" s="548"/>
      <c r="PD121" s="548"/>
      <c r="PE121" s="548"/>
      <c r="PF121" s="548"/>
      <c r="PG121" s="548"/>
      <c r="PH121" s="548"/>
      <c r="PI121" s="548"/>
      <c r="PJ121" s="548"/>
      <c r="PK121" s="548"/>
      <c r="PL121" s="548"/>
      <c r="PM121" s="548"/>
      <c r="PN121" s="548"/>
      <c r="PO121" s="548"/>
      <c r="PP121" s="548"/>
      <c r="PQ121" s="548"/>
      <c r="PR121" s="548"/>
      <c r="PS121" s="548"/>
      <c r="PT121" s="548"/>
      <c r="PU121" s="548"/>
      <c r="PV121" s="548"/>
      <c r="PW121" s="548"/>
      <c r="PX121" s="548"/>
      <c r="PY121" s="548"/>
      <c r="PZ121" s="548"/>
      <c r="QA121" s="548"/>
      <c r="QB121" s="548"/>
      <c r="QC121" s="548"/>
      <c r="QD121" s="548"/>
      <c r="QE121" s="548"/>
      <c r="QF121" s="548"/>
      <c r="QG121" s="548"/>
      <c r="QH121" s="548"/>
      <c r="QI121" s="548"/>
      <c r="QJ121" s="548"/>
      <c r="QK121" s="548"/>
      <c r="QL121" s="548"/>
      <c r="QM121" s="548"/>
      <c r="QN121" s="548"/>
      <c r="QO121" s="548"/>
      <c r="QP121" s="548"/>
      <c r="QQ121" s="1009"/>
      <c r="QR121" s="548"/>
      <c r="QS121" s="548"/>
      <c r="QT121" s="548"/>
      <c r="QU121" s="548"/>
      <c r="QV121" s="548"/>
      <c r="QW121" s="548"/>
      <c r="QX121" s="548"/>
      <c r="QY121" s="548"/>
      <c r="QZ121" s="548"/>
      <c r="RA121" s="548"/>
      <c r="RB121" s="548"/>
      <c r="RC121" s="548"/>
      <c r="RD121" s="548"/>
      <c r="RE121" s="548"/>
      <c r="RF121" s="548"/>
      <c r="RG121" s="548"/>
      <c r="RH121" s="548"/>
      <c r="RI121" s="548"/>
      <c r="RJ121" s="548"/>
      <c r="RK121" s="548"/>
      <c r="RL121" s="548"/>
      <c r="RM121" s="548"/>
      <c r="RN121" s="548"/>
      <c r="RO121" s="548"/>
      <c r="RP121" s="548"/>
      <c r="RQ121" s="548"/>
      <c r="RR121" s="548"/>
      <c r="RS121" s="548"/>
      <c r="RT121" s="548"/>
      <c r="RU121" s="548"/>
      <c r="RV121" s="548"/>
      <c r="RW121" s="548"/>
      <c r="RX121" s="548"/>
      <c r="RY121" s="548"/>
      <c r="RZ121" s="548"/>
      <c r="SA121" s="548"/>
      <c r="SB121" s="548"/>
      <c r="SC121" s="548"/>
      <c r="SD121" s="548"/>
      <c r="SE121" s="548"/>
      <c r="SF121" s="548"/>
      <c r="SG121" s="548"/>
      <c r="SH121" s="548"/>
      <c r="SI121" s="548"/>
      <c r="SJ121" s="548"/>
      <c r="SK121" s="548"/>
      <c r="SL121" s="548"/>
      <c r="SM121" s="548"/>
      <c r="SN121" s="548"/>
      <c r="SO121" s="548"/>
      <c r="SP121" s="548"/>
      <c r="SQ121" s="548"/>
      <c r="SR121" s="548"/>
      <c r="SS121" s="548"/>
      <c r="ST121" s="548"/>
      <c r="SU121" s="548"/>
      <c r="SV121" s="548"/>
      <c r="SW121" s="548"/>
      <c r="SX121" s="548"/>
      <c r="SY121" s="548"/>
      <c r="SZ121" s="548"/>
      <c r="TA121" s="548"/>
      <c r="TB121" s="548"/>
      <c r="TC121" s="548"/>
      <c r="TD121" s="548"/>
      <c r="TE121" s="548"/>
      <c r="TF121" s="548"/>
      <c r="TG121" s="548"/>
      <c r="TH121" s="548"/>
      <c r="TI121" s="548"/>
      <c r="TJ121" s="548"/>
      <c r="TK121" s="548"/>
      <c r="TL121" s="548"/>
      <c r="TM121" s="548"/>
      <c r="TN121" s="548"/>
      <c r="TO121" s="548"/>
      <c r="TP121" s="548"/>
      <c r="TQ121" s="548"/>
      <c r="TR121" s="548"/>
      <c r="TS121" s="548"/>
      <c r="TT121" s="548"/>
      <c r="TU121" s="548"/>
      <c r="TV121" s="548"/>
      <c r="TW121" s="548"/>
      <c r="TX121" s="548"/>
      <c r="TY121" s="548"/>
      <c r="TZ121" s="548"/>
      <c r="UA121" s="548"/>
      <c r="UB121" s="548"/>
      <c r="UC121" s="548"/>
      <c r="UD121" s="548"/>
      <c r="UE121" s="548"/>
      <c r="UF121" s="548"/>
      <c r="UG121" s="548"/>
      <c r="UH121" s="548"/>
      <c r="UI121" s="548"/>
      <c r="UJ121" s="548"/>
      <c r="UK121" s="548"/>
      <c r="UL121" s="548"/>
      <c r="UM121" s="548"/>
      <c r="UN121" s="548"/>
      <c r="UO121" s="548"/>
      <c r="UP121" s="548"/>
      <c r="UQ121" s="548"/>
      <c r="UR121" s="548"/>
      <c r="US121" s="548"/>
      <c r="UT121" s="548"/>
      <c r="UU121" s="548"/>
      <c r="UV121" s="548"/>
      <c r="UW121" s="548"/>
      <c r="UX121" s="548"/>
      <c r="UY121" s="548"/>
      <c r="UZ121" s="548"/>
      <c r="VA121" s="548"/>
      <c r="VB121" s="548"/>
      <c r="VC121" s="548"/>
      <c r="VD121" s="548"/>
      <c r="VE121" s="548"/>
      <c r="VF121" s="548"/>
      <c r="VG121" s="548"/>
      <c r="VH121" s="548"/>
      <c r="VI121" s="548"/>
      <c r="VJ121" s="548"/>
      <c r="VK121" s="548"/>
      <c r="VL121" s="548"/>
      <c r="VM121" s="548"/>
      <c r="VN121" s="548"/>
      <c r="VO121" s="548"/>
      <c r="VP121" s="548"/>
      <c r="VQ121" s="548"/>
      <c r="VR121" s="548"/>
      <c r="VS121" s="548"/>
      <c r="VT121" s="548"/>
      <c r="VU121" s="548"/>
      <c r="VV121" s="548"/>
      <c r="VW121" s="548"/>
      <c r="VX121" s="548"/>
      <c r="VY121" s="548"/>
      <c r="VZ121" s="548"/>
      <c r="WA121" s="548"/>
      <c r="WB121" s="548"/>
      <c r="WC121" s="548"/>
      <c r="WD121" s="548"/>
      <c r="WE121" s="548"/>
      <c r="WF121" s="548"/>
      <c r="WG121" s="548"/>
      <c r="WH121" s="548"/>
      <c r="WI121" s="548"/>
      <c r="WJ121" s="548"/>
      <c r="WK121" s="548"/>
      <c r="WL121" s="548"/>
      <c r="WM121" s="548"/>
      <c r="WN121" s="548"/>
      <c r="WO121" s="548"/>
      <c r="WP121" s="548"/>
      <c r="WQ121" s="548"/>
      <c r="WR121" s="548"/>
      <c r="WS121" s="548"/>
      <c r="WT121" s="548"/>
      <c r="WU121" s="548"/>
      <c r="WV121" s="548"/>
      <c r="WW121" s="548"/>
      <c r="WX121" s="548"/>
      <c r="WY121" s="548"/>
      <c r="WZ121" s="548"/>
      <c r="XA121" s="548"/>
      <c r="XB121" s="548"/>
      <c r="XC121" s="548"/>
      <c r="XD121" s="548"/>
      <c r="XE121" s="548"/>
      <c r="XF121" s="548"/>
      <c r="XG121" s="548"/>
      <c r="XH121" s="548"/>
      <c r="XI121" s="548"/>
      <c r="XJ121" s="548"/>
      <c r="XK121" s="548"/>
      <c r="XL121" s="548"/>
      <c r="XM121" s="548"/>
      <c r="XN121" s="548"/>
      <c r="XO121" s="548"/>
      <c r="XP121" s="548"/>
      <c r="XQ121" s="548"/>
      <c r="XR121" s="548"/>
      <c r="XS121" s="548"/>
      <c r="XT121" s="548"/>
      <c r="XU121" s="548"/>
      <c r="XV121" s="548"/>
      <c r="XW121" s="548"/>
      <c r="XX121" s="548"/>
      <c r="XY121" s="548"/>
      <c r="XZ121" s="548"/>
      <c r="YA121" s="548"/>
      <c r="YB121" s="548"/>
      <c r="YC121" s="548"/>
      <c r="YD121" s="548"/>
      <c r="YE121" s="548"/>
      <c r="YF121" s="548"/>
      <c r="YG121" s="548"/>
      <c r="YH121" s="548"/>
      <c r="YI121" s="548"/>
      <c r="YJ121" s="548"/>
      <c r="YK121" s="548"/>
      <c r="YL121" s="548"/>
      <c r="YM121" s="548"/>
      <c r="YN121" s="548"/>
      <c r="YO121" s="548"/>
      <c r="YP121" s="548"/>
      <c r="YQ121" s="548"/>
      <c r="YR121" s="548"/>
      <c r="YS121" s="548"/>
      <c r="YT121" s="548"/>
      <c r="YU121" s="548"/>
      <c r="YV121" s="548"/>
      <c r="YW121" s="548"/>
      <c r="YX121" s="548"/>
      <c r="YY121" s="548"/>
      <c r="YZ121" s="548"/>
      <c r="ZA121" s="548"/>
      <c r="ZB121" s="548"/>
      <c r="ZC121" s="548"/>
      <c r="ZD121" s="548"/>
      <c r="ZE121" s="548"/>
      <c r="ZF121" s="548"/>
      <c r="ZG121" s="548"/>
      <c r="ZH121" s="548"/>
      <c r="ZI121" s="548"/>
      <c r="ZJ121" s="548"/>
      <c r="ZK121" s="548"/>
      <c r="ZL121" s="548"/>
      <c r="ZM121" s="548"/>
      <c r="ZN121" s="548"/>
      <c r="ZO121" s="548"/>
      <c r="ZP121" s="548"/>
      <c r="ZQ121" s="548"/>
      <c r="ZR121" s="548"/>
      <c r="ZS121" s="548"/>
      <c r="ZT121" s="548"/>
      <c r="ZU121" s="548"/>
      <c r="ZV121" s="548"/>
      <c r="ZW121" s="548"/>
      <c r="ZX121" s="548"/>
      <c r="ZY121" s="548"/>
      <c r="ZZ121" s="548"/>
      <c r="AAA121" s="548"/>
      <c r="AAB121" s="548"/>
      <c r="AAC121" s="548"/>
      <c r="AAD121" s="548"/>
      <c r="AAE121" s="548"/>
      <c r="AAF121" s="548"/>
      <c r="AAG121" s="548"/>
      <c r="AAH121" s="548"/>
      <c r="AAI121" s="548"/>
      <c r="AAJ121" s="548"/>
      <c r="AAK121" s="548"/>
      <c r="AAL121" s="548"/>
      <c r="AAM121" s="548"/>
      <c r="AAN121" s="548"/>
      <c r="AAO121" s="548"/>
      <c r="AAP121" s="548"/>
      <c r="AAQ121" s="548"/>
      <c r="AAR121" s="548"/>
      <c r="AAS121" s="548"/>
      <c r="AAT121" s="548"/>
      <c r="AAU121" s="548"/>
      <c r="AAV121" s="548"/>
      <c r="AAW121" s="548"/>
      <c r="AAX121" s="548"/>
      <c r="AAY121" s="548"/>
      <c r="AAZ121" s="548"/>
      <c r="ABA121" s="548"/>
      <c r="ABB121" s="548"/>
      <c r="ABC121" s="548"/>
      <c r="ABD121" s="548"/>
      <c r="ABE121" s="548"/>
      <c r="ABF121" s="548"/>
      <c r="ABG121" s="548"/>
      <c r="ABH121" s="548"/>
      <c r="ABI121" s="548"/>
      <c r="ABJ121" s="548"/>
      <c r="ABK121" s="548"/>
      <c r="ABL121" s="548"/>
      <c r="ABM121" s="548"/>
      <c r="ABN121" s="548"/>
      <c r="ABO121" s="548"/>
      <c r="ABP121" s="548"/>
      <c r="ABQ121" s="548"/>
      <c r="ABR121" s="548"/>
      <c r="ABS121" s="548"/>
    </row>
    <row r="122" spans="1:747" customFormat="1" ht="15" customHeight="1" x14ac:dyDescent="0.2">
      <c r="A122" s="424" t="str">
        <f t="shared" si="909"/>
        <v/>
      </c>
      <c r="B122" s="415"/>
      <c r="C122" s="525"/>
      <c r="D122" s="750"/>
      <c r="E122" s="416" t="str">
        <f t="shared" si="1171"/>
        <v/>
      </c>
      <c r="F122" s="527" t="str">
        <f t="shared" si="1172"/>
        <v/>
      </c>
      <c r="G122" s="417"/>
      <c r="H122" s="585" t="str">
        <f t="shared" si="1173"/>
        <v/>
      </c>
      <c r="I122" s="424"/>
      <c r="J122" s="419"/>
      <c r="K122" s="418"/>
      <c r="L122" s="419"/>
      <c r="M122" s="415"/>
      <c r="N122" s="420"/>
      <c r="O122" s="421"/>
      <c r="P122" s="561"/>
      <c r="Q122" s="422"/>
      <c r="R122" s="561" t="str">
        <f t="shared" si="1174"/>
        <v/>
      </c>
      <c r="S122" s="664"/>
      <c r="T122" s="663"/>
      <c r="U122" s="580">
        <f t="shared" si="1175"/>
        <v>0</v>
      </c>
      <c r="V122" s="418"/>
      <c r="W122" s="582" t="str">
        <f t="shared" si="1176"/>
        <v/>
      </c>
      <c r="X122" s="479" t="str">
        <f t="shared" si="1177"/>
        <v/>
      </c>
      <c r="Y122" s="582" t="str">
        <f t="shared" si="1178"/>
        <v/>
      </c>
      <c r="Z122" s="317" t="str">
        <f t="shared" si="1179"/>
        <v/>
      </c>
      <c r="AA122" s="317" t="str">
        <f t="shared" si="1180"/>
        <v/>
      </c>
      <c r="AB122" s="317">
        <f t="shared" si="1181"/>
        <v>0</v>
      </c>
      <c r="AC122" s="317" t="str">
        <f t="shared" si="1182"/>
        <v/>
      </c>
      <c r="AD122" s="479"/>
      <c r="AE122" s="479"/>
      <c r="AF122" s="479"/>
      <c r="AG122" s="423"/>
      <c r="AH122" s="820"/>
      <c r="AI122" s="437"/>
      <c r="AJ122" s="660"/>
      <c r="AK122" s="524" t="str">
        <f t="shared" si="1183"/>
        <v/>
      </c>
      <c r="AL122" s="731">
        <f>SUMIF($J$4:$J$60,"Mais Escola",$S$4:$S$60)</f>
        <v>0</v>
      </c>
      <c r="AM122" s="732">
        <f>SUMIF($J$4:$J$60,"Mais Escola",$T$4:$T$60)</f>
        <v>0</v>
      </c>
      <c r="AN122" s="426">
        <f t="shared" si="1184"/>
        <v>0</v>
      </c>
      <c r="AO122" s="427" t="str">
        <f t="shared" si="1185"/>
        <v/>
      </c>
      <c r="AP122" s="426" t="str">
        <f t="shared" si="1186"/>
        <v/>
      </c>
      <c r="AQ122" s="426"/>
      <c r="AR122" s="426"/>
      <c r="AS122" s="428"/>
      <c r="AT122" s="429"/>
      <c r="AU122" s="430"/>
      <c r="AV122" s="431"/>
      <c r="AW122" s="432"/>
      <c r="AX122" s="430"/>
      <c r="AY122" s="431">
        <f t="shared" si="1187"/>
        <v>0</v>
      </c>
      <c r="AZ122" s="426"/>
      <c r="BA122" s="435" t="str">
        <f t="shared" si="1188"/>
        <v/>
      </c>
      <c r="BB122" s="435"/>
      <c r="BC122" s="426"/>
      <c r="BD122" s="426">
        <f t="array" ref="BD122">IF(SUM((BC122=$BC$3:BC121)*1)=0,BC122,0)</f>
        <v>0</v>
      </c>
      <c r="BE122" s="426"/>
      <c r="BF122" s="426"/>
      <c r="BG122" s="426">
        <f t="array" ref="BG122">IF(SUM((BF122=$BF$3:BF121)*1)=0,BF122,0)</f>
        <v>0</v>
      </c>
      <c r="BH122" s="426"/>
      <c r="BI122" s="426"/>
      <c r="BJ122" s="426"/>
      <c r="BK122" s="426"/>
      <c r="BL122" s="426"/>
      <c r="BM122" s="426"/>
      <c r="BN122" s="426"/>
      <c r="BO122" s="426"/>
      <c r="BP122" s="433">
        <f t="shared" si="1189"/>
        <v>0</v>
      </c>
      <c r="BQ122" s="426"/>
      <c r="BR122" s="434"/>
      <c r="BS122" s="426"/>
      <c r="BT122" s="433"/>
      <c r="BU122" s="435"/>
      <c r="BV122" s="435" t="str">
        <f t="shared" si="1190"/>
        <v/>
      </c>
      <c r="BW122" s="435" t="str">
        <f t="shared" si="798"/>
        <v/>
      </c>
      <c r="BX122" s="435"/>
      <c r="BY122" s="435"/>
      <c r="BZ122" s="435"/>
      <c r="CA122" s="435"/>
      <c r="CB122" s="435"/>
      <c r="CC122" s="435"/>
      <c r="CD122" s="435"/>
      <c r="CE122" s="435"/>
      <c r="CF122" s="435"/>
      <c r="CG122" s="435"/>
      <c r="CH122" s="435"/>
      <c r="CI122" s="435"/>
      <c r="CJ122" s="426" t="str">
        <f t="shared" si="799"/>
        <v/>
      </c>
      <c r="CK122" s="435"/>
      <c r="CL122" s="426"/>
      <c r="CM122" s="435"/>
      <c r="CN122" s="426"/>
      <c r="CO122" s="426"/>
      <c r="CP122" s="426"/>
      <c r="CQ122" s="426"/>
      <c r="CR122" s="426"/>
      <c r="CS122" s="426"/>
      <c r="CT122" s="426"/>
      <c r="CU122" s="426"/>
      <c r="CV122" s="426"/>
      <c r="CW122" s="493"/>
      <c r="CX122" s="493"/>
      <c r="CY122" s="426">
        <v>119</v>
      </c>
      <c r="CZ122" s="493"/>
      <c r="DA122" s="493"/>
      <c r="DB122" s="493"/>
      <c r="DC122" s="426" t="s">
        <v>862</v>
      </c>
      <c r="DD122" s="426" t="s">
        <v>1022</v>
      </c>
      <c r="DE122" s="435" t="str">
        <f t="shared" si="800"/>
        <v/>
      </c>
      <c r="DF122" s="435" t="str">
        <f t="shared" si="801"/>
        <v/>
      </c>
      <c r="DG122" s="435" t="str">
        <f t="shared" si="802"/>
        <v/>
      </c>
      <c r="DH122" s="435" t="str">
        <f t="shared" si="803"/>
        <v/>
      </c>
      <c r="DI122" s="435" t="str">
        <f t="shared" si="804"/>
        <v/>
      </c>
      <c r="DJ122" s="435" t="str">
        <f t="shared" si="805"/>
        <v/>
      </c>
      <c r="DK122" s="435" t="str">
        <f t="shared" si="1191"/>
        <v/>
      </c>
      <c r="DL122" s="435" t="str">
        <f t="shared" si="1192"/>
        <v/>
      </c>
      <c r="DM122" s="435" t="str">
        <f t="shared" si="806"/>
        <v/>
      </c>
      <c r="DN122" s="435" t="str">
        <f t="shared" si="807"/>
        <v/>
      </c>
      <c r="DO122" s="435" t="str">
        <f t="shared" si="1193"/>
        <v/>
      </c>
      <c r="DP122" s="435" t="str">
        <f t="shared" si="1194"/>
        <v/>
      </c>
      <c r="DQ122" s="435" t="str">
        <f t="shared" si="808"/>
        <v/>
      </c>
      <c r="DR122" s="435" t="str">
        <f t="shared" si="809"/>
        <v/>
      </c>
      <c r="DS122" s="435" t="str">
        <f t="shared" si="1195"/>
        <v/>
      </c>
      <c r="DT122" s="435" t="str">
        <f t="shared" si="1196"/>
        <v/>
      </c>
      <c r="DU122" s="435" t="str">
        <f t="shared" si="810"/>
        <v/>
      </c>
      <c r="DV122" s="435" t="str">
        <f t="shared" si="811"/>
        <v/>
      </c>
      <c r="DW122" s="435" t="str">
        <f t="shared" si="1197"/>
        <v/>
      </c>
      <c r="DX122" s="435" t="str">
        <f t="shared" si="1198"/>
        <v/>
      </c>
      <c r="DY122" s="435" t="str">
        <f t="shared" si="812"/>
        <v/>
      </c>
      <c r="DZ122" s="435" t="str">
        <f t="shared" si="813"/>
        <v/>
      </c>
      <c r="EA122" s="435" t="str">
        <f t="shared" si="1199"/>
        <v/>
      </c>
      <c r="EB122" s="435" t="str">
        <f t="shared" si="1200"/>
        <v/>
      </c>
      <c r="EC122" s="435" t="str">
        <f t="shared" si="1201"/>
        <v/>
      </c>
      <c r="ED122" s="435" t="str">
        <f t="shared" si="1202"/>
        <v/>
      </c>
      <c r="EE122" s="435" t="str">
        <f t="shared" si="1203"/>
        <v/>
      </c>
      <c r="EF122" s="435" t="str">
        <f t="shared" si="1204"/>
        <v/>
      </c>
      <c r="EG122" s="435" t="str">
        <f t="shared" si="1205"/>
        <v/>
      </c>
      <c r="EH122" s="435" t="str">
        <f t="shared" si="1206"/>
        <v/>
      </c>
      <c r="EI122" s="435" t="str">
        <f t="shared" si="1207"/>
        <v/>
      </c>
      <c r="EJ122" s="435" t="str">
        <f t="shared" si="1208"/>
        <v/>
      </c>
      <c r="EK122" s="485"/>
      <c r="EL122" s="485"/>
      <c r="EM122" s="485"/>
      <c r="EN122" s="485"/>
      <c r="EO122" s="448"/>
      <c r="EP122" s="448"/>
      <c r="EQ122" s="448"/>
      <c r="ER122" s="448"/>
      <c r="ES122" s="448"/>
      <c r="ET122" s="435"/>
      <c r="EU122" s="435"/>
      <c r="EV122" s="435"/>
      <c r="EW122" s="435"/>
      <c r="EX122" s="426"/>
      <c r="EY122" s="426"/>
      <c r="EZ122" s="426"/>
      <c r="FA122" s="863"/>
      <c r="FB122" s="427">
        <f t="array" ref="FB122">IF(SUM((FA122=$FA$3:FA121)*1)=0,FA122,0)</f>
        <v>0</v>
      </c>
      <c r="FC122" s="863"/>
      <c r="FD122" s="863"/>
      <c r="FE122" s="863">
        <f t="array" ref="FE122">IF(SUM((FD122=$FD$3:FD121)*1)=0,FD122,0)</f>
        <v>0</v>
      </c>
      <c r="FF122" s="863"/>
      <c r="FG122" s="863"/>
      <c r="FH122" s="863"/>
      <c r="FI122" s="427">
        <f t="array" ref="FI122">IF(SUM((FH122=$FH$3:FH121)*1)=0,FH122,0)</f>
        <v>0</v>
      </c>
      <c r="FJ122" s="863"/>
      <c r="FK122" s="863"/>
      <c r="FL122" s="863">
        <f t="array" ref="FL122">IF(SUM((FK122=$FK$3:FK121)*1)=0,FK122,0)</f>
        <v>0</v>
      </c>
      <c r="FM122" s="863"/>
      <c r="FN122" s="863"/>
      <c r="FO122" s="863"/>
      <c r="FP122" s="427">
        <f t="array" ref="FP122">IF(SUM((FO122=$FO$3:FO121)*1)=0,FO122,0)</f>
        <v>0</v>
      </c>
      <c r="FQ122" s="863"/>
      <c r="FR122" s="863"/>
      <c r="FS122" s="863">
        <f t="array" ref="FS122">IF(SUM((FR122=$FR$3:FR121)*1)=0,FR122,0)</f>
        <v>0</v>
      </c>
      <c r="FT122" s="863"/>
      <c r="FU122" s="863"/>
      <c r="FV122" s="863"/>
      <c r="FW122" s="427">
        <f t="array" ref="FW122">IF(SUM((FV122=$FV$3:FV121)*1)=0,FV122,0)</f>
        <v>0</v>
      </c>
      <c r="FX122" s="863"/>
      <c r="FY122" s="863"/>
      <c r="FZ122" s="863">
        <f t="array" ref="FZ122">IF(SUM((FY122=$FY$3:FY121)*1)=0,FY122,0)</f>
        <v>0</v>
      </c>
      <c r="GA122" s="863"/>
      <c r="GB122" s="863"/>
      <c r="GC122" s="863"/>
      <c r="GD122" s="427">
        <f t="array" ref="GD122">IF(SUM((GC122=$GC$3:GC121)*1)=0,GC122,0)</f>
        <v>0</v>
      </c>
      <c r="GE122" s="863"/>
      <c r="GF122" s="863"/>
      <c r="GG122" s="863">
        <f t="array" ref="GG122">IF(SUM((GF122=$GF$3:GF121)*1)=0,GF122,0)</f>
        <v>0</v>
      </c>
      <c r="GH122" s="863"/>
      <c r="GI122" s="863"/>
      <c r="GJ122" s="863"/>
      <c r="GK122" s="798">
        <f t="array" ref="GK122">IF(SUM((GJ122=$GJ$3:GJ121)*1)=0,GJ122,0)</f>
        <v>0</v>
      </c>
      <c r="GL122" s="863"/>
      <c r="GM122" s="863"/>
      <c r="GN122" s="798">
        <f t="array" ref="GN122">IF(SUM((GM122=$GM$3:GM121)*1)=0,GM122,0)</f>
        <v>0</v>
      </c>
      <c r="GO122" s="863"/>
      <c r="GP122" s="863"/>
      <c r="GQ122" s="863"/>
      <c r="GR122" s="798">
        <f t="array" ref="GR122">IF(SUM((GQ122=$GQ$3:GQ121)*1)=0,GQ122,0)</f>
        <v>0</v>
      </c>
      <c r="GS122" s="863"/>
      <c r="GT122" s="863"/>
      <c r="GU122" s="798">
        <f t="array" ref="GU122">IF(SUM((GT122=$GT$3:GT121)*1)=0,GT122,0)</f>
        <v>0</v>
      </c>
      <c r="GV122" s="863"/>
      <c r="GW122" s="863"/>
      <c r="GX122" s="863"/>
      <c r="GY122" s="798">
        <f t="array" ref="GY122">IF(SUM((GX122=$GX$3:GX121)*1)=0,GX122,0)</f>
        <v>0</v>
      </c>
      <c r="GZ122" s="863"/>
      <c r="HA122" s="863"/>
      <c r="HB122" s="798">
        <f t="array" ref="HB122">IF(SUM((HA122=$HA$3:HA121)*1)=0,HA122,0)</f>
        <v>0</v>
      </c>
      <c r="HC122" s="863"/>
      <c r="HD122" s="863"/>
      <c r="HE122" s="769" t="str">
        <f t="shared" si="889"/>
        <v/>
      </c>
      <c r="HF122" s="768" t="str">
        <f t="shared" ref="HF122" si="1439">IF(HE122&lt;0,"Invadiu REP-BA-C","")</f>
        <v/>
      </c>
      <c r="HG122" s="769" t="str">
        <f t="shared" si="891"/>
        <v/>
      </c>
      <c r="HH122" s="768" t="str">
        <f t="shared" si="815"/>
        <v/>
      </c>
      <c r="HI122" s="728" t="str">
        <f t="shared" si="892"/>
        <v/>
      </c>
      <c r="HJ122" s="768" t="str">
        <f t="shared" si="816"/>
        <v/>
      </c>
      <c r="HK122" s="728" t="str">
        <f t="shared" si="893"/>
        <v/>
      </c>
      <c r="HL122" s="768" t="str">
        <f t="shared" si="817"/>
        <v/>
      </c>
      <c r="HM122" s="769" t="str">
        <f t="shared" si="1219"/>
        <v/>
      </c>
      <c r="HN122" s="768" t="str">
        <f t="shared" ref="HN122" si="1440">IF(HM122&lt;0,"Invadiu REP-BA-C","")</f>
        <v/>
      </c>
      <c r="HO122" s="769" t="str">
        <f t="shared" si="1221"/>
        <v/>
      </c>
      <c r="HP122" s="768" t="str">
        <f t="shared" si="821"/>
        <v/>
      </c>
      <c r="HQ122" s="728" t="str">
        <f t="shared" si="1222"/>
        <v/>
      </c>
      <c r="HR122" s="768" t="str">
        <f t="shared" si="823"/>
        <v/>
      </c>
      <c r="HS122" s="728" t="str">
        <f t="shared" si="1223"/>
        <v/>
      </c>
      <c r="HT122" s="768" t="str">
        <f t="shared" si="825"/>
        <v/>
      </c>
      <c r="HU122" s="769" t="str">
        <f t="shared" si="1224"/>
        <v/>
      </c>
      <c r="HV122" s="768" t="str">
        <f t="shared" ref="HV122" si="1441">IF(HU122&lt;0,"Invadiu REP-BA-C","")</f>
        <v/>
      </c>
      <c r="HW122" s="769" t="str">
        <f t="shared" si="1226"/>
        <v/>
      </c>
      <c r="HX122" s="768" t="str">
        <f t="shared" si="829"/>
        <v/>
      </c>
      <c r="HY122" s="728" t="str">
        <f t="shared" si="1227"/>
        <v/>
      </c>
      <c r="HZ122" s="768" t="str">
        <f t="shared" si="831"/>
        <v/>
      </c>
      <c r="IA122" s="728" t="str">
        <f t="shared" si="1228"/>
        <v/>
      </c>
      <c r="IB122" s="768" t="str">
        <f t="shared" si="833"/>
        <v/>
      </c>
      <c r="IC122" s="769" t="str">
        <f t="shared" si="1229"/>
        <v/>
      </c>
      <c r="ID122" s="768" t="str">
        <f t="shared" ref="ID122" si="1442">IF(IC122&lt;0,"Invadiu REP-BA-C","")</f>
        <v/>
      </c>
      <c r="IE122" s="769" t="str">
        <f t="shared" si="1231"/>
        <v/>
      </c>
      <c r="IF122" s="768" t="str">
        <f t="shared" si="837"/>
        <v/>
      </c>
      <c r="IG122" s="728" t="str">
        <f t="shared" si="1232"/>
        <v/>
      </c>
      <c r="IH122" s="768" t="str">
        <f t="shared" si="839"/>
        <v/>
      </c>
      <c r="II122" s="728" t="str">
        <f t="shared" si="1233"/>
        <v/>
      </c>
      <c r="IJ122" s="768" t="str">
        <f t="shared" si="841"/>
        <v/>
      </c>
      <c r="IK122" s="769" t="str">
        <f t="shared" si="1234"/>
        <v/>
      </c>
      <c r="IL122" s="768" t="str">
        <f t="shared" ref="IL122" si="1443">IF(IK122&lt;0,"Invadiu REP-BA-C","")</f>
        <v/>
      </c>
      <c r="IM122" s="769" t="str">
        <f t="shared" si="1236"/>
        <v/>
      </c>
      <c r="IN122" s="768" t="str">
        <f t="shared" si="845"/>
        <v/>
      </c>
      <c r="IO122" s="728" t="str">
        <f t="shared" si="1237"/>
        <v/>
      </c>
      <c r="IP122" s="768" t="str">
        <f t="shared" si="847"/>
        <v/>
      </c>
      <c r="IQ122" s="728" t="str">
        <f t="shared" si="1238"/>
        <v/>
      </c>
      <c r="IR122" s="768" t="str">
        <f t="shared" si="849"/>
        <v/>
      </c>
      <c r="IS122" s="769" t="str">
        <f t="shared" si="1239"/>
        <v/>
      </c>
      <c r="IT122" s="768" t="str">
        <f t="shared" ref="IT122" si="1444">IF(IS122&lt;0,"Invadiu REP-BA-C","")</f>
        <v/>
      </c>
      <c r="IU122" s="769" t="str">
        <f t="shared" si="1241"/>
        <v/>
      </c>
      <c r="IV122" s="768" t="str">
        <f t="shared" si="853"/>
        <v/>
      </c>
      <c r="IW122" s="728" t="str">
        <f t="shared" si="1242"/>
        <v/>
      </c>
      <c r="IX122" s="768" t="str">
        <f t="shared" si="855"/>
        <v/>
      </c>
      <c r="IY122" s="728" t="str">
        <f t="shared" si="1243"/>
        <v/>
      </c>
      <c r="IZ122" s="768" t="str">
        <f t="shared" si="857"/>
        <v/>
      </c>
      <c r="JA122" s="769" t="str">
        <f t="shared" si="1244"/>
        <v/>
      </c>
      <c r="JB122" s="768" t="str">
        <f t="shared" ref="JB122" si="1445">IF(JA122&lt;0,"Invadiu REP-BA-C","")</f>
        <v/>
      </c>
      <c r="JC122" s="769" t="str">
        <f t="shared" si="1246"/>
        <v/>
      </c>
      <c r="JD122" s="768" t="str">
        <f t="shared" si="861"/>
        <v/>
      </c>
      <c r="JE122" s="728" t="str">
        <f t="shared" si="1247"/>
        <v/>
      </c>
      <c r="JF122" s="768" t="str">
        <f t="shared" si="863"/>
        <v/>
      </c>
      <c r="JG122" s="728" t="str">
        <f t="shared" si="1248"/>
        <v/>
      </c>
      <c r="JH122" s="768" t="str">
        <f t="shared" si="865"/>
        <v/>
      </c>
      <c r="JI122" s="769" t="str">
        <f t="shared" si="1249"/>
        <v/>
      </c>
      <c r="JJ122" s="768" t="str">
        <f t="shared" ref="JJ122" si="1446">IF(JI122&lt;0,"Invadiu REP-BA-C","")</f>
        <v/>
      </c>
      <c r="JK122" s="769" t="str">
        <f t="shared" si="1251"/>
        <v/>
      </c>
      <c r="JL122" s="768" t="str">
        <f t="shared" si="869"/>
        <v/>
      </c>
      <c r="JM122" s="728" t="str">
        <f t="shared" si="1252"/>
        <v/>
      </c>
      <c r="JN122" s="768" t="str">
        <f t="shared" si="871"/>
        <v/>
      </c>
      <c r="JO122" s="728" t="str">
        <f t="shared" si="1253"/>
        <v/>
      </c>
      <c r="JP122" s="768" t="str">
        <f t="shared" si="873"/>
        <v/>
      </c>
      <c r="JQ122" s="769" t="str">
        <f t="shared" si="1254"/>
        <v/>
      </c>
      <c r="JR122" s="768" t="str">
        <f t="shared" ref="JR122" si="1447">IF(JQ122&lt;0,"Invadiu REP-BA-C","")</f>
        <v/>
      </c>
      <c r="JS122" s="769" t="str">
        <f t="shared" si="1256"/>
        <v/>
      </c>
      <c r="JT122" s="768" t="str">
        <f t="shared" si="877"/>
        <v/>
      </c>
      <c r="JU122" s="728" t="str">
        <f t="shared" si="1257"/>
        <v/>
      </c>
      <c r="JV122" s="768" t="str">
        <f t="shared" si="879"/>
        <v/>
      </c>
      <c r="JW122" s="728" t="str">
        <f t="shared" si="1258"/>
        <v/>
      </c>
      <c r="JX122" s="768" t="str">
        <f t="shared" si="881"/>
        <v/>
      </c>
      <c r="JY122" s="768" t="str">
        <f t="shared" si="882"/>
        <v/>
      </c>
      <c r="JZ122" s="485" t="str">
        <f>IF(JY122="","",IF(AND(C122=$C$164,JY122&lt;&gt;""),Verificarcpf(D122),IF(AND(C122=$C$165,JY122&lt;&gt;""),VerificarCNPJ(D122))))</f>
        <v/>
      </c>
      <c r="KA122" s="768" t="str">
        <f t="shared" si="883"/>
        <v/>
      </c>
      <c r="KB122" s="485">
        <f t="shared" si="884"/>
        <v>0</v>
      </c>
      <c r="KC122" s="768">
        <f t="shared" si="885"/>
        <v>0</v>
      </c>
      <c r="KD122" s="485">
        <f t="shared" si="886"/>
        <v>0</v>
      </c>
      <c r="KE122" s="448"/>
      <c r="KF122" s="548"/>
      <c r="KG122" s="548"/>
      <c r="KH122" s="548"/>
      <c r="KI122" s="548"/>
      <c r="KJ122" s="548" t="str">
        <f t="shared" si="887"/>
        <v/>
      </c>
      <c r="KK122" s="548"/>
      <c r="KL122" s="548"/>
      <c r="KM122" s="548">
        <f t="array" ref="KM122">IF(SUM((KL122=$KL$3:KL121)*1)=0,KL122,0)</f>
        <v>0</v>
      </c>
      <c r="KN122" s="548"/>
      <c r="KO122" s="548"/>
      <c r="KP122" s="548"/>
      <c r="KQ122" s="548"/>
      <c r="KR122" s="548" t="str">
        <f t="shared" si="888"/>
        <v/>
      </c>
      <c r="KS122" s="548"/>
      <c r="KT122" s="548"/>
      <c r="KU122" s="548"/>
      <c r="KV122" s="548"/>
      <c r="KW122" s="548"/>
      <c r="KX122" s="548"/>
      <c r="KY122" s="548"/>
      <c r="KZ122" s="548"/>
      <c r="LA122" s="548"/>
      <c r="LB122" s="548"/>
      <c r="LC122" s="485" t="str">
        <f t="shared" si="902"/>
        <v/>
      </c>
      <c r="LD122" s="548"/>
      <c r="LE122" s="548"/>
      <c r="LF122" s="548"/>
      <c r="LG122" s="548"/>
      <c r="LH122" s="548"/>
      <c r="LI122" s="548"/>
      <c r="LJ122" s="548"/>
      <c r="LK122" s="548"/>
      <c r="LL122" s="548"/>
      <c r="LM122" s="548"/>
      <c r="LN122" s="548"/>
      <c r="LO122" s="548"/>
      <c r="LP122" s="485" t="str">
        <f t="shared" si="903"/>
        <v/>
      </c>
      <c r="LQ122" s="548"/>
      <c r="LR122" s="548"/>
      <c r="LS122" s="548"/>
      <c r="LT122" s="548"/>
      <c r="LU122" s="548"/>
      <c r="LV122" s="548"/>
      <c r="LW122" s="548"/>
      <c r="LX122" s="548"/>
      <c r="LY122" s="548"/>
      <c r="LZ122" s="548"/>
      <c r="MA122" s="548"/>
      <c r="MB122" s="548"/>
      <c r="MC122" s="485" t="str">
        <f t="shared" si="904"/>
        <v/>
      </c>
      <c r="MD122" s="548"/>
      <c r="ME122" s="548"/>
      <c r="MF122" s="548"/>
      <c r="MG122" s="548"/>
      <c r="MH122" s="548"/>
      <c r="MI122" s="548"/>
      <c r="MJ122" s="548"/>
      <c r="MK122" s="548"/>
      <c r="ML122" s="548"/>
      <c r="MM122" s="548"/>
      <c r="MN122" s="548"/>
      <c r="MO122" s="548"/>
      <c r="MP122" s="485" t="str">
        <f t="shared" si="905"/>
        <v/>
      </c>
      <c r="MQ122" s="548"/>
      <c r="MR122" s="548"/>
      <c r="MS122" s="548"/>
      <c r="MT122" s="548"/>
      <c r="MU122" s="548"/>
      <c r="MV122" s="548"/>
      <c r="MW122" s="548"/>
      <c r="MX122" s="548"/>
      <c r="MY122" s="548"/>
      <c r="MZ122" s="548"/>
      <c r="NA122" s="548"/>
      <c r="NB122" s="548"/>
      <c r="NC122" s="485" t="str">
        <f t="shared" si="906"/>
        <v/>
      </c>
      <c r="ND122" s="548"/>
      <c r="NE122" s="548"/>
      <c r="NF122" s="548"/>
      <c r="NG122" s="548"/>
      <c r="NH122" s="548"/>
      <c r="NI122" s="548"/>
      <c r="NJ122" s="548"/>
      <c r="NK122" s="548"/>
      <c r="NL122" s="548"/>
      <c r="NM122" s="548"/>
      <c r="NN122" s="548"/>
      <c r="NO122" s="548"/>
      <c r="NP122" s="485" t="str">
        <f t="shared" si="907"/>
        <v/>
      </c>
      <c r="NQ122" s="548"/>
      <c r="NR122" s="548"/>
      <c r="NS122" s="548"/>
      <c r="NT122" s="548"/>
      <c r="NU122" s="548"/>
      <c r="NV122" s="548"/>
      <c r="NW122" s="548"/>
      <c r="NX122" s="548"/>
      <c r="NY122" s="548"/>
      <c r="NZ122" s="548"/>
      <c r="OA122" s="548"/>
      <c r="OB122" s="548"/>
      <c r="OC122" s="485" t="str">
        <f t="shared" si="908"/>
        <v/>
      </c>
      <c r="OD122" s="548"/>
      <c r="OE122" s="548"/>
      <c r="OF122" s="548"/>
      <c r="OG122" s="548"/>
      <c r="OH122" s="548"/>
      <c r="OI122" s="548"/>
      <c r="OJ122" s="548"/>
      <c r="OK122" s="548"/>
      <c r="OL122" s="548"/>
      <c r="OM122" s="548"/>
      <c r="ON122" s="548"/>
      <c r="OO122" s="548"/>
      <c r="OP122" s="548"/>
      <c r="OQ122" s="548"/>
      <c r="OR122" s="548"/>
      <c r="OS122" s="548"/>
      <c r="OT122" s="548"/>
      <c r="OU122" s="548"/>
      <c r="OV122" s="548"/>
      <c r="OW122" s="548"/>
      <c r="OX122" s="548"/>
      <c r="OY122" s="548"/>
      <c r="OZ122" s="548"/>
      <c r="PA122" s="548"/>
      <c r="PB122" s="548"/>
      <c r="PC122" s="548"/>
      <c r="PD122" s="548"/>
      <c r="PE122" s="548"/>
      <c r="PF122" s="548"/>
      <c r="PG122" s="548"/>
      <c r="PH122" s="548"/>
      <c r="PI122" s="548"/>
      <c r="PJ122" s="548"/>
      <c r="PK122" s="548"/>
      <c r="PL122" s="548"/>
      <c r="PM122" s="548"/>
      <c r="PN122" s="548"/>
      <c r="PO122" s="548"/>
      <c r="PP122" s="548"/>
      <c r="PQ122" s="548"/>
      <c r="PR122" s="548"/>
      <c r="PS122" s="548"/>
      <c r="PT122" s="548"/>
      <c r="PU122" s="548"/>
      <c r="PV122" s="548"/>
      <c r="PW122" s="548"/>
      <c r="PX122" s="548"/>
      <c r="PY122" s="548"/>
      <c r="PZ122" s="548"/>
      <c r="QA122" s="548"/>
      <c r="QB122" s="548"/>
      <c r="QC122" s="548"/>
      <c r="QD122" s="548"/>
      <c r="QE122" s="548"/>
      <c r="QF122" s="548"/>
      <c r="QG122" s="548"/>
      <c r="QH122" s="548"/>
      <c r="QI122" s="548"/>
      <c r="QJ122" s="548"/>
      <c r="QK122" s="548"/>
      <c r="QL122" s="548"/>
      <c r="QM122" s="548"/>
      <c r="QN122" s="548"/>
      <c r="QO122" s="548"/>
      <c r="QP122" s="548"/>
      <c r="QQ122" s="1009"/>
      <c r="QR122" s="548"/>
      <c r="QS122" s="548"/>
      <c r="QT122" s="548"/>
      <c r="QU122" s="548"/>
      <c r="QV122" s="548"/>
      <c r="QW122" s="548"/>
      <c r="QX122" s="548"/>
      <c r="QY122" s="548"/>
      <c r="QZ122" s="548"/>
      <c r="RA122" s="548"/>
      <c r="RB122" s="548"/>
      <c r="RC122" s="548"/>
      <c r="RD122" s="548"/>
      <c r="RE122" s="548"/>
      <c r="RF122" s="548"/>
      <c r="RG122" s="548"/>
      <c r="RH122" s="548"/>
      <c r="RI122" s="548"/>
      <c r="RJ122" s="548"/>
      <c r="RK122" s="548"/>
      <c r="RL122" s="548"/>
      <c r="RM122" s="548"/>
      <c r="RN122" s="548"/>
      <c r="RO122" s="548"/>
      <c r="RP122" s="548"/>
      <c r="RQ122" s="548"/>
      <c r="RR122" s="548"/>
      <c r="RS122" s="548"/>
      <c r="RT122" s="548"/>
      <c r="RU122" s="548"/>
      <c r="RV122" s="548"/>
      <c r="RW122" s="548"/>
      <c r="RX122" s="548"/>
      <c r="RY122" s="548"/>
      <c r="RZ122" s="548"/>
      <c r="SA122" s="548"/>
      <c r="SB122" s="548"/>
      <c r="SC122" s="548"/>
      <c r="SD122" s="548"/>
      <c r="SE122" s="548"/>
      <c r="SF122" s="548"/>
      <c r="SG122" s="548"/>
      <c r="SH122" s="548"/>
      <c r="SI122" s="548"/>
      <c r="SJ122" s="548"/>
      <c r="SK122" s="548"/>
      <c r="SL122" s="548"/>
      <c r="SM122" s="548"/>
      <c r="SN122" s="548"/>
      <c r="SO122" s="548"/>
      <c r="SP122" s="548"/>
      <c r="SQ122" s="548"/>
      <c r="SR122" s="548"/>
      <c r="SS122" s="548"/>
      <c r="ST122" s="548"/>
      <c r="SU122" s="548"/>
      <c r="SV122" s="548"/>
      <c r="SW122" s="548"/>
      <c r="SX122" s="548"/>
      <c r="SY122" s="548"/>
      <c r="SZ122" s="548"/>
      <c r="TA122" s="548"/>
      <c r="TB122" s="548"/>
      <c r="TC122" s="548"/>
      <c r="TD122" s="548"/>
      <c r="TE122" s="548"/>
      <c r="TF122" s="548"/>
      <c r="TG122" s="548"/>
      <c r="TH122" s="548"/>
      <c r="TI122" s="548"/>
      <c r="TJ122" s="548"/>
      <c r="TK122" s="548"/>
      <c r="TL122" s="548"/>
      <c r="TM122" s="548"/>
      <c r="TN122" s="548"/>
      <c r="TO122" s="548"/>
      <c r="TP122" s="548"/>
      <c r="TQ122" s="548"/>
      <c r="TR122" s="548"/>
      <c r="TS122" s="548"/>
      <c r="TT122" s="548"/>
      <c r="TU122" s="548"/>
      <c r="TV122" s="548"/>
      <c r="TW122" s="548"/>
      <c r="TX122" s="548"/>
      <c r="TY122" s="548"/>
      <c r="TZ122" s="548"/>
      <c r="UA122" s="548"/>
      <c r="UB122" s="548"/>
      <c r="UC122" s="548"/>
      <c r="UD122" s="548"/>
      <c r="UE122" s="548"/>
      <c r="UF122" s="548"/>
      <c r="UG122" s="548"/>
      <c r="UH122" s="548"/>
      <c r="UI122" s="548"/>
      <c r="UJ122" s="548"/>
      <c r="UK122" s="548"/>
      <c r="UL122" s="548"/>
      <c r="UM122" s="548"/>
      <c r="UN122" s="548"/>
      <c r="UO122" s="548"/>
      <c r="UP122" s="548"/>
      <c r="UQ122" s="548"/>
      <c r="UR122" s="548"/>
      <c r="US122" s="548"/>
      <c r="UT122" s="548"/>
      <c r="UU122" s="548"/>
      <c r="UV122" s="548"/>
      <c r="UW122" s="548"/>
      <c r="UX122" s="548"/>
      <c r="UY122" s="548"/>
      <c r="UZ122" s="548"/>
      <c r="VA122" s="548"/>
      <c r="VB122" s="548"/>
      <c r="VC122" s="548"/>
      <c r="VD122" s="548"/>
      <c r="VE122" s="548"/>
      <c r="VF122" s="548"/>
      <c r="VG122" s="548"/>
      <c r="VH122" s="548"/>
      <c r="VI122" s="548"/>
      <c r="VJ122" s="548"/>
      <c r="VK122" s="548"/>
      <c r="VL122" s="548"/>
      <c r="VM122" s="548"/>
      <c r="VN122" s="548"/>
      <c r="VO122" s="548"/>
      <c r="VP122" s="548"/>
      <c r="VQ122" s="548"/>
      <c r="VR122" s="548"/>
      <c r="VS122" s="548"/>
      <c r="VT122" s="548"/>
      <c r="VU122" s="548"/>
      <c r="VV122" s="548"/>
      <c r="VW122" s="548"/>
      <c r="VX122" s="548"/>
      <c r="VY122" s="548"/>
      <c r="VZ122" s="548"/>
      <c r="WA122" s="548"/>
      <c r="WB122" s="548"/>
      <c r="WC122" s="548"/>
      <c r="WD122" s="548"/>
      <c r="WE122" s="548"/>
      <c r="WF122" s="548"/>
      <c r="WG122" s="548"/>
      <c r="WH122" s="548"/>
      <c r="WI122" s="548"/>
      <c r="WJ122" s="548"/>
      <c r="WK122" s="548"/>
      <c r="WL122" s="548"/>
      <c r="WM122" s="548"/>
      <c r="WN122" s="548"/>
      <c r="WO122" s="548"/>
      <c r="WP122" s="548"/>
      <c r="WQ122" s="548"/>
      <c r="WR122" s="548"/>
      <c r="WS122" s="548"/>
      <c r="WT122" s="548"/>
      <c r="WU122" s="548"/>
      <c r="WV122" s="548"/>
      <c r="WW122" s="548"/>
      <c r="WX122" s="548"/>
      <c r="WY122" s="548"/>
      <c r="WZ122" s="548"/>
      <c r="XA122" s="548"/>
      <c r="XB122" s="548"/>
      <c r="XC122" s="548"/>
      <c r="XD122" s="548"/>
      <c r="XE122" s="548"/>
      <c r="XF122" s="548"/>
      <c r="XG122" s="548"/>
      <c r="XH122" s="548"/>
      <c r="XI122" s="548"/>
      <c r="XJ122" s="548"/>
      <c r="XK122" s="548"/>
      <c r="XL122" s="548"/>
      <c r="XM122" s="548"/>
      <c r="XN122" s="548"/>
      <c r="XO122" s="548"/>
      <c r="XP122" s="548"/>
      <c r="XQ122" s="548"/>
      <c r="XR122" s="548"/>
      <c r="XS122" s="548"/>
      <c r="XT122" s="548"/>
      <c r="XU122" s="548"/>
      <c r="XV122" s="548"/>
      <c r="XW122" s="548"/>
      <c r="XX122" s="548"/>
      <c r="XY122" s="548"/>
      <c r="XZ122" s="548"/>
      <c r="YA122" s="548"/>
      <c r="YB122" s="548"/>
      <c r="YC122" s="548"/>
      <c r="YD122" s="548"/>
      <c r="YE122" s="548"/>
      <c r="YF122" s="548"/>
      <c r="YG122" s="548"/>
      <c r="YH122" s="548"/>
      <c r="YI122" s="548"/>
      <c r="YJ122" s="548"/>
      <c r="YK122" s="548"/>
      <c r="YL122" s="548"/>
      <c r="YM122" s="548"/>
      <c r="YN122" s="548"/>
      <c r="YO122" s="548"/>
      <c r="YP122" s="548"/>
      <c r="YQ122" s="548"/>
      <c r="YR122" s="548"/>
      <c r="YS122" s="548"/>
      <c r="YT122" s="548"/>
      <c r="YU122" s="548"/>
      <c r="YV122" s="548"/>
      <c r="YW122" s="548"/>
      <c r="YX122" s="548"/>
      <c r="YY122" s="548"/>
      <c r="YZ122" s="548"/>
      <c r="ZA122" s="548"/>
      <c r="ZB122" s="548"/>
      <c r="ZC122" s="548"/>
      <c r="ZD122" s="548"/>
      <c r="ZE122" s="548"/>
      <c r="ZF122" s="548"/>
      <c r="ZG122" s="548"/>
      <c r="ZH122" s="548"/>
      <c r="ZI122" s="548"/>
      <c r="ZJ122" s="548"/>
      <c r="ZK122" s="548"/>
      <c r="ZL122" s="548"/>
      <c r="ZM122" s="548"/>
      <c r="ZN122" s="548"/>
      <c r="ZO122" s="548"/>
      <c r="ZP122" s="548"/>
      <c r="ZQ122" s="548"/>
      <c r="ZR122" s="548"/>
      <c r="ZS122" s="548"/>
      <c r="ZT122" s="548"/>
      <c r="ZU122" s="548"/>
      <c r="ZV122" s="548"/>
      <c r="ZW122" s="548"/>
      <c r="ZX122" s="548"/>
      <c r="ZY122" s="548"/>
      <c r="ZZ122" s="548"/>
      <c r="AAA122" s="548"/>
      <c r="AAB122" s="548"/>
      <c r="AAC122" s="548"/>
      <c r="AAD122" s="548"/>
      <c r="AAE122" s="548"/>
      <c r="AAF122" s="548"/>
      <c r="AAG122" s="548"/>
      <c r="AAH122" s="548"/>
      <c r="AAI122" s="548"/>
      <c r="AAJ122" s="548"/>
      <c r="AAK122" s="548"/>
      <c r="AAL122" s="548"/>
      <c r="AAM122" s="548"/>
      <c r="AAN122" s="548"/>
      <c r="AAO122" s="548"/>
      <c r="AAP122" s="548"/>
      <c r="AAQ122" s="548"/>
      <c r="AAR122" s="548"/>
      <c r="AAS122" s="548"/>
      <c r="AAT122" s="548"/>
      <c r="AAU122" s="548"/>
      <c r="AAV122" s="548"/>
      <c r="AAW122" s="548"/>
      <c r="AAX122" s="548"/>
      <c r="AAY122" s="548"/>
      <c r="AAZ122" s="548"/>
      <c r="ABA122" s="548"/>
      <c r="ABB122" s="548"/>
      <c r="ABC122" s="548"/>
      <c r="ABD122" s="548"/>
      <c r="ABE122" s="548"/>
      <c r="ABF122" s="548"/>
      <c r="ABG122" s="548"/>
      <c r="ABH122" s="548"/>
      <c r="ABI122" s="548"/>
      <c r="ABJ122" s="548"/>
      <c r="ABK122" s="548"/>
      <c r="ABL122" s="548"/>
      <c r="ABM122" s="548"/>
      <c r="ABN122" s="548"/>
      <c r="ABO122" s="548"/>
      <c r="ABP122" s="548"/>
      <c r="ABQ122" s="548"/>
      <c r="ABR122" s="548"/>
      <c r="ABS122" s="548"/>
    </row>
    <row r="123" spans="1:747" customFormat="1" ht="15" customHeight="1" x14ac:dyDescent="0.2">
      <c r="A123" s="424" t="str">
        <f t="shared" si="909"/>
        <v/>
      </c>
      <c r="B123" s="415"/>
      <c r="C123" s="525"/>
      <c r="D123" s="750"/>
      <c r="E123" s="416" t="str">
        <f t="shared" si="1171"/>
        <v/>
      </c>
      <c r="F123" s="527" t="str">
        <f t="shared" si="1172"/>
        <v/>
      </c>
      <c r="G123" s="417"/>
      <c r="H123" s="585" t="str">
        <f t="shared" si="1173"/>
        <v/>
      </c>
      <c r="I123" s="424"/>
      <c r="J123" s="419"/>
      <c r="K123" s="418"/>
      <c r="L123" s="419"/>
      <c r="M123" s="415"/>
      <c r="N123" s="420"/>
      <c r="O123" s="421"/>
      <c r="P123" s="561"/>
      <c r="Q123" s="422"/>
      <c r="R123" s="561" t="str">
        <f t="shared" si="1174"/>
        <v/>
      </c>
      <c r="S123" s="664"/>
      <c r="T123" s="663"/>
      <c r="U123" s="580">
        <f t="shared" si="1175"/>
        <v>0</v>
      </c>
      <c r="V123" s="418"/>
      <c r="W123" s="582" t="str">
        <f t="shared" si="1176"/>
        <v/>
      </c>
      <c r="X123" s="479" t="str">
        <f t="shared" si="1177"/>
        <v/>
      </c>
      <c r="Y123" s="582" t="str">
        <f t="shared" si="1178"/>
        <v/>
      </c>
      <c r="Z123" s="317" t="str">
        <f t="shared" si="1179"/>
        <v/>
      </c>
      <c r="AA123" s="317" t="str">
        <f t="shared" si="1180"/>
        <v/>
      </c>
      <c r="AB123" s="317">
        <f t="shared" si="1181"/>
        <v>0</v>
      </c>
      <c r="AC123" s="317" t="str">
        <f t="shared" si="1182"/>
        <v/>
      </c>
      <c r="AD123" s="479"/>
      <c r="AE123" s="479"/>
      <c r="AF123" s="479"/>
      <c r="AG123" s="423"/>
      <c r="AH123" s="820"/>
      <c r="AI123" s="437"/>
      <c r="AJ123" s="660"/>
      <c r="AK123" s="524" t="str">
        <f t="shared" si="1183"/>
        <v/>
      </c>
      <c r="AL123" s="731">
        <f>SUMIF($J$4:$J$74,"Mais Escola",$S$4:$S$74)</f>
        <v>0</v>
      </c>
      <c r="AM123" s="732">
        <f>SUMIF($J$4:$J$74,"Mais Escola",$T$4:$T$74)</f>
        <v>0</v>
      </c>
      <c r="AN123" s="426">
        <f t="shared" si="1184"/>
        <v>0</v>
      </c>
      <c r="AO123" s="427" t="str">
        <f t="shared" si="1185"/>
        <v/>
      </c>
      <c r="AP123" s="426" t="str">
        <f t="shared" si="1186"/>
        <v/>
      </c>
      <c r="AQ123" s="426"/>
      <c r="AR123" s="426"/>
      <c r="AS123" s="428"/>
      <c r="AT123" s="429"/>
      <c r="AU123" s="430"/>
      <c r="AV123" s="431"/>
      <c r="AW123" s="432"/>
      <c r="AX123" s="430"/>
      <c r="AY123" s="431">
        <f t="shared" si="1187"/>
        <v>0</v>
      </c>
      <c r="AZ123" s="426"/>
      <c r="BA123" s="435" t="str">
        <f t="shared" si="1188"/>
        <v/>
      </c>
      <c r="BB123" s="435"/>
      <c r="BC123" s="426"/>
      <c r="BD123" s="426">
        <f t="array" ref="BD123">IF(SUM((BC123=$BC$3:BC122)*1)=0,BC123,0)</f>
        <v>0</v>
      </c>
      <c r="BE123" s="426"/>
      <c r="BF123" s="426"/>
      <c r="BG123" s="426">
        <f t="array" ref="BG123">IF(SUM((BF123=$BF$3:BF122)*1)=0,BF123,0)</f>
        <v>0</v>
      </c>
      <c r="BH123" s="426"/>
      <c r="BI123" s="426"/>
      <c r="BJ123" s="426"/>
      <c r="BK123" s="426"/>
      <c r="BL123" s="426"/>
      <c r="BM123" s="426"/>
      <c r="BN123" s="426"/>
      <c r="BO123" s="426"/>
      <c r="BP123" s="433">
        <f t="shared" si="1189"/>
        <v>0</v>
      </c>
      <c r="BQ123" s="426"/>
      <c r="BR123" s="434"/>
      <c r="BS123" s="426"/>
      <c r="BT123" s="433"/>
      <c r="BU123" s="435"/>
      <c r="BV123" s="435" t="str">
        <f t="shared" si="1190"/>
        <v/>
      </c>
      <c r="BW123" s="435" t="str">
        <f t="shared" si="798"/>
        <v/>
      </c>
      <c r="BX123" s="435"/>
      <c r="BY123" s="435"/>
      <c r="BZ123" s="435"/>
      <c r="CA123" s="435"/>
      <c r="CB123" s="435"/>
      <c r="CC123" s="435"/>
      <c r="CD123" s="435"/>
      <c r="CE123" s="435"/>
      <c r="CF123" s="435"/>
      <c r="CG123" s="435"/>
      <c r="CH123" s="435"/>
      <c r="CI123" s="435"/>
      <c r="CJ123" s="426" t="str">
        <f t="shared" si="799"/>
        <v/>
      </c>
      <c r="CK123" s="435"/>
      <c r="CL123" s="426"/>
      <c r="CM123" s="435"/>
      <c r="CN123" s="426"/>
      <c r="CO123" s="426"/>
      <c r="CP123" s="426"/>
      <c r="CQ123" s="426"/>
      <c r="CR123" s="426"/>
      <c r="CS123" s="426"/>
      <c r="CT123" s="426"/>
      <c r="CU123" s="426"/>
      <c r="CV123" s="426"/>
      <c r="CW123" s="493"/>
      <c r="CX123" s="493"/>
      <c r="CY123" s="426">
        <v>120</v>
      </c>
      <c r="CZ123" s="493"/>
      <c r="DA123" s="493"/>
      <c r="DB123" s="493"/>
      <c r="DC123" s="426" t="s">
        <v>863</v>
      </c>
      <c r="DD123" s="426" t="s">
        <v>1023</v>
      </c>
      <c r="DE123" s="435" t="str">
        <f t="shared" si="800"/>
        <v/>
      </c>
      <c r="DF123" s="435" t="str">
        <f t="shared" si="801"/>
        <v/>
      </c>
      <c r="DG123" s="435" t="str">
        <f t="shared" si="802"/>
        <v/>
      </c>
      <c r="DH123" s="435" t="str">
        <f t="shared" si="803"/>
        <v/>
      </c>
      <c r="DI123" s="435" t="str">
        <f t="shared" si="804"/>
        <v/>
      </c>
      <c r="DJ123" s="435" t="str">
        <f t="shared" si="805"/>
        <v/>
      </c>
      <c r="DK123" s="435" t="str">
        <f t="shared" si="1191"/>
        <v/>
      </c>
      <c r="DL123" s="435" t="str">
        <f t="shared" si="1192"/>
        <v/>
      </c>
      <c r="DM123" s="435" t="str">
        <f t="shared" si="806"/>
        <v/>
      </c>
      <c r="DN123" s="435" t="str">
        <f t="shared" si="807"/>
        <v/>
      </c>
      <c r="DO123" s="435" t="str">
        <f t="shared" si="1193"/>
        <v/>
      </c>
      <c r="DP123" s="435" t="str">
        <f t="shared" si="1194"/>
        <v/>
      </c>
      <c r="DQ123" s="435" t="str">
        <f t="shared" si="808"/>
        <v/>
      </c>
      <c r="DR123" s="435" t="str">
        <f t="shared" si="809"/>
        <v/>
      </c>
      <c r="DS123" s="435" t="str">
        <f t="shared" si="1195"/>
        <v/>
      </c>
      <c r="DT123" s="435" t="str">
        <f t="shared" si="1196"/>
        <v/>
      </c>
      <c r="DU123" s="435" t="str">
        <f t="shared" si="810"/>
        <v/>
      </c>
      <c r="DV123" s="435" t="str">
        <f t="shared" si="811"/>
        <v/>
      </c>
      <c r="DW123" s="435" t="str">
        <f t="shared" si="1197"/>
        <v/>
      </c>
      <c r="DX123" s="435" t="str">
        <f t="shared" si="1198"/>
        <v/>
      </c>
      <c r="DY123" s="435" t="str">
        <f t="shared" si="812"/>
        <v/>
      </c>
      <c r="DZ123" s="435" t="str">
        <f t="shared" si="813"/>
        <v/>
      </c>
      <c r="EA123" s="435" t="str">
        <f t="shared" si="1199"/>
        <v/>
      </c>
      <c r="EB123" s="435" t="str">
        <f t="shared" si="1200"/>
        <v/>
      </c>
      <c r="EC123" s="435" t="str">
        <f t="shared" si="1201"/>
        <v/>
      </c>
      <c r="ED123" s="435" t="str">
        <f t="shared" si="1202"/>
        <v/>
      </c>
      <c r="EE123" s="435" t="str">
        <f t="shared" si="1203"/>
        <v/>
      </c>
      <c r="EF123" s="435" t="str">
        <f t="shared" si="1204"/>
        <v/>
      </c>
      <c r="EG123" s="435" t="str">
        <f t="shared" si="1205"/>
        <v/>
      </c>
      <c r="EH123" s="435" t="str">
        <f t="shared" si="1206"/>
        <v/>
      </c>
      <c r="EI123" s="435" t="str">
        <f t="shared" si="1207"/>
        <v/>
      </c>
      <c r="EJ123" s="435" t="str">
        <f t="shared" si="1208"/>
        <v/>
      </c>
      <c r="EK123" s="485"/>
      <c r="EL123" s="485"/>
      <c r="EM123" s="485"/>
      <c r="EN123" s="485"/>
      <c r="EO123" s="448"/>
      <c r="EP123" s="448"/>
      <c r="EQ123" s="448"/>
      <c r="ER123" s="448"/>
      <c r="ES123" s="448"/>
      <c r="ET123" s="435"/>
      <c r="EU123" s="435"/>
      <c r="EV123" s="435"/>
      <c r="EW123" s="435"/>
      <c r="EX123" s="426"/>
      <c r="EY123" s="426"/>
      <c r="EZ123" s="426"/>
      <c r="FA123" s="863"/>
      <c r="FB123" s="427">
        <f t="array" ref="FB123">IF(SUM((FA123=$FA$3:FA122)*1)=0,FA123,0)</f>
        <v>0</v>
      </c>
      <c r="FC123" s="863"/>
      <c r="FD123" s="863"/>
      <c r="FE123" s="863">
        <f t="array" ref="FE123">IF(SUM((FD123=$FD$3:FD122)*1)=0,FD123,0)</f>
        <v>0</v>
      </c>
      <c r="FF123" s="863"/>
      <c r="FG123" s="863"/>
      <c r="FH123" s="863"/>
      <c r="FI123" s="427">
        <f t="array" ref="FI123">IF(SUM((FH123=$FH$3:FH122)*1)=0,FH123,0)</f>
        <v>0</v>
      </c>
      <c r="FJ123" s="863"/>
      <c r="FK123" s="863"/>
      <c r="FL123" s="863">
        <f t="array" ref="FL123">IF(SUM((FK123=$FK$3:FK122)*1)=0,FK123,0)</f>
        <v>0</v>
      </c>
      <c r="FM123" s="863"/>
      <c r="FN123" s="863"/>
      <c r="FO123" s="863"/>
      <c r="FP123" s="427">
        <f t="array" ref="FP123">IF(SUM((FO123=$FO$3:FO122)*1)=0,FO123,0)</f>
        <v>0</v>
      </c>
      <c r="FQ123" s="863"/>
      <c r="FR123" s="863"/>
      <c r="FS123" s="863">
        <f t="array" ref="FS123">IF(SUM((FR123=$FR$3:FR122)*1)=0,FR123,0)</f>
        <v>0</v>
      </c>
      <c r="FT123" s="863"/>
      <c r="FU123" s="863"/>
      <c r="FV123" s="863"/>
      <c r="FW123" s="427">
        <f t="array" ref="FW123">IF(SUM((FV123=$FV$3:FV122)*1)=0,FV123,0)</f>
        <v>0</v>
      </c>
      <c r="FX123" s="863"/>
      <c r="FY123" s="863"/>
      <c r="FZ123" s="863">
        <f t="array" ref="FZ123">IF(SUM((FY123=$FY$3:FY122)*1)=0,FY123,0)</f>
        <v>0</v>
      </c>
      <c r="GA123" s="863"/>
      <c r="GB123" s="863"/>
      <c r="GC123" s="863"/>
      <c r="GD123" s="427">
        <f t="array" ref="GD123">IF(SUM((GC123=$GC$3:GC122)*1)=0,GC123,0)</f>
        <v>0</v>
      </c>
      <c r="GE123" s="863"/>
      <c r="GF123" s="863"/>
      <c r="GG123" s="863">
        <f t="array" ref="GG123">IF(SUM((GF123=$GF$3:GF122)*1)=0,GF123,0)</f>
        <v>0</v>
      </c>
      <c r="GH123" s="863"/>
      <c r="GI123" s="863"/>
      <c r="GJ123" s="863"/>
      <c r="GK123" s="798">
        <f t="array" ref="GK123">IF(SUM((GJ123=$GJ$3:GJ122)*1)=0,GJ123,0)</f>
        <v>0</v>
      </c>
      <c r="GL123" s="863"/>
      <c r="GM123" s="863"/>
      <c r="GN123" s="798">
        <f t="array" ref="GN123">IF(SUM((GM123=$GM$3:GM122)*1)=0,GM123,0)</f>
        <v>0</v>
      </c>
      <c r="GO123" s="863"/>
      <c r="GP123" s="863"/>
      <c r="GQ123" s="863"/>
      <c r="GR123" s="798">
        <f t="array" ref="GR123">IF(SUM((GQ123=$GQ$3:GQ122)*1)=0,GQ123,0)</f>
        <v>0</v>
      </c>
      <c r="GS123" s="863"/>
      <c r="GT123" s="863"/>
      <c r="GU123" s="798">
        <f t="array" ref="GU123">IF(SUM((GT123=$GT$3:GT122)*1)=0,GT123,0)</f>
        <v>0</v>
      </c>
      <c r="GV123" s="863"/>
      <c r="GW123" s="863"/>
      <c r="GX123" s="863"/>
      <c r="GY123" s="798">
        <f t="array" ref="GY123">IF(SUM((GX123=$GX$3:GX122)*1)=0,GX123,0)</f>
        <v>0</v>
      </c>
      <c r="GZ123" s="863"/>
      <c r="HA123" s="863"/>
      <c r="HB123" s="798">
        <f t="array" ref="HB123">IF(SUM((HA123=$HA$3:HA122)*1)=0,HA123,0)</f>
        <v>0</v>
      </c>
      <c r="HC123" s="863"/>
      <c r="HD123" s="863"/>
      <c r="HE123" s="769" t="str">
        <f t="shared" si="889"/>
        <v/>
      </c>
      <c r="HF123" s="768" t="str">
        <f t="shared" ref="HF123" si="1448">IF(HE123&lt;0,"Invadiu REP-BA-C","")</f>
        <v/>
      </c>
      <c r="HG123" s="769" t="str">
        <f t="shared" si="891"/>
        <v/>
      </c>
      <c r="HH123" s="768" t="str">
        <f t="shared" si="815"/>
        <v/>
      </c>
      <c r="HI123" s="728" t="str">
        <f t="shared" si="892"/>
        <v/>
      </c>
      <c r="HJ123" s="768" t="str">
        <f t="shared" si="816"/>
        <v/>
      </c>
      <c r="HK123" s="728" t="str">
        <f t="shared" si="893"/>
        <v/>
      </c>
      <c r="HL123" s="768" t="str">
        <f t="shared" si="817"/>
        <v/>
      </c>
      <c r="HM123" s="769" t="str">
        <f t="shared" si="1219"/>
        <v/>
      </c>
      <c r="HN123" s="768" t="str">
        <f t="shared" ref="HN123" si="1449">IF(HM123&lt;0,"Invadiu REP-BA-C","")</f>
        <v/>
      </c>
      <c r="HO123" s="769" t="str">
        <f t="shared" si="1221"/>
        <v/>
      </c>
      <c r="HP123" s="768" t="str">
        <f t="shared" si="821"/>
        <v/>
      </c>
      <c r="HQ123" s="728" t="str">
        <f t="shared" si="1222"/>
        <v/>
      </c>
      <c r="HR123" s="768" t="str">
        <f t="shared" si="823"/>
        <v/>
      </c>
      <c r="HS123" s="728" t="str">
        <f t="shared" si="1223"/>
        <v/>
      </c>
      <c r="HT123" s="768" t="str">
        <f t="shared" si="825"/>
        <v/>
      </c>
      <c r="HU123" s="769" t="str">
        <f t="shared" si="1224"/>
        <v/>
      </c>
      <c r="HV123" s="768" t="str">
        <f t="shared" ref="HV123" si="1450">IF(HU123&lt;0,"Invadiu REP-BA-C","")</f>
        <v/>
      </c>
      <c r="HW123" s="769" t="str">
        <f t="shared" si="1226"/>
        <v/>
      </c>
      <c r="HX123" s="768" t="str">
        <f t="shared" si="829"/>
        <v/>
      </c>
      <c r="HY123" s="728" t="str">
        <f t="shared" si="1227"/>
        <v/>
      </c>
      <c r="HZ123" s="768" t="str">
        <f t="shared" si="831"/>
        <v/>
      </c>
      <c r="IA123" s="728" t="str">
        <f t="shared" si="1228"/>
        <v/>
      </c>
      <c r="IB123" s="768" t="str">
        <f t="shared" si="833"/>
        <v/>
      </c>
      <c r="IC123" s="769" t="str">
        <f t="shared" si="1229"/>
        <v/>
      </c>
      <c r="ID123" s="768" t="str">
        <f t="shared" ref="ID123" si="1451">IF(IC123&lt;0,"Invadiu REP-BA-C","")</f>
        <v/>
      </c>
      <c r="IE123" s="769" t="str">
        <f t="shared" si="1231"/>
        <v/>
      </c>
      <c r="IF123" s="768" t="str">
        <f t="shared" si="837"/>
        <v/>
      </c>
      <c r="IG123" s="728" t="str">
        <f t="shared" si="1232"/>
        <v/>
      </c>
      <c r="IH123" s="768" t="str">
        <f t="shared" si="839"/>
        <v/>
      </c>
      <c r="II123" s="728" t="str">
        <f t="shared" si="1233"/>
        <v/>
      </c>
      <c r="IJ123" s="768" t="str">
        <f t="shared" si="841"/>
        <v/>
      </c>
      <c r="IK123" s="769" t="str">
        <f t="shared" si="1234"/>
        <v/>
      </c>
      <c r="IL123" s="768" t="str">
        <f t="shared" ref="IL123" si="1452">IF(IK123&lt;0,"Invadiu REP-BA-C","")</f>
        <v/>
      </c>
      <c r="IM123" s="769" t="str">
        <f t="shared" si="1236"/>
        <v/>
      </c>
      <c r="IN123" s="768" t="str">
        <f t="shared" si="845"/>
        <v/>
      </c>
      <c r="IO123" s="728" t="str">
        <f t="shared" si="1237"/>
        <v/>
      </c>
      <c r="IP123" s="768" t="str">
        <f t="shared" si="847"/>
        <v/>
      </c>
      <c r="IQ123" s="728" t="str">
        <f t="shared" si="1238"/>
        <v/>
      </c>
      <c r="IR123" s="768" t="str">
        <f t="shared" si="849"/>
        <v/>
      </c>
      <c r="IS123" s="769" t="str">
        <f t="shared" si="1239"/>
        <v/>
      </c>
      <c r="IT123" s="768" t="str">
        <f t="shared" ref="IT123" si="1453">IF(IS123&lt;0,"Invadiu REP-BA-C","")</f>
        <v/>
      </c>
      <c r="IU123" s="769" t="str">
        <f t="shared" si="1241"/>
        <v/>
      </c>
      <c r="IV123" s="768" t="str">
        <f t="shared" si="853"/>
        <v/>
      </c>
      <c r="IW123" s="728" t="str">
        <f t="shared" si="1242"/>
        <v/>
      </c>
      <c r="IX123" s="768" t="str">
        <f t="shared" si="855"/>
        <v/>
      </c>
      <c r="IY123" s="728" t="str">
        <f t="shared" si="1243"/>
        <v/>
      </c>
      <c r="IZ123" s="768" t="str">
        <f t="shared" si="857"/>
        <v/>
      </c>
      <c r="JA123" s="769" t="str">
        <f t="shared" si="1244"/>
        <v/>
      </c>
      <c r="JB123" s="768" t="str">
        <f t="shared" ref="JB123" si="1454">IF(JA123&lt;0,"Invadiu REP-BA-C","")</f>
        <v/>
      </c>
      <c r="JC123" s="769" t="str">
        <f t="shared" si="1246"/>
        <v/>
      </c>
      <c r="JD123" s="768" t="str">
        <f t="shared" si="861"/>
        <v/>
      </c>
      <c r="JE123" s="728" t="str">
        <f t="shared" si="1247"/>
        <v/>
      </c>
      <c r="JF123" s="768" t="str">
        <f t="shared" si="863"/>
        <v/>
      </c>
      <c r="JG123" s="728" t="str">
        <f t="shared" si="1248"/>
        <v/>
      </c>
      <c r="JH123" s="768" t="str">
        <f t="shared" si="865"/>
        <v/>
      </c>
      <c r="JI123" s="769" t="str">
        <f t="shared" si="1249"/>
        <v/>
      </c>
      <c r="JJ123" s="768" t="str">
        <f t="shared" ref="JJ123" si="1455">IF(JI123&lt;0,"Invadiu REP-BA-C","")</f>
        <v/>
      </c>
      <c r="JK123" s="769" t="str">
        <f t="shared" si="1251"/>
        <v/>
      </c>
      <c r="JL123" s="768" t="str">
        <f t="shared" si="869"/>
        <v/>
      </c>
      <c r="JM123" s="728" t="str">
        <f t="shared" si="1252"/>
        <v/>
      </c>
      <c r="JN123" s="768" t="str">
        <f t="shared" si="871"/>
        <v/>
      </c>
      <c r="JO123" s="728" t="str">
        <f t="shared" si="1253"/>
        <v/>
      </c>
      <c r="JP123" s="768" t="str">
        <f t="shared" si="873"/>
        <v/>
      </c>
      <c r="JQ123" s="769" t="str">
        <f t="shared" si="1254"/>
        <v/>
      </c>
      <c r="JR123" s="768" t="str">
        <f t="shared" ref="JR123" si="1456">IF(JQ123&lt;0,"Invadiu REP-BA-C","")</f>
        <v/>
      </c>
      <c r="JS123" s="769" t="str">
        <f t="shared" si="1256"/>
        <v/>
      </c>
      <c r="JT123" s="768" t="str">
        <f t="shared" si="877"/>
        <v/>
      </c>
      <c r="JU123" s="728" t="str">
        <f t="shared" si="1257"/>
        <v/>
      </c>
      <c r="JV123" s="768" t="str">
        <f t="shared" si="879"/>
        <v/>
      </c>
      <c r="JW123" s="728" t="str">
        <f t="shared" si="1258"/>
        <v/>
      </c>
      <c r="JX123" s="768" t="str">
        <f t="shared" si="881"/>
        <v/>
      </c>
      <c r="JY123" s="768" t="str">
        <f t="shared" si="882"/>
        <v/>
      </c>
      <c r="JZ123" s="485" t="str">
        <f>IF(JY123="","",IF(AND(C123=$C$164,JY123&lt;&gt;""),Verificarcpf(D123),IF(AND(C123=$C$165,JY123&lt;&gt;""),VerificarCNPJ(D123))))</f>
        <v/>
      </c>
      <c r="KA123" s="768" t="str">
        <f t="shared" si="883"/>
        <v/>
      </c>
      <c r="KB123" s="485">
        <f t="shared" si="884"/>
        <v>0</v>
      </c>
      <c r="KC123" s="768">
        <f t="shared" si="885"/>
        <v>0</v>
      </c>
      <c r="KD123" s="485">
        <f t="shared" si="886"/>
        <v>0</v>
      </c>
      <c r="KE123" s="448"/>
      <c r="KF123" s="548"/>
      <c r="KG123" s="548"/>
      <c r="KH123" s="548"/>
      <c r="KI123" s="548"/>
      <c r="KJ123" s="548" t="str">
        <f t="shared" si="887"/>
        <v/>
      </c>
      <c r="KK123" s="548"/>
      <c r="KL123" s="548"/>
      <c r="KM123" s="548">
        <f t="array" ref="KM123">IF(SUM((KL123=$KL$3:KL122)*1)=0,KL123,0)</f>
        <v>0</v>
      </c>
      <c r="KN123" s="548"/>
      <c r="KO123" s="548"/>
      <c r="KP123" s="548"/>
      <c r="KQ123" s="548"/>
      <c r="KR123" s="548" t="str">
        <f t="shared" si="888"/>
        <v/>
      </c>
      <c r="KS123" s="548"/>
      <c r="KT123" s="548"/>
      <c r="KU123" s="548"/>
      <c r="KV123" s="548"/>
      <c r="KW123" s="548"/>
      <c r="KX123" s="548"/>
      <c r="KY123" s="548"/>
      <c r="KZ123" s="548"/>
      <c r="LA123" s="548"/>
      <c r="LB123" s="548"/>
      <c r="LC123" s="485" t="str">
        <f t="shared" si="902"/>
        <v/>
      </c>
      <c r="LD123" s="548"/>
      <c r="LE123" s="548"/>
      <c r="LF123" s="548"/>
      <c r="LG123" s="548"/>
      <c r="LH123" s="548"/>
      <c r="LI123" s="548"/>
      <c r="LJ123" s="548"/>
      <c r="LK123" s="548"/>
      <c r="LL123" s="548"/>
      <c r="LM123" s="548"/>
      <c r="LN123" s="548"/>
      <c r="LO123" s="548"/>
      <c r="LP123" s="485" t="str">
        <f t="shared" si="903"/>
        <v/>
      </c>
      <c r="LQ123" s="548"/>
      <c r="LR123" s="548"/>
      <c r="LS123" s="548"/>
      <c r="LT123" s="548"/>
      <c r="LU123" s="548"/>
      <c r="LV123" s="548"/>
      <c r="LW123" s="548"/>
      <c r="LX123" s="548"/>
      <c r="LY123" s="548"/>
      <c r="LZ123" s="548"/>
      <c r="MA123" s="548"/>
      <c r="MB123" s="548"/>
      <c r="MC123" s="485" t="str">
        <f t="shared" si="904"/>
        <v/>
      </c>
      <c r="MD123" s="548"/>
      <c r="ME123" s="548"/>
      <c r="MF123" s="548"/>
      <c r="MG123" s="548"/>
      <c r="MH123" s="548"/>
      <c r="MI123" s="548"/>
      <c r="MJ123" s="548"/>
      <c r="MK123" s="548"/>
      <c r="ML123" s="548"/>
      <c r="MM123" s="548"/>
      <c r="MN123" s="548"/>
      <c r="MO123" s="548"/>
      <c r="MP123" s="485" t="str">
        <f t="shared" si="905"/>
        <v/>
      </c>
      <c r="MQ123" s="548"/>
      <c r="MR123" s="548"/>
      <c r="MS123" s="548"/>
      <c r="MT123" s="548"/>
      <c r="MU123" s="548"/>
      <c r="MV123" s="548"/>
      <c r="MW123" s="548"/>
      <c r="MX123" s="548"/>
      <c r="MY123" s="548"/>
      <c r="MZ123" s="548"/>
      <c r="NA123" s="548"/>
      <c r="NB123" s="548"/>
      <c r="NC123" s="485" t="str">
        <f t="shared" si="906"/>
        <v/>
      </c>
      <c r="ND123" s="548"/>
      <c r="NE123" s="548"/>
      <c r="NF123" s="548"/>
      <c r="NG123" s="548"/>
      <c r="NH123" s="548"/>
      <c r="NI123" s="548"/>
      <c r="NJ123" s="548"/>
      <c r="NK123" s="548"/>
      <c r="NL123" s="548"/>
      <c r="NM123" s="548"/>
      <c r="NN123" s="548"/>
      <c r="NO123" s="548"/>
      <c r="NP123" s="485" t="str">
        <f t="shared" si="907"/>
        <v/>
      </c>
      <c r="NQ123" s="548"/>
      <c r="NR123" s="548"/>
      <c r="NS123" s="548"/>
      <c r="NT123" s="548"/>
      <c r="NU123" s="548"/>
      <c r="NV123" s="548"/>
      <c r="NW123" s="548"/>
      <c r="NX123" s="548"/>
      <c r="NY123" s="548"/>
      <c r="NZ123" s="548"/>
      <c r="OA123" s="548"/>
      <c r="OB123" s="548"/>
      <c r="OC123" s="485" t="str">
        <f t="shared" si="908"/>
        <v/>
      </c>
      <c r="OD123" s="548"/>
      <c r="OE123" s="548"/>
      <c r="OF123" s="548"/>
      <c r="OG123" s="548"/>
      <c r="OH123" s="548"/>
      <c r="OI123" s="548"/>
      <c r="OJ123" s="548"/>
      <c r="OK123" s="548"/>
      <c r="OL123" s="548"/>
      <c r="OM123" s="548"/>
      <c r="ON123" s="548"/>
      <c r="OO123" s="548"/>
      <c r="OP123" s="548"/>
      <c r="OQ123" s="548"/>
      <c r="OR123" s="548"/>
      <c r="OS123" s="548"/>
      <c r="OT123" s="548"/>
      <c r="OU123" s="548"/>
      <c r="OV123" s="548"/>
      <c r="OW123" s="548"/>
      <c r="OX123" s="548"/>
      <c r="OY123" s="548"/>
      <c r="OZ123" s="548"/>
      <c r="PA123" s="548"/>
      <c r="PB123" s="548"/>
      <c r="PC123" s="548"/>
      <c r="PD123" s="548"/>
      <c r="PE123" s="548"/>
      <c r="PF123" s="548"/>
      <c r="PG123" s="548"/>
      <c r="PH123" s="548"/>
      <c r="PI123" s="548"/>
      <c r="PJ123" s="548"/>
      <c r="PK123" s="548"/>
      <c r="PL123" s="548"/>
      <c r="PM123" s="548"/>
      <c r="PN123" s="548"/>
      <c r="PO123" s="548"/>
      <c r="PP123" s="548"/>
      <c r="PQ123" s="548"/>
      <c r="PR123" s="548"/>
      <c r="PS123" s="548"/>
      <c r="PT123" s="548"/>
      <c r="PU123" s="548"/>
      <c r="PV123" s="548"/>
      <c r="PW123" s="548"/>
      <c r="PX123" s="548"/>
      <c r="PY123" s="548"/>
      <c r="PZ123" s="548"/>
      <c r="QA123" s="548"/>
      <c r="QB123" s="548"/>
      <c r="QC123" s="548"/>
      <c r="QD123" s="548"/>
      <c r="QE123" s="548"/>
      <c r="QF123" s="548"/>
      <c r="QG123" s="548"/>
      <c r="QH123" s="548"/>
      <c r="QI123" s="548"/>
      <c r="QJ123" s="548"/>
      <c r="QK123" s="548"/>
      <c r="QL123" s="548"/>
      <c r="QM123" s="548"/>
      <c r="QN123" s="548"/>
      <c r="QO123" s="548"/>
      <c r="QP123" s="548"/>
      <c r="QQ123" s="1009"/>
      <c r="QR123" s="548"/>
      <c r="QS123" s="548"/>
      <c r="QT123" s="548"/>
      <c r="QU123" s="548"/>
      <c r="QV123" s="548"/>
      <c r="QW123" s="548"/>
      <c r="QX123" s="548"/>
      <c r="QY123" s="548"/>
      <c r="QZ123" s="548"/>
      <c r="RA123" s="548"/>
      <c r="RB123" s="548"/>
      <c r="RC123" s="548"/>
      <c r="RD123" s="548"/>
      <c r="RE123" s="548"/>
      <c r="RF123" s="548"/>
      <c r="RG123" s="548"/>
      <c r="RH123" s="548"/>
      <c r="RI123" s="548"/>
      <c r="RJ123" s="548"/>
      <c r="RK123" s="548"/>
      <c r="RL123" s="548"/>
      <c r="RM123" s="548"/>
      <c r="RN123" s="548"/>
      <c r="RO123" s="548"/>
      <c r="RP123" s="548"/>
      <c r="RQ123" s="548"/>
      <c r="RR123" s="548"/>
      <c r="RS123" s="548"/>
      <c r="RT123" s="548"/>
      <c r="RU123" s="548"/>
      <c r="RV123" s="548"/>
      <c r="RW123" s="548"/>
      <c r="RX123" s="548"/>
      <c r="RY123" s="548"/>
      <c r="RZ123" s="548"/>
      <c r="SA123" s="548"/>
      <c r="SB123" s="548"/>
      <c r="SC123" s="548"/>
      <c r="SD123" s="548"/>
      <c r="SE123" s="548"/>
      <c r="SF123" s="548"/>
      <c r="SG123" s="548"/>
      <c r="SH123" s="548"/>
      <c r="SI123" s="548"/>
      <c r="SJ123" s="548"/>
      <c r="SK123" s="548"/>
      <c r="SL123" s="548"/>
      <c r="SM123" s="548"/>
      <c r="SN123" s="548"/>
      <c r="SO123" s="548"/>
      <c r="SP123" s="548"/>
      <c r="SQ123" s="548"/>
      <c r="SR123" s="548"/>
      <c r="SS123" s="548"/>
      <c r="ST123" s="548"/>
      <c r="SU123" s="548"/>
      <c r="SV123" s="548"/>
      <c r="SW123" s="548"/>
      <c r="SX123" s="548"/>
      <c r="SY123" s="548"/>
      <c r="SZ123" s="548"/>
      <c r="TA123" s="548"/>
      <c r="TB123" s="548"/>
      <c r="TC123" s="548"/>
      <c r="TD123" s="548"/>
      <c r="TE123" s="548"/>
      <c r="TF123" s="548"/>
      <c r="TG123" s="548"/>
      <c r="TH123" s="548"/>
      <c r="TI123" s="548"/>
      <c r="TJ123" s="548"/>
      <c r="TK123" s="548"/>
      <c r="TL123" s="548"/>
      <c r="TM123" s="548"/>
      <c r="TN123" s="548"/>
      <c r="TO123" s="548"/>
      <c r="TP123" s="548"/>
      <c r="TQ123" s="548"/>
      <c r="TR123" s="548"/>
      <c r="TS123" s="548"/>
      <c r="TT123" s="548"/>
      <c r="TU123" s="548"/>
      <c r="TV123" s="548"/>
      <c r="TW123" s="548"/>
      <c r="TX123" s="548"/>
      <c r="TY123" s="548"/>
      <c r="TZ123" s="548"/>
      <c r="UA123" s="548"/>
      <c r="UB123" s="548"/>
      <c r="UC123" s="548"/>
      <c r="UD123" s="548"/>
      <c r="UE123" s="548"/>
      <c r="UF123" s="548"/>
      <c r="UG123" s="548"/>
      <c r="UH123" s="548"/>
      <c r="UI123" s="548"/>
      <c r="UJ123" s="548"/>
      <c r="UK123" s="548"/>
      <c r="UL123" s="548"/>
      <c r="UM123" s="548"/>
      <c r="UN123" s="548"/>
      <c r="UO123" s="548"/>
      <c r="UP123" s="548"/>
      <c r="UQ123" s="548"/>
      <c r="UR123" s="548"/>
      <c r="US123" s="548"/>
      <c r="UT123" s="548"/>
      <c r="UU123" s="548"/>
      <c r="UV123" s="548"/>
      <c r="UW123" s="548"/>
      <c r="UX123" s="548"/>
      <c r="UY123" s="548"/>
      <c r="UZ123" s="548"/>
      <c r="VA123" s="548"/>
      <c r="VB123" s="548"/>
      <c r="VC123" s="548"/>
      <c r="VD123" s="548"/>
      <c r="VE123" s="548"/>
      <c r="VF123" s="548"/>
      <c r="VG123" s="548"/>
      <c r="VH123" s="548"/>
      <c r="VI123" s="548"/>
      <c r="VJ123" s="548"/>
      <c r="VK123" s="548"/>
      <c r="VL123" s="548"/>
      <c r="VM123" s="548"/>
      <c r="VN123" s="548"/>
      <c r="VO123" s="548"/>
      <c r="VP123" s="548"/>
      <c r="VQ123" s="548"/>
      <c r="VR123" s="548"/>
      <c r="VS123" s="548"/>
      <c r="VT123" s="548"/>
      <c r="VU123" s="548"/>
      <c r="VV123" s="548"/>
      <c r="VW123" s="548"/>
      <c r="VX123" s="548"/>
      <c r="VY123" s="548"/>
      <c r="VZ123" s="548"/>
      <c r="WA123" s="548"/>
      <c r="WB123" s="548"/>
      <c r="WC123" s="548"/>
      <c r="WD123" s="548"/>
      <c r="WE123" s="548"/>
      <c r="WF123" s="548"/>
      <c r="WG123" s="548"/>
      <c r="WH123" s="548"/>
      <c r="WI123" s="548"/>
      <c r="WJ123" s="548"/>
      <c r="WK123" s="548"/>
      <c r="WL123" s="548"/>
      <c r="WM123" s="548"/>
      <c r="WN123" s="548"/>
      <c r="WO123" s="548"/>
      <c r="WP123" s="548"/>
      <c r="WQ123" s="548"/>
      <c r="WR123" s="548"/>
      <c r="WS123" s="548"/>
      <c r="WT123" s="548"/>
      <c r="WU123" s="548"/>
      <c r="WV123" s="548"/>
      <c r="WW123" s="548"/>
      <c r="WX123" s="548"/>
      <c r="WY123" s="548"/>
      <c r="WZ123" s="548"/>
      <c r="XA123" s="548"/>
      <c r="XB123" s="548"/>
      <c r="XC123" s="548"/>
      <c r="XD123" s="548"/>
      <c r="XE123" s="548"/>
      <c r="XF123" s="548"/>
      <c r="XG123" s="548"/>
      <c r="XH123" s="548"/>
      <c r="XI123" s="548"/>
      <c r="XJ123" s="548"/>
      <c r="XK123" s="548"/>
      <c r="XL123" s="548"/>
      <c r="XM123" s="548"/>
      <c r="XN123" s="548"/>
      <c r="XO123" s="548"/>
      <c r="XP123" s="548"/>
      <c r="XQ123" s="548"/>
      <c r="XR123" s="548"/>
      <c r="XS123" s="548"/>
      <c r="XT123" s="548"/>
      <c r="XU123" s="548"/>
      <c r="XV123" s="548"/>
      <c r="XW123" s="548"/>
      <c r="XX123" s="548"/>
      <c r="XY123" s="548"/>
      <c r="XZ123" s="548"/>
      <c r="YA123" s="548"/>
      <c r="YB123" s="548"/>
      <c r="YC123" s="548"/>
      <c r="YD123" s="548"/>
      <c r="YE123" s="548"/>
      <c r="YF123" s="548"/>
      <c r="YG123" s="548"/>
      <c r="YH123" s="548"/>
      <c r="YI123" s="548"/>
      <c r="YJ123" s="548"/>
      <c r="YK123" s="548"/>
      <c r="YL123" s="548"/>
      <c r="YM123" s="548"/>
      <c r="YN123" s="548"/>
      <c r="YO123" s="548"/>
      <c r="YP123" s="548"/>
      <c r="YQ123" s="548"/>
      <c r="YR123" s="548"/>
      <c r="YS123" s="548"/>
      <c r="YT123" s="548"/>
      <c r="YU123" s="548"/>
      <c r="YV123" s="548"/>
      <c r="YW123" s="548"/>
      <c r="YX123" s="548"/>
      <c r="YY123" s="548"/>
      <c r="YZ123" s="548"/>
      <c r="ZA123" s="548"/>
      <c r="ZB123" s="548"/>
      <c r="ZC123" s="548"/>
      <c r="ZD123" s="548"/>
      <c r="ZE123" s="548"/>
      <c r="ZF123" s="548"/>
      <c r="ZG123" s="548"/>
      <c r="ZH123" s="548"/>
      <c r="ZI123" s="548"/>
      <c r="ZJ123" s="548"/>
      <c r="ZK123" s="548"/>
      <c r="ZL123" s="548"/>
      <c r="ZM123" s="548"/>
      <c r="ZN123" s="548"/>
      <c r="ZO123" s="548"/>
      <c r="ZP123" s="548"/>
      <c r="ZQ123" s="548"/>
      <c r="ZR123" s="548"/>
      <c r="ZS123" s="548"/>
      <c r="ZT123" s="548"/>
      <c r="ZU123" s="548"/>
      <c r="ZV123" s="548"/>
      <c r="ZW123" s="548"/>
      <c r="ZX123" s="548"/>
      <c r="ZY123" s="548"/>
      <c r="ZZ123" s="548"/>
      <c r="AAA123" s="548"/>
      <c r="AAB123" s="548"/>
      <c r="AAC123" s="548"/>
      <c r="AAD123" s="548"/>
      <c r="AAE123" s="548"/>
      <c r="AAF123" s="548"/>
      <c r="AAG123" s="548"/>
      <c r="AAH123" s="548"/>
      <c r="AAI123" s="548"/>
      <c r="AAJ123" s="548"/>
      <c r="AAK123" s="548"/>
      <c r="AAL123" s="548"/>
      <c r="AAM123" s="548"/>
      <c r="AAN123" s="548"/>
      <c r="AAO123" s="548"/>
      <c r="AAP123" s="548"/>
      <c r="AAQ123" s="548"/>
      <c r="AAR123" s="548"/>
      <c r="AAS123" s="548"/>
      <c r="AAT123" s="548"/>
      <c r="AAU123" s="548"/>
      <c r="AAV123" s="548"/>
      <c r="AAW123" s="548"/>
      <c r="AAX123" s="548"/>
      <c r="AAY123" s="548"/>
      <c r="AAZ123" s="548"/>
      <c r="ABA123" s="548"/>
      <c r="ABB123" s="548"/>
      <c r="ABC123" s="548"/>
      <c r="ABD123" s="548"/>
      <c r="ABE123" s="548"/>
      <c r="ABF123" s="548"/>
      <c r="ABG123" s="548"/>
      <c r="ABH123" s="548"/>
      <c r="ABI123" s="548"/>
      <c r="ABJ123" s="548"/>
      <c r="ABK123" s="548"/>
      <c r="ABL123" s="548"/>
      <c r="ABM123" s="548"/>
      <c r="ABN123" s="548"/>
      <c r="ABO123" s="548"/>
      <c r="ABP123" s="548"/>
      <c r="ABQ123" s="548"/>
      <c r="ABR123" s="548"/>
      <c r="ABS123" s="548"/>
    </row>
    <row r="124" spans="1:747" customFormat="1" ht="15" customHeight="1" x14ac:dyDescent="0.2">
      <c r="A124" s="424" t="str">
        <f t="shared" si="909"/>
        <v/>
      </c>
      <c r="B124" s="415"/>
      <c r="C124" s="525"/>
      <c r="D124" s="750"/>
      <c r="E124" s="416" t="str">
        <f t="shared" si="1171"/>
        <v/>
      </c>
      <c r="F124" s="527" t="str">
        <f t="shared" si="1172"/>
        <v/>
      </c>
      <c r="G124" s="417"/>
      <c r="H124" s="585" t="str">
        <f t="shared" si="1173"/>
        <v/>
      </c>
      <c r="I124" s="424"/>
      <c r="J124" s="419"/>
      <c r="K124" s="418"/>
      <c r="L124" s="419"/>
      <c r="M124" s="415"/>
      <c r="N124" s="420"/>
      <c r="O124" s="421"/>
      <c r="P124" s="561"/>
      <c r="Q124" s="422"/>
      <c r="R124" s="561" t="str">
        <f t="shared" si="1174"/>
        <v/>
      </c>
      <c r="S124" s="664"/>
      <c r="T124" s="663"/>
      <c r="U124" s="580">
        <f t="shared" si="1175"/>
        <v>0</v>
      </c>
      <c r="V124" s="418"/>
      <c r="W124" s="582" t="str">
        <f t="shared" si="1176"/>
        <v/>
      </c>
      <c r="X124" s="479" t="str">
        <f t="shared" si="1177"/>
        <v/>
      </c>
      <c r="Y124" s="582" t="str">
        <f t="shared" si="1178"/>
        <v/>
      </c>
      <c r="Z124" s="317" t="str">
        <f t="shared" si="1179"/>
        <v/>
      </c>
      <c r="AA124" s="317" t="str">
        <f t="shared" si="1180"/>
        <v/>
      </c>
      <c r="AB124" s="317">
        <f t="shared" si="1181"/>
        <v>0</v>
      </c>
      <c r="AC124" s="317" t="str">
        <f t="shared" si="1182"/>
        <v/>
      </c>
      <c r="AD124" s="479"/>
      <c r="AE124" s="479"/>
      <c r="AF124" s="479"/>
      <c r="AG124" s="423"/>
      <c r="AH124" s="820"/>
      <c r="AI124" s="437"/>
      <c r="AJ124" s="660"/>
      <c r="AK124" s="524" t="str">
        <f t="shared" si="1183"/>
        <v/>
      </c>
      <c r="AL124" s="731">
        <f>SUMIF($J$4:$J$88,"Mais Escola",$S$4:$S$88)</f>
        <v>0</v>
      </c>
      <c r="AM124" s="732">
        <f>SUMIF($J$4:$J$88,"Mais Escola",$T$4:$T$88)</f>
        <v>0</v>
      </c>
      <c r="AN124" s="426">
        <f t="shared" si="1184"/>
        <v>0</v>
      </c>
      <c r="AO124" s="427" t="str">
        <f t="shared" si="1185"/>
        <v/>
      </c>
      <c r="AP124" s="426" t="str">
        <f t="shared" si="1186"/>
        <v/>
      </c>
      <c r="AQ124" s="426"/>
      <c r="AR124" s="426"/>
      <c r="AS124" s="428"/>
      <c r="AT124" s="429"/>
      <c r="AU124" s="430"/>
      <c r="AV124" s="431"/>
      <c r="AW124" s="432"/>
      <c r="AX124" s="430"/>
      <c r="AY124" s="431">
        <f t="shared" si="1187"/>
        <v>0</v>
      </c>
      <c r="AZ124" s="426"/>
      <c r="BA124" s="435" t="str">
        <f t="shared" si="1188"/>
        <v/>
      </c>
      <c r="BB124" s="435"/>
      <c r="BC124" s="426"/>
      <c r="BD124" s="426">
        <f t="array" ref="BD124">IF(SUM((BC124=$BC$3:BC123)*1)=0,BC124,0)</f>
        <v>0</v>
      </c>
      <c r="BE124" s="426"/>
      <c r="BF124" s="426"/>
      <c r="BG124" s="426">
        <f t="array" ref="BG124">IF(SUM((BF124=$BF$3:BF123)*1)=0,BF124,0)</f>
        <v>0</v>
      </c>
      <c r="BH124" s="426"/>
      <c r="BI124" s="426"/>
      <c r="BJ124" s="426"/>
      <c r="BK124" s="426"/>
      <c r="BL124" s="426"/>
      <c r="BM124" s="426"/>
      <c r="BN124" s="426"/>
      <c r="BO124" s="426"/>
      <c r="BP124" s="433">
        <f t="shared" si="1189"/>
        <v>0</v>
      </c>
      <c r="BQ124" s="426"/>
      <c r="BR124" s="434"/>
      <c r="BS124" s="426"/>
      <c r="BT124" s="433"/>
      <c r="BU124" s="435"/>
      <c r="BV124" s="435" t="str">
        <f t="shared" si="1190"/>
        <v/>
      </c>
      <c r="BW124" s="435" t="str">
        <f t="shared" si="798"/>
        <v/>
      </c>
      <c r="BX124" s="435"/>
      <c r="BY124" s="435"/>
      <c r="BZ124" s="435"/>
      <c r="CA124" s="435"/>
      <c r="CB124" s="435"/>
      <c r="CC124" s="435"/>
      <c r="CD124" s="435"/>
      <c r="CE124" s="435"/>
      <c r="CF124" s="435"/>
      <c r="CG124" s="435"/>
      <c r="CH124" s="435"/>
      <c r="CI124" s="435"/>
      <c r="CJ124" s="426" t="str">
        <f t="shared" si="799"/>
        <v/>
      </c>
      <c r="CK124" s="435"/>
      <c r="CL124" s="426"/>
      <c r="CM124" s="435"/>
      <c r="CN124" s="426"/>
      <c r="CO124" s="426"/>
      <c r="CP124" s="426"/>
      <c r="CQ124" s="426"/>
      <c r="CR124" s="426"/>
      <c r="CS124" s="426"/>
      <c r="CT124" s="426"/>
      <c r="CU124" s="426"/>
      <c r="CV124" s="426"/>
      <c r="CW124" s="493"/>
      <c r="CX124" s="493"/>
      <c r="CY124" s="426">
        <v>121</v>
      </c>
      <c r="CZ124" s="493"/>
      <c r="DA124" s="493"/>
      <c r="DB124" s="493"/>
      <c r="DC124" s="426" t="s">
        <v>864</v>
      </c>
      <c r="DD124" s="426" t="s">
        <v>1024</v>
      </c>
      <c r="DE124" s="435" t="str">
        <f t="shared" si="800"/>
        <v/>
      </c>
      <c r="DF124" s="435" t="str">
        <f t="shared" si="801"/>
        <v/>
      </c>
      <c r="DG124" s="435" t="str">
        <f t="shared" si="802"/>
        <v/>
      </c>
      <c r="DH124" s="435" t="str">
        <f t="shared" si="803"/>
        <v/>
      </c>
      <c r="DI124" s="435" t="str">
        <f t="shared" si="804"/>
        <v/>
      </c>
      <c r="DJ124" s="435" t="str">
        <f t="shared" si="805"/>
        <v/>
      </c>
      <c r="DK124" s="435" t="str">
        <f t="shared" si="1191"/>
        <v/>
      </c>
      <c r="DL124" s="435" t="str">
        <f t="shared" si="1192"/>
        <v/>
      </c>
      <c r="DM124" s="435" t="str">
        <f t="shared" si="806"/>
        <v/>
      </c>
      <c r="DN124" s="435" t="str">
        <f t="shared" si="807"/>
        <v/>
      </c>
      <c r="DO124" s="435" t="str">
        <f t="shared" si="1193"/>
        <v/>
      </c>
      <c r="DP124" s="435" t="str">
        <f t="shared" si="1194"/>
        <v/>
      </c>
      <c r="DQ124" s="435" t="str">
        <f t="shared" si="808"/>
        <v/>
      </c>
      <c r="DR124" s="435" t="str">
        <f t="shared" si="809"/>
        <v/>
      </c>
      <c r="DS124" s="435" t="str">
        <f t="shared" si="1195"/>
        <v/>
      </c>
      <c r="DT124" s="435" t="str">
        <f t="shared" si="1196"/>
        <v/>
      </c>
      <c r="DU124" s="435" t="str">
        <f t="shared" si="810"/>
        <v/>
      </c>
      <c r="DV124" s="435" t="str">
        <f t="shared" si="811"/>
        <v/>
      </c>
      <c r="DW124" s="435" t="str">
        <f t="shared" si="1197"/>
        <v/>
      </c>
      <c r="DX124" s="435" t="str">
        <f t="shared" si="1198"/>
        <v/>
      </c>
      <c r="DY124" s="435" t="str">
        <f t="shared" si="812"/>
        <v/>
      </c>
      <c r="DZ124" s="435" t="str">
        <f t="shared" si="813"/>
        <v/>
      </c>
      <c r="EA124" s="435" t="str">
        <f t="shared" si="1199"/>
        <v/>
      </c>
      <c r="EB124" s="435" t="str">
        <f t="shared" si="1200"/>
        <v/>
      </c>
      <c r="EC124" s="435" t="str">
        <f t="shared" si="1201"/>
        <v/>
      </c>
      <c r="ED124" s="435" t="str">
        <f t="shared" si="1202"/>
        <v/>
      </c>
      <c r="EE124" s="435" t="str">
        <f t="shared" si="1203"/>
        <v/>
      </c>
      <c r="EF124" s="435" t="str">
        <f t="shared" si="1204"/>
        <v/>
      </c>
      <c r="EG124" s="435" t="str">
        <f t="shared" si="1205"/>
        <v/>
      </c>
      <c r="EH124" s="435" t="str">
        <f t="shared" si="1206"/>
        <v/>
      </c>
      <c r="EI124" s="435" t="str">
        <f t="shared" si="1207"/>
        <v/>
      </c>
      <c r="EJ124" s="435" t="str">
        <f t="shared" si="1208"/>
        <v/>
      </c>
      <c r="EK124" s="485"/>
      <c r="EL124" s="485"/>
      <c r="EM124" s="485"/>
      <c r="EN124" s="485"/>
      <c r="EO124" s="448"/>
      <c r="EP124" s="448"/>
      <c r="EQ124" s="448"/>
      <c r="ER124" s="448"/>
      <c r="ES124" s="448"/>
      <c r="ET124" s="435"/>
      <c r="EU124" s="435"/>
      <c r="EV124" s="435"/>
      <c r="EW124" s="435"/>
      <c r="EX124" s="426"/>
      <c r="EY124" s="426"/>
      <c r="EZ124" s="426"/>
      <c r="FA124" s="863"/>
      <c r="FB124" s="427">
        <f t="array" ref="FB124">IF(SUM((FA124=$FA$3:FA123)*1)=0,FA124,0)</f>
        <v>0</v>
      </c>
      <c r="FC124" s="863"/>
      <c r="FD124" s="863"/>
      <c r="FE124" s="863">
        <f t="array" ref="FE124">IF(SUM((FD124=$FD$3:FD123)*1)=0,FD124,0)</f>
        <v>0</v>
      </c>
      <c r="FF124" s="863"/>
      <c r="FG124" s="863"/>
      <c r="FH124" s="863"/>
      <c r="FI124" s="427">
        <f t="array" ref="FI124">IF(SUM((FH124=$FH$3:FH123)*1)=0,FH124,0)</f>
        <v>0</v>
      </c>
      <c r="FJ124" s="863"/>
      <c r="FK124" s="863"/>
      <c r="FL124" s="863">
        <f t="array" ref="FL124">IF(SUM((FK124=$FK$3:FK123)*1)=0,FK124,0)</f>
        <v>0</v>
      </c>
      <c r="FM124" s="863"/>
      <c r="FN124" s="863"/>
      <c r="FO124" s="863"/>
      <c r="FP124" s="427">
        <f t="array" ref="FP124">IF(SUM((FO124=$FO$3:FO123)*1)=0,FO124,0)</f>
        <v>0</v>
      </c>
      <c r="FQ124" s="863"/>
      <c r="FR124" s="863"/>
      <c r="FS124" s="863">
        <f t="array" ref="FS124">IF(SUM((FR124=$FR$3:FR123)*1)=0,FR124,0)</f>
        <v>0</v>
      </c>
      <c r="FT124" s="863"/>
      <c r="FU124" s="863"/>
      <c r="FV124" s="863"/>
      <c r="FW124" s="427">
        <f t="array" ref="FW124">IF(SUM((FV124=$FV$3:FV123)*1)=0,FV124,0)</f>
        <v>0</v>
      </c>
      <c r="FX124" s="863"/>
      <c r="FY124" s="863"/>
      <c r="FZ124" s="863">
        <f t="array" ref="FZ124">IF(SUM((FY124=$FY$3:FY123)*1)=0,FY124,0)</f>
        <v>0</v>
      </c>
      <c r="GA124" s="863"/>
      <c r="GB124" s="863"/>
      <c r="GC124" s="863"/>
      <c r="GD124" s="427">
        <f t="array" ref="GD124">IF(SUM((GC124=$GC$3:GC123)*1)=0,GC124,0)</f>
        <v>0</v>
      </c>
      <c r="GE124" s="863"/>
      <c r="GF124" s="863"/>
      <c r="GG124" s="863">
        <f t="array" ref="GG124">IF(SUM((GF124=$GF$3:GF123)*1)=0,GF124,0)</f>
        <v>0</v>
      </c>
      <c r="GH124" s="863"/>
      <c r="GI124" s="863"/>
      <c r="GJ124" s="863"/>
      <c r="GK124" s="798">
        <f t="array" ref="GK124">IF(SUM((GJ124=$GJ$3:GJ123)*1)=0,GJ124,0)</f>
        <v>0</v>
      </c>
      <c r="GL124" s="863"/>
      <c r="GM124" s="863"/>
      <c r="GN124" s="798">
        <f t="array" ref="GN124">IF(SUM((GM124=$GM$3:GM123)*1)=0,GM124,0)</f>
        <v>0</v>
      </c>
      <c r="GO124" s="863"/>
      <c r="GP124" s="863"/>
      <c r="GQ124" s="863"/>
      <c r="GR124" s="798">
        <f t="array" ref="GR124">IF(SUM((GQ124=$GQ$3:GQ123)*1)=0,GQ124,0)</f>
        <v>0</v>
      </c>
      <c r="GS124" s="863"/>
      <c r="GT124" s="863"/>
      <c r="GU124" s="798">
        <f t="array" ref="GU124">IF(SUM((GT124=$GT$3:GT123)*1)=0,GT124,0)</f>
        <v>0</v>
      </c>
      <c r="GV124" s="863"/>
      <c r="GW124" s="863"/>
      <c r="GX124" s="863"/>
      <c r="GY124" s="798">
        <f t="array" ref="GY124">IF(SUM((GX124=$GX$3:GX123)*1)=0,GX124,0)</f>
        <v>0</v>
      </c>
      <c r="GZ124" s="863"/>
      <c r="HA124" s="863"/>
      <c r="HB124" s="798">
        <f t="array" ref="HB124">IF(SUM((HA124=$HA$3:HA123)*1)=0,HA124,0)</f>
        <v>0</v>
      </c>
      <c r="HC124" s="863"/>
      <c r="HD124" s="863"/>
      <c r="HE124" s="769" t="str">
        <f t="shared" si="889"/>
        <v/>
      </c>
      <c r="HF124" s="768" t="str">
        <f t="shared" ref="HF124" si="1457">IF(HE124&lt;0,"Invadiu REP-BA-C","")</f>
        <v/>
      </c>
      <c r="HG124" s="769" t="str">
        <f t="shared" si="891"/>
        <v/>
      </c>
      <c r="HH124" s="768" t="str">
        <f t="shared" si="815"/>
        <v/>
      </c>
      <c r="HI124" s="728" t="str">
        <f t="shared" si="892"/>
        <v/>
      </c>
      <c r="HJ124" s="768" t="str">
        <f t="shared" si="816"/>
        <v/>
      </c>
      <c r="HK124" s="728" t="str">
        <f t="shared" si="893"/>
        <v/>
      </c>
      <c r="HL124" s="768" t="str">
        <f t="shared" si="817"/>
        <v/>
      </c>
      <c r="HM124" s="769" t="str">
        <f t="shared" si="1219"/>
        <v/>
      </c>
      <c r="HN124" s="768" t="str">
        <f t="shared" ref="HN124" si="1458">IF(HM124&lt;0,"Invadiu REP-BA-C","")</f>
        <v/>
      </c>
      <c r="HO124" s="769" t="str">
        <f t="shared" si="1221"/>
        <v/>
      </c>
      <c r="HP124" s="768" t="str">
        <f t="shared" si="821"/>
        <v/>
      </c>
      <c r="HQ124" s="728" t="str">
        <f t="shared" si="1222"/>
        <v/>
      </c>
      <c r="HR124" s="768" t="str">
        <f t="shared" si="823"/>
        <v/>
      </c>
      <c r="HS124" s="728" t="str">
        <f t="shared" si="1223"/>
        <v/>
      </c>
      <c r="HT124" s="768" t="str">
        <f t="shared" si="825"/>
        <v/>
      </c>
      <c r="HU124" s="769" t="str">
        <f t="shared" si="1224"/>
        <v/>
      </c>
      <c r="HV124" s="768" t="str">
        <f t="shared" ref="HV124" si="1459">IF(HU124&lt;0,"Invadiu REP-BA-C","")</f>
        <v/>
      </c>
      <c r="HW124" s="769" t="str">
        <f t="shared" si="1226"/>
        <v/>
      </c>
      <c r="HX124" s="768" t="str">
        <f t="shared" si="829"/>
        <v/>
      </c>
      <c r="HY124" s="728" t="str">
        <f t="shared" si="1227"/>
        <v/>
      </c>
      <c r="HZ124" s="768" t="str">
        <f t="shared" si="831"/>
        <v/>
      </c>
      <c r="IA124" s="728" t="str">
        <f t="shared" si="1228"/>
        <v/>
      </c>
      <c r="IB124" s="768" t="str">
        <f t="shared" si="833"/>
        <v/>
      </c>
      <c r="IC124" s="769" t="str">
        <f t="shared" si="1229"/>
        <v/>
      </c>
      <c r="ID124" s="768" t="str">
        <f t="shared" ref="ID124" si="1460">IF(IC124&lt;0,"Invadiu REP-BA-C","")</f>
        <v/>
      </c>
      <c r="IE124" s="769" t="str">
        <f t="shared" si="1231"/>
        <v/>
      </c>
      <c r="IF124" s="768" t="str">
        <f t="shared" si="837"/>
        <v/>
      </c>
      <c r="IG124" s="728" t="str">
        <f t="shared" si="1232"/>
        <v/>
      </c>
      <c r="IH124" s="768" t="str">
        <f t="shared" si="839"/>
        <v/>
      </c>
      <c r="II124" s="728" t="str">
        <f t="shared" si="1233"/>
        <v/>
      </c>
      <c r="IJ124" s="768" t="str">
        <f t="shared" si="841"/>
        <v/>
      </c>
      <c r="IK124" s="769" t="str">
        <f t="shared" si="1234"/>
        <v/>
      </c>
      <c r="IL124" s="768" t="str">
        <f t="shared" ref="IL124" si="1461">IF(IK124&lt;0,"Invadiu REP-BA-C","")</f>
        <v/>
      </c>
      <c r="IM124" s="769" t="str">
        <f t="shared" si="1236"/>
        <v/>
      </c>
      <c r="IN124" s="768" t="str">
        <f t="shared" si="845"/>
        <v/>
      </c>
      <c r="IO124" s="728" t="str">
        <f t="shared" si="1237"/>
        <v/>
      </c>
      <c r="IP124" s="768" t="str">
        <f t="shared" si="847"/>
        <v/>
      </c>
      <c r="IQ124" s="728" t="str">
        <f t="shared" si="1238"/>
        <v/>
      </c>
      <c r="IR124" s="768" t="str">
        <f t="shared" si="849"/>
        <v/>
      </c>
      <c r="IS124" s="769" t="str">
        <f t="shared" si="1239"/>
        <v/>
      </c>
      <c r="IT124" s="768" t="str">
        <f t="shared" ref="IT124" si="1462">IF(IS124&lt;0,"Invadiu REP-BA-C","")</f>
        <v/>
      </c>
      <c r="IU124" s="769" t="str">
        <f t="shared" si="1241"/>
        <v/>
      </c>
      <c r="IV124" s="768" t="str">
        <f t="shared" si="853"/>
        <v/>
      </c>
      <c r="IW124" s="728" t="str">
        <f t="shared" si="1242"/>
        <v/>
      </c>
      <c r="IX124" s="768" t="str">
        <f t="shared" si="855"/>
        <v/>
      </c>
      <c r="IY124" s="728" t="str">
        <f t="shared" si="1243"/>
        <v/>
      </c>
      <c r="IZ124" s="768" t="str">
        <f t="shared" si="857"/>
        <v/>
      </c>
      <c r="JA124" s="769" t="str">
        <f t="shared" si="1244"/>
        <v/>
      </c>
      <c r="JB124" s="768" t="str">
        <f t="shared" ref="JB124" si="1463">IF(JA124&lt;0,"Invadiu REP-BA-C","")</f>
        <v/>
      </c>
      <c r="JC124" s="769" t="str">
        <f t="shared" si="1246"/>
        <v/>
      </c>
      <c r="JD124" s="768" t="str">
        <f t="shared" si="861"/>
        <v/>
      </c>
      <c r="JE124" s="728" t="str">
        <f t="shared" si="1247"/>
        <v/>
      </c>
      <c r="JF124" s="768" t="str">
        <f t="shared" si="863"/>
        <v/>
      </c>
      <c r="JG124" s="728" t="str">
        <f t="shared" si="1248"/>
        <v/>
      </c>
      <c r="JH124" s="768" t="str">
        <f t="shared" si="865"/>
        <v/>
      </c>
      <c r="JI124" s="769" t="str">
        <f t="shared" si="1249"/>
        <v/>
      </c>
      <c r="JJ124" s="768" t="str">
        <f t="shared" ref="JJ124" si="1464">IF(JI124&lt;0,"Invadiu REP-BA-C","")</f>
        <v/>
      </c>
      <c r="JK124" s="769" t="str">
        <f t="shared" si="1251"/>
        <v/>
      </c>
      <c r="JL124" s="768" t="str">
        <f t="shared" si="869"/>
        <v/>
      </c>
      <c r="JM124" s="728" t="str">
        <f t="shared" si="1252"/>
        <v/>
      </c>
      <c r="JN124" s="768" t="str">
        <f t="shared" si="871"/>
        <v/>
      </c>
      <c r="JO124" s="728" t="str">
        <f t="shared" si="1253"/>
        <v/>
      </c>
      <c r="JP124" s="768" t="str">
        <f t="shared" si="873"/>
        <v/>
      </c>
      <c r="JQ124" s="769" t="str">
        <f t="shared" si="1254"/>
        <v/>
      </c>
      <c r="JR124" s="768" t="str">
        <f t="shared" ref="JR124" si="1465">IF(JQ124&lt;0,"Invadiu REP-BA-C","")</f>
        <v/>
      </c>
      <c r="JS124" s="769" t="str">
        <f t="shared" si="1256"/>
        <v/>
      </c>
      <c r="JT124" s="768" t="str">
        <f t="shared" si="877"/>
        <v/>
      </c>
      <c r="JU124" s="728" t="str">
        <f t="shared" si="1257"/>
        <v/>
      </c>
      <c r="JV124" s="768" t="str">
        <f t="shared" si="879"/>
        <v/>
      </c>
      <c r="JW124" s="728" t="str">
        <f t="shared" si="1258"/>
        <v/>
      </c>
      <c r="JX124" s="768" t="str">
        <f t="shared" si="881"/>
        <v/>
      </c>
      <c r="JY124" s="768" t="str">
        <f t="shared" si="882"/>
        <v/>
      </c>
      <c r="JZ124" s="485" t="str">
        <f>IF(JY124="","",IF(AND(C124=$C$164,JY124&lt;&gt;""),Verificarcpf(D124),IF(AND(C124=$C$165,JY124&lt;&gt;""),VerificarCNPJ(D124))))</f>
        <v/>
      </c>
      <c r="KA124" s="768" t="str">
        <f t="shared" si="883"/>
        <v/>
      </c>
      <c r="KB124" s="485">
        <f t="shared" si="884"/>
        <v>0</v>
      </c>
      <c r="KC124" s="768">
        <f t="shared" si="885"/>
        <v>0</v>
      </c>
      <c r="KD124" s="485">
        <f t="shared" si="886"/>
        <v>0</v>
      </c>
      <c r="KE124" s="448"/>
      <c r="KF124" s="548"/>
      <c r="KG124" s="548"/>
      <c r="KH124" s="548"/>
      <c r="KI124" s="548"/>
      <c r="KJ124" s="548" t="str">
        <f t="shared" si="887"/>
        <v/>
      </c>
      <c r="KK124" s="548"/>
      <c r="KL124" s="548"/>
      <c r="KM124" s="548">
        <f t="array" ref="KM124">IF(SUM((KL124=$KL$3:KL123)*1)=0,KL124,0)</f>
        <v>0</v>
      </c>
      <c r="KN124" s="548"/>
      <c r="KO124" s="548"/>
      <c r="KP124" s="548"/>
      <c r="KQ124" s="548"/>
      <c r="KR124" s="548" t="str">
        <f t="shared" si="888"/>
        <v/>
      </c>
      <c r="KS124" s="548"/>
      <c r="KT124" s="548"/>
      <c r="KU124" s="548"/>
      <c r="KV124" s="548"/>
      <c r="KW124" s="548"/>
      <c r="KX124" s="548"/>
      <c r="KY124" s="548"/>
      <c r="KZ124" s="548"/>
      <c r="LA124" s="548"/>
      <c r="LB124" s="548"/>
      <c r="LC124" s="485" t="str">
        <f t="shared" si="902"/>
        <v/>
      </c>
      <c r="LD124" s="548"/>
      <c r="LE124" s="548"/>
      <c r="LF124" s="548"/>
      <c r="LG124" s="548"/>
      <c r="LH124" s="548"/>
      <c r="LI124" s="548"/>
      <c r="LJ124" s="548"/>
      <c r="LK124" s="548"/>
      <c r="LL124" s="548"/>
      <c r="LM124" s="548"/>
      <c r="LN124" s="548"/>
      <c r="LO124" s="548"/>
      <c r="LP124" s="485" t="str">
        <f t="shared" si="903"/>
        <v/>
      </c>
      <c r="LQ124" s="548"/>
      <c r="LR124" s="548"/>
      <c r="LS124" s="548"/>
      <c r="LT124" s="548"/>
      <c r="LU124" s="548"/>
      <c r="LV124" s="548"/>
      <c r="LW124" s="548"/>
      <c r="LX124" s="548"/>
      <c r="LY124" s="548"/>
      <c r="LZ124" s="548"/>
      <c r="MA124" s="548"/>
      <c r="MB124" s="548"/>
      <c r="MC124" s="485" t="str">
        <f t="shared" si="904"/>
        <v/>
      </c>
      <c r="MD124" s="548"/>
      <c r="ME124" s="548"/>
      <c r="MF124" s="548"/>
      <c r="MG124" s="548"/>
      <c r="MH124" s="548"/>
      <c r="MI124" s="548"/>
      <c r="MJ124" s="548"/>
      <c r="MK124" s="548"/>
      <c r="ML124" s="548"/>
      <c r="MM124" s="548"/>
      <c r="MN124" s="548"/>
      <c r="MO124" s="548"/>
      <c r="MP124" s="485" t="str">
        <f t="shared" si="905"/>
        <v/>
      </c>
      <c r="MQ124" s="548"/>
      <c r="MR124" s="548"/>
      <c r="MS124" s="548"/>
      <c r="MT124" s="548"/>
      <c r="MU124" s="548"/>
      <c r="MV124" s="548"/>
      <c r="MW124" s="548"/>
      <c r="MX124" s="548"/>
      <c r="MY124" s="548"/>
      <c r="MZ124" s="548"/>
      <c r="NA124" s="548"/>
      <c r="NB124" s="548"/>
      <c r="NC124" s="485" t="str">
        <f t="shared" si="906"/>
        <v/>
      </c>
      <c r="ND124" s="548"/>
      <c r="NE124" s="548"/>
      <c r="NF124" s="548"/>
      <c r="NG124" s="548"/>
      <c r="NH124" s="548"/>
      <c r="NI124" s="548"/>
      <c r="NJ124" s="548"/>
      <c r="NK124" s="548"/>
      <c r="NL124" s="548"/>
      <c r="NM124" s="548"/>
      <c r="NN124" s="548"/>
      <c r="NO124" s="548"/>
      <c r="NP124" s="485" t="str">
        <f t="shared" si="907"/>
        <v/>
      </c>
      <c r="NQ124" s="548"/>
      <c r="NR124" s="548"/>
      <c r="NS124" s="548"/>
      <c r="NT124" s="548"/>
      <c r="NU124" s="548"/>
      <c r="NV124" s="548"/>
      <c r="NW124" s="548"/>
      <c r="NX124" s="548"/>
      <c r="NY124" s="548"/>
      <c r="NZ124" s="548"/>
      <c r="OA124" s="548"/>
      <c r="OB124" s="548"/>
      <c r="OC124" s="485" t="str">
        <f t="shared" si="908"/>
        <v/>
      </c>
      <c r="OD124" s="548"/>
      <c r="OE124" s="548"/>
      <c r="OF124" s="548"/>
      <c r="OG124" s="548"/>
      <c r="OH124" s="548"/>
      <c r="OI124" s="548"/>
      <c r="OJ124" s="548"/>
      <c r="OK124" s="548"/>
      <c r="OL124" s="548"/>
      <c r="OM124" s="548"/>
      <c r="ON124" s="548"/>
      <c r="OO124" s="548"/>
      <c r="OP124" s="548"/>
      <c r="OQ124" s="548"/>
      <c r="OR124" s="548"/>
      <c r="OS124" s="548"/>
      <c r="OT124" s="548"/>
      <c r="OU124" s="548"/>
      <c r="OV124" s="548"/>
      <c r="OW124" s="548"/>
      <c r="OX124" s="548"/>
      <c r="OY124" s="548"/>
      <c r="OZ124" s="548"/>
      <c r="PA124" s="548"/>
      <c r="PB124" s="548"/>
      <c r="PC124" s="548"/>
      <c r="PD124" s="548"/>
      <c r="PE124" s="548"/>
      <c r="PF124" s="548"/>
      <c r="PG124" s="548"/>
      <c r="PH124" s="548"/>
      <c r="PI124" s="548"/>
      <c r="PJ124" s="548"/>
      <c r="PK124" s="548"/>
      <c r="PL124" s="548"/>
      <c r="PM124" s="548"/>
      <c r="PN124" s="548"/>
      <c r="PO124" s="548"/>
      <c r="PP124" s="548"/>
      <c r="PQ124" s="548"/>
      <c r="PR124" s="548"/>
      <c r="PS124" s="548"/>
      <c r="PT124" s="548"/>
      <c r="PU124" s="548"/>
      <c r="PV124" s="548"/>
      <c r="PW124" s="548"/>
      <c r="PX124" s="548"/>
      <c r="PY124" s="548"/>
      <c r="PZ124" s="548"/>
      <c r="QA124" s="548"/>
      <c r="QB124" s="548"/>
      <c r="QC124" s="548"/>
      <c r="QD124" s="548"/>
      <c r="QE124" s="548"/>
      <c r="QF124" s="548"/>
      <c r="QG124" s="548"/>
      <c r="QH124" s="548"/>
      <c r="QI124" s="548"/>
      <c r="QJ124" s="548"/>
      <c r="QK124" s="548"/>
      <c r="QL124" s="548"/>
      <c r="QM124" s="548"/>
      <c r="QN124" s="548"/>
      <c r="QO124" s="548"/>
      <c r="QP124" s="548"/>
      <c r="QQ124" s="1009"/>
      <c r="QR124" s="548"/>
      <c r="QS124" s="548"/>
      <c r="QT124" s="548"/>
      <c r="QU124" s="548"/>
      <c r="QV124" s="548"/>
      <c r="QW124" s="548"/>
      <c r="QX124" s="548"/>
      <c r="QY124" s="548"/>
      <c r="QZ124" s="548"/>
      <c r="RA124" s="548"/>
      <c r="RB124" s="548"/>
      <c r="RC124" s="548"/>
      <c r="RD124" s="548"/>
      <c r="RE124" s="548"/>
      <c r="RF124" s="548"/>
      <c r="RG124" s="548"/>
      <c r="RH124" s="548"/>
      <c r="RI124" s="548"/>
      <c r="RJ124" s="548"/>
      <c r="RK124" s="548"/>
      <c r="RL124" s="548"/>
      <c r="RM124" s="548"/>
      <c r="RN124" s="548"/>
      <c r="RO124" s="548"/>
      <c r="RP124" s="548"/>
      <c r="RQ124" s="548"/>
      <c r="RR124" s="548"/>
      <c r="RS124" s="548"/>
      <c r="RT124" s="548"/>
      <c r="RU124" s="548"/>
      <c r="RV124" s="548"/>
      <c r="RW124" s="548"/>
      <c r="RX124" s="548"/>
      <c r="RY124" s="548"/>
      <c r="RZ124" s="548"/>
      <c r="SA124" s="548"/>
      <c r="SB124" s="548"/>
      <c r="SC124" s="548"/>
      <c r="SD124" s="548"/>
      <c r="SE124" s="548"/>
      <c r="SF124" s="548"/>
      <c r="SG124" s="548"/>
      <c r="SH124" s="548"/>
      <c r="SI124" s="548"/>
      <c r="SJ124" s="548"/>
      <c r="SK124" s="548"/>
      <c r="SL124" s="548"/>
      <c r="SM124" s="548"/>
      <c r="SN124" s="548"/>
      <c r="SO124" s="548"/>
      <c r="SP124" s="548"/>
      <c r="SQ124" s="548"/>
      <c r="SR124" s="548"/>
      <c r="SS124" s="548"/>
      <c r="ST124" s="548"/>
      <c r="SU124" s="548"/>
      <c r="SV124" s="548"/>
      <c r="SW124" s="548"/>
      <c r="SX124" s="548"/>
      <c r="SY124" s="548"/>
      <c r="SZ124" s="548"/>
      <c r="TA124" s="548"/>
      <c r="TB124" s="548"/>
      <c r="TC124" s="548"/>
      <c r="TD124" s="548"/>
      <c r="TE124" s="548"/>
      <c r="TF124" s="548"/>
      <c r="TG124" s="548"/>
      <c r="TH124" s="548"/>
      <c r="TI124" s="548"/>
      <c r="TJ124" s="548"/>
      <c r="TK124" s="548"/>
      <c r="TL124" s="548"/>
      <c r="TM124" s="548"/>
      <c r="TN124" s="548"/>
      <c r="TO124" s="548"/>
      <c r="TP124" s="548"/>
      <c r="TQ124" s="548"/>
      <c r="TR124" s="548"/>
      <c r="TS124" s="548"/>
      <c r="TT124" s="548"/>
      <c r="TU124" s="548"/>
      <c r="TV124" s="548"/>
      <c r="TW124" s="548"/>
      <c r="TX124" s="548"/>
      <c r="TY124" s="548"/>
      <c r="TZ124" s="548"/>
      <c r="UA124" s="548"/>
      <c r="UB124" s="548"/>
      <c r="UC124" s="548"/>
      <c r="UD124" s="548"/>
      <c r="UE124" s="548"/>
      <c r="UF124" s="548"/>
      <c r="UG124" s="548"/>
      <c r="UH124" s="548"/>
      <c r="UI124" s="548"/>
      <c r="UJ124" s="548"/>
      <c r="UK124" s="548"/>
      <c r="UL124" s="548"/>
      <c r="UM124" s="548"/>
      <c r="UN124" s="548"/>
      <c r="UO124" s="548"/>
      <c r="UP124" s="548"/>
      <c r="UQ124" s="548"/>
      <c r="UR124" s="548"/>
      <c r="US124" s="548"/>
      <c r="UT124" s="548"/>
      <c r="UU124" s="548"/>
      <c r="UV124" s="548"/>
      <c r="UW124" s="548"/>
      <c r="UX124" s="548"/>
      <c r="UY124" s="548"/>
      <c r="UZ124" s="548"/>
      <c r="VA124" s="548"/>
      <c r="VB124" s="548"/>
      <c r="VC124" s="548"/>
      <c r="VD124" s="548"/>
      <c r="VE124" s="548"/>
      <c r="VF124" s="548"/>
      <c r="VG124" s="548"/>
      <c r="VH124" s="548"/>
      <c r="VI124" s="548"/>
      <c r="VJ124" s="548"/>
      <c r="VK124" s="548"/>
      <c r="VL124" s="548"/>
      <c r="VM124" s="548"/>
      <c r="VN124" s="548"/>
      <c r="VO124" s="548"/>
      <c r="VP124" s="548"/>
      <c r="VQ124" s="548"/>
      <c r="VR124" s="548"/>
      <c r="VS124" s="548"/>
      <c r="VT124" s="548"/>
      <c r="VU124" s="548"/>
      <c r="VV124" s="548"/>
      <c r="VW124" s="548"/>
      <c r="VX124" s="548"/>
      <c r="VY124" s="548"/>
      <c r="VZ124" s="548"/>
      <c r="WA124" s="548"/>
      <c r="WB124" s="548"/>
      <c r="WC124" s="548"/>
      <c r="WD124" s="548"/>
      <c r="WE124" s="548"/>
      <c r="WF124" s="548"/>
      <c r="WG124" s="548"/>
      <c r="WH124" s="548"/>
      <c r="WI124" s="548"/>
      <c r="WJ124" s="548"/>
      <c r="WK124" s="548"/>
      <c r="WL124" s="548"/>
      <c r="WM124" s="548"/>
      <c r="WN124" s="548"/>
      <c r="WO124" s="548"/>
      <c r="WP124" s="548"/>
      <c r="WQ124" s="548"/>
      <c r="WR124" s="548"/>
      <c r="WS124" s="548"/>
      <c r="WT124" s="548"/>
      <c r="WU124" s="548"/>
      <c r="WV124" s="548"/>
      <c r="WW124" s="548"/>
      <c r="WX124" s="548"/>
      <c r="WY124" s="548"/>
      <c r="WZ124" s="548"/>
      <c r="XA124" s="548"/>
      <c r="XB124" s="548"/>
      <c r="XC124" s="548"/>
      <c r="XD124" s="548"/>
      <c r="XE124" s="548"/>
      <c r="XF124" s="548"/>
      <c r="XG124" s="548"/>
      <c r="XH124" s="548"/>
      <c r="XI124" s="548"/>
      <c r="XJ124" s="548"/>
      <c r="XK124" s="548"/>
      <c r="XL124" s="548"/>
      <c r="XM124" s="548"/>
      <c r="XN124" s="548"/>
      <c r="XO124" s="548"/>
      <c r="XP124" s="548"/>
      <c r="XQ124" s="548"/>
      <c r="XR124" s="548"/>
      <c r="XS124" s="548"/>
      <c r="XT124" s="548"/>
      <c r="XU124" s="548"/>
      <c r="XV124" s="548"/>
      <c r="XW124" s="548"/>
      <c r="XX124" s="548"/>
      <c r="XY124" s="548"/>
      <c r="XZ124" s="548"/>
      <c r="YA124" s="548"/>
      <c r="YB124" s="548"/>
      <c r="YC124" s="548"/>
      <c r="YD124" s="548"/>
      <c r="YE124" s="548"/>
      <c r="YF124" s="548"/>
      <c r="YG124" s="548"/>
      <c r="YH124" s="548"/>
      <c r="YI124" s="548"/>
      <c r="YJ124" s="548"/>
      <c r="YK124" s="548"/>
      <c r="YL124" s="548"/>
      <c r="YM124" s="548"/>
      <c r="YN124" s="548"/>
      <c r="YO124" s="548"/>
      <c r="YP124" s="548"/>
      <c r="YQ124" s="548"/>
      <c r="YR124" s="548"/>
      <c r="YS124" s="548"/>
      <c r="YT124" s="548"/>
      <c r="YU124" s="548"/>
      <c r="YV124" s="548"/>
      <c r="YW124" s="548"/>
      <c r="YX124" s="548"/>
      <c r="YY124" s="548"/>
      <c r="YZ124" s="548"/>
      <c r="ZA124" s="548"/>
      <c r="ZB124" s="548"/>
      <c r="ZC124" s="548"/>
      <c r="ZD124" s="548"/>
      <c r="ZE124" s="548"/>
      <c r="ZF124" s="548"/>
      <c r="ZG124" s="548"/>
      <c r="ZH124" s="548"/>
      <c r="ZI124" s="548"/>
      <c r="ZJ124" s="548"/>
      <c r="ZK124" s="548"/>
      <c r="ZL124" s="548"/>
      <c r="ZM124" s="548"/>
      <c r="ZN124" s="548"/>
      <c r="ZO124" s="548"/>
      <c r="ZP124" s="548"/>
      <c r="ZQ124" s="548"/>
      <c r="ZR124" s="548"/>
      <c r="ZS124" s="548"/>
      <c r="ZT124" s="548"/>
      <c r="ZU124" s="548"/>
      <c r="ZV124" s="548"/>
      <c r="ZW124" s="548"/>
      <c r="ZX124" s="548"/>
      <c r="ZY124" s="548"/>
      <c r="ZZ124" s="548"/>
      <c r="AAA124" s="548"/>
      <c r="AAB124" s="548"/>
      <c r="AAC124" s="548"/>
      <c r="AAD124" s="548"/>
      <c r="AAE124" s="548"/>
      <c r="AAF124" s="548"/>
      <c r="AAG124" s="548"/>
      <c r="AAH124" s="548"/>
      <c r="AAI124" s="548"/>
      <c r="AAJ124" s="548"/>
      <c r="AAK124" s="548"/>
      <c r="AAL124" s="548"/>
      <c r="AAM124" s="548"/>
      <c r="AAN124" s="548"/>
      <c r="AAO124" s="548"/>
      <c r="AAP124" s="548"/>
      <c r="AAQ124" s="548"/>
      <c r="AAR124" s="548"/>
      <c r="AAS124" s="548"/>
      <c r="AAT124" s="548"/>
      <c r="AAU124" s="548"/>
      <c r="AAV124" s="548"/>
      <c r="AAW124" s="548"/>
      <c r="AAX124" s="548"/>
      <c r="AAY124" s="548"/>
      <c r="AAZ124" s="548"/>
      <c r="ABA124" s="548"/>
      <c r="ABB124" s="548"/>
      <c r="ABC124" s="548"/>
      <c r="ABD124" s="548"/>
      <c r="ABE124" s="548"/>
      <c r="ABF124" s="548"/>
      <c r="ABG124" s="548"/>
      <c r="ABH124" s="548"/>
      <c r="ABI124" s="548"/>
      <c r="ABJ124" s="548"/>
      <c r="ABK124" s="548"/>
      <c r="ABL124" s="548"/>
      <c r="ABM124" s="548"/>
      <c r="ABN124" s="548"/>
      <c r="ABO124" s="548"/>
      <c r="ABP124" s="548"/>
      <c r="ABQ124" s="548"/>
      <c r="ABR124" s="548"/>
      <c r="ABS124" s="548"/>
    </row>
    <row r="125" spans="1:747" customFormat="1" ht="15" customHeight="1" x14ac:dyDescent="0.2">
      <c r="A125" s="424" t="str">
        <f t="shared" si="909"/>
        <v/>
      </c>
      <c r="B125" s="415"/>
      <c r="C125" s="525"/>
      <c r="D125" s="750"/>
      <c r="E125" s="416" t="str">
        <f t="shared" si="1171"/>
        <v/>
      </c>
      <c r="F125" s="527" t="str">
        <f t="shared" si="1172"/>
        <v/>
      </c>
      <c r="G125" s="417"/>
      <c r="H125" s="585" t="str">
        <f t="shared" si="1173"/>
        <v/>
      </c>
      <c r="I125" s="424"/>
      <c r="J125" s="419"/>
      <c r="K125" s="418"/>
      <c r="L125" s="419"/>
      <c r="M125" s="415"/>
      <c r="N125" s="420"/>
      <c r="O125" s="421"/>
      <c r="P125" s="561"/>
      <c r="Q125" s="422"/>
      <c r="R125" s="561" t="str">
        <f t="shared" si="1174"/>
        <v/>
      </c>
      <c r="S125" s="664"/>
      <c r="T125" s="663"/>
      <c r="U125" s="580">
        <f t="shared" si="1175"/>
        <v>0</v>
      </c>
      <c r="V125" s="418"/>
      <c r="W125" s="582" t="str">
        <f t="shared" si="1176"/>
        <v/>
      </c>
      <c r="X125" s="479" t="str">
        <f t="shared" si="1177"/>
        <v/>
      </c>
      <c r="Y125" s="582" t="str">
        <f t="shared" si="1178"/>
        <v/>
      </c>
      <c r="Z125" s="317" t="str">
        <f t="shared" si="1179"/>
        <v/>
      </c>
      <c r="AA125" s="317" t="str">
        <f t="shared" si="1180"/>
        <v/>
      </c>
      <c r="AB125" s="317">
        <f t="shared" si="1181"/>
        <v>0</v>
      </c>
      <c r="AC125" s="317" t="str">
        <f t="shared" si="1182"/>
        <v/>
      </c>
      <c r="AD125" s="479"/>
      <c r="AE125" s="479"/>
      <c r="AF125" s="479"/>
      <c r="AG125" s="423"/>
      <c r="AH125" s="820"/>
      <c r="AI125" s="437"/>
      <c r="AJ125" s="660"/>
      <c r="AK125" s="524" t="str">
        <f t="shared" si="1183"/>
        <v/>
      </c>
      <c r="AL125" s="731">
        <f>SUMIF($J$4:$J$102,"Mais Escola",$S$4:$S$102)</f>
        <v>0</v>
      </c>
      <c r="AM125" s="732">
        <f>SUMIF($J$4:$J$102,"Mais Escola",$T$4:$T$102)</f>
        <v>0</v>
      </c>
      <c r="AN125" s="426">
        <f t="shared" si="1184"/>
        <v>0</v>
      </c>
      <c r="AO125" s="427" t="str">
        <f t="shared" si="1185"/>
        <v/>
      </c>
      <c r="AP125" s="426" t="str">
        <f t="shared" si="1186"/>
        <v/>
      </c>
      <c r="AQ125" s="426"/>
      <c r="AR125" s="426"/>
      <c r="AS125" s="428"/>
      <c r="AT125" s="429"/>
      <c r="AU125" s="430"/>
      <c r="AV125" s="431"/>
      <c r="AW125" s="432"/>
      <c r="AX125" s="430"/>
      <c r="AY125" s="431">
        <f t="shared" si="1187"/>
        <v>0</v>
      </c>
      <c r="AZ125" s="426"/>
      <c r="BA125" s="435" t="str">
        <f t="shared" si="1188"/>
        <v/>
      </c>
      <c r="BB125" s="435"/>
      <c r="BC125" s="426"/>
      <c r="BD125" s="426">
        <f t="array" ref="BD125">IF(SUM((BC125=$BC$3:BC124)*1)=0,BC125,0)</f>
        <v>0</v>
      </c>
      <c r="BE125" s="426"/>
      <c r="BF125" s="426"/>
      <c r="BG125" s="426">
        <f t="array" ref="BG125">IF(SUM((BF125=$BF$3:BF124)*1)=0,BF125,0)</f>
        <v>0</v>
      </c>
      <c r="BH125" s="426"/>
      <c r="BI125" s="426"/>
      <c r="BJ125" s="426"/>
      <c r="BK125" s="426"/>
      <c r="BL125" s="426"/>
      <c r="BM125" s="426"/>
      <c r="BN125" s="426"/>
      <c r="BO125" s="426"/>
      <c r="BP125" s="433">
        <f t="shared" si="1189"/>
        <v>0</v>
      </c>
      <c r="BQ125" s="426"/>
      <c r="BR125" s="434"/>
      <c r="BS125" s="426"/>
      <c r="BT125" s="433"/>
      <c r="BU125" s="435"/>
      <c r="BV125" s="435" t="str">
        <f t="shared" si="1190"/>
        <v/>
      </c>
      <c r="BW125" s="435" t="str">
        <f t="shared" si="798"/>
        <v/>
      </c>
      <c r="BX125" s="435"/>
      <c r="BY125" s="435"/>
      <c r="BZ125" s="435"/>
      <c r="CA125" s="435"/>
      <c r="CB125" s="435"/>
      <c r="CC125" s="435"/>
      <c r="CD125" s="435"/>
      <c r="CE125" s="435"/>
      <c r="CF125" s="435"/>
      <c r="CG125" s="435"/>
      <c r="CH125" s="435"/>
      <c r="CI125" s="435"/>
      <c r="CJ125" s="426" t="str">
        <f t="shared" si="799"/>
        <v/>
      </c>
      <c r="CK125" s="435"/>
      <c r="CL125" s="426"/>
      <c r="CM125" s="435"/>
      <c r="CN125" s="426"/>
      <c r="CO125" s="426"/>
      <c r="CP125" s="426"/>
      <c r="CQ125" s="426"/>
      <c r="CR125" s="426"/>
      <c r="CS125" s="426"/>
      <c r="CT125" s="426"/>
      <c r="CU125" s="426"/>
      <c r="CV125" s="426"/>
      <c r="CW125" s="493"/>
      <c r="CX125" s="493"/>
      <c r="CY125" s="426">
        <v>122</v>
      </c>
      <c r="CZ125" s="493"/>
      <c r="DA125" s="493"/>
      <c r="DB125" s="493"/>
      <c r="DC125" s="426" t="s">
        <v>865</v>
      </c>
      <c r="DD125" s="426" t="s">
        <v>1025</v>
      </c>
      <c r="DE125" s="435" t="str">
        <f t="shared" si="800"/>
        <v/>
      </c>
      <c r="DF125" s="435" t="str">
        <f t="shared" si="801"/>
        <v/>
      </c>
      <c r="DG125" s="435" t="str">
        <f t="shared" si="802"/>
        <v/>
      </c>
      <c r="DH125" s="435" t="str">
        <f t="shared" si="803"/>
        <v/>
      </c>
      <c r="DI125" s="435" t="str">
        <f t="shared" si="804"/>
        <v/>
      </c>
      <c r="DJ125" s="435" t="str">
        <f t="shared" si="805"/>
        <v/>
      </c>
      <c r="DK125" s="435" t="str">
        <f t="shared" si="1191"/>
        <v/>
      </c>
      <c r="DL125" s="435" t="str">
        <f t="shared" si="1192"/>
        <v/>
      </c>
      <c r="DM125" s="435" t="str">
        <f t="shared" si="806"/>
        <v/>
      </c>
      <c r="DN125" s="435" t="str">
        <f t="shared" si="807"/>
        <v/>
      </c>
      <c r="DO125" s="435" t="str">
        <f t="shared" si="1193"/>
        <v/>
      </c>
      <c r="DP125" s="435" t="str">
        <f t="shared" si="1194"/>
        <v/>
      </c>
      <c r="DQ125" s="435" t="str">
        <f t="shared" si="808"/>
        <v/>
      </c>
      <c r="DR125" s="435" t="str">
        <f t="shared" si="809"/>
        <v/>
      </c>
      <c r="DS125" s="435" t="str">
        <f t="shared" si="1195"/>
        <v/>
      </c>
      <c r="DT125" s="435" t="str">
        <f t="shared" si="1196"/>
        <v/>
      </c>
      <c r="DU125" s="435" t="str">
        <f t="shared" si="810"/>
        <v/>
      </c>
      <c r="DV125" s="435" t="str">
        <f t="shared" si="811"/>
        <v/>
      </c>
      <c r="DW125" s="435" t="str">
        <f t="shared" si="1197"/>
        <v/>
      </c>
      <c r="DX125" s="435" t="str">
        <f t="shared" si="1198"/>
        <v/>
      </c>
      <c r="DY125" s="435" t="str">
        <f t="shared" si="812"/>
        <v/>
      </c>
      <c r="DZ125" s="435" t="str">
        <f t="shared" si="813"/>
        <v/>
      </c>
      <c r="EA125" s="435" t="str">
        <f t="shared" si="1199"/>
        <v/>
      </c>
      <c r="EB125" s="435" t="str">
        <f t="shared" si="1200"/>
        <v/>
      </c>
      <c r="EC125" s="435" t="str">
        <f t="shared" si="1201"/>
        <v/>
      </c>
      <c r="ED125" s="435" t="str">
        <f t="shared" si="1202"/>
        <v/>
      </c>
      <c r="EE125" s="435" t="str">
        <f t="shared" si="1203"/>
        <v/>
      </c>
      <c r="EF125" s="435" t="str">
        <f t="shared" si="1204"/>
        <v/>
      </c>
      <c r="EG125" s="435" t="str">
        <f t="shared" si="1205"/>
        <v/>
      </c>
      <c r="EH125" s="435" t="str">
        <f t="shared" si="1206"/>
        <v/>
      </c>
      <c r="EI125" s="435" t="str">
        <f t="shared" si="1207"/>
        <v/>
      </c>
      <c r="EJ125" s="435" t="str">
        <f t="shared" si="1208"/>
        <v/>
      </c>
      <c r="EK125" s="485"/>
      <c r="EL125" s="485"/>
      <c r="EM125" s="485"/>
      <c r="EN125" s="485"/>
      <c r="EO125" s="448"/>
      <c r="EP125" s="448"/>
      <c r="EQ125" s="448"/>
      <c r="ER125" s="448"/>
      <c r="ES125" s="448"/>
      <c r="ET125" s="435"/>
      <c r="EU125" s="435"/>
      <c r="EV125" s="435"/>
      <c r="EW125" s="435"/>
      <c r="EX125" s="426"/>
      <c r="EY125" s="426"/>
      <c r="EZ125" s="426"/>
      <c r="FA125" s="863"/>
      <c r="FB125" s="427">
        <f t="array" ref="FB125">IF(SUM((FA125=$FA$3:FA124)*1)=0,FA125,0)</f>
        <v>0</v>
      </c>
      <c r="FC125" s="863"/>
      <c r="FD125" s="863"/>
      <c r="FE125" s="863">
        <f t="array" ref="FE125">IF(SUM((FD125=$FD$3:FD124)*1)=0,FD125,0)</f>
        <v>0</v>
      </c>
      <c r="FF125" s="863"/>
      <c r="FG125" s="863"/>
      <c r="FH125" s="863"/>
      <c r="FI125" s="427">
        <f t="array" ref="FI125">IF(SUM((FH125=$FH$3:FH124)*1)=0,FH125,0)</f>
        <v>0</v>
      </c>
      <c r="FJ125" s="863"/>
      <c r="FK125" s="863"/>
      <c r="FL125" s="863">
        <f t="array" ref="FL125">IF(SUM((FK125=$FK$3:FK124)*1)=0,FK125,0)</f>
        <v>0</v>
      </c>
      <c r="FM125" s="863"/>
      <c r="FN125" s="863"/>
      <c r="FO125" s="863"/>
      <c r="FP125" s="427">
        <f t="array" ref="FP125">IF(SUM((FO125=$FO$3:FO124)*1)=0,FO125,0)</f>
        <v>0</v>
      </c>
      <c r="FQ125" s="863"/>
      <c r="FR125" s="863"/>
      <c r="FS125" s="863">
        <f t="array" ref="FS125">IF(SUM((FR125=$FR$3:FR124)*1)=0,FR125,0)</f>
        <v>0</v>
      </c>
      <c r="FT125" s="863"/>
      <c r="FU125" s="863"/>
      <c r="FV125" s="863"/>
      <c r="FW125" s="427">
        <f t="array" ref="FW125">IF(SUM((FV125=$FV$3:FV124)*1)=0,FV125,0)</f>
        <v>0</v>
      </c>
      <c r="FX125" s="863"/>
      <c r="FY125" s="863"/>
      <c r="FZ125" s="863">
        <f t="array" ref="FZ125">IF(SUM((FY125=$FY$3:FY124)*1)=0,FY125,0)</f>
        <v>0</v>
      </c>
      <c r="GA125" s="863"/>
      <c r="GB125" s="863"/>
      <c r="GC125" s="863"/>
      <c r="GD125" s="427">
        <f t="array" ref="GD125">IF(SUM((GC125=$GC$3:GC124)*1)=0,GC125,0)</f>
        <v>0</v>
      </c>
      <c r="GE125" s="863"/>
      <c r="GF125" s="863"/>
      <c r="GG125" s="863">
        <f t="array" ref="GG125">IF(SUM((GF125=$GF$3:GF124)*1)=0,GF125,0)</f>
        <v>0</v>
      </c>
      <c r="GH125" s="863"/>
      <c r="GI125" s="863"/>
      <c r="GJ125" s="863"/>
      <c r="GK125" s="798">
        <f t="array" ref="GK125">IF(SUM((GJ125=$GJ$3:GJ124)*1)=0,GJ125,0)</f>
        <v>0</v>
      </c>
      <c r="GL125" s="863"/>
      <c r="GM125" s="863"/>
      <c r="GN125" s="798">
        <f t="array" ref="GN125">IF(SUM((GM125=$GM$3:GM124)*1)=0,GM125,0)</f>
        <v>0</v>
      </c>
      <c r="GO125" s="863"/>
      <c r="GP125" s="863"/>
      <c r="GQ125" s="863"/>
      <c r="GR125" s="798">
        <f t="array" ref="GR125">IF(SUM((GQ125=$GQ$3:GQ124)*1)=0,GQ125,0)</f>
        <v>0</v>
      </c>
      <c r="GS125" s="863"/>
      <c r="GT125" s="863"/>
      <c r="GU125" s="798">
        <f t="array" ref="GU125">IF(SUM((GT125=$GT$3:GT124)*1)=0,GT125,0)</f>
        <v>0</v>
      </c>
      <c r="GV125" s="863"/>
      <c r="GW125" s="863"/>
      <c r="GX125" s="863"/>
      <c r="GY125" s="798">
        <f t="array" ref="GY125">IF(SUM((GX125=$GX$3:GX124)*1)=0,GX125,0)</f>
        <v>0</v>
      </c>
      <c r="GZ125" s="863"/>
      <c r="HA125" s="863"/>
      <c r="HB125" s="798">
        <f t="array" ref="HB125">IF(SUM((HA125=$HA$3:HA124)*1)=0,HA125,0)</f>
        <v>0</v>
      </c>
      <c r="HC125" s="863"/>
      <c r="HD125" s="863"/>
      <c r="HE125" s="769" t="str">
        <f t="shared" si="889"/>
        <v/>
      </c>
      <c r="HF125" s="768" t="str">
        <f t="shared" ref="HF125" si="1466">IF(HE125&lt;0,"Invadiu REP-BA-C","")</f>
        <v/>
      </c>
      <c r="HG125" s="769" t="str">
        <f t="shared" si="891"/>
        <v/>
      </c>
      <c r="HH125" s="768" t="str">
        <f t="shared" si="815"/>
        <v/>
      </c>
      <c r="HI125" s="728" t="str">
        <f t="shared" si="892"/>
        <v/>
      </c>
      <c r="HJ125" s="768" t="str">
        <f t="shared" si="816"/>
        <v/>
      </c>
      <c r="HK125" s="728" t="str">
        <f t="shared" si="893"/>
        <v/>
      </c>
      <c r="HL125" s="768" t="str">
        <f t="shared" si="817"/>
        <v/>
      </c>
      <c r="HM125" s="769" t="str">
        <f t="shared" si="1219"/>
        <v/>
      </c>
      <c r="HN125" s="768" t="str">
        <f t="shared" ref="HN125" si="1467">IF(HM125&lt;0,"Invadiu REP-BA-C","")</f>
        <v/>
      </c>
      <c r="HO125" s="769" t="str">
        <f t="shared" si="1221"/>
        <v/>
      </c>
      <c r="HP125" s="768" t="str">
        <f t="shared" si="821"/>
        <v/>
      </c>
      <c r="HQ125" s="728" t="str">
        <f t="shared" si="1222"/>
        <v/>
      </c>
      <c r="HR125" s="768" t="str">
        <f t="shared" si="823"/>
        <v/>
      </c>
      <c r="HS125" s="728" t="str">
        <f t="shared" si="1223"/>
        <v/>
      </c>
      <c r="HT125" s="768" t="str">
        <f t="shared" si="825"/>
        <v/>
      </c>
      <c r="HU125" s="769" t="str">
        <f t="shared" si="1224"/>
        <v/>
      </c>
      <c r="HV125" s="768" t="str">
        <f t="shared" ref="HV125" si="1468">IF(HU125&lt;0,"Invadiu REP-BA-C","")</f>
        <v/>
      </c>
      <c r="HW125" s="769" t="str">
        <f t="shared" si="1226"/>
        <v/>
      </c>
      <c r="HX125" s="768" t="str">
        <f t="shared" si="829"/>
        <v/>
      </c>
      <c r="HY125" s="728" t="str">
        <f t="shared" si="1227"/>
        <v/>
      </c>
      <c r="HZ125" s="768" t="str">
        <f t="shared" si="831"/>
        <v/>
      </c>
      <c r="IA125" s="728" t="str">
        <f t="shared" si="1228"/>
        <v/>
      </c>
      <c r="IB125" s="768" t="str">
        <f t="shared" si="833"/>
        <v/>
      </c>
      <c r="IC125" s="769" t="str">
        <f t="shared" si="1229"/>
        <v/>
      </c>
      <c r="ID125" s="768" t="str">
        <f t="shared" ref="ID125" si="1469">IF(IC125&lt;0,"Invadiu REP-BA-C","")</f>
        <v/>
      </c>
      <c r="IE125" s="769" t="str">
        <f t="shared" si="1231"/>
        <v/>
      </c>
      <c r="IF125" s="768" t="str">
        <f t="shared" si="837"/>
        <v/>
      </c>
      <c r="IG125" s="728" t="str">
        <f t="shared" si="1232"/>
        <v/>
      </c>
      <c r="IH125" s="768" t="str">
        <f t="shared" si="839"/>
        <v/>
      </c>
      <c r="II125" s="728" t="str">
        <f t="shared" si="1233"/>
        <v/>
      </c>
      <c r="IJ125" s="768" t="str">
        <f t="shared" si="841"/>
        <v/>
      </c>
      <c r="IK125" s="769" t="str">
        <f t="shared" si="1234"/>
        <v/>
      </c>
      <c r="IL125" s="768" t="str">
        <f t="shared" ref="IL125" si="1470">IF(IK125&lt;0,"Invadiu REP-BA-C","")</f>
        <v/>
      </c>
      <c r="IM125" s="769" t="str">
        <f t="shared" si="1236"/>
        <v/>
      </c>
      <c r="IN125" s="768" t="str">
        <f t="shared" si="845"/>
        <v/>
      </c>
      <c r="IO125" s="728" t="str">
        <f t="shared" si="1237"/>
        <v/>
      </c>
      <c r="IP125" s="768" t="str">
        <f t="shared" si="847"/>
        <v/>
      </c>
      <c r="IQ125" s="728" t="str">
        <f t="shared" si="1238"/>
        <v/>
      </c>
      <c r="IR125" s="768" t="str">
        <f t="shared" si="849"/>
        <v/>
      </c>
      <c r="IS125" s="769" t="str">
        <f t="shared" si="1239"/>
        <v/>
      </c>
      <c r="IT125" s="768" t="str">
        <f t="shared" ref="IT125" si="1471">IF(IS125&lt;0,"Invadiu REP-BA-C","")</f>
        <v/>
      </c>
      <c r="IU125" s="769" t="str">
        <f t="shared" si="1241"/>
        <v/>
      </c>
      <c r="IV125" s="768" t="str">
        <f t="shared" si="853"/>
        <v/>
      </c>
      <c r="IW125" s="728" t="str">
        <f t="shared" si="1242"/>
        <v/>
      </c>
      <c r="IX125" s="768" t="str">
        <f t="shared" si="855"/>
        <v/>
      </c>
      <c r="IY125" s="728" t="str">
        <f t="shared" si="1243"/>
        <v/>
      </c>
      <c r="IZ125" s="768" t="str">
        <f t="shared" si="857"/>
        <v/>
      </c>
      <c r="JA125" s="769" t="str">
        <f t="shared" si="1244"/>
        <v/>
      </c>
      <c r="JB125" s="768" t="str">
        <f t="shared" ref="JB125" si="1472">IF(JA125&lt;0,"Invadiu REP-BA-C","")</f>
        <v/>
      </c>
      <c r="JC125" s="769" t="str">
        <f t="shared" si="1246"/>
        <v/>
      </c>
      <c r="JD125" s="768" t="str">
        <f t="shared" si="861"/>
        <v/>
      </c>
      <c r="JE125" s="728" t="str">
        <f t="shared" si="1247"/>
        <v/>
      </c>
      <c r="JF125" s="768" t="str">
        <f t="shared" si="863"/>
        <v/>
      </c>
      <c r="JG125" s="728" t="str">
        <f t="shared" si="1248"/>
        <v/>
      </c>
      <c r="JH125" s="768" t="str">
        <f t="shared" si="865"/>
        <v/>
      </c>
      <c r="JI125" s="769" t="str">
        <f t="shared" si="1249"/>
        <v/>
      </c>
      <c r="JJ125" s="768" t="str">
        <f t="shared" ref="JJ125" si="1473">IF(JI125&lt;0,"Invadiu REP-BA-C","")</f>
        <v/>
      </c>
      <c r="JK125" s="769" t="str">
        <f t="shared" si="1251"/>
        <v/>
      </c>
      <c r="JL125" s="768" t="str">
        <f t="shared" si="869"/>
        <v/>
      </c>
      <c r="JM125" s="728" t="str">
        <f t="shared" si="1252"/>
        <v/>
      </c>
      <c r="JN125" s="768" t="str">
        <f t="shared" si="871"/>
        <v/>
      </c>
      <c r="JO125" s="728" t="str">
        <f t="shared" si="1253"/>
        <v/>
      </c>
      <c r="JP125" s="768" t="str">
        <f t="shared" si="873"/>
        <v/>
      </c>
      <c r="JQ125" s="769" t="str">
        <f t="shared" si="1254"/>
        <v/>
      </c>
      <c r="JR125" s="768" t="str">
        <f t="shared" ref="JR125" si="1474">IF(JQ125&lt;0,"Invadiu REP-BA-C","")</f>
        <v/>
      </c>
      <c r="JS125" s="769" t="str">
        <f t="shared" si="1256"/>
        <v/>
      </c>
      <c r="JT125" s="768" t="str">
        <f t="shared" si="877"/>
        <v/>
      </c>
      <c r="JU125" s="728" t="str">
        <f t="shared" si="1257"/>
        <v/>
      </c>
      <c r="JV125" s="768" t="str">
        <f t="shared" si="879"/>
        <v/>
      </c>
      <c r="JW125" s="728" t="str">
        <f t="shared" si="1258"/>
        <v/>
      </c>
      <c r="JX125" s="768" t="str">
        <f t="shared" si="881"/>
        <v/>
      </c>
      <c r="JY125" s="768" t="str">
        <f t="shared" si="882"/>
        <v/>
      </c>
      <c r="JZ125" s="485" t="str">
        <f>IF(JY125="","",IF(AND(C125=$C$164,JY125&lt;&gt;""),Verificarcpf(D125),IF(AND(C125=$C$165,JY125&lt;&gt;""),VerificarCNPJ(D125))))</f>
        <v/>
      </c>
      <c r="KA125" s="768" t="str">
        <f t="shared" si="883"/>
        <v/>
      </c>
      <c r="KB125" s="485">
        <f t="shared" si="884"/>
        <v>0</v>
      </c>
      <c r="KC125" s="768">
        <f t="shared" si="885"/>
        <v>0</v>
      </c>
      <c r="KD125" s="485">
        <f t="shared" si="886"/>
        <v>0</v>
      </c>
      <c r="KE125" s="448"/>
      <c r="KF125" s="548"/>
      <c r="KG125" s="548"/>
      <c r="KH125" s="548"/>
      <c r="KI125" s="548"/>
      <c r="KJ125" s="548" t="str">
        <f t="shared" si="887"/>
        <v/>
      </c>
      <c r="KK125" s="548"/>
      <c r="KL125" s="548"/>
      <c r="KM125" s="548">
        <f t="array" ref="KM125">IF(SUM((KL125=$KL$3:KL124)*1)=0,KL125,0)</f>
        <v>0</v>
      </c>
      <c r="KN125" s="548"/>
      <c r="KO125" s="548"/>
      <c r="KP125" s="548"/>
      <c r="KQ125" s="548"/>
      <c r="KR125" s="548" t="str">
        <f t="shared" si="888"/>
        <v/>
      </c>
      <c r="KS125" s="548"/>
      <c r="KT125" s="548"/>
      <c r="KU125" s="548"/>
      <c r="KV125" s="548"/>
      <c r="KW125" s="548"/>
      <c r="KX125" s="548"/>
      <c r="KY125" s="548"/>
      <c r="KZ125" s="548"/>
      <c r="LA125" s="548"/>
      <c r="LB125" s="548"/>
      <c r="LC125" s="485" t="str">
        <f t="shared" si="902"/>
        <v/>
      </c>
      <c r="LD125" s="548"/>
      <c r="LE125" s="548"/>
      <c r="LF125" s="548"/>
      <c r="LG125" s="548"/>
      <c r="LH125" s="548"/>
      <c r="LI125" s="548"/>
      <c r="LJ125" s="548"/>
      <c r="LK125" s="548"/>
      <c r="LL125" s="548"/>
      <c r="LM125" s="548"/>
      <c r="LN125" s="548"/>
      <c r="LO125" s="548"/>
      <c r="LP125" s="485" t="str">
        <f t="shared" si="903"/>
        <v/>
      </c>
      <c r="LQ125" s="548"/>
      <c r="LR125" s="548"/>
      <c r="LS125" s="548"/>
      <c r="LT125" s="548"/>
      <c r="LU125" s="548"/>
      <c r="LV125" s="548"/>
      <c r="LW125" s="548"/>
      <c r="LX125" s="548"/>
      <c r="LY125" s="548"/>
      <c r="LZ125" s="548"/>
      <c r="MA125" s="548"/>
      <c r="MB125" s="548"/>
      <c r="MC125" s="485" t="str">
        <f t="shared" si="904"/>
        <v/>
      </c>
      <c r="MD125" s="548"/>
      <c r="ME125" s="548"/>
      <c r="MF125" s="548"/>
      <c r="MG125" s="548"/>
      <c r="MH125" s="548"/>
      <c r="MI125" s="548"/>
      <c r="MJ125" s="548"/>
      <c r="MK125" s="548"/>
      <c r="ML125" s="548"/>
      <c r="MM125" s="548"/>
      <c r="MN125" s="548"/>
      <c r="MO125" s="548"/>
      <c r="MP125" s="485" t="str">
        <f t="shared" si="905"/>
        <v/>
      </c>
      <c r="MQ125" s="548"/>
      <c r="MR125" s="548"/>
      <c r="MS125" s="548"/>
      <c r="MT125" s="548"/>
      <c r="MU125" s="548"/>
      <c r="MV125" s="548"/>
      <c r="MW125" s="548"/>
      <c r="MX125" s="548"/>
      <c r="MY125" s="548"/>
      <c r="MZ125" s="548"/>
      <c r="NA125" s="548"/>
      <c r="NB125" s="548"/>
      <c r="NC125" s="485" t="str">
        <f t="shared" si="906"/>
        <v/>
      </c>
      <c r="ND125" s="548"/>
      <c r="NE125" s="548"/>
      <c r="NF125" s="548"/>
      <c r="NG125" s="548"/>
      <c r="NH125" s="548"/>
      <c r="NI125" s="548"/>
      <c r="NJ125" s="548"/>
      <c r="NK125" s="548"/>
      <c r="NL125" s="548"/>
      <c r="NM125" s="548"/>
      <c r="NN125" s="548"/>
      <c r="NO125" s="548"/>
      <c r="NP125" s="485" t="str">
        <f t="shared" si="907"/>
        <v/>
      </c>
      <c r="NQ125" s="548"/>
      <c r="NR125" s="548"/>
      <c r="NS125" s="548"/>
      <c r="NT125" s="548"/>
      <c r="NU125" s="548"/>
      <c r="NV125" s="548"/>
      <c r="NW125" s="548"/>
      <c r="NX125" s="548"/>
      <c r="NY125" s="548"/>
      <c r="NZ125" s="548"/>
      <c r="OA125" s="548"/>
      <c r="OB125" s="548"/>
      <c r="OC125" s="485" t="str">
        <f t="shared" si="908"/>
        <v/>
      </c>
      <c r="OD125" s="548"/>
      <c r="OE125" s="548"/>
      <c r="OF125" s="548"/>
      <c r="OG125" s="548"/>
      <c r="OH125" s="548"/>
      <c r="OI125" s="548"/>
      <c r="OJ125" s="548"/>
      <c r="OK125" s="548"/>
      <c r="OL125" s="548"/>
      <c r="OM125" s="548"/>
      <c r="ON125" s="548"/>
      <c r="OO125" s="548"/>
      <c r="OP125" s="548"/>
      <c r="OQ125" s="548"/>
      <c r="OR125" s="548"/>
      <c r="OS125" s="548"/>
      <c r="OT125" s="548"/>
      <c r="OU125" s="548"/>
      <c r="OV125" s="548"/>
      <c r="OW125" s="548"/>
      <c r="OX125" s="548"/>
      <c r="OY125" s="548"/>
      <c r="OZ125" s="548"/>
      <c r="PA125" s="548"/>
      <c r="PB125" s="548"/>
      <c r="PC125" s="548"/>
      <c r="PD125" s="548"/>
      <c r="PE125" s="548"/>
      <c r="PF125" s="548"/>
      <c r="PG125" s="548"/>
      <c r="PH125" s="548"/>
      <c r="PI125" s="548"/>
      <c r="PJ125" s="548"/>
      <c r="PK125" s="548"/>
      <c r="PL125" s="548"/>
      <c r="PM125" s="548"/>
      <c r="PN125" s="548"/>
      <c r="PO125" s="548"/>
      <c r="PP125" s="548"/>
      <c r="PQ125" s="548"/>
      <c r="PR125" s="548"/>
      <c r="PS125" s="548"/>
      <c r="PT125" s="548"/>
      <c r="PU125" s="548"/>
      <c r="PV125" s="548"/>
      <c r="PW125" s="548"/>
      <c r="PX125" s="548"/>
      <c r="PY125" s="548"/>
      <c r="PZ125" s="548"/>
      <c r="QA125" s="548"/>
      <c r="QB125" s="548"/>
      <c r="QC125" s="548"/>
      <c r="QD125" s="548"/>
      <c r="QE125" s="548"/>
      <c r="QF125" s="548"/>
      <c r="QG125" s="548"/>
      <c r="QH125" s="548"/>
      <c r="QI125" s="548"/>
      <c r="QJ125" s="548"/>
      <c r="QK125" s="548"/>
      <c r="QL125" s="548"/>
      <c r="QM125" s="548"/>
      <c r="QN125" s="548"/>
      <c r="QO125" s="548"/>
      <c r="QP125" s="548"/>
      <c r="QQ125" s="1009"/>
      <c r="QR125" s="548"/>
      <c r="QS125" s="548"/>
      <c r="QT125" s="548"/>
      <c r="QU125" s="548"/>
      <c r="QV125" s="548"/>
      <c r="QW125" s="548"/>
      <c r="QX125" s="548"/>
      <c r="QY125" s="548"/>
      <c r="QZ125" s="548"/>
      <c r="RA125" s="548"/>
      <c r="RB125" s="548"/>
      <c r="RC125" s="548"/>
      <c r="RD125" s="548"/>
      <c r="RE125" s="548"/>
      <c r="RF125" s="548"/>
      <c r="RG125" s="548"/>
      <c r="RH125" s="548"/>
      <c r="RI125" s="548"/>
      <c r="RJ125" s="548"/>
      <c r="RK125" s="548"/>
      <c r="RL125" s="548"/>
      <c r="RM125" s="548"/>
      <c r="RN125" s="548"/>
      <c r="RO125" s="548"/>
      <c r="RP125" s="548"/>
      <c r="RQ125" s="548"/>
      <c r="RR125" s="548"/>
      <c r="RS125" s="548"/>
      <c r="RT125" s="548"/>
      <c r="RU125" s="548"/>
      <c r="RV125" s="548"/>
      <c r="RW125" s="548"/>
      <c r="RX125" s="548"/>
      <c r="RY125" s="548"/>
      <c r="RZ125" s="548"/>
      <c r="SA125" s="548"/>
      <c r="SB125" s="548"/>
      <c r="SC125" s="548"/>
      <c r="SD125" s="548"/>
      <c r="SE125" s="548"/>
      <c r="SF125" s="548"/>
      <c r="SG125" s="548"/>
      <c r="SH125" s="548"/>
      <c r="SI125" s="548"/>
      <c r="SJ125" s="548"/>
      <c r="SK125" s="548"/>
      <c r="SL125" s="548"/>
      <c r="SM125" s="548"/>
      <c r="SN125" s="548"/>
      <c r="SO125" s="548"/>
      <c r="SP125" s="548"/>
      <c r="SQ125" s="548"/>
      <c r="SR125" s="548"/>
      <c r="SS125" s="548"/>
      <c r="ST125" s="548"/>
      <c r="SU125" s="548"/>
      <c r="SV125" s="548"/>
      <c r="SW125" s="548"/>
      <c r="SX125" s="548"/>
      <c r="SY125" s="548"/>
      <c r="SZ125" s="548"/>
      <c r="TA125" s="548"/>
      <c r="TB125" s="548"/>
      <c r="TC125" s="548"/>
      <c r="TD125" s="548"/>
      <c r="TE125" s="548"/>
      <c r="TF125" s="548"/>
      <c r="TG125" s="548"/>
      <c r="TH125" s="548"/>
      <c r="TI125" s="548"/>
      <c r="TJ125" s="548"/>
      <c r="TK125" s="548"/>
      <c r="TL125" s="548"/>
      <c r="TM125" s="548"/>
      <c r="TN125" s="548"/>
      <c r="TO125" s="548"/>
      <c r="TP125" s="548"/>
      <c r="TQ125" s="548"/>
      <c r="TR125" s="548"/>
      <c r="TS125" s="548"/>
      <c r="TT125" s="548"/>
      <c r="TU125" s="548"/>
      <c r="TV125" s="548"/>
      <c r="TW125" s="548"/>
      <c r="TX125" s="548"/>
      <c r="TY125" s="548"/>
      <c r="TZ125" s="548"/>
      <c r="UA125" s="548"/>
      <c r="UB125" s="548"/>
      <c r="UC125" s="548"/>
      <c r="UD125" s="548"/>
      <c r="UE125" s="548"/>
      <c r="UF125" s="548"/>
      <c r="UG125" s="548"/>
      <c r="UH125" s="548"/>
      <c r="UI125" s="548"/>
      <c r="UJ125" s="548"/>
      <c r="UK125" s="548"/>
      <c r="UL125" s="548"/>
      <c r="UM125" s="548"/>
      <c r="UN125" s="548"/>
      <c r="UO125" s="548"/>
      <c r="UP125" s="548"/>
      <c r="UQ125" s="548"/>
      <c r="UR125" s="548"/>
      <c r="US125" s="548"/>
      <c r="UT125" s="548"/>
      <c r="UU125" s="548"/>
      <c r="UV125" s="548"/>
      <c r="UW125" s="548"/>
      <c r="UX125" s="548"/>
      <c r="UY125" s="548"/>
      <c r="UZ125" s="548"/>
      <c r="VA125" s="548"/>
      <c r="VB125" s="548"/>
      <c r="VC125" s="548"/>
      <c r="VD125" s="548"/>
      <c r="VE125" s="548"/>
      <c r="VF125" s="548"/>
      <c r="VG125" s="548"/>
      <c r="VH125" s="548"/>
      <c r="VI125" s="548"/>
      <c r="VJ125" s="548"/>
      <c r="VK125" s="548"/>
      <c r="VL125" s="548"/>
      <c r="VM125" s="548"/>
      <c r="VN125" s="548"/>
      <c r="VO125" s="548"/>
      <c r="VP125" s="548"/>
      <c r="VQ125" s="548"/>
      <c r="VR125" s="548"/>
      <c r="VS125" s="548"/>
      <c r="VT125" s="548"/>
      <c r="VU125" s="548"/>
      <c r="VV125" s="548"/>
      <c r="VW125" s="548"/>
      <c r="VX125" s="548"/>
      <c r="VY125" s="548"/>
      <c r="VZ125" s="548"/>
      <c r="WA125" s="548"/>
      <c r="WB125" s="548"/>
      <c r="WC125" s="548"/>
      <c r="WD125" s="548"/>
      <c r="WE125" s="548"/>
      <c r="WF125" s="548"/>
      <c r="WG125" s="548"/>
      <c r="WH125" s="548"/>
      <c r="WI125" s="548"/>
      <c r="WJ125" s="548"/>
      <c r="WK125" s="548"/>
      <c r="WL125" s="548"/>
      <c r="WM125" s="548"/>
      <c r="WN125" s="548"/>
      <c r="WO125" s="548"/>
      <c r="WP125" s="548"/>
      <c r="WQ125" s="548"/>
      <c r="WR125" s="548"/>
      <c r="WS125" s="548"/>
      <c r="WT125" s="548"/>
      <c r="WU125" s="548"/>
      <c r="WV125" s="548"/>
      <c r="WW125" s="548"/>
      <c r="WX125" s="548"/>
      <c r="WY125" s="548"/>
      <c r="WZ125" s="548"/>
      <c r="XA125" s="548"/>
      <c r="XB125" s="548"/>
      <c r="XC125" s="548"/>
      <c r="XD125" s="548"/>
      <c r="XE125" s="548"/>
      <c r="XF125" s="548"/>
      <c r="XG125" s="548"/>
      <c r="XH125" s="548"/>
      <c r="XI125" s="548"/>
      <c r="XJ125" s="548"/>
      <c r="XK125" s="548"/>
      <c r="XL125" s="548"/>
      <c r="XM125" s="548"/>
      <c r="XN125" s="548"/>
      <c r="XO125" s="548"/>
      <c r="XP125" s="548"/>
      <c r="XQ125" s="548"/>
      <c r="XR125" s="548"/>
      <c r="XS125" s="548"/>
      <c r="XT125" s="548"/>
      <c r="XU125" s="548"/>
      <c r="XV125" s="548"/>
      <c r="XW125" s="548"/>
      <c r="XX125" s="548"/>
      <c r="XY125" s="548"/>
      <c r="XZ125" s="548"/>
      <c r="YA125" s="548"/>
      <c r="YB125" s="548"/>
      <c r="YC125" s="548"/>
      <c r="YD125" s="548"/>
      <c r="YE125" s="548"/>
      <c r="YF125" s="548"/>
      <c r="YG125" s="548"/>
      <c r="YH125" s="548"/>
      <c r="YI125" s="548"/>
      <c r="YJ125" s="548"/>
      <c r="YK125" s="548"/>
      <c r="YL125" s="548"/>
      <c r="YM125" s="548"/>
      <c r="YN125" s="548"/>
      <c r="YO125" s="548"/>
      <c r="YP125" s="548"/>
      <c r="YQ125" s="548"/>
      <c r="YR125" s="548"/>
      <c r="YS125" s="548"/>
      <c r="YT125" s="548"/>
      <c r="YU125" s="548"/>
      <c r="YV125" s="548"/>
      <c r="YW125" s="548"/>
      <c r="YX125" s="548"/>
      <c r="YY125" s="548"/>
      <c r="YZ125" s="548"/>
      <c r="ZA125" s="548"/>
      <c r="ZB125" s="548"/>
      <c r="ZC125" s="548"/>
      <c r="ZD125" s="548"/>
      <c r="ZE125" s="548"/>
      <c r="ZF125" s="548"/>
      <c r="ZG125" s="548"/>
      <c r="ZH125" s="548"/>
      <c r="ZI125" s="548"/>
      <c r="ZJ125" s="548"/>
      <c r="ZK125" s="548"/>
      <c r="ZL125" s="548"/>
      <c r="ZM125" s="548"/>
      <c r="ZN125" s="548"/>
      <c r="ZO125" s="548"/>
      <c r="ZP125" s="548"/>
      <c r="ZQ125" s="548"/>
      <c r="ZR125" s="548"/>
      <c r="ZS125" s="548"/>
      <c r="ZT125" s="548"/>
      <c r="ZU125" s="548"/>
      <c r="ZV125" s="548"/>
      <c r="ZW125" s="548"/>
      <c r="ZX125" s="548"/>
      <c r="ZY125" s="548"/>
      <c r="ZZ125" s="548"/>
      <c r="AAA125" s="548"/>
      <c r="AAB125" s="548"/>
      <c r="AAC125" s="548"/>
      <c r="AAD125" s="548"/>
      <c r="AAE125" s="548"/>
      <c r="AAF125" s="548"/>
      <c r="AAG125" s="548"/>
      <c r="AAH125" s="548"/>
      <c r="AAI125" s="548"/>
      <c r="AAJ125" s="548"/>
      <c r="AAK125" s="548"/>
      <c r="AAL125" s="548"/>
      <c r="AAM125" s="548"/>
      <c r="AAN125" s="548"/>
      <c r="AAO125" s="548"/>
      <c r="AAP125" s="548"/>
      <c r="AAQ125" s="548"/>
      <c r="AAR125" s="548"/>
      <c r="AAS125" s="548"/>
      <c r="AAT125" s="548"/>
      <c r="AAU125" s="548"/>
      <c r="AAV125" s="548"/>
      <c r="AAW125" s="548"/>
      <c r="AAX125" s="548"/>
      <c r="AAY125" s="548"/>
      <c r="AAZ125" s="548"/>
      <c r="ABA125" s="548"/>
      <c r="ABB125" s="548"/>
      <c r="ABC125" s="548"/>
      <c r="ABD125" s="548"/>
      <c r="ABE125" s="548"/>
      <c r="ABF125" s="548"/>
      <c r="ABG125" s="548"/>
      <c r="ABH125" s="548"/>
      <c r="ABI125" s="548"/>
      <c r="ABJ125" s="548"/>
      <c r="ABK125" s="548"/>
      <c r="ABL125" s="548"/>
      <c r="ABM125" s="548"/>
      <c r="ABN125" s="548"/>
      <c r="ABO125" s="548"/>
      <c r="ABP125" s="548"/>
      <c r="ABQ125" s="548"/>
      <c r="ABR125" s="548"/>
      <c r="ABS125" s="548"/>
    </row>
    <row r="126" spans="1:747" customFormat="1" ht="15" customHeight="1" x14ac:dyDescent="0.2">
      <c r="A126" s="424" t="str">
        <f t="shared" si="909"/>
        <v/>
      </c>
      <c r="B126" s="415"/>
      <c r="C126" s="525"/>
      <c r="D126" s="750"/>
      <c r="E126" s="416" t="str">
        <f t="shared" si="1171"/>
        <v/>
      </c>
      <c r="F126" s="527" t="str">
        <f t="shared" si="1172"/>
        <v/>
      </c>
      <c r="G126" s="417"/>
      <c r="H126" s="585" t="str">
        <f t="shared" si="1173"/>
        <v/>
      </c>
      <c r="I126" s="424"/>
      <c r="J126" s="419"/>
      <c r="K126" s="418"/>
      <c r="L126" s="419"/>
      <c r="M126" s="415"/>
      <c r="N126" s="420"/>
      <c r="O126" s="421"/>
      <c r="P126" s="561"/>
      <c r="Q126" s="422"/>
      <c r="R126" s="561" t="str">
        <f t="shared" si="1174"/>
        <v/>
      </c>
      <c r="S126" s="664"/>
      <c r="T126" s="663"/>
      <c r="U126" s="580">
        <f t="shared" si="1175"/>
        <v>0</v>
      </c>
      <c r="V126" s="418"/>
      <c r="W126" s="582" t="str">
        <f t="shared" si="1176"/>
        <v/>
      </c>
      <c r="X126" s="479" t="str">
        <f t="shared" si="1177"/>
        <v/>
      </c>
      <c r="Y126" s="582" t="str">
        <f t="shared" si="1178"/>
        <v/>
      </c>
      <c r="Z126" s="317" t="str">
        <f t="shared" si="1179"/>
        <v/>
      </c>
      <c r="AA126" s="317" t="str">
        <f t="shared" si="1180"/>
        <v/>
      </c>
      <c r="AB126" s="317">
        <f t="shared" si="1181"/>
        <v>0</v>
      </c>
      <c r="AC126" s="317" t="str">
        <f t="shared" si="1182"/>
        <v/>
      </c>
      <c r="AD126" s="479"/>
      <c r="AE126" s="479"/>
      <c r="AF126" s="479"/>
      <c r="AG126" s="423"/>
      <c r="AH126" s="820"/>
      <c r="AI126" s="437"/>
      <c r="AJ126" s="660"/>
      <c r="AK126" s="524" t="str">
        <f t="shared" si="1183"/>
        <v/>
      </c>
      <c r="AL126" s="731">
        <f>SUMIF($J$4:$J$116,"Mais Escola",$S$4:$S$116)</f>
        <v>0</v>
      </c>
      <c r="AM126" s="732">
        <f>SUMIF($J$4:$J$116,"Mais Escola",$T$4:$T$116)</f>
        <v>0</v>
      </c>
      <c r="AN126" s="426">
        <f t="shared" si="1184"/>
        <v>0</v>
      </c>
      <c r="AO126" s="427" t="str">
        <f t="shared" si="1185"/>
        <v/>
      </c>
      <c r="AP126" s="426" t="str">
        <f t="shared" si="1186"/>
        <v/>
      </c>
      <c r="AQ126" s="426"/>
      <c r="AR126" s="426"/>
      <c r="AS126" s="428"/>
      <c r="AT126" s="429"/>
      <c r="AU126" s="430"/>
      <c r="AV126" s="431"/>
      <c r="AW126" s="432"/>
      <c r="AX126" s="430"/>
      <c r="AY126" s="431">
        <f t="shared" si="1187"/>
        <v>0</v>
      </c>
      <c r="AZ126" s="426"/>
      <c r="BA126" s="435" t="str">
        <f t="shared" si="1188"/>
        <v/>
      </c>
      <c r="BB126" s="435"/>
      <c r="BC126" s="426"/>
      <c r="BD126" s="426">
        <f t="array" ref="BD126">IF(SUM((BC126=$BC$3:BC125)*1)=0,BC126,0)</f>
        <v>0</v>
      </c>
      <c r="BE126" s="426"/>
      <c r="BF126" s="426"/>
      <c r="BG126" s="426">
        <f t="array" ref="BG126">IF(SUM((BF126=$BF$3:BF125)*1)=0,BF126,0)</f>
        <v>0</v>
      </c>
      <c r="BH126" s="426"/>
      <c r="BI126" s="426"/>
      <c r="BJ126" s="426"/>
      <c r="BK126" s="426"/>
      <c r="BL126" s="426"/>
      <c r="BM126" s="426"/>
      <c r="BN126" s="426"/>
      <c r="BO126" s="426"/>
      <c r="BP126" s="433">
        <f t="shared" si="1189"/>
        <v>0</v>
      </c>
      <c r="BQ126" s="426"/>
      <c r="BR126" s="434"/>
      <c r="BS126" s="426"/>
      <c r="BT126" s="433"/>
      <c r="BU126" s="435"/>
      <c r="BV126" s="435" t="str">
        <f t="shared" si="1190"/>
        <v/>
      </c>
      <c r="BW126" s="435" t="str">
        <f t="shared" si="798"/>
        <v/>
      </c>
      <c r="BX126" s="435"/>
      <c r="BY126" s="435"/>
      <c r="BZ126" s="435"/>
      <c r="CA126" s="435"/>
      <c r="CB126" s="435"/>
      <c r="CC126" s="435"/>
      <c r="CD126" s="435"/>
      <c r="CE126" s="435"/>
      <c r="CF126" s="435"/>
      <c r="CG126" s="435"/>
      <c r="CH126" s="435"/>
      <c r="CI126" s="435"/>
      <c r="CJ126" s="426" t="str">
        <f t="shared" si="799"/>
        <v/>
      </c>
      <c r="CK126" s="435"/>
      <c r="CL126" s="426"/>
      <c r="CM126" s="435"/>
      <c r="CN126" s="426"/>
      <c r="CO126" s="426"/>
      <c r="CP126" s="426"/>
      <c r="CQ126" s="426"/>
      <c r="CR126" s="426"/>
      <c r="CS126" s="426"/>
      <c r="CT126" s="426"/>
      <c r="CU126" s="426"/>
      <c r="CV126" s="426"/>
      <c r="CW126" s="493"/>
      <c r="CX126" s="493"/>
      <c r="CY126" s="426">
        <v>123</v>
      </c>
      <c r="CZ126" s="493"/>
      <c r="DA126" s="493"/>
      <c r="DB126" s="493"/>
      <c r="DC126" s="426" t="s">
        <v>866</v>
      </c>
      <c r="DD126" s="426" t="s">
        <v>1026</v>
      </c>
      <c r="DE126" s="435" t="str">
        <f t="shared" si="800"/>
        <v/>
      </c>
      <c r="DF126" s="435" t="str">
        <f t="shared" si="801"/>
        <v/>
      </c>
      <c r="DG126" s="435" t="str">
        <f t="shared" si="802"/>
        <v/>
      </c>
      <c r="DH126" s="435" t="str">
        <f t="shared" si="803"/>
        <v/>
      </c>
      <c r="DI126" s="435" t="str">
        <f t="shared" si="804"/>
        <v/>
      </c>
      <c r="DJ126" s="435" t="str">
        <f t="shared" si="805"/>
        <v/>
      </c>
      <c r="DK126" s="435" t="str">
        <f t="shared" si="1191"/>
        <v/>
      </c>
      <c r="DL126" s="435" t="str">
        <f t="shared" si="1192"/>
        <v/>
      </c>
      <c r="DM126" s="435" t="str">
        <f t="shared" si="806"/>
        <v/>
      </c>
      <c r="DN126" s="435" t="str">
        <f t="shared" si="807"/>
        <v/>
      </c>
      <c r="DO126" s="435" t="str">
        <f t="shared" si="1193"/>
        <v/>
      </c>
      <c r="DP126" s="435" t="str">
        <f t="shared" si="1194"/>
        <v/>
      </c>
      <c r="DQ126" s="435" t="str">
        <f t="shared" si="808"/>
        <v/>
      </c>
      <c r="DR126" s="435" t="str">
        <f t="shared" si="809"/>
        <v/>
      </c>
      <c r="DS126" s="435" t="str">
        <f t="shared" si="1195"/>
        <v/>
      </c>
      <c r="DT126" s="435" t="str">
        <f t="shared" si="1196"/>
        <v/>
      </c>
      <c r="DU126" s="435" t="str">
        <f t="shared" si="810"/>
        <v/>
      </c>
      <c r="DV126" s="435" t="str">
        <f t="shared" si="811"/>
        <v/>
      </c>
      <c r="DW126" s="435" t="str">
        <f t="shared" si="1197"/>
        <v/>
      </c>
      <c r="DX126" s="435" t="str">
        <f t="shared" si="1198"/>
        <v/>
      </c>
      <c r="DY126" s="435" t="str">
        <f t="shared" si="812"/>
        <v/>
      </c>
      <c r="DZ126" s="435" t="str">
        <f t="shared" si="813"/>
        <v/>
      </c>
      <c r="EA126" s="435" t="str">
        <f t="shared" si="1199"/>
        <v/>
      </c>
      <c r="EB126" s="435" t="str">
        <f t="shared" si="1200"/>
        <v/>
      </c>
      <c r="EC126" s="435" t="str">
        <f t="shared" si="1201"/>
        <v/>
      </c>
      <c r="ED126" s="435" t="str">
        <f t="shared" si="1202"/>
        <v/>
      </c>
      <c r="EE126" s="435" t="str">
        <f t="shared" si="1203"/>
        <v/>
      </c>
      <c r="EF126" s="435" t="str">
        <f t="shared" si="1204"/>
        <v/>
      </c>
      <c r="EG126" s="435" t="str">
        <f t="shared" si="1205"/>
        <v/>
      </c>
      <c r="EH126" s="435" t="str">
        <f t="shared" si="1206"/>
        <v/>
      </c>
      <c r="EI126" s="435" t="str">
        <f t="shared" si="1207"/>
        <v/>
      </c>
      <c r="EJ126" s="435" t="str">
        <f t="shared" si="1208"/>
        <v/>
      </c>
      <c r="EK126" s="485"/>
      <c r="EL126" s="485"/>
      <c r="EM126" s="485"/>
      <c r="EN126" s="485"/>
      <c r="EO126" s="448"/>
      <c r="EP126" s="448"/>
      <c r="EQ126" s="448"/>
      <c r="ER126" s="448"/>
      <c r="ES126" s="448"/>
      <c r="ET126" s="435"/>
      <c r="EU126" s="435"/>
      <c r="EV126" s="435"/>
      <c r="EW126" s="435"/>
      <c r="EX126" s="426"/>
      <c r="EY126" s="426"/>
      <c r="EZ126" s="426"/>
      <c r="FA126" s="863"/>
      <c r="FB126" s="427">
        <f t="array" ref="FB126">IF(SUM((FA126=$FA$3:FA125)*1)=0,FA126,0)</f>
        <v>0</v>
      </c>
      <c r="FC126" s="863"/>
      <c r="FD126" s="863"/>
      <c r="FE126" s="863">
        <f t="array" ref="FE126">IF(SUM((FD126=$FD$3:FD125)*1)=0,FD126,0)</f>
        <v>0</v>
      </c>
      <c r="FF126" s="863"/>
      <c r="FG126" s="863"/>
      <c r="FH126" s="863"/>
      <c r="FI126" s="427">
        <f t="array" ref="FI126">IF(SUM((FH126=$FH$3:FH125)*1)=0,FH126,0)</f>
        <v>0</v>
      </c>
      <c r="FJ126" s="863"/>
      <c r="FK126" s="863"/>
      <c r="FL126" s="863">
        <f t="array" ref="FL126">IF(SUM((FK126=$FK$3:FK125)*1)=0,FK126,0)</f>
        <v>0</v>
      </c>
      <c r="FM126" s="863"/>
      <c r="FN126" s="863"/>
      <c r="FO126" s="863"/>
      <c r="FP126" s="427">
        <f t="array" ref="FP126">IF(SUM((FO126=$FO$3:FO125)*1)=0,FO126,0)</f>
        <v>0</v>
      </c>
      <c r="FQ126" s="863"/>
      <c r="FR126" s="863"/>
      <c r="FS126" s="863">
        <f t="array" ref="FS126">IF(SUM((FR126=$FR$3:FR125)*1)=0,FR126,0)</f>
        <v>0</v>
      </c>
      <c r="FT126" s="863"/>
      <c r="FU126" s="863"/>
      <c r="FV126" s="863"/>
      <c r="FW126" s="427">
        <f t="array" ref="FW126">IF(SUM((FV126=$FV$3:FV125)*1)=0,FV126,0)</f>
        <v>0</v>
      </c>
      <c r="FX126" s="863"/>
      <c r="FY126" s="863"/>
      <c r="FZ126" s="863">
        <f t="array" ref="FZ126">IF(SUM((FY126=$FY$3:FY125)*1)=0,FY126,0)</f>
        <v>0</v>
      </c>
      <c r="GA126" s="863"/>
      <c r="GB126" s="863"/>
      <c r="GC126" s="863"/>
      <c r="GD126" s="427">
        <f t="array" ref="GD126">IF(SUM((GC126=$GC$3:GC125)*1)=0,GC126,0)</f>
        <v>0</v>
      </c>
      <c r="GE126" s="863"/>
      <c r="GF126" s="863"/>
      <c r="GG126" s="863">
        <f t="array" ref="GG126">IF(SUM((GF126=$GF$3:GF125)*1)=0,GF126,0)</f>
        <v>0</v>
      </c>
      <c r="GH126" s="863"/>
      <c r="GI126" s="863"/>
      <c r="GJ126" s="863"/>
      <c r="GK126" s="798">
        <f t="array" ref="GK126">IF(SUM((GJ126=$GJ$3:GJ125)*1)=0,GJ126,0)</f>
        <v>0</v>
      </c>
      <c r="GL126" s="863"/>
      <c r="GM126" s="863"/>
      <c r="GN126" s="798">
        <f t="array" ref="GN126">IF(SUM((GM126=$GM$3:GM125)*1)=0,GM126,0)</f>
        <v>0</v>
      </c>
      <c r="GO126" s="863"/>
      <c r="GP126" s="863"/>
      <c r="GQ126" s="863"/>
      <c r="GR126" s="798">
        <f t="array" ref="GR126">IF(SUM((GQ126=$GQ$3:GQ125)*1)=0,GQ126,0)</f>
        <v>0</v>
      </c>
      <c r="GS126" s="863"/>
      <c r="GT126" s="863"/>
      <c r="GU126" s="798">
        <f t="array" ref="GU126">IF(SUM((GT126=$GT$3:GT125)*1)=0,GT126,0)</f>
        <v>0</v>
      </c>
      <c r="GV126" s="863"/>
      <c r="GW126" s="863"/>
      <c r="GX126" s="863"/>
      <c r="GY126" s="798">
        <f t="array" ref="GY126">IF(SUM((GX126=$GX$3:GX125)*1)=0,GX126,0)</f>
        <v>0</v>
      </c>
      <c r="GZ126" s="863"/>
      <c r="HA126" s="863"/>
      <c r="HB126" s="798">
        <f t="array" ref="HB126">IF(SUM((HA126=$HA$3:HA125)*1)=0,HA126,0)</f>
        <v>0</v>
      </c>
      <c r="HC126" s="863"/>
      <c r="HD126" s="863"/>
      <c r="HE126" s="769" t="str">
        <f t="shared" si="889"/>
        <v/>
      </c>
      <c r="HF126" s="768" t="str">
        <f t="shared" ref="HF126" si="1475">IF(HE126&lt;0,"Invadiu REP-BA-C","")</f>
        <v/>
      </c>
      <c r="HG126" s="769" t="str">
        <f t="shared" si="891"/>
        <v/>
      </c>
      <c r="HH126" s="768" t="str">
        <f t="shared" si="815"/>
        <v/>
      </c>
      <c r="HI126" s="728" t="str">
        <f t="shared" si="892"/>
        <v/>
      </c>
      <c r="HJ126" s="768" t="str">
        <f t="shared" si="816"/>
        <v/>
      </c>
      <c r="HK126" s="728" t="str">
        <f t="shared" si="893"/>
        <v/>
      </c>
      <c r="HL126" s="768" t="str">
        <f t="shared" si="817"/>
        <v/>
      </c>
      <c r="HM126" s="769" t="str">
        <f t="shared" si="1219"/>
        <v/>
      </c>
      <c r="HN126" s="768" t="str">
        <f t="shared" ref="HN126" si="1476">IF(HM126&lt;0,"Invadiu REP-BA-C","")</f>
        <v/>
      </c>
      <c r="HO126" s="769" t="str">
        <f t="shared" si="1221"/>
        <v/>
      </c>
      <c r="HP126" s="768" t="str">
        <f t="shared" si="821"/>
        <v/>
      </c>
      <c r="HQ126" s="728" t="str">
        <f t="shared" si="1222"/>
        <v/>
      </c>
      <c r="HR126" s="768" t="str">
        <f t="shared" si="823"/>
        <v/>
      </c>
      <c r="HS126" s="728" t="str">
        <f t="shared" si="1223"/>
        <v/>
      </c>
      <c r="HT126" s="768" t="str">
        <f t="shared" si="825"/>
        <v/>
      </c>
      <c r="HU126" s="769" t="str">
        <f t="shared" si="1224"/>
        <v/>
      </c>
      <c r="HV126" s="768" t="str">
        <f t="shared" ref="HV126" si="1477">IF(HU126&lt;0,"Invadiu REP-BA-C","")</f>
        <v/>
      </c>
      <c r="HW126" s="769" t="str">
        <f t="shared" si="1226"/>
        <v/>
      </c>
      <c r="HX126" s="768" t="str">
        <f t="shared" si="829"/>
        <v/>
      </c>
      <c r="HY126" s="728" t="str">
        <f t="shared" si="1227"/>
        <v/>
      </c>
      <c r="HZ126" s="768" t="str">
        <f t="shared" si="831"/>
        <v/>
      </c>
      <c r="IA126" s="728" t="str">
        <f t="shared" si="1228"/>
        <v/>
      </c>
      <c r="IB126" s="768" t="str">
        <f t="shared" si="833"/>
        <v/>
      </c>
      <c r="IC126" s="769" t="str">
        <f t="shared" si="1229"/>
        <v/>
      </c>
      <c r="ID126" s="768" t="str">
        <f t="shared" ref="ID126" si="1478">IF(IC126&lt;0,"Invadiu REP-BA-C","")</f>
        <v/>
      </c>
      <c r="IE126" s="769" t="str">
        <f t="shared" si="1231"/>
        <v/>
      </c>
      <c r="IF126" s="768" t="str">
        <f t="shared" si="837"/>
        <v/>
      </c>
      <c r="IG126" s="728" t="str">
        <f t="shared" si="1232"/>
        <v/>
      </c>
      <c r="IH126" s="768" t="str">
        <f t="shared" si="839"/>
        <v/>
      </c>
      <c r="II126" s="728" t="str">
        <f t="shared" si="1233"/>
        <v/>
      </c>
      <c r="IJ126" s="768" t="str">
        <f t="shared" si="841"/>
        <v/>
      </c>
      <c r="IK126" s="769" t="str">
        <f t="shared" si="1234"/>
        <v/>
      </c>
      <c r="IL126" s="768" t="str">
        <f t="shared" ref="IL126" si="1479">IF(IK126&lt;0,"Invadiu REP-BA-C","")</f>
        <v/>
      </c>
      <c r="IM126" s="769" t="str">
        <f t="shared" si="1236"/>
        <v/>
      </c>
      <c r="IN126" s="768" t="str">
        <f t="shared" si="845"/>
        <v/>
      </c>
      <c r="IO126" s="728" t="str">
        <f t="shared" si="1237"/>
        <v/>
      </c>
      <c r="IP126" s="768" t="str">
        <f t="shared" si="847"/>
        <v/>
      </c>
      <c r="IQ126" s="728" t="str">
        <f t="shared" si="1238"/>
        <v/>
      </c>
      <c r="IR126" s="768" t="str">
        <f t="shared" si="849"/>
        <v/>
      </c>
      <c r="IS126" s="769" t="str">
        <f t="shared" si="1239"/>
        <v/>
      </c>
      <c r="IT126" s="768" t="str">
        <f t="shared" ref="IT126" si="1480">IF(IS126&lt;0,"Invadiu REP-BA-C","")</f>
        <v/>
      </c>
      <c r="IU126" s="769" t="str">
        <f t="shared" si="1241"/>
        <v/>
      </c>
      <c r="IV126" s="768" t="str">
        <f t="shared" si="853"/>
        <v/>
      </c>
      <c r="IW126" s="728" t="str">
        <f t="shared" si="1242"/>
        <v/>
      </c>
      <c r="IX126" s="768" t="str">
        <f t="shared" si="855"/>
        <v/>
      </c>
      <c r="IY126" s="728" t="str">
        <f t="shared" si="1243"/>
        <v/>
      </c>
      <c r="IZ126" s="768" t="str">
        <f t="shared" si="857"/>
        <v/>
      </c>
      <c r="JA126" s="769" t="str">
        <f t="shared" si="1244"/>
        <v/>
      </c>
      <c r="JB126" s="768" t="str">
        <f t="shared" ref="JB126" si="1481">IF(JA126&lt;0,"Invadiu REP-BA-C","")</f>
        <v/>
      </c>
      <c r="JC126" s="769" t="str">
        <f t="shared" si="1246"/>
        <v/>
      </c>
      <c r="JD126" s="768" t="str">
        <f t="shared" si="861"/>
        <v/>
      </c>
      <c r="JE126" s="728" t="str">
        <f t="shared" si="1247"/>
        <v/>
      </c>
      <c r="JF126" s="768" t="str">
        <f t="shared" si="863"/>
        <v/>
      </c>
      <c r="JG126" s="728" t="str">
        <f t="shared" si="1248"/>
        <v/>
      </c>
      <c r="JH126" s="768" t="str">
        <f t="shared" si="865"/>
        <v/>
      </c>
      <c r="JI126" s="769" t="str">
        <f t="shared" si="1249"/>
        <v/>
      </c>
      <c r="JJ126" s="768" t="str">
        <f t="shared" ref="JJ126" si="1482">IF(JI126&lt;0,"Invadiu REP-BA-C","")</f>
        <v/>
      </c>
      <c r="JK126" s="769" t="str">
        <f t="shared" si="1251"/>
        <v/>
      </c>
      <c r="JL126" s="768" t="str">
        <f t="shared" si="869"/>
        <v/>
      </c>
      <c r="JM126" s="728" t="str">
        <f t="shared" si="1252"/>
        <v/>
      </c>
      <c r="JN126" s="768" t="str">
        <f t="shared" si="871"/>
        <v/>
      </c>
      <c r="JO126" s="728" t="str">
        <f t="shared" si="1253"/>
        <v/>
      </c>
      <c r="JP126" s="768" t="str">
        <f t="shared" si="873"/>
        <v/>
      </c>
      <c r="JQ126" s="769" t="str">
        <f t="shared" si="1254"/>
        <v/>
      </c>
      <c r="JR126" s="768" t="str">
        <f t="shared" ref="JR126" si="1483">IF(JQ126&lt;0,"Invadiu REP-BA-C","")</f>
        <v/>
      </c>
      <c r="JS126" s="769" t="str">
        <f t="shared" si="1256"/>
        <v/>
      </c>
      <c r="JT126" s="768" t="str">
        <f t="shared" si="877"/>
        <v/>
      </c>
      <c r="JU126" s="728" t="str">
        <f t="shared" si="1257"/>
        <v/>
      </c>
      <c r="JV126" s="768" t="str">
        <f t="shared" si="879"/>
        <v/>
      </c>
      <c r="JW126" s="728" t="str">
        <f t="shared" si="1258"/>
        <v/>
      </c>
      <c r="JX126" s="768" t="str">
        <f t="shared" si="881"/>
        <v/>
      </c>
      <c r="JY126" s="768" t="str">
        <f t="shared" si="882"/>
        <v/>
      </c>
      <c r="JZ126" s="485" t="str">
        <f>IF(JY126="","",IF(AND(C126=$C$164,JY126&lt;&gt;""),Verificarcpf(D126),IF(AND(C126=$C$165,JY126&lt;&gt;""),VerificarCNPJ(D126))))</f>
        <v/>
      </c>
      <c r="KA126" s="768" t="str">
        <f t="shared" si="883"/>
        <v/>
      </c>
      <c r="KB126" s="485">
        <f t="shared" si="884"/>
        <v>0</v>
      </c>
      <c r="KC126" s="768">
        <f t="shared" si="885"/>
        <v>0</v>
      </c>
      <c r="KD126" s="485">
        <f t="shared" si="886"/>
        <v>0</v>
      </c>
      <c r="KE126" s="448"/>
      <c r="KF126" s="548"/>
      <c r="KG126" s="548"/>
      <c r="KH126" s="548"/>
      <c r="KI126" s="548"/>
      <c r="KJ126" s="548" t="str">
        <f t="shared" si="887"/>
        <v/>
      </c>
      <c r="KK126" s="548"/>
      <c r="KL126" s="548"/>
      <c r="KM126" s="548">
        <f t="array" ref="KM126">IF(SUM((KL126=$KL$3:KL125)*1)=0,KL126,0)</f>
        <v>0</v>
      </c>
      <c r="KN126" s="548"/>
      <c r="KO126" s="548"/>
      <c r="KP126" s="548"/>
      <c r="KQ126" s="548"/>
      <c r="KR126" s="548" t="str">
        <f t="shared" si="888"/>
        <v/>
      </c>
      <c r="KS126" s="548"/>
      <c r="KT126" s="548"/>
      <c r="KU126" s="548"/>
      <c r="KV126" s="548"/>
      <c r="KW126" s="548"/>
      <c r="KX126" s="548"/>
      <c r="KY126" s="548"/>
      <c r="KZ126" s="548"/>
      <c r="LA126" s="548"/>
      <c r="LB126" s="548"/>
      <c r="LC126" s="485" t="str">
        <f t="shared" si="902"/>
        <v/>
      </c>
      <c r="LD126" s="548"/>
      <c r="LE126" s="548"/>
      <c r="LF126" s="548"/>
      <c r="LG126" s="548"/>
      <c r="LH126" s="548"/>
      <c r="LI126" s="548"/>
      <c r="LJ126" s="548"/>
      <c r="LK126" s="548"/>
      <c r="LL126" s="548"/>
      <c r="LM126" s="548"/>
      <c r="LN126" s="548"/>
      <c r="LO126" s="548"/>
      <c r="LP126" s="485" t="str">
        <f t="shared" si="903"/>
        <v/>
      </c>
      <c r="LQ126" s="548"/>
      <c r="LR126" s="548"/>
      <c r="LS126" s="548"/>
      <c r="LT126" s="548"/>
      <c r="LU126" s="548"/>
      <c r="LV126" s="548"/>
      <c r="LW126" s="548"/>
      <c r="LX126" s="548"/>
      <c r="LY126" s="548"/>
      <c r="LZ126" s="548"/>
      <c r="MA126" s="548"/>
      <c r="MB126" s="548"/>
      <c r="MC126" s="485" t="str">
        <f t="shared" si="904"/>
        <v/>
      </c>
      <c r="MD126" s="548"/>
      <c r="ME126" s="548"/>
      <c r="MF126" s="548"/>
      <c r="MG126" s="548"/>
      <c r="MH126" s="548"/>
      <c r="MI126" s="548"/>
      <c r="MJ126" s="548"/>
      <c r="MK126" s="548"/>
      <c r="ML126" s="548"/>
      <c r="MM126" s="548"/>
      <c r="MN126" s="548"/>
      <c r="MO126" s="548"/>
      <c r="MP126" s="485" t="str">
        <f t="shared" si="905"/>
        <v/>
      </c>
      <c r="MQ126" s="548"/>
      <c r="MR126" s="548"/>
      <c r="MS126" s="548"/>
      <c r="MT126" s="548"/>
      <c r="MU126" s="548"/>
      <c r="MV126" s="548"/>
      <c r="MW126" s="548"/>
      <c r="MX126" s="548"/>
      <c r="MY126" s="548"/>
      <c r="MZ126" s="548"/>
      <c r="NA126" s="548"/>
      <c r="NB126" s="548"/>
      <c r="NC126" s="485" t="str">
        <f t="shared" si="906"/>
        <v/>
      </c>
      <c r="ND126" s="548"/>
      <c r="NE126" s="548"/>
      <c r="NF126" s="548"/>
      <c r="NG126" s="548"/>
      <c r="NH126" s="548"/>
      <c r="NI126" s="548"/>
      <c r="NJ126" s="548"/>
      <c r="NK126" s="548"/>
      <c r="NL126" s="548"/>
      <c r="NM126" s="548"/>
      <c r="NN126" s="548"/>
      <c r="NO126" s="548"/>
      <c r="NP126" s="485" t="str">
        <f t="shared" si="907"/>
        <v/>
      </c>
      <c r="NQ126" s="548"/>
      <c r="NR126" s="548"/>
      <c r="NS126" s="548"/>
      <c r="NT126" s="548"/>
      <c r="NU126" s="548"/>
      <c r="NV126" s="548"/>
      <c r="NW126" s="548"/>
      <c r="NX126" s="548"/>
      <c r="NY126" s="548"/>
      <c r="NZ126" s="548"/>
      <c r="OA126" s="548"/>
      <c r="OB126" s="548"/>
      <c r="OC126" s="485" t="str">
        <f t="shared" si="908"/>
        <v/>
      </c>
      <c r="OD126" s="548"/>
      <c r="OE126" s="548"/>
      <c r="OF126" s="548"/>
      <c r="OG126" s="548"/>
      <c r="OH126" s="548"/>
      <c r="OI126" s="548"/>
      <c r="OJ126" s="548"/>
      <c r="OK126" s="548"/>
      <c r="OL126" s="548"/>
      <c r="OM126" s="548"/>
      <c r="ON126" s="548"/>
      <c r="OO126" s="548"/>
      <c r="OP126" s="548"/>
      <c r="OQ126" s="548"/>
      <c r="OR126" s="548"/>
      <c r="OS126" s="548"/>
      <c r="OT126" s="548"/>
      <c r="OU126" s="548"/>
      <c r="OV126" s="548"/>
      <c r="OW126" s="548"/>
      <c r="OX126" s="548"/>
      <c r="OY126" s="548"/>
      <c r="OZ126" s="548"/>
      <c r="PA126" s="548"/>
      <c r="PB126" s="548"/>
      <c r="PC126" s="548"/>
      <c r="PD126" s="548"/>
      <c r="PE126" s="548"/>
      <c r="PF126" s="548"/>
      <c r="PG126" s="548"/>
      <c r="PH126" s="548"/>
      <c r="PI126" s="548"/>
      <c r="PJ126" s="548"/>
      <c r="PK126" s="548"/>
      <c r="PL126" s="548"/>
      <c r="PM126" s="548"/>
      <c r="PN126" s="548"/>
      <c r="PO126" s="548"/>
      <c r="PP126" s="548"/>
      <c r="PQ126" s="548"/>
      <c r="PR126" s="548"/>
      <c r="PS126" s="548"/>
      <c r="PT126" s="548"/>
      <c r="PU126" s="548"/>
      <c r="PV126" s="548"/>
      <c r="PW126" s="548"/>
      <c r="PX126" s="548"/>
      <c r="PY126" s="548"/>
      <c r="PZ126" s="548"/>
      <c r="QA126" s="548"/>
      <c r="QB126" s="548"/>
      <c r="QC126" s="548"/>
      <c r="QD126" s="548"/>
      <c r="QE126" s="548"/>
      <c r="QF126" s="548"/>
      <c r="QG126" s="548"/>
      <c r="QH126" s="548"/>
      <c r="QI126" s="548"/>
      <c r="QJ126" s="548"/>
      <c r="QK126" s="548"/>
      <c r="QL126" s="548"/>
      <c r="QM126" s="548"/>
      <c r="QN126" s="548"/>
      <c r="QO126" s="548"/>
      <c r="QP126" s="548"/>
      <c r="QQ126" s="1009"/>
      <c r="QR126" s="548"/>
      <c r="QS126" s="548"/>
      <c r="QT126" s="548"/>
      <c r="QU126" s="548"/>
      <c r="QV126" s="548"/>
      <c r="QW126" s="548"/>
      <c r="QX126" s="548"/>
      <c r="QY126" s="548"/>
      <c r="QZ126" s="548"/>
      <c r="RA126" s="548"/>
      <c r="RB126" s="548"/>
      <c r="RC126" s="548"/>
      <c r="RD126" s="548"/>
      <c r="RE126" s="548"/>
      <c r="RF126" s="548"/>
      <c r="RG126" s="548"/>
      <c r="RH126" s="548"/>
      <c r="RI126" s="548"/>
      <c r="RJ126" s="548"/>
      <c r="RK126" s="548"/>
      <c r="RL126" s="548"/>
      <c r="RM126" s="548"/>
      <c r="RN126" s="548"/>
      <c r="RO126" s="548"/>
      <c r="RP126" s="548"/>
      <c r="RQ126" s="548"/>
      <c r="RR126" s="548"/>
      <c r="RS126" s="548"/>
      <c r="RT126" s="548"/>
      <c r="RU126" s="548"/>
      <c r="RV126" s="548"/>
      <c r="RW126" s="548"/>
      <c r="RX126" s="548"/>
      <c r="RY126" s="548"/>
      <c r="RZ126" s="548"/>
      <c r="SA126" s="548"/>
      <c r="SB126" s="548"/>
      <c r="SC126" s="548"/>
      <c r="SD126" s="548"/>
      <c r="SE126" s="548"/>
      <c r="SF126" s="548"/>
      <c r="SG126" s="548"/>
      <c r="SH126" s="548"/>
      <c r="SI126" s="548"/>
      <c r="SJ126" s="548"/>
      <c r="SK126" s="548"/>
      <c r="SL126" s="548"/>
      <c r="SM126" s="548"/>
      <c r="SN126" s="548"/>
      <c r="SO126" s="548"/>
      <c r="SP126" s="548"/>
      <c r="SQ126" s="548"/>
      <c r="SR126" s="548"/>
      <c r="SS126" s="548"/>
      <c r="ST126" s="548"/>
      <c r="SU126" s="548"/>
      <c r="SV126" s="548"/>
      <c r="SW126" s="548"/>
      <c r="SX126" s="548"/>
      <c r="SY126" s="548"/>
      <c r="SZ126" s="548"/>
      <c r="TA126" s="548"/>
      <c r="TB126" s="548"/>
      <c r="TC126" s="548"/>
      <c r="TD126" s="548"/>
      <c r="TE126" s="548"/>
      <c r="TF126" s="548"/>
      <c r="TG126" s="548"/>
      <c r="TH126" s="548"/>
      <c r="TI126" s="548"/>
      <c r="TJ126" s="548"/>
      <c r="TK126" s="548"/>
      <c r="TL126" s="548"/>
      <c r="TM126" s="548"/>
      <c r="TN126" s="548"/>
      <c r="TO126" s="548"/>
      <c r="TP126" s="548"/>
      <c r="TQ126" s="548"/>
      <c r="TR126" s="548"/>
      <c r="TS126" s="548"/>
      <c r="TT126" s="548"/>
      <c r="TU126" s="548"/>
      <c r="TV126" s="548"/>
      <c r="TW126" s="548"/>
      <c r="TX126" s="548"/>
      <c r="TY126" s="548"/>
      <c r="TZ126" s="548"/>
      <c r="UA126" s="548"/>
      <c r="UB126" s="548"/>
      <c r="UC126" s="548"/>
      <c r="UD126" s="548"/>
      <c r="UE126" s="548"/>
      <c r="UF126" s="548"/>
      <c r="UG126" s="548"/>
      <c r="UH126" s="548"/>
      <c r="UI126" s="548"/>
      <c r="UJ126" s="548"/>
      <c r="UK126" s="548"/>
      <c r="UL126" s="548"/>
      <c r="UM126" s="548"/>
      <c r="UN126" s="548"/>
      <c r="UO126" s="548"/>
      <c r="UP126" s="548"/>
      <c r="UQ126" s="548"/>
      <c r="UR126" s="548"/>
      <c r="US126" s="548"/>
      <c r="UT126" s="548"/>
      <c r="UU126" s="548"/>
      <c r="UV126" s="548"/>
      <c r="UW126" s="548"/>
      <c r="UX126" s="548"/>
      <c r="UY126" s="548"/>
      <c r="UZ126" s="548"/>
      <c r="VA126" s="548"/>
      <c r="VB126" s="548"/>
      <c r="VC126" s="548"/>
      <c r="VD126" s="548"/>
      <c r="VE126" s="548"/>
      <c r="VF126" s="548"/>
      <c r="VG126" s="548"/>
      <c r="VH126" s="548"/>
      <c r="VI126" s="548"/>
      <c r="VJ126" s="548"/>
      <c r="VK126" s="548"/>
      <c r="VL126" s="548"/>
      <c r="VM126" s="548"/>
      <c r="VN126" s="548"/>
      <c r="VO126" s="548"/>
      <c r="VP126" s="548"/>
      <c r="VQ126" s="548"/>
      <c r="VR126" s="548"/>
      <c r="VS126" s="548"/>
      <c r="VT126" s="548"/>
      <c r="VU126" s="548"/>
      <c r="VV126" s="548"/>
      <c r="VW126" s="548"/>
      <c r="VX126" s="548"/>
      <c r="VY126" s="548"/>
      <c r="VZ126" s="548"/>
      <c r="WA126" s="548"/>
      <c r="WB126" s="548"/>
      <c r="WC126" s="548"/>
      <c r="WD126" s="548"/>
      <c r="WE126" s="548"/>
      <c r="WF126" s="548"/>
      <c r="WG126" s="548"/>
      <c r="WH126" s="548"/>
      <c r="WI126" s="548"/>
      <c r="WJ126" s="548"/>
      <c r="WK126" s="548"/>
      <c r="WL126" s="548"/>
      <c r="WM126" s="548"/>
      <c r="WN126" s="548"/>
      <c r="WO126" s="548"/>
      <c r="WP126" s="548"/>
      <c r="WQ126" s="548"/>
      <c r="WR126" s="548"/>
      <c r="WS126" s="548"/>
      <c r="WT126" s="548"/>
      <c r="WU126" s="548"/>
      <c r="WV126" s="548"/>
      <c r="WW126" s="548"/>
      <c r="WX126" s="548"/>
      <c r="WY126" s="548"/>
      <c r="WZ126" s="548"/>
      <c r="XA126" s="548"/>
      <c r="XB126" s="548"/>
      <c r="XC126" s="548"/>
      <c r="XD126" s="548"/>
      <c r="XE126" s="548"/>
      <c r="XF126" s="548"/>
      <c r="XG126" s="548"/>
      <c r="XH126" s="548"/>
      <c r="XI126" s="548"/>
      <c r="XJ126" s="548"/>
      <c r="XK126" s="548"/>
      <c r="XL126" s="548"/>
      <c r="XM126" s="548"/>
      <c r="XN126" s="548"/>
      <c r="XO126" s="548"/>
      <c r="XP126" s="548"/>
      <c r="XQ126" s="548"/>
      <c r="XR126" s="548"/>
      <c r="XS126" s="548"/>
      <c r="XT126" s="548"/>
      <c r="XU126" s="548"/>
      <c r="XV126" s="548"/>
      <c r="XW126" s="548"/>
      <c r="XX126" s="548"/>
      <c r="XY126" s="548"/>
      <c r="XZ126" s="548"/>
      <c r="YA126" s="548"/>
      <c r="YB126" s="548"/>
      <c r="YC126" s="548"/>
      <c r="YD126" s="548"/>
      <c r="YE126" s="548"/>
      <c r="YF126" s="548"/>
      <c r="YG126" s="548"/>
      <c r="YH126" s="548"/>
      <c r="YI126" s="548"/>
      <c r="YJ126" s="548"/>
      <c r="YK126" s="548"/>
      <c r="YL126" s="548"/>
      <c r="YM126" s="548"/>
      <c r="YN126" s="548"/>
      <c r="YO126" s="548"/>
      <c r="YP126" s="548"/>
      <c r="YQ126" s="548"/>
      <c r="YR126" s="548"/>
      <c r="YS126" s="548"/>
      <c r="YT126" s="548"/>
      <c r="YU126" s="548"/>
      <c r="YV126" s="548"/>
      <c r="YW126" s="548"/>
      <c r="YX126" s="548"/>
      <c r="YY126" s="548"/>
      <c r="YZ126" s="548"/>
      <c r="ZA126" s="548"/>
      <c r="ZB126" s="548"/>
      <c r="ZC126" s="548"/>
      <c r="ZD126" s="548"/>
      <c r="ZE126" s="548"/>
      <c r="ZF126" s="548"/>
      <c r="ZG126" s="548"/>
      <c r="ZH126" s="548"/>
      <c r="ZI126" s="548"/>
      <c r="ZJ126" s="548"/>
      <c r="ZK126" s="548"/>
      <c r="ZL126" s="548"/>
      <c r="ZM126" s="548"/>
      <c r="ZN126" s="548"/>
      <c r="ZO126" s="548"/>
      <c r="ZP126" s="548"/>
      <c r="ZQ126" s="548"/>
      <c r="ZR126" s="548"/>
      <c r="ZS126" s="548"/>
      <c r="ZT126" s="548"/>
      <c r="ZU126" s="548"/>
      <c r="ZV126" s="548"/>
      <c r="ZW126" s="548"/>
      <c r="ZX126" s="548"/>
      <c r="ZY126" s="548"/>
      <c r="ZZ126" s="548"/>
      <c r="AAA126" s="548"/>
      <c r="AAB126" s="548"/>
      <c r="AAC126" s="548"/>
      <c r="AAD126" s="548"/>
      <c r="AAE126" s="548"/>
      <c r="AAF126" s="548"/>
      <c r="AAG126" s="548"/>
      <c r="AAH126" s="548"/>
      <c r="AAI126" s="548"/>
      <c r="AAJ126" s="548"/>
      <c r="AAK126" s="548"/>
      <c r="AAL126" s="548"/>
      <c r="AAM126" s="548"/>
      <c r="AAN126" s="548"/>
      <c r="AAO126" s="548"/>
      <c r="AAP126" s="548"/>
      <c r="AAQ126" s="548"/>
      <c r="AAR126" s="548"/>
      <c r="AAS126" s="548"/>
      <c r="AAT126" s="548"/>
      <c r="AAU126" s="548"/>
      <c r="AAV126" s="548"/>
      <c r="AAW126" s="548"/>
      <c r="AAX126" s="548"/>
      <c r="AAY126" s="548"/>
      <c r="AAZ126" s="548"/>
      <c r="ABA126" s="548"/>
      <c r="ABB126" s="548"/>
      <c r="ABC126" s="548"/>
      <c r="ABD126" s="548"/>
      <c r="ABE126" s="548"/>
      <c r="ABF126" s="548"/>
      <c r="ABG126" s="548"/>
      <c r="ABH126" s="548"/>
      <c r="ABI126" s="548"/>
      <c r="ABJ126" s="548"/>
      <c r="ABK126" s="548"/>
      <c r="ABL126" s="548"/>
      <c r="ABM126" s="548"/>
      <c r="ABN126" s="548"/>
      <c r="ABO126" s="548"/>
      <c r="ABP126" s="548"/>
      <c r="ABQ126" s="548"/>
      <c r="ABR126" s="548"/>
      <c r="ABS126" s="548"/>
    </row>
    <row r="127" spans="1:747" customFormat="1" ht="15" customHeight="1" x14ac:dyDescent="0.2">
      <c r="A127" s="424" t="str">
        <f t="shared" si="909"/>
        <v/>
      </c>
      <c r="B127" s="415"/>
      <c r="C127" s="525"/>
      <c r="D127" s="750"/>
      <c r="E127" s="416" t="str">
        <f t="shared" si="1171"/>
        <v/>
      </c>
      <c r="F127" s="527" t="str">
        <f t="shared" si="1172"/>
        <v/>
      </c>
      <c r="G127" s="417"/>
      <c r="H127" s="585" t="str">
        <f t="shared" si="1173"/>
        <v/>
      </c>
      <c r="I127" s="424"/>
      <c r="J127" s="419"/>
      <c r="K127" s="418"/>
      <c r="L127" s="419"/>
      <c r="M127" s="415"/>
      <c r="N127" s="420"/>
      <c r="O127" s="421"/>
      <c r="P127" s="561"/>
      <c r="Q127" s="422"/>
      <c r="R127" s="561" t="str">
        <f t="shared" si="1174"/>
        <v/>
      </c>
      <c r="S127" s="664"/>
      <c r="T127" s="663"/>
      <c r="U127" s="580">
        <f t="shared" si="1175"/>
        <v>0</v>
      </c>
      <c r="V127" s="418"/>
      <c r="W127" s="582" t="str">
        <f t="shared" si="1176"/>
        <v/>
      </c>
      <c r="X127" s="479" t="str">
        <f t="shared" si="1177"/>
        <v/>
      </c>
      <c r="Y127" s="582" t="str">
        <f t="shared" si="1178"/>
        <v/>
      </c>
      <c r="Z127" s="317" t="str">
        <f t="shared" si="1179"/>
        <v/>
      </c>
      <c r="AA127" s="317" t="str">
        <f t="shared" si="1180"/>
        <v/>
      </c>
      <c r="AB127" s="317">
        <f t="shared" si="1181"/>
        <v>0</v>
      </c>
      <c r="AC127" s="317" t="str">
        <f t="shared" si="1182"/>
        <v/>
      </c>
      <c r="AD127" s="479"/>
      <c r="AE127" s="479"/>
      <c r="AF127" s="479"/>
      <c r="AG127" s="423"/>
      <c r="AH127" s="820"/>
      <c r="AI127" s="437"/>
      <c r="AJ127" s="660"/>
      <c r="AK127" s="524" t="str">
        <f t="shared" si="1183"/>
        <v/>
      </c>
      <c r="AL127" s="731">
        <f>SUMIF($J$4:$J$130,"Mais Escola",$S$4:$S$130)</f>
        <v>0</v>
      </c>
      <c r="AM127" s="732">
        <f>SUMIF($J$4:$J$130,"Mais Escola",$T$4:$T$130)</f>
        <v>0</v>
      </c>
      <c r="AN127" s="426">
        <f t="shared" si="1184"/>
        <v>0</v>
      </c>
      <c r="AO127" s="427" t="str">
        <f t="shared" si="1185"/>
        <v/>
      </c>
      <c r="AP127" s="426" t="str">
        <f t="shared" si="1186"/>
        <v/>
      </c>
      <c r="AQ127" s="426"/>
      <c r="AR127" s="426"/>
      <c r="AS127" s="428"/>
      <c r="AT127" s="429"/>
      <c r="AU127" s="430"/>
      <c r="AV127" s="431"/>
      <c r="AW127" s="432"/>
      <c r="AX127" s="430"/>
      <c r="AY127" s="431">
        <f t="shared" si="1187"/>
        <v>0</v>
      </c>
      <c r="AZ127" s="426"/>
      <c r="BA127" s="435" t="str">
        <f t="shared" si="1188"/>
        <v/>
      </c>
      <c r="BB127" s="435"/>
      <c r="BC127" s="426"/>
      <c r="BD127" s="426">
        <f t="array" ref="BD127">IF(SUM((BC127=$BC$3:BC126)*1)=0,BC127,0)</f>
        <v>0</v>
      </c>
      <c r="BE127" s="426"/>
      <c r="BF127" s="426"/>
      <c r="BG127" s="426">
        <f t="array" ref="BG127">IF(SUM((BF127=$BF$3:BF126)*1)=0,BF127,0)</f>
        <v>0</v>
      </c>
      <c r="BH127" s="426"/>
      <c r="BI127" s="426"/>
      <c r="BJ127" s="426"/>
      <c r="BK127" s="426"/>
      <c r="BL127" s="426"/>
      <c r="BM127" s="426"/>
      <c r="BN127" s="426"/>
      <c r="BO127" s="426"/>
      <c r="BP127" s="433">
        <f t="shared" si="1189"/>
        <v>0</v>
      </c>
      <c r="BQ127" s="426"/>
      <c r="BR127" s="434"/>
      <c r="BS127" s="426"/>
      <c r="BT127" s="433"/>
      <c r="BU127" s="435"/>
      <c r="BV127" s="435" t="str">
        <f t="shared" si="1190"/>
        <v/>
      </c>
      <c r="BW127" s="435" t="str">
        <f t="shared" si="798"/>
        <v/>
      </c>
      <c r="BX127" s="435"/>
      <c r="BY127" s="435"/>
      <c r="BZ127" s="435"/>
      <c r="CA127" s="435"/>
      <c r="CB127" s="435"/>
      <c r="CC127" s="435"/>
      <c r="CD127" s="435"/>
      <c r="CE127" s="435"/>
      <c r="CF127" s="435"/>
      <c r="CG127" s="435"/>
      <c r="CH127" s="435"/>
      <c r="CI127" s="435"/>
      <c r="CJ127" s="426" t="str">
        <f t="shared" si="799"/>
        <v/>
      </c>
      <c r="CK127" s="435"/>
      <c r="CL127" s="426"/>
      <c r="CM127" s="435"/>
      <c r="CN127" s="426"/>
      <c r="CO127" s="426"/>
      <c r="CP127" s="426"/>
      <c r="CQ127" s="426"/>
      <c r="CR127" s="426"/>
      <c r="CS127" s="426"/>
      <c r="CT127" s="426"/>
      <c r="CU127" s="426"/>
      <c r="CV127" s="426"/>
      <c r="CW127" s="493"/>
      <c r="CX127" s="493"/>
      <c r="CY127" s="426">
        <v>124</v>
      </c>
      <c r="CZ127" s="493"/>
      <c r="DA127" s="493"/>
      <c r="DB127" s="493"/>
      <c r="DC127" s="426" t="s">
        <v>867</v>
      </c>
      <c r="DD127" s="426" t="s">
        <v>1027</v>
      </c>
      <c r="DE127" s="435" t="str">
        <f t="shared" si="800"/>
        <v/>
      </c>
      <c r="DF127" s="435" t="str">
        <f t="shared" si="801"/>
        <v/>
      </c>
      <c r="DG127" s="435" t="str">
        <f t="shared" si="802"/>
        <v/>
      </c>
      <c r="DH127" s="435" t="str">
        <f t="shared" si="803"/>
        <v/>
      </c>
      <c r="DI127" s="435" t="str">
        <f t="shared" si="804"/>
        <v/>
      </c>
      <c r="DJ127" s="435" t="str">
        <f t="shared" si="805"/>
        <v/>
      </c>
      <c r="DK127" s="435" t="str">
        <f t="shared" si="1191"/>
        <v/>
      </c>
      <c r="DL127" s="435" t="str">
        <f t="shared" si="1192"/>
        <v/>
      </c>
      <c r="DM127" s="435" t="str">
        <f t="shared" si="806"/>
        <v/>
      </c>
      <c r="DN127" s="435" t="str">
        <f t="shared" si="807"/>
        <v/>
      </c>
      <c r="DO127" s="435" t="str">
        <f t="shared" si="1193"/>
        <v/>
      </c>
      <c r="DP127" s="435" t="str">
        <f t="shared" si="1194"/>
        <v/>
      </c>
      <c r="DQ127" s="435" t="str">
        <f t="shared" si="808"/>
        <v/>
      </c>
      <c r="DR127" s="435" t="str">
        <f t="shared" si="809"/>
        <v/>
      </c>
      <c r="DS127" s="435" t="str">
        <f t="shared" si="1195"/>
        <v/>
      </c>
      <c r="DT127" s="435" t="str">
        <f t="shared" si="1196"/>
        <v/>
      </c>
      <c r="DU127" s="435" t="str">
        <f t="shared" si="810"/>
        <v/>
      </c>
      <c r="DV127" s="435" t="str">
        <f t="shared" si="811"/>
        <v/>
      </c>
      <c r="DW127" s="435" t="str">
        <f t="shared" si="1197"/>
        <v/>
      </c>
      <c r="DX127" s="435" t="str">
        <f t="shared" si="1198"/>
        <v/>
      </c>
      <c r="DY127" s="435" t="str">
        <f t="shared" si="812"/>
        <v/>
      </c>
      <c r="DZ127" s="435" t="str">
        <f t="shared" si="813"/>
        <v/>
      </c>
      <c r="EA127" s="435" t="str">
        <f t="shared" si="1199"/>
        <v/>
      </c>
      <c r="EB127" s="435" t="str">
        <f t="shared" si="1200"/>
        <v/>
      </c>
      <c r="EC127" s="435" t="str">
        <f t="shared" si="1201"/>
        <v/>
      </c>
      <c r="ED127" s="435" t="str">
        <f t="shared" si="1202"/>
        <v/>
      </c>
      <c r="EE127" s="435" t="str">
        <f t="shared" si="1203"/>
        <v/>
      </c>
      <c r="EF127" s="435" t="str">
        <f t="shared" si="1204"/>
        <v/>
      </c>
      <c r="EG127" s="435" t="str">
        <f t="shared" si="1205"/>
        <v/>
      </c>
      <c r="EH127" s="435" t="str">
        <f t="shared" si="1206"/>
        <v/>
      </c>
      <c r="EI127" s="435" t="str">
        <f t="shared" si="1207"/>
        <v/>
      </c>
      <c r="EJ127" s="435" t="str">
        <f t="shared" si="1208"/>
        <v/>
      </c>
      <c r="EK127" s="485"/>
      <c r="EL127" s="485"/>
      <c r="EM127" s="485"/>
      <c r="EN127" s="485"/>
      <c r="EO127" s="448"/>
      <c r="EP127" s="448"/>
      <c r="EQ127" s="448"/>
      <c r="ER127" s="448"/>
      <c r="ES127" s="448"/>
      <c r="ET127" s="435"/>
      <c r="EU127" s="435"/>
      <c r="EV127" s="435"/>
      <c r="EW127" s="435"/>
      <c r="EX127" s="426"/>
      <c r="EY127" s="426"/>
      <c r="EZ127" s="426"/>
      <c r="FA127" s="863"/>
      <c r="FB127" s="427">
        <f t="array" ref="FB127">IF(SUM((FA127=$FA$3:FA126)*1)=0,FA127,0)</f>
        <v>0</v>
      </c>
      <c r="FC127" s="863"/>
      <c r="FD127" s="863"/>
      <c r="FE127" s="863">
        <f t="array" ref="FE127">IF(SUM((FD127=$FD$3:FD126)*1)=0,FD127,0)</f>
        <v>0</v>
      </c>
      <c r="FF127" s="863"/>
      <c r="FG127" s="863"/>
      <c r="FH127" s="863"/>
      <c r="FI127" s="427">
        <f t="array" ref="FI127">IF(SUM((FH127=$FH$3:FH126)*1)=0,FH127,0)</f>
        <v>0</v>
      </c>
      <c r="FJ127" s="863"/>
      <c r="FK127" s="863"/>
      <c r="FL127" s="863">
        <f t="array" ref="FL127">IF(SUM((FK127=$FK$3:FK126)*1)=0,FK127,0)</f>
        <v>0</v>
      </c>
      <c r="FM127" s="863"/>
      <c r="FN127" s="863"/>
      <c r="FO127" s="863"/>
      <c r="FP127" s="427">
        <f t="array" ref="FP127">IF(SUM((FO127=$FO$3:FO126)*1)=0,FO127,0)</f>
        <v>0</v>
      </c>
      <c r="FQ127" s="863"/>
      <c r="FR127" s="863"/>
      <c r="FS127" s="863">
        <f t="array" ref="FS127">IF(SUM((FR127=$FR$3:FR126)*1)=0,FR127,0)</f>
        <v>0</v>
      </c>
      <c r="FT127" s="863"/>
      <c r="FU127" s="863"/>
      <c r="FV127" s="863"/>
      <c r="FW127" s="427">
        <f t="array" ref="FW127">IF(SUM((FV127=$FV$3:FV126)*1)=0,FV127,0)</f>
        <v>0</v>
      </c>
      <c r="FX127" s="863"/>
      <c r="FY127" s="863"/>
      <c r="FZ127" s="863">
        <f t="array" ref="FZ127">IF(SUM((FY127=$FY$3:FY126)*1)=0,FY127,0)</f>
        <v>0</v>
      </c>
      <c r="GA127" s="863"/>
      <c r="GB127" s="863"/>
      <c r="GC127" s="863"/>
      <c r="GD127" s="427">
        <f t="array" ref="GD127">IF(SUM((GC127=$GC$3:GC126)*1)=0,GC127,0)</f>
        <v>0</v>
      </c>
      <c r="GE127" s="863"/>
      <c r="GF127" s="863"/>
      <c r="GG127" s="863">
        <f t="array" ref="GG127">IF(SUM((GF127=$GF$3:GF126)*1)=0,GF127,0)</f>
        <v>0</v>
      </c>
      <c r="GH127" s="863"/>
      <c r="GI127" s="863"/>
      <c r="GJ127" s="863"/>
      <c r="GK127" s="798">
        <f t="array" ref="GK127">IF(SUM((GJ127=$GJ$3:GJ126)*1)=0,GJ127,0)</f>
        <v>0</v>
      </c>
      <c r="GL127" s="863"/>
      <c r="GM127" s="863"/>
      <c r="GN127" s="798">
        <f t="array" ref="GN127">IF(SUM((GM127=$GM$3:GM126)*1)=0,GM127,0)</f>
        <v>0</v>
      </c>
      <c r="GO127" s="863"/>
      <c r="GP127" s="863"/>
      <c r="GQ127" s="863"/>
      <c r="GR127" s="798">
        <f t="array" ref="GR127">IF(SUM((GQ127=$GQ$3:GQ126)*1)=0,GQ127,0)</f>
        <v>0</v>
      </c>
      <c r="GS127" s="863"/>
      <c r="GT127" s="863"/>
      <c r="GU127" s="798">
        <f t="array" ref="GU127">IF(SUM((GT127=$GT$3:GT126)*1)=0,GT127,0)</f>
        <v>0</v>
      </c>
      <c r="GV127" s="863"/>
      <c r="GW127" s="863"/>
      <c r="GX127" s="863"/>
      <c r="GY127" s="798">
        <f t="array" ref="GY127">IF(SUM((GX127=$GX$3:GX126)*1)=0,GX127,0)</f>
        <v>0</v>
      </c>
      <c r="GZ127" s="863"/>
      <c r="HA127" s="863"/>
      <c r="HB127" s="798">
        <f t="array" ref="HB127">IF(SUM((HA127=$HA$3:HA126)*1)=0,HA127,0)</f>
        <v>0</v>
      </c>
      <c r="HC127" s="863"/>
      <c r="HD127" s="863"/>
      <c r="HE127" s="769" t="str">
        <f t="shared" si="889"/>
        <v/>
      </c>
      <c r="HF127" s="768" t="str">
        <f t="shared" ref="HF127" si="1484">IF(HE127&lt;0,"Invadiu REP-BA-C","")</f>
        <v/>
      </c>
      <c r="HG127" s="769" t="str">
        <f t="shared" si="891"/>
        <v/>
      </c>
      <c r="HH127" s="768" t="str">
        <f t="shared" si="815"/>
        <v/>
      </c>
      <c r="HI127" s="728" t="str">
        <f t="shared" si="892"/>
        <v/>
      </c>
      <c r="HJ127" s="768" t="str">
        <f t="shared" si="816"/>
        <v/>
      </c>
      <c r="HK127" s="728" t="str">
        <f t="shared" si="893"/>
        <v/>
      </c>
      <c r="HL127" s="768" t="str">
        <f t="shared" si="817"/>
        <v/>
      </c>
      <c r="HM127" s="769" t="str">
        <f t="shared" si="1219"/>
        <v/>
      </c>
      <c r="HN127" s="768" t="str">
        <f t="shared" ref="HN127" si="1485">IF(HM127&lt;0,"Invadiu REP-BA-C","")</f>
        <v/>
      </c>
      <c r="HO127" s="769" t="str">
        <f t="shared" si="1221"/>
        <v/>
      </c>
      <c r="HP127" s="768" t="str">
        <f t="shared" si="821"/>
        <v/>
      </c>
      <c r="HQ127" s="728" t="str">
        <f t="shared" si="1222"/>
        <v/>
      </c>
      <c r="HR127" s="768" t="str">
        <f t="shared" si="823"/>
        <v/>
      </c>
      <c r="HS127" s="728" t="str">
        <f t="shared" si="1223"/>
        <v/>
      </c>
      <c r="HT127" s="768" t="str">
        <f t="shared" si="825"/>
        <v/>
      </c>
      <c r="HU127" s="769" t="str">
        <f t="shared" si="1224"/>
        <v/>
      </c>
      <c r="HV127" s="768" t="str">
        <f t="shared" ref="HV127" si="1486">IF(HU127&lt;0,"Invadiu REP-BA-C","")</f>
        <v/>
      </c>
      <c r="HW127" s="769" t="str">
        <f t="shared" si="1226"/>
        <v/>
      </c>
      <c r="HX127" s="768" t="str">
        <f t="shared" si="829"/>
        <v/>
      </c>
      <c r="HY127" s="728" t="str">
        <f t="shared" si="1227"/>
        <v/>
      </c>
      <c r="HZ127" s="768" t="str">
        <f t="shared" si="831"/>
        <v/>
      </c>
      <c r="IA127" s="728" t="str">
        <f t="shared" si="1228"/>
        <v/>
      </c>
      <c r="IB127" s="768" t="str">
        <f t="shared" si="833"/>
        <v/>
      </c>
      <c r="IC127" s="769" t="str">
        <f t="shared" si="1229"/>
        <v/>
      </c>
      <c r="ID127" s="768" t="str">
        <f t="shared" ref="ID127" si="1487">IF(IC127&lt;0,"Invadiu REP-BA-C","")</f>
        <v/>
      </c>
      <c r="IE127" s="769" t="str">
        <f t="shared" si="1231"/>
        <v/>
      </c>
      <c r="IF127" s="768" t="str">
        <f t="shared" si="837"/>
        <v/>
      </c>
      <c r="IG127" s="728" t="str">
        <f t="shared" si="1232"/>
        <v/>
      </c>
      <c r="IH127" s="768" t="str">
        <f t="shared" si="839"/>
        <v/>
      </c>
      <c r="II127" s="728" t="str">
        <f t="shared" si="1233"/>
        <v/>
      </c>
      <c r="IJ127" s="768" t="str">
        <f t="shared" si="841"/>
        <v/>
      </c>
      <c r="IK127" s="769" t="str">
        <f t="shared" si="1234"/>
        <v/>
      </c>
      <c r="IL127" s="768" t="str">
        <f t="shared" ref="IL127" si="1488">IF(IK127&lt;0,"Invadiu REP-BA-C","")</f>
        <v/>
      </c>
      <c r="IM127" s="769" t="str">
        <f t="shared" si="1236"/>
        <v/>
      </c>
      <c r="IN127" s="768" t="str">
        <f t="shared" si="845"/>
        <v/>
      </c>
      <c r="IO127" s="728" t="str">
        <f t="shared" si="1237"/>
        <v/>
      </c>
      <c r="IP127" s="768" t="str">
        <f t="shared" si="847"/>
        <v/>
      </c>
      <c r="IQ127" s="728" t="str">
        <f t="shared" si="1238"/>
        <v/>
      </c>
      <c r="IR127" s="768" t="str">
        <f t="shared" si="849"/>
        <v/>
      </c>
      <c r="IS127" s="769" t="str">
        <f t="shared" si="1239"/>
        <v/>
      </c>
      <c r="IT127" s="768" t="str">
        <f t="shared" ref="IT127" si="1489">IF(IS127&lt;0,"Invadiu REP-BA-C","")</f>
        <v/>
      </c>
      <c r="IU127" s="769" t="str">
        <f t="shared" si="1241"/>
        <v/>
      </c>
      <c r="IV127" s="768" t="str">
        <f t="shared" si="853"/>
        <v/>
      </c>
      <c r="IW127" s="728" t="str">
        <f t="shared" si="1242"/>
        <v/>
      </c>
      <c r="IX127" s="768" t="str">
        <f t="shared" si="855"/>
        <v/>
      </c>
      <c r="IY127" s="728" t="str">
        <f t="shared" si="1243"/>
        <v/>
      </c>
      <c r="IZ127" s="768" t="str">
        <f t="shared" si="857"/>
        <v/>
      </c>
      <c r="JA127" s="769" t="str">
        <f t="shared" si="1244"/>
        <v/>
      </c>
      <c r="JB127" s="768" t="str">
        <f t="shared" ref="JB127" si="1490">IF(JA127&lt;0,"Invadiu REP-BA-C","")</f>
        <v/>
      </c>
      <c r="JC127" s="769" t="str">
        <f t="shared" si="1246"/>
        <v/>
      </c>
      <c r="JD127" s="768" t="str">
        <f t="shared" si="861"/>
        <v/>
      </c>
      <c r="JE127" s="728" t="str">
        <f t="shared" si="1247"/>
        <v/>
      </c>
      <c r="JF127" s="768" t="str">
        <f t="shared" si="863"/>
        <v/>
      </c>
      <c r="JG127" s="728" t="str">
        <f t="shared" si="1248"/>
        <v/>
      </c>
      <c r="JH127" s="768" t="str">
        <f t="shared" si="865"/>
        <v/>
      </c>
      <c r="JI127" s="769" t="str">
        <f t="shared" si="1249"/>
        <v/>
      </c>
      <c r="JJ127" s="768" t="str">
        <f t="shared" ref="JJ127" si="1491">IF(JI127&lt;0,"Invadiu REP-BA-C","")</f>
        <v/>
      </c>
      <c r="JK127" s="769" t="str">
        <f t="shared" si="1251"/>
        <v/>
      </c>
      <c r="JL127" s="768" t="str">
        <f t="shared" si="869"/>
        <v/>
      </c>
      <c r="JM127" s="728" t="str">
        <f t="shared" si="1252"/>
        <v/>
      </c>
      <c r="JN127" s="768" t="str">
        <f t="shared" si="871"/>
        <v/>
      </c>
      <c r="JO127" s="728" t="str">
        <f t="shared" si="1253"/>
        <v/>
      </c>
      <c r="JP127" s="768" t="str">
        <f t="shared" si="873"/>
        <v/>
      </c>
      <c r="JQ127" s="769" t="str">
        <f t="shared" si="1254"/>
        <v/>
      </c>
      <c r="JR127" s="768" t="str">
        <f t="shared" ref="JR127" si="1492">IF(JQ127&lt;0,"Invadiu REP-BA-C","")</f>
        <v/>
      </c>
      <c r="JS127" s="769" t="str">
        <f t="shared" si="1256"/>
        <v/>
      </c>
      <c r="JT127" s="768" t="str">
        <f t="shared" si="877"/>
        <v/>
      </c>
      <c r="JU127" s="728" t="str">
        <f t="shared" si="1257"/>
        <v/>
      </c>
      <c r="JV127" s="768" t="str">
        <f t="shared" si="879"/>
        <v/>
      </c>
      <c r="JW127" s="728" t="str">
        <f t="shared" si="1258"/>
        <v/>
      </c>
      <c r="JX127" s="768" t="str">
        <f t="shared" si="881"/>
        <v/>
      </c>
      <c r="JY127" s="768" t="str">
        <f t="shared" si="882"/>
        <v/>
      </c>
      <c r="JZ127" s="485" t="str">
        <f>IF(JY127="","",IF(AND(C127=$C$164,JY127&lt;&gt;""),Verificarcpf(D127),IF(AND(C127=$C$165,JY127&lt;&gt;""),VerificarCNPJ(D127))))</f>
        <v/>
      </c>
      <c r="KA127" s="768" t="str">
        <f t="shared" si="883"/>
        <v/>
      </c>
      <c r="KB127" s="485">
        <f t="shared" si="884"/>
        <v>0</v>
      </c>
      <c r="KC127" s="768">
        <f t="shared" si="885"/>
        <v>0</v>
      </c>
      <c r="KD127" s="485">
        <f t="shared" si="886"/>
        <v>0</v>
      </c>
      <c r="KE127" s="448"/>
      <c r="KF127" s="548"/>
      <c r="KG127" s="548"/>
      <c r="KH127" s="548"/>
      <c r="KI127" s="548"/>
      <c r="KJ127" s="548" t="str">
        <f t="shared" si="887"/>
        <v/>
      </c>
      <c r="KK127" s="548"/>
      <c r="KL127" s="548"/>
      <c r="KM127" s="548">
        <f t="array" ref="KM127">IF(SUM((KL127=$KL$3:KL126)*1)=0,KL127,0)</f>
        <v>0</v>
      </c>
      <c r="KN127" s="548"/>
      <c r="KO127" s="548"/>
      <c r="KP127" s="548"/>
      <c r="KQ127" s="548"/>
      <c r="KR127" s="548" t="str">
        <f t="shared" si="888"/>
        <v/>
      </c>
      <c r="KS127" s="548"/>
      <c r="KT127" s="548"/>
      <c r="KU127" s="548"/>
      <c r="KV127" s="548"/>
      <c r="KW127" s="548"/>
      <c r="KX127" s="548"/>
      <c r="KY127" s="548"/>
      <c r="KZ127" s="548"/>
      <c r="LA127" s="548"/>
      <c r="LB127" s="548"/>
      <c r="LC127" s="485" t="str">
        <f t="shared" si="902"/>
        <v/>
      </c>
      <c r="LD127" s="548"/>
      <c r="LE127" s="548"/>
      <c r="LF127" s="548"/>
      <c r="LG127" s="548"/>
      <c r="LH127" s="548"/>
      <c r="LI127" s="548"/>
      <c r="LJ127" s="548"/>
      <c r="LK127" s="548"/>
      <c r="LL127" s="548"/>
      <c r="LM127" s="548"/>
      <c r="LN127" s="548"/>
      <c r="LO127" s="548"/>
      <c r="LP127" s="485" t="str">
        <f t="shared" si="903"/>
        <v/>
      </c>
      <c r="LQ127" s="548"/>
      <c r="LR127" s="548"/>
      <c r="LS127" s="548"/>
      <c r="LT127" s="548"/>
      <c r="LU127" s="548"/>
      <c r="LV127" s="548"/>
      <c r="LW127" s="548"/>
      <c r="LX127" s="548"/>
      <c r="LY127" s="548"/>
      <c r="LZ127" s="548"/>
      <c r="MA127" s="548"/>
      <c r="MB127" s="548"/>
      <c r="MC127" s="485" t="str">
        <f t="shared" si="904"/>
        <v/>
      </c>
      <c r="MD127" s="548"/>
      <c r="ME127" s="548"/>
      <c r="MF127" s="548"/>
      <c r="MG127" s="548"/>
      <c r="MH127" s="548"/>
      <c r="MI127" s="548"/>
      <c r="MJ127" s="548"/>
      <c r="MK127" s="548"/>
      <c r="ML127" s="548"/>
      <c r="MM127" s="548"/>
      <c r="MN127" s="548"/>
      <c r="MO127" s="548"/>
      <c r="MP127" s="485" t="str">
        <f t="shared" si="905"/>
        <v/>
      </c>
      <c r="MQ127" s="548"/>
      <c r="MR127" s="548"/>
      <c r="MS127" s="548"/>
      <c r="MT127" s="548"/>
      <c r="MU127" s="548"/>
      <c r="MV127" s="548"/>
      <c r="MW127" s="548"/>
      <c r="MX127" s="548"/>
      <c r="MY127" s="548"/>
      <c r="MZ127" s="548"/>
      <c r="NA127" s="548"/>
      <c r="NB127" s="548"/>
      <c r="NC127" s="485" t="str">
        <f t="shared" si="906"/>
        <v/>
      </c>
      <c r="ND127" s="548"/>
      <c r="NE127" s="548"/>
      <c r="NF127" s="548"/>
      <c r="NG127" s="548"/>
      <c r="NH127" s="548"/>
      <c r="NI127" s="548"/>
      <c r="NJ127" s="548"/>
      <c r="NK127" s="548"/>
      <c r="NL127" s="548"/>
      <c r="NM127" s="548"/>
      <c r="NN127" s="548"/>
      <c r="NO127" s="548"/>
      <c r="NP127" s="485" t="str">
        <f t="shared" si="907"/>
        <v/>
      </c>
      <c r="NQ127" s="548"/>
      <c r="NR127" s="548"/>
      <c r="NS127" s="548"/>
      <c r="NT127" s="548"/>
      <c r="NU127" s="548"/>
      <c r="NV127" s="548"/>
      <c r="NW127" s="548"/>
      <c r="NX127" s="548"/>
      <c r="NY127" s="548"/>
      <c r="NZ127" s="548"/>
      <c r="OA127" s="548"/>
      <c r="OB127" s="548"/>
      <c r="OC127" s="485" t="str">
        <f t="shared" si="908"/>
        <v/>
      </c>
      <c r="OD127" s="548"/>
      <c r="OE127" s="548"/>
      <c r="OF127" s="548"/>
      <c r="OG127" s="548"/>
      <c r="OH127" s="548"/>
      <c r="OI127" s="548"/>
      <c r="OJ127" s="548"/>
      <c r="OK127" s="548"/>
      <c r="OL127" s="548"/>
      <c r="OM127" s="548"/>
      <c r="ON127" s="548"/>
      <c r="OO127" s="548"/>
      <c r="OP127" s="548"/>
      <c r="OQ127" s="548"/>
      <c r="OR127" s="548"/>
      <c r="OS127" s="548"/>
      <c r="OT127" s="548"/>
      <c r="OU127" s="548"/>
      <c r="OV127" s="548"/>
      <c r="OW127" s="548"/>
      <c r="OX127" s="548"/>
      <c r="OY127" s="548"/>
      <c r="OZ127" s="548"/>
      <c r="PA127" s="548"/>
      <c r="PB127" s="548"/>
      <c r="PC127" s="548"/>
      <c r="PD127" s="548"/>
      <c r="PE127" s="548"/>
      <c r="PF127" s="548"/>
      <c r="PG127" s="548"/>
      <c r="PH127" s="548"/>
      <c r="PI127" s="548"/>
      <c r="PJ127" s="548"/>
      <c r="PK127" s="548"/>
      <c r="PL127" s="548"/>
      <c r="PM127" s="548"/>
      <c r="PN127" s="548"/>
      <c r="PO127" s="548"/>
      <c r="PP127" s="548"/>
      <c r="PQ127" s="548"/>
      <c r="PR127" s="548"/>
      <c r="PS127" s="548"/>
      <c r="PT127" s="548"/>
      <c r="PU127" s="548"/>
      <c r="PV127" s="548"/>
      <c r="PW127" s="548"/>
      <c r="PX127" s="548"/>
      <c r="PY127" s="548"/>
      <c r="PZ127" s="548"/>
      <c r="QA127" s="548"/>
      <c r="QB127" s="548"/>
      <c r="QC127" s="548"/>
      <c r="QD127" s="548"/>
      <c r="QE127" s="548"/>
      <c r="QF127" s="548"/>
      <c r="QG127" s="548"/>
      <c r="QH127" s="548"/>
      <c r="QI127" s="548"/>
      <c r="QJ127" s="548"/>
      <c r="QK127" s="548"/>
      <c r="QL127" s="548"/>
      <c r="QM127" s="548"/>
      <c r="QN127" s="548"/>
      <c r="QO127" s="548"/>
      <c r="QP127" s="548"/>
      <c r="QQ127" s="1009"/>
      <c r="QR127" s="548"/>
      <c r="QS127" s="548"/>
      <c r="QT127" s="548"/>
      <c r="QU127" s="548"/>
      <c r="QV127" s="548"/>
      <c r="QW127" s="548"/>
      <c r="QX127" s="548"/>
      <c r="QY127" s="548"/>
      <c r="QZ127" s="548"/>
      <c r="RA127" s="548"/>
      <c r="RB127" s="548"/>
      <c r="RC127" s="548"/>
      <c r="RD127" s="548"/>
      <c r="RE127" s="548"/>
      <c r="RF127" s="548"/>
      <c r="RG127" s="548"/>
      <c r="RH127" s="548"/>
      <c r="RI127" s="548"/>
      <c r="RJ127" s="548"/>
      <c r="RK127" s="548"/>
      <c r="RL127" s="548"/>
      <c r="RM127" s="548"/>
      <c r="RN127" s="548"/>
      <c r="RO127" s="548"/>
      <c r="RP127" s="548"/>
      <c r="RQ127" s="548"/>
      <c r="RR127" s="548"/>
      <c r="RS127" s="548"/>
      <c r="RT127" s="548"/>
      <c r="RU127" s="548"/>
      <c r="RV127" s="548"/>
      <c r="RW127" s="548"/>
      <c r="RX127" s="548"/>
      <c r="RY127" s="548"/>
      <c r="RZ127" s="548"/>
      <c r="SA127" s="548"/>
      <c r="SB127" s="548"/>
      <c r="SC127" s="548"/>
      <c r="SD127" s="548"/>
      <c r="SE127" s="548"/>
      <c r="SF127" s="548"/>
      <c r="SG127" s="548"/>
      <c r="SH127" s="548"/>
      <c r="SI127" s="548"/>
      <c r="SJ127" s="548"/>
      <c r="SK127" s="548"/>
      <c r="SL127" s="548"/>
      <c r="SM127" s="548"/>
      <c r="SN127" s="548"/>
      <c r="SO127" s="548"/>
      <c r="SP127" s="548"/>
      <c r="SQ127" s="548"/>
      <c r="SR127" s="548"/>
      <c r="SS127" s="548"/>
      <c r="ST127" s="548"/>
      <c r="SU127" s="548"/>
      <c r="SV127" s="548"/>
      <c r="SW127" s="548"/>
      <c r="SX127" s="548"/>
      <c r="SY127" s="548"/>
      <c r="SZ127" s="548"/>
      <c r="TA127" s="548"/>
      <c r="TB127" s="548"/>
      <c r="TC127" s="548"/>
      <c r="TD127" s="548"/>
      <c r="TE127" s="548"/>
      <c r="TF127" s="548"/>
      <c r="TG127" s="548"/>
      <c r="TH127" s="548"/>
      <c r="TI127" s="548"/>
      <c r="TJ127" s="548"/>
      <c r="TK127" s="548"/>
      <c r="TL127" s="548"/>
      <c r="TM127" s="548"/>
      <c r="TN127" s="548"/>
      <c r="TO127" s="548"/>
      <c r="TP127" s="548"/>
      <c r="TQ127" s="548"/>
      <c r="TR127" s="548"/>
      <c r="TS127" s="548"/>
      <c r="TT127" s="548"/>
      <c r="TU127" s="548"/>
      <c r="TV127" s="548"/>
      <c r="TW127" s="548"/>
      <c r="TX127" s="548"/>
      <c r="TY127" s="548"/>
      <c r="TZ127" s="548"/>
      <c r="UA127" s="548"/>
      <c r="UB127" s="548"/>
      <c r="UC127" s="548"/>
      <c r="UD127" s="548"/>
      <c r="UE127" s="548"/>
      <c r="UF127" s="548"/>
      <c r="UG127" s="548"/>
      <c r="UH127" s="548"/>
      <c r="UI127" s="548"/>
      <c r="UJ127" s="548"/>
      <c r="UK127" s="548"/>
      <c r="UL127" s="548"/>
      <c r="UM127" s="548"/>
      <c r="UN127" s="548"/>
      <c r="UO127" s="548"/>
      <c r="UP127" s="548"/>
      <c r="UQ127" s="548"/>
      <c r="UR127" s="548"/>
      <c r="US127" s="548"/>
      <c r="UT127" s="548"/>
      <c r="UU127" s="548"/>
      <c r="UV127" s="548"/>
      <c r="UW127" s="548"/>
      <c r="UX127" s="548"/>
      <c r="UY127" s="548"/>
      <c r="UZ127" s="548"/>
      <c r="VA127" s="548"/>
      <c r="VB127" s="548"/>
      <c r="VC127" s="548"/>
      <c r="VD127" s="548"/>
      <c r="VE127" s="548"/>
      <c r="VF127" s="548"/>
      <c r="VG127" s="548"/>
      <c r="VH127" s="548"/>
      <c r="VI127" s="548"/>
      <c r="VJ127" s="548"/>
      <c r="VK127" s="548"/>
      <c r="VL127" s="548"/>
      <c r="VM127" s="548"/>
      <c r="VN127" s="548"/>
      <c r="VO127" s="548"/>
      <c r="VP127" s="548"/>
      <c r="VQ127" s="548"/>
      <c r="VR127" s="548"/>
      <c r="VS127" s="548"/>
      <c r="VT127" s="548"/>
      <c r="VU127" s="548"/>
      <c r="VV127" s="548"/>
      <c r="VW127" s="548"/>
      <c r="VX127" s="548"/>
      <c r="VY127" s="548"/>
      <c r="VZ127" s="548"/>
      <c r="WA127" s="548"/>
      <c r="WB127" s="548"/>
      <c r="WC127" s="548"/>
      <c r="WD127" s="548"/>
      <c r="WE127" s="548"/>
      <c r="WF127" s="548"/>
      <c r="WG127" s="548"/>
      <c r="WH127" s="548"/>
      <c r="WI127" s="548"/>
      <c r="WJ127" s="548"/>
      <c r="WK127" s="548"/>
      <c r="WL127" s="548"/>
      <c r="WM127" s="548"/>
      <c r="WN127" s="548"/>
      <c r="WO127" s="548"/>
      <c r="WP127" s="548"/>
      <c r="WQ127" s="548"/>
      <c r="WR127" s="548"/>
      <c r="WS127" s="548"/>
      <c r="WT127" s="548"/>
      <c r="WU127" s="548"/>
      <c r="WV127" s="548"/>
      <c r="WW127" s="548"/>
      <c r="WX127" s="548"/>
      <c r="WY127" s="548"/>
      <c r="WZ127" s="548"/>
      <c r="XA127" s="548"/>
      <c r="XB127" s="548"/>
      <c r="XC127" s="548"/>
      <c r="XD127" s="548"/>
      <c r="XE127" s="548"/>
      <c r="XF127" s="548"/>
      <c r="XG127" s="548"/>
      <c r="XH127" s="548"/>
      <c r="XI127" s="548"/>
      <c r="XJ127" s="548"/>
      <c r="XK127" s="548"/>
      <c r="XL127" s="548"/>
      <c r="XM127" s="548"/>
      <c r="XN127" s="548"/>
      <c r="XO127" s="548"/>
      <c r="XP127" s="548"/>
      <c r="XQ127" s="548"/>
      <c r="XR127" s="548"/>
      <c r="XS127" s="548"/>
      <c r="XT127" s="548"/>
      <c r="XU127" s="548"/>
      <c r="XV127" s="548"/>
      <c r="XW127" s="548"/>
      <c r="XX127" s="548"/>
      <c r="XY127" s="548"/>
      <c r="XZ127" s="548"/>
      <c r="YA127" s="548"/>
      <c r="YB127" s="548"/>
      <c r="YC127" s="548"/>
      <c r="YD127" s="548"/>
      <c r="YE127" s="548"/>
      <c r="YF127" s="548"/>
      <c r="YG127" s="548"/>
      <c r="YH127" s="548"/>
      <c r="YI127" s="548"/>
      <c r="YJ127" s="548"/>
      <c r="YK127" s="548"/>
      <c r="YL127" s="548"/>
      <c r="YM127" s="548"/>
      <c r="YN127" s="548"/>
      <c r="YO127" s="548"/>
      <c r="YP127" s="548"/>
      <c r="YQ127" s="548"/>
      <c r="YR127" s="548"/>
      <c r="YS127" s="548"/>
      <c r="YT127" s="548"/>
      <c r="YU127" s="548"/>
      <c r="YV127" s="548"/>
      <c r="YW127" s="548"/>
      <c r="YX127" s="548"/>
      <c r="YY127" s="548"/>
      <c r="YZ127" s="548"/>
      <c r="ZA127" s="548"/>
      <c r="ZB127" s="548"/>
      <c r="ZC127" s="548"/>
      <c r="ZD127" s="548"/>
      <c r="ZE127" s="548"/>
      <c r="ZF127" s="548"/>
      <c r="ZG127" s="548"/>
      <c r="ZH127" s="548"/>
      <c r="ZI127" s="548"/>
      <c r="ZJ127" s="548"/>
      <c r="ZK127" s="548"/>
      <c r="ZL127" s="548"/>
      <c r="ZM127" s="548"/>
      <c r="ZN127" s="548"/>
      <c r="ZO127" s="548"/>
      <c r="ZP127" s="548"/>
      <c r="ZQ127" s="548"/>
      <c r="ZR127" s="548"/>
      <c r="ZS127" s="548"/>
      <c r="ZT127" s="548"/>
      <c r="ZU127" s="548"/>
      <c r="ZV127" s="548"/>
      <c r="ZW127" s="548"/>
      <c r="ZX127" s="548"/>
      <c r="ZY127" s="548"/>
      <c r="ZZ127" s="548"/>
      <c r="AAA127" s="548"/>
      <c r="AAB127" s="548"/>
      <c r="AAC127" s="548"/>
      <c r="AAD127" s="548"/>
      <c r="AAE127" s="548"/>
      <c r="AAF127" s="548"/>
      <c r="AAG127" s="548"/>
      <c r="AAH127" s="548"/>
      <c r="AAI127" s="548"/>
      <c r="AAJ127" s="548"/>
      <c r="AAK127" s="548"/>
      <c r="AAL127" s="548"/>
      <c r="AAM127" s="548"/>
      <c r="AAN127" s="548"/>
      <c r="AAO127" s="548"/>
      <c r="AAP127" s="548"/>
      <c r="AAQ127" s="548"/>
      <c r="AAR127" s="548"/>
      <c r="AAS127" s="548"/>
      <c r="AAT127" s="548"/>
      <c r="AAU127" s="548"/>
      <c r="AAV127" s="548"/>
      <c r="AAW127" s="548"/>
      <c r="AAX127" s="548"/>
      <c r="AAY127" s="548"/>
      <c r="AAZ127" s="548"/>
      <c r="ABA127" s="548"/>
      <c r="ABB127" s="548"/>
      <c r="ABC127" s="548"/>
      <c r="ABD127" s="548"/>
      <c r="ABE127" s="548"/>
      <c r="ABF127" s="548"/>
      <c r="ABG127" s="548"/>
      <c r="ABH127" s="548"/>
      <c r="ABI127" s="548"/>
      <c r="ABJ127" s="548"/>
      <c r="ABK127" s="548"/>
      <c r="ABL127" s="548"/>
      <c r="ABM127" s="548"/>
      <c r="ABN127" s="548"/>
      <c r="ABO127" s="548"/>
      <c r="ABP127" s="548"/>
      <c r="ABQ127" s="548"/>
      <c r="ABR127" s="548"/>
      <c r="ABS127" s="548"/>
    </row>
    <row r="128" spans="1:747" customFormat="1" ht="15" customHeight="1" x14ac:dyDescent="0.2">
      <c r="A128" s="424" t="str">
        <f t="shared" si="909"/>
        <v/>
      </c>
      <c r="B128" s="415"/>
      <c r="C128" s="525"/>
      <c r="D128" s="750"/>
      <c r="E128" s="416" t="str">
        <f t="shared" si="1171"/>
        <v/>
      </c>
      <c r="F128" s="527" t="str">
        <f t="shared" si="1172"/>
        <v/>
      </c>
      <c r="G128" s="417"/>
      <c r="H128" s="585" t="str">
        <f t="shared" si="1173"/>
        <v/>
      </c>
      <c r="I128" s="424"/>
      <c r="J128" s="419"/>
      <c r="K128" s="418"/>
      <c r="L128" s="419"/>
      <c r="M128" s="415"/>
      <c r="N128" s="420"/>
      <c r="O128" s="421"/>
      <c r="P128" s="561"/>
      <c r="Q128" s="422"/>
      <c r="R128" s="561" t="str">
        <f t="shared" si="1174"/>
        <v/>
      </c>
      <c r="S128" s="664"/>
      <c r="T128" s="663"/>
      <c r="U128" s="580">
        <f t="shared" si="1175"/>
        <v>0</v>
      </c>
      <c r="V128" s="418"/>
      <c r="W128" s="582" t="str">
        <f t="shared" si="1176"/>
        <v/>
      </c>
      <c r="X128" s="479" t="str">
        <f t="shared" si="1177"/>
        <v/>
      </c>
      <c r="Y128" s="582" t="str">
        <f t="shared" si="1178"/>
        <v/>
      </c>
      <c r="Z128" s="317" t="str">
        <f t="shared" si="1179"/>
        <v/>
      </c>
      <c r="AA128" s="317" t="str">
        <f t="shared" si="1180"/>
        <v/>
      </c>
      <c r="AB128" s="317">
        <f t="shared" si="1181"/>
        <v>0</v>
      </c>
      <c r="AC128" s="317" t="str">
        <f t="shared" si="1182"/>
        <v/>
      </c>
      <c r="AD128" s="479"/>
      <c r="AE128" s="479"/>
      <c r="AF128" s="479"/>
      <c r="AG128" s="423"/>
      <c r="AH128" s="820"/>
      <c r="AI128" s="437"/>
      <c r="AJ128" s="660"/>
      <c r="AK128" s="524" t="str">
        <f t="shared" si="1183"/>
        <v/>
      </c>
      <c r="AL128" s="731">
        <f>SUMIF($J$4:$J$144,"Mais Escola",$S$4:$S$144)</f>
        <v>0</v>
      </c>
      <c r="AM128" s="732">
        <f>SUMIF($J$4:$J$144,"Mais Escola",$T$4:$T$144)</f>
        <v>0</v>
      </c>
      <c r="AN128" s="426">
        <f t="shared" si="1184"/>
        <v>0</v>
      </c>
      <c r="AO128" s="427" t="str">
        <f t="shared" si="1185"/>
        <v/>
      </c>
      <c r="AP128" s="426" t="str">
        <f t="shared" si="1186"/>
        <v/>
      </c>
      <c r="AQ128" s="426"/>
      <c r="AR128" s="426"/>
      <c r="AS128" s="428"/>
      <c r="AT128" s="429"/>
      <c r="AU128" s="430"/>
      <c r="AV128" s="431"/>
      <c r="AW128" s="432"/>
      <c r="AX128" s="430"/>
      <c r="AY128" s="431">
        <f t="shared" si="1187"/>
        <v>0</v>
      </c>
      <c r="AZ128" s="426"/>
      <c r="BA128" s="435" t="str">
        <f t="shared" si="1188"/>
        <v/>
      </c>
      <c r="BB128" s="435"/>
      <c r="BC128" s="426"/>
      <c r="BD128" s="426">
        <f t="array" ref="BD128">IF(SUM((BC128=$BC$3:BC127)*1)=0,BC128,0)</f>
        <v>0</v>
      </c>
      <c r="BE128" s="426"/>
      <c r="BF128" s="426"/>
      <c r="BG128" s="426">
        <f t="array" ref="BG128">IF(SUM((BF128=$BF$3:BF127)*1)=0,BF128,0)</f>
        <v>0</v>
      </c>
      <c r="BH128" s="426"/>
      <c r="BI128" s="426"/>
      <c r="BJ128" s="426"/>
      <c r="BK128" s="426"/>
      <c r="BL128" s="426"/>
      <c r="BM128" s="426"/>
      <c r="BN128" s="426"/>
      <c r="BO128" s="426"/>
      <c r="BP128" s="433">
        <f t="shared" si="1189"/>
        <v>0</v>
      </c>
      <c r="BQ128" s="426"/>
      <c r="BR128" s="434"/>
      <c r="BS128" s="426"/>
      <c r="BT128" s="433"/>
      <c r="BU128" s="435"/>
      <c r="BV128" s="435" t="str">
        <f t="shared" si="1190"/>
        <v/>
      </c>
      <c r="BW128" s="435" t="str">
        <f t="shared" si="798"/>
        <v/>
      </c>
      <c r="BX128" s="435"/>
      <c r="BY128" s="435"/>
      <c r="BZ128" s="435"/>
      <c r="CA128" s="435"/>
      <c r="CB128" s="435"/>
      <c r="CC128" s="435"/>
      <c r="CD128" s="435"/>
      <c r="CE128" s="435"/>
      <c r="CF128" s="435"/>
      <c r="CG128" s="435"/>
      <c r="CH128" s="435"/>
      <c r="CI128" s="435"/>
      <c r="CJ128" s="426" t="str">
        <f t="shared" si="799"/>
        <v/>
      </c>
      <c r="CK128" s="435"/>
      <c r="CL128" s="426"/>
      <c r="CM128" s="435"/>
      <c r="CN128" s="426"/>
      <c r="CO128" s="426"/>
      <c r="CP128" s="426"/>
      <c r="CQ128" s="426"/>
      <c r="CR128" s="426"/>
      <c r="CS128" s="426"/>
      <c r="CT128" s="426"/>
      <c r="CU128" s="426"/>
      <c r="CV128" s="426"/>
      <c r="CW128" s="493"/>
      <c r="CX128" s="493"/>
      <c r="CY128" s="426">
        <v>125</v>
      </c>
      <c r="CZ128" s="493"/>
      <c r="DA128" s="493"/>
      <c r="DB128" s="493"/>
      <c r="DC128" s="426" t="s">
        <v>868</v>
      </c>
      <c r="DD128" s="426" t="s">
        <v>1028</v>
      </c>
      <c r="DE128" s="435" t="str">
        <f t="shared" si="800"/>
        <v/>
      </c>
      <c r="DF128" s="435" t="str">
        <f t="shared" si="801"/>
        <v/>
      </c>
      <c r="DG128" s="435" t="str">
        <f t="shared" si="802"/>
        <v/>
      </c>
      <c r="DH128" s="435" t="str">
        <f t="shared" si="803"/>
        <v/>
      </c>
      <c r="DI128" s="435" t="str">
        <f t="shared" si="804"/>
        <v/>
      </c>
      <c r="DJ128" s="435" t="str">
        <f t="shared" si="805"/>
        <v/>
      </c>
      <c r="DK128" s="435" t="str">
        <f t="shared" si="1191"/>
        <v/>
      </c>
      <c r="DL128" s="435" t="str">
        <f t="shared" si="1192"/>
        <v/>
      </c>
      <c r="DM128" s="435" t="str">
        <f t="shared" si="806"/>
        <v/>
      </c>
      <c r="DN128" s="435" t="str">
        <f t="shared" si="807"/>
        <v/>
      </c>
      <c r="DO128" s="435" t="str">
        <f t="shared" si="1193"/>
        <v/>
      </c>
      <c r="DP128" s="435" t="str">
        <f t="shared" si="1194"/>
        <v/>
      </c>
      <c r="DQ128" s="435" t="str">
        <f t="shared" si="808"/>
        <v/>
      </c>
      <c r="DR128" s="435" t="str">
        <f t="shared" si="809"/>
        <v/>
      </c>
      <c r="DS128" s="435" t="str">
        <f t="shared" si="1195"/>
        <v/>
      </c>
      <c r="DT128" s="435" t="str">
        <f t="shared" si="1196"/>
        <v/>
      </c>
      <c r="DU128" s="435" t="str">
        <f t="shared" si="810"/>
        <v/>
      </c>
      <c r="DV128" s="435" t="str">
        <f t="shared" si="811"/>
        <v/>
      </c>
      <c r="DW128" s="435" t="str">
        <f t="shared" si="1197"/>
        <v/>
      </c>
      <c r="DX128" s="435" t="str">
        <f t="shared" si="1198"/>
        <v/>
      </c>
      <c r="DY128" s="435" t="str">
        <f t="shared" si="812"/>
        <v/>
      </c>
      <c r="DZ128" s="435" t="str">
        <f t="shared" si="813"/>
        <v/>
      </c>
      <c r="EA128" s="435" t="str">
        <f t="shared" si="1199"/>
        <v/>
      </c>
      <c r="EB128" s="435" t="str">
        <f t="shared" si="1200"/>
        <v/>
      </c>
      <c r="EC128" s="435" t="str">
        <f t="shared" si="1201"/>
        <v/>
      </c>
      <c r="ED128" s="435" t="str">
        <f t="shared" si="1202"/>
        <v/>
      </c>
      <c r="EE128" s="435" t="str">
        <f t="shared" si="1203"/>
        <v/>
      </c>
      <c r="EF128" s="435" t="str">
        <f t="shared" si="1204"/>
        <v/>
      </c>
      <c r="EG128" s="435" t="str">
        <f t="shared" si="1205"/>
        <v/>
      </c>
      <c r="EH128" s="435" t="str">
        <f t="shared" si="1206"/>
        <v/>
      </c>
      <c r="EI128" s="435" t="str">
        <f t="shared" si="1207"/>
        <v/>
      </c>
      <c r="EJ128" s="435" t="str">
        <f t="shared" si="1208"/>
        <v/>
      </c>
      <c r="EK128" s="485"/>
      <c r="EL128" s="485"/>
      <c r="EM128" s="485"/>
      <c r="EN128" s="485"/>
      <c r="EO128" s="448"/>
      <c r="EP128" s="448"/>
      <c r="EQ128" s="448"/>
      <c r="ER128" s="448"/>
      <c r="ES128" s="448"/>
      <c r="ET128" s="435"/>
      <c r="EU128" s="435"/>
      <c r="EV128" s="435"/>
      <c r="EW128" s="435"/>
      <c r="EX128" s="426"/>
      <c r="EY128" s="426"/>
      <c r="EZ128" s="426"/>
      <c r="FA128" s="863"/>
      <c r="FB128" s="427">
        <f t="array" ref="FB128">IF(SUM((FA128=$FA$3:FA127)*1)=0,FA128,0)</f>
        <v>0</v>
      </c>
      <c r="FC128" s="863"/>
      <c r="FD128" s="863"/>
      <c r="FE128" s="863">
        <f t="array" ref="FE128">IF(SUM((FD128=$FD$3:FD127)*1)=0,FD128,0)</f>
        <v>0</v>
      </c>
      <c r="FF128" s="863"/>
      <c r="FG128" s="863"/>
      <c r="FH128" s="863"/>
      <c r="FI128" s="427">
        <f t="array" ref="FI128">IF(SUM((FH128=$FH$3:FH127)*1)=0,FH128,0)</f>
        <v>0</v>
      </c>
      <c r="FJ128" s="863"/>
      <c r="FK128" s="863"/>
      <c r="FL128" s="863">
        <f t="array" ref="FL128">IF(SUM((FK128=$FK$3:FK127)*1)=0,FK128,0)</f>
        <v>0</v>
      </c>
      <c r="FM128" s="863"/>
      <c r="FN128" s="863"/>
      <c r="FO128" s="863"/>
      <c r="FP128" s="427">
        <f t="array" ref="FP128">IF(SUM((FO128=$FO$3:FO127)*1)=0,FO128,0)</f>
        <v>0</v>
      </c>
      <c r="FQ128" s="863"/>
      <c r="FR128" s="863"/>
      <c r="FS128" s="863">
        <f t="array" ref="FS128">IF(SUM((FR128=$FR$3:FR127)*1)=0,FR128,0)</f>
        <v>0</v>
      </c>
      <c r="FT128" s="863"/>
      <c r="FU128" s="863"/>
      <c r="FV128" s="863"/>
      <c r="FW128" s="427">
        <f t="array" ref="FW128">IF(SUM((FV128=$FV$3:FV127)*1)=0,FV128,0)</f>
        <v>0</v>
      </c>
      <c r="FX128" s="863"/>
      <c r="FY128" s="863"/>
      <c r="FZ128" s="863">
        <f t="array" ref="FZ128">IF(SUM((FY128=$FY$3:FY127)*1)=0,FY128,0)</f>
        <v>0</v>
      </c>
      <c r="GA128" s="863"/>
      <c r="GB128" s="863"/>
      <c r="GC128" s="863"/>
      <c r="GD128" s="427">
        <f t="array" ref="GD128">IF(SUM((GC128=$GC$3:GC127)*1)=0,GC128,0)</f>
        <v>0</v>
      </c>
      <c r="GE128" s="863"/>
      <c r="GF128" s="863"/>
      <c r="GG128" s="863">
        <f t="array" ref="GG128">IF(SUM((GF128=$GF$3:GF127)*1)=0,GF128,0)</f>
        <v>0</v>
      </c>
      <c r="GH128" s="863"/>
      <c r="GI128" s="863"/>
      <c r="GJ128" s="863"/>
      <c r="GK128" s="798">
        <f t="array" ref="GK128">IF(SUM((GJ128=$GJ$3:GJ127)*1)=0,GJ128,0)</f>
        <v>0</v>
      </c>
      <c r="GL128" s="863"/>
      <c r="GM128" s="863"/>
      <c r="GN128" s="798">
        <f t="array" ref="GN128">IF(SUM((GM128=$GM$3:GM127)*1)=0,GM128,0)</f>
        <v>0</v>
      </c>
      <c r="GO128" s="863"/>
      <c r="GP128" s="863"/>
      <c r="GQ128" s="863"/>
      <c r="GR128" s="798">
        <f t="array" ref="GR128">IF(SUM((GQ128=$GQ$3:GQ127)*1)=0,GQ128,0)</f>
        <v>0</v>
      </c>
      <c r="GS128" s="863"/>
      <c r="GT128" s="863"/>
      <c r="GU128" s="798">
        <f t="array" ref="GU128">IF(SUM((GT128=$GT$3:GT127)*1)=0,GT128,0)</f>
        <v>0</v>
      </c>
      <c r="GV128" s="863"/>
      <c r="GW128" s="863"/>
      <c r="GX128" s="863"/>
      <c r="GY128" s="798">
        <f t="array" ref="GY128">IF(SUM((GX128=$GX$3:GX127)*1)=0,GX128,0)</f>
        <v>0</v>
      </c>
      <c r="GZ128" s="863"/>
      <c r="HA128" s="863"/>
      <c r="HB128" s="798">
        <f t="array" ref="HB128">IF(SUM((HA128=$HA$3:HA127)*1)=0,HA128,0)</f>
        <v>0</v>
      </c>
      <c r="HC128" s="863"/>
      <c r="HD128" s="863"/>
      <c r="HE128" s="769" t="str">
        <f t="shared" si="889"/>
        <v/>
      </c>
      <c r="HF128" s="768" t="str">
        <f t="shared" ref="HF128" si="1493">IF(HE128&lt;0,"Invadiu REP-BA-C","")</f>
        <v/>
      </c>
      <c r="HG128" s="769" t="str">
        <f t="shared" si="891"/>
        <v/>
      </c>
      <c r="HH128" s="768" t="str">
        <f t="shared" si="815"/>
        <v/>
      </c>
      <c r="HI128" s="728" t="str">
        <f t="shared" si="892"/>
        <v/>
      </c>
      <c r="HJ128" s="768" t="str">
        <f t="shared" si="816"/>
        <v/>
      </c>
      <c r="HK128" s="728" t="str">
        <f t="shared" si="893"/>
        <v/>
      </c>
      <c r="HL128" s="768" t="str">
        <f t="shared" si="817"/>
        <v/>
      </c>
      <c r="HM128" s="769" t="str">
        <f t="shared" si="1219"/>
        <v/>
      </c>
      <c r="HN128" s="768" t="str">
        <f t="shared" ref="HN128" si="1494">IF(HM128&lt;0,"Invadiu REP-BA-C","")</f>
        <v/>
      </c>
      <c r="HO128" s="769" t="str">
        <f t="shared" si="1221"/>
        <v/>
      </c>
      <c r="HP128" s="768" t="str">
        <f t="shared" si="821"/>
        <v/>
      </c>
      <c r="HQ128" s="728" t="str">
        <f t="shared" si="1222"/>
        <v/>
      </c>
      <c r="HR128" s="768" t="str">
        <f t="shared" si="823"/>
        <v/>
      </c>
      <c r="HS128" s="728" t="str">
        <f t="shared" si="1223"/>
        <v/>
      </c>
      <c r="HT128" s="768" t="str">
        <f t="shared" si="825"/>
        <v/>
      </c>
      <c r="HU128" s="769" t="str">
        <f t="shared" si="1224"/>
        <v/>
      </c>
      <c r="HV128" s="768" t="str">
        <f t="shared" ref="HV128" si="1495">IF(HU128&lt;0,"Invadiu REP-BA-C","")</f>
        <v/>
      </c>
      <c r="HW128" s="769" t="str">
        <f t="shared" si="1226"/>
        <v/>
      </c>
      <c r="HX128" s="768" t="str">
        <f t="shared" si="829"/>
        <v/>
      </c>
      <c r="HY128" s="728" t="str">
        <f t="shared" si="1227"/>
        <v/>
      </c>
      <c r="HZ128" s="768" t="str">
        <f t="shared" si="831"/>
        <v/>
      </c>
      <c r="IA128" s="728" t="str">
        <f t="shared" si="1228"/>
        <v/>
      </c>
      <c r="IB128" s="768" t="str">
        <f t="shared" si="833"/>
        <v/>
      </c>
      <c r="IC128" s="769" t="str">
        <f t="shared" si="1229"/>
        <v/>
      </c>
      <c r="ID128" s="768" t="str">
        <f t="shared" ref="ID128" si="1496">IF(IC128&lt;0,"Invadiu REP-BA-C","")</f>
        <v/>
      </c>
      <c r="IE128" s="769" t="str">
        <f t="shared" si="1231"/>
        <v/>
      </c>
      <c r="IF128" s="768" t="str">
        <f t="shared" si="837"/>
        <v/>
      </c>
      <c r="IG128" s="728" t="str">
        <f t="shared" si="1232"/>
        <v/>
      </c>
      <c r="IH128" s="768" t="str">
        <f t="shared" si="839"/>
        <v/>
      </c>
      <c r="II128" s="728" t="str">
        <f t="shared" si="1233"/>
        <v/>
      </c>
      <c r="IJ128" s="768" t="str">
        <f t="shared" si="841"/>
        <v/>
      </c>
      <c r="IK128" s="769" t="str">
        <f t="shared" si="1234"/>
        <v/>
      </c>
      <c r="IL128" s="768" t="str">
        <f t="shared" ref="IL128" si="1497">IF(IK128&lt;0,"Invadiu REP-BA-C","")</f>
        <v/>
      </c>
      <c r="IM128" s="769" t="str">
        <f t="shared" si="1236"/>
        <v/>
      </c>
      <c r="IN128" s="768" t="str">
        <f t="shared" si="845"/>
        <v/>
      </c>
      <c r="IO128" s="728" t="str">
        <f t="shared" si="1237"/>
        <v/>
      </c>
      <c r="IP128" s="768" t="str">
        <f t="shared" si="847"/>
        <v/>
      </c>
      <c r="IQ128" s="728" t="str">
        <f t="shared" si="1238"/>
        <v/>
      </c>
      <c r="IR128" s="768" t="str">
        <f t="shared" si="849"/>
        <v/>
      </c>
      <c r="IS128" s="769" t="str">
        <f t="shared" si="1239"/>
        <v/>
      </c>
      <c r="IT128" s="768" t="str">
        <f t="shared" ref="IT128" si="1498">IF(IS128&lt;0,"Invadiu REP-BA-C","")</f>
        <v/>
      </c>
      <c r="IU128" s="769" t="str">
        <f t="shared" si="1241"/>
        <v/>
      </c>
      <c r="IV128" s="768" t="str">
        <f t="shared" si="853"/>
        <v/>
      </c>
      <c r="IW128" s="728" t="str">
        <f t="shared" si="1242"/>
        <v/>
      </c>
      <c r="IX128" s="768" t="str">
        <f t="shared" si="855"/>
        <v/>
      </c>
      <c r="IY128" s="728" t="str">
        <f t="shared" si="1243"/>
        <v/>
      </c>
      <c r="IZ128" s="768" t="str">
        <f t="shared" si="857"/>
        <v/>
      </c>
      <c r="JA128" s="769" t="str">
        <f t="shared" si="1244"/>
        <v/>
      </c>
      <c r="JB128" s="768" t="str">
        <f t="shared" ref="JB128" si="1499">IF(JA128&lt;0,"Invadiu REP-BA-C","")</f>
        <v/>
      </c>
      <c r="JC128" s="769" t="str">
        <f t="shared" si="1246"/>
        <v/>
      </c>
      <c r="JD128" s="768" t="str">
        <f t="shared" si="861"/>
        <v/>
      </c>
      <c r="JE128" s="728" t="str">
        <f t="shared" si="1247"/>
        <v/>
      </c>
      <c r="JF128" s="768" t="str">
        <f t="shared" si="863"/>
        <v/>
      </c>
      <c r="JG128" s="728" t="str">
        <f t="shared" si="1248"/>
        <v/>
      </c>
      <c r="JH128" s="768" t="str">
        <f t="shared" si="865"/>
        <v/>
      </c>
      <c r="JI128" s="769" t="str">
        <f t="shared" si="1249"/>
        <v/>
      </c>
      <c r="JJ128" s="768" t="str">
        <f t="shared" ref="JJ128" si="1500">IF(JI128&lt;0,"Invadiu REP-BA-C","")</f>
        <v/>
      </c>
      <c r="JK128" s="769" t="str">
        <f t="shared" si="1251"/>
        <v/>
      </c>
      <c r="JL128" s="768" t="str">
        <f t="shared" si="869"/>
        <v/>
      </c>
      <c r="JM128" s="728" t="str">
        <f t="shared" si="1252"/>
        <v/>
      </c>
      <c r="JN128" s="768" t="str">
        <f t="shared" si="871"/>
        <v/>
      </c>
      <c r="JO128" s="728" t="str">
        <f t="shared" si="1253"/>
        <v/>
      </c>
      <c r="JP128" s="768" t="str">
        <f t="shared" si="873"/>
        <v/>
      </c>
      <c r="JQ128" s="769" t="str">
        <f t="shared" si="1254"/>
        <v/>
      </c>
      <c r="JR128" s="768" t="str">
        <f t="shared" ref="JR128" si="1501">IF(JQ128&lt;0,"Invadiu REP-BA-C","")</f>
        <v/>
      </c>
      <c r="JS128" s="769" t="str">
        <f t="shared" si="1256"/>
        <v/>
      </c>
      <c r="JT128" s="768" t="str">
        <f t="shared" si="877"/>
        <v/>
      </c>
      <c r="JU128" s="728" t="str">
        <f t="shared" si="1257"/>
        <v/>
      </c>
      <c r="JV128" s="768" t="str">
        <f t="shared" si="879"/>
        <v/>
      </c>
      <c r="JW128" s="728" t="str">
        <f t="shared" si="1258"/>
        <v/>
      </c>
      <c r="JX128" s="768" t="str">
        <f t="shared" si="881"/>
        <v/>
      </c>
      <c r="JY128" s="768" t="str">
        <f t="shared" si="882"/>
        <v/>
      </c>
      <c r="JZ128" s="485" t="str">
        <f>IF(JY128="","",IF(AND(C128=$C$164,JY128&lt;&gt;""),Verificarcpf(D128),IF(AND(C128=$C$165,JY128&lt;&gt;""),VerificarCNPJ(D128))))</f>
        <v/>
      </c>
      <c r="KA128" s="768" t="str">
        <f t="shared" si="883"/>
        <v/>
      </c>
      <c r="KB128" s="485">
        <f t="shared" si="884"/>
        <v>0</v>
      </c>
      <c r="KC128" s="768">
        <f t="shared" si="885"/>
        <v>0</v>
      </c>
      <c r="KD128" s="485">
        <f t="shared" si="886"/>
        <v>0</v>
      </c>
      <c r="KE128" s="448"/>
      <c r="KF128" s="548"/>
      <c r="KG128" s="548"/>
      <c r="KH128" s="548"/>
      <c r="KI128" s="548"/>
      <c r="KJ128" s="548" t="str">
        <f t="shared" si="887"/>
        <v/>
      </c>
      <c r="KK128" s="548"/>
      <c r="KL128" s="548"/>
      <c r="KM128" s="548">
        <f t="array" ref="KM128">IF(SUM((KL128=$KL$3:KL127)*1)=0,KL128,0)</f>
        <v>0</v>
      </c>
      <c r="KN128" s="548"/>
      <c r="KO128" s="548"/>
      <c r="KP128" s="548"/>
      <c r="KQ128" s="548"/>
      <c r="KR128" s="548" t="str">
        <f t="shared" si="888"/>
        <v/>
      </c>
      <c r="KS128" s="548"/>
      <c r="KT128" s="548"/>
      <c r="KU128" s="548"/>
      <c r="KV128" s="548"/>
      <c r="KW128" s="548"/>
      <c r="KX128" s="548"/>
      <c r="KY128" s="548"/>
      <c r="KZ128" s="548"/>
      <c r="LA128" s="548"/>
      <c r="LB128" s="548"/>
      <c r="LC128" s="485" t="str">
        <f t="shared" si="902"/>
        <v/>
      </c>
      <c r="LD128" s="548"/>
      <c r="LE128" s="548"/>
      <c r="LF128" s="548"/>
      <c r="LG128" s="548"/>
      <c r="LH128" s="548"/>
      <c r="LI128" s="548"/>
      <c r="LJ128" s="548"/>
      <c r="LK128" s="548"/>
      <c r="LL128" s="548"/>
      <c r="LM128" s="548"/>
      <c r="LN128" s="548"/>
      <c r="LO128" s="548"/>
      <c r="LP128" s="485" t="str">
        <f t="shared" si="903"/>
        <v/>
      </c>
      <c r="LQ128" s="548"/>
      <c r="LR128" s="548"/>
      <c r="LS128" s="548"/>
      <c r="LT128" s="548"/>
      <c r="LU128" s="548"/>
      <c r="LV128" s="548"/>
      <c r="LW128" s="548"/>
      <c r="LX128" s="548"/>
      <c r="LY128" s="548"/>
      <c r="LZ128" s="548"/>
      <c r="MA128" s="548"/>
      <c r="MB128" s="548"/>
      <c r="MC128" s="485" t="str">
        <f t="shared" si="904"/>
        <v/>
      </c>
      <c r="MD128" s="548"/>
      <c r="ME128" s="548"/>
      <c r="MF128" s="548"/>
      <c r="MG128" s="548"/>
      <c r="MH128" s="548"/>
      <c r="MI128" s="548"/>
      <c r="MJ128" s="548"/>
      <c r="MK128" s="548"/>
      <c r="ML128" s="548"/>
      <c r="MM128" s="548"/>
      <c r="MN128" s="548"/>
      <c r="MO128" s="548"/>
      <c r="MP128" s="485" t="str">
        <f t="shared" si="905"/>
        <v/>
      </c>
      <c r="MQ128" s="548"/>
      <c r="MR128" s="548"/>
      <c r="MS128" s="548"/>
      <c r="MT128" s="548"/>
      <c r="MU128" s="548"/>
      <c r="MV128" s="548"/>
      <c r="MW128" s="548"/>
      <c r="MX128" s="548"/>
      <c r="MY128" s="548"/>
      <c r="MZ128" s="548"/>
      <c r="NA128" s="548"/>
      <c r="NB128" s="548"/>
      <c r="NC128" s="485" t="str">
        <f t="shared" si="906"/>
        <v/>
      </c>
      <c r="ND128" s="548"/>
      <c r="NE128" s="548"/>
      <c r="NF128" s="548"/>
      <c r="NG128" s="548"/>
      <c r="NH128" s="548"/>
      <c r="NI128" s="548"/>
      <c r="NJ128" s="548"/>
      <c r="NK128" s="548"/>
      <c r="NL128" s="548"/>
      <c r="NM128" s="548"/>
      <c r="NN128" s="548"/>
      <c r="NO128" s="548"/>
      <c r="NP128" s="485" t="str">
        <f t="shared" si="907"/>
        <v/>
      </c>
      <c r="NQ128" s="548"/>
      <c r="NR128" s="548"/>
      <c r="NS128" s="548"/>
      <c r="NT128" s="548"/>
      <c r="NU128" s="548"/>
      <c r="NV128" s="548"/>
      <c r="NW128" s="548"/>
      <c r="NX128" s="548"/>
      <c r="NY128" s="548"/>
      <c r="NZ128" s="548"/>
      <c r="OA128" s="548"/>
      <c r="OB128" s="548"/>
      <c r="OC128" s="485" t="str">
        <f t="shared" si="908"/>
        <v/>
      </c>
      <c r="OD128" s="548"/>
      <c r="OE128" s="548"/>
      <c r="OF128" s="548"/>
      <c r="OG128" s="548"/>
      <c r="OH128" s="548"/>
      <c r="OI128" s="548"/>
      <c r="OJ128" s="548"/>
      <c r="OK128" s="548"/>
      <c r="OL128" s="548"/>
      <c r="OM128" s="548"/>
      <c r="ON128" s="548"/>
      <c r="OO128" s="548"/>
      <c r="OP128" s="548"/>
      <c r="OQ128" s="548"/>
      <c r="OR128" s="548"/>
      <c r="OS128" s="548"/>
      <c r="OT128" s="548"/>
      <c r="OU128" s="548"/>
      <c r="OV128" s="548"/>
      <c r="OW128" s="548"/>
      <c r="OX128" s="548"/>
      <c r="OY128" s="548"/>
      <c r="OZ128" s="548"/>
      <c r="PA128" s="548"/>
      <c r="PB128" s="548"/>
      <c r="PC128" s="548"/>
      <c r="PD128" s="548"/>
      <c r="PE128" s="548"/>
      <c r="PF128" s="548"/>
      <c r="PG128" s="548"/>
      <c r="PH128" s="548"/>
      <c r="PI128" s="548"/>
      <c r="PJ128" s="548"/>
      <c r="PK128" s="548"/>
      <c r="PL128" s="548"/>
      <c r="PM128" s="548"/>
      <c r="PN128" s="548"/>
      <c r="PO128" s="548"/>
      <c r="PP128" s="548"/>
      <c r="PQ128" s="548"/>
      <c r="PR128" s="548"/>
      <c r="PS128" s="548"/>
      <c r="PT128" s="548"/>
      <c r="PU128" s="548"/>
      <c r="PV128" s="548"/>
      <c r="PW128" s="548"/>
      <c r="PX128" s="548"/>
      <c r="PY128" s="548"/>
      <c r="PZ128" s="548"/>
      <c r="QA128" s="548"/>
      <c r="QB128" s="548"/>
      <c r="QC128" s="548"/>
      <c r="QD128" s="548"/>
      <c r="QE128" s="548"/>
      <c r="QF128" s="548"/>
      <c r="QG128" s="548"/>
      <c r="QH128" s="548"/>
      <c r="QI128" s="548"/>
      <c r="QJ128" s="548"/>
      <c r="QK128" s="548"/>
      <c r="QL128" s="548"/>
      <c r="QM128" s="548"/>
      <c r="QN128" s="548"/>
      <c r="QO128" s="548"/>
      <c r="QP128" s="548"/>
      <c r="QQ128" s="1009"/>
      <c r="QR128" s="548"/>
      <c r="QS128" s="548"/>
      <c r="QT128" s="548"/>
      <c r="QU128" s="548"/>
      <c r="QV128" s="548"/>
      <c r="QW128" s="548"/>
      <c r="QX128" s="548"/>
      <c r="QY128" s="548"/>
      <c r="QZ128" s="548"/>
      <c r="RA128" s="548"/>
      <c r="RB128" s="548"/>
      <c r="RC128" s="548"/>
      <c r="RD128" s="548"/>
      <c r="RE128" s="548"/>
      <c r="RF128" s="548"/>
      <c r="RG128" s="548"/>
      <c r="RH128" s="548"/>
      <c r="RI128" s="548"/>
      <c r="RJ128" s="548"/>
      <c r="RK128" s="548"/>
      <c r="RL128" s="548"/>
      <c r="RM128" s="548"/>
      <c r="RN128" s="548"/>
      <c r="RO128" s="548"/>
      <c r="RP128" s="548"/>
      <c r="RQ128" s="548"/>
      <c r="RR128" s="548"/>
      <c r="RS128" s="548"/>
      <c r="RT128" s="548"/>
      <c r="RU128" s="548"/>
      <c r="RV128" s="548"/>
      <c r="RW128" s="548"/>
      <c r="RX128" s="548"/>
      <c r="RY128" s="548"/>
      <c r="RZ128" s="548"/>
      <c r="SA128" s="548"/>
      <c r="SB128" s="548"/>
      <c r="SC128" s="548"/>
      <c r="SD128" s="548"/>
      <c r="SE128" s="548"/>
      <c r="SF128" s="548"/>
      <c r="SG128" s="548"/>
      <c r="SH128" s="548"/>
      <c r="SI128" s="548"/>
      <c r="SJ128" s="548"/>
      <c r="SK128" s="548"/>
      <c r="SL128" s="548"/>
      <c r="SM128" s="548"/>
      <c r="SN128" s="548"/>
      <c r="SO128" s="548"/>
      <c r="SP128" s="548"/>
      <c r="SQ128" s="548"/>
      <c r="SR128" s="548"/>
      <c r="SS128" s="548"/>
      <c r="ST128" s="548"/>
      <c r="SU128" s="548"/>
      <c r="SV128" s="548"/>
      <c r="SW128" s="548"/>
      <c r="SX128" s="548"/>
      <c r="SY128" s="548"/>
      <c r="SZ128" s="548"/>
      <c r="TA128" s="548"/>
      <c r="TB128" s="548"/>
      <c r="TC128" s="548"/>
      <c r="TD128" s="548"/>
      <c r="TE128" s="548"/>
      <c r="TF128" s="548"/>
      <c r="TG128" s="548"/>
      <c r="TH128" s="548"/>
      <c r="TI128" s="548"/>
      <c r="TJ128" s="548"/>
      <c r="TK128" s="548"/>
      <c r="TL128" s="548"/>
      <c r="TM128" s="548"/>
      <c r="TN128" s="548"/>
      <c r="TO128" s="548"/>
      <c r="TP128" s="548"/>
      <c r="TQ128" s="548"/>
      <c r="TR128" s="548"/>
      <c r="TS128" s="548"/>
      <c r="TT128" s="548"/>
      <c r="TU128" s="548"/>
      <c r="TV128" s="548"/>
      <c r="TW128" s="548"/>
      <c r="TX128" s="548"/>
      <c r="TY128" s="548"/>
      <c r="TZ128" s="548"/>
      <c r="UA128" s="548"/>
      <c r="UB128" s="548"/>
      <c r="UC128" s="548"/>
      <c r="UD128" s="548"/>
      <c r="UE128" s="548"/>
      <c r="UF128" s="548"/>
      <c r="UG128" s="548"/>
      <c r="UH128" s="548"/>
      <c r="UI128" s="548"/>
      <c r="UJ128" s="548"/>
      <c r="UK128" s="548"/>
      <c r="UL128" s="548"/>
      <c r="UM128" s="548"/>
      <c r="UN128" s="548"/>
      <c r="UO128" s="548"/>
      <c r="UP128" s="548"/>
      <c r="UQ128" s="548"/>
      <c r="UR128" s="548"/>
      <c r="US128" s="548"/>
      <c r="UT128" s="548"/>
      <c r="UU128" s="548"/>
      <c r="UV128" s="548"/>
      <c r="UW128" s="548"/>
      <c r="UX128" s="548"/>
      <c r="UY128" s="548"/>
      <c r="UZ128" s="548"/>
      <c r="VA128" s="548"/>
      <c r="VB128" s="548"/>
      <c r="VC128" s="548"/>
      <c r="VD128" s="548"/>
      <c r="VE128" s="548"/>
      <c r="VF128" s="548"/>
      <c r="VG128" s="548"/>
      <c r="VH128" s="548"/>
      <c r="VI128" s="548"/>
      <c r="VJ128" s="548"/>
      <c r="VK128" s="548"/>
      <c r="VL128" s="548"/>
      <c r="VM128" s="548"/>
      <c r="VN128" s="548"/>
      <c r="VO128" s="548"/>
      <c r="VP128" s="548"/>
      <c r="VQ128" s="548"/>
      <c r="VR128" s="548"/>
      <c r="VS128" s="548"/>
      <c r="VT128" s="548"/>
      <c r="VU128" s="548"/>
      <c r="VV128" s="548"/>
      <c r="VW128" s="548"/>
      <c r="VX128" s="548"/>
      <c r="VY128" s="548"/>
      <c r="VZ128" s="548"/>
      <c r="WA128" s="548"/>
      <c r="WB128" s="548"/>
      <c r="WC128" s="548"/>
      <c r="WD128" s="548"/>
      <c r="WE128" s="548"/>
      <c r="WF128" s="548"/>
      <c r="WG128" s="548"/>
      <c r="WH128" s="548"/>
      <c r="WI128" s="548"/>
      <c r="WJ128" s="548"/>
      <c r="WK128" s="548"/>
      <c r="WL128" s="548"/>
      <c r="WM128" s="548"/>
      <c r="WN128" s="548"/>
      <c r="WO128" s="548"/>
      <c r="WP128" s="548"/>
      <c r="WQ128" s="548"/>
      <c r="WR128" s="548"/>
      <c r="WS128" s="548"/>
      <c r="WT128" s="548"/>
      <c r="WU128" s="548"/>
      <c r="WV128" s="548"/>
      <c r="WW128" s="548"/>
      <c r="WX128" s="548"/>
      <c r="WY128" s="548"/>
      <c r="WZ128" s="548"/>
      <c r="XA128" s="548"/>
      <c r="XB128" s="548"/>
      <c r="XC128" s="548"/>
      <c r="XD128" s="548"/>
      <c r="XE128" s="548"/>
      <c r="XF128" s="548"/>
      <c r="XG128" s="548"/>
      <c r="XH128" s="548"/>
      <c r="XI128" s="548"/>
      <c r="XJ128" s="548"/>
      <c r="XK128" s="548"/>
      <c r="XL128" s="548"/>
      <c r="XM128" s="548"/>
      <c r="XN128" s="548"/>
      <c r="XO128" s="548"/>
      <c r="XP128" s="548"/>
      <c r="XQ128" s="548"/>
      <c r="XR128" s="548"/>
      <c r="XS128" s="548"/>
      <c r="XT128" s="548"/>
      <c r="XU128" s="548"/>
      <c r="XV128" s="548"/>
      <c r="XW128" s="548"/>
      <c r="XX128" s="548"/>
      <c r="XY128" s="548"/>
      <c r="XZ128" s="548"/>
      <c r="YA128" s="548"/>
      <c r="YB128" s="548"/>
      <c r="YC128" s="548"/>
      <c r="YD128" s="548"/>
      <c r="YE128" s="548"/>
      <c r="YF128" s="548"/>
      <c r="YG128" s="548"/>
      <c r="YH128" s="548"/>
      <c r="YI128" s="548"/>
      <c r="YJ128" s="548"/>
      <c r="YK128" s="548"/>
      <c r="YL128" s="548"/>
      <c r="YM128" s="548"/>
      <c r="YN128" s="548"/>
      <c r="YO128" s="548"/>
      <c r="YP128" s="548"/>
      <c r="YQ128" s="548"/>
      <c r="YR128" s="548"/>
      <c r="YS128" s="548"/>
      <c r="YT128" s="548"/>
      <c r="YU128" s="548"/>
      <c r="YV128" s="548"/>
      <c r="YW128" s="548"/>
      <c r="YX128" s="548"/>
      <c r="YY128" s="548"/>
      <c r="YZ128" s="548"/>
      <c r="ZA128" s="548"/>
      <c r="ZB128" s="548"/>
      <c r="ZC128" s="548"/>
      <c r="ZD128" s="548"/>
      <c r="ZE128" s="548"/>
      <c r="ZF128" s="548"/>
      <c r="ZG128" s="548"/>
      <c r="ZH128" s="548"/>
      <c r="ZI128" s="548"/>
      <c r="ZJ128" s="548"/>
      <c r="ZK128" s="548"/>
      <c r="ZL128" s="548"/>
      <c r="ZM128" s="548"/>
      <c r="ZN128" s="548"/>
      <c r="ZO128" s="548"/>
      <c r="ZP128" s="548"/>
      <c r="ZQ128" s="548"/>
      <c r="ZR128" s="548"/>
      <c r="ZS128" s="548"/>
      <c r="ZT128" s="548"/>
      <c r="ZU128" s="548"/>
      <c r="ZV128" s="548"/>
      <c r="ZW128" s="548"/>
      <c r="ZX128" s="548"/>
      <c r="ZY128" s="548"/>
      <c r="ZZ128" s="548"/>
      <c r="AAA128" s="548"/>
      <c r="AAB128" s="548"/>
      <c r="AAC128" s="548"/>
      <c r="AAD128" s="548"/>
      <c r="AAE128" s="548"/>
      <c r="AAF128" s="548"/>
      <c r="AAG128" s="548"/>
      <c r="AAH128" s="548"/>
      <c r="AAI128" s="548"/>
      <c r="AAJ128" s="548"/>
      <c r="AAK128" s="548"/>
      <c r="AAL128" s="548"/>
      <c r="AAM128" s="548"/>
      <c r="AAN128" s="548"/>
      <c r="AAO128" s="548"/>
      <c r="AAP128" s="548"/>
      <c r="AAQ128" s="548"/>
      <c r="AAR128" s="548"/>
      <c r="AAS128" s="548"/>
      <c r="AAT128" s="548"/>
      <c r="AAU128" s="548"/>
      <c r="AAV128" s="548"/>
      <c r="AAW128" s="548"/>
      <c r="AAX128" s="548"/>
      <c r="AAY128" s="548"/>
      <c r="AAZ128" s="548"/>
      <c r="ABA128" s="548"/>
      <c r="ABB128" s="548"/>
      <c r="ABC128" s="548"/>
      <c r="ABD128" s="548"/>
      <c r="ABE128" s="548"/>
      <c r="ABF128" s="548"/>
      <c r="ABG128" s="548"/>
      <c r="ABH128" s="548"/>
      <c r="ABI128" s="548"/>
      <c r="ABJ128" s="548"/>
      <c r="ABK128" s="548"/>
      <c r="ABL128" s="548"/>
      <c r="ABM128" s="548"/>
      <c r="ABN128" s="548"/>
      <c r="ABO128" s="548"/>
      <c r="ABP128" s="548"/>
      <c r="ABQ128" s="548"/>
      <c r="ABR128" s="548"/>
      <c r="ABS128" s="548"/>
    </row>
    <row r="129" spans="1:747" customFormat="1" ht="15" customHeight="1" x14ac:dyDescent="0.2">
      <c r="A129" s="424" t="str">
        <f t="shared" si="909"/>
        <v/>
      </c>
      <c r="B129" s="415"/>
      <c r="C129" s="525"/>
      <c r="D129" s="750"/>
      <c r="E129" s="416" t="str">
        <f t="shared" si="1171"/>
        <v/>
      </c>
      <c r="F129" s="527" t="str">
        <f t="shared" si="1172"/>
        <v/>
      </c>
      <c r="G129" s="417"/>
      <c r="H129" s="585" t="str">
        <f t="shared" si="1173"/>
        <v/>
      </c>
      <c r="I129" s="424"/>
      <c r="J129" s="419"/>
      <c r="K129" s="418"/>
      <c r="L129" s="419"/>
      <c r="M129" s="415"/>
      <c r="N129" s="420"/>
      <c r="O129" s="421"/>
      <c r="P129" s="561"/>
      <c r="Q129" s="422"/>
      <c r="R129" s="561" t="str">
        <f t="shared" si="1174"/>
        <v/>
      </c>
      <c r="S129" s="664"/>
      <c r="T129" s="663"/>
      <c r="U129" s="580">
        <f t="shared" si="1175"/>
        <v>0</v>
      </c>
      <c r="V129" s="418"/>
      <c r="W129" s="582" t="str">
        <f t="shared" si="1176"/>
        <v/>
      </c>
      <c r="X129" s="479" t="str">
        <f t="shared" si="1177"/>
        <v/>
      </c>
      <c r="Y129" s="582" t="str">
        <f t="shared" si="1178"/>
        <v/>
      </c>
      <c r="Z129" s="317" t="str">
        <f t="shared" si="1179"/>
        <v/>
      </c>
      <c r="AA129" s="317" t="str">
        <f t="shared" si="1180"/>
        <v/>
      </c>
      <c r="AB129" s="317">
        <f t="shared" si="1181"/>
        <v>0</v>
      </c>
      <c r="AC129" s="317" t="str">
        <f t="shared" si="1182"/>
        <v/>
      </c>
      <c r="AD129" s="479"/>
      <c r="AE129" s="479"/>
      <c r="AF129" s="479"/>
      <c r="AG129" s="423"/>
      <c r="AH129" s="820"/>
      <c r="AI129" s="437"/>
      <c r="AJ129" s="660"/>
      <c r="AK129" s="524" t="str">
        <f t="shared" si="1183"/>
        <v/>
      </c>
      <c r="AL129" s="731">
        <f>SUMIF($J$4:$J$158,"Mais Escola",$S$4:$S$158)</f>
        <v>0</v>
      </c>
      <c r="AM129" s="732">
        <f>SUMIF($J$4:$J$158,"Mais Escola",$T$4:$T$158)</f>
        <v>0</v>
      </c>
      <c r="AN129" s="426">
        <f t="shared" si="1184"/>
        <v>0</v>
      </c>
      <c r="AO129" s="427" t="str">
        <f t="shared" si="1185"/>
        <v/>
      </c>
      <c r="AP129" s="426" t="str">
        <f t="shared" si="1186"/>
        <v/>
      </c>
      <c r="AQ129" s="426"/>
      <c r="AR129" s="426"/>
      <c r="AS129" s="428"/>
      <c r="AT129" s="429"/>
      <c r="AU129" s="430"/>
      <c r="AV129" s="431"/>
      <c r="AW129" s="432"/>
      <c r="AX129" s="430"/>
      <c r="AY129" s="431">
        <f t="shared" si="1187"/>
        <v>0</v>
      </c>
      <c r="AZ129" s="426"/>
      <c r="BA129" s="435" t="str">
        <f t="shared" si="1188"/>
        <v/>
      </c>
      <c r="BB129" s="435"/>
      <c r="BC129" s="426"/>
      <c r="BD129" s="426">
        <f t="array" ref="BD129">IF(SUM((BC129=$BC$3:BC128)*1)=0,BC129,0)</f>
        <v>0</v>
      </c>
      <c r="BE129" s="426"/>
      <c r="BF129" s="426"/>
      <c r="BG129" s="426">
        <f t="array" ref="BG129">IF(SUM((BF129=$BF$3:BF128)*1)=0,BF129,0)</f>
        <v>0</v>
      </c>
      <c r="BH129" s="426"/>
      <c r="BI129" s="426"/>
      <c r="BJ129" s="426"/>
      <c r="BK129" s="426"/>
      <c r="BL129" s="426"/>
      <c r="BM129" s="426"/>
      <c r="BN129" s="426"/>
      <c r="BO129" s="426"/>
      <c r="BP129" s="433">
        <f t="shared" si="1189"/>
        <v>0</v>
      </c>
      <c r="BQ129" s="426"/>
      <c r="BR129" s="434"/>
      <c r="BS129" s="426"/>
      <c r="BT129" s="433"/>
      <c r="BU129" s="435"/>
      <c r="BV129" s="435" t="str">
        <f t="shared" si="1190"/>
        <v/>
      </c>
      <c r="BW129" s="435" t="str">
        <f t="shared" si="798"/>
        <v/>
      </c>
      <c r="BX129" s="435"/>
      <c r="BY129" s="435"/>
      <c r="BZ129" s="435"/>
      <c r="CA129" s="435"/>
      <c r="CB129" s="435"/>
      <c r="CC129" s="435"/>
      <c r="CD129" s="435"/>
      <c r="CE129" s="435"/>
      <c r="CF129" s="435"/>
      <c r="CG129" s="435"/>
      <c r="CH129" s="435"/>
      <c r="CI129" s="435"/>
      <c r="CJ129" s="426" t="str">
        <f t="shared" si="799"/>
        <v/>
      </c>
      <c r="CK129" s="435"/>
      <c r="CL129" s="426"/>
      <c r="CM129" s="435"/>
      <c r="CN129" s="426"/>
      <c r="CO129" s="426"/>
      <c r="CP129" s="426"/>
      <c r="CQ129" s="426"/>
      <c r="CR129" s="426"/>
      <c r="CS129" s="426"/>
      <c r="CT129" s="426"/>
      <c r="CU129" s="426"/>
      <c r="CV129" s="426"/>
      <c r="CW129" s="493"/>
      <c r="CX129" s="493"/>
      <c r="CY129" s="426">
        <v>126</v>
      </c>
      <c r="CZ129" s="493"/>
      <c r="DA129" s="493"/>
      <c r="DB129" s="493"/>
      <c r="DC129" s="426" t="s">
        <v>869</v>
      </c>
      <c r="DD129" s="426" t="s">
        <v>1029</v>
      </c>
      <c r="DE129" s="435" t="str">
        <f t="shared" si="800"/>
        <v/>
      </c>
      <c r="DF129" s="435" t="str">
        <f t="shared" si="801"/>
        <v/>
      </c>
      <c r="DG129" s="435" t="str">
        <f t="shared" si="802"/>
        <v/>
      </c>
      <c r="DH129" s="435" t="str">
        <f t="shared" si="803"/>
        <v/>
      </c>
      <c r="DI129" s="435" t="str">
        <f t="shared" si="804"/>
        <v/>
      </c>
      <c r="DJ129" s="435" t="str">
        <f t="shared" si="805"/>
        <v/>
      </c>
      <c r="DK129" s="435" t="str">
        <f t="shared" si="1191"/>
        <v/>
      </c>
      <c r="DL129" s="435" t="str">
        <f t="shared" si="1192"/>
        <v/>
      </c>
      <c r="DM129" s="435" t="str">
        <f t="shared" si="806"/>
        <v/>
      </c>
      <c r="DN129" s="435" t="str">
        <f t="shared" si="807"/>
        <v/>
      </c>
      <c r="DO129" s="435" t="str">
        <f t="shared" si="1193"/>
        <v/>
      </c>
      <c r="DP129" s="435" t="str">
        <f t="shared" si="1194"/>
        <v/>
      </c>
      <c r="DQ129" s="435" t="str">
        <f t="shared" si="808"/>
        <v/>
      </c>
      <c r="DR129" s="435" t="str">
        <f t="shared" si="809"/>
        <v/>
      </c>
      <c r="DS129" s="435" t="str">
        <f t="shared" si="1195"/>
        <v/>
      </c>
      <c r="DT129" s="435" t="str">
        <f t="shared" si="1196"/>
        <v/>
      </c>
      <c r="DU129" s="435" t="str">
        <f t="shared" si="810"/>
        <v/>
      </c>
      <c r="DV129" s="435" t="str">
        <f t="shared" si="811"/>
        <v/>
      </c>
      <c r="DW129" s="435" t="str">
        <f t="shared" si="1197"/>
        <v/>
      </c>
      <c r="DX129" s="435" t="str">
        <f t="shared" si="1198"/>
        <v/>
      </c>
      <c r="DY129" s="435" t="str">
        <f t="shared" si="812"/>
        <v/>
      </c>
      <c r="DZ129" s="435" t="str">
        <f t="shared" si="813"/>
        <v/>
      </c>
      <c r="EA129" s="435" t="str">
        <f t="shared" si="1199"/>
        <v/>
      </c>
      <c r="EB129" s="435" t="str">
        <f t="shared" si="1200"/>
        <v/>
      </c>
      <c r="EC129" s="435" t="str">
        <f t="shared" si="1201"/>
        <v/>
      </c>
      <c r="ED129" s="435" t="str">
        <f t="shared" si="1202"/>
        <v/>
      </c>
      <c r="EE129" s="435" t="str">
        <f t="shared" si="1203"/>
        <v/>
      </c>
      <c r="EF129" s="435" t="str">
        <f t="shared" si="1204"/>
        <v/>
      </c>
      <c r="EG129" s="435" t="str">
        <f t="shared" si="1205"/>
        <v/>
      </c>
      <c r="EH129" s="435" t="str">
        <f t="shared" si="1206"/>
        <v/>
      </c>
      <c r="EI129" s="435" t="str">
        <f t="shared" si="1207"/>
        <v/>
      </c>
      <c r="EJ129" s="435" t="str">
        <f t="shared" si="1208"/>
        <v/>
      </c>
      <c r="EK129" s="485"/>
      <c r="EL129" s="485"/>
      <c r="EM129" s="485"/>
      <c r="EN129" s="485"/>
      <c r="EO129" s="448"/>
      <c r="EP129" s="448"/>
      <c r="EQ129" s="448"/>
      <c r="ER129" s="448"/>
      <c r="ES129" s="448"/>
      <c r="ET129" s="435"/>
      <c r="EU129" s="435"/>
      <c r="EV129" s="435"/>
      <c r="EW129" s="435"/>
      <c r="EX129" s="426"/>
      <c r="EY129" s="426"/>
      <c r="EZ129" s="426"/>
      <c r="FA129" s="863"/>
      <c r="FB129" s="427">
        <f t="array" ref="FB129">IF(SUM((FA129=$FA$3:FA128)*1)=0,FA129,0)</f>
        <v>0</v>
      </c>
      <c r="FC129" s="863"/>
      <c r="FD129" s="863"/>
      <c r="FE129" s="863">
        <f t="array" ref="FE129">IF(SUM((FD129=$FD$3:FD128)*1)=0,FD129,0)</f>
        <v>0</v>
      </c>
      <c r="FF129" s="863"/>
      <c r="FG129" s="863"/>
      <c r="FH129" s="863"/>
      <c r="FI129" s="427">
        <f t="array" ref="FI129">IF(SUM((FH129=$FH$3:FH128)*1)=0,FH129,0)</f>
        <v>0</v>
      </c>
      <c r="FJ129" s="863"/>
      <c r="FK129" s="863"/>
      <c r="FL129" s="863">
        <f t="array" ref="FL129">IF(SUM((FK129=$FK$3:FK128)*1)=0,FK129,0)</f>
        <v>0</v>
      </c>
      <c r="FM129" s="863"/>
      <c r="FN129" s="863"/>
      <c r="FO129" s="863"/>
      <c r="FP129" s="427">
        <f t="array" ref="FP129">IF(SUM((FO129=$FO$3:FO128)*1)=0,FO129,0)</f>
        <v>0</v>
      </c>
      <c r="FQ129" s="863"/>
      <c r="FR129" s="863"/>
      <c r="FS129" s="863">
        <f t="array" ref="FS129">IF(SUM((FR129=$FR$3:FR128)*1)=0,FR129,0)</f>
        <v>0</v>
      </c>
      <c r="FT129" s="863"/>
      <c r="FU129" s="863"/>
      <c r="FV129" s="863"/>
      <c r="FW129" s="427">
        <f t="array" ref="FW129">IF(SUM((FV129=$FV$3:FV128)*1)=0,FV129,0)</f>
        <v>0</v>
      </c>
      <c r="FX129" s="863"/>
      <c r="FY129" s="863"/>
      <c r="FZ129" s="863">
        <f t="array" ref="FZ129">IF(SUM((FY129=$FY$3:FY128)*1)=0,FY129,0)</f>
        <v>0</v>
      </c>
      <c r="GA129" s="863"/>
      <c r="GB129" s="863"/>
      <c r="GC129" s="863"/>
      <c r="GD129" s="427">
        <f t="array" ref="GD129">IF(SUM((GC129=$GC$3:GC128)*1)=0,GC129,0)</f>
        <v>0</v>
      </c>
      <c r="GE129" s="863"/>
      <c r="GF129" s="863"/>
      <c r="GG129" s="863">
        <f t="array" ref="GG129">IF(SUM((GF129=$GF$3:GF128)*1)=0,GF129,0)</f>
        <v>0</v>
      </c>
      <c r="GH129" s="863"/>
      <c r="GI129" s="863"/>
      <c r="GJ129" s="863"/>
      <c r="GK129" s="798">
        <f t="array" ref="GK129">IF(SUM((GJ129=$GJ$3:GJ128)*1)=0,GJ129,0)</f>
        <v>0</v>
      </c>
      <c r="GL129" s="863"/>
      <c r="GM129" s="863"/>
      <c r="GN129" s="798">
        <f t="array" ref="GN129">IF(SUM((GM129=$GM$3:GM128)*1)=0,GM129,0)</f>
        <v>0</v>
      </c>
      <c r="GO129" s="863"/>
      <c r="GP129" s="863"/>
      <c r="GQ129" s="863"/>
      <c r="GR129" s="798">
        <f t="array" ref="GR129">IF(SUM((GQ129=$GQ$3:GQ128)*1)=0,GQ129,0)</f>
        <v>0</v>
      </c>
      <c r="GS129" s="863"/>
      <c r="GT129" s="863"/>
      <c r="GU129" s="798">
        <f t="array" ref="GU129">IF(SUM((GT129=$GT$3:GT128)*1)=0,GT129,0)</f>
        <v>0</v>
      </c>
      <c r="GV129" s="863"/>
      <c r="GW129" s="863"/>
      <c r="GX129" s="863"/>
      <c r="GY129" s="798">
        <f t="array" ref="GY129">IF(SUM((GX129=$GX$3:GX128)*1)=0,GX129,0)</f>
        <v>0</v>
      </c>
      <c r="GZ129" s="863"/>
      <c r="HA129" s="863"/>
      <c r="HB129" s="798">
        <f t="array" ref="HB129">IF(SUM((HA129=$HA$3:HA128)*1)=0,HA129,0)</f>
        <v>0</v>
      </c>
      <c r="HC129" s="863"/>
      <c r="HD129" s="863"/>
      <c r="HE129" s="769" t="str">
        <f t="shared" si="889"/>
        <v/>
      </c>
      <c r="HF129" s="768" t="str">
        <f t="shared" ref="HF129" si="1502">IF(HE129&lt;0,"Invadiu REP-BA-C","")</f>
        <v/>
      </c>
      <c r="HG129" s="769" t="str">
        <f t="shared" si="891"/>
        <v/>
      </c>
      <c r="HH129" s="768" t="str">
        <f t="shared" si="815"/>
        <v/>
      </c>
      <c r="HI129" s="728" t="str">
        <f t="shared" si="892"/>
        <v/>
      </c>
      <c r="HJ129" s="768" t="str">
        <f t="shared" si="816"/>
        <v/>
      </c>
      <c r="HK129" s="728" t="str">
        <f t="shared" si="893"/>
        <v/>
      </c>
      <c r="HL129" s="768" t="str">
        <f t="shared" si="817"/>
        <v/>
      </c>
      <c r="HM129" s="769" t="str">
        <f t="shared" si="1219"/>
        <v/>
      </c>
      <c r="HN129" s="768" t="str">
        <f t="shared" ref="HN129" si="1503">IF(HM129&lt;0,"Invadiu REP-BA-C","")</f>
        <v/>
      </c>
      <c r="HO129" s="769" t="str">
        <f t="shared" si="1221"/>
        <v/>
      </c>
      <c r="HP129" s="768" t="str">
        <f t="shared" si="821"/>
        <v/>
      </c>
      <c r="HQ129" s="728" t="str">
        <f t="shared" si="1222"/>
        <v/>
      </c>
      <c r="HR129" s="768" t="str">
        <f t="shared" si="823"/>
        <v/>
      </c>
      <c r="HS129" s="728" t="str">
        <f t="shared" si="1223"/>
        <v/>
      </c>
      <c r="HT129" s="768" t="str">
        <f t="shared" si="825"/>
        <v/>
      </c>
      <c r="HU129" s="769" t="str">
        <f t="shared" si="1224"/>
        <v/>
      </c>
      <c r="HV129" s="768" t="str">
        <f t="shared" ref="HV129" si="1504">IF(HU129&lt;0,"Invadiu REP-BA-C","")</f>
        <v/>
      </c>
      <c r="HW129" s="769" t="str">
        <f t="shared" si="1226"/>
        <v/>
      </c>
      <c r="HX129" s="768" t="str">
        <f t="shared" si="829"/>
        <v/>
      </c>
      <c r="HY129" s="728" t="str">
        <f t="shared" si="1227"/>
        <v/>
      </c>
      <c r="HZ129" s="768" t="str">
        <f t="shared" si="831"/>
        <v/>
      </c>
      <c r="IA129" s="728" t="str">
        <f t="shared" si="1228"/>
        <v/>
      </c>
      <c r="IB129" s="768" t="str">
        <f t="shared" si="833"/>
        <v/>
      </c>
      <c r="IC129" s="769" t="str">
        <f t="shared" si="1229"/>
        <v/>
      </c>
      <c r="ID129" s="768" t="str">
        <f t="shared" ref="ID129" si="1505">IF(IC129&lt;0,"Invadiu REP-BA-C","")</f>
        <v/>
      </c>
      <c r="IE129" s="769" t="str">
        <f t="shared" si="1231"/>
        <v/>
      </c>
      <c r="IF129" s="768" t="str">
        <f t="shared" si="837"/>
        <v/>
      </c>
      <c r="IG129" s="728" t="str">
        <f t="shared" si="1232"/>
        <v/>
      </c>
      <c r="IH129" s="768" t="str">
        <f t="shared" si="839"/>
        <v/>
      </c>
      <c r="II129" s="728" t="str">
        <f t="shared" si="1233"/>
        <v/>
      </c>
      <c r="IJ129" s="768" t="str">
        <f t="shared" si="841"/>
        <v/>
      </c>
      <c r="IK129" s="769" t="str">
        <f t="shared" si="1234"/>
        <v/>
      </c>
      <c r="IL129" s="768" t="str">
        <f t="shared" ref="IL129" si="1506">IF(IK129&lt;0,"Invadiu REP-BA-C","")</f>
        <v/>
      </c>
      <c r="IM129" s="769" t="str">
        <f t="shared" si="1236"/>
        <v/>
      </c>
      <c r="IN129" s="768" t="str">
        <f t="shared" si="845"/>
        <v/>
      </c>
      <c r="IO129" s="728" t="str">
        <f t="shared" si="1237"/>
        <v/>
      </c>
      <c r="IP129" s="768" t="str">
        <f t="shared" si="847"/>
        <v/>
      </c>
      <c r="IQ129" s="728" t="str">
        <f t="shared" si="1238"/>
        <v/>
      </c>
      <c r="IR129" s="768" t="str">
        <f t="shared" si="849"/>
        <v/>
      </c>
      <c r="IS129" s="769" t="str">
        <f t="shared" si="1239"/>
        <v/>
      </c>
      <c r="IT129" s="768" t="str">
        <f t="shared" ref="IT129" si="1507">IF(IS129&lt;0,"Invadiu REP-BA-C","")</f>
        <v/>
      </c>
      <c r="IU129" s="769" t="str">
        <f t="shared" si="1241"/>
        <v/>
      </c>
      <c r="IV129" s="768" t="str">
        <f t="shared" si="853"/>
        <v/>
      </c>
      <c r="IW129" s="728" t="str">
        <f t="shared" si="1242"/>
        <v/>
      </c>
      <c r="IX129" s="768" t="str">
        <f t="shared" si="855"/>
        <v/>
      </c>
      <c r="IY129" s="728" t="str">
        <f t="shared" si="1243"/>
        <v/>
      </c>
      <c r="IZ129" s="768" t="str">
        <f t="shared" si="857"/>
        <v/>
      </c>
      <c r="JA129" s="769" t="str">
        <f t="shared" si="1244"/>
        <v/>
      </c>
      <c r="JB129" s="768" t="str">
        <f t="shared" ref="JB129" si="1508">IF(JA129&lt;0,"Invadiu REP-BA-C","")</f>
        <v/>
      </c>
      <c r="JC129" s="769" t="str">
        <f t="shared" si="1246"/>
        <v/>
      </c>
      <c r="JD129" s="768" t="str">
        <f t="shared" si="861"/>
        <v/>
      </c>
      <c r="JE129" s="728" t="str">
        <f t="shared" si="1247"/>
        <v/>
      </c>
      <c r="JF129" s="768" t="str">
        <f t="shared" si="863"/>
        <v/>
      </c>
      <c r="JG129" s="728" t="str">
        <f t="shared" si="1248"/>
        <v/>
      </c>
      <c r="JH129" s="768" t="str">
        <f t="shared" si="865"/>
        <v/>
      </c>
      <c r="JI129" s="769" t="str">
        <f t="shared" si="1249"/>
        <v/>
      </c>
      <c r="JJ129" s="768" t="str">
        <f t="shared" ref="JJ129" si="1509">IF(JI129&lt;0,"Invadiu REP-BA-C","")</f>
        <v/>
      </c>
      <c r="JK129" s="769" t="str">
        <f t="shared" si="1251"/>
        <v/>
      </c>
      <c r="JL129" s="768" t="str">
        <f t="shared" si="869"/>
        <v/>
      </c>
      <c r="JM129" s="728" t="str">
        <f t="shared" si="1252"/>
        <v/>
      </c>
      <c r="JN129" s="768" t="str">
        <f t="shared" si="871"/>
        <v/>
      </c>
      <c r="JO129" s="728" t="str">
        <f t="shared" si="1253"/>
        <v/>
      </c>
      <c r="JP129" s="768" t="str">
        <f t="shared" si="873"/>
        <v/>
      </c>
      <c r="JQ129" s="769" t="str">
        <f t="shared" si="1254"/>
        <v/>
      </c>
      <c r="JR129" s="768" t="str">
        <f t="shared" ref="JR129" si="1510">IF(JQ129&lt;0,"Invadiu REP-BA-C","")</f>
        <v/>
      </c>
      <c r="JS129" s="769" t="str">
        <f t="shared" si="1256"/>
        <v/>
      </c>
      <c r="JT129" s="768" t="str">
        <f t="shared" si="877"/>
        <v/>
      </c>
      <c r="JU129" s="728" t="str">
        <f t="shared" si="1257"/>
        <v/>
      </c>
      <c r="JV129" s="768" t="str">
        <f t="shared" si="879"/>
        <v/>
      </c>
      <c r="JW129" s="728" t="str">
        <f t="shared" si="1258"/>
        <v/>
      </c>
      <c r="JX129" s="768" t="str">
        <f t="shared" si="881"/>
        <v/>
      </c>
      <c r="JY129" s="768" t="str">
        <f t="shared" si="882"/>
        <v/>
      </c>
      <c r="JZ129" s="485" t="str">
        <f>IF(JY129="","",IF(AND(C129=$C$164,JY129&lt;&gt;""),Verificarcpf(D129),IF(AND(C129=$C$165,JY129&lt;&gt;""),VerificarCNPJ(D129))))</f>
        <v/>
      </c>
      <c r="KA129" s="768" t="str">
        <f t="shared" si="883"/>
        <v/>
      </c>
      <c r="KB129" s="485">
        <f t="shared" si="884"/>
        <v>0</v>
      </c>
      <c r="KC129" s="768">
        <f t="shared" si="885"/>
        <v>0</v>
      </c>
      <c r="KD129" s="485">
        <f t="shared" si="886"/>
        <v>0</v>
      </c>
      <c r="KE129" s="448"/>
      <c r="KF129" s="548"/>
      <c r="KG129" s="548"/>
      <c r="KH129" s="548"/>
      <c r="KI129" s="548"/>
      <c r="KJ129" s="548" t="str">
        <f t="shared" si="887"/>
        <v/>
      </c>
      <c r="KK129" s="548"/>
      <c r="KL129" s="548"/>
      <c r="KM129" s="548">
        <f t="array" ref="KM129">IF(SUM((KL129=$KL$3:KL128)*1)=0,KL129,0)</f>
        <v>0</v>
      </c>
      <c r="KN129" s="548"/>
      <c r="KO129" s="548"/>
      <c r="KP129" s="548"/>
      <c r="KQ129" s="548"/>
      <c r="KR129" s="548" t="str">
        <f t="shared" si="888"/>
        <v/>
      </c>
      <c r="KS129" s="548"/>
      <c r="KT129" s="548"/>
      <c r="KU129" s="548"/>
      <c r="KV129" s="548"/>
      <c r="KW129" s="548"/>
      <c r="KX129" s="548"/>
      <c r="KY129" s="548"/>
      <c r="KZ129" s="548"/>
      <c r="LA129" s="548"/>
      <c r="LB129" s="548"/>
      <c r="LC129" s="485" t="str">
        <f t="shared" si="902"/>
        <v/>
      </c>
      <c r="LD129" s="548"/>
      <c r="LE129" s="548"/>
      <c r="LF129" s="548"/>
      <c r="LG129" s="548"/>
      <c r="LH129" s="548"/>
      <c r="LI129" s="548"/>
      <c r="LJ129" s="548"/>
      <c r="LK129" s="548"/>
      <c r="LL129" s="548"/>
      <c r="LM129" s="548"/>
      <c r="LN129" s="548"/>
      <c r="LO129" s="548"/>
      <c r="LP129" s="485" t="str">
        <f t="shared" si="903"/>
        <v/>
      </c>
      <c r="LQ129" s="548"/>
      <c r="LR129" s="548"/>
      <c r="LS129" s="548"/>
      <c r="LT129" s="548"/>
      <c r="LU129" s="548"/>
      <c r="LV129" s="548"/>
      <c r="LW129" s="548"/>
      <c r="LX129" s="548"/>
      <c r="LY129" s="548"/>
      <c r="LZ129" s="548"/>
      <c r="MA129" s="548"/>
      <c r="MB129" s="548"/>
      <c r="MC129" s="485" t="str">
        <f t="shared" si="904"/>
        <v/>
      </c>
      <c r="MD129" s="548"/>
      <c r="ME129" s="548"/>
      <c r="MF129" s="548"/>
      <c r="MG129" s="548"/>
      <c r="MH129" s="548"/>
      <c r="MI129" s="548"/>
      <c r="MJ129" s="548"/>
      <c r="MK129" s="548"/>
      <c r="ML129" s="548"/>
      <c r="MM129" s="548"/>
      <c r="MN129" s="548"/>
      <c r="MO129" s="548"/>
      <c r="MP129" s="485" t="str">
        <f t="shared" si="905"/>
        <v/>
      </c>
      <c r="MQ129" s="548"/>
      <c r="MR129" s="548"/>
      <c r="MS129" s="548"/>
      <c r="MT129" s="548"/>
      <c r="MU129" s="548"/>
      <c r="MV129" s="548"/>
      <c r="MW129" s="548"/>
      <c r="MX129" s="548"/>
      <c r="MY129" s="548"/>
      <c r="MZ129" s="548"/>
      <c r="NA129" s="548"/>
      <c r="NB129" s="548"/>
      <c r="NC129" s="485" t="str">
        <f t="shared" si="906"/>
        <v/>
      </c>
      <c r="ND129" s="548"/>
      <c r="NE129" s="548"/>
      <c r="NF129" s="548"/>
      <c r="NG129" s="548"/>
      <c r="NH129" s="548"/>
      <c r="NI129" s="548"/>
      <c r="NJ129" s="548"/>
      <c r="NK129" s="548"/>
      <c r="NL129" s="548"/>
      <c r="NM129" s="548"/>
      <c r="NN129" s="548"/>
      <c r="NO129" s="548"/>
      <c r="NP129" s="485" t="str">
        <f t="shared" si="907"/>
        <v/>
      </c>
      <c r="NQ129" s="548"/>
      <c r="NR129" s="548"/>
      <c r="NS129" s="548"/>
      <c r="NT129" s="548"/>
      <c r="NU129" s="548"/>
      <c r="NV129" s="548"/>
      <c r="NW129" s="548"/>
      <c r="NX129" s="548"/>
      <c r="NY129" s="548"/>
      <c r="NZ129" s="548"/>
      <c r="OA129" s="548"/>
      <c r="OB129" s="548"/>
      <c r="OC129" s="485" t="str">
        <f t="shared" si="908"/>
        <v/>
      </c>
      <c r="OD129" s="548"/>
      <c r="OE129" s="548"/>
      <c r="OF129" s="548"/>
      <c r="OG129" s="548"/>
      <c r="OH129" s="548"/>
      <c r="OI129" s="548"/>
      <c r="OJ129" s="548"/>
      <c r="OK129" s="548"/>
      <c r="OL129" s="548"/>
      <c r="OM129" s="548"/>
      <c r="ON129" s="548"/>
      <c r="OO129" s="548"/>
      <c r="OP129" s="548"/>
      <c r="OQ129" s="548"/>
      <c r="OR129" s="548"/>
      <c r="OS129" s="548"/>
      <c r="OT129" s="548"/>
      <c r="OU129" s="548"/>
      <c r="OV129" s="548"/>
      <c r="OW129" s="548"/>
      <c r="OX129" s="548"/>
      <c r="OY129" s="548"/>
      <c r="OZ129" s="548"/>
      <c r="PA129" s="548"/>
      <c r="PB129" s="548"/>
      <c r="PC129" s="548"/>
      <c r="PD129" s="548"/>
      <c r="PE129" s="548"/>
      <c r="PF129" s="548"/>
      <c r="PG129" s="548"/>
      <c r="PH129" s="548"/>
      <c r="PI129" s="548"/>
      <c r="PJ129" s="548"/>
      <c r="PK129" s="548"/>
      <c r="PL129" s="548"/>
      <c r="PM129" s="548"/>
      <c r="PN129" s="548"/>
      <c r="PO129" s="548"/>
      <c r="PP129" s="548"/>
      <c r="PQ129" s="548"/>
      <c r="PR129" s="548"/>
      <c r="PS129" s="548"/>
      <c r="PT129" s="548"/>
      <c r="PU129" s="548"/>
      <c r="PV129" s="548"/>
      <c r="PW129" s="548"/>
      <c r="PX129" s="548"/>
      <c r="PY129" s="548"/>
      <c r="PZ129" s="548"/>
      <c r="QA129" s="548"/>
      <c r="QB129" s="548"/>
      <c r="QC129" s="548"/>
      <c r="QD129" s="548"/>
      <c r="QE129" s="548"/>
      <c r="QF129" s="548"/>
      <c r="QG129" s="548"/>
      <c r="QH129" s="548"/>
      <c r="QI129" s="548"/>
      <c r="QJ129" s="548"/>
      <c r="QK129" s="548"/>
      <c r="QL129" s="548"/>
      <c r="QM129" s="548"/>
      <c r="QN129" s="548"/>
      <c r="QO129" s="548"/>
      <c r="QP129" s="548"/>
      <c r="QQ129" s="1009"/>
      <c r="QR129" s="548"/>
      <c r="QS129" s="548"/>
      <c r="QT129" s="548"/>
      <c r="QU129" s="548"/>
      <c r="QV129" s="548"/>
      <c r="QW129" s="548"/>
      <c r="QX129" s="548"/>
      <c r="QY129" s="548"/>
      <c r="QZ129" s="548"/>
      <c r="RA129" s="548"/>
      <c r="RB129" s="548"/>
      <c r="RC129" s="548"/>
      <c r="RD129" s="548"/>
      <c r="RE129" s="548"/>
      <c r="RF129" s="548"/>
      <c r="RG129" s="548"/>
      <c r="RH129" s="548"/>
      <c r="RI129" s="548"/>
      <c r="RJ129" s="548"/>
      <c r="RK129" s="548"/>
      <c r="RL129" s="548"/>
      <c r="RM129" s="548"/>
      <c r="RN129" s="548"/>
      <c r="RO129" s="548"/>
      <c r="RP129" s="548"/>
      <c r="RQ129" s="548"/>
      <c r="RR129" s="548"/>
      <c r="RS129" s="548"/>
      <c r="RT129" s="548"/>
      <c r="RU129" s="548"/>
      <c r="RV129" s="548"/>
      <c r="RW129" s="548"/>
      <c r="RX129" s="548"/>
      <c r="RY129" s="548"/>
      <c r="RZ129" s="548"/>
      <c r="SA129" s="548"/>
      <c r="SB129" s="548"/>
      <c r="SC129" s="548"/>
      <c r="SD129" s="548"/>
      <c r="SE129" s="548"/>
      <c r="SF129" s="548"/>
      <c r="SG129" s="548"/>
      <c r="SH129" s="548"/>
      <c r="SI129" s="548"/>
      <c r="SJ129" s="548"/>
      <c r="SK129" s="548"/>
      <c r="SL129" s="548"/>
      <c r="SM129" s="548"/>
      <c r="SN129" s="548"/>
      <c r="SO129" s="548"/>
      <c r="SP129" s="548"/>
      <c r="SQ129" s="548"/>
      <c r="SR129" s="548"/>
      <c r="SS129" s="548"/>
      <c r="ST129" s="548"/>
      <c r="SU129" s="548"/>
      <c r="SV129" s="548"/>
      <c r="SW129" s="548"/>
      <c r="SX129" s="548"/>
      <c r="SY129" s="548"/>
      <c r="SZ129" s="548"/>
      <c r="TA129" s="548"/>
      <c r="TB129" s="548"/>
      <c r="TC129" s="548"/>
      <c r="TD129" s="548"/>
      <c r="TE129" s="548"/>
      <c r="TF129" s="548"/>
      <c r="TG129" s="548"/>
      <c r="TH129" s="548"/>
      <c r="TI129" s="548"/>
      <c r="TJ129" s="548"/>
      <c r="TK129" s="548"/>
      <c r="TL129" s="548"/>
      <c r="TM129" s="548"/>
      <c r="TN129" s="548"/>
      <c r="TO129" s="548"/>
      <c r="TP129" s="548"/>
      <c r="TQ129" s="548"/>
      <c r="TR129" s="548"/>
      <c r="TS129" s="548"/>
      <c r="TT129" s="548"/>
      <c r="TU129" s="548"/>
      <c r="TV129" s="548"/>
      <c r="TW129" s="548"/>
      <c r="TX129" s="548"/>
      <c r="TY129" s="548"/>
      <c r="TZ129" s="548"/>
      <c r="UA129" s="548"/>
      <c r="UB129" s="548"/>
      <c r="UC129" s="548"/>
      <c r="UD129" s="548"/>
      <c r="UE129" s="548"/>
      <c r="UF129" s="548"/>
      <c r="UG129" s="548"/>
      <c r="UH129" s="548"/>
      <c r="UI129" s="548"/>
      <c r="UJ129" s="548"/>
      <c r="UK129" s="548"/>
      <c r="UL129" s="548"/>
      <c r="UM129" s="548"/>
      <c r="UN129" s="548"/>
      <c r="UO129" s="548"/>
      <c r="UP129" s="548"/>
      <c r="UQ129" s="548"/>
      <c r="UR129" s="548"/>
      <c r="US129" s="548"/>
      <c r="UT129" s="548"/>
      <c r="UU129" s="548"/>
      <c r="UV129" s="548"/>
      <c r="UW129" s="548"/>
      <c r="UX129" s="548"/>
      <c r="UY129" s="548"/>
      <c r="UZ129" s="548"/>
      <c r="VA129" s="548"/>
      <c r="VB129" s="548"/>
      <c r="VC129" s="548"/>
      <c r="VD129" s="548"/>
      <c r="VE129" s="548"/>
      <c r="VF129" s="548"/>
      <c r="VG129" s="548"/>
      <c r="VH129" s="548"/>
      <c r="VI129" s="548"/>
      <c r="VJ129" s="548"/>
      <c r="VK129" s="548"/>
      <c r="VL129" s="548"/>
      <c r="VM129" s="548"/>
      <c r="VN129" s="548"/>
      <c r="VO129" s="548"/>
      <c r="VP129" s="548"/>
      <c r="VQ129" s="548"/>
      <c r="VR129" s="548"/>
      <c r="VS129" s="548"/>
      <c r="VT129" s="548"/>
      <c r="VU129" s="548"/>
      <c r="VV129" s="548"/>
      <c r="VW129" s="548"/>
      <c r="VX129" s="548"/>
      <c r="VY129" s="548"/>
      <c r="VZ129" s="548"/>
      <c r="WA129" s="548"/>
      <c r="WB129" s="548"/>
      <c r="WC129" s="548"/>
      <c r="WD129" s="548"/>
      <c r="WE129" s="548"/>
      <c r="WF129" s="548"/>
      <c r="WG129" s="548"/>
      <c r="WH129" s="548"/>
      <c r="WI129" s="548"/>
      <c r="WJ129" s="548"/>
      <c r="WK129" s="548"/>
      <c r="WL129" s="548"/>
      <c r="WM129" s="548"/>
      <c r="WN129" s="548"/>
      <c r="WO129" s="548"/>
      <c r="WP129" s="548"/>
      <c r="WQ129" s="548"/>
      <c r="WR129" s="548"/>
      <c r="WS129" s="548"/>
      <c r="WT129" s="548"/>
      <c r="WU129" s="548"/>
      <c r="WV129" s="548"/>
      <c r="WW129" s="548"/>
      <c r="WX129" s="548"/>
      <c r="WY129" s="548"/>
      <c r="WZ129" s="548"/>
      <c r="XA129" s="548"/>
      <c r="XB129" s="548"/>
      <c r="XC129" s="548"/>
      <c r="XD129" s="548"/>
      <c r="XE129" s="548"/>
      <c r="XF129" s="548"/>
      <c r="XG129" s="548"/>
      <c r="XH129" s="548"/>
      <c r="XI129" s="548"/>
      <c r="XJ129" s="548"/>
      <c r="XK129" s="548"/>
      <c r="XL129" s="548"/>
      <c r="XM129" s="548"/>
      <c r="XN129" s="548"/>
      <c r="XO129" s="548"/>
      <c r="XP129" s="548"/>
      <c r="XQ129" s="548"/>
      <c r="XR129" s="548"/>
      <c r="XS129" s="548"/>
      <c r="XT129" s="548"/>
      <c r="XU129" s="548"/>
      <c r="XV129" s="548"/>
      <c r="XW129" s="548"/>
      <c r="XX129" s="548"/>
      <c r="XY129" s="548"/>
      <c r="XZ129" s="548"/>
      <c r="YA129" s="548"/>
      <c r="YB129" s="548"/>
      <c r="YC129" s="548"/>
      <c r="YD129" s="548"/>
      <c r="YE129" s="548"/>
      <c r="YF129" s="548"/>
      <c r="YG129" s="548"/>
      <c r="YH129" s="548"/>
      <c r="YI129" s="548"/>
      <c r="YJ129" s="548"/>
      <c r="YK129" s="548"/>
      <c r="YL129" s="548"/>
      <c r="YM129" s="548"/>
      <c r="YN129" s="548"/>
      <c r="YO129" s="548"/>
      <c r="YP129" s="548"/>
      <c r="YQ129" s="548"/>
      <c r="YR129" s="548"/>
      <c r="YS129" s="548"/>
      <c r="YT129" s="548"/>
      <c r="YU129" s="548"/>
      <c r="YV129" s="548"/>
      <c r="YW129" s="548"/>
      <c r="YX129" s="548"/>
      <c r="YY129" s="548"/>
      <c r="YZ129" s="548"/>
      <c r="ZA129" s="548"/>
      <c r="ZB129" s="548"/>
      <c r="ZC129" s="548"/>
      <c r="ZD129" s="548"/>
      <c r="ZE129" s="548"/>
      <c r="ZF129" s="548"/>
      <c r="ZG129" s="548"/>
      <c r="ZH129" s="548"/>
      <c r="ZI129" s="548"/>
      <c r="ZJ129" s="548"/>
      <c r="ZK129" s="548"/>
      <c r="ZL129" s="548"/>
      <c r="ZM129" s="548"/>
      <c r="ZN129" s="548"/>
      <c r="ZO129" s="548"/>
      <c r="ZP129" s="548"/>
      <c r="ZQ129" s="548"/>
      <c r="ZR129" s="548"/>
      <c r="ZS129" s="548"/>
      <c r="ZT129" s="548"/>
      <c r="ZU129" s="548"/>
      <c r="ZV129" s="548"/>
      <c r="ZW129" s="548"/>
      <c r="ZX129" s="548"/>
      <c r="ZY129" s="548"/>
      <c r="ZZ129" s="548"/>
      <c r="AAA129" s="548"/>
      <c r="AAB129" s="548"/>
      <c r="AAC129" s="548"/>
      <c r="AAD129" s="548"/>
      <c r="AAE129" s="548"/>
      <c r="AAF129" s="548"/>
      <c r="AAG129" s="548"/>
      <c r="AAH129" s="548"/>
      <c r="AAI129" s="548"/>
      <c r="AAJ129" s="548"/>
      <c r="AAK129" s="548"/>
      <c r="AAL129" s="548"/>
      <c r="AAM129" s="548"/>
      <c r="AAN129" s="548"/>
      <c r="AAO129" s="548"/>
      <c r="AAP129" s="548"/>
      <c r="AAQ129" s="548"/>
      <c r="AAR129" s="548"/>
      <c r="AAS129" s="548"/>
      <c r="AAT129" s="548"/>
      <c r="AAU129" s="548"/>
      <c r="AAV129" s="548"/>
      <c r="AAW129" s="548"/>
      <c r="AAX129" s="548"/>
      <c r="AAY129" s="548"/>
      <c r="AAZ129" s="548"/>
      <c r="ABA129" s="548"/>
      <c r="ABB129" s="548"/>
      <c r="ABC129" s="548"/>
      <c r="ABD129" s="548"/>
      <c r="ABE129" s="548"/>
      <c r="ABF129" s="548"/>
      <c r="ABG129" s="548"/>
      <c r="ABH129" s="548"/>
      <c r="ABI129" s="548"/>
      <c r="ABJ129" s="548"/>
      <c r="ABK129" s="548"/>
      <c r="ABL129" s="548"/>
      <c r="ABM129" s="548"/>
      <c r="ABN129" s="548"/>
      <c r="ABO129" s="548"/>
      <c r="ABP129" s="548"/>
      <c r="ABQ129" s="548"/>
      <c r="ABR129" s="548"/>
      <c r="ABS129" s="548"/>
    </row>
    <row r="130" spans="1:747" customFormat="1" ht="15" customHeight="1" thickBot="1" x14ac:dyDescent="0.25">
      <c r="A130" s="424" t="str">
        <f t="shared" si="909"/>
        <v/>
      </c>
      <c r="B130" s="415"/>
      <c r="C130" s="525"/>
      <c r="D130" s="750"/>
      <c r="E130" s="416" t="str">
        <f t="shared" si="1171"/>
        <v/>
      </c>
      <c r="F130" s="527" t="str">
        <f t="shared" si="1172"/>
        <v/>
      </c>
      <c r="G130" s="417"/>
      <c r="H130" s="585" t="str">
        <f t="shared" si="1173"/>
        <v/>
      </c>
      <c r="I130" s="424"/>
      <c r="J130" s="419"/>
      <c r="K130" s="418"/>
      <c r="L130" s="419"/>
      <c r="M130" s="415"/>
      <c r="N130" s="420"/>
      <c r="O130" s="421"/>
      <c r="P130" s="561"/>
      <c r="Q130" s="422"/>
      <c r="R130" s="561" t="str">
        <f t="shared" si="1174"/>
        <v/>
      </c>
      <c r="S130" s="664"/>
      <c r="T130" s="663"/>
      <c r="U130" s="580">
        <f t="shared" si="1175"/>
        <v>0</v>
      </c>
      <c r="V130" s="418"/>
      <c r="W130" s="582" t="str">
        <f t="shared" si="1176"/>
        <v/>
      </c>
      <c r="X130" s="479" t="str">
        <f t="shared" si="1177"/>
        <v/>
      </c>
      <c r="Y130" s="582" t="str">
        <f t="shared" si="1178"/>
        <v/>
      </c>
      <c r="Z130" s="317" t="str">
        <f t="shared" si="1179"/>
        <v/>
      </c>
      <c r="AA130" s="317" t="str">
        <f t="shared" si="1180"/>
        <v/>
      </c>
      <c r="AB130" s="317">
        <f t="shared" si="1181"/>
        <v>0</v>
      </c>
      <c r="AC130" s="317" t="str">
        <f t="shared" si="1182"/>
        <v/>
      </c>
      <c r="AD130" s="479"/>
      <c r="AE130" s="479"/>
      <c r="AF130" s="479"/>
      <c r="AG130" s="423"/>
      <c r="AH130" s="820"/>
      <c r="AI130" s="437"/>
      <c r="AJ130" s="660"/>
      <c r="AK130" s="524" t="str">
        <f t="shared" si="1183"/>
        <v/>
      </c>
      <c r="AL130" s="733">
        <f>SUMIF($J$4:$J$163,"Mais Escola",$S$4:$S$163)</f>
        <v>0</v>
      </c>
      <c r="AM130" s="816">
        <f>SUMIF($J$4:$J$163,"Mais Escola",$T$4:$T$163)</f>
        <v>0</v>
      </c>
      <c r="AN130" s="426">
        <f t="shared" si="1184"/>
        <v>0</v>
      </c>
      <c r="AO130" s="427" t="str">
        <f t="shared" si="1185"/>
        <v/>
      </c>
      <c r="AP130" s="426" t="str">
        <f t="shared" si="1186"/>
        <v/>
      </c>
      <c r="AQ130" s="426"/>
      <c r="AR130" s="426"/>
      <c r="AS130" s="428"/>
      <c r="AT130" s="429"/>
      <c r="AU130" s="430"/>
      <c r="AV130" s="431"/>
      <c r="AW130" s="432"/>
      <c r="AX130" s="430"/>
      <c r="AY130" s="431">
        <f t="shared" si="1187"/>
        <v>0</v>
      </c>
      <c r="AZ130" s="426"/>
      <c r="BA130" s="435" t="str">
        <f t="shared" si="1188"/>
        <v/>
      </c>
      <c r="BB130" s="435"/>
      <c r="BC130" s="426"/>
      <c r="BD130" s="426">
        <f t="array" ref="BD130">IF(SUM((BC130=$BC$3:BC129)*1)=0,BC130,0)</f>
        <v>0</v>
      </c>
      <c r="BE130" s="426"/>
      <c r="BF130" s="426"/>
      <c r="BG130" s="426">
        <f t="array" ref="BG130">IF(SUM((BF130=$BF$3:BF129)*1)=0,BF130,0)</f>
        <v>0</v>
      </c>
      <c r="BH130" s="426"/>
      <c r="BI130" s="426"/>
      <c r="BJ130" s="426"/>
      <c r="BK130" s="426"/>
      <c r="BL130" s="426"/>
      <c r="BM130" s="426"/>
      <c r="BN130" s="426"/>
      <c r="BO130" s="426"/>
      <c r="BP130" s="433">
        <f t="shared" si="1189"/>
        <v>0</v>
      </c>
      <c r="BQ130" s="426"/>
      <c r="BR130" s="434"/>
      <c r="BS130" s="426"/>
      <c r="BT130" s="433"/>
      <c r="BU130" s="435"/>
      <c r="BV130" s="435" t="str">
        <f t="shared" si="1190"/>
        <v/>
      </c>
      <c r="BW130" s="435" t="str">
        <f t="shared" si="798"/>
        <v/>
      </c>
      <c r="BX130" s="435"/>
      <c r="BY130" s="435"/>
      <c r="BZ130" s="435"/>
      <c r="CA130" s="435"/>
      <c r="CB130" s="435"/>
      <c r="CC130" s="435"/>
      <c r="CD130" s="435"/>
      <c r="CE130" s="435"/>
      <c r="CF130" s="435"/>
      <c r="CG130" s="435"/>
      <c r="CH130" s="435"/>
      <c r="CI130" s="435"/>
      <c r="CJ130" s="426" t="str">
        <f t="shared" si="799"/>
        <v/>
      </c>
      <c r="CK130" s="435"/>
      <c r="CL130" s="426"/>
      <c r="CM130" s="435"/>
      <c r="CN130" s="426"/>
      <c r="CO130" s="426"/>
      <c r="CP130" s="426"/>
      <c r="CQ130" s="426"/>
      <c r="CR130" s="426"/>
      <c r="CS130" s="426"/>
      <c r="CT130" s="426"/>
      <c r="CU130" s="426"/>
      <c r="CV130" s="426"/>
      <c r="CW130" s="493"/>
      <c r="CX130" s="493"/>
      <c r="CY130" s="426">
        <v>127</v>
      </c>
      <c r="CZ130" s="493"/>
      <c r="DA130" s="493"/>
      <c r="DB130" s="493"/>
      <c r="DC130" s="426" t="s">
        <v>870</v>
      </c>
      <c r="DD130" s="426" t="s">
        <v>1030</v>
      </c>
      <c r="DE130" s="435" t="str">
        <f t="shared" si="800"/>
        <v/>
      </c>
      <c r="DF130" s="435" t="str">
        <f t="shared" si="801"/>
        <v/>
      </c>
      <c r="DG130" s="435" t="str">
        <f t="shared" si="802"/>
        <v/>
      </c>
      <c r="DH130" s="435" t="str">
        <f t="shared" si="803"/>
        <v/>
      </c>
      <c r="DI130" s="435" t="str">
        <f t="shared" si="804"/>
        <v/>
      </c>
      <c r="DJ130" s="435" t="str">
        <f t="shared" si="805"/>
        <v/>
      </c>
      <c r="DK130" s="435" t="str">
        <f t="shared" si="1191"/>
        <v/>
      </c>
      <c r="DL130" s="435" t="str">
        <f t="shared" si="1192"/>
        <v/>
      </c>
      <c r="DM130" s="435" t="str">
        <f t="shared" si="806"/>
        <v/>
      </c>
      <c r="DN130" s="435" t="str">
        <f t="shared" si="807"/>
        <v/>
      </c>
      <c r="DO130" s="435" t="str">
        <f t="shared" si="1193"/>
        <v/>
      </c>
      <c r="DP130" s="435" t="str">
        <f t="shared" si="1194"/>
        <v/>
      </c>
      <c r="DQ130" s="435" t="str">
        <f t="shared" si="808"/>
        <v/>
      </c>
      <c r="DR130" s="435" t="str">
        <f t="shared" si="809"/>
        <v/>
      </c>
      <c r="DS130" s="435" t="str">
        <f t="shared" si="1195"/>
        <v/>
      </c>
      <c r="DT130" s="435" t="str">
        <f t="shared" si="1196"/>
        <v/>
      </c>
      <c r="DU130" s="435" t="str">
        <f t="shared" si="810"/>
        <v/>
      </c>
      <c r="DV130" s="435" t="str">
        <f t="shared" si="811"/>
        <v/>
      </c>
      <c r="DW130" s="435" t="str">
        <f t="shared" si="1197"/>
        <v/>
      </c>
      <c r="DX130" s="435" t="str">
        <f t="shared" si="1198"/>
        <v/>
      </c>
      <c r="DY130" s="435" t="str">
        <f t="shared" si="812"/>
        <v/>
      </c>
      <c r="DZ130" s="435" t="str">
        <f t="shared" si="813"/>
        <v/>
      </c>
      <c r="EA130" s="435" t="str">
        <f t="shared" si="1199"/>
        <v/>
      </c>
      <c r="EB130" s="435" t="str">
        <f t="shared" si="1200"/>
        <v/>
      </c>
      <c r="EC130" s="435" t="str">
        <f t="shared" si="1201"/>
        <v/>
      </c>
      <c r="ED130" s="435" t="str">
        <f t="shared" si="1202"/>
        <v/>
      </c>
      <c r="EE130" s="435" t="str">
        <f t="shared" si="1203"/>
        <v/>
      </c>
      <c r="EF130" s="435" t="str">
        <f t="shared" si="1204"/>
        <v/>
      </c>
      <c r="EG130" s="435" t="str">
        <f t="shared" si="1205"/>
        <v/>
      </c>
      <c r="EH130" s="435" t="str">
        <f t="shared" si="1206"/>
        <v/>
      </c>
      <c r="EI130" s="435" t="str">
        <f t="shared" si="1207"/>
        <v/>
      </c>
      <c r="EJ130" s="435" t="str">
        <f t="shared" si="1208"/>
        <v/>
      </c>
      <c r="EK130" s="485"/>
      <c r="EL130" s="485"/>
      <c r="EM130" s="485"/>
      <c r="EN130" s="485"/>
      <c r="EO130" s="448"/>
      <c r="EP130" s="448"/>
      <c r="EQ130" s="448"/>
      <c r="ER130" s="448"/>
      <c r="ES130" s="448"/>
      <c r="ET130" s="435"/>
      <c r="EU130" s="435"/>
      <c r="EV130" s="435"/>
      <c r="EW130" s="435"/>
      <c r="EX130" s="426"/>
      <c r="EY130" s="426"/>
      <c r="EZ130" s="426"/>
      <c r="FA130" s="863"/>
      <c r="FB130" s="427">
        <f t="array" ref="FB130">IF(SUM((FA130=$FA$3:FA129)*1)=0,FA130,0)</f>
        <v>0</v>
      </c>
      <c r="FC130" s="863"/>
      <c r="FD130" s="863"/>
      <c r="FE130" s="863">
        <f t="array" ref="FE130">IF(SUM((FD130=$FD$3:FD129)*1)=0,FD130,0)</f>
        <v>0</v>
      </c>
      <c r="FF130" s="863"/>
      <c r="FG130" s="863"/>
      <c r="FH130" s="863"/>
      <c r="FI130" s="427">
        <f t="array" ref="FI130">IF(SUM((FH130=$FH$3:FH129)*1)=0,FH130,0)</f>
        <v>0</v>
      </c>
      <c r="FJ130" s="863"/>
      <c r="FK130" s="863"/>
      <c r="FL130" s="863">
        <f t="array" ref="FL130">IF(SUM((FK130=$FK$3:FK129)*1)=0,FK130,0)</f>
        <v>0</v>
      </c>
      <c r="FM130" s="863"/>
      <c r="FN130" s="863"/>
      <c r="FO130" s="863"/>
      <c r="FP130" s="427">
        <f t="array" ref="FP130">IF(SUM((FO130=$FO$3:FO129)*1)=0,FO130,0)</f>
        <v>0</v>
      </c>
      <c r="FQ130" s="863"/>
      <c r="FR130" s="863"/>
      <c r="FS130" s="863">
        <f t="array" ref="FS130">IF(SUM((FR130=$FR$3:FR129)*1)=0,FR130,0)</f>
        <v>0</v>
      </c>
      <c r="FT130" s="863"/>
      <c r="FU130" s="863"/>
      <c r="FV130" s="863"/>
      <c r="FW130" s="427">
        <f t="array" ref="FW130">IF(SUM((FV130=$FV$3:FV129)*1)=0,FV130,0)</f>
        <v>0</v>
      </c>
      <c r="FX130" s="863"/>
      <c r="FY130" s="863"/>
      <c r="FZ130" s="863">
        <f t="array" ref="FZ130">IF(SUM((FY130=$FY$3:FY129)*1)=0,FY130,0)</f>
        <v>0</v>
      </c>
      <c r="GA130" s="863"/>
      <c r="GB130" s="863"/>
      <c r="GC130" s="863"/>
      <c r="GD130" s="427">
        <f t="array" ref="GD130">IF(SUM((GC130=$GC$3:GC129)*1)=0,GC130,0)</f>
        <v>0</v>
      </c>
      <c r="GE130" s="863"/>
      <c r="GF130" s="863"/>
      <c r="GG130" s="863">
        <f t="array" ref="GG130">IF(SUM((GF130=$GF$3:GF129)*1)=0,GF130,0)</f>
        <v>0</v>
      </c>
      <c r="GH130" s="863"/>
      <c r="GI130" s="863"/>
      <c r="GJ130" s="863"/>
      <c r="GK130" s="798">
        <f t="array" ref="GK130">IF(SUM((GJ130=$GJ$3:GJ129)*1)=0,GJ130,0)</f>
        <v>0</v>
      </c>
      <c r="GL130" s="863"/>
      <c r="GM130" s="863"/>
      <c r="GN130" s="798">
        <f t="array" ref="GN130">IF(SUM((GM130=$GM$3:GM129)*1)=0,GM130,0)</f>
        <v>0</v>
      </c>
      <c r="GO130" s="863"/>
      <c r="GP130" s="863"/>
      <c r="GQ130" s="863"/>
      <c r="GR130" s="798">
        <f t="array" ref="GR130">IF(SUM((GQ130=$GQ$3:GQ129)*1)=0,GQ130,0)</f>
        <v>0</v>
      </c>
      <c r="GS130" s="863"/>
      <c r="GT130" s="863"/>
      <c r="GU130" s="798">
        <f t="array" ref="GU130">IF(SUM((GT130=$GT$3:GT129)*1)=0,GT130,0)</f>
        <v>0</v>
      </c>
      <c r="GV130" s="863"/>
      <c r="GW130" s="863"/>
      <c r="GX130" s="863"/>
      <c r="GY130" s="798">
        <f t="array" ref="GY130">IF(SUM((GX130=$GX$3:GX129)*1)=0,GX130,0)</f>
        <v>0</v>
      </c>
      <c r="GZ130" s="863"/>
      <c r="HA130" s="863"/>
      <c r="HB130" s="798">
        <f t="array" ref="HB130">IF(SUM((HA130=$HA$3:HA129)*1)=0,HA130,0)</f>
        <v>0</v>
      </c>
      <c r="HC130" s="863"/>
      <c r="HD130" s="863"/>
      <c r="HE130" s="769" t="str">
        <f t="shared" si="889"/>
        <v/>
      </c>
      <c r="HF130" s="768" t="str">
        <f t="shared" ref="HF130" si="1511">IF(HE130&lt;0,"Invadiu REP-BA-C","")</f>
        <v/>
      </c>
      <c r="HG130" s="769" t="str">
        <f t="shared" si="891"/>
        <v/>
      </c>
      <c r="HH130" s="768" t="str">
        <f t="shared" si="815"/>
        <v/>
      </c>
      <c r="HI130" s="728" t="str">
        <f t="shared" si="892"/>
        <v/>
      </c>
      <c r="HJ130" s="768" t="str">
        <f t="shared" si="816"/>
        <v/>
      </c>
      <c r="HK130" s="728" t="str">
        <f t="shared" si="893"/>
        <v/>
      </c>
      <c r="HL130" s="768" t="str">
        <f t="shared" si="817"/>
        <v/>
      </c>
      <c r="HM130" s="769" t="str">
        <f t="shared" si="1219"/>
        <v/>
      </c>
      <c r="HN130" s="768" t="str">
        <f t="shared" ref="HN130" si="1512">IF(HM130&lt;0,"Invadiu REP-BA-C","")</f>
        <v/>
      </c>
      <c r="HO130" s="769" t="str">
        <f t="shared" si="1221"/>
        <v/>
      </c>
      <c r="HP130" s="768" t="str">
        <f t="shared" si="821"/>
        <v/>
      </c>
      <c r="HQ130" s="728" t="str">
        <f t="shared" si="1222"/>
        <v/>
      </c>
      <c r="HR130" s="768" t="str">
        <f t="shared" si="823"/>
        <v/>
      </c>
      <c r="HS130" s="728" t="str">
        <f t="shared" si="1223"/>
        <v/>
      </c>
      <c r="HT130" s="768" t="str">
        <f t="shared" si="825"/>
        <v/>
      </c>
      <c r="HU130" s="769" t="str">
        <f t="shared" si="1224"/>
        <v/>
      </c>
      <c r="HV130" s="768" t="str">
        <f t="shared" ref="HV130" si="1513">IF(HU130&lt;0,"Invadiu REP-BA-C","")</f>
        <v/>
      </c>
      <c r="HW130" s="769" t="str">
        <f t="shared" si="1226"/>
        <v/>
      </c>
      <c r="HX130" s="768" t="str">
        <f t="shared" si="829"/>
        <v/>
      </c>
      <c r="HY130" s="728" t="str">
        <f t="shared" si="1227"/>
        <v/>
      </c>
      <c r="HZ130" s="768" t="str">
        <f t="shared" si="831"/>
        <v/>
      </c>
      <c r="IA130" s="728" t="str">
        <f t="shared" si="1228"/>
        <v/>
      </c>
      <c r="IB130" s="768" t="str">
        <f t="shared" si="833"/>
        <v/>
      </c>
      <c r="IC130" s="769" t="str">
        <f t="shared" si="1229"/>
        <v/>
      </c>
      <c r="ID130" s="768" t="str">
        <f t="shared" ref="ID130" si="1514">IF(IC130&lt;0,"Invadiu REP-BA-C","")</f>
        <v/>
      </c>
      <c r="IE130" s="769" t="str">
        <f t="shared" si="1231"/>
        <v/>
      </c>
      <c r="IF130" s="768" t="str">
        <f t="shared" si="837"/>
        <v/>
      </c>
      <c r="IG130" s="728" t="str">
        <f t="shared" si="1232"/>
        <v/>
      </c>
      <c r="IH130" s="768" t="str">
        <f t="shared" si="839"/>
        <v/>
      </c>
      <c r="II130" s="728" t="str">
        <f t="shared" si="1233"/>
        <v/>
      </c>
      <c r="IJ130" s="768" t="str">
        <f t="shared" si="841"/>
        <v/>
      </c>
      <c r="IK130" s="769" t="str">
        <f t="shared" si="1234"/>
        <v/>
      </c>
      <c r="IL130" s="768" t="str">
        <f t="shared" ref="IL130" si="1515">IF(IK130&lt;0,"Invadiu REP-BA-C","")</f>
        <v/>
      </c>
      <c r="IM130" s="769" t="str">
        <f t="shared" si="1236"/>
        <v/>
      </c>
      <c r="IN130" s="768" t="str">
        <f t="shared" si="845"/>
        <v/>
      </c>
      <c r="IO130" s="728" t="str">
        <f t="shared" si="1237"/>
        <v/>
      </c>
      <c r="IP130" s="768" t="str">
        <f t="shared" si="847"/>
        <v/>
      </c>
      <c r="IQ130" s="728" t="str">
        <f t="shared" si="1238"/>
        <v/>
      </c>
      <c r="IR130" s="768" t="str">
        <f t="shared" si="849"/>
        <v/>
      </c>
      <c r="IS130" s="769" t="str">
        <f t="shared" si="1239"/>
        <v/>
      </c>
      <c r="IT130" s="768" t="str">
        <f t="shared" ref="IT130" si="1516">IF(IS130&lt;0,"Invadiu REP-BA-C","")</f>
        <v/>
      </c>
      <c r="IU130" s="769" t="str">
        <f t="shared" si="1241"/>
        <v/>
      </c>
      <c r="IV130" s="768" t="str">
        <f t="shared" si="853"/>
        <v/>
      </c>
      <c r="IW130" s="728" t="str">
        <f t="shared" si="1242"/>
        <v/>
      </c>
      <c r="IX130" s="768" t="str">
        <f t="shared" si="855"/>
        <v/>
      </c>
      <c r="IY130" s="728" t="str">
        <f t="shared" si="1243"/>
        <v/>
      </c>
      <c r="IZ130" s="768" t="str">
        <f t="shared" si="857"/>
        <v/>
      </c>
      <c r="JA130" s="769" t="str">
        <f t="shared" si="1244"/>
        <v/>
      </c>
      <c r="JB130" s="768" t="str">
        <f t="shared" ref="JB130" si="1517">IF(JA130&lt;0,"Invadiu REP-BA-C","")</f>
        <v/>
      </c>
      <c r="JC130" s="769" t="str">
        <f t="shared" si="1246"/>
        <v/>
      </c>
      <c r="JD130" s="768" t="str">
        <f t="shared" si="861"/>
        <v/>
      </c>
      <c r="JE130" s="728" t="str">
        <f t="shared" si="1247"/>
        <v/>
      </c>
      <c r="JF130" s="768" t="str">
        <f t="shared" si="863"/>
        <v/>
      </c>
      <c r="JG130" s="728" t="str">
        <f t="shared" si="1248"/>
        <v/>
      </c>
      <c r="JH130" s="768" t="str">
        <f t="shared" si="865"/>
        <v/>
      </c>
      <c r="JI130" s="769" t="str">
        <f t="shared" si="1249"/>
        <v/>
      </c>
      <c r="JJ130" s="768" t="str">
        <f t="shared" ref="JJ130" si="1518">IF(JI130&lt;0,"Invadiu REP-BA-C","")</f>
        <v/>
      </c>
      <c r="JK130" s="769" t="str">
        <f t="shared" si="1251"/>
        <v/>
      </c>
      <c r="JL130" s="768" t="str">
        <f t="shared" si="869"/>
        <v/>
      </c>
      <c r="JM130" s="728" t="str">
        <f t="shared" si="1252"/>
        <v/>
      </c>
      <c r="JN130" s="768" t="str">
        <f t="shared" si="871"/>
        <v/>
      </c>
      <c r="JO130" s="728" t="str">
        <f t="shared" si="1253"/>
        <v/>
      </c>
      <c r="JP130" s="768" t="str">
        <f t="shared" si="873"/>
        <v/>
      </c>
      <c r="JQ130" s="769" t="str">
        <f t="shared" si="1254"/>
        <v/>
      </c>
      <c r="JR130" s="768" t="str">
        <f t="shared" ref="JR130" si="1519">IF(JQ130&lt;0,"Invadiu REP-BA-C","")</f>
        <v/>
      </c>
      <c r="JS130" s="769" t="str">
        <f t="shared" si="1256"/>
        <v/>
      </c>
      <c r="JT130" s="768" t="str">
        <f t="shared" si="877"/>
        <v/>
      </c>
      <c r="JU130" s="728" t="str">
        <f t="shared" si="1257"/>
        <v/>
      </c>
      <c r="JV130" s="768" t="str">
        <f t="shared" si="879"/>
        <v/>
      </c>
      <c r="JW130" s="728" t="str">
        <f t="shared" si="1258"/>
        <v/>
      </c>
      <c r="JX130" s="768" t="str">
        <f t="shared" si="881"/>
        <v/>
      </c>
      <c r="JY130" s="768" t="str">
        <f t="shared" si="882"/>
        <v/>
      </c>
      <c r="JZ130" s="485" t="str">
        <f>IF(JY130="","",IF(AND(C130=$C$164,JY130&lt;&gt;""),Verificarcpf(D130),IF(AND(C130=$C$165,JY130&lt;&gt;""),VerificarCNPJ(D130))))</f>
        <v/>
      </c>
      <c r="KA130" s="768" t="str">
        <f t="shared" si="883"/>
        <v/>
      </c>
      <c r="KB130" s="485">
        <f t="shared" si="884"/>
        <v>0</v>
      </c>
      <c r="KC130" s="768">
        <f t="shared" si="885"/>
        <v>0</v>
      </c>
      <c r="KD130" s="485">
        <f t="shared" si="886"/>
        <v>0</v>
      </c>
      <c r="KE130" s="448"/>
      <c r="KF130" s="548"/>
      <c r="KG130" s="548"/>
      <c r="KH130" s="548"/>
      <c r="KI130" s="548"/>
      <c r="KJ130" s="548" t="str">
        <f t="shared" si="887"/>
        <v/>
      </c>
      <c r="KK130" s="548"/>
      <c r="KL130" s="548"/>
      <c r="KM130" s="548">
        <f t="array" ref="KM130">IF(SUM((KL130=$KL$3:KL129)*1)=0,KL130,0)</f>
        <v>0</v>
      </c>
      <c r="KN130" s="548"/>
      <c r="KO130" s="548"/>
      <c r="KP130" s="548"/>
      <c r="KQ130" s="548"/>
      <c r="KR130" s="548" t="str">
        <f t="shared" si="888"/>
        <v/>
      </c>
      <c r="KS130" s="548"/>
      <c r="KT130" s="548"/>
      <c r="KU130" s="548"/>
      <c r="KV130" s="548"/>
      <c r="KW130" s="548"/>
      <c r="KX130" s="548"/>
      <c r="KY130" s="548"/>
      <c r="KZ130" s="548"/>
      <c r="LA130" s="548"/>
      <c r="LB130" s="548"/>
      <c r="LC130" s="485" t="str">
        <f t="shared" si="902"/>
        <v/>
      </c>
      <c r="LD130" s="548"/>
      <c r="LE130" s="548"/>
      <c r="LF130" s="548"/>
      <c r="LG130" s="548"/>
      <c r="LH130" s="548"/>
      <c r="LI130" s="548"/>
      <c r="LJ130" s="548"/>
      <c r="LK130" s="548"/>
      <c r="LL130" s="548"/>
      <c r="LM130" s="548"/>
      <c r="LN130" s="548"/>
      <c r="LO130" s="548"/>
      <c r="LP130" s="485" t="str">
        <f t="shared" si="903"/>
        <v/>
      </c>
      <c r="LQ130" s="548"/>
      <c r="LR130" s="548"/>
      <c r="LS130" s="548"/>
      <c r="LT130" s="548"/>
      <c r="LU130" s="548"/>
      <c r="LV130" s="548"/>
      <c r="LW130" s="548"/>
      <c r="LX130" s="548"/>
      <c r="LY130" s="548"/>
      <c r="LZ130" s="548"/>
      <c r="MA130" s="548"/>
      <c r="MB130" s="548"/>
      <c r="MC130" s="485" t="str">
        <f t="shared" si="904"/>
        <v/>
      </c>
      <c r="MD130" s="548"/>
      <c r="ME130" s="548"/>
      <c r="MF130" s="548"/>
      <c r="MG130" s="548"/>
      <c r="MH130" s="548"/>
      <c r="MI130" s="548"/>
      <c r="MJ130" s="548"/>
      <c r="MK130" s="548"/>
      <c r="ML130" s="548"/>
      <c r="MM130" s="548"/>
      <c r="MN130" s="548"/>
      <c r="MO130" s="548"/>
      <c r="MP130" s="485" t="str">
        <f t="shared" si="905"/>
        <v/>
      </c>
      <c r="MQ130" s="548"/>
      <c r="MR130" s="548"/>
      <c r="MS130" s="548"/>
      <c r="MT130" s="548"/>
      <c r="MU130" s="548"/>
      <c r="MV130" s="548"/>
      <c r="MW130" s="548"/>
      <c r="MX130" s="548"/>
      <c r="MY130" s="548"/>
      <c r="MZ130" s="548"/>
      <c r="NA130" s="548"/>
      <c r="NB130" s="548"/>
      <c r="NC130" s="485" t="str">
        <f t="shared" si="906"/>
        <v/>
      </c>
      <c r="ND130" s="548"/>
      <c r="NE130" s="548"/>
      <c r="NF130" s="548"/>
      <c r="NG130" s="548"/>
      <c r="NH130" s="548"/>
      <c r="NI130" s="548"/>
      <c r="NJ130" s="548"/>
      <c r="NK130" s="548"/>
      <c r="NL130" s="548"/>
      <c r="NM130" s="548"/>
      <c r="NN130" s="548"/>
      <c r="NO130" s="548"/>
      <c r="NP130" s="485" t="str">
        <f t="shared" si="907"/>
        <v/>
      </c>
      <c r="NQ130" s="548"/>
      <c r="NR130" s="548"/>
      <c r="NS130" s="548"/>
      <c r="NT130" s="548"/>
      <c r="NU130" s="548"/>
      <c r="NV130" s="548"/>
      <c r="NW130" s="548"/>
      <c r="NX130" s="548"/>
      <c r="NY130" s="548"/>
      <c r="NZ130" s="548"/>
      <c r="OA130" s="548"/>
      <c r="OB130" s="548"/>
      <c r="OC130" s="485" t="str">
        <f t="shared" si="908"/>
        <v/>
      </c>
      <c r="OD130" s="548"/>
      <c r="OE130" s="548"/>
      <c r="OF130" s="548"/>
      <c r="OG130" s="548"/>
      <c r="OH130" s="548"/>
      <c r="OI130" s="548"/>
      <c r="OJ130" s="548"/>
      <c r="OK130" s="548"/>
      <c r="OL130" s="548"/>
      <c r="OM130" s="548"/>
      <c r="ON130" s="548"/>
      <c r="OO130" s="548"/>
      <c r="OP130" s="548"/>
      <c r="OQ130" s="548"/>
      <c r="OR130" s="548"/>
      <c r="OS130" s="548"/>
      <c r="OT130" s="548"/>
      <c r="OU130" s="548"/>
      <c r="OV130" s="548"/>
      <c r="OW130" s="548"/>
      <c r="OX130" s="548"/>
      <c r="OY130" s="548"/>
      <c r="OZ130" s="548"/>
      <c r="PA130" s="548"/>
      <c r="PB130" s="548"/>
      <c r="PC130" s="548"/>
      <c r="PD130" s="548"/>
      <c r="PE130" s="548"/>
      <c r="PF130" s="548"/>
      <c r="PG130" s="548"/>
      <c r="PH130" s="548"/>
      <c r="PI130" s="548"/>
      <c r="PJ130" s="548"/>
      <c r="PK130" s="548"/>
      <c r="PL130" s="548"/>
      <c r="PM130" s="548"/>
      <c r="PN130" s="548"/>
      <c r="PO130" s="548"/>
      <c r="PP130" s="548"/>
      <c r="PQ130" s="548"/>
      <c r="PR130" s="548"/>
      <c r="PS130" s="548"/>
      <c r="PT130" s="548"/>
      <c r="PU130" s="548"/>
      <c r="PV130" s="548"/>
      <c r="PW130" s="548"/>
      <c r="PX130" s="548"/>
      <c r="PY130" s="548"/>
      <c r="PZ130" s="548"/>
      <c r="QA130" s="548"/>
      <c r="QB130" s="548"/>
      <c r="QC130" s="548"/>
      <c r="QD130" s="548"/>
      <c r="QE130" s="548"/>
      <c r="QF130" s="548"/>
      <c r="QG130" s="548"/>
      <c r="QH130" s="548"/>
      <c r="QI130" s="548"/>
      <c r="QJ130" s="548"/>
      <c r="QK130" s="548"/>
      <c r="QL130" s="548"/>
      <c r="QM130" s="548"/>
      <c r="QN130" s="548"/>
      <c r="QO130" s="548"/>
      <c r="QP130" s="548"/>
      <c r="QQ130" s="1009"/>
      <c r="QR130" s="548"/>
      <c r="QS130" s="548"/>
      <c r="QT130" s="548"/>
      <c r="QU130" s="548"/>
      <c r="QV130" s="548"/>
      <c r="QW130" s="548"/>
      <c r="QX130" s="548"/>
      <c r="QY130" s="548"/>
      <c r="QZ130" s="548"/>
      <c r="RA130" s="548"/>
      <c r="RB130" s="548"/>
      <c r="RC130" s="548"/>
      <c r="RD130" s="548"/>
      <c r="RE130" s="548"/>
      <c r="RF130" s="548"/>
      <c r="RG130" s="548"/>
      <c r="RH130" s="548"/>
      <c r="RI130" s="548"/>
      <c r="RJ130" s="548"/>
      <c r="RK130" s="548"/>
      <c r="RL130" s="548"/>
      <c r="RM130" s="548"/>
      <c r="RN130" s="548"/>
      <c r="RO130" s="548"/>
      <c r="RP130" s="548"/>
      <c r="RQ130" s="548"/>
      <c r="RR130" s="548"/>
      <c r="RS130" s="548"/>
      <c r="RT130" s="548"/>
      <c r="RU130" s="548"/>
      <c r="RV130" s="548"/>
      <c r="RW130" s="548"/>
      <c r="RX130" s="548"/>
      <c r="RY130" s="548"/>
      <c r="RZ130" s="548"/>
      <c r="SA130" s="548"/>
      <c r="SB130" s="548"/>
      <c r="SC130" s="548"/>
      <c r="SD130" s="548"/>
      <c r="SE130" s="548"/>
      <c r="SF130" s="548"/>
      <c r="SG130" s="548"/>
      <c r="SH130" s="548"/>
      <c r="SI130" s="548"/>
      <c r="SJ130" s="548"/>
      <c r="SK130" s="548"/>
      <c r="SL130" s="548"/>
      <c r="SM130" s="548"/>
      <c r="SN130" s="548"/>
      <c r="SO130" s="548"/>
      <c r="SP130" s="548"/>
      <c r="SQ130" s="548"/>
      <c r="SR130" s="548"/>
      <c r="SS130" s="548"/>
      <c r="ST130" s="548"/>
      <c r="SU130" s="548"/>
      <c r="SV130" s="548"/>
      <c r="SW130" s="548"/>
      <c r="SX130" s="548"/>
      <c r="SY130" s="548"/>
      <c r="SZ130" s="548"/>
      <c r="TA130" s="548"/>
      <c r="TB130" s="548"/>
      <c r="TC130" s="548"/>
      <c r="TD130" s="548"/>
      <c r="TE130" s="548"/>
      <c r="TF130" s="548"/>
      <c r="TG130" s="548"/>
      <c r="TH130" s="548"/>
      <c r="TI130" s="548"/>
      <c r="TJ130" s="548"/>
      <c r="TK130" s="548"/>
      <c r="TL130" s="548"/>
      <c r="TM130" s="548"/>
      <c r="TN130" s="548"/>
      <c r="TO130" s="548"/>
      <c r="TP130" s="548"/>
      <c r="TQ130" s="548"/>
      <c r="TR130" s="548"/>
      <c r="TS130" s="548"/>
      <c r="TT130" s="548"/>
      <c r="TU130" s="548"/>
      <c r="TV130" s="548"/>
      <c r="TW130" s="548"/>
      <c r="TX130" s="548"/>
      <c r="TY130" s="548"/>
      <c r="TZ130" s="548"/>
      <c r="UA130" s="548"/>
      <c r="UB130" s="548"/>
      <c r="UC130" s="548"/>
      <c r="UD130" s="548"/>
      <c r="UE130" s="548"/>
      <c r="UF130" s="548"/>
      <c r="UG130" s="548"/>
      <c r="UH130" s="548"/>
      <c r="UI130" s="548"/>
      <c r="UJ130" s="548"/>
      <c r="UK130" s="548"/>
      <c r="UL130" s="548"/>
      <c r="UM130" s="548"/>
      <c r="UN130" s="548"/>
      <c r="UO130" s="548"/>
      <c r="UP130" s="548"/>
      <c r="UQ130" s="548"/>
      <c r="UR130" s="548"/>
      <c r="US130" s="548"/>
      <c r="UT130" s="548"/>
      <c r="UU130" s="548"/>
      <c r="UV130" s="548"/>
      <c r="UW130" s="548"/>
      <c r="UX130" s="548"/>
      <c r="UY130" s="548"/>
      <c r="UZ130" s="548"/>
      <c r="VA130" s="548"/>
      <c r="VB130" s="548"/>
      <c r="VC130" s="548"/>
      <c r="VD130" s="548"/>
      <c r="VE130" s="548"/>
      <c r="VF130" s="548"/>
      <c r="VG130" s="548"/>
      <c r="VH130" s="548"/>
      <c r="VI130" s="548"/>
      <c r="VJ130" s="548"/>
      <c r="VK130" s="548"/>
      <c r="VL130" s="548"/>
      <c r="VM130" s="548"/>
      <c r="VN130" s="548"/>
      <c r="VO130" s="548"/>
      <c r="VP130" s="548"/>
      <c r="VQ130" s="548"/>
      <c r="VR130" s="548"/>
      <c r="VS130" s="548"/>
      <c r="VT130" s="548"/>
      <c r="VU130" s="548"/>
      <c r="VV130" s="548"/>
      <c r="VW130" s="548"/>
      <c r="VX130" s="548"/>
      <c r="VY130" s="548"/>
      <c r="VZ130" s="548"/>
      <c r="WA130" s="548"/>
      <c r="WB130" s="548"/>
      <c r="WC130" s="548"/>
      <c r="WD130" s="548"/>
      <c r="WE130" s="548"/>
      <c r="WF130" s="548"/>
      <c r="WG130" s="548"/>
      <c r="WH130" s="548"/>
      <c r="WI130" s="548"/>
      <c r="WJ130" s="548"/>
      <c r="WK130" s="548"/>
      <c r="WL130" s="548"/>
      <c r="WM130" s="548"/>
      <c r="WN130" s="548"/>
      <c r="WO130" s="548"/>
      <c r="WP130" s="548"/>
      <c r="WQ130" s="548"/>
      <c r="WR130" s="548"/>
      <c r="WS130" s="548"/>
      <c r="WT130" s="548"/>
      <c r="WU130" s="548"/>
      <c r="WV130" s="548"/>
      <c r="WW130" s="548"/>
      <c r="WX130" s="548"/>
      <c r="WY130" s="548"/>
      <c r="WZ130" s="548"/>
      <c r="XA130" s="548"/>
      <c r="XB130" s="548"/>
      <c r="XC130" s="548"/>
      <c r="XD130" s="548"/>
      <c r="XE130" s="548"/>
      <c r="XF130" s="548"/>
      <c r="XG130" s="548"/>
      <c r="XH130" s="548"/>
      <c r="XI130" s="548"/>
      <c r="XJ130" s="548"/>
      <c r="XK130" s="548"/>
      <c r="XL130" s="548"/>
      <c r="XM130" s="548"/>
      <c r="XN130" s="548"/>
      <c r="XO130" s="548"/>
      <c r="XP130" s="548"/>
      <c r="XQ130" s="548"/>
      <c r="XR130" s="548"/>
      <c r="XS130" s="548"/>
      <c r="XT130" s="548"/>
      <c r="XU130" s="548"/>
      <c r="XV130" s="548"/>
      <c r="XW130" s="548"/>
      <c r="XX130" s="548"/>
      <c r="XY130" s="548"/>
      <c r="XZ130" s="548"/>
      <c r="YA130" s="548"/>
      <c r="YB130" s="548"/>
      <c r="YC130" s="548"/>
      <c r="YD130" s="548"/>
      <c r="YE130" s="548"/>
      <c r="YF130" s="548"/>
      <c r="YG130" s="548"/>
      <c r="YH130" s="548"/>
      <c r="YI130" s="548"/>
      <c r="YJ130" s="548"/>
      <c r="YK130" s="548"/>
      <c r="YL130" s="548"/>
      <c r="YM130" s="548"/>
      <c r="YN130" s="548"/>
      <c r="YO130" s="548"/>
      <c r="YP130" s="548"/>
      <c r="YQ130" s="548"/>
      <c r="YR130" s="548"/>
      <c r="YS130" s="548"/>
      <c r="YT130" s="548"/>
      <c r="YU130" s="548"/>
      <c r="YV130" s="548"/>
      <c r="YW130" s="548"/>
      <c r="YX130" s="548"/>
      <c r="YY130" s="548"/>
      <c r="YZ130" s="548"/>
      <c r="ZA130" s="548"/>
      <c r="ZB130" s="548"/>
      <c r="ZC130" s="548"/>
      <c r="ZD130" s="548"/>
      <c r="ZE130" s="548"/>
      <c r="ZF130" s="548"/>
      <c r="ZG130" s="548"/>
      <c r="ZH130" s="548"/>
      <c r="ZI130" s="548"/>
      <c r="ZJ130" s="548"/>
      <c r="ZK130" s="548"/>
      <c r="ZL130" s="548"/>
      <c r="ZM130" s="548"/>
      <c r="ZN130" s="548"/>
      <c r="ZO130" s="548"/>
      <c r="ZP130" s="548"/>
      <c r="ZQ130" s="548"/>
      <c r="ZR130" s="548"/>
      <c r="ZS130" s="548"/>
      <c r="ZT130" s="548"/>
      <c r="ZU130" s="548"/>
      <c r="ZV130" s="548"/>
      <c r="ZW130" s="548"/>
      <c r="ZX130" s="548"/>
      <c r="ZY130" s="548"/>
      <c r="ZZ130" s="548"/>
      <c r="AAA130" s="548"/>
      <c r="AAB130" s="548"/>
      <c r="AAC130" s="548"/>
      <c r="AAD130" s="548"/>
      <c r="AAE130" s="548"/>
      <c r="AAF130" s="548"/>
      <c r="AAG130" s="548"/>
      <c r="AAH130" s="548"/>
      <c r="AAI130" s="548"/>
      <c r="AAJ130" s="548"/>
      <c r="AAK130" s="548"/>
      <c r="AAL130" s="548"/>
      <c r="AAM130" s="548"/>
      <c r="AAN130" s="548"/>
      <c r="AAO130" s="548"/>
      <c r="AAP130" s="548"/>
      <c r="AAQ130" s="548"/>
      <c r="AAR130" s="548"/>
      <c r="AAS130" s="548"/>
      <c r="AAT130" s="548"/>
      <c r="AAU130" s="548"/>
      <c r="AAV130" s="548"/>
      <c r="AAW130" s="548"/>
      <c r="AAX130" s="548"/>
      <c r="AAY130" s="548"/>
      <c r="AAZ130" s="548"/>
      <c r="ABA130" s="548"/>
      <c r="ABB130" s="548"/>
      <c r="ABC130" s="548"/>
      <c r="ABD130" s="548"/>
      <c r="ABE130" s="548"/>
      <c r="ABF130" s="548"/>
      <c r="ABG130" s="548"/>
      <c r="ABH130" s="548"/>
      <c r="ABI130" s="548"/>
      <c r="ABJ130" s="548"/>
      <c r="ABK130" s="548"/>
      <c r="ABL130" s="548"/>
      <c r="ABM130" s="548"/>
      <c r="ABN130" s="548"/>
      <c r="ABO130" s="548"/>
      <c r="ABP130" s="548"/>
      <c r="ABQ130" s="548"/>
      <c r="ABR130" s="548"/>
      <c r="ABS130" s="548"/>
    </row>
    <row r="131" spans="1:747" customFormat="1" ht="15" customHeight="1" thickBot="1" x14ac:dyDescent="0.25">
      <c r="A131" s="424" t="str">
        <f t="shared" si="909"/>
        <v/>
      </c>
      <c r="B131" s="415"/>
      <c r="C131" s="525"/>
      <c r="D131" s="750"/>
      <c r="E131" s="416" t="str">
        <f t="shared" si="1171"/>
        <v/>
      </c>
      <c r="F131" s="527" t="str">
        <f t="shared" si="1172"/>
        <v/>
      </c>
      <c r="G131" s="417"/>
      <c r="H131" s="585" t="str">
        <f t="shared" si="1173"/>
        <v/>
      </c>
      <c r="I131" s="424"/>
      <c r="J131" s="419"/>
      <c r="K131" s="418"/>
      <c r="L131" s="419"/>
      <c r="M131" s="415"/>
      <c r="N131" s="420"/>
      <c r="O131" s="421"/>
      <c r="P131" s="561"/>
      <c r="Q131" s="422"/>
      <c r="R131" s="561" t="str">
        <f t="shared" si="1174"/>
        <v/>
      </c>
      <c r="S131" s="664"/>
      <c r="T131" s="663"/>
      <c r="U131" s="580">
        <f t="shared" si="1175"/>
        <v>0</v>
      </c>
      <c r="V131" s="418"/>
      <c r="W131" s="582" t="str">
        <f t="shared" si="1176"/>
        <v/>
      </c>
      <c r="X131" s="479" t="str">
        <f t="shared" si="1177"/>
        <v/>
      </c>
      <c r="Y131" s="582" t="str">
        <f t="shared" si="1178"/>
        <v/>
      </c>
      <c r="Z131" s="317" t="str">
        <f t="shared" si="1179"/>
        <v/>
      </c>
      <c r="AA131" s="317" t="str">
        <f t="shared" si="1180"/>
        <v/>
      </c>
      <c r="AB131" s="317">
        <f t="shared" si="1181"/>
        <v>0</v>
      </c>
      <c r="AC131" s="317" t="str">
        <f t="shared" si="1182"/>
        <v/>
      </c>
      <c r="AD131" s="479"/>
      <c r="AE131" s="479"/>
      <c r="AF131" s="479"/>
      <c r="AG131" s="423"/>
      <c r="AH131" s="820"/>
      <c r="AI131" s="437"/>
      <c r="AJ131" s="660"/>
      <c r="AK131" s="524" t="str">
        <f t="shared" si="1183"/>
        <v/>
      </c>
      <c r="AL131" s="748" t="str">
        <f>IF(Dados!$E$3="","",($JI$2+$JK$2)-$AL$130)</f>
        <v/>
      </c>
      <c r="AM131" s="753" t="str">
        <f>IF(Dados!$E$3="","",($JM$2+$JO$2)-$AM$130)</f>
        <v/>
      </c>
      <c r="AN131" s="426">
        <f t="shared" si="1184"/>
        <v>0</v>
      </c>
      <c r="AO131" s="427" t="str">
        <f t="shared" si="1185"/>
        <v/>
      </c>
      <c r="AP131" s="426" t="str">
        <f t="shared" si="1186"/>
        <v/>
      </c>
      <c r="AQ131" s="426"/>
      <c r="AR131" s="426"/>
      <c r="AS131" s="428"/>
      <c r="AT131" s="429"/>
      <c r="AU131" s="430"/>
      <c r="AV131" s="431"/>
      <c r="AW131" s="432"/>
      <c r="AX131" s="430"/>
      <c r="AY131" s="431">
        <f t="shared" si="1187"/>
        <v>0</v>
      </c>
      <c r="AZ131" s="426"/>
      <c r="BA131" s="435" t="str">
        <f t="shared" si="1188"/>
        <v/>
      </c>
      <c r="BB131" s="435"/>
      <c r="BC131" s="426"/>
      <c r="BD131" s="426">
        <f t="array" ref="BD131">IF(SUM((BC131=$BC$3:BC130)*1)=0,BC131,0)</f>
        <v>0</v>
      </c>
      <c r="BE131" s="426"/>
      <c r="BF131" s="426"/>
      <c r="BG131" s="426">
        <f t="array" ref="BG131">IF(SUM((BF131=$BF$3:BF130)*1)=0,BF131,0)</f>
        <v>0</v>
      </c>
      <c r="BH131" s="426"/>
      <c r="BI131" s="426"/>
      <c r="BJ131" s="426"/>
      <c r="BK131" s="426"/>
      <c r="BL131" s="426"/>
      <c r="BM131" s="426"/>
      <c r="BN131" s="426"/>
      <c r="BO131" s="426"/>
      <c r="BP131" s="433">
        <f t="shared" si="1189"/>
        <v>0</v>
      </c>
      <c r="BQ131" s="426"/>
      <c r="BR131" s="434"/>
      <c r="BS131" s="426"/>
      <c r="BT131" s="433"/>
      <c r="BU131" s="435"/>
      <c r="BV131" s="435" t="str">
        <f t="shared" si="1190"/>
        <v/>
      </c>
      <c r="BW131" s="435" t="str">
        <f t="shared" si="798"/>
        <v/>
      </c>
      <c r="BX131" s="435"/>
      <c r="BY131" s="435"/>
      <c r="BZ131" s="435"/>
      <c r="CA131" s="435"/>
      <c r="CB131" s="435"/>
      <c r="CC131" s="435"/>
      <c r="CD131" s="435"/>
      <c r="CE131" s="435"/>
      <c r="CF131" s="435"/>
      <c r="CG131" s="435"/>
      <c r="CH131" s="435"/>
      <c r="CI131" s="435"/>
      <c r="CJ131" s="426" t="str">
        <f t="shared" si="799"/>
        <v/>
      </c>
      <c r="CK131" s="435"/>
      <c r="CL131" s="426"/>
      <c r="CM131" s="435"/>
      <c r="CN131" s="426"/>
      <c r="CO131" s="426"/>
      <c r="CP131" s="426"/>
      <c r="CQ131" s="426"/>
      <c r="CR131" s="426"/>
      <c r="CS131" s="426"/>
      <c r="CT131" s="426"/>
      <c r="CU131" s="426"/>
      <c r="CV131" s="426"/>
      <c r="CW131" s="493"/>
      <c r="CX131" s="493"/>
      <c r="CY131" s="426">
        <v>128</v>
      </c>
      <c r="CZ131" s="493"/>
      <c r="DA131" s="493"/>
      <c r="DB131" s="493"/>
      <c r="DC131" s="426" t="s">
        <v>871</v>
      </c>
      <c r="DD131" s="426" t="s">
        <v>1031</v>
      </c>
      <c r="DE131" s="435" t="str">
        <f t="shared" si="800"/>
        <v/>
      </c>
      <c r="DF131" s="435" t="str">
        <f t="shared" si="801"/>
        <v/>
      </c>
      <c r="DG131" s="435" t="str">
        <f t="shared" si="802"/>
        <v/>
      </c>
      <c r="DH131" s="435" t="str">
        <f t="shared" si="803"/>
        <v/>
      </c>
      <c r="DI131" s="435" t="str">
        <f t="shared" si="804"/>
        <v/>
      </c>
      <c r="DJ131" s="435" t="str">
        <f t="shared" si="805"/>
        <v/>
      </c>
      <c r="DK131" s="435" t="str">
        <f t="shared" si="1191"/>
        <v/>
      </c>
      <c r="DL131" s="435" t="str">
        <f t="shared" si="1192"/>
        <v/>
      </c>
      <c r="DM131" s="435" t="str">
        <f t="shared" si="806"/>
        <v/>
      </c>
      <c r="DN131" s="435" t="str">
        <f t="shared" si="807"/>
        <v/>
      </c>
      <c r="DO131" s="435" t="str">
        <f t="shared" si="1193"/>
        <v/>
      </c>
      <c r="DP131" s="435" t="str">
        <f t="shared" si="1194"/>
        <v/>
      </c>
      <c r="DQ131" s="435" t="str">
        <f t="shared" si="808"/>
        <v/>
      </c>
      <c r="DR131" s="435" t="str">
        <f t="shared" si="809"/>
        <v/>
      </c>
      <c r="DS131" s="435" t="str">
        <f t="shared" si="1195"/>
        <v/>
      </c>
      <c r="DT131" s="435" t="str">
        <f t="shared" si="1196"/>
        <v/>
      </c>
      <c r="DU131" s="435" t="str">
        <f t="shared" si="810"/>
        <v/>
      </c>
      <c r="DV131" s="435" t="str">
        <f t="shared" si="811"/>
        <v/>
      </c>
      <c r="DW131" s="435" t="str">
        <f t="shared" si="1197"/>
        <v/>
      </c>
      <c r="DX131" s="435" t="str">
        <f t="shared" si="1198"/>
        <v/>
      </c>
      <c r="DY131" s="435" t="str">
        <f t="shared" si="812"/>
        <v/>
      </c>
      <c r="DZ131" s="435" t="str">
        <f t="shared" si="813"/>
        <v/>
      </c>
      <c r="EA131" s="435" t="str">
        <f t="shared" si="1199"/>
        <v/>
      </c>
      <c r="EB131" s="435" t="str">
        <f t="shared" si="1200"/>
        <v/>
      </c>
      <c r="EC131" s="435" t="str">
        <f t="shared" si="1201"/>
        <v/>
      </c>
      <c r="ED131" s="435" t="str">
        <f t="shared" si="1202"/>
        <v/>
      </c>
      <c r="EE131" s="435" t="str">
        <f t="shared" si="1203"/>
        <v/>
      </c>
      <c r="EF131" s="435" t="str">
        <f t="shared" si="1204"/>
        <v/>
      </c>
      <c r="EG131" s="435" t="str">
        <f t="shared" si="1205"/>
        <v/>
      </c>
      <c r="EH131" s="435" t="str">
        <f t="shared" si="1206"/>
        <v/>
      </c>
      <c r="EI131" s="435" t="str">
        <f t="shared" si="1207"/>
        <v/>
      </c>
      <c r="EJ131" s="435" t="str">
        <f t="shared" si="1208"/>
        <v/>
      </c>
      <c r="EK131" s="485"/>
      <c r="EL131" s="485"/>
      <c r="EM131" s="485"/>
      <c r="EN131" s="485"/>
      <c r="EO131" s="448"/>
      <c r="EP131" s="448"/>
      <c r="EQ131" s="448"/>
      <c r="ER131" s="448"/>
      <c r="ES131" s="448"/>
      <c r="ET131" s="435"/>
      <c r="EU131" s="435"/>
      <c r="EV131" s="435"/>
      <c r="EW131" s="435"/>
      <c r="EX131" s="426"/>
      <c r="EY131" s="426"/>
      <c r="EZ131" s="426"/>
      <c r="FA131" s="863"/>
      <c r="FB131" s="427">
        <f t="array" ref="FB131">IF(SUM((FA131=$FA$3:FA130)*1)=0,FA131,0)</f>
        <v>0</v>
      </c>
      <c r="FC131" s="863"/>
      <c r="FD131" s="863"/>
      <c r="FE131" s="863">
        <f t="array" ref="FE131">IF(SUM((FD131=$FD$3:FD130)*1)=0,FD131,0)</f>
        <v>0</v>
      </c>
      <c r="FF131" s="863"/>
      <c r="FG131" s="863"/>
      <c r="FH131" s="863"/>
      <c r="FI131" s="427">
        <f t="array" ref="FI131">IF(SUM((FH131=$FH$3:FH130)*1)=0,FH131,0)</f>
        <v>0</v>
      </c>
      <c r="FJ131" s="863"/>
      <c r="FK131" s="863"/>
      <c r="FL131" s="863">
        <f t="array" ref="FL131">IF(SUM((FK131=$FK$3:FK130)*1)=0,FK131,0)</f>
        <v>0</v>
      </c>
      <c r="FM131" s="863"/>
      <c r="FN131" s="863"/>
      <c r="FO131" s="863"/>
      <c r="FP131" s="427">
        <f t="array" ref="FP131">IF(SUM((FO131=$FO$3:FO130)*1)=0,FO131,0)</f>
        <v>0</v>
      </c>
      <c r="FQ131" s="863"/>
      <c r="FR131" s="863"/>
      <c r="FS131" s="863">
        <f t="array" ref="FS131">IF(SUM((FR131=$FR$3:FR130)*1)=0,FR131,0)</f>
        <v>0</v>
      </c>
      <c r="FT131" s="863"/>
      <c r="FU131" s="863"/>
      <c r="FV131" s="863"/>
      <c r="FW131" s="427">
        <f t="array" ref="FW131">IF(SUM((FV131=$FV$3:FV130)*1)=0,FV131,0)</f>
        <v>0</v>
      </c>
      <c r="FX131" s="863"/>
      <c r="FY131" s="863"/>
      <c r="FZ131" s="863">
        <f t="array" ref="FZ131">IF(SUM((FY131=$FY$3:FY130)*1)=0,FY131,0)</f>
        <v>0</v>
      </c>
      <c r="GA131" s="863"/>
      <c r="GB131" s="863"/>
      <c r="GC131" s="863"/>
      <c r="GD131" s="427">
        <f t="array" ref="GD131">IF(SUM((GC131=$GC$3:GC130)*1)=0,GC131,0)</f>
        <v>0</v>
      </c>
      <c r="GE131" s="863"/>
      <c r="GF131" s="863"/>
      <c r="GG131" s="863">
        <f t="array" ref="GG131">IF(SUM((GF131=$GF$3:GF130)*1)=0,GF131,0)</f>
        <v>0</v>
      </c>
      <c r="GH131" s="863"/>
      <c r="GI131" s="863"/>
      <c r="GJ131" s="863"/>
      <c r="GK131" s="798">
        <f t="array" ref="GK131">IF(SUM((GJ131=$GJ$3:GJ130)*1)=0,GJ131,0)</f>
        <v>0</v>
      </c>
      <c r="GL131" s="863"/>
      <c r="GM131" s="863"/>
      <c r="GN131" s="798">
        <f t="array" ref="GN131">IF(SUM((GM131=$GM$3:GM130)*1)=0,GM131,0)</f>
        <v>0</v>
      </c>
      <c r="GO131" s="863"/>
      <c r="GP131" s="863"/>
      <c r="GQ131" s="863"/>
      <c r="GR131" s="798">
        <f t="array" ref="GR131">IF(SUM((GQ131=$GQ$3:GQ130)*1)=0,GQ131,0)</f>
        <v>0</v>
      </c>
      <c r="GS131" s="863"/>
      <c r="GT131" s="863"/>
      <c r="GU131" s="798">
        <f t="array" ref="GU131">IF(SUM((GT131=$GT$3:GT130)*1)=0,GT131,0)</f>
        <v>0</v>
      </c>
      <c r="GV131" s="863"/>
      <c r="GW131" s="863"/>
      <c r="GX131" s="863"/>
      <c r="GY131" s="798">
        <f t="array" ref="GY131">IF(SUM((GX131=$GX$3:GX130)*1)=0,GX131,0)</f>
        <v>0</v>
      </c>
      <c r="GZ131" s="863"/>
      <c r="HA131" s="863"/>
      <c r="HB131" s="798">
        <f t="array" ref="HB131">IF(SUM((HA131=$HA$3:HA130)*1)=0,HA131,0)</f>
        <v>0</v>
      </c>
      <c r="HC131" s="863"/>
      <c r="HD131" s="863"/>
      <c r="HE131" s="769" t="str">
        <f t="shared" si="889"/>
        <v/>
      </c>
      <c r="HF131" s="768" t="str">
        <f t="shared" ref="HF131" si="1520">IF(HE131&lt;0,"Invadiu REP-BA-C","")</f>
        <v/>
      </c>
      <c r="HG131" s="769" t="str">
        <f t="shared" si="891"/>
        <v/>
      </c>
      <c r="HH131" s="768" t="str">
        <f t="shared" si="815"/>
        <v/>
      </c>
      <c r="HI131" s="728" t="str">
        <f t="shared" si="892"/>
        <v/>
      </c>
      <c r="HJ131" s="768" t="str">
        <f t="shared" si="816"/>
        <v/>
      </c>
      <c r="HK131" s="728" t="str">
        <f t="shared" si="893"/>
        <v/>
      </c>
      <c r="HL131" s="768" t="str">
        <f t="shared" si="817"/>
        <v/>
      </c>
      <c r="HM131" s="769" t="str">
        <f t="shared" si="1219"/>
        <v/>
      </c>
      <c r="HN131" s="768" t="str">
        <f t="shared" ref="HN131" si="1521">IF(HM131&lt;0,"Invadiu REP-BA-C","")</f>
        <v/>
      </c>
      <c r="HO131" s="769" t="str">
        <f t="shared" si="1221"/>
        <v/>
      </c>
      <c r="HP131" s="768" t="str">
        <f t="shared" si="821"/>
        <v/>
      </c>
      <c r="HQ131" s="728" t="str">
        <f t="shared" si="1222"/>
        <v/>
      </c>
      <c r="HR131" s="768" t="str">
        <f t="shared" si="823"/>
        <v/>
      </c>
      <c r="HS131" s="728" t="str">
        <f t="shared" si="1223"/>
        <v/>
      </c>
      <c r="HT131" s="768" t="str">
        <f t="shared" si="825"/>
        <v/>
      </c>
      <c r="HU131" s="769" t="str">
        <f t="shared" si="1224"/>
        <v/>
      </c>
      <c r="HV131" s="768" t="str">
        <f t="shared" ref="HV131" si="1522">IF(HU131&lt;0,"Invadiu REP-BA-C","")</f>
        <v/>
      </c>
      <c r="HW131" s="769" t="str">
        <f t="shared" si="1226"/>
        <v/>
      </c>
      <c r="HX131" s="768" t="str">
        <f t="shared" si="829"/>
        <v/>
      </c>
      <c r="HY131" s="728" t="str">
        <f t="shared" si="1227"/>
        <v/>
      </c>
      <c r="HZ131" s="768" t="str">
        <f t="shared" si="831"/>
        <v/>
      </c>
      <c r="IA131" s="728" t="str">
        <f t="shared" si="1228"/>
        <v/>
      </c>
      <c r="IB131" s="768" t="str">
        <f t="shared" si="833"/>
        <v/>
      </c>
      <c r="IC131" s="769" t="str">
        <f t="shared" si="1229"/>
        <v/>
      </c>
      <c r="ID131" s="768" t="str">
        <f t="shared" ref="ID131" si="1523">IF(IC131&lt;0,"Invadiu REP-BA-C","")</f>
        <v/>
      </c>
      <c r="IE131" s="769" t="str">
        <f t="shared" si="1231"/>
        <v/>
      </c>
      <c r="IF131" s="768" t="str">
        <f t="shared" si="837"/>
        <v/>
      </c>
      <c r="IG131" s="728" t="str">
        <f t="shared" si="1232"/>
        <v/>
      </c>
      <c r="IH131" s="768" t="str">
        <f t="shared" si="839"/>
        <v/>
      </c>
      <c r="II131" s="728" t="str">
        <f t="shared" si="1233"/>
        <v/>
      </c>
      <c r="IJ131" s="768" t="str">
        <f t="shared" si="841"/>
        <v/>
      </c>
      <c r="IK131" s="769" t="str">
        <f t="shared" si="1234"/>
        <v/>
      </c>
      <c r="IL131" s="768" t="str">
        <f t="shared" ref="IL131" si="1524">IF(IK131&lt;0,"Invadiu REP-BA-C","")</f>
        <v/>
      </c>
      <c r="IM131" s="769" t="str">
        <f t="shared" si="1236"/>
        <v/>
      </c>
      <c r="IN131" s="768" t="str">
        <f t="shared" si="845"/>
        <v/>
      </c>
      <c r="IO131" s="728" t="str">
        <f t="shared" si="1237"/>
        <v/>
      </c>
      <c r="IP131" s="768" t="str">
        <f t="shared" si="847"/>
        <v/>
      </c>
      <c r="IQ131" s="728" t="str">
        <f t="shared" si="1238"/>
        <v/>
      </c>
      <c r="IR131" s="768" t="str">
        <f t="shared" si="849"/>
        <v/>
      </c>
      <c r="IS131" s="769" t="str">
        <f t="shared" si="1239"/>
        <v/>
      </c>
      <c r="IT131" s="768" t="str">
        <f t="shared" ref="IT131" si="1525">IF(IS131&lt;0,"Invadiu REP-BA-C","")</f>
        <v/>
      </c>
      <c r="IU131" s="769" t="str">
        <f t="shared" si="1241"/>
        <v/>
      </c>
      <c r="IV131" s="768" t="str">
        <f t="shared" si="853"/>
        <v/>
      </c>
      <c r="IW131" s="728" t="str">
        <f t="shared" si="1242"/>
        <v/>
      </c>
      <c r="IX131" s="768" t="str">
        <f t="shared" si="855"/>
        <v/>
      </c>
      <c r="IY131" s="728" t="str">
        <f t="shared" si="1243"/>
        <v/>
      </c>
      <c r="IZ131" s="768" t="str">
        <f t="shared" si="857"/>
        <v/>
      </c>
      <c r="JA131" s="769" t="str">
        <f t="shared" si="1244"/>
        <v/>
      </c>
      <c r="JB131" s="768" t="str">
        <f t="shared" ref="JB131" si="1526">IF(JA131&lt;0,"Invadiu REP-BA-C","")</f>
        <v/>
      </c>
      <c r="JC131" s="769" t="str">
        <f t="shared" si="1246"/>
        <v/>
      </c>
      <c r="JD131" s="768" t="str">
        <f t="shared" si="861"/>
        <v/>
      </c>
      <c r="JE131" s="728" t="str">
        <f t="shared" si="1247"/>
        <v/>
      </c>
      <c r="JF131" s="768" t="str">
        <f t="shared" si="863"/>
        <v/>
      </c>
      <c r="JG131" s="728" t="str">
        <f t="shared" si="1248"/>
        <v/>
      </c>
      <c r="JH131" s="768" t="str">
        <f t="shared" si="865"/>
        <v/>
      </c>
      <c r="JI131" s="769" t="str">
        <f t="shared" si="1249"/>
        <v/>
      </c>
      <c r="JJ131" s="768" t="str">
        <f t="shared" ref="JJ131" si="1527">IF(JI131&lt;0,"Invadiu REP-BA-C","")</f>
        <v/>
      </c>
      <c r="JK131" s="769" t="str">
        <f t="shared" si="1251"/>
        <v/>
      </c>
      <c r="JL131" s="768" t="str">
        <f t="shared" si="869"/>
        <v/>
      </c>
      <c r="JM131" s="728" t="str">
        <f t="shared" si="1252"/>
        <v/>
      </c>
      <c r="JN131" s="768" t="str">
        <f t="shared" si="871"/>
        <v/>
      </c>
      <c r="JO131" s="728" t="str">
        <f t="shared" si="1253"/>
        <v/>
      </c>
      <c r="JP131" s="768" t="str">
        <f t="shared" si="873"/>
        <v/>
      </c>
      <c r="JQ131" s="769" t="str">
        <f t="shared" si="1254"/>
        <v/>
      </c>
      <c r="JR131" s="768" t="str">
        <f t="shared" ref="JR131" si="1528">IF(JQ131&lt;0,"Invadiu REP-BA-C","")</f>
        <v/>
      </c>
      <c r="JS131" s="769" t="str">
        <f t="shared" si="1256"/>
        <v/>
      </c>
      <c r="JT131" s="768" t="str">
        <f t="shared" si="877"/>
        <v/>
      </c>
      <c r="JU131" s="728" t="str">
        <f t="shared" si="1257"/>
        <v/>
      </c>
      <c r="JV131" s="768" t="str">
        <f t="shared" si="879"/>
        <v/>
      </c>
      <c r="JW131" s="728" t="str">
        <f t="shared" si="1258"/>
        <v/>
      </c>
      <c r="JX131" s="768" t="str">
        <f t="shared" si="881"/>
        <v/>
      </c>
      <c r="JY131" s="768" t="str">
        <f t="shared" si="882"/>
        <v/>
      </c>
      <c r="JZ131" s="485" t="str">
        <f>IF(JY131="","",IF(AND(C131=$C$164,JY131&lt;&gt;""),Verificarcpf(D131),IF(AND(C131=$C$165,JY131&lt;&gt;""),VerificarCNPJ(D131))))</f>
        <v/>
      </c>
      <c r="KA131" s="768" t="str">
        <f t="shared" si="883"/>
        <v/>
      </c>
      <c r="KB131" s="485">
        <f t="shared" si="884"/>
        <v>0</v>
      </c>
      <c r="KC131" s="768">
        <f t="shared" si="885"/>
        <v>0</v>
      </c>
      <c r="KD131" s="485">
        <f t="shared" si="886"/>
        <v>0</v>
      </c>
      <c r="KE131" s="448"/>
      <c r="KF131" s="548"/>
      <c r="KG131" s="548"/>
      <c r="KH131" s="548"/>
      <c r="KI131" s="548"/>
      <c r="KJ131" s="548" t="str">
        <f t="shared" si="887"/>
        <v/>
      </c>
      <c r="KK131" s="548"/>
      <c r="KL131" s="548"/>
      <c r="KM131" s="548">
        <f t="array" ref="KM131">IF(SUM((KL131=$KL$3:KL130)*1)=0,KL131,0)</f>
        <v>0</v>
      </c>
      <c r="KN131" s="548"/>
      <c r="KO131" s="548"/>
      <c r="KP131" s="548"/>
      <c r="KQ131" s="548"/>
      <c r="KR131" s="548" t="str">
        <f t="shared" si="888"/>
        <v/>
      </c>
      <c r="KS131" s="548"/>
      <c r="KT131" s="548"/>
      <c r="KU131" s="548"/>
      <c r="KV131" s="548"/>
      <c r="KW131" s="548"/>
      <c r="KX131" s="548"/>
      <c r="KY131" s="548"/>
      <c r="KZ131" s="548"/>
      <c r="LA131" s="548"/>
      <c r="LB131" s="548"/>
      <c r="LC131" s="485" t="str">
        <f t="shared" si="902"/>
        <v/>
      </c>
      <c r="LD131" s="548"/>
      <c r="LE131" s="548"/>
      <c r="LF131" s="548"/>
      <c r="LG131" s="548"/>
      <c r="LH131" s="548"/>
      <c r="LI131" s="548"/>
      <c r="LJ131" s="548"/>
      <c r="LK131" s="548"/>
      <c r="LL131" s="548"/>
      <c r="LM131" s="548"/>
      <c r="LN131" s="548"/>
      <c r="LO131" s="548"/>
      <c r="LP131" s="485" t="str">
        <f t="shared" si="903"/>
        <v/>
      </c>
      <c r="LQ131" s="548"/>
      <c r="LR131" s="548"/>
      <c r="LS131" s="548"/>
      <c r="LT131" s="548"/>
      <c r="LU131" s="548"/>
      <c r="LV131" s="548"/>
      <c r="LW131" s="548"/>
      <c r="LX131" s="548"/>
      <c r="LY131" s="548"/>
      <c r="LZ131" s="548"/>
      <c r="MA131" s="548"/>
      <c r="MB131" s="548"/>
      <c r="MC131" s="485" t="str">
        <f t="shared" si="904"/>
        <v/>
      </c>
      <c r="MD131" s="548"/>
      <c r="ME131" s="548"/>
      <c r="MF131" s="548"/>
      <c r="MG131" s="548"/>
      <c r="MH131" s="548"/>
      <c r="MI131" s="548"/>
      <c r="MJ131" s="548"/>
      <c r="MK131" s="548"/>
      <c r="ML131" s="548"/>
      <c r="MM131" s="548"/>
      <c r="MN131" s="548"/>
      <c r="MO131" s="548"/>
      <c r="MP131" s="485" t="str">
        <f t="shared" si="905"/>
        <v/>
      </c>
      <c r="MQ131" s="548"/>
      <c r="MR131" s="548"/>
      <c r="MS131" s="548"/>
      <c r="MT131" s="548"/>
      <c r="MU131" s="548"/>
      <c r="MV131" s="548"/>
      <c r="MW131" s="548"/>
      <c r="MX131" s="548"/>
      <c r="MY131" s="548"/>
      <c r="MZ131" s="548"/>
      <c r="NA131" s="548"/>
      <c r="NB131" s="548"/>
      <c r="NC131" s="485" t="str">
        <f t="shared" si="906"/>
        <v/>
      </c>
      <c r="ND131" s="548"/>
      <c r="NE131" s="548"/>
      <c r="NF131" s="548"/>
      <c r="NG131" s="548"/>
      <c r="NH131" s="548"/>
      <c r="NI131" s="548"/>
      <c r="NJ131" s="548"/>
      <c r="NK131" s="548"/>
      <c r="NL131" s="548"/>
      <c r="NM131" s="548"/>
      <c r="NN131" s="548"/>
      <c r="NO131" s="548"/>
      <c r="NP131" s="485" t="str">
        <f t="shared" si="907"/>
        <v/>
      </c>
      <c r="NQ131" s="548"/>
      <c r="NR131" s="548"/>
      <c r="NS131" s="548"/>
      <c r="NT131" s="548"/>
      <c r="NU131" s="548"/>
      <c r="NV131" s="548"/>
      <c r="NW131" s="548"/>
      <c r="NX131" s="548"/>
      <c r="NY131" s="548"/>
      <c r="NZ131" s="548"/>
      <c r="OA131" s="548"/>
      <c r="OB131" s="548"/>
      <c r="OC131" s="485" t="str">
        <f t="shared" si="908"/>
        <v/>
      </c>
      <c r="OD131" s="548"/>
      <c r="OE131" s="548"/>
      <c r="OF131" s="548"/>
      <c r="OG131" s="548"/>
      <c r="OH131" s="548"/>
      <c r="OI131" s="548"/>
      <c r="OJ131" s="548"/>
      <c r="OK131" s="548"/>
      <c r="OL131" s="548"/>
      <c r="OM131" s="548"/>
      <c r="ON131" s="548"/>
      <c r="OO131" s="548"/>
      <c r="OP131" s="548"/>
      <c r="OQ131" s="548"/>
      <c r="OR131" s="548"/>
      <c r="OS131" s="548"/>
      <c r="OT131" s="548"/>
      <c r="OU131" s="548"/>
      <c r="OV131" s="548"/>
      <c r="OW131" s="548"/>
      <c r="OX131" s="548"/>
      <c r="OY131" s="548"/>
      <c r="OZ131" s="548"/>
      <c r="PA131" s="548"/>
      <c r="PB131" s="548"/>
      <c r="PC131" s="548"/>
      <c r="PD131" s="548"/>
      <c r="PE131" s="548"/>
      <c r="PF131" s="548"/>
      <c r="PG131" s="548"/>
      <c r="PH131" s="548"/>
      <c r="PI131" s="548"/>
      <c r="PJ131" s="548"/>
      <c r="PK131" s="548"/>
      <c r="PL131" s="548"/>
      <c r="PM131" s="548"/>
      <c r="PN131" s="548"/>
      <c r="PO131" s="548"/>
      <c r="PP131" s="548"/>
      <c r="PQ131" s="548"/>
      <c r="PR131" s="548"/>
      <c r="PS131" s="548"/>
      <c r="PT131" s="548"/>
      <c r="PU131" s="548"/>
      <c r="PV131" s="548"/>
      <c r="PW131" s="548"/>
      <c r="PX131" s="548"/>
      <c r="PY131" s="548"/>
      <c r="PZ131" s="548"/>
      <c r="QA131" s="548"/>
      <c r="QB131" s="548"/>
      <c r="QC131" s="548"/>
      <c r="QD131" s="548"/>
      <c r="QE131" s="548"/>
      <c r="QF131" s="548"/>
      <c r="QG131" s="548"/>
      <c r="QH131" s="548"/>
      <c r="QI131" s="548"/>
      <c r="QJ131" s="548"/>
      <c r="QK131" s="548"/>
      <c r="QL131" s="548"/>
      <c r="QM131" s="548"/>
      <c r="QN131" s="548"/>
      <c r="QO131" s="548"/>
      <c r="QP131" s="548"/>
      <c r="QQ131" s="1009"/>
      <c r="QR131" s="548"/>
      <c r="QS131" s="548"/>
      <c r="QT131" s="548"/>
      <c r="QU131" s="548"/>
      <c r="QV131" s="548"/>
      <c r="QW131" s="548"/>
      <c r="QX131" s="548"/>
      <c r="QY131" s="548"/>
      <c r="QZ131" s="548"/>
      <c r="RA131" s="548"/>
      <c r="RB131" s="548"/>
      <c r="RC131" s="548"/>
      <c r="RD131" s="548"/>
      <c r="RE131" s="548"/>
      <c r="RF131" s="548"/>
      <c r="RG131" s="548"/>
      <c r="RH131" s="548"/>
      <c r="RI131" s="548"/>
      <c r="RJ131" s="548"/>
      <c r="RK131" s="548"/>
      <c r="RL131" s="548"/>
      <c r="RM131" s="548"/>
      <c r="RN131" s="548"/>
      <c r="RO131" s="548"/>
      <c r="RP131" s="548"/>
      <c r="RQ131" s="548"/>
      <c r="RR131" s="548"/>
      <c r="RS131" s="548"/>
      <c r="RT131" s="548"/>
      <c r="RU131" s="548"/>
      <c r="RV131" s="548"/>
      <c r="RW131" s="548"/>
      <c r="RX131" s="548"/>
      <c r="RY131" s="548"/>
      <c r="RZ131" s="548"/>
      <c r="SA131" s="548"/>
      <c r="SB131" s="548"/>
      <c r="SC131" s="548"/>
      <c r="SD131" s="548"/>
      <c r="SE131" s="548"/>
      <c r="SF131" s="548"/>
      <c r="SG131" s="548"/>
      <c r="SH131" s="548"/>
      <c r="SI131" s="548"/>
      <c r="SJ131" s="548"/>
      <c r="SK131" s="548"/>
      <c r="SL131" s="548"/>
      <c r="SM131" s="548"/>
      <c r="SN131" s="548"/>
      <c r="SO131" s="548"/>
      <c r="SP131" s="548"/>
      <c r="SQ131" s="548"/>
      <c r="SR131" s="548"/>
      <c r="SS131" s="548"/>
      <c r="ST131" s="548"/>
      <c r="SU131" s="548"/>
      <c r="SV131" s="548"/>
      <c r="SW131" s="548"/>
      <c r="SX131" s="548"/>
      <c r="SY131" s="548"/>
      <c r="SZ131" s="548"/>
      <c r="TA131" s="548"/>
      <c r="TB131" s="548"/>
      <c r="TC131" s="548"/>
      <c r="TD131" s="548"/>
      <c r="TE131" s="548"/>
      <c r="TF131" s="548"/>
      <c r="TG131" s="548"/>
      <c r="TH131" s="548"/>
      <c r="TI131" s="548"/>
      <c r="TJ131" s="548"/>
      <c r="TK131" s="548"/>
      <c r="TL131" s="548"/>
      <c r="TM131" s="548"/>
      <c r="TN131" s="548"/>
      <c r="TO131" s="548"/>
      <c r="TP131" s="548"/>
      <c r="TQ131" s="548"/>
      <c r="TR131" s="548"/>
      <c r="TS131" s="548"/>
      <c r="TT131" s="548"/>
      <c r="TU131" s="548"/>
      <c r="TV131" s="548"/>
      <c r="TW131" s="548"/>
      <c r="TX131" s="548"/>
      <c r="TY131" s="548"/>
      <c r="TZ131" s="548"/>
      <c r="UA131" s="548"/>
      <c r="UB131" s="548"/>
      <c r="UC131" s="548"/>
      <c r="UD131" s="548"/>
      <c r="UE131" s="548"/>
      <c r="UF131" s="548"/>
      <c r="UG131" s="548"/>
      <c r="UH131" s="548"/>
      <c r="UI131" s="548"/>
      <c r="UJ131" s="548"/>
      <c r="UK131" s="548"/>
      <c r="UL131" s="548"/>
      <c r="UM131" s="548"/>
      <c r="UN131" s="548"/>
      <c r="UO131" s="548"/>
      <c r="UP131" s="548"/>
      <c r="UQ131" s="548"/>
      <c r="UR131" s="548"/>
      <c r="US131" s="548"/>
      <c r="UT131" s="548"/>
      <c r="UU131" s="548"/>
      <c r="UV131" s="548"/>
      <c r="UW131" s="548"/>
      <c r="UX131" s="548"/>
      <c r="UY131" s="548"/>
      <c r="UZ131" s="548"/>
      <c r="VA131" s="548"/>
      <c r="VB131" s="548"/>
      <c r="VC131" s="548"/>
      <c r="VD131" s="548"/>
      <c r="VE131" s="548"/>
      <c r="VF131" s="548"/>
      <c r="VG131" s="548"/>
      <c r="VH131" s="548"/>
      <c r="VI131" s="548"/>
      <c r="VJ131" s="548"/>
      <c r="VK131" s="548"/>
      <c r="VL131" s="548"/>
      <c r="VM131" s="548"/>
      <c r="VN131" s="548"/>
      <c r="VO131" s="548"/>
      <c r="VP131" s="548"/>
      <c r="VQ131" s="548"/>
      <c r="VR131" s="548"/>
      <c r="VS131" s="548"/>
      <c r="VT131" s="548"/>
      <c r="VU131" s="548"/>
      <c r="VV131" s="548"/>
      <c r="VW131" s="548"/>
      <c r="VX131" s="548"/>
      <c r="VY131" s="548"/>
      <c r="VZ131" s="548"/>
      <c r="WA131" s="548"/>
      <c r="WB131" s="548"/>
      <c r="WC131" s="548"/>
      <c r="WD131" s="548"/>
      <c r="WE131" s="548"/>
      <c r="WF131" s="548"/>
      <c r="WG131" s="548"/>
      <c r="WH131" s="548"/>
      <c r="WI131" s="548"/>
      <c r="WJ131" s="548"/>
      <c r="WK131" s="548"/>
      <c r="WL131" s="548"/>
      <c r="WM131" s="548"/>
      <c r="WN131" s="548"/>
      <c r="WO131" s="548"/>
      <c r="WP131" s="548"/>
      <c r="WQ131" s="548"/>
      <c r="WR131" s="548"/>
      <c r="WS131" s="548"/>
      <c r="WT131" s="548"/>
      <c r="WU131" s="548"/>
      <c r="WV131" s="548"/>
      <c r="WW131" s="548"/>
      <c r="WX131" s="548"/>
      <c r="WY131" s="548"/>
      <c r="WZ131" s="548"/>
      <c r="XA131" s="548"/>
      <c r="XB131" s="548"/>
      <c r="XC131" s="548"/>
      <c r="XD131" s="548"/>
      <c r="XE131" s="548"/>
      <c r="XF131" s="548"/>
      <c r="XG131" s="548"/>
      <c r="XH131" s="548"/>
      <c r="XI131" s="548"/>
      <c r="XJ131" s="548"/>
      <c r="XK131" s="548"/>
      <c r="XL131" s="548"/>
      <c r="XM131" s="548"/>
      <c r="XN131" s="548"/>
      <c r="XO131" s="548"/>
      <c r="XP131" s="548"/>
      <c r="XQ131" s="548"/>
      <c r="XR131" s="548"/>
      <c r="XS131" s="548"/>
      <c r="XT131" s="548"/>
      <c r="XU131" s="548"/>
      <c r="XV131" s="548"/>
      <c r="XW131" s="548"/>
      <c r="XX131" s="548"/>
      <c r="XY131" s="548"/>
      <c r="XZ131" s="548"/>
      <c r="YA131" s="548"/>
      <c r="YB131" s="548"/>
      <c r="YC131" s="548"/>
      <c r="YD131" s="548"/>
      <c r="YE131" s="548"/>
      <c r="YF131" s="548"/>
      <c r="YG131" s="548"/>
      <c r="YH131" s="548"/>
      <c r="YI131" s="548"/>
      <c r="YJ131" s="548"/>
      <c r="YK131" s="548"/>
      <c r="YL131" s="548"/>
      <c r="YM131" s="548"/>
      <c r="YN131" s="548"/>
      <c r="YO131" s="548"/>
      <c r="YP131" s="548"/>
      <c r="YQ131" s="548"/>
      <c r="YR131" s="548"/>
      <c r="YS131" s="548"/>
      <c r="YT131" s="548"/>
      <c r="YU131" s="548"/>
      <c r="YV131" s="548"/>
      <c r="YW131" s="548"/>
      <c r="YX131" s="548"/>
      <c r="YY131" s="548"/>
      <c r="YZ131" s="548"/>
      <c r="ZA131" s="548"/>
      <c r="ZB131" s="548"/>
      <c r="ZC131" s="548"/>
      <c r="ZD131" s="548"/>
      <c r="ZE131" s="548"/>
      <c r="ZF131" s="548"/>
      <c r="ZG131" s="548"/>
      <c r="ZH131" s="548"/>
      <c r="ZI131" s="548"/>
      <c r="ZJ131" s="548"/>
      <c r="ZK131" s="548"/>
      <c r="ZL131" s="548"/>
      <c r="ZM131" s="548"/>
      <c r="ZN131" s="548"/>
      <c r="ZO131" s="548"/>
      <c r="ZP131" s="548"/>
      <c r="ZQ131" s="548"/>
      <c r="ZR131" s="548"/>
      <c r="ZS131" s="548"/>
      <c r="ZT131" s="548"/>
      <c r="ZU131" s="548"/>
      <c r="ZV131" s="548"/>
      <c r="ZW131" s="548"/>
      <c r="ZX131" s="548"/>
      <c r="ZY131" s="548"/>
      <c r="ZZ131" s="548"/>
      <c r="AAA131" s="548"/>
      <c r="AAB131" s="548"/>
      <c r="AAC131" s="548"/>
      <c r="AAD131" s="548"/>
      <c r="AAE131" s="548"/>
      <c r="AAF131" s="548"/>
      <c r="AAG131" s="548"/>
      <c r="AAH131" s="548"/>
      <c r="AAI131" s="548"/>
      <c r="AAJ131" s="548"/>
      <c r="AAK131" s="548"/>
      <c r="AAL131" s="548"/>
      <c r="AAM131" s="548"/>
      <c r="AAN131" s="548"/>
      <c r="AAO131" s="548"/>
      <c r="AAP131" s="548"/>
      <c r="AAQ131" s="548"/>
      <c r="AAR131" s="548"/>
      <c r="AAS131" s="548"/>
      <c r="AAT131" s="548"/>
      <c r="AAU131" s="548"/>
      <c r="AAV131" s="548"/>
      <c r="AAW131" s="548"/>
      <c r="AAX131" s="548"/>
      <c r="AAY131" s="548"/>
      <c r="AAZ131" s="548"/>
      <c r="ABA131" s="548"/>
      <c r="ABB131" s="548"/>
      <c r="ABC131" s="548"/>
      <c r="ABD131" s="548"/>
      <c r="ABE131" s="548"/>
      <c r="ABF131" s="548"/>
      <c r="ABG131" s="548"/>
      <c r="ABH131" s="548"/>
      <c r="ABI131" s="548"/>
      <c r="ABJ131" s="548"/>
      <c r="ABK131" s="548"/>
      <c r="ABL131" s="548"/>
      <c r="ABM131" s="548"/>
      <c r="ABN131" s="548"/>
      <c r="ABO131" s="548"/>
      <c r="ABP131" s="548"/>
      <c r="ABQ131" s="548"/>
      <c r="ABR131" s="548"/>
      <c r="ABS131" s="548"/>
    </row>
    <row r="132" spans="1:747" customFormat="1" ht="15" customHeight="1" thickBot="1" x14ac:dyDescent="0.25">
      <c r="A132" s="424" t="str">
        <f t="shared" si="909"/>
        <v/>
      </c>
      <c r="B132" s="415"/>
      <c r="C132" s="525"/>
      <c r="D132" s="750"/>
      <c r="E132" s="416" t="str">
        <f t="shared" ref="E132:E163" si="1529">IF(G132="","",IF(G132=$G$206,"",IF(OR(G132=$G$202,G132=$G$210,G132=$G$213),$E$201,$E$202)))</f>
        <v/>
      </c>
      <c r="F132" s="527" t="str">
        <f t="shared" ref="F132:F163" si="1530">IF(G132="","",IF(OR(G132=$G$201,G132=$G$202,G132=$G$203,G132=$G$204,G132=$G$206,G132=$G$210,G132=$G$211,G132=$G$212,G132=$G$213),"",IF(OR(G132=$G$205,G132=$G$209,G132=$G$214,G132=$G$216,G132=$G$217),$F$202,IF(OR(G132=$G$207,G132=$G$208,G132=$G$215),$F$201))))</f>
        <v/>
      </c>
      <c r="G132" s="417"/>
      <c r="H132" s="585" t="str">
        <f t="shared" ref="H132:H163" si="1531">IF(AND(E132="",F132="",G132=""),"",IF(AND(E132="",F132="",G132=$G$226),$M$164,IF(AND(E132&lt;&gt;"",F132="",G132&lt;&gt;""),E132&amp;" - "&amp;G132&amp;" - "&amp;M132,IF(AND(E132&lt;&gt;"",F132&lt;&gt;"",G132=""),E132&amp;" - "&amp;F132&amp;" - "&amp;M132,IF(AND(E132&lt;&gt;"",F132&lt;&gt;"",G132&lt;&gt;""),E132&amp;" - "&amp;F132&amp;" - "&amp;G132&amp;" - "&amp;M132)))))</f>
        <v/>
      </c>
      <c r="I132" s="424"/>
      <c r="J132" s="419"/>
      <c r="K132" s="418"/>
      <c r="L132" s="419"/>
      <c r="M132" s="415"/>
      <c r="N132" s="420"/>
      <c r="O132" s="421"/>
      <c r="P132" s="561"/>
      <c r="Q132" s="422"/>
      <c r="R132" s="561" t="str">
        <f t="shared" ref="R132:R163" si="1532">IF(P132="","",P132)</f>
        <v/>
      </c>
      <c r="S132" s="664"/>
      <c r="T132" s="663"/>
      <c r="U132" s="580">
        <f t="shared" ref="U132:U163" si="1533">IFERROR(IF(S132+T132=0,0,1),$KG$11)</f>
        <v>0</v>
      </c>
      <c r="V132" s="418"/>
      <c r="W132" s="582" t="str">
        <f t="shared" ref="W132:W163" si="1534">IF($S132="","",IF($S132&gt;=0.01,$DC132))</f>
        <v/>
      </c>
      <c r="X132" s="479" t="str">
        <f t="shared" ref="X132:X163" si="1535">TRIM(IF(W132="","",H132&amp;" - "&amp;M132))</f>
        <v/>
      </c>
      <c r="Y132" s="582" t="str">
        <f t="shared" ref="Y132:Y163" si="1536">IF($T132="","",IF($T132&gt;=0.01,$DD132))</f>
        <v/>
      </c>
      <c r="Z132" s="317" t="str">
        <f t="shared" ref="Z132:Z163" si="1537">TRIM(IF(Y132="","",H132&amp;" - "&amp;M132))</f>
        <v/>
      </c>
      <c r="AA132" s="317" t="str">
        <f t="shared" ref="AA132:AA163" si="1538">IF(V132=$V$164,T132,"")</f>
        <v/>
      </c>
      <c r="AB132" s="317">
        <f t="shared" ref="AB132:AB163" si="1539">IF(AA132=0,S132,S132+T132)</f>
        <v>0</v>
      </c>
      <c r="AC132" s="317" t="str">
        <f t="shared" ref="AC132:AC163" si="1540">IF(V132="","",IF(V132=$V$165,"",IF(AND(V132=$V$164,S132&gt;0,T132&gt;0),$U$164,IF(AND(V132=$V$164,S132&gt;0,T132=""),$S$164,IF(AND(V132=$V$164,S132="",T132&gt;0),$T$164)))))</f>
        <v/>
      </c>
      <c r="AD132" s="479"/>
      <c r="AE132" s="479"/>
      <c r="AF132" s="479"/>
      <c r="AG132" s="423"/>
      <c r="AH132" s="820"/>
      <c r="AI132" s="437"/>
      <c r="AJ132" s="660"/>
      <c r="AK132" s="524" t="str">
        <f t="shared" ref="AK132:AK163" si="1541">IF(AND(KJ132="",KK132=""),"",IF(AND(KJ132=$KJ$3,KK132=$KK$3),$KF$2,IF(AND(KJ132&lt;&gt;$KJ$3,KK132&lt;&gt;$KK$3),KJ132&amp;" - "&amp;KK132,IF(AND(KJ132=$KJ$3,KK132&lt;&gt;$KK$3),KK132,IF(AND(KJ132&lt;&gt;$KJ$3,KK132=$KK$3),KJ132)))))</f>
        <v/>
      </c>
      <c r="AL132" s="1956" t="s">
        <v>12269</v>
      </c>
      <c r="AM132" s="1957"/>
      <c r="AN132" s="426">
        <f t="shared" ref="AN132:AN163" si="1542">IF(AO132&lt;&gt;"",1,0)</f>
        <v>0</v>
      </c>
      <c r="AO132" s="427" t="str">
        <f t="shared" ref="AO132:AO163" si="1543">IF(AP132&lt;&gt;"",ROW(AP132)-3,"")</f>
        <v/>
      </c>
      <c r="AP132" s="426" t="str">
        <f t="shared" ref="AP132:AP163" si="1544">IF(AQ132="Recibo","R",IF(AQ132="Cupom Fisc.","CF",IF(AQ132="N.F. Serv.","NFS",IF(AQ132="Nota Fiscal","NF",""))))</f>
        <v/>
      </c>
      <c r="AQ132" s="426"/>
      <c r="AR132" s="426"/>
      <c r="AS132" s="428"/>
      <c r="AT132" s="429"/>
      <c r="AU132" s="430"/>
      <c r="AV132" s="431"/>
      <c r="AW132" s="432"/>
      <c r="AX132" s="430"/>
      <c r="AY132" s="431">
        <f t="shared" ref="AY132:AY163" si="1545">(AV132*AW132)</f>
        <v>0</v>
      </c>
      <c r="AZ132" s="426"/>
      <c r="BA132" s="435" t="str">
        <f t="shared" ref="BA132:BA163" si="1546">TRIM(M132)</f>
        <v/>
      </c>
      <c r="BB132" s="435"/>
      <c r="BC132" s="426"/>
      <c r="BD132" s="426">
        <f t="array" ref="BD132">IF(SUM((BC132=$BC$3:BC131)*1)=0,BC132,0)</f>
        <v>0</v>
      </c>
      <c r="BE132" s="426"/>
      <c r="BF132" s="426"/>
      <c r="BG132" s="426">
        <f t="array" ref="BG132">IF(SUM((BF132=$BF$3:BF131)*1)=0,BF132,0)</f>
        <v>0</v>
      </c>
      <c r="BH132" s="426"/>
      <c r="BI132" s="426"/>
      <c r="BJ132" s="426"/>
      <c r="BK132" s="426"/>
      <c r="BL132" s="426"/>
      <c r="BM132" s="426"/>
      <c r="BN132" s="426"/>
      <c r="BO132" s="426"/>
      <c r="BP132" s="433">
        <f t="shared" ref="BP132:BP163" si="1547">IF(S132="",T132,S132)</f>
        <v>0</v>
      </c>
      <c r="BQ132" s="426"/>
      <c r="BR132" s="434"/>
      <c r="BS132" s="426"/>
      <c r="BT132" s="433"/>
      <c r="BU132" s="435"/>
      <c r="BV132" s="435" t="str">
        <f t="shared" ref="BV132:BV163" si="1548">TRIM(IF($J132="","",B132))</f>
        <v/>
      </c>
      <c r="BW132" s="435" t="str">
        <f t="shared" si="798"/>
        <v/>
      </c>
      <c r="BX132" s="435"/>
      <c r="BY132" s="435"/>
      <c r="BZ132" s="435"/>
      <c r="CA132" s="435"/>
      <c r="CB132" s="435"/>
      <c r="CC132" s="435"/>
      <c r="CD132" s="435"/>
      <c r="CE132" s="435"/>
      <c r="CF132" s="435"/>
      <c r="CG132" s="435"/>
      <c r="CH132" s="435"/>
      <c r="CI132" s="435"/>
      <c r="CJ132" s="426" t="str">
        <f t="shared" si="799"/>
        <v/>
      </c>
      <c r="CK132" s="435"/>
      <c r="CL132" s="426"/>
      <c r="CM132" s="435"/>
      <c r="CN132" s="426"/>
      <c r="CO132" s="426"/>
      <c r="CP132" s="426"/>
      <c r="CQ132" s="426"/>
      <c r="CR132" s="426"/>
      <c r="CS132" s="426"/>
      <c r="CT132" s="426"/>
      <c r="CU132" s="426"/>
      <c r="CV132" s="426"/>
      <c r="CW132" s="493"/>
      <c r="CX132" s="493"/>
      <c r="CY132" s="426">
        <v>129</v>
      </c>
      <c r="CZ132" s="493"/>
      <c r="DA132" s="493"/>
      <c r="DB132" s="493"/>
      <c r="DC132" s="426" t="s">
        <v>872</v>
      </c>
      <c r="DD132" s="426" t="s">
        <v>1032</v>
      </c>
      <c r="DE132" s="435" t="str">
        <f t="shared" si="800"/>
        <v/>
      </c>
      <c r="DF132" s="435" t="str">
        <f t="shared" si="801"/>
        <v/>
      </c>
      <c r="DG132" s="435" t="str">
        <f t="shared" si="802"/>
        <v/>
      </c>
      <c r="DH132" s="435" t="str">
        <f t="shared" si="803"/>
        <v/>
      </c>
      <c r="DI132" s="435" t="str">
        <f t="shared" si="804"/>
        <v/>
      </c>
      <c r="DJ132" s="435" t="str">
        <f t="shared" si="805"/>
        <v/>
      </c>
      <c r="DK132" s="435" t="str">
        <f t="shared" ref="DK132:DK163" si="1549">IF(AND($E132="capital",$J132="Volta Aulas",$T132="",$S132&gt;0),$S132,IF(AND($E132="capital",$J132="Volta Aulas",$T132&gt;=0,$S132&gt;0),$S132,IF(AND($E132="capital",$J132="Volta Aulas",$T132&lt;=0,$S132&gt;0),$S132,"")))</f>
        <v/>
      </c>
      <c r="DL132" s="435" t="str">
        <f t="shared" ref="DL132:DL163" si="1550">IF(AND($E132="custeio",$J132="Volta Aulas",$S132="",$T132&gt;0),$T132,IF(AND($E132="custeio",$J132="Volta Aulas",$S132&gt;=0,$T132&gt;0),$T132,IF(AND($E132="custeio",$J132="Volta Aulas",$S132&lt;=0,$T132&gt;0),$T132,"")))</f>
        <v/>
      </c>
      <c r="DM132" s="435" t="str">
        <f t="shared" si="806"/>
        <v/>
      </c>
      <c r="DN132" s="435" t="str">
        <f t="shared" si="807"/>
        <v/>
      </c>
      <c r="DO132" s="435" t="str">
        <f t="shared" ref="DO132:DO163" si="1551">IF(AND($E132="capital",$J132="Futuro",$T132="",$S132&gt;0),$S132,IF(AND($E132="capital",$J132="Futuro",$T132&gt;=0,$S132&gt;0),$S132,IF(AND($E132="capital",$J132="Futuro",$T132&lt;=0,$S132&gt;0),$S132,"")))</f>
        <v/>
      </c>
      <c r="DP132" s="435" t="str">
        <f t="shared" ref="DP132:DP163" si="1552">IF(AND($E132="custeio",$J132="Futuro",$S132="",$T132&gt;0),$T132,IF(AND($E132="custeio",$J132="Futuro",$S132&gt;=0,$T132&gt;0),$T132,IF(AND($E132="custeio",$J132="Futuro",$S132&lt;=0,$T132&gt;0),$T132,"")))</f>
        <v/>
      </c>
      <c r="DQ132" s="435" t="str">
        <f t="shared" si="808"/>
        <v/>
      </c>
      <c r="DR132" s="435" t="str">
        <f t="shared" si="809"/>
        <v/>
      </c>
      <c r="DS132" s="435" t="str">
        <f t="shared" ref="DS132:DS163" si="1553">IF(AND($E132="capital",$J132="Rolê",$T132="",$S132&gt;0),$S132,IF(AND($E132="capital",$J132="Rolê",$T132&gt;=0,$S132&gt;0),$S132,IF(AND($E132="capital",$J132="Rolê",$T132&lt;=0,$S132&gt;0),$S132,"")))</f>
        <v/>
      </c>
      <c r="DT132" s="435" t="str">
        <f t="shared" ref="DT132:DT163" si="1554">IF(AND($E132="custeio",$J132="Rolê",$S132="",$T132&gt;0),$T132,IF(AND($E132="custeio",$J132="Rolê",$S132&gt;=0,$T132&gt;0),$T132,IF(AND($E132="custeio",$J132="Rolê",$S132&lt;=0,$T132&gt;0),$T132,"")))</f>
        <v/>
      </c>
      <c r="DU132" s="435" t="str">
        <f t="shared" si="810"/>
        <v/>
      </c>
      <c r="DV132" s="435" t="str">
        <f t="shared" si="811"/>
        <v/>
      </c>
      <c r="DW132" s="435" t="str">
        <f t="shared" ref="DW132:DW163" si="1555">IF(AND($E132="capital",$J132="Imprensa",$T132="",$S132&gt;0),$S132,IF(AND($E132="capital",$J132="Imprensa",$T132&gt;=0,$S132&gt;0),$S132,IF(AND($E132="capital",$J132="Imprensa",$T132&lt;=0,$S132&gt;0),$S132,"")))</f>
        <v/>
      </c>
      <c r="DX132" s="435" t="str">
        <f t="shared" ref="DX132:DX163" si="1556">IF(AND($E132="custeio",$J132="Imprensa",$S132="",$T132&gt;0),$T132,IF(AND($E132="custeio",$J132="Imprensa",$S132&gt;=0,$T132&gt;0),$T132,IF(AND($E132="custeio",$J132="Imprensa",$S132&lt;=0,$T132&gt;0),$T132,"")))</f>
        <v/>
      </c>
      <c r="DY132" s="435" t="str">
        <f t="shared" si="812"/>
        <v/>
      </c>
      <c r="DZ132" s="435" t="str">
        <f t="shared" si="813"/>
        <v/>
      </c>
      <c r="EA132" s="435" t="str">
        <f t="shared" ref="EA132:EA163" si="1557">IF(AND($E132="capital",$J132="Grêmio",$T132="",$S132&gt;0),$S132,IF(AND($E132="capital",$J132="Grêmio",$T132&gt;=0,$S132&gt;0),$S132,IF(AND($E132="capital",$J132="Grêmio",$T132&lt;=0,$S132&gt;0),$S132,"")))</f>
        <v/>
      </c>
      <c r="EB132" s="435" t="str">
        <f t="shared" ref="EB132:EB163" si="1558">IF(AND($E132="custeio",$J132="Grêmio",$S132="",$T132&gt;0),$T132,IF(AND($E132="custeio",$J132="Grêmio",$S132&gt;=0,$T132&gt;0),$T132,IF(AND($E132="custeio",$J132="Grêmio",$S132&lt;=0,$T132&gt;0),$T132,"")))</f>
        <v/>
      </c>
      <c r="EC132" s="435" t="str">
        <f t="shared" ref="EC132:EC163" si="1559">IF(AND($E132="Capital",$J132="Formação",$S132&gt;=0.01),$EA$2,"")</f>
        <v/>
      </c>
      <c r="ED132" s="435" t="str">
        <f t="shared" ref="ED132:ED163" si="1560">IF(AND($E132="Custeio",$J132="Formação",$T132&gt;=0.01),$EA$3,"")</f>
        <v/>
      </c>
      <c r="EE132" s="435" t="str">
        <f t="shared" ref="EE132:EE163" si="1561">IF(AND($E132="capital",$J132="Formação",$T132="",$S132&gt;0),$S132,IF(AND($E132="capital",$J132="Formação",$T132&gt;=0,$S132&gt;0),$S132,IF(AND($E132="capital",$J132="Formação",$T132&lt;=0,$S132&gt;0),$S132,"")))</f>
        <v/>
      </c>
      <c r="EF132" s="435" t="str">
        <f t="shared" ref="EF132:EF163" si="1562">IF(AND($E132="custeio",$J132="Formação",$S132="",$T132&gt;0),$T132,IF(AND($E132="custeio",$J132="Formação",$S132&gt;=0,$T132&gt;0),$T132,IF(AND($E132="custeio",$J132="Formação",$S132&lt;=0,$T132&gt;0),$T132,"")))</f>
        <v/>
      </c>
      <c r="EG132" s="435" t="str">
        <f t="shared" ref="EG132:EG163" si="1563">IF(AND($E132="Capital",$J132="Mais Escola",$S132&gt;=0.01),$EA$2,"")</f>
        <v/>
      </c>
      <c r="EH132" s="435" t="str">
        <f t="shared" ref="EH132:EH163" si="1564">IF(AND($E132="Custeio",$J132="Mais Escola",$T132&gt;=0.01),$EA$3,"")</f>
        <v/>
      </c>
      <c r="EI132" s="435" t="str">
        <f t="shared" ref="EI132:EI163" si="1565">IF(AND($E132="capital",$J132="Mais Escola",$T132="",$S132&gt;0),$S132,IF(AND($E132="capital",$J132="Mais Escola",$T132&gt;=0,$S132&gt;0),$S132,IF(AND($E132="capital",$J132="Mais Escola",$T132&lt;=0,$S132&gt;0),$S132,"")))</f>
        <v/>
      </c>
      <c r="EJ132" s="435" t="str">
        <f t="shared" ref="EJ132:EJ163" si="1566">IF(AND($E132="custeio",$J132="Mais Escola",$S132="",$T132&gt;0),$T132,IF(AND($E132="custeio",$J132="Mais Escola",$S132&gt;=0,$T132&gt;0),$T132,IF(AND($E132="custeio",$J132="Mais Escola",$S132&lt;=0,$T132&gt;0),$T132,"")))</f>
        <v/>
      </c>
      <c r="EK132" s="485"/>
      <c r="EL132" s="485"/>
      <c r="EM132" s="485"/>
      <c r="EN132" s="485"/>
      <c r="EO132" s="448"/>
      <c r="EP132" s="448"/>
      <c r="EQ132" s="448"/>
      <c r="ER132" s="448"/>
      <c r="ES132" s="448"/>
      <c r="ET132" s="435"/>
      <c r="EU132" s="435"/>
      <c r="EV132" s="435"/>
      <c r="EW132" s="435"/>
      <c r="EX132" s="426"/>
      <c r="EY132" s="426"/>
      <c r="EZ132" s="426"/>
      <c r="FA132" s="863"/>
      <c r="FB132" s="427">
        <f t="array" ref="FB132">IF(SUM((FA132=$FA$3:FA131)*1)=0,FA132,0)</f>
        <v>0</v>
      </c>
      <c r="FC132" s="863"/>
      <c r="FD132" s="863"/>
      <c r="FE132" s="863">
        <f t="array" ref="FE132">IF(SUM((FD132=$FD$3:FD131)*1)=0,FD132,0)</f>
        <v>0</v>
      </c>
      <c r="FF132" s="863"/>
      <c r="FG132" s="863"/>
      <c r="FH132" s="863"/>
      <c r="FI132" s="427">
        <f t="array" ref="FI132">IF(SUM((FH132=$FH$3:FH131)*1)=0,FH132,0)</f>
        <v>0</v>
      </c>
      <c r="FJ132" s="863"/>
      <c r="FK132" s="863"/>
      <c r="FL132" s="863">
        <f t="array" ref="FL132">IF(SUM((FK132=$FK$3:FK131)*1)=0,FK132,0)</f>
        <v>0</v>
      </c>
      <c r="FM132" s="863"/>
      <c r="FN132" s="863"/>
      <c r="FO132" s="863"/>
      <c r="FP132" s="427">
        <f t="array" ref="FP132">IF(SUM((FO132=$FO$3:FO131)*1)=0,FO132,0)</f>
        <v>0</v>
      </c>
      <c r="FQ132" s="863"/>
      <c r="FR132" s="863"/>
      <c r="FS132" s="863">
        <f t="array" ref="FS132">IF(SUM((FR132=$FR$3:FR131)*1)=0,FR132,0)</f>
        <v>0</v>
      </c>
      <c r="FT132" s="863"/>
      <c r="FU132" s="863"/>
      <c r="FV132" s="863"/>
      <c r="FW132" s="427">
        <f t="array" ref="FW132">IF(SUM((FV132=$FV$3:FV131)*1)=0,FV132,0)</f>
        <v>0</v>
      </c>
      <c r="FX132" s="863"/>
      <c r="FY132" s="863"/>
      <c r="FZ132" s="863">
        <f t="array" ref="FZ132">IF(SUM((FY132=$FY$3:FY131)*1)=0,FY132,0)</f>
        <v>0</v>
      </c>
      <c r="GA132" s="863"/>
      <c r="GB132" s="863"/>
      <c r="GC132" s="863"/>
      <c r="GD132" s="427">
        <f t="array" ref="GD132">IF(SUM((GC132=$GC$3:GC131)*1)=0,GC132,0)</f>
        <v>0</v>
      </c>
      <c r="GE132" s="863"/>
      <c r="GF132" s="863"/>
      <c r="GG132" s="863">
        <f t="array" ref="GG132">IF(SUM((GF132=$GF$3:GF131)*1)=0,GF132,0)</f>
        <v>0</v>
      </c>
      <c r="GH132" s="863"/>
      <c r="GI132" s="863"/>
      <c r="GJ132" s="863"/>
      <c r="GK132" s="798">
        <f t="array" ref="GK132">IF(SUM((GJ132=$GJ$3:GJ131)*1)=0,GJ132,0)</f>
        <v>0</v>
      </c>
      <c r="GL132" s="863"/>
      <c r="GM132" s="863"/>
      <c r="GN132" s="798">
        <f t="array" ref="GN132">IF(SUM((GM132=$GM$3:GM131)*1)=0,GM132,0)</f>
        <v>0</v>
      </c>
      <c r="GO132" s="863"/>
      <c r="GP132" s="863"/>
      <c r="GQ132" s="863"/>
      <c r="GR132" s="798">
        <f t="array" ref="GR132">IF(SUM((GQ132=$GQ$3:GQ131)*1)=0,GQ132,0)</f>
        <v>0</v>
      </c>
      <c r="GS132" s="863"/>
      <c r="GT132" s="863"/>
      <c r="GU132" s="798">
        <f t="array" ref="GU132">IF(SUM((GT132=$GT$3:GT131)*1)=0,GT132,0)</f>
        <v>0</v>
      </c>
      <c r="GV132" s="863"/>
      <c r="GW132" s="863"/>
      <c r="GX132" s="863"/>
      <c r="GY132" s="798">
        <f t="array" ref="GY132">IF(SUM((GX132=$GX$3:GX131)*1)=0,GX132,0)</f>
        <v>0</v>
      </c>
      <c r="GZ132" s="863"/>
      <c r="HA132" s="863"/>
      <c r="HB132" s="798">
        <f t="array" ref="HB132">IF(SUM((HA132=$HA$3:HA131)*1)=0,HA132,0)</f>
        <v>0</v>
      </c>
      <c r="HC132" s="863"/>
      <c r="HD132" s="863"/>
      <c r="HE132" s="769" t="str">
        <f t="shared" si="889"/>
        <v/>
      </c>
      <c r="HF132" s="768" t="str">
        <f t="shared" ref="HF132" si="1567">IF(HE132&lt;0,"Invadiu REP-BA-C","")</f>
        <v/>
      </c>
      <c r="HG132" s="769" t="str">
        <f t="shared" si="891"/>
        <v/>
      </c>
      <c r="HH132" s="768" t="str">
        <f t="shared" si="815"/>
        <v/>
      </c>
      <c r="HI132" s="728" t="str">
        <f t="shared" si="892"/>
        <v/>
      </c>
      <c r="HJ132" s="768" t="str">
        <f t="shared" si="816"/>
        <v/>
      </c>
      <c r="HK132" s="728" t="str">
        <f t="shared" si="893"/>
        <v/>
      </c>
      <c r="HL132" s="768" t="str">
        <f t="shared" si="817"/>
        <v/>
      </c>
      <c r="HM132" s="769" t="str">
        <f t="shared" si="1219"/>
        <v/>
      </c>
      <c r="HN132" s="768" t="str">
        <f t="shared" ref="HN132" si="1568">IF(HM132&lt;0,"Invadiu REP-BA-C","")</f>
        <v/>
      </c>
      <c r="HO132" s="769" t="str">
        <f t="shared" si="1221"/>
        <v/>
      </c>
      <c r="HP132" s="768" t="str">
        <f t="shared" si="821"/>
        <v/>
      </c>
      <c r="HQ132" s="728" t="str">
        <f t="shared" si="1222"/>
        <v/>
      </c>
      <c r="HR132" s="768" t="str">
        <f t="shared" si="823"/>
        <v/>
      </c>
      <c r="HS132" s="728" t="str">
        <f t="shared" si="1223"/>
        <v/>
      </c>
      <c r="HT132" s="768" t="str">
        <f t="shared" si="825"/>
        <v/>
      </c>
      <c r="HU132" s="769" t="str">
        <f t="shared" si="1224"/>
        <v/>
      </c>
      <c r="HV132" s="768" t="str">
        <f t="shared" ref="HV132" si="1569">IF(HU132&lt;0,"Invadiu REP-BA-C","")</f>
        <v/>
      </c>
      <c r="HW132" s="769" t="str">
        <f t="shared" si="1226"/>
        <v/>
      </c>
      <c r="HX132" s="768" t="str">
        <f t="shared" si="829"/>
        <v/>
      </c>
      <c r="HY132" s="728" t="str">
        <f t="shared" si="1227"/>
        <v/>
      </c>
      <c r="HZ132" s="768" t="str">
        <f t="shared" si="831"/>
        <v/>
      </c>
      <c r="IA132" s="728" t="str">
        <f t="shared" si="1228"/>
        <v/>
      </c>
      <c r="IB132" s="768" t="str">
        <f t="shared" si="833"/>
        <v/>
      </c>
      <c r="IC132" s="769" t="str">
        <f t="shared" si="1229"/>
        <v/>
      </c>
      <c r="ID132" s="768" t="str">
        <f t="shared" ref="ID132" si="1570">IF(IC132&lt;0,"Invadiu REP-BA-C","")</f>
        <v/>
      </c>
      <c r="IE132" s="769" t="str">
        <f t="shared" si="1231"/>
        <v/>
      </c>
      <c r="IF132" s="768" t="str">
        <f t="shared" si="837"/>
        <v/>
      </c>
      <c r="IG132" s="728" t="str">
        <f t="shared" si="1232"/>
        <v/>
      </c>
      <c r="IH132" s="768" t="str">
        <f t="shared" si="839"/>
        <v/>
      </c>
      <c r="II132" s="728" t="str">
        <f t="shared" si="1233"/>
        <v/>
      </c>
      <c r="IJ132" s="768" t="str">
        <f t="shared" si="841"/>
        <v/>
      </c>
      <c r="IK132" s="769" t="str">
        <f t="shared" si="1234"/>
        <v/>
      </c>
      <c r="IL132" s="768" t="str">
        <f t="shared" ref="IL132" si="1571">IF(IK132&lt;0,"Invadiu REP-BA-C","")</f>
        <v/>
      </c>
      <c r="IM132" s="769" t="str">
        <f t="shared" si="1236"/>
        <v/>
      </c>
      <c r="IN132" s="768" t="str">
        <f t="shared" si="845"/>
        <v/>
      </c>
      <c r="IO132" s="728" t="str">
        <f t="shared" si="1237"/>
        <v/>
      </c>
      <c r="IP132" s="768" t="str">
        <f t="shared" si="847"/>
        <v/>
      </c>
      <c r="IQ132" s="728" t="str">
        <f t="shared" si="1238"/>
        <v/>
      </c>
      <c r="IR132" s="768" t="str">
        <f t="shared" si="849"/>
        <v/>
      </c>
      <c r="IS132" s="769" t="str">
        <f t="shared" si="1239"/>
        <v/>
      </c>
      <c r="IT132" s="768" t="str">
        <f t="shared" ref="IT132" si="1572">IF(IS132&lt;0,"Invadiu REP-BA-C","")</f>
        <v/>
      </c>
      <c r="IU132" s="769" t="str">
        <f t="shared" si="1241"/>
        <v/>
      </c>
      <c r="IV132" s="768" t="str">
        <f t="shared" si="853"/>
        <v/>
      </c>
      <c r="IW132" s="728" t="str">
        <f t="shared" si="1242"/>
        <v/>
      </c>
      <c r="IX132" s="768" t="str">
        <f t="shared" si="855"/>
        <v/>
      </c>
      <c r="IY132" s="728" t="str">
        <f t="shared" si="1243"/>
        <v/>
      </c>
      <c r="IZ132" s="768" t="str">
        <f t="shared" si="857"/>
        <v/>
      </c>
      <c r="JA132" s="769" t="str">
        <f t="shared" si="1244"/>
        <v/>
      </c>
      <c r="JB132" s="768" t="str">
        <f t="shared" ref="JB132" si="1573">IF(JA132&lt;0,"Invadiu REP-BA-C","")</f>
        <v/>
      </c>
      <c r="JC132" s="769" t="str">
        <f t="shared" si="1246"/>
        <v/>
      </c>
      <c r="JD132" s="768" t="str">
        <f t="shared" si="861"/>
        <v/>
      </c>
      <c r="JE132" s="728" t="str">
        <f t="shared" si="1247"/>
        <v/>
      </c>
      <c r="JF132" s="768" t="str">
        <f t="shared" si="863"/>
        <v/>
      </c>
      <c r="JG132" s="728" t="str">
        <f t="shared" si="1248"/>
        <v/>
      </c>
      <c r="JH132" s="768" t="str">
        <f t="shared" si="865"/>
        <v/>
      </c>
      <c r="JI132" s="769" t="str">
        <f t="shared" si="1249"/>
        <v/>
      </c>
      <c r="JJ132" s="768" t="str">
        <f t="shared" ref="JJ132" si="1574">IF(JI132&lt;0,"Invadiu REP-BA-C","")</f>
        <v/>
      </c>
      <c r="JK132" s="769" t="str">
        <f t="shared" si="1251"/>
        <v/>
      </c>
      <c r="JL132" s="768" t="str">
        <f t="shared" si="869"/>
        <v/>
      </c>
      <c r="JM132" s="728" t="str">
        <f t="shared" si="1252"/>
        <v/>
      </c>
      <c r="JN132" s="768" t="str">
        <f t="shared" si="871"/>
        <v/>
      </c>
      <c r="JO132" s="728" t="str">
        <f t="shared" si="1253"/>
        <v/>
      </c>
      <c r="JP132" s="768" t="str">
        <f t="shared" si="873"/>
        <v/>
      </c>
      <c r="JQ132" s="769" t="str">
        <f t="shared" si="1254"/>
        <v/>
      </c>
      <c r="JR132" s="768" t="str">
        <f t="shared" ref="JR132" si="1575">IF(JQ132&lt;0,"Invadiu REP-BA-C","")</f>
        <v/>
      </c>
      <c r="JS132" s="769" t="str">
        <f t="shared" si="1256"/>
        <v/>
      </c>
      <c r="JT132" s="768" t="str">
        <f t="shared" si="877"/>
        <v/>
      </c>
      <c r="JU132" s="728" t="str">
        <f t="shared" si="1257"/>
        <v/>
      </c>
      <c r="JV132" s="768" t="str">
        <f t="shared" si="879"/>
        <v/>
      </c>
      <c r="JW132" s="728" t="str">
        <f t="shared" si="1258"/>
        <v/>
      </c>
      <c r="JX132" s="768" t="str">
        <f t="shared" si="881"/>
        <v/>
      </c>
      <c r="JY132" s="768" t="str">
        <f t="shared" si="882"/>
        <v/>
      </c>
      <c r="JZ132" s="485" t="str">
        <f>IF(JY132="","",IF(AND(C132=$C$164,JY132&lt;&gt;""),Verificarcpf(D132),IF(AND(C132=$C$165,JY132&lt;&gt;""),VerificarCNPJ(D132))))</f>
        <v/>
      </c>
      <c r="KA132" s="768" t="str">
        <f t="shared" si="883"/>
        <v/>
      </c>
      <c r="KB132" s="485">
        <f t="shared" si="884"/>
        <v>0</v>
      </c>
      <c r="KC132" s="768">
        <f t="shared" si="885"/>
        <v>0</v>
      </c>
      <c r="KD132" s="485">
        <f t="shared" si="886"/>
        <v>0</v>
      </c>
      <c r="KE132" s="448"/>
      <c r="KF132" s="548"/>
      <c r="KG132" s="548"/>
      <c r="KH132" s="548"/>
      <c r="KI132" s="548"/>
      <c r="KJ132" s="548" t="str">
        <f t="shared" si="887"/>
        <v/>
      </c>
      <c r="KK132" s="548"/>
      <c r="KL132" s="548"/>
      <c r="KM132" s="548">
        <f t="array" ref="KM132">IF(SUM((KL132=$KL$3:KL131)*1)=0,KL132,0)</f>
        <v>0</v>
      </c>
      <c r="KN132" s="548"/>
      <c r="KO132" s="548"/>
      <c r="KP132" s="548"/>
      <c r="KQ132" s="548"/>
      <c r="KR132" s="548" t="str">
        <f t="shared" si="888"/>
        <v/>
      </c>
      <c r="KS132" s="548"/>
      <c r="KT132" s="548"/>
      <c r="KU132" s="548"/>
      <c r="KV132" s="548"/>
      <c r="KW132" s="548"/>
      <c r="KX132" s="548"/>
      <c r="KY132" s="548"/>
      <c r="KZ132" s="548"/>
      <c r="LA132" s="548"/>
      <c r="LB132" s="548"/>
      <c r="LC132" s="485" t="str">
        <f t="shared" si="902"/>
        <v/>
      </c>
      <c r="LD132" s="548"/>
      <c r="LE132" s="548"/>
      <c r="LF132" s="548"/>
      <c r="LG132" s="548"/>
      <c r="LH132" s="548"/>
      <c r="LI132" s="548"/>
      <c r="LJ132" s="548"/>
      <c r="LK132" s="548"/>
      <c r="LL132" s="548"/>
      <c r="LM132" s="548"/>
      <c r="LN132" s="548"/>
      <c r="LO132" s="548"/>
      <c r="LP132" s="485" t="str">
        <f t="shared" si="903"/>
        <v/>
      </c>
      <c r="LQ132" s="548"/>
      <c r="LR132" s="548"/>
      <c r="LS132" s="548"/>
      <c r="LT132" s="548"/>
      <c r="LU132" s="548"/>
      <c r="LV132" s="548"/>
      <c r="LW132" s="548"/>
      <c r="LX132" s="548"/>
      <c r="LY132" s="548"/>
      <c r="LZ132" s="548"/>
      <c r="MA132" s="548"/>
      <c r="MB132" s="548"/>
      <c r="MC132" s="485" t="str">
        <f t="shared" si="904"/>
        <v/>
      </c>
      <c r="MD132" s="548"/>
      <c r="ME132" s="548"/>
      <c r="MF132" s="548"/>
      <c r="MG132" s="548"/>
      <c r="MH132" s="548"/>
      <c r="MI132" s="548"/>
      <c r="MJ132" s="548"/>
      <c r="MK132" s="548"/>
      <c r="ML132" s="548"/>
      <c r="MM132" s="548"/>
      <c r="MN132" s="548"/>
      <c r="MO132" s="548"/>
      <c r="MP132" s="485" t="str">
        <f t="shared" si="905"/>
        <v/>
      </c>
      <c r="MQ132" s="548"/>
      <c r="MR132" s="548"/>
      <c r="MS132" s="548"/>
      <c r="MT132" s="548"/>
      <c r="MU132" s="548"/>
      <c r="MV132" s="548"/>
      <c r="MW132" s="548"/>
      <c r="MX132" s="548"/>
      <c r="MY132" s="548"/>
      <c r="MZ132" s="548"/>
      <c r="NA132" s="548"/>
      <c r="NB132" s="548"/>
      <c r="NC132" s="485" t="str">
        <f t="shared" si="906"/>
        <v/>
      </c>
      <c r="ND132" s="548"/>
      <c r="NE132" s="548"/>
      <c r="NF132" s="548"/>
      <c r="NG132" s="548"/>
      <c r="NH132" s="548"/>
      <c r="NI132" s="548"/>
      <c r="NJ132" s="548"/>
      <c r="NK132" s="548"/>
      <c r="NL132" s="548"/>
      <c r="NM132" s="548"/>
      <c r="NN132" s="548"/>
      <c r="NO132" s="548"/>
      <c r="NP132" s="485" t="str">
        <f t="shared" si="907"/>
        <v/>
      </c>
      <c r="NQ132" s="548"/>
      <c r="NR132" s="548"/>
      <c r="NS132" s="548"/>
      <c r="NT132" s="548"/>
      <c r="NU132" s="548"/>
      <c r="NV132" s="548"/>
      <c r="NW132" s="548"/>
      <c r="NX132" s="548"/>
      <c r="NY132" s="548"/>
      <c r="NZ132" s="548"/>
      <c r="OA132" s="548"/>
      <c r="OB132" s="548"/>
      <c r="OC132" s="485" t="str">
        <f t="shared" si="908"/>
        <v/>
      </c>
      <c r="OD132" s="548"/>
      <c r="OE132" s="548"/>
      <c r="OF132" s="548"/>
      <c r="OG132" s="548"/>
      <c r="OH132" s="548"/>
      <c r="OI132" s="548"/>
      <c r="OJ132" s="548"/>
      <c r="OK132" s="548"/>
      <c r="OL132" s="548"/>
      <c r="OM132" s="548"/>
      <c r="ON132" s="548"/>
      <c r="OO132" s="548"/>
      <c r="OP132" s="548"/>
      <c r="OQ132" s="548"/>
      <c r="OR132" s="548"/>
      <c r="OS132" s="548"/>
      <c r="OT132" s="548"/>
      <c r="OU132" s="548"/>
      <c r="OV132" s="548"/>
      <c r="OW132" s="548"/>
      <c r="OX132" s="548"/>
      <c r="OY132" s="548"/>
      <c r="OZ132" s="548"/>
      <c r="PA132" s="548"/>
      <c r="PB132" s="548"/>
      <c r="PC132" s="548"/>
      <c r="PD132" s="548"/>
      <c r="PE132" s="548"/>
      <c r="PF132" s="548"/>
      <c r="PG132" s="548"/>
      <c r="PH132" s="548"/>
      <c r="PI132" s="548"/>
      <c r="PJ132" s="548"/>
      <c r="PK132" s="548"/>
      <c r="PL132" s="548"/>
      <c r="PM132" s="548"/>
      <c r="PN132" s="548"/>
      <c r="PO132" s="548"/>
      <c r="PP132" s="548"/>
      <c r="PQ132" s="548"/>
      <c r="PR132" s="548"/>
      <c r="PS132" s="548"/>
      <c r="PT132" s="548"/>
      <c r="PU132" s="548"/>
      <c r="PV132" s="548"/>
      <c r="PW132" s="548"/>
      <c r="PX132" s="548"/>
      <c r="PY132" s="548"/>
      <c r="PZ132" s="548"/>
      <c r="QA132" s="548"/>
      <c r="QB132" s="548"/>
      <c r="QC132" s="548"/>
      <c r="QD132" s="548"/>
      <c r="QE132" s="548"/>
      <c r="QF132" s="548"/>
      <c r="QG132" s="548"/>
      <c r="QH132" s="548"/>
      <c r="QI132" s="548"/>
      <c r="QJ132" s="548"/>
      <c r="QK132" s="548"/>
      <c r="QL132" s="548"/>
      <c r="QM132" s="548"/>
      <c r="QN132" s="548"/>
      <c r="QO132" s="548"/>
      <c r="QP132" s="548"/>
      <c r="QQ132" s="1009"/>
      <c r="QR132" s="548"/>
      <c r="QS132" s="548"/>
      <c r="QT132" s="548"/>
      <c r="QU132" s="548"/>
      <c r="QV132" s="548"/>
      <c r="QW132" s="548"/>
      <c r="QX132" s="548"/>
      <c r="QY132" s="548"/>
      <c r="QZ132" s="548"/>
      <c r="RA132" s="548"/>
      <c r="RB132" s="548"/>
      <c r="RC132" s="548"/>
      <c r="RD132" s="548"/>
      <c r="RE132" s="548"/>
      <c r="RF132" s="548"/>
      <c r="RG132" s="548"/>
      <c r="RH132" s="548"/>
      <c r="RI132" s="548"/>
      <c r="RJ132" s="548"/>
      <c r="RK132" s="548"/>
      <c r="RL132" s="548"/>
      <c r="RM132" s="548"/>
      <c r="RN132" s="548"/>
      <c r="RO132" s="548"/>
      <c r="RP132" s="548"/>
      <c r="RQ132" s="548"/>
      <c r="RR132" s="548"/>
      <c r="RS132" s="548"/>
      <c r="RT132" s="548"/>
      <c r="RU132" s="548"/>
      <c r="RV132" s="548"/>
      <c r="RW132" s="548"/>
      <c r="RX132" s="548"/>
      <c r="RY132" s="548"/>
      <c r="RZ132" s="548"/>
      <c r="SA132" s="548"/>
      <c r="SB132" s="548"/>
      <c r="SC132" s="548"/>
      <c r="SD132" s="548"/>
      <c r="SE132" s="548"/>
      <c r="SF132" s="548"/>
      <c r="SG132" s="548"/>
      <c r="SH132" s="548"/>
      <c r="SI132" s="548"/>
      <c r="SJ132" s="548"/>
      <c r="SK132" s="548"/>
      <c r="SL132" s="548"/>
      <c r="SM132" s="548"/>
      <c r="SN132" s="548"/>
      <c r="SO132" s="548"/>
      <c r="SP132" s="548"/>
      <c r="SQ132" s="548"/>
      <c r="SR132" s="548"/>
      <c r="SS132" s="548"/>
      <c r="ST132" s="548"/>
      <c r="SU132" s="548"/>
      <c r="SV132" s="548"/>
      <c r="SW132" s="548"/>
      <c r="SX132" s="548"/>
      <c r="SY132" s="548"/>
      <c r="SZ132" s="548"/>
      <c r="TA132" s="548"/>
      <c r="TB132" s="548"/>
      <c r="TC132" s="548"/>
      <c r="TD132" s="548"/>
      <c r="TE132" s="548"/>
      <c r="TF132" s="548"/>
      <c r="TG132" s="548"/>
      <c r="TH132" s="548"/>
      <c r="TI132" s="548"/>
      <c r="TJ132" s="548"/>
      <c r="TK132" s="548"/>
      <c r="TL132" s="548"/>
      <c r="TM132" s="548"/>
      <c r="TN132" s="548"/>
      <c r="TO132" s="548"/>
      <c r="TP132" s="548"/>
      <c r="TQ132" s="548"/>
      <c r="TR132" s="548"/>
      <c r="TS132" s="548"/>
      <c r="TT132" s="548"/>
      <c r="TU132" s="548"/>
      <c r="TV132" s="548"/>
      <c r="TW132" s="548"/>
      <c r="TX132" s="548"/>
      <c r="TY132" s="548"/>
      <c r="TZ132" s="548"/>
      <c r="UA132" s="548"/>
      <c r="UB132" s="548"/>
      <c r="UC132" s="548"/>
      <c r="UD132" s="548"/>
      <c r="UE132" s="548"/>
      <c r="UF132" s="548"/>
      <c r="UG132" s="548"/>
      <c r="UH132" s="548"/>
      <c r="UI132" s="548"/>
      <c r="UJ132" s="548"/>
      <c r="UK132" s="548"/>
      <c r="UL132" s="548"/>
      <c r="UM132" s="548"/>
      <c r="UN132" s="548"/>
      <c r="UO132" s="548"/>
      <c r="UP132" s="548"/>
      <c r="UQ132" s="548"/>
      <c r="UR132" s="548"/>
      <c r="US132" s="548"/>
      <c r="UT132" s="548"/>
      <c r="UU132" s="548"/>
      <c r="UV132" s="548"/>
      <c r="UW132" s="548"/>
      <c r="UX132" s="548"/>
      <c r="UY132" s="548"/>
      <c r="UZ132" s="548"/>
      <c r="VA132" s="548"/>
      <c r="VB132" s="548"/>
      <c r="VC132" s="548"/>
      <c r="VD132" s="548"/>
      <c r="VE132" s="548"/>
      <c r="VF132" s="548"/>
      <c r="VG132" s="548"/>
      <c r="VH132" s="548"/>
      <c r="VI132" s="548"/>
      <c r="VJ132" s="548"/>
      <c r="VK132" s="548"/>
      <c r="VL132" s="548"/>
      <c r="VM132" s="548"/>
      <c r="VN132" s="548"/>
      <c r="VO132" s="548"/>
      <c r="VP132" s="548"/>
      <c r="VQ132" s="548"/>
      <c r="VR132" s="548"/>
      <c r="VS132" s="548"/>
      <c r="VT132" s="548"/>
      <c r="VU132" s="548"/>
      <c r="VV132" s="548"/>
      <c r="VW132" s="548"/>
      <c r="VX132" s="548"/>
      <c r="VY132" s="548"/>
      <c r="VZ132" s="548"/>
      <c r="WA132" s="548"/>
      <c r="WB132" s="548"/>
      <c r="WC132" s="548"/>
      <c r="WD132" s="548"/>
      <c r="WE132" s="548"/>
      <c r="WF132" s="548"/>
      <c r="WG132" s="548"/>
      <c r="WH132" s="548"/>
      <c r="WI132" s="548"/>
      <c r="WJ132" s="548"/>
      <c r="WK132" s="548"/>
      <c r="WL132" s="548"/>
      <c r="WM132" s="548"/>
      <c r="WN132" s="548"/>
      <c r="WO132" s="548"/>
      <c r="WP132" s="548"/>
      <c r="WQ132" s="548"/>
      <c r="WR132" s="548"/>
      <c r="WS132" s="548"/>
      <c r="WT132" s="548"/>
      <c r="WU132" s="548"/>
      <c r="WV132" s="548"/>
      <c r="WW132" s="548"/>
      <c r="WX132" s="548"/>
      <c r="WY132" s="548"/>
      <c r="WZ132" s="548"/>
      <c r="XA132" s="548"/>
      <c r="XB132" s="548"/>
      <c r="XC132" s="548"/>
      <c r="XD132" s="548"/>
      <c r="XE132" s="548"/>
      <c r="XF132" s="548"/>
      <c r="XG132" s="548"/>
      <c r="XH132" s="548"/>
      <c r="XI132" s="548"/>
      <c r="XJ132" s="548"/>
      <c r="XK132" s="548"/>
      <c r="XL132" s="548"/>
      <c r="XM132" s="548"/>
      <c r="XN132" s="548"/>
      <c r="XO132" s="548"/>
      <c r="XP132" s="548"/>
      <c r="XQ132" s="548"/>
      <c r="XR132" s="548"/>
      <c r="XS132" s="548"/>
      <c r="XT132" s="548"/>
      <c r="XU132" s="548"/>
      <c r="XV132" s="548"/>
      <c r="XW132" s="548"/>
      <c r="XX132" s="548"/>
      <c r="XY132" s="548"/>
      <c r="XZ132" s="548"/>
      <c r="YA132" s="548"/>
      <c r="YB132" s="548"/>
      <c r="YC132" s="548"/>
      <c r="YD132" s="548"/>
      <c r="YE132" s="548"/>
      <c r="YF132" s="548"/>
      <c r="YG132" s="548"/>
      <c r="YH132" s="548"/>
      <c r="YI132" s="548"/>
      <c r="YJ132" s="548"/>
      <c r="YK132" s="548"/>
      <c r="YL132" s="548"/>
      <c r="YM132" s="548"/>
      <c r="YN132" s="548"/>
      <c r="YO132" s="548"/>
      <c r="YP132" s="548"/>
      <c r="YQ132" s="548"/>
      <c r="YR132" s="548"/>
      <c r="YS132" s="548"/>
      <c r="YT132" s="548"/>
      <c r="YU132" s="548"/>
      <c r="YV132" s="548"/>
      <c r="YW132" s="548"/>
      <c r="YX132" s="548"/>
      <c r="YY132" s="548"/>
      <c r="YZ132" s="548"/>
      <c r="ZA132" s="548"/>
      <c r="ZB132" s="548"/>
      <c r="ZC132" s="548"/>
      <c r="ZD132" s="548"/>
      <c r="ZE132" s="548"/>
      <c r="ZF132" s="548"/>
      <c r="ZG132" s="548"/>
      <c r="ZH132" s="548"/>
      <c r="ZI132" s="548"/>
      <c r="ZJ132" s="548"/>
      <c r="ZK132" s="548"/>
      <c r="ZL132" s="548"/>
      <c r="ZM132" s="548"/>
      <c r="ZN132" s="548"/>
      <c r="ZO132" s="548"/>
      <c r="ZP132" s="548"/>
      <c r="ZQ132" s="548"/>
      <c r="ZR132" s="548"/>
      <c r="ZS132" s="548"/>
      <c r="ZT132" s="548"/>
      <c r="ZU132" s="548"/>
      <c r="ZV132" s="548"/>
      <c r="ZW132" s="548"/>
      <c r="ZX132" s="548"/>
      <c r="ZY132" s="548"/>
      <c r="ZZ132" s="548"/>
      <c r="AAA132" s="548"/>
      <c r="AAB132" s="548"/>
      <c r="AAC132" s="548"/>
      <c r="AAD132" s="548"/>
      <c r="AAE132" s="548"/>
      <c r="AAF132" s="548"/>
      <c r="AAG132" s="548"/>
      <c r="AAH132" s="548"/>
      <c r="AAI132" s="548"/>
      <c r="AAJ132" s="548"/>
      <c r="AAK132" s="548"/>
      <c r="AAL132" s="548"/>
      <c r="AAM132" s="548"/>
      <c r="AAN132" s="548"/>
      <c r="AAO132" s="548"/>
      <c r="AAP132" s="548"/>
      <c r="AAQ132" s="548"/>
      <c r="AAR132" s="548"/>
      <c r="AAS132" s="548"/>
      <c r="AAT132" s="548"/>
      <c r="AAU132" s="548"/>
      <c r="AAV132" s="548"/>
      <c r="AAW132" s="548"/>
      <c r="AAX132" s="548"/>
      <c r="AAY132" s="548"/>
      <c r="AAZ132" s="548"/>
      <c r="ABA132" s="548"/>
      <c r="ABB132" s="548"/>
      <c r="ABC132" s="548"/>
      <c r="ABD132" s="548"/>
      <c r="ABE132" s="548"/>
      <c r="ABF132" s="548"/>
      <c r="ABG132" s="548"/>
      <c r="ABH132" s="548"/>
      <c r="ABI132" s="548"/>
      <c r="ABJ132" s="548"/>
      <c r="ABK132" s="548"/>
      <c r="ABL132" s="548"/>
      <c r="ABM132" s="548"/>
      <c r="ABN132" s="548"/>
      <c r="ABO132" s="548"/>
      <c r="ABP132" s="548"/>
      <c r="ABQ132" s="548"/>
      <c r="ABR132" s="548"/>
      <c r="ABS132" s="548"/>
    </row>
    <row r="133" spans="1:747" customFormat="1" ht="15" customHeight="1" x14ac:dyDescent="0.2">
      <c r="A133" s="424" t="str">
        <f t="shared" si="909"/>
        <v/>
      </c>
      <c r="B133" s="415"/>
      <c r="C133" s="525"/>
      <c r="D133" s="750"/>
      <c r="E133" s="416" t="str">
        <f t="shared" si="1529"/>
        <v/>
      </c>
      <c r="F133" s="527" t="str">
        <f t="shared" si="1530"/>
        <v/>
      </c>
      <c r="G133" s="417"/>
      <c r="H133" s="585" t="str">
        <f t="shared" si="1531"/>
        <v/>
      </c>
      <c r="I133" s="424"/>
      <c r="J133" s="419"/>
      <c r="K133" s="418"/>
      <c r="L133" s="419"/>
      <c r="M133" s="415"/>
      <c r="N133" s="420"/>
      <c r="O133" s="421"/>
      <c r="P133" s="561"/>
      <c r="Q133" s="422"/>
      <c r="R133" s="561" t="str">
        <f t="shared" si="1532"/>
        <v/>
      </c>
      <c r="S133" s="664"/>
      <c r="T133" s="663"/>
      <c r="U133" s="580">
        <f t="shared" si="1533"/>
        <v>0</v>
      </c>
      <c r="V133" s="418"/>
      <c r="W133" s="582" t="str">
        <f t="shared" si="1534"/>
        <v/>
      </c>
      <c r="X133" s="479" t="str">
        <f t="shared" si="1535"/>
        <v/>
      </c>
      <c r="Y133" s="582" t="str">
        <f t="shared" si="1536"/>
        <v/>
      </c>
      <c r="Z133" s="317" t="str">
        <f t="shared" si="1537"/>
        <v/>
      </c>
      <c r="AA133" s="317" t="str">
        <f t="shared" si="1538"/>
        <v/>
      </c>
      <c r="AB133" s="317">
        <f t="shared" si="1539"/>
        <v>0</v>
      </c>
      <c r="AC133" s="317" t="str">
        <f t="shared" si="1540"/>
        <v/>
      </c>
      <c r="AD133" s="479"/>
      <c r="AE133" s="479"/>
      <c r="AF133" s="479"/>
      <c r="AG133" s="423"/>
      <c r="AH133" s="820"/>
      <c r="AI133" s="437"/>
      <c r="AJ133" s="660"/>
      <c r="AK133" s="524" t="str">
        <f t="shared" si="1541"/>
        <v/>
      </c>
      <c r="AL133" s="719" t="str">
        <f>$AL$5</f>
        <v>itens de Despesas</v>
      </c>
      <c r="AM133" s="719" t="str">
        <f>$AM$5</f>
        <v>total pag. Mod. 2</v>
      </c>
      <c r="AN133" s="426">
        <f t="shared" si="1542"/>
        <v>0</v>
      </c>
      <c r="AO133" s="427" t="str">
        <f t="shared" si="1543"/>
        <v/>
      </c>
      <c r="AP133" s="426" t="str">
        <f t="shared" si="1544"/>
        <v/>
      </c>
      <c r="AQ133" s="426"/>
      <c r="AR133" s="426"/>
      <c r="AS133" s="428"/>
      <c r="AT133" s="429"/>
      <c r="AU133" s="430"/>
      <c r="AV133" s="431"/>
      <c r="AW133" s="432"/>
      <c r="AX133" s="430"/>
      <c r="AY133" s="431">
        <f t="shared" si="1545"/>
        <v>0</v>
      </c>
      <c r="AZ133" s="426"/>
      <c r="BA133" s="435" t="str">
        <f t="shared" si="1546"/>
        <v/>
      </c>
      <c r="BB133" s="435"/>
      <c r="BC133" s="426"/>
      <c r="BD133" s="426">
        <f t="array" ref="BD133">IF(SUM((BC133=$BC$3:BC132)*1)=0,BC133,0)</f>
        <v>0</v>
      </c>
      <c r="BE133" s="426"/>
      <c r="BF133" s="426"/>
      <c r="BG133" s="426">
        <f t="array" ref="BG133">IF(SUM((BF133=$BF$3:BF132)*1)=0,BF133,0)</f>
        <v>0</v>
      </c>
      <c r="BH133" s="426"/>
      <c r="BI133" s="426"/>
      <c r="BJ133" s="426"/>
      <c r="BK133" s="426"/>
      <c r="BL133" s="426"/>
      <c r="BM133" s="426"/>
      <c r="BN133" s="426"/>
      <c r="BO133" s="426"/>
      <c r="BP133" s="433">
        <f t="shared" si="1547"/>
        <v>0</v>
      </c>
      <c r="BQ133" s="426"/>
      <c r="BR133" s="434"/>
      <c r="BS133" s="426"/>
      <c r="BT133" s="433"/>
      <c r="BU133" s="435"/>
      <c r="BV133" s="435" t="str">
        <f t="shared" si="1548"/>
        <v/>
      </c>
      <c r="BW133" s="435" t="str">
        <f t="shared" ref="BW133:BW163" si="1576">IF(BX133&lt;&gt;"",$CY133,"")</f>
        <v/>
      </c>
      <c r="BX133" s="435"/>
      <c r="BY133" s="435"/>
      <c r="BZ133" s="435"/>
      <c r="CA133" s="435"/>
      <c r="CB133" s="435"/>
      <c r="CC133" s="435"/>
      <c r="CD133" s="435"/>
      <c r="CE133" s="435"/>
      <c r="CF133" s="435"/>
      <c r="CG133" s="435"/>
      <c r="CH133" s="435"/>
      <c r="CI133" s="435"/>
      <c r="CJ133" s="426" t="str">
        <f t="shared" ref="CJ133:CJ163" si="1577">IF(CK133&lt;&gt;"",$CY133,"")</f>
        <v/>
      </c>
      <c r="CK133" s="435"/>
      <c r="CL133" s="426"/>
      <c r="CM133" s="435"/>
      <c r="CN133" s="426"/>
      <c r="CO133" s="426"/>
      <c r="CP133" s="426"/>
      <c r="CQ133" s="426"/>
      <c r="CR133" s="426"/>
      <c r="CS133" s="426"/>
      <c r="CT133" s="426"/>
      <c r="CU133" s="426"/>
      <c r="CV133" s="426"/>
      <c r="CW133" s="493"/>
      <c r="CX133" s="493"/>
      <c r="CY133" s="426">
        <v>130</v>
      </c>
      <c r="CZ133" s="493"/>
      <c r="DA133" s="493"/>
      <c r="DB133" s="493"/>
      <c r="DC133" s="426" t="s">
        <v>873</v>
      </c>
      <c r="DD133" s="426" t="s">
        <v>1033</v>
      </c>
      <c r="DE133" s="435" t="str">
        <f t="shared" ref="DE133:DE163" si="1578">IF(AND($E133="Capital",$J133="Básico",$S133&gt;=0.01),$DG$2,"")</f>
        <v/>
      </c>
      <c r="DF133" s="435" t="str">
        <f t="shared" ref="DF133:DF163" si="1579">IF(AND($E133="Custeio",$J133="Básico",$T133&gt;=0.01),$DG$3,"")</f>
        <v/>
      </c>
      <c r="DG133" s="435" t="str">
        <f t="shared" ref="DG133:DG163" si="1580">IF(AND($E133="capital",$J133="Básico",$T133="",$S133&gt;0),$S133,IF(AND($E133="capital",$J133="Básico",$T133&gt;=0,$S133&gt;0),$S133,IF(AND($E133="capital",$J133="Básico",$T133&lt;=0,$S133&gt;0),$S133,"")))</f>
        <v/>
      </c>
      <c r="DH133" s="435" t="str">
        <f t="shared" ref="DH133:DH163" si="1581">IF(AND($E133="custeio",$J133="Básico",$S133="",$T133&gt;0),$T133,IF(AND($E133="custeio",$J133="Básico",$S133&gt;=0,$T133&gt;0),$T133,IF(AND($E133="custeio",$J133="Básico",$S133&lt;=0,$T133&gt;0),$T133,"")))</f>
        <v/>
      </c>
      <c r="DI133" s="435" t="str">
        <f t="shared" ref="DI133:DI163" si="1582">IF(AND($E133="Capital",$J133="Volta Aulas",$S133&gt;=0.01),$DK$2,"")</f>
        <v/>
      </c>
      <c r="DJ133" s="435" t="str">
        <f t="shared" ref="DJ133:DJ163" si="1583">IF(AND($E133="Custeio",$J133="Volta Aulas",$T133&gt;=0.01),$DK$3,"")</f>
        <v/>
      </c>
      <c r="DK133" s="435" t="str">
        <f t="shared" si="1549"/>
        <v/>
      </c>
      <c r="DL133" s="435" t="str">
        <f t="shared" si="1550"/>
        <v/>
      </c>
      <c r="DM133" s="435" t="str">
        <f t="shared" ref="DM133:DM163" si="1584">IF(AND($E133="Capital",$J133="Futuro",$S133&gt;=0.01),$DO$2,"")</f>
        <v/>
      </c>
      <c r="DN133" s="435" t="str">
        <f t="shared" ref="DN133:DN163" si="1585">IF(AND($E133="Custeio",$J133="Futuro",$T133&gt;=0.01),$DO$3,"")</f>
        <v/>
      </c>
      <c r="DO133" s="435" t="str">
        <f t="shared" si="1551"/>
        <v/>
      </c>
      <c r="DP133" s="435" t="str">
        <f t="shared" si="1552"/>
        <v/>
      </c>
      <c r="DQ133" s="435" t="str">
        <f t="shared" ref="DQ133:DQ163" si="1586">IF(AND($E133="Capital",$J133="Rolê",$S133&gt;=0.01),$DS$2,"")</f>
        <v/>
      </c>
      <c r="DR133" s="435" t="str">
        <f t="shared" ref="DR133:DR163" si="1587">IF(AND($E133="Custeio",$J133="Rolê",$T133&gt;=0.01),$DS$3,"")</f>
        <v/>
      </c>
      <c r="DS133" s="435" t="str">
        <f t="shared" si="1553"/>
        <v/>
      </c>
      <c r="DT133" s="435" t="str">
        <f t="shared" si="1554"/>
        <v/>
      </c>
      <c r="DU133" s="435" t="str">
        <f t="shared" ref="DU133:DU163" si="1588">IF(AND($E133="Capital",$J133="Imprensa",$S133&gt;=0.01),$DW$2,"")</f>
        <v/>
      </c>
      <c r="DV133" s="435" t="str">
        <f t="shared" ref="DV133:DV163" si="1589">IF(AND($E133="Custeio",$J133="Imprensa",$T133&gt;=0.01),$DW$3,"")</f>
        <v/>
      </c>
      <c r="DW133" s="435" t="str">
        <f t="shared" si="1555"/>
        <v/>
      </c>
      <c r="DX133" s="435" t="str">
        <f t="shared" si="1556"/>
        <v/>
      </c>
      <c r="DY133" s="435" t="str">
        <f t="shared" ref="DY133:DY163" si="1590">IF(AND($E133="Capital",$J133="Grêmio",$S133&gt;=0.01),$EA$2,"")</f>
        <v/>
      </c>
      <c r="DZ133" s="435" t="str">
        <f t="shared" ref="DZ133:DZ163" si="1591">IF(AND($E133="Custeio",$J133="Grêmio",$T133&gt;=0.01),$EA$3,"")</f>
        <v/>
      </c>
      <c r="EA133" s="435" t="str">
        <f t="shared" si="1557"/>
        <v/>
      </c>
      <c r="EB133" s="435" t="str">
        <f t="shared" si="1558"/>
        <v/>
      </c>
      <c r="EC133" s="435" t="str">
        <f t="shared" si="1559"/>
        <v/>
      </c>
      <c r="ED133" s="435" t="str">
        <f t="shared" si="1560"/>
        <v/>
      </c>
      <c r="EE133" s="435" t="str">
        <f t="shared" si="1561"/>
        <v/>
      </c>
      <c r="EF133" s="435" t="str">
        <f t="shared" si="1562"/>
        <v/>
      </c>
      <c r="EG133" s="435" t="str">
        <f t="shared" si="1563"/>
        <v/>
      </c>
      <c r="EH133" s="435" t="str">
        <f t="shared" si="1564"/>
        <v/>
      </c>
      <c r="EI133" s="435" t="str">
        <f t="shared" si="1565"/>
        <v/>
      </c>
      <c r="EJ133" s="435" t="str">
        <f t="shared" si="1566"/>
        <v/>
      </c>
      <c r="EK133" s="485"/>
      <c r="EL133" s="485"/>
      <c r="EM133" s="485"/>
      <c r="EN133" s="485"/>
      <c r="EO133" s="448"/>
      <c r="EP133" s="448"/>
      <c r="EQ133" s="448"/>
      <c r="ER133" s="448"/>
      <c r="ES133" s="448"/>
      <c r="ET133" s="435"/>
      <c r="EU133" s="435"/>
      <c r="EV133" s="435"/>
      <c r="EW133" s="435"/>
      <c r="EX133" s="426"/>
      <c r="EY133" s="426"/>
      <c r="EZ133" s="426"/>
      <c r="FA133" s="863"/>
      <c r="FB133" s="427">
        <f t="array" ref="FB133">IF(SUM((FA133=$FA$3:FA132)*1)=0,FA133,0)</f>
        <v>0</v>
      </c>
      <c r="FC133" s="863"/>
      <c r="FD133" s="863"/>
      <c r="FE133" s="863">
        <f t="array" ref="FE133">IF(SUM((FD133=$FD$3:FD132)*1)=0,FD133,0)</f>
        <v>0</v>
      </c>
      <c r="FF133" s="863"/>
      <c r="FG133" s="863"/>
      <c r="FH133" s="863"/>
      <c r="FI133" s="427">
        <f t="array" ref="FI133">IF(SUM((FH133=$FH$3:FH132)*1)=0,FH133,0)</f>
        <v>0</v>
      </c>
      <c r="FJ133" s="863"/>
      <c r="FK133" s="863"/>
      <c r="FL133" s="863">
        <f t="array" ref="FL133">IF(SUM((FK133=$FK$3:FK132)*1)=0,FK133,0)</f>
        <v>0</v>
      </c>
      <c r="FM133" s="863"/>
      <c r="FN133" s="863"/>
      <c r="FO133" s="863"/>
      <c r="FP133" s="427">
        <f t="array" ref="FP133">IF(SUM((FO133=$FO$3:FO132)*1)=0,FO133,0)</f>
        <v>0</v>
      </c>
      <c r="FQ133" s="863"/>
      <c r="FR133" s="863"/>
      <c r="FS133" s="863">
        <f t="array" ref="FS133">IF(SUM((FR133=$FR$3:FR132)*1)=0,FR133,0)</f>
        <v>0</v>
      </c>
      <c r="FT133" s="863"/>
      <c r="FU133" s="863"/>
      <c r="FV133" s="863"/>
      <c r="FW133" s="427">
        <f t="array" ref="FW133">IF(SUM((FV133=$FV$3:FV132)*1)=0,FV133,0)</f>
        <v>0</v>
      </c>
      <c r="FX133" s="863"/>
      <c r="FY133" s="863"/>
      <c r="FZ133" s="863">
        <f t="array" ref="FZ133">IF(SUM((FY133=$FY$3:FY132)*1)=0,FY133,0)</f>
        <v>0</v>
      </c>
      <c r="GA133" s="863"/>
      <c r="GB133" s="863"/>
      <c r="GC133" s="863"/>
      <c r="GD133" s="427">
        <f t="array" ref="GD133">IF(SUM((GC133=$GC$3:GC132)*1)=0,GC133,0)</f>
        <v>0</v>
      </c>
      <c r="GE133" s="863"/>
      <c r="GF133" s="863"/>
      <c r="GG133" s="863">
        <f t="array" ref="GG133">IF(SUM((GF133=$GF$3:GF132)*1)=0,GF133,0)</f>
        <v>0</v>
      </c>
      <c r="GH133" s="863"/>
      <c r="GI133" s="863"/>
      <c r="GJ133" s="863"/>
      <c r="GK133" s="798">
        <f t="array" ref="GK133">IF(SUM((GJ133=$GJ$3:GJ132)*1)=0,GJ133,0)</f>
        <v>0</v>
      </c>
      <c r="GL133" s="863"/>
      <c r="GM133" s="863"/>
      <c r="GN133" s="798">
        <f t="array" ref="GN133">IF(SUM((GM133=$GM$3:GM132)*1)=0,GM133,0)</f>
        <v>0</v>
      </c>
      <c r="GO133" s="863"/>
      <c r="GP133" s="863"/>
      <c r="GQ133" s="863"/>
      <c r="GR133" s="798">
        <f t="array" ref="GR133">IF(SUM((GQ133=$GQ$3:GQ132)*1)=0,GQ133,0)</f>
        <v>0</v>
      </c>
      <c r="GS133" s="863"/>
      <c r="GT133" s="863"/>
      <c r="GU133" s="798">
        <f t="array" ref="GU133">IF(SUM((GT133=$GT$3:GT132)*1)=0,GT133,0)</f>
        <v>0</v>
      </c>
      <c r="GV133" s="863"/>
      <c r="GW133" s="863"/>
      <c r="GX133" s="863"/>
      <c r="GY133" s="798">
        <f t="array" ref="GY133">IF(SUM((GX133=$GX$3:GX132)*1)=0,GX133,0)</f>
        <v>0</v>
      </c>
      <c r="GZ133" s="863"/>
      <c r="HA133" s="863"/>
      <c r="HB133" s="798">
        <f t="array" ref="HB133">IF(SUM((HA133=$HA$3:HA132)*1)=0,HA133,0)</f>
        <v>0</v>
      </c>
      <c r="HC133" s="863"/>
      <c r="HD133" s="863"/>
      <c r="HE133" s="769" t="str">
        <f t="shared" si="889"/>
        <v/>
      </c>
      <c r="HF133" s="768" t="str">
        <f t="shared" ref="HF133" si="1592">IF(HE133&lt;0,"Invadiu REP-BA-C","")</f>
        <v/>
      </c>
      <c r="HG133" s="769" t="str">
        <f t="shared" si="891"/>
        <v/>
      </c>
      <c r="HH133" s="768" t="str">
        <f t="shared" ref="HH133:HH163" si="1593">IF(HG133&lt;0,"Invadiu REC-BA-C","")</f>
        <v/>
      </c>
      <c r="HI133" s="728" t="str">
        <f t="shared" si="892"/>
        <v/>
      </c>
      <c r="HJ133" s="768" t="str">
        <f t="shared" ref="HJ133:HJ163" si="1594">IF(HI133&lt;0,"Invadiu REP-BA-K","")</f>
        <v/>
      </c>
      <c r="HK133" s="728" t="str">
        <f t="shared" si="893"/>
        <v/>
      </c>
      <c r="HL133" s="768" t="str">
        <f t="shared" ref="HL133:HL163" si="1595">IF(HK133&lt;0,"Invadiu REC-BA-K","")</f>
        <v/>
      </c>
      <c r="HM133" s="769" t="str">
        <f t="shared" ref="HM133:HM163" si="1596">IFERROR(IF($A133="","",IF(HM$2=0,0,IF(AND($J133="Volta Aulas",$P133&lt;&gt;"",$R133&lt;$P$164,$S133&lt;&gt;""),(HM132-$S133),HM132))),"")</f>
        <v/>
      </c>
      <c r="HN133" s="768" t="str">
        <f t="shared" ref="HN133" si="1597">IF(HM133&lt;0,"Invadiu REP-BA-C","")</f>
        <v/>
      </c>
      <c r="HO133" s="769" t="str">
        <f t="shared" ref="HO133:HO163" si="1598">IFERROR(IF($A133="","",IF(HO$2=0,0,IF(AND($J133="Volta Aulas",$R133&lt;$P$164),HO132,IF(AND($J133="Volta Aulas",$R133&gt;=$P$164,HM133&lt;=0),(HO132-$S133),HO132)))),"")</f>
        <v/>
      </c>
      <c r="HP133" s="768" t="str">
        <f t="shared" ref="HP133:HP163" si="1599">IF(HO133&lt;0,"Invadiu REC-BA-C","")</f>
        <v/>
      </c>
      <c r="HQ133" s="728" t="str">
        <f t="shared" ref="HQ133:HQ163" si="1600">IFERROR(IF($A133="","",IF(HQ$2=0,0,IF(AND($J133="Volta Aulas",$R133&lt;&gt;"",$T133&lt;&gt;""),(HQ132-$T133),HQ132))),"")</f>
        <v/>
      </c>
      <c r="HR133" s="768" t="str">
        <f t="shared" ref="HR133:HR163" si="1601">IF(HQ133&lt;0,"Invadiu REP-BA-K","")</f>
        <v/>
      </c>
      <c r="HS133" s="728" t="str">
        <f t="shared" ref="HS133:HS163" si="1602">IFERROR(IF($A133="","",IF(HS$2=0,0,IF(AND($J133="Volta Aulas",$R133&lt;$P$165),HS132,IF(AND($J133="Volta Aulas",$R133&gt;=$P$165,HQ133&lt;=0),(HS132-$T133),HS132)))),"")</f>
        <v/>
      </c>
      <c r="HT133" s="768" t="str">
        <f t="shared" ref="HT133:HT163" si="1603">IF(HS133&lt;0,"Invadiu REC-BA-K","")</f>
        <v/>
      </c>
      <c r="HU133" s="769" t="str">
        <f t="shared" ref="HU133:HU163" si="1604">IFERROR(IF($A133="","",IF(HU$2=0,0,IF(AND($J133="Futuro",$P133&lt;&gt;"",$R133&lt;$P$164,$S133&lt;&gt;""),(HU132-$S133),HU132))),"")</f>
        <v/>
      </c>
      <c r="HV133" s="768" t="str">
        <f t="shared" ref="HV133" si="1605">IF(HU133&lt;0,"Invadiu REP-BA-C","")</f>
        <v/>
      </c>
      <c r="HW133" s="769" t="str">
        <f t="shared" ref="HW133:HW163" si="1606">IFERROR(IF($A133="","",IF(HW$2=0,0,IF(AND($J133="Futuro",$R133&lt;$P$164),HW132,IF(AND($J133="Futuro",$R133&gt;=$P$164,HU133&lt;=0),(HW132-$S133),HW132)))),"")</f>
        <v/>
      </c>
      <c r="HX133" s="768" t="str">
        <f t="shared" ref="HX133:HX163" si="1607">IF(HW133&lt;0,"Invadiu REC-BA-C","")</f>
        <v/>
      </c>
      <c r="HY133" s="728" t="str">
        <f t="shared" ref="HY133:HY163" si="1608">IFERROR(IF($A133="","",IF(HY$2=0,0,IF(AND($J133="Futuro",$R133&lt;&gt;"",$T133&lt;&gt;""),(HY132-$T133),HY132))),"")</f>
        <v/>
      </c>
      <c r="HZ133" s="768" t="str">
        <f t="shared" ref="HZ133:HZ163" si="1609">IF(HY133&lt;0,"Invadiu REP-BA-K","")</f>
        <v/>
      </c>
      <c r="IA133" s="728" t="str">
        <f t="shared" ref="IA133:IA163" si="1610">IFERROR(IF($A133="","",IF(IA$2=0,0,IF(AND($J133="Futuro",$R133&lt;$P$165),IA132,IF(AND($J133="Futuro",$R133&gt;=$P$165,HY133&lt;=0),(IA132-$T133),IA132)))),"")</f>
        <v/>
      </c>
      <c r="IB133" s="768" t="str">
        <f t="shared" ref="IB133:IB163" si="1611">IF(IA133&lt;0,"Invadiu REC-BA-K","")</f>
        <v/>
      </c>
      <c r="IC133" s="769" t="str">
        <f t="shared" ref="IC133:IC163" si="1612">IFERROR(IF($A133="","",IF(IC$2=0,0,IF(AND($J133="Rolê",$P133&lt;&gt;"",$R133&lt;$P$164,$S133&lt;&gt;""),(IC132-$S133),IC132))),"")</f>
        <v/>
      </c>
      <c r="ID133" s="768" t="str">
        <f t="shared" ref="ID133" si="1613">IF(IC133&lt;0,"Invadiu REP-BA-C","")</f>
        <v/>
      </c>
      <c r="IE133" s="769" t="str">
        <f t="shared" ref="IE133:IE163" si="1614">IFERROR(IF($A133="","",IF(IE$2=0,0,IF(AND($J133="Rolê",$R133&lt;$P$164),IE132,IF(AND($J133="Rolê",$R133&gt;=$P$164,IC133&lt;=0),(IE132-$S133),IE132)))),"")</f>
        <v/>
      </c>
      <c r="IF133" s="768" t="str">
        <f t="shared" ref="IF133:IF163" si="1615">IF(IE133&lt;0,"Invadiu REC-BA-C","")</f>
        <v/>
      </c>
      <c r="IG133" s="728" t="str">
        <f t="shared" ref="IG133:IG163" si="1616">IFERROR(IF($A133="","",IF(IG$2=0,0,IF(AND($J133="Rolê",$R133&lt;&gt;"",$T133&lt;&gt;""),(IG132-$T133),IG132))),"")</f>
        <v/>
      </c>
      <c r="IH133" s="768" t="str">
        <f t="shared" ref="IH133:IH163" si="1617">IF(IG133&lt;0,"Invadiu REP-BA-K","")</f>
        <v/>
      </c>
      <c r="II133" s="728" t="str">
        <f t="shared" ref="II133:II163" si="1618">IFERROR(IF($A133="","",IF(II$2=0,0,IF(AND($J133="Rolê",$R133&lt;$P$165),II132,IF(AND($J133="Rolê",$R133&gt;=$P$165,IG133&lt;=0),(II132-$T133),II132)))),"")</f>
        <v/>
      </c>
      <c r="IJ133" s="768" t="str">
        <f t="shared" ref="IJ133:IJ163" si="1619">IF(II133&lt;0,"Invadiu REC-BA-K","")</f>
        <v/>
      </c>
      <c r="IK133" s="769" t="str">
        <f t="shared" ref="IK133:IK163" si="1620">IFERROR(IF($A133="","",IF(IK$2=0,0,IF(AND($J133="Imprensa",$P133&lt;&gt;"",$R133&lt;$P$164,$S133&lt;&gt;""),(IK132-$S133),IK132))),"")</f>
        <v/>
      </c>
      <c r="IL133" s="768" t="str">
        <f t="shared" ref="IL133" si="1621">IF(IK133&lt;0,"Invadiu REP-BA-C","")</f>
        <v/>
      </c>
      <c r="IM133" s="769" t="str">
        <f t="shared" ref="IM133:IM163" si="1622">IFERROR(IF($A133="","",IF(IM$2=0,0,IF(AND($J133="Imprensa",$R133&lt;$P$164),IM132,IF(AND($J133="Imprensa",$R133&gt;=$P$164,IK133&lt;=0),(IM132-$S133),IM132)))),"")</f>
        <v/>
      </c>
      <c r="IN133" s="768" t="str">
        <f t="shared" ref="IN133:IN163" si="1623">IF(IM133&lt;0,"Invadiu REC-BA-C","")</f>
        <v/>
      </c>
      <c r="IO133" s="728" t="str">
        <f t="shared" ref="IO133:IO163" si="1624">IFERROR(IF($A133="","",IF(IO$2=0,0,IF(AND($J133="Imprensa",$R133&lt;&gt;"",$T133&lt;&gt;""),(IO132-$T133),IO132))),"")</f>
        <v/>
      </c>
      <c r="IP133" s="768" t="str">
        <f t="shared" ref="IP133:IP163" si="1625">IF(IO133&lt;0,"Invadiu REP-BA-K","")</f>
        <v/>
      </c>
      <c r="IQ133" s="728" t="str">
        <f t="shared" ref="IQ133:IQ163" si="1626">IFERROR(IF($A133="","",IF(IQ$2=0,0,IF(AND($J133="Imprensa",$R133&lt;$P$165),IQ132,IF(AND($J133="Imprensa",$R133&gt;=$P$165,IO133&lt;=0),(IQ132-$T133),IQ132)))),"")</f>
        <v/>
      </c>
      <c r="IR133" s="768" t="str">
        <f t="shared" ref="IR133:IR163" si="1627">IF(IQ133&lt;0,"Invadiu REC-BA-K","")</f>
        <v/>
      </c>
      <c r="IS133" s="769" t="str">
        <f t="shared" ref="IS133:IS163" si="1628">IFERROR(IF($A133="","",IF(IS$2=0,0,IF(AND($J133="Grêmio",$P133&lt;&gt;"",$R133&lt;$P$164,$S133&lt;&gt;""),(IS132-$S133),IS132))),"")</f>
        <v/>
      </c>
      <c r="IT133" s="768" t="str">
        <f t="shared" ref="IT133" si="1629">IF(IS133&lt;0,"Invadiu REP-BA-C","")</f>
        <v/>
      </c>
      <c r="IU133" s="769" t="str">
        <f t="shared" ref="IU133:IU163" si="1630">IFERROR(IF($A133="","",IF(IU$2=0,0,IF(AND($J133="Grêmio",$R133&lt;$P$164),IU132,IF(AND($J133="Grêmio",$R133&gt;=$P$164,IS133&lt;=0),(IU132-$S133),IU132)))),"")</f>
        <v/>
      </c>
      <c r="IV133" s="768" t="str">
        <f t="shared" ref="IV133:IV163" si="1631">IF(IU133&lt;0,"Invadiu REC-BA-C","")</f>
        <v/>
      </c>
      <c r="IW133" s="728" t="str">
        <f t="shared" ref="IW133:IW163" si="1632">IFERROR(IF($A133="","",IF(IW$2=0,0,IF(AND($J133="Grêmio",$R133&lt;&gt;"",$T133&lt;&gt;""),(IW132-$T133),IW132))),"")</f>
        <v/>
      </c>
      <c r="IX133" s="768" t="str">
        <f t="shared" ref="IX133:IX163" si="1633">IF(IW133&lt;0,"Invadiu REP-BA-K","")</f>
        <v/>
      </c>
      <c r="IY133" s="728" t="str">
        <f t="shared" ref="IY133:IY163" si="1634">IFERROR(IF($A133="","",IF(IY$2=0,0,IF(AND($J133="Grêmio",$R133&lt;$P$165),IY132,IF(AND($J133="Grêmio",$R133&gt;=$P$165,IW133&lt;=0),(IY132-$T133),IY132)))),"")</f>
        <v/>
      </c>
      <c r="IZ133" s="768" t="str">
        <f t="shared" ref="IZ133:IZ163" si="1635">IF(IY133&lt;0,"Invadiu REC-BA-K","")</f>
        <v/>
      </c>
      <c r="JA133" s="769" t="str">
        <f t="shared" ref="JA133:JA163" si="1636">IFERROR(IF($A133="","",IF(JA$2=0,0,IF(AND($J133="Formação",$P133&lt;&gt;"",$R133&lt;$P$164,$S133&lt;&gt;""),(JA132-$S133),JA132))),"")</f>
        <v/>
      </c>
      <c r="JB133" s="768" t="str">
        <f t="shared" ref="JB133" si="1637">IF(JA133&lt;0,"Invadiu REP-BA-C","")</f>
        <v/>
      </c>
      <c r="JC133" s="769" t="str">
        <f t="shared" ref="JC133:JC163" si="1638">IFERROR(IF($A133="","",IF(JC$2=0,0,IF(AND($J133="Formação",$R133&lt;$P$164),JC132,IF(AND($J133="Formação",$R133&gt;=$P$164,JA133&lt;=0),(JC132-$S133),JC132)))),"")</f>
        <v/>
      </c>
      <c r="JD133" s="768" t="str">
        <f t="shared" ref="JD133:JD163" si="1639">IF(JC133&lt;0,"Invadiu REC-BA-C","")</f>
        <v/>
      </c>
      <c r="JE133" s="728" t="str">
        <f t="shared" ref="JE133:JE163" si="1640">IFERROR(IF($A133="","",IF(JE$2=0,0,IF(AND($J133="Formação",$R133&lt;&gt;"",$T133&lt;&gt;""),(JE132-$T133),JE132))),"")</f>
        <v/>
      </c>
      <c r="JF133" s="768" t="str">
        <f t="shared" ref="JF133:JF163" si="1641">IF(JE133&lt;0,"Invadiu REP-BA-K","")</f>
        <v/>
      </c>
      <c r="JG133" s="728" t="str">
        <f t="shared" ref="JG133:JG163" si="1642">IFERROR(IF($A133="","",IF(JG$2=0,0,IF(AND($J133="Formação",$R133&lt;$P$165),JG132,IF(AND($J133="Formação",$R133&gt;=$P$165,JE133&lt;=0),(JG132-$T133),JG132)))),"")</f>
        <v/>
      </c>
      <c r="JH133" s="768" t="str">
        <f t="shared" ref="JH133:JH163" si="1643">IF(JG133&lt;0,"Invadiu REC-BA-K","")</f>
        <v/>
      </c>
      <c r="JI133" s="769" t="str">
        <f t="shared" ref="JI133:JI163" si="1644">IFERROR(IF($A133="","",IF(JI$2=0,0,IF(AND($J133="Mais Escola",$P133&lt;&gt;"",$R133&lt;$P$164,$S133&lt;&gt;""),(JI132-$S133),JI132))),"")</f>
        <v/>
      </c>
      <c r="JJ133" s="768" t="str">
        <f t="shared" ref="JJ133" si="1645">IF(JI133&lt;0,"Invadiu REP-BA-C","")</f>
        <v/>
      </c>
      <c r="JK133" s="769" t="str">
        <f t="shared" ref="JK133:JK163" si="1646">IFERROR(IF($A133="","",IF(JK$2=0,0,IF(AND($J133="Mais Escola",$R133&lt;$P$164),JK132,IF(AND($J133="Mais Escola",$R133&gt;=$P$164,JI133&lt;=0),(JK132-$S133),JK132)))),"")</f>
        <v/>
      </c>
      <c r="JL133" s="768" t="str">
        <f t="shared" ref="JL133:JL163" si="1647">IF(JK133&lt;0,"Invadiu REC-BA-C","")</f>
        <v/>
      </c>
      <c r="JM133" s="728" t="str">
        <f t="shared" ref="JM133:JM163" si="1648">IFERROR(IF($A133="","",IF(JM$2=0,0,IF(AND($J133="Mais Escola",$R133&lt;&gt;"",$T133&lt;&gt;""),(JM132-$T133),JM132))),"")</f>
        <v/>
      </c>
      <c r="JN133" s="768" t="str">
        <f t="shared" ref="JN133:JN163" si="1649">IF(JM133&lt;0,"Invadiu REP-BA-K","")</f>
        <v/>
      </c>
      <c r="JO133" s="728" t="str">
        <f t="shared" ref="JO133:JO163" si="1650">IFERROR(IF($A133="","",IF(JO$2=0,0,IF(AND($J133="Mais Escola",$R133&lt;$P$165),JO132,IF(AND($J133="Mais Escola",$R133&gt;=$P$165,JM133&lt;=0),(JO132-$T133),JO132)))),"")</f>
        <v/>
      </c>
      <c r="JP133" s="768" t="str">
        <f t="shared" ref="JP133:JP163" si="1651">IF(JO133&lt;0,"Invadiu REC-BA-K","")</f>
        <v/>
      </c>
      <c r="JQ133" s="769" t="str">
        <f t="shared" ref="JQ133:JQ163" si="1652">IFERROR(IF($A133="","",IF(JQ$2=0,0,IF(AND($J133="Livre Aplic.",$P133&lt;&gt;"",$R133&lt;$P$164,$S133&lt;&gt;""),(JQ132-$S133),JQ132))),"")</f>
        <v/>
      </c>
      <c r="JR133" s="768" t="str">
        <f t="shared" ref="JR133" si="1653">IF(JQ133&lt;0,"Invadiu REP-BA-C","")</f>
        <v/>
      </c>
      <c r="JS133" s="769" t="str">
        <f t="shared" ref="JS133:JS163" si="1654">IFERROR(IF($A133="","",IF(JS$2=0,0,IF(AND($J133="Livre Aplic.",$R133&lt;$P$164),JS132,IF(AND($J133="Livre Aplic.",$R133&gt;=$P$164,JQ133&lt;=0),(JS132-$S133),JS132)))),"")</f>
        <v/>
      </c>
      <c r="JT133" s="768" t="str">
        <f t="shared" ref="JT133:JT163" si="1655">IF(JS133&lt;0,"Invadiu REC-BA-C","")</f>
        <v/>
      </c>
      <c r="JU133" s="728" t="str">
        <f t="shared" ref="JU133:JU163" si="1656">IFERROR(IF($A133="","",IF(JU$2=0,0,IF(AND($J133="Livre Aplic.",$R133&lt;&gt;"",$T133&lt;&gt;""),(JU132-$T133),JU132))),"")</f>
        <v/>
      </c>
      <c r="JV133" s="768" t="str">
        <f t="shared" ref="JV133:JV163" si="1657">IF(JU133&lt;0,"Invadiu REP-BA-K","")</f>
        <v/>
      </c>
      <c r="JW133" s="728" t="str">
        <f t="shared" ref="JW133:JW163" si="1658">IFERROR(IF($A133="","",IF(JW$2=0,0,IF(AND($J133="Livre Aplic.",$R133&lt;$P$165),JW132,IF(AND($J133="Livre Aplic.",$R133&gt;=$P$165,JU133&lt;=0),(JW132-$T133),JW132)))),"")</f>
        <v/>
      </c>
      <c r="JX133" s="768" t="str">
        <f t="shared" ref="JX133:JX163" si="1659">IF(JW133&lt;0,"Invadiu REC-BA-K","")</f>
        <v/>
      </c>
      <c r="JY133" s="768" t="str">
        <f t="shared" ref="JY133:JY163" si="1660">IF(KA133="","",LEN(KA133))</f>
        <v/>
      </c>
      <c r="JZ133" s="485" t="str">
        <f>IF(JY133="","",IF(AND(C133=$C$164,JY133&lt;&gt;""),Verificarcpf(D133),IF(AND(C133=$C$165,JY133&lt;&gt;""),VerificarCNPJ(D133))))</f>
        <v/>
      </c>
      <c r="KA133" s="768" t="str">
        <f t="shared" ref="KA133:KA163" si="1661">IF(D133="","",TEXT(SUMPRODUCT(MID(0&amp;D133,LARGE(INDEX(ISNUMBER(--MID(D133,ROW($1:$25),1))*ROW($1:$25),0),ROW($1:$25))+1,1)*10^ROW($1:$25)/10),"00000000000"))</f>
        <v/>
      </c>
      <c r="KB133" s="485">
        <f t="shared" ref="KB133:KB163" si="1662">IF(AND(E133=$KG$12,R133&gt;=$W$1,T133&gt;0),T133,0)</f>
        <v>0</v>
      </c>
      <c r="KC133" s="768">
        <f t="shared" ref="KC133:KC163" si="1663">KB133</f>
        <v>0</v>
      </c>
      <c r="KD133" s="485">
        <f t="shared" ref="KD133:KD163" si="1664">IF(KB133=0,0,IF(IJ133&gt;$X$1,KC133-$X$1-KD132,0))</f>
        <v>0</v>
      </c>
      <c r="KE133" s="448"/>
      <c r="KF133" s="548"/>
      <c r="KG133" s="548"/>
      <c r="KH133" s="548"/>
      <c r="KI133" s="548"/>
      <c r="KJ133" s="548" t="str">
        <f t="shared" ref="KJ133:KJ163" si="1665">IF(B133&amp;C133&amp;D133&amp;G133&amp;M133&amp;N133&amp;O133&amp;P133&amp;Q133&amp;R133&amp;S133&amp;T133&amp;V133="","",IF(AND(N133=$N$164,Q133&lt;&gt;""),$KF$2,IF(U133=$KG$11,$KG$11,IF(AND($Q133&lt;&gt;"",$V133=""),$KG$4,IF(B133="",$KG$6,IF(G133="",$KG$7,IF(OR(JZ133=$KG$16,JZ133=$KG$17),JZ133,IF(M133="",$KG$8,IF(N133="",$KG$9,IF(N133=$KG$10,$KJ$3,IF(S133+T133=0,$KG$11,$KJ$3)))))))))))</f>
        <v/>
      </c>
      <c r="KK133" s="548"/>
      <c r="KL133" s="548"/>
      <c r="KM133" s="548">
        <f t="array" ref="KM133">IF(SUM((KL133=$KL$3:KL132)*1)=0,KL133,0)</f>
        <v>0</v>
      </c>
      <c r="KN133" s="548"/>
      <c r="KO133" s="548"/>
      <c r="KP133" s="548"/>
      <c r="KQ133" s="548"/>
      <c r="KR133" s="548" t="str">
        <f t="shared" ref="KR133:KR163" si="1666">IF(AH133="","",LEN(AH133))</f>
        <v/>
      </c>
      <c r="KS133" s="548"/>
      <c r="KT133" s="548"/>
      <c r="KU133" s="548"/>
      <c r="KV133" s="548"/>
      <c r="KW133" s="548"/>
      <c r="KX133" s="548"/>
      <c r="KY133" s="548"/>
      <c r="KZ133" s="548"/>
      <c r="LA133" s="548"/>
      <c r="LB133" s="548"/>
      <c r="LC133" s="485" t="str">
        <f t="shared" si="902"/>
        <v/>
      </c>
      <c r="LD133" s="548"/>
      <c r="LE133" s="548"/>
      <c r="LF133" s="548"/>
      <c r="LG133" s="548"/>
      <c r="LH133" s="548"/>
      <c r="LI133" s="548"/>
      <c r="LJ133" s="548"/>
      <c r="LK133" s="548"/>
      <c r="LL133" s="548"/>
      <c r="LM133" s="548"/>
      <c r="LN133" s="548"/>
      <c r="LO133" s="548"/>
      <c r="LP133" s="485" t="str">
        <f t="shared" si="903"/>
        <v/>
      </c>
      <c r="LQ133" s="548"/>
      <c r="LR133" s="548"/>
      <c r="LS133" s="548"/>
      <c r="LT133" s="548"/>
      <c r="LU133" s="548"/>
      <c r="LV133" s="548"/>
      <c r="LW133" s="548"/>
      <c r="LX133" s="548"/>
      <c r="LY133" s="548"/>
      <c r="LZ133" s="548"/>
      <c r="MA133" s="548"/>
      <c r="MB133" s="548"/>
      <c r="MC133" s="485" t="str">
        <f t="shared" si="904"/>
        <v/>
      </c>
      <c r="MD133" s="548"/>
      <c r="ME133" s="548"/>
      <c r="MF133" s="548"/>
      <c r="MG133" s="548"/>
      <c r="MH133" s="548"/>
      <c r="MI133" s="548"/>
      <c r="MJ133" s="548"/>
      <c r="MK133" s="548"/>
      <c r="ML133" s="548"/>
      <c r="MM133" s="548"/>
      <c r="MN133" s="548"/>
      <c r="MO133" s="548"/>
      <c r="MP133" s="485" t="str">
        <f t="shared" si="905"/>
        <v/>
      </c>
      <c r="MQ133" s="548"/>
      <c r="MR133" s="548"/>
      <c r="MS133" s="548"/>
      <c r="MT133" s="548"/>
      <c r="MU133" s="548"/>
      <c r="MV133" s="548"/>
      <c r="MW133" s="548"/>
      <c r="MX133" s="548"/>
      <c r="MY133" s="548"/>
      <c r="MZ133" s="548"/>
      <c r="NA133" s="548"/>
      <c r="NB133" s="548"/>
      <c r="NC133" s="485" t="str">
        <f t="shared" si="906"/>
        <v/>
      </c>
      <c r="ND133" s="548"/>
      <c r="NE133" s="548"/>
      <c r="NF133" s="548"/>
      <c r="NG133" s="548"/>
      <c r="NH133" s="548"/>
      <c r="NI133" s="548"/>
      <c r="NJ133" s="548"/>
      <c r="NK133" s="548"/>
      <c r="NL133" s="548"/>
      <c r="NM133" s="548"/>
      <c r="NN133" s="548"/>
      <c r="NO133" s="548"/>
      <c r="NP133" s="485" t="str">
        <f t="shared" si="907"/>
        <v/>
      </c>
      <c r="NQ133" s="548"/>
      <c r="NR133" s="548"/>
      <c r="NS133" s="548"/>
      <c r="NT133" s="548"/>
      <c r="NU133" s="548"/>
      <c r="NV133" s="548"/>
      <c r="NW133" s="548"/>
      <c r="NX133" s="548"/>
      <c r="NY133" s="548"/>
      <c r="NZ133" s="548"/>
      <c r="OA133" s="548"/>
      <c r="OB133" s="548"/>
      <c r="OC133" s="485" t="str">
        <f t="shared" si="908"/>
        <v/>
      </c>
      <c r="OD133" s="548"/>
      <c r="OE133" s="548"/>
      <c r="OF133" s="548"/>
      <c r="OG133" s="548"/>
      <c r="OH133" s="548"/>
      <c r="OI133" s="548"/>
      <c r="OJ133" s="548"/>
      <c r="OK133" s="548"/>
      <c r="OL133" s="548"/>
      <c r="OM133" s="548"/>
      <c r="ON133" s="548"/>
      <c r="OO133" s="548"/>
      <c r="OP133" s="548"/>
      <c r="OQ133" s="548"/>
      <c r="OR133" s="548"/>
      <c r="OS133" s="548"/>
      <c r="OT133" s="548"/>
      <c r="OU133" s="548"/>
      <c r="OV133" s="548"/>
      <c r="OW133" s="548"/>
      <c r="OX133" s="548"/>
      <c r="OY133" s="548"/>
      <c r="OZ133" s="548"/>
      <c r="PA133" s="548"/>
      <c r="PB133" s="548"/>
      <c r="PC133" s="548"/>
      <c r="PD133" s="548"/>
      <c r="PE133" s="548"/>
      <c r="PF133" s="548"/>
      <c r="PG133" s="548"/>
      <c r="PH133" s="548"/>
      <c r="PI133" s="548"/>
      <c r="PJ133" s="548"/>
      <c r="PK133" s="548"/>
      <c r="PL133" s="548"/>
      <c r="PM133" s="548"/>
      <c r="PN133" s="548"/>
      <c r="PO133" s="548"/>
      <c r="PP133" s="548"/>
      <c r="PQ133" s="548"/>
      <c r="PR133" s="548"/>
      <c r="PS133" s="548"/>
      <c r="PT133" s="548"/>
      <c r="PU133" s="548"/>
      <c r="PV133" s="548"/>
      <c r="PW133" s="548"/>
      <c r="PX133" s="548"/>
      <c r="PY133" s="548"/>
      <c r="PZ133" s="548"/>
      <c r="QA133" s="548"/>
      <c r="QB133" s="548"/>
      <c r="QC133" s="548"/>
      <c r="QD133" s="548"/>
      <c r="QE133" s="548"/>
      <c r="QF133" s="548"/>
      <c r="QG133" s="548"/>
      <c r="QH133" s="548"/>
      <c r="QI133" s="548"/>
      <c r="QJ133" s="548"/>
      <c r="QK133" s="548"/>
      <c r="QL133" s="548"/>
      <c r="QM133" s="548"/>
      <c r="QN133" s="548"/>
      <c r="QO133" s="548"/>
      <c r="QP133" s="548"/>
      <c r="QQ133" s="1009"/>
      <c r="QR133" s="548"/>
      <c r="QS133" s="548"/>
      <c r="QT133" s="548"/>
      <c r="QU133" s="548"/>
      <c r="QV133" s="548"/>
      <c r="QW133" s="548"/>
      <c r="QX133" s="548"/>
      <c r="QY133" s="548"/>
      <c r="QZ133" s="548"/>
      <c r="RA133" s="548"/>
      <c r="RB133" s="548"/>
      <c r="RC133" s="548"/>
      <c r="RD133" s="548"/>
      <c r="RE133" s="548"/>
      <c r="RF133" s="548"/>
      <c r="RG133" s="548"/>
      <c r="RH133" s="548"/>
      <c r="RI133" s="548"/>
      <c r="RJ133" s="548"/>
      <c r="RK133" s="548"/>
      <c r="RL133" s="548"/>
      <c r="RM133" s="548"/>
      <c r="RN133" s="548"/>
      <c r="RO133" s="548"/>
      <c r="RP133" s="548"/>
      <c r="RQ133" s="548"/>
      <c r="RR133" s="548"/>
      <c r="RS133" s="548"/>
      <c r="RT133" s="548"/>
      <c r="RU133" s="548"/>
      <c r="RV133" s="548"/>
      <c r="RW133" s="548"/>
      <c r="RX133" s="548"/>
      <c r="RY133" s="548"/>
      <c r="RZ133" s="548"/>
      <c r="SA133" s="548"/>
      <c r="SB133" s="548"/>
      <c r="SC133" s="548"/>
      <c r="SD133" s="548"/>
      <c r="SE133" s="548"/>
      <c r="SF133" s="548"/>
      <c r="SG133" s="548"/>
      <c r="SH133" s="548"/>
      <c r="SI133" s="548"/>
      <c r="SJ133" s="548"/>
      <c r="SK133" s="548"/>
      <c r="SL133" s="548"/>
      <c r="SM133" s="548"/>
      <c r="SN133" s="548"/>
      <c r="SO133" s="548"/>
      <c r="SP133" s="548"/>
      <c r="SQ133" s="548"/>
      <c r="SR133" s="548"/>
      <c r="SS133" s="548"/>
      <c r="ST133" s="548"/>
      <c r="SU133" s="548"/>
      <c r="SV133" s="548"/>
      <c r="SW133" s="548"/>
      <c r="SX133" s="548"/>
      <c r="SY133" s="548"/>
      <c r="SZ133" s="548"/>
      <c r="TA133" s="548"/>
      <c r="TB133" s="548"/>
      <c r="TC133" s="548"/>
      <c r="TD133" s="548"/>
      <c r="TE133" s="548"/>
      <c r="TF133" s="548"/>
      <c r="TG133" s="548"/>
      <c r="TH133" s="548"/>
      <c r="TI133" s="548"/>
      <c r="TJ133" s="548"/>
      <c r="TK133" s="548"/>
      <c r="TL133" s="548"/>
      <c r="TM133" s="548"/>
      <c r="TN133" s="548"/>
      <c r="TO133" s="548"/>
      <c r="TP133" s="548"/>
      <c r="TQ133" s="548"/>
      <c r="TR133" s="548"/>
      <c r="TS133" s="548"/>
      <c r="TT133" s="548"/>
      <c r="TU133" s="548"/>
      <c r="TV133" s="548"/>
      <c r="TW133" s="548"/>
      <c r="TX133" s="548"/>
      <c r="TY133" s="548"/>
      <c r="TZ133" s="548"/>
      <c r="UA133" s="548"/>
      <c r="UB133" s="548"/>
      <c r="UC133" s="548"/>
      <c r="UD133" s="548"/>
      <c r="UE133" s="548"/>
      <c r="UF133" s="548"/>
      <c r="UG133" s="548"/>
      <c r="UH133" s="548"/>
      <c r="UI133" s="548"/>
      <c r="UJ133" s="548"/>
      <c r="UK133" s="548"/>
      <c r="UL133" s="548"/>
      <c r="UM133" s="548"/>
      <c r="UN133" s="548"/>
      <c r="UO133" s="548"/>
      <c r="UP133" s="548"/>
      <c r="UQ133" s="548"/>
      <c r="UR133" s="548"/>
      <c r="US133" s="548"/>
      <c r="UT133" s="548"/>
      <c r="UU133" s="548"/>
      <c r="UV133" s="548"/>
      <c r="UW133" s="548"/>
      <c r="UX133" s="548"/>
      <c r="UY133" s="548"/>
      <c r="UZ133" s="548"/>
      <c r="VA133" s="548"/>
      <c r="VB133" s="548"/>
      <c r="VC133" s="548"/>
      <c r="VD133" s="548"/>
      <c r="VE133" s="548"/>
      <c r="VF133" s="548"/>
      <c r="VG133" s="548"/>
      <c r="VH133" s="548"/>
      <c r="VI133" s="548"/>
      <c r="VJ133" s="548"/>
      <c r="VK133" s="548"/>
      <c r="VL133" s="548"/>
      <c r="VM133" s="548"/>
      <c r="VN133" s="548"/>
      <c r="VO133" s="548"/>
      <c r="VP133" s="548"/>
      <c r="VQ133" s="548"/>
      <c r="VR133" s="548"/>
      <c r="VS133" s="548"/>
      <c r="VT133" s="548"/>
      <c r="VU133" s="548"/>
      <c r="VV133" s="548"/>
      <c r="VW133" s="548"/>
      <c r="VX133" s="548"/>
      <c r="VY133" s="548"/>
      <c r="VZ133" s="548"/>
      <c r="WA133" s="548"/>
      <c r="WB133" s="548"/>
      <c r="WC133" s="548"/>
      <c r="WD133" s="548"/>
      <c r="WE133" s="548"/>
      <c r="WF133" s="548"/>
      <c r="WG133" s="548"/>
      <c r="WH133" s="548"/>
      <c r="WI133" s="548"/>
      <c r="WJ133" s="548"/>
      <c r="WK133" s="548"/>
      <c r="WL133" s="548"/>
      <c r="WM133" s="548"/>
      <c r="WN133" s="548"/>
      <c r="WO133" s="548"/>
      <c r="WP133" s="548"/>
      <c r="WQ133" s="548"/>
      <c r="WR133" s="548"/>
      <c r="WS133" s="548"/>
      <c r="WT133" s="548"/>
      <c r="WU133" s="548"/>
      <c r="WV133" s="548"/>
      <c r="WW133" s="548"/>
      <c r="WX133" s="548"/>
      <c r="WY133" s="548"/>
      <c r="WZ133" s="548"/>
      <c r="XA133" s="548"/>
      <c r="XB133" s="548"/>
      <c r="XC133" s="548"/>
      <c r="XD133" s="548"/>
      <c r="XE133" s="548"/>
      <c r="XF133" s="548"/>
      <c r="XG133" s="548"/>
      <c r="XH133" s="548"/>
      <c r="XI133" s="548"/>
      <c r="XJ133" s="548"/>
      <c r="XK133" s="548"/>
      <c r="XL133" s="548"/>
      <c r="XM133" s="548"/>
      <c r="XN133" s="548"/>
      <c r="XO133" s="548"/>
      <c r="XP133" s="548"/>
      <c r="XQ133" s="548"/>
      <c r="XR133" s="548"/>
      <c r="XS133" s="548"/>
      <c r="XT133" s="548"/>
      <c r="XU133" s="548"/>
      <c r="XV133" s="548"/>
      <c r="XW133" s="548"/>
      <c r="XX133" s="548"/>
      <c r="XY133" s="548"/>
      <c r="XZ133" s="548"/>
      <c r="YA133" s="548"/>
      <c r="YB133" s="548"/>
      <c r="YC133" s="548"/>
      <c r="YD133" s="548"/>
      <c r="YE133" s="548"/>
      <c r="YF133" s="548"/>
      <c r="YG133" s="548"/>
      <c r="YH133" s="548"/>
      <c r="YI133" s="548"/>
      <c r="YJ133" s="548"/>
      <c r="YK133" s="548"/>
      <c r="YL133" s="548"/>
      <c r="YM133" s="548"/>
      <c r="YN133" s="548"/>
      <c r="YO133" s="548"/>
      <c r="YP133" s="548"/>
      <c r="YQ133" s="548"/>
      <c r="YR133" s="548"/>
      <c r="YS133" s="548"/>
      <c r="YT133" s="548"/>
      <c r="YU133" s="548"/>
      <c r="YV133" s="548"/>
      <c r="YW133" s="548"/>
      <c r="YX133" s="548"/>
      <c r="YY133" s="548"/>
      <c r="YZ133" s="548"/>
      <c r="ZA133" s="548"/>
      <c r="ZB133" s="548"/>
      <c r="ZC133" s="548"/>
      <c r="ZD133" s="548"/>
      <c r="ZE133" s="548"/>
      <c r="ZF133" s="548"/>
      <c r="ZG133" s="548"/>
      <c r="ZH133" s="548"/>
      <c r="ZI133" s="548"/>
      <c r="ZJ133" s="548"/>
      <c r="ZK133" s="548"/>
      <c r="ZL133" s="548"/>
      <c r="ZM133" s="548"/>
      <c r="ZN133" s="548"/>
      <c r="ZO133" s="548"/>
      <c r="ZP133" s="548"/>
      <c r="ZQ133" s="548"/>
      <c r="ZR133" s="548"/>
      <c r="ZS133" s="548"/>
      <c r="ZT133" s="548"/>
      <c r="ZU133" s="548"/>
      <c r="ZV133" s="548"/>
      <c r="ZW133" s="548"/>
      <c r="ZX133" s="548"/>
      <c r="ZY133" s="548"/>
      <c r="ZZ133" s="548"/>
      <c r="AAA133" s="548"/>
      <c r="AAB133" s="548"/>
      <c r="AAC133" s="548"/>
      <c r="AAD133" s="548"/>
      <c r="AAE133" s="548"/>
      <c r="AAF133" s="548"/>
      <c r="AAG133" s="548"/>
      <c r="AAH133" s="548"/>
      <c r="AAI133" s="548"/>
      <c r="AAJ133" s="548"/>
      <c r="AAK133" s="548"/>
      <c r="AAL133" s="548"/>
      <c r="AAM133" s="548"/>
      <c r="AAN133" s="548"/>
      <c r="AAO133" s="548"/>
      <c r="AAP133" s="548"/>
      <c r="AAQ133" s="548"/>
      <c r="AAR133" s="548"/>
      <c r="AAS133" s="548"/>
      <c r="AAT133" s="548"/>
      <c r="AAU133" s="548"/>
      <c r="AAV133" s="548"/>
      <c r="AAW133" s="548"/>
      <c r="AAX133" s="548"/>
      <c r="AAY133" s="548"/>
      <c r="AAZ133" s="548"/>
      <c r="ABA133" s="548"/>
      <c r="ABB133" s="548"/>
      <c r="ABC133" s="548"/>
      <c r="ABD133" s="548"/>
      <c r="ABE133" s="548"/>
      <c r="ABF133" s="548"/>
      <c r="ABG133" s="548"/>
      <c r="ABH133" s="548"/>
      <c r="ABI133" s="548"/>
      <c r="ABJ133" s="548"/>
      <c r="ABK133" s="548"/>
      <c r="ABL133" s="548"/>
      <c r="ABM133" s="548"/>
      <c r="ABN133" s="548"/>
      <c r="ABO133" s="548"/>
      <c r="ABP133" s="548"/>
      <c r="ABQ133" s="548"/>
      <c r="ABR133" s="548"/>
      <c r="ABS133" s="548"/>
    </row>
    <row r="134" spans="1:747" customFormat="1" ht="15" customHeight="1" thickBot="1" x14ac:dyDescent="0.25">
      <c r="A134" s="424" t="str">
        <f t="shared" si="909"/>
        <v/>
      </c>
      <c r="B134" s="415"/>
      <c r="C134" s="525"/>
      <c r="D134" s="750"/>
      <c r="E134" s="416" t="str">
        <f t="shared" si="1529"/>
        <v/>
      </c>
      <c r="F134" s="527" t="str">
        <f t="shared" si="1530"/>
        <v/>
      </c>
      <c r="G134" s="417"/>
      <c r="H134" s="585" t="str">
        <f t="shared" si="1531"/>
        <v/>
      </c>
      <c r="I134" s="424"/>
      <c r="J134" s="419"/>
      <c r="K134" s="418"/>
      <c r="L134" s="419"/>
      <c r="M134" s="415"/>
      <c r="N134" s="420"/>
      <c r="O134" s="421"/>
      <c r="P134" s="561"/>
      <c r="Q134" s="422"/>
      <c r="R134" s="561" t="str">
        <f t="shared" si="1532"/>
        <v/>
      </c>
      <c r="S134" s="664"/>
      <c r="T134" s="663"/>
      <c r="U134" s="580">
        <f t="shared" si="1533"/>
        <v>0</v>
      </c>
      <c r="V134" s="418"/>
      <c r="W134" s="582" t="str">
        <f t="shared" si="1534"/>
        <v/>
      </c>
      <c r="X134" s="479" t="str">
        <f t="shared" si="1535"/>
        <v/>
      </c>
      <c r="Y134" s="582" t="str">
        <f t="shared" si="1536"/>
        <v/>
      </c>
      <c r="Z134" s="317" t="str">
        <f t="shared" si="1537"/>
        <v/>
      </c>
      <c r="AA134" s="317" t="str">
        <f t="shared" si="1538"/>
        <v/>
      </c>
      <c r="AB134" s="317">
        <f t="shared" si="1539"/>
        <v>0</v>
      </c>
      <c r="AC134" s="317" t="str">
        <f t="shared" si="1540"/>
        <v/>
      </c>
      <c r="AD134" s="479"/>
      <c r="AE134" s="479"/>
      <c r="AF134" s="479"/>
      <c r="AG134" s="423"/>
      <c r="AH134" s="820"/>
      <c r="AI134" s="437"/>
      <c r="AJ134" s="660"/>
      <c r="AK134" s="524" t="str">
        <f t="shared" si="1541"/>
        <v/>
      </c>
      <c r="AL134" s="507">
        <f>COUNTIF($J$4:$J$163,"Livre Aplic.")</f>
        <v>0</v>
      </c>
      <c r="AM134" s="507">
        <f>IF(AL134&lt;=15,1,IF(AND(AL134&gt;15,AL134&lt;=29),2,IF(AND(AL134&gt;29,AL134&lt;=43),3,IF(AND(AL134&gt;43,AL134&lt;=57),4,IF(AND(AL134&gt;57,AL134&lt;=71),5,IF(AND(AL134&gt;71,AL134&lt;=85),6,IF(AND(AL134&gt;85,AL134&lt;=99),7,IF(AND(AL134&gt;99,AL134&lt;=113),8,IF(AND(AL134&gt;113,AL134&lt;=127),9,IF(AND(AL134&gt;127,AL134&lt;=141),10,IF(AND(AL134&gt;141,AL134&lt;=155),11,IF(AND(AL134&gt;155,AL134&lt;=160),12,$AN$1))))))))))))</f>
        <v>1</v>
      </c>
      <c r="AN134" s="426">
        <f t="shared" si="1542"/>
        <v>0</v>
      </c>
      <c r="AO134" s="427" t="str">
        <f t="shared" si="1543"/>
        <v/>
      </c>
      <c r="AP134" s="426" t="str">
        <f t="shared" si="1544"/>
        <v/>
      </c>
      <c r="AQ134" s="426"/>
      <c r="AR134" s="426"/>
      <c r="AS134" s="428"/>
      <c r="AT134" s="429"/>
      <c r="AU134" s="430"/>
      <c r="AV134" s="431"/>
      <c r="AW134" s="432"/>
      <c r="AX134" s="430"/>
      <c r="AY134" s="431">
        <f t="shared" si="1545"/>
        <v>0</v>
      </c>
      <c r="AZ134" s="426"/>
      <c r="BA134" s="435" t="str">
        <f t="shared" si="1546"/>
        <v/>
      </c>
      <c r="BB134" s="435"/>
      <c r="BC134" s="426"/>
      <c r="BD134" s="426">
        <f t="array" ref="BD134">IF(SUM((BC134=$BC$3:BC133)*1)=0,BC134,0)</f>
        <v>0</v>
      </c>
      <c r="BE134" s="426"/>
      <c r="BF134" s="426"/>
      <c r="BG134" s="426">
        <f t="array" ref="BG134">IF(SUM((BF134=$BF$3:BF133)*1)=0,BF134,0)</f>
        <v>0</v>
      </c>
      <c r="BH134" s="426"/>
      <c r="BI134" s="426"/>
      <c r="BJ134" s="426"/>
      <c r="BK134" s="426"/>
      <c r="BL134" s="426"/>
      <c r="BM134" s="426"/>
      <c r="BN134" s="426"/>
      <c r="BO134" s="426"/>
      <c r="BP134" s="433">
        <f t="shared" si="1547"/>
        <v>0</v>
      </c>
      <c r="BQ134" s="426"/>
      <c r="BR134" s="434"/>
      <c r="BS134" s="426"/>
      <c r="BT134" s="433"/>
      <c r="BU134" s="435"/>
      <c r="BV134" s="435" t="str">
        <f t="shared" si="1548"/>
        <v/>
      </c>
      <c r="BW134" s="435" t="str">
        <f t="shared" si="1576"/>
        <v/>
      </c>
      <c r="BX134" s="435"/>
      <c r="BY134" s="435"/>
      <c r="BZ134" s="435"/>
      <c r="CA134" s="435"/>
      <c r="CB134" s="435"/>
      <c r="CC134" s="435"/>
      <c r="CD134" s="435"/>
      <c r="CE134" s="435"/>
      <c r="CF134" s="435"/>
      <c r="CG134" s="435"/>
      <c r="CH134" s="435"/>
      <c r="CI134" s="435"/>
      <c r="CJ134" s="426" t="str">
        <f t="shared" si="1577"/>
        <v/>
      </c>
      <c r="CK134" s="435"/>
      <c r="CL134" s="426"/>
      <c r="CM134" s="435"/>
      <c r="CN134" s="426"/>
      <c r="CO134" s="426"/>
      <c r="CP134" s="426"/>
      <c r="CQ134" s="426"/>
      <c r="CR134" s="426"/>
      <c r="CS134" s="426"/>
      <c r="CT134" s="426"/>
      <c r="CU134" s="426"/>
      <c r="CV134" s="426"/>
      <c r="CW134" s="493"/>
      <c r="CX134" s="493"/>
      <c r="CY134" s="426">
        <v>131</v>
      </c>
      <c r="CZ134" s="493"/>
      <c r="DA134" s="493"/>
      <c r="DB134" s="493"/>
      <c r="DC134" s="426" t="s">
        <v>874</v>
      </c>
      <c r="DD134" s="426" t="s">
        <v>1034</v>
      </c>
      <c r="DE134" s="435" t="str">
        <f t="shared" si="1578"/>
        <v/>
      </c>
      <c r="DF134" s="435" t="str">
        <f t="shared" si="1579"/>
        <v/>
      </c>
      <c r="DG134" s="435" t="str">
        <f t="shared" si="1580"/>
        <v/>
      </c>
      <c r="DH134" s="435" t="str">
        <f t="shared" si="1581"/>
        <v/>
      </c>
      <c r="DI134" s="435" t="str">
        <f t="shared" si="1582"/>
        <v/>
      </c>
      <c r="DJ134" s="435" t="str">
        <f t="shared" si="1583"/>
        <v/>
      </c>
      <c r="DK134" s="435" t="str">
        <f t="shared" si="1549"/>
        <v/>
      </c>
      <c r="DL134" s="435" t="str">
        <f t="shared" si="1550"/>
        <v/>
      </c>
      <c r="DM134" s="435" t="str">
        <f t="shared" si="1584"/>
        <v/>
      </c>
      <c r="DN134" s="435" t="str">
        <f t="shared" si="1585"/>
        <v/>
      </c>
      <c r="DO134" s="435" t="str">
        <f t="shared" si="1551"/>
        <v/>
      </c>
      <c r="DP134" s="435" t="str">
        <f t="shared" si="1552"/>
        <v/>
      </c>
      <c r="DQ134" s="435" t="str">
        <f t="shared" si="1586"/>
        <v/>
      </c>
      <c r="DR134" s="435" t="str">
        <f t="shared" si="1587"/>
        <v/>
      </c>
      <c r="DS134" s="435" t="str">
        <f t="shared" si="1553"/>
        <v/>
      </c>
      <c r="DT134" s="435" t="str">
        <f t="shared" si="1554"/>
        <v/>
      </c>
      <c r="DU134" s="435" t="str">
        <f t="shared" si="1588"/>
        <v/>
      </c>
      <c r="DV134" s="435" t="str">
        <f t="shared" si="1589"/>
        <v/>
      </c>
      <c r="DW134" s="435" t="str">
        <f t="shared" si="1555"/>
        <v/>
      </c>
      <c r="DX134" s="435" t="str">
        <f t="shared" si="1556"/>
        <v/>
      </c>
      <c r="DY134" s="435" t="str">
        <f t="shared" si="1590"/>
        <v/>
      </c>
      <c r="DZ134" s="435" t="str">
        <f t="shared" si="1591"/>
        <v/>
      </c>
      <c r="EA134" s="435" t="str">
        <f t="shared" si="1557"/>
        <v/>
      </c>
      <c r="EB134" s="435" t="str">
        <f t="shared" si="1558"/>
        <v/>
      </c>
      <c r="EC134" s="435" t="str">
        <f t="shared" si="1559"/>
        <v/>
      </c>
      <c r="ED134" s="435" t="str">
        <f t="shared" si="1560"/>
        <v/>
      </c>
      <c r="EE134" s="435" t="str">
        <f t="shared" si="1561"/>
        <v/>
      </c>
      <c r="EF134" s="435" t="str">
        <f t="shared" si="1562"/>
        <v/>
      </c>
      <c r="EG134" s="435" t="str">
        <f t="shared" si="1563"/>
        <v/>
      </c>
      <c r="EH134" s="435" t="str">
        <f t="shared" si="1564"/>
        <v/>
      </c>
      <c r="EI134" s="435" t="str">
        <f t="shared" si="1565"/>
        <v/>
      </c>
      <c r="EJ134" s="435" t="str">
        <f t="shared" si="1566"/>
        <v/>
      </c>
      <c r="EK134" s="485"/>
      <c r="EL134" s="485"/>
      <c r="EM134" s="485"/>
      <c r="EN134" s="485"/>
      <c r="EO134" s="448"/>
      <c r="EP134" s="448"/>
      <c r="EQ134" s="448"/>
      <c r="ER134" s="448"/>
      <c r="ES134" s="448"/>
      <c r="ET134" s="435"/>
      <c r="EU134" s="435"/>
      <c r="EV134" s="435"/>
      <c r="EW134" s="435"/>
      <c r="EX134" s="426"/>
      <c r="EY134" s="426"/>
      <c r="EZ134" s="426"/>
      <c r="FA134" s="863"/>
      <c r="FB134" s="427">
        <f t="array" ref="FB134">IF(SUM((FA134=$FA$3:FA133)*1)=0,FA134,0)</f>
        <v>0</v>
      </c>
      <c r="FC134" s="863"/>
      <c r="FD134" s="863"/>
      <c r="FE134" s="863">
        <f t="array" ref="FE134">IF(SUM((FD134=$FD$3:FD133)*1)=0,FD134,0)</f>
        <v>0</v>
      </c>
      <c r="FF134" s="863"/>
      <c r="FG134" s="863"/>
      <c r="FH134" s="863"/>
      <c r="FI134" s="427">
        <f t="array" ref="FI134">IF(SUM((FH134=$FH$3:FH133)*1)=0,FH134,0)</f>
        <v>0</v>
      </c>
      <c r="FJ134" s="863"/>
      <c r="FK134" s="863"/>
      <c r="FL134" s="863">
        <f t="array" ref="FL134">IF(SUM((FK134=$FK$3:FK133)*1)=0,FK134,0)</f>
        <v>0</v>
      </c>
      <c r="FM134" s="863"/>
      <c r="FN134" s="863"/>
      <c r="FO134" s="863"/>
      <c r="FP134" s="427">
        <f t="array" ref="FP134">IF(SUM((FO134=$FO$3:FO133)*1)=0,FO134,0)</f>
        <v>0</v>
      </c>
      <c r="FQ134" s="863"/>
      <c r="FR134" s="863"/>
      <c r="FS134" s="863">
        <f t="array" ref="FS134">IF(SUM((FR134=$FR$3:FR133)*1)=0,FR134,0)</f>
        <v>0</v>
      </c>
      <c r="FT134" s="863"/>
      <c r="FU134" s="863"/>
      <c r="FV134" s="863"/>
      <c r="FW134" s="427">
        <f t="array" ref="FW134">IF(SUM((FV134=$FV$3:FV133)*1)=0,FV134,0)</f>
        <v>0</v>
      </c>
      <c r="FX134" s="863"/>
      <c r="FY134" s="863"/>
      <c r="FZ134" s="863">
        <f t="array" ref="FZ134">IF(SUM((FY134=$FY$3:FY133)*1)=0,FY134,0)</f>
        <v>0</v>
      </c>
      <c r="GA134" s="863"/>
      <c r="GB134" s="863"/>
      <c r="GC134" s="863"/>
      <c r="GD134" s="427">
        <f t="array" ref="GD134">IF(SUM((GC134=$GC$3:GC133)*1)=0,GC134,0)</f>
        <v>0</v>
      </c>
      <c r="GE134" s="863"/>
      <c r="GF134" s="863"/>
      <c r="GG134" s="863">
        <f t="array" ref="GG134">IF(SUM((GF134=$GF$3:GF133)*1)=0,GF134,0)</f>
        <v>0</v>
      </c>
      <c r="GH134" s="863"/>
      <c r="GI134" s="863"/>
      <c r="GJ134" s="863"/>
      <c r="GK134" s="798">
        <f t="array" ref="GK134">IF(SUM((GJ134=$GJ$3:GJ133)*1)=0,GJ134,0)</f>
        <v>0</v>
      </c>
      <c r="GL134" s="863"/>
      <c r="GM134" s="863"/>
      <c r="GN134" s="798">
        <f t="array" ref="GN134">IF(SUM((GM134=$GM$3:GM133)*1)=0,GM134,0)</f>
        <v>0</v>
      </c>
      <c r="GO134" s="863"/>
      <c r="GP134" s="863"/>
      <c r="GQ134" s="863"/>
      <c r="GR134" s="798">
        <f t="array" ref="GR134">IF(SUM((GQ134=$GQ$3:GQ133)*1)=0,GQ134,0)</f>
        <v>0</v>
      </c>
      <c r="GS134" s="863"/>
      <c r="GT134" s="863"/>
      <c r="GU134" s="798">
        <f t="array" ref="GU134">IF(SUM((GT134=$GT$3:GT133)*1)=0,GT134,0)</f>
        <v>0</v>
      </c>
      <c r="GV134" s="863"/>
      <c r="GW134" s="863"/>
      <c r="GX134" s="863"/>
      <c r="GY134" s="798">
        <f t="array" ref="GY134">IF(SUM((GX134=$GX$3:GX133)*1)=0,GX134,0)</f>
        <v>0</v>
      </c>
      <c r="GZ134" s="863"/>
      <c r="HA134" s="863"/>
      <c r="HB134" s="798">
        <f t="array" ref="HB134">IF(SUM((HA134=$HA$3:HA133)*1)=0,HA134,0)</f>
        <v>0</v>
      </c>
      <c r="HC134" s="863"/>
      <c r="HD134" s="863"/>
      <c r="HE134" s="769" t="str">
        <f t="shared" ref="HE134:HE163" si="1667">IFERROR(IF($A134="","",IF(HE$2=0,0,IF(AND($J134="Básico",$P134&lt;&gt;"",$R134&lt;$P$164,$S134&lt;&gt;""),(HE133-$S134),HE133))),"")</f>
        <v/>
      </c>
      <c r="HF134" s="768" t="str">
        <f t="shared" ref="HF134" si="1668">IF(HE134&lt;0,"Invadiu REP-BA-C","")</f>
        <v/>
      </c>
      <c r="HG134" s="769" t="str">
        <f t="shared" ref="HG134:HG163" si="1669">IFERROR(IF($A134="","",IF(HG$2=0,0,IF(AND($J134="Básico",$R134&lt;$P$164),HG133,IF(AND($J134="Básico",$R134&gt;=$P$164,HE134&lt;=0),(HG133-$S134),HG133)))),"")</f>
        <v/>
      </c>
      <c r="HH134" s="768" t="str">
        <f t="shared" si="1593"/>
        <v/>
      </c>
      <c r="HI134" s="728" t="str">
        <f t="shared" ref="HI134:HI163" si="1670">IFERROR(IF($A134="","",IF(HI$2=0,0,IF(AND($J134="Básico",$R134&lt;&gt;"",$T134&lt;&gt;""),(HI133-$T134),HI133))),"")</f>
        <v/>
      </c>
      <c r="HJ134" s="768" t="str">
        <f t="shared" si="1594"/>
        <v/>
      </c>
      <c r="HK134" s="728" t="str">
        <f t="shared" ref="HK134:HK163" si="1671">IFERROR(IF($A134="","",IF(HK$2=0,0,IF(AND($J134="Básico",$R134&lt;$P$165),HK133,IF(AND($J134="Básico",$R134&gt;=$P$165,HI134&lt;=0),(HK133-$T134),HK133)))),"")</f>
        <v/>
      </c>
      <c r="HL134" s="768" t="str">
        <f t="shared" si="1595"/>
        <v/>
      </c>
      <c r="HM134" s="769" t="str">
        <f t="shared" si="1596"/>
        <v/>
      </c>
      <c r="HN134" s="768" t="str">
        <f t="shared" ref="HN134" si="1672">IF(HM134&lt;0,"Invadiu REP-BA-C","")</f>
        <v/>
      </c>
      <c r="HO134" s="769" t="str">
        <f t="shared" si="1598"/>
        <v/>
      </c>
      <c r="HP134" s="768" t="str">
        <f t="shared" si="1599"/>
        <v/>
      </c>
      <c r="HQ134" s="728" t="str">
        <f t="shared" si="1600"/>
        <v/>
      </c>
      <c r="HR134" s="768" t="str">
        <f t="shared" si="1601"/>
        <v/>
      </c>
      <c r="HS134" s="728" t="str">
        <f t="shared" si="1602"/>
        <v/>
      </c>
      <c r="HT134" s="768" t="str">
        <f t="shared" si="1603"/>
        <v/>
      </c>
      <c r="HU134" s="769" t="str">
        <f t="shared" si="1604"/>
        <v/>
      </c>
      <c r="HV134" s="768" t="str">
        <f t="shared" ref="HV134" si="1673">IF(HU134&lt;0,"Invadiu REP-BA-C","")</f>
        <v/>
      </c>
      <c r="HW134" s="769" t="str">
        <f t="shared" si="1606"/>
        <v/>
      </c>
      <c r="HX134" s="768" t="str">
        <f t="shared" si="1607"/>
        <v/>
      </c>
      <c r="HY134" s="728" t="str">
        <f t="shared" si="1608"/>
        <v/>
      </c>
      <c r="HZ134" s="768" t="str">
        <f t="shared" si="1609"/>
        <v/>
      </c>
      <c r="IA134" s="728" t="str">
        <f t="shared" si="1610"/>
        <v/>
      </c>
      <c r="IB134" s="768" t="str">
        <f t="shared" si="1611"/>
        <v/>
      </c>
      <c r="IC134" s="769" t="str">
        <f t="shared" si="1612"/>
        <v/>
      </c>
      <c r="ID134" s="768" t="str">
        <f t="shared" ref="ID134" si="1674">IF(IC134&lt;0,"Invadiu REP-BA-C","")</f>
        <v/>
      </c>
      <c r="IE134" s="769" t="str">
        <f t="shared" si="1614"/>
        <v/>
      </c>
      <c r="IF134" s="768" t="str">
        <f t="shared" si="1615"/>
        <v/>
      </c>
      <c r="IG134" s="728" t="str">
        <f t="shared" si="1616"/>
        <v/>
      </c>
      <c r="IH134" s="768" t="str">
        <f t="shared" si="1617"/>
        <v/>
      </c>
      <c r="II134" s="728" t="str">
        <f t="shared" si="1618"/>
        <v/>
      </c>
      <c r="IJ134" s="768" t="str">
        <f t="shared" si="1619"/>
        <v/>
      </c>
      <c r="IK134" s="769" t="str">
        <f t="shared" si="1620"/>
        <v/>
      </c>
      <c r="IL134" s="768" t="str">
        <f t="shared" ref="IL134" si="1675">IF(IK134&lt;0,"Invadiu REP-BA-C","")</f>
        <v/>
      </c>
      <c r="IM134" s="769" t="str">
        <f t="shared" si="1622"/>
        <v/>
      </c>
      <c r="IN134" s="768" t="str">
        <f t="shared" si="1623"/>
        <v/>
      </c>
      <c r="IO134" s="728" t="str">
        <f t="shared" si="1624"/>
        <v/>
      </c>
      <c r="IP134" s="768" t="str">
        <f t="shared" si="1625"/>
        <v/>
      </c>
      <c r="IQ134" s="728" t="str">
        <f t="shared" si="1626"/>
        <v/>
      </c>
      <c r="IR134" s="768" t="str">
        <f t="shared" si="1627"/>
        <v/>
      </c>
      <c r="IS134" s="769" t="str">
        <f t="shared" si="1628"/>
        <v/>
      </c>
      <c r="IT134" s="768" t="str">
        <f t="shared" ref="IT134" si="1676">IF(IS134&lt;0,"Invadiu REP-BA-C","")</f>
        <v/>
      </c>
      <c r="IU134" s="769" t="str">
        <f t="shared" si="1630"/>
        <v/>
      </c>
      <c r="IV134" s="768" t="str">
        <f t="shared" si="1631"/>
        <v/>
      </c>
      <c r="IW134" s="728" t="str">
        <f t="shared" si="1632"/>
        <v/>
      </c>
      <c r="IX134" s="768" t="str">
        <f t="shared" si="1633"/>
        <v/>
      </c>
      <c r="IY134" s="728" t="str">
        <f t="shared" si="1634"/>
        <v/>
      </c>
      <c r="IZ134" s="768" t="str">
        <f t="shared" si="1635"/>
        <v/>
      </c>
      <c r="JA134" s="769" t="str">
        <f t="shared" si="1636"/>
        <v/>
      </c>
      <c r="JB134" s="768" t="str">
        <f t="shared" ref="JB134" si="1677">IF(JA134&lt;0,"Invadiu REP-BA-C","")</f>
        <v/>
      </c>
      <c r="JC134" s="769" t="str">
        <f t="shared" si="1638"/>
        <v/>
      </c>
      <c r="JD134" s="768" t="str">
        <f t="shared" si="1639"/>
        <v/>
      </c>
      <c r="JE134" s="728" t="str">
        <f t="shared" si="1640"/>
        <v/>
      </c>
      <c r="JF134" s="768" t="str">
        <f t="shared" si="1641"/>
        <v/>
      </c>
      <c r="JG134" s="728" t="str">
        <f t="shared" si="1642"/>
        <v/>
      </c>
      <c r="JH134" s="768" t="str">
        <f t="shared" si="1643"/>
        <v/>
      </c>
      <c r="JI134" s="769" t="str">
        <f t="shared" si="1644"/>
        <v/>
      </c>
      <c r="JJ134" s="768" t="str">
        <f t="shared" ref="JJ134" si="1678">IF(JI134&lt;0,"Invadiu REP-BA-C","")</f>
        <v/>
      </c>
      <c r="JK134" s="769" t="str">
        <f t="shared" si="1646"/>
        <v/>
      </c>
      <c r="JL134" s="768" t="str">
        <f t="shared" si="1647"/>
        <v/>
      </c>
      <c r="JM134" s="728" t="str">
        <f t="shared" si="1648"/>
        <v/>
      </c>
      <c r="JN134" s="768" t="str">
        <f t="shared" si="1649"/>
        <v/>
      </c>
      <c r="JO134" s="728" t="str">
        <f t="shared" si="1650"/>
        <v/>
      </c>
      <c r="JP134" s="768" t="str">
        <f t="shared" si="1651"/>
        <v/>
      </c>
      <c r="JQ134" s="769" t="str">
        <f t="shared" si="1652"/>
        <v/>
      </c>
      <c r="JR134" s="768" t="str">
        <f t="shared" ref="JR134" si="1679">IF(JQ134&lt;0,"Invadiu REP-BA-C","")</f>
        <v/>
      </c>
      <c r="JS134" s="769" t="str">
        <f t="shared" si="1654"/>
        <v/>
      </c>
      <c r="JT134" s="768" t="str">
        <f t="shared" si="1655"/>
        <v/>
      </c>
      <c r="JU134" s="728" t="str">
        <f t="shared" si="1656"/>
        <v/>
      </c>
      <c r="JV134" s="768" t="str">
        <f t="shared" si="1657"/>
        <v/>
      </c>
      <c r="JW134" s="728" t="str">
        <f t="shared" si="1658"/>
        <v/>
      </c>
      <c r="JX134" s="768" t="str">
        <f t="shared" si="1659"/>
        <v/>
      </c>
      <c r="JY134" s="768" t="str">
        <f t="shared" si="1660"/>
        <v/>
      </c>
      <c r="JZ134" s="485" t="str">
        <f>IF(JY134="","",IF(AND(C134=$C$164,JY134&lt;&gt;""),Verificarcpf(D134),IF(AND(C134=$C$165,JY134&lt;&gt;""),VerificarCNPJ(D134))))</f>
        <v/>
      </c>
      <c r="KA134" s="768" t="str">
        <f t="shared" si="1661"/>
        <v/>
      </c>
      <c r="KB134" s="485">
        <f t="shared" si="1662"/>
        <v>0</v>
      </c>
      <c r="KC134" s="768">
        <f t="shared" si="1663"/>
        <v>0</v>
      </c>
      <c r="KD134" s="485">
        <f t="shared" si="1664"/>
        <v>0</v>
      </c>
      <c r="KE134" s="448"/>
      <c r="KF134" s="548"/>
      <c r="KG134" s="548"/>
      <c r="KH134" s="548"/>
      <c r="KI134" s="548"/>
      <c r="KJ134" s="548" t="str">
        <f t="shared" si="1665"/>
        <v/>
      </c>
      <c r="KK134" s="548"/>
      <c r="KL134" s="548"/>
      <c r="KM134" s="548">
        <f t="array" ref="KM134">IF(SUM((KL134=$KL$3:KL133)*1)=0,KL134,0)</f>
        <v>0</v>
      </c>
      <c r="KN134" s="548"/>
      <c r="KO134" s="548"/>
      <c r="KP134" s="548"/>
      <c r="KQ134" s="548"/>
      <c r="KR134" s="548" t="str">
        <f t="shared" si="1666"/>
        <v/>
      </c>
      <c r="KS134" s="548"/>
      <c r="KT134" s="548"/>
      <c r="KU134" s="548"/>
      <c r="KV134" s="548"/>
      <c r="KW134" s="548"/>
      <c r="KX134" s="548"/>
      <c r="KY134" s="548"/>
      <c r="KZ134" s="548"/>
      <c r="LA134" s="548"/>
      <c r="LB134" s="548"/>
      <c r="LC134" s="485" t="str">
        <f t="shared" ref="LC134:LC163" si="1680">IF(LD134&lt;&gt;"",$CY134,"")</f>
        <v/>
      </c>
      <c r="LD134" s="548"/>
      <c r="LE134" s="548"/>
      <c r="LF134" s="548"/>
      <c r="LG134" s="548"/>
      <c r="LH134" s="548"/>
      <c r="LI134" s="548"/>
      <c r="LJ134" s="548"/>
      <c r="LK134" s="548"/>
      <c r="LL134" s="548"/>
      <c r="LM134" s="548"/>
      <c r="LN134" s="548"/>
      <c r="LO134" s="548"/>
      <c r="LP134" s="485" t="str">
        <f t="shared" ref="LP134:LP163" si="1681">IF(LQ134&lt;&gt;"",$CY134,"")</f>
        <v/>
      </c>
      <c r="LQ134" s="548"/>
      <c r="LR134" s="548"/>
      <c r="LS134" s="548"/>
      <c r="LT134" s="548"/>
      <c r="LU134" s="548"/>
      <c r="LV134" s="548"/>
      <c r="LW134" s="548"/>
      <c r="LX134" s="548"/>
      <c r="LY134" s="548"/>
      <c r="LZ134" s="548"/>
      <c r="MA134" s="548"/>
      <c r="MB134" s="548"/>
      <c r="MC134" s="485" t="str">
        <f t="shared" ref="MC134:MC163" si="1682">IF(MD134&lt;&gt;"",$CY134,"")</f>
        <v/>
      </c>
      <c r="MD134" s="548"/>
      <c r="ME134" s="548"/>
      <c r="MF134" s="548"/>
      <c r="MG134" s="548"/>
      <c r="MH134" s="548"/>
      <c r="MI134" s="548"/>
      <c r="MJ134" s="548"/>
      <c r="MK134" s="548"/>
      <c r="ML134" s="548"/>
      <c r="MM134" s="548"/>
      <c r="MN134" s="548"/>
      <c r="MO134" s="548"/>
      <c r="MP134" s="485" t="str">
        <f t="shared" ref="MP134:MP163" si="1683">IF(MQ134&lt;&gt;"",$CY134,"")</f>
        <v/>
      </c>
      <c r="MQ134" s="548"/>
      <c r="MR134" s="548"/>
      <c r="MS134" s="548"/>
      <c r="MT134" s="548"/>
      <c r="MU134" s="548"/>
      <c r="MV134" s="548"/>
      <c r="MW134" s="548"/>
      <c r="MX134" s="548"/>
      <c r="MY134" s="548"/>
      <c r="MZ134" s="548"/>
      <c r="NA134" s="548"/>
      <c r="NB134" s="548"/>
      <c r="NC134" s="485" t="str">
        <f t="shared" ref="NC134:NC163" si="1684">IF(ND134&lt;&gt;"",$CY134,"")</f>
        <v/>
      </c>
      <c r="ND134" s="548"/>
      <c r="NE134" s="548"/>
      <c r="NF134" s="548"/>
      <c r="NG134" s="548"/>
      <c r="NH134" s="548"/>
      <c r="NI134" s="548"/>
      <c r="NJ134" s="548"/>
      <c r="NK134" s="548"/>
      <c r="NL134" s="548"/>
      <c r="NM134" s="548"/>
      <c r="NN134" s="548"/>
      <c r="NO134" s="548"/>
      <c r="NP134" s="485" t="str">
        <f t="shared" ref="NP134:NP163" si="1685">IF(NQ134&lt;&gt;"",$CY134,"")</f>
        <v/>
      </c>
      <c r="NQ134" s="548"/>
      <c r="NR134" s="548"/>
      <c r="NS134" s="548"/>
      <c r="NT134" s="548"/>
      <c r="NU134" s="548"/>
      <c r="NV134" s="548"/>
      <c r="NW134" s="548"/>
      <c r="NX134" s="548"/>
      <c r="NY134" s="548"/>
      <c r="NZ134" s="548"/>
      <c r="OA134" s="548"/>
      <c r="OB134" s="548"/>
      <c r="OC134" s="485" t="str">
        <f t="shared" ref="OC134:OC163" si="1686">IF(OD134&lt;&gt;"",$CY134,"")</f>
        <v/>
      </c>
      <c r="OD134" s="548"/>
      <c r="OE134" s="548"/>
      <c r="OF134" s="548"/>
      <c r="OG134" s="548"/>
      <c r="OH134" s="548"/>
      <c r="OI134" s="548"/>
      <c r="OJ134" s="548"/>
      <c r="OK134" s="548"/>
      <c r="OL134" s="548"/>
      <c r="OM134" s="548"/>
      <c r="ON134" s="548"/>
      <c r="OO134" s="548"/>
      <c r="OP134" s="548"/>
      <c r="OQ134" s="548"/>
      <c r="OR134" s="548"/>
      <c r="OS134" s="548"/>
      <c r="OT134" s="548"/>
      <c r="OU134" s="548"/>
      <c r="OV134" s="548"/>
      <c r="OW134" s="548"/>
      <c r="OX134" s="548"/>
      <c r="OY134" s="548"/>
      <c r="OZ134" s="548"/>
      <c r="PA134" s="548"/>
      <c r="PB134" s="548"/>
      <c r="PC134" s="548"/>
      <c r="PD134" s="548"/>
      <c r="PE134" s="548"/>
      <c r="PF134" s="548"/>
      <c r="PG134" s="548"/>
      <c r="PH134" s="548"/>
      <c r="PI134" s="548"/>
      <c r="PJ134" s="548"/>
      <c r="PK134" s="548"/>
      <c r="PL134" s="548"/>
      <c r="PM134" s="548"/>
      <c r="PN134" s="548"/>
      <c r="PO134" s="548"/>
      <c r="PP134" s="548"/>
      <c r="PQ134" s="548"/>
      <c r="PR134" s="548"/>
      <c r="PS134" s="548"/>
      <c r="PT134" s="548"/>
      <c r="PU134" s="548"/>
      <c r="PV134" s="548"/>
      <c r="PW134" s="548"/>
      <c r="PX134" s="548"/>
      <c r="PY134" s="548"/>
      <c r="PZ134" s="548"/>
      <c r="QA134" s="548"/>
      <c r="QB134" s="548"/>
      <c r="QC134" s="548"/>
      <c r="QD134" s="548"/>
      <c r="QE134" s="548"/>
      <c r="QF134" s="548"/>
      <c r="QG134" s="548"/>
      <c r="QH134" s="548"/>
      <c r="QI134" s="548"/>
      <c r="QJ134" s="548"/>
      <c r="QK134" s="548"/>
      <c r="QL134" s="548"/>
      <c r="QM134" s="548"/>
      <c r="QN134" s="548"/>
      <c r="QO134" s="548"/>
      <c r="QP134" s="548"/>
      <c r="QQ134" s="1009"/>
      <c r="QR134" s="548"/>
      <c r="QS134" s="548"/>
      <c r="QT134" s="548"/>
      <c r="QU134" s="548"/>
      <c r="QV134" s="548"/>
      <c r="QW134" s="548"/>
      <c r="QX134" s="548"/>
      <c r="QY134" s="548"/>
      <c r="QZ134" s="548"/>
      <c r="RA134" s="548"/>
      <c r="RB134" s="548"/>
      <c r="RC134" s="548"/>
      <c r="RD134" s="548"/>
      <c r="RE134" s="548"/>
      <c r="RF134" s="548"/>
      <c r="RG134" s="548"/>
      <c r="RH134" s="548"/>
      <c r="RI134" s="548"/>
      <c r="RJ134" s="548"/>
      <c r="RK134" s="548"/>
      <c r="RL134" s="548"/>
      <c r="RM134" s="548"/>
      <c r="RN134" s="548"/>
      <c r="RO134" s="548"/>
      <c r="RP134" s="548"/>
      <c r="RQ134" s="548"/>
      <c r="RR134" s="548"/>
      <c r="RS134" s="548"/>
      <c r="RT134" s="548"/>
      <c r="RU134" s="548"/>
      <c r="RV134" s="548"/>
      <c r="RW134" s="548"/>
      <c r="RX134" s="548"/>
      <c r="RY134" s="548"/>
      <c r="RZ134" s="548"/>
      <c r="SA134" s="548"/>
      <c r="SB134" s="548"/>
      <c r="SC134" s="548"/>
      <c r="SD134" s="548"/>
      <c r="SE134" s="548"/>
      <c r="SF134" s="548"/>
      <c r="SG134" s="548"/>
      <c r="SH134" s="548"/>
      <c r="SI134" s="548"/>
      <c r="SJ134" s="548"/>
      <c r="SK134" s="548"/>
      <c r="SL134" s="548"/>
      <c r="SM134" s="548"/>
      <c r="SN134" s="548"/>
      <c r="SO134" s="548"/>
      <c r="SP134" s="548"/>
      <c r="SQ134" s="548"/>
      <c r="SR134" s="548"/>
      <c r="SS134" s="548"/>
      <c r="ST134" s="548"/>
      <c r="SU134" s="548"/>
      <c r="SV134" s="548"/>
      <c r="SW134" s="548"/>
      <c r="SX134" s="548"/>
      <c r="SY134" s="548"/>
      <c r="SZ134" s="548"/>
      <c r="TA134" s="548"/>
      <c r="TB134" s="548"/>
      <c r="TC134" s="548"/>
      <c r="TD134" s="548"/>
      <c r="TE134" s="548"/>
      <c r="TF134" s="548"/>
      <c r="TG134" s="548"/>
      <c r="TH134" s="548"/>
      <c r="TI134" s="548"/>
      <c r="TJ134" s="548"/>
      <c r="TK134" s="548"/>
      <c r="TL134" s="548"/>
      <c r="TM134" s="548"/>
      <c r="TN134" s="548"/>
      <c r="TO134" s="548"/>
      <c r="TP134" s="548"/>
      <c r="TQ134" s="548"/>
      <c r="TR134" s="548"/>
      <c r="TS134" s="548"/>
      <c r="TT134" s="548"/>
      <c r="TU134" s="548"/>
      <c r="TV134" s="548"/>
      <c r="TW134" s="548"/>
      <c r="TX134" s="548"/>
      <c r="TY134" s="548"/>
      <c r="TZ134" s="548"/>
      <c r="UA134" s="548"/>
      <c r="UB134" s="548"/>
      <c r="UC134" s="548"/>
      <c r="UD134" s="548"/>
      <c r="UE134" s="548"/>
      <c r="UF134" s="548"/>
      <c r="UG134" s="548"/>
      <c r="UH134" s="548"/>
      <c r="UI134" s="548"/>
      <c r="UJ134" s="548"/>
      <c r="UK134" s="548"/>
      <c r="UL134" s="548"/>
      <c r="UM134" s="548"/>
      <c r="UN134" s="548"/>
      <c r="UO134" s="548"/>
      <c r="UP134" s="548"/>
      <c r="UQ134" s="548"/>
      <c r="UR134" s="548"/>
      <c r="US134" s="548"/>
      <c r="UT134" s="548"/>
      <c r="UU134" s="548"/>
      <c r="UV134" s="548"/>
      <c r="UW134" s="548"/>
      <c r="UX134" s="548"/>
      <c r="UY134" s="548"/>
      <c r="UZ134" s="548"/>
      <c r="VA134" s="548"/>
      <c r="VB134" s="548"/>
      <c r="VC134" s="548"/>
      <c r="VD134" s="548"/>
      <c r="VE134" s="548"/>
      <c r="VF134" s="548"/>
      <c r="VG134" s="548"/>
      <c r="VH134" s="548"/>
      <c r="VI134" s="548"/>
      <c r="VJ134" s="548"/>
      <c r="VK134" s="548"/>
      <c r="VL134" s="548"/>
      <c r="VM134" s="548"/>
      <c r="VN134" s="548"/>
      <c r="VO134" s="548"/>
      <c r="VP134" s="548"/>
      <c r="VQ134" s="548"/>
      <c r="VR134" s="548"/>
      <c r="VS134" s="548"/>
      <c r="VT134" s="548"/>
      <c r="VU134" s="548"/>
      <c r="VV134" s="548"/>
      <c r="VW134" s="548"/>
      <c r="VX134" s="548"/>
      <c r="VY134" s="548"/>
      <c r="VZ134" s="548"/>
      <c r="WA134" s="548"/>
      <c r="WB134" s="548"/>
      <c r="WC134" s="548"/>
      <c r="WD134" s="548"/>
      <c r="WE134" s="548"/>
      <c r="WF134" s="548"/>
      <c r="WG134" s="548"/>
      <c r="WH134" s="548"/>
      <c r="WI134" s="548"/>
      <c r="WJ134" s="548"/>
      <c r="WK134" s="548"/>
      <c r="WL134" s="548"/>
      <c r="WM134" s="548"/>
      <c r="WN134" s="548"/>
      <c r="WO134" s="548"/>
      <c r="WP134" s="548"/>
      <c r="WQ134" s="548"/>
      <c r="WR134" s="548"/>
      <c r="WS134" s="548"/>
      <c r="WT134" s="548"/>
      <c r="WU134" s="548"/>
      <c r="WV134" s="548"/>
      <c r="WW134" s="548"/>
      <c r="WX134" s="548"/>
      <c r="WY134" s="548"/>
      <c r="WZ134" s="548"/>
      <c r="XA134" s="548"/>
      <c r="XB134" s="548"/>
      <c r="XC134" s="548"/>
      <c r="XD134" s="548"/>
      <c r="XE134" s="548"/>
      <c r="XF134" s="548"/>
      <c r="XG134" s="548"/>
      <c r="XH134" s="548"/>
      <c r="XI134" s="548"/>
      <c r="XJ134" s="548"/>
      <c r="XK134" s="548"/>
      <c r="XL134" s="548"/>
      <c r="XM134" s="548"/>
      <c r="XN134" s="548"/>
      <c r="XO134" s="548"/>
      <c r="XP134" s="548"/>
      <c r="XQ134" s="548"/>
      <c r="XR134" s="548"/>
      <c r="XS134" s="548"/>
      <c r="XT134" s="548"/>
      <c r="XU134" s="548"/>
      <c r="XV134" s="548"/>
      <c r="XW134" s="548"/>
      <c r="XX134" s="548"/>
      <c r="XY134" s="548"/>
      <c r="XZ134" s="548"/>
      <c r="YA134" s="548"/>
      <c r="YB134" s="548"/>
      <c r="YC134" s="548"/>
      <c r="YD134" s="548"/>
      <c r="YE134" s="548"/>
      <c r="YF134" s="548"/>
      <c r="YG134" s="548"/>
      <c r="YH134" s="548"/>
      <c r="YI134" s="548"/>
      <c r="YJ134" s="548"/>
      <c r="YK134" s="548"/>
      <c r="YL134" s="548"/>
      <c r="YM134" s="548"/>
      <c r="YN134" s="548"/>
      <c r="YO134" s="548"/>
      <c r="YP134" s="548"/>
      <c r="YQ134" s="548"/>
      <c r="YR134" s="548"/>
      <c r="YS134" s="548"/>
      <c r="YT134" s="548"/>
      <c r="YU134" s="548"/>
      <c r="YV134" s="548"/>
      <c r="YW134" s="548"/>
      <c r="YX134" s="548"/>
      <c r="YY134" s="548"/>
      <c r="YZ134" s="548"/>
      <c r="ZA134" s="548"/>
      <c r="ZB134" s="548"/>
      <c r="ZC134" s="548"/>
      <c r="ZD134" s="548"/>
      <c r="ZE134" s="548"/>
      <c r="ZF134" s="548"/>
      <c r="ZG134" s="548"/>
      <c r="ZH134" s="548"/>
      <c r="ZI134" s="548"/>
      <c r="ZJ134" s="548"/>
      <c r="ZK134" s="548"/>
      <c r="ZL134" s="548"/>
      <c r="ZM134" s="548"/>
      <c r="ZN134" s="548"/>
      <c r="ZO134" s="548"/>
      <c r="ZP134" s="548"/>
      <c r="ZQ134" s="548"/>
      <c r="ZR134" s="548"/>
      <c r="ZS134" s="548"/>
      <c r="ZT134" s="548"/>
      <c r="ZU134" s="548"/>
      <c r="ZV134" s="548"/>
      <c r="ZW134" s="548"/>
      <c r="ZX134" s="548"/>
      <c r="ZY134" s="548"/>
      <c r="ZZ134" s="548"/>
      <c r="AAA134" s="548"/>
      <c r="AAB134" s="548"/>
      <c r="AAC134" s="548"/>
      <c r="AAD134" s="548"/>
      <c r="AAE134" s="548"/>
      <c r="AAF134" s="548"/>
      <c r="AAG134" s="548"/>
      <c r="AAH134" s="548"/>
      <c r="AAI134" s="548"/>
      <c r="AAJ134" s="548"/>
      <c r="AAK134" s="548"/>
      <c r="AAL134" s="548"/>
      <c r="AAM134" s="548"/>
      <c r="AAN134" s="548"/>
      <c r="AAO134" s="548"/>
      <c r="AAP134" s="548"/>
      <c r="AAQ134" s="548"/>
      <c r="AAR134" s="548"/>
      <c r="AAS134" s="548"/>
      <c r="AAT134" s="548"/>
      <c r="AAU134" s="548"/>
      <c r="AAV134" s="548"/>
      <c r="AAW134" s="548"/>
      <c r="AAX134" s="548"/>
      <c r="AAY134" s="548"/>
      <c r="AAZ134" s="548"/>
      <c r="ABA134" s="548"/>
      <c r="ABB134" s="548"/>
      <c r="ABC134" s="548"/>
      <c r="ABD134" s="548"/>
      <c r="ABE134" s="548"/>
      <c r="ABF134" s="548"/>
      <c r="ABG134" s="548"/>
      <c r="ABH134" s="548"/>
      <c r="ABI134" s="548"/>
      <c r="ABJ134" s="548"/>
      <c r="ABK134" s="548"/>
      <c r="ABL134" s="548"/>
      <c r="ABM134" s="548"/>
      <c r="ABN134" s="548"/>
      <c r="ABO134" s="548"/>
      <c r="ABP134" s="548"/>
      <c r="ABQ134" s="548"/>
      <c r="ABR134" s="548"/>
      <c r="ABS134" s="548"/>
    </row>
    <row r="135" spans="1:747" customFormat="1" ht="15" customHeight="1" x14ac:dyDescent="0.2">
      <c r="A135" s="424" t="str">
        <f t="shared" ref="A135:A163" si="1687">IF(B135="","",IF(AND(A134="",B135&lt;&gt;""),1,IF(A134="","",(A134+1))))</f>
        <v/>
      </c>
      <c r="B135" s="415"/>
      <c r="C135" s="525"/>
      <c r="D135" s="750"/>
      <c r="E135" s="416" t="str">
        <f t="shared" si="1529"/>
        <v/>
      </c>
      <c r="F135" s="527" t="str">
        <f t="shared" si="1530"/>
        <v/>
      </c>
      <c r="G135" s="417"/>
      <c r="H135" s="585" t="str">
        <f t="shared" si="1531"/>
        <v/>
      </c>
      <c r="I135" s="424"/>
      <c r="J135" s="419"/>
      <c r="K135" s="418"/>
      <c r="L135" s="419"/>
      <c r="M135" s="415"/>
      <c r="N135" s="420"/>
      <c r="O135" s="421"/>
      <c r="P135" s="561"/>
      <c r="Q135" s="422"/>
      <c r="R135" s="561" t="str">
        <f t="shared" si="1532"/>
        <v/>
      </c>
      <c r="S135" s="664"/>
      <c r="T135" s="663"/>
      <c r="U135" s="580">
        <f t="shared" si="1533"/>
        <v>0</v>
      </c>
      <c r="V135" s="418"/>
      <c r="W135" s="582" t="str">
        <f t="shared" si="1534"/>
        <v/>
      </c>
      <c r="X135" s="479" t="str">
        <f t="shared" si="1535"/>
        <v/>
      </c>
      <c r="Y135" s="582" t="str">
        <f t="shared" si="1536"/>
        <v/>
      </c>
      <c r="Z135" s="317" t="str">
        <f t="shared" si="1537"/>
        <v/>
      </c>
      <c r="AA135" s="317" t="str">
        <f t="shared" si="1538"/>
        <v/>
      </c>
      <c r="AB135" s="317">
        <f t="shared" si="1539"/>
        <v>0</v>
      </c>
      <c r="AC135" s="317" t="str">
        <f t="shared" si="1540"/>
        <v/>
      </c>
      <c r="AD135" s="479"/>
      <c r="AE135" s="479"/>
      <c r="AF135" s="479"/>
      <c r="AG135" s="423"/>
      <c r="AH135" s="820"/>
      <c r="AI135" s="437"/>
      <c r="AJ135" s="660"/>
      <c r="AK135" s="524" t="str">
        <f t="shared" si="1541"/>
        <v/>
      </c>
      <c r="AL135" s="729">
        <f>SUMIF($J$4:$J$18,"Livre Aplic.",$S$4:$S$18)</f>
        <v>0</v>
      </c>
      <c r="AM135" s="730">
        <f>SUMIF($J$4:$J$18,"Livre Aplic.",$T$4:$T$18)</f>
        <v>0</v>
      </c>
      <c r="AN135" s="426">
        <f t="shared" si="1542"/>
        <v>0</v>
      </c>
      <c r="AO135" s="427" t="str">
        <f t="shared" si="1543"/>
        <v/>
      </c>
      <c r="AP135" s="426" t="str">
        <f t="shared" si="1544"/>
        <v/>
      </c>
      <c r="AQ135" s="426"/>
      <c r="AR135" s="426"/>
      <c r="AS135" s="428"/>
      <c r="AT135" s="429"/>
      <c r="AU135" s="430"/>
      <c r="AV135" s="431"/>
      <c r="AW135" s="432"/>
      <c r="AX135" s="430"/>
      <c r="AY135" s="431">
        <f t="shared" si="1545"/>
        <v>0</v>
      </c>
      <c r="AZ135" s="426"/>
      <c r="BA135" s="435" t="str">
        <f t="shared" si="1546"/>
        <v/>
      </c>
      <c r="BB135" s="435"/>
      <c r="BC135" s="426"/>
      <c r="BD135" s="426">
        <f t="array" ref="BD135">IF(SUM((BC135=$BC$3:BC134)*1)=0,BC135,0)</f>
        <v>0</v>
      </c>
      <c r="BE135" s="426"/>
      <c r="BF135" s="426"/>
      <c r="BG135" s="426">
        <f t="array" ref="BG135">IF(SUM((BF135=$BF$3:BF134)*1)=0,BF135,0)</f>
        <v>0</v>
      </c>
      <c r="BH135" s="426"/>
      <c r="BI135" s="426"/>
      <c r="BJ135" s="426"/>
      <c r="BK135" s="426"/>
      <c r="BL135" s="426"/>
      <c r="BM135" s="426"/>
      <c r="BN135" s="426"/>
      <c r="BO135" s="426"/>
      <c r="BP135" s="433">
        <f t="shared" si="1547"/>
        <v>0</v>
      </c>
      <c r="BQ135" s="426"/>
      <c r="BR135" s="434"/>
      <c r="BS135" s="426"/>
      <c r="BT135" s="433"/>
      <c r="BU135" s="435"/>
      <c r="BV135" s="435" t="str">
        <f t="shared" si="1548"/>
        <v/>
      </c>
      <c r="BW135" s="435" t="str">
        <f t="shared" si="1576"/>
        <v/>
      </c>
      <c r="BX135" s="435"/>
      <c r="BY135" s="435"/>
      <c r="BZ135" s="435"/>
      <c r="CA135" s="435"/>
      <c r="CB135" s="435"/>
      <c r="CC135" s="435"/>
      <c r="CD135" s="435"/>
      <c r="CE135" s="435"/>
      <c r="CF135" s="435"/>
      <c r="CG135" s="435"/>
      <c r="CH135" s="435"/>
      <c r="CI135" s="435"/>
      <c r="CJ135" s="426" t="str">
        <f t="shared" si="1577"/>
        <v/>
      </c>
      <c r="CK135" s="435"/>
      <c r="CL135" s="426"/>
      <c r="CM135" s="435"/>
      <c r="CN135" s="426"/>
      <c r="CO135" s="426"/>
      <c r="CP135" s="426"/>
      <c r="CQ135" s="426"/>
      <c r="CR135" s="426"/>
      <c r="CS135" s="426"/>
      <c r="CT135" s="426"/>
      <c r="CU135" s="426"/>
      <c r="CV135" s="426"/>
      <c r="CW135" s="493"/>
      <c r="CX135" s="493"/>
      <c r="CY135" s="426">
        <v>132</v>
      </c>
      <c r="CZ135" s="493"/>
      <c r="DA135" s="493"/>
      <c r="DB135" s="493"/>
      <c r="DC135" s="426" t="s">
        <v>875</v>
      </c>
      <c r="DD135" s="426" t="s">
        <v>1035</v>
      </c>
      <c r="DE135" s="435" t="str">
        <f t="shared" si="1578"/>
        <v/>
      </c>
      <c r="DF135" s="435" t="str">
        <f t="shared" si="1579"/>
        <v/>
      </c>
      <c r="DG135" s="435" t="str">
        <f t="shared" si="1580"/>
        <v/>
      </c>
      <c r="DH135" s="435" t="str">
        <f t="shared" si="1581"/>
        <v/>
      </c>
      <c r="DI135" s="435" t="str">
        <f t="shared" si="1582"/>
        <v/>
      </c>
      <c r="DJ135" s="435" t="str">
        <f t="shared" si="1583"/>
        <v/>
      </c>
      <c r="DK135" s="435" t="str">
        <f t="shared" si="1549"/>
        <v/>
      </c>
      <c r="DL135" s="435" t="str">
        <f t="shared" si="1550"/>
        <v/>
      </c>
      <c r="DM135" s="435" t="str">
        <f t="shared" si="1584"/>
        <v/>
      </c>
      <c r="DN135" s="435" t="str">
        <f t="shared" si="1585"/>
        <v/>
      </c>
      <c r="DO135" s="435" t="str">
        <f t="shared" si="1551"/>
        <v/>
      </c>
      <c r="DP135" s="435" t="str">
        <f t="shared" si="1552"/>
        <v/>
      </c>
      <c r="DQ135" s="435" t="str">
        <f t="shared" si="1586"/>
        <v/>
      </c>
      <c r="DR135" s="435" t="str">
        <f t="shared" si="1587"/>
        <v/>
      </c>
      <c r="DS135" s="435" t="str">
        <f t="shared" si="1553"/>
        <v/>
      </c>
      <c r="DT135" s="435" t="str">
        <f t="shared" si="1554"/>
        <v/>
      </c>
      <c r="DU135" s="435" t="str">
        <f t="shared" si="1588"/>
        <v/>
      </c>
      <c r="DV135" s="435" t="str">
        <f t="shared" si="1589"/>
        <v/>
      </c>
      <c r="DW135" s="435" t="str">
        <f t="shared" si="1555"/>
        <v/>
      </c>
      <c r="DX135" s="435" t="str">
        <f t="shared" si="1556"/>
        <v/>
      </c>
      <c r="DY135" s="435" t="str">
        <f t="shared" si="1590"/>
        <v/>
      </c>
      <c r="DZ135" s="435" t="str">
        <f t="shared" si="1591"/>
        <v/>
      </c>
      <c r="EA135" s="435" t="str">
        <f t="shared" si="1557"/>
        <v/>
      </c>
      <c r="EB135" s="435" t="str">
        <f t="shared" si="1558"/>
        <v/>
      </c>
      <c r="EC135" s="435" t="str">
        <f t="shared" si="1559"/>
        <v/>
      </c>
      <c r="ED135" s="435" t="str">
        <f t="shared" si="1560"/>
        <v/>
      </c>
      <c r="EE135" s="435" t="str">
        <f t="shared" si="1561"/>
        <v/>
      </c>
      <c r="EF135" s="435" t="str">
        <f t="shared" si="1562"/>
        <v/>
      </c>
      <c r="EG135" s="435" t="str">
        <f t="shared" si="1563"/>
        <v/>
      </c>
      <c r="EH135" s="435" t="str">
        <f t="shared" si="1564"/>
        <v/>
      </c>
      <c r="EI135" s="435" t="str">
        <f t="shared" si="1565"/>
        <v/>
      </c>
      <c r="EJ135" s="435" t="str">
        <f t="shared" si="1566"/>
        <v/>
      </c>
      <c r="EK135" s="485"/>
      <c r="EL135" s="485"/>
      <c r="EM135" s="485"/>
      <c r="EN135" s="485"/>
      <c r="EO135" s="448"/>
      <c r="EP135" s="448"/>
      <c r="EQ135" s="448"/>
      <c r="ER135" s="448"/>
      <c r="ES135" s="448"/>
      <c r="ET135" s="435"/>
      <c r="EU135" s="435"/>
      <c r="EV135" s="435"/>
      <c r="EW135" s="435"/>
      <c r="EX135" s="426"/>
      <c r="EY135" s="426"/>
      <c r="EZ135" s="426"/>
      <c r="FA135" s="863"/>
      <c r="FB135" s="427">
        <f t="array" ref="FB135">IF(SUM((FA135=$FA$3:FA134)*1)=0,FA135,0)</f>
        <v>0</v>
      </c>
      <c r="FC135" s="863"/>
      <c r="FD135" s="863"/>
      <c r="FE135" s="863">
        <f t="array" ref="FE135">IF(SUM((FD135=$FD$3:FD134)*1)=0,FD135,0)</f>
        <v>0</v>
      </c>
      <c r="FF135" s="863"/>
      <c r="FG135" s="863"/>
      <c r="FH135" s="863"/>
      <c r="FI135" s="427">
        <f t="array" ref="FI135">IF(SUM((FH135=$FH$3:FH134)*1)=0,FH135,0)</f>
        <v>0</v>
      </c>
      <c r="FJ135" s="863"/>
      <c r="FK135" s="863"/>
      <c r="FL135" s="863">
        <f t="array" ref="FL135">IF(SUM((FK135=$FK$3:FK134)*1)=0,FK135,0)</f>
        <v>0</v>
      </c>
      <c r="FM135" s="863"/>
      <c r="FN135" s="863"/>
      <c r="FO135" s="863"/>
      <c r="FP135" s="427">
        <f t="array" ref="FP135">IF(SUM((FO135=$FO$3:FO134)*1)=0,FO135,0)</f>
        <v>0</v>
      </c>
      <c r="FQ135" s="863"/>
      <c r="FR135" s="863"/>
      <c r="FS135" s="863">
        <f t="array" ref="FS135">IF(SUM((FR135=$FR$3:FR134)*1)=0,FR135,0)</f>
        <v>0</v>
      </c>
      <c r="FT135" s="863"/>
      <c r="FU135" s="863"/>
      <c r="FV135" s="863"/>
      <c r="FW135" s="427">
        <f t="array" ref="FW135">IF(SUM((FV135=$FV$3:FV134)*1)=0,FV135,0)</f>
        <v>0</v>
      </c>
      <c r="FX135" s="863"/>
      <c r="FY135" s="863"/>
      <c r="FZ135" s="863">
        <f t="array" ref="FZ135">IF(SUM((FY135=$FY$3:FY134)*1)=0,FY135,0)</f>
        <v>0</v>
      </c>
      <c r="GA135" s="863"/>
      <c r="GB135" s="863"/>
      <c r="GC135" s="863"/>
      <c r="GD135" s="427">
        <f t="array" ref="GD135">IF(SUM((GC135=$GC$3:GC134)*1)=0,GC135,0)</f>
        <v>0</v>
      </c>
      <c r="GE135" s="863"/>
      <c r="GF135" s="863"/>
      <c r="GG135" s="863">
        <f t="array" ref="GG135">IF(SUM((GF135=$GF$3:GF134)*1)=0,GF135,0)</f>
        <v>0</v>
      </c>
      <c r="GH135" s="863"/>
      <c r="GI135" s="863"/>
      <c r="GJ135" s="863"/>
      <c r="GK135" s="798">
        <f t="array" ref="GK135">IF(SUM((GJ135=$GJ$3:GJ134)*1)=0,GJ135,0)</f>
        <v>0</v>
      </c>
      <c r="GL135" s="863"/>
      <c r="GM135" s="863"/>
      <c r="GN135" s="798">
        <f t="array" ref="GN135">IF(SUM((GM135=$GM$3:GM134)*1)=0,GM135,0)</f>
        <v>0</v>
      </c>
      <c r="GO135" s="863"/>
      <c r="GP135" s="863"/>
      <c r="GQ135" s="863"/>
      <c r="GR135" s="798">
        <f t="array" ref="GR135">IF(SUM((GQ135=$GQ$3:GQ134)*1)=0,GQ135,0)</f>
        <v>0</v>
      </c>
      <c r="GS135" s="863"/>
      <c r="GT135" s="863"/>
      <c r="GU135" s="798">
        <f t="array" ref="GU135">IF(SUM((GT135=$GT$3:GT134)*1)=0,GT135,0)</f>
        <v>0</v>
      </c>
      <c r="GV135" s="863"/>
      <c r="GW135" s="863"/>
      <c r="GX135" s="863"/>
      <c r="GY135" s="798">
        <f t="array" ref="GY135">IF(SUM((GX135=$GX$3:GX134)*1)=0,GX135,0)</f>
        <v>0</v>
      </c>
      <c r="GZ135" s="863"/>
      <c r="HA135" s="863"/>
      <c r="HB135" s="798">
        <f t="array" ref="HB135">IF(SUM((HA135=$HA$3:HA134)*1)=0,HA135,0)</f>
        <v>0</v>
      </c>
      <c r="HC135" s="863"/>
      <c r="HD135" s="863"/>
      <c r="HE135" s="769" t="str">
        <f t="shared" si="1667"/>
        <v/>
      </c>
      <c r="HF135" s="768" t="str">
        <f t="shared" ref="HF135" si="1688">IF(HE135&lt;0,"Invadiu REP-BA-C","")</f>
        <v/>
      </c>
      <c r="HG135" s="769" t="str">
        <f t="shared" si="1669"/>
        <v/>
      </c>
      <c r="HH135" s="768" t="str">
        <f t="shared" si="1593"/>
        <v/>
      </c>
      <c r="HI135" s="728" t="str">
        <f t="shared" si="1670"/>
        <v/>
      </c>
      <c r="HJ135" s="768" t="str">
        <f t="shared" si="1594"/>
        <v/>
      </c>
      <c r="HK135" s="728" t="str">
        <f t="shared" si="1671"/>
        <v/>
      </c>
      <c r="HL135" s="768" t="str">
        <f t="shared" si="1595"/>
        <v/>
      </c>
      <c r="HM135" s="769" t="str">
        <f t="shared" si="1596"/>
        <v/>
      </c>
      <c r="HN135" s="768" t="str">
        <f t="shared" ref="HN135" si="1689">IF(HM135&lt;0,"Invadiu REP-BA-C","")</f>
        <v/>
      </c>
      <c r="HO135" s="769" t="str">
        <f t="shared" si="1598"/>
        <v/>
      </c>
      <c r="HP135" s="768" t="str">
        <f t="shared" si="1599"/>
        <v/>
      </c>
      <c r="HQ135" s="728" t="str">
        <f t="shared" si="1600"/>
        <v/>
      </c>
      <c r="HR135" s="768" t="str">
        <f t="shared" si="1601"/>
        <v/>
      </c>
      <c r="HS135" s="728" t="str">
        <f t="shared" si="1602"/>
        <v/>
      </c>
      <c r="HT135" s="768" t="str">
        <f t="shared" si="1603"/>
        <v/>
      </c>
      <c r="HU135" s="769" t="str">
        <f t="shared" si="1604"/>
        <v/>
      </c>
      <c r="HV135" s="768" t="str">
        <f t="shared" ref="HV135" si="1690">IF(HU135&lt;0,"Invadiu REP-BA-C","")</f>
        <v/>
      </c>
      <c r="HW135" s="769" t="str">
        <f t="shared" si="1606"/>
        <v/>
      </c>
      <c r="HX135" s="768" t="str">
        <f t="shared" si="1607"/>
        <v/>
      </c>
      <c r="HY135" s="728" t="str">
        <f t="shared" si="1608"/>
        <v/>
      </c>
      <c r="HZ135" s="768" t="str">
        <f t="shared" si="1609"/>
        <v/>
      </c>
      <c r="IA135" s="728" t="str">
        <f t="shared" si="1610"/>
        <v/>
      </c>
      <c r="IB135" s="768" t="str">
        <f t="shared" si="1611"/>
        <v/>
      </c>
      <c r="IC135" s="769" t="str">
        <f t="shared" si="1612"/>
        <v/>
      </c>
      <c r="ID135" s="768" t="str">
        <f t="shared" ref="ID135" si="1691">IF(IC135&lt;0,"Invadiu REP-BA-C","")</f>
        <v/>
      </c>
      <c r="IE135" s="769" t="str">
        <f t="shared" si="1614"/>
        <v/>
      </c>
      <c r="IF135" s="768" t="str">
        <f t="shared" si="1615"/>
        <v/>
      </c>
      <c r="IG135" s="728" t="str">
        <f t="shared" si="1616"/>
        <v/>
      </c>
      <c r="IH135" s="768" t="str">
        <f t="shared" si="1617"/>
        <v/>
      </c>
      <c r="II135" s="728" t="str">
        <f t="shared" si="1618"/>
        <v/>
      </c>
      <c r="IJ135" s="768" t="str">
        <f t="shared" si="1619"/>
        <v/>
      </c>
      <c r="IK135" s="769" t="str">
        <f t="shared" si="1620"/>
        <v/>
      </c>
      <c r="IL135" s="768" t="str">
        <f t="shared" ref="IL135" si="1692">IF(IK135&lt;0,"Invadiu REP-BA-C","")</f>
        <v/>
      </c>
      <c r="IM135" s="769" t="str">
        <f t="shared" si="1622"/>
        <v/>
      </c>
      <c r="IN135" s="768" t="str">
        <f t="shared" si="1623"/>
        <v/>
      </c>
      <c r="IO135" s="728" t="str">
        <f t="shared" si="1624"/>
        <v/>
      </c>
      <c r="IP135" s="768" t="str">
        <f t="shared" si="1625"/>
        <v/>
      </c>
      <c r="IQ135" s="728" t="str">
        <f t="shared" si="1626"/>
        <v/>
      </c>
      <c r="IR135" s="768" t="str">
        <f t="shared" si="1627"/>
        <v/>
      </c>
      <c r="IS135" s="769" t="str">
        <f t="shared" si="1628"/>
        <v/>
      </c>
      <c r="IT135" s="768" t="str">
        <f t="shared" ref="IT135" si="1693">IF(IS135&lt;0,"Invadiu REP-BA-C","")</f>
        <v/>
      </c>
      <c r="IU135" s="769" t="str">
        <f t="shared" si="1630"/>
        <v/>
      </c>
      <c r="IV135" s="768" t="str">
        <f t="shared" si="1631"/>
        <v/>
      </c>
      <c r="IW135" s="728" t="str">
        <f t="shared" si="1632"/>
        <v/>
      </c>
      <c r="IX135" s="768" t="str">
        <f t="shared" si="1633"/>
        <v/>
      </c>
      <c r="IY135" s="728" t="str">
        <f t="shared" si="1634"/>
        <v/>
      </c>
      <c r="IZ135" s="768" t="str">
        <f t="shared" si="1635"/>
        <v/>
      </c>
      <c r="JA135" s="769" t="str">
        <f t="shared" si="1636"/>
        <v/>
      </c>
      <c r="JB135" s="768" t="str">
        <f t="shared" ref="JB135" si="1694">IF(JA135&lt;0,"Invadiu REP-BA-C","")</f>
        <v/>
      </c>
      <c r="JC135" s="769" t="str">
        <f t="shared" si="1638"/>
        <v/>
      </c>
      <c r="JD135" s="768" t="str">
        <f t="shared" si="1639"/>
        <v/>
      </c>
      <c r="JE135" s="728" t="str">
        <f t="shared" si="1640"/>
        <v/>
      </c>
      <c r="JF135" s="768" t="str">
        <f t="shared" si="1641"/>
        <v/>
      </c>
      <c r="JG135" s="728" t="str">
        <f t="shared" si="1642"/>
        <v/>
      </c>
      <c r="JH135" s="768" t="str">
        <f t="shared" si="1643"/>
        <v/>
      </c>
      <c r="JI135" s="769" t="str">
        <f t="shared" si="1644"/>
        <v/>
      </c>
      <c r="JJ135" s="768" t="str">
        <f t="shared" ref="JJ135" si="1695">IF(JI135&lt;0,"Invadiu REP-BA-C","")</f>
        <v/>
      </c>
      <c r="JK135" s="769" t="str">
        <f t="shared" si="1646"/>
        <v/>
      </c>
      <c r="JL135" s="768" t="str">
        <f t="shared" si="1647"/>
        <v/>
      </c>
      <c r="JM135" s="728" t="str">
        <f t="shared" si="1648"/>
        <v/>
      </c>
      <c r="JN135" s="768" t="str">
        <f t="shared" si="1649"/>
        <v/>
      </c>
      <c r="JO135" s="728" t="str">
        <f t="shared" si="1650"/>
        <v/>
      </c>
      <c r="JP135" s="768" t="str">
        <f t="shared" si="1651"/>
        <v/>
      </c>
      <c r="JQ135" s="769" t="str">
        <f t="shared" si="1652"/>
        <v/>
      </c>
      <c r="JR135" s="768" t="str">
        <f t="shared" ref="JR135" si="1696">IF(JQ135&lt;0,"Invadiu REP-BA-C","")</f>
        <v/>
      </c>
      <c r="JS135" s="769" t="str">
        <f t="shared" si="1654"/>
        <v/>
      </c>
      <c r="JT135" s="768" t="str">
        <f t="shared" si="1655"/>
        <v/>
      </c>
      <c r="JU135" s="728" t="str">
        <f t="shared" si="1656"/>
        <v/>
      </c>
      <c r="JV135" s="768" t="str">
        <f t="shared" si="1657"/>
        <v/>
      </c>
      <c r="JW135" s="728" t="str">
        <f t="shared" si="1658"/>
        <v/>
      </c>
      <c r="JX135" s="768" t="str">
        <f t="shared" si="1659"/>
        <v/>
      </c>
      <c r="JY135" s="768" t="str">
        <f t="shared" si="1660"/>
        <v/>
      </c>
      <c r="JZ135" s="485" t="str">
        <f>IF(JY135="","",IF(AND(C135=$C$164,JY135&lt;&gt;""),Verificarcpf(D135),IF(AND(C135=$C$165,JY135&lt;&gt;""),VerificarCNPJ(D135))))</f>
        <v/>
      </c>
      <c r="KA135" s="768" t="str">
        <f t="shared" si="1661"/>
        <v/>
      </c>
      <c r="KB135" s="485">
        <f t="shared" si="1662"/>
        <v>0</v>
      </c>
      <c r="KC135" s="768">
        <f t="shared" si="1663"/>
        <v>0</v>
      </c>
      <c r="KD135" s="485">
        <f t="shared" si="1664"/>
        <v>0</v>
      </c>
      <c r="KE135" s="448"/>
      <c r="KF135" s="548"/>
      <c r="KG135" s="548"/>
      <c r="KH135" s="548"/>
      <c r="KI135" s="548"/>
      <c r="KJ135" s="548" t="str">
        <f t="shared" si="1665"/>
        <v/>
      </c>
      <c r="KK135" s="548"/>
      <c r="KL135" s="548"/>
      <c r="KM135" s="548">
        <f t="array" ref="KM135">IF(SUM((KL135=$KL$3:KL134)*1)=0,KL135,0)</f>
        <v>0</v>
      </c>
      <c r="KN135" s="548"/>
      <c r="KO135" s="548"/>
      <c r="KP135" s="548"/>
      <c r="KQ135" s="548"/>
      <c r="KR135" s="548" t="str">
        <f t="shared" si="1666"/>
        <v/>
      </c>
      <c r="KS135" s="548"/>
      <c r="KT135" s="548"/>
      <c r="KU135" s="548"/>
      <c r="KV135" s="548"/>
      <c r="KW135" s="548"/>
      <c r="KX135" s="548"/>
      <c r="KY135" s="548"/>
      <c r="KZ135" s="548"/>
      <c r="LA135" s="548"/>
      <c r="LB135" s="548"/>
      <c r="LC135" s="485" t="str">
        <f t="shared" si="1680"/>
        <v/>
      </c>
      <c r="LD135" s="548"/>
      <c r="LE135" s="548"/>
      <c r="LF135" s="548"/>
      <c r="LG135" s="548"/>
      <c r="LH135" s="548"/>
      <c r="LI135" s="548"/>
      <c r="LJ135" s="548"/>
      <c r="LK135" s="548"/>
      <c r="LL135" s="548"/>
      <c r="LM135" s="548"/>
      <c r="LN135" s="548"/>
      <c r="LO135" s="548"/>
      <c r="LP135" s="485" t="str">
        <f t="shared" si="1681"/>
        <v/>
      </c>
      <c r="LQ135" s="548"/>
      <c r="LR135" s="548"/>
      <c r="LS135" s="548"/>
      <c r="LT135" s="548"/>
      <c r="LU135" s="548"/>
      <c r="LV135" s="548"/>
      <c r="LW135" s="548"/>
      <c r="LX135" s="548"/>
      <c r="LY135" s="548"/>
      <c r="LZ135" s="548"/>
      <c r="MA135" s="548"/>
      <c r="MB135" s="548"/>
      <c r="MC135" s="485" t="str">
        <f t="shared" si="1682"/>
        <v/>
      </c>
      <c r="MD135" s="548"/>
      <c r="ME135" s="548"/>
      <c r="MF135" s="548"/>
      <c r="MG135" s="548"/>
      <c r="MH135" s="548"/>
      <c r="MI135" s="548"/>
      <c r="MJ135" s="548"/>
      <c r="MK135" s="548"/>
      <c r="ML135" s="548"/>
      <c r="MM135" s="548"/>
      <c r="MN135" s="548"/>
      <c r="MO135" s="548"/>
      <c r="MP135" s="485" t="str">
        <f t="shared" si="1683"/>
        <v/>
      </c>
      <c r="MQ135" s="548"/>
      <c r="MR135" s="548"/>
      <c r="MS135" s="548"/>
      <c r="MT135" s="548"/>
      <c r="MU135" s="548"/>
      <c r="MV135" s="548"/>
      <c r="MW135" s="548"/>
      <c r="MX135" s="548"/>
      <c r="MY135" s="548"/>
      <c r="MZ135" s="548"/>
      <c r="NA135" s="548"/>
      <c r="NB135" s="548"/>
      <c r="NC135" s="485" t="str">
        <f t="shared" si="1684"/>
        <v/>
      </c>
      <c r="ND135" s="548"/>
      <c r="NE135" s="548"/>
      <c r="NF135" s="548"/>
      <c r="NG135" s="548"/>
      <c r="NH135" s="548"/>
      <c r="NI135" s="548"/>
      <c r="NJ135" s="548"/>
      <c r="NK135" s="548"/>
      <c r="NL135" s="548"/>
      <c r="NM135" s="548"/>
      <c r="NN135" s="548"/>
      <c r="NO135" s="548"/>
      <c r="NP135" s="485" t="str">
        <f t="shared" si="1685"/>
        <v/>
      </c>
      <c r="NQ135" s="548"/>
      <c r="NR135" s="548"/>
      <c r="NS135" s="548"/>
      <c r="NT135" s="548"/>
      <c r="NU135" s="548"/>
      <c r="NV135" s="548"/>
      <c r="NW135" s="548"/>
      <c r="NX135" s="548"/>
      <c r="NY135" s="548"/>
      <c r="NZ135" s="548"/>
      <c r="OA135" s="548"/>
      <c r="OB135" s="548"/>
      <c r="OC135" s="485" t="str">
        <f t="shared" si="1686"/>
        <v/>
      </c>
      <c r="OD135" s="548"/>
      <c r="OE135" s="548"/>
      <c r="OF135" s="548"/>
      <c r="OG135" s="548"/>
      <c r="OH135" s="548"/>
      <c r="OI135" s="548"/>
      <c r="OJ135" s="548"/>
      <c r="OK135" s="548"/>
      <c r="OL135" s="548"/>
      <c r="OM135" s="548"/>
      <c r="ON135" s="548"/>
      <c r="OO135" s="548"/>
      <c r="OP135" s="548"/>
      <c r="OQ135" s="548"/>
      <c r="OR135" s="548"/>
      <c r="OS135" s="548"/>
      <c r="OT135" s="548"/>
      <c r="OU135" s="548"/>
      <c r="OV135" s="548"/>
      <c r="OW135" s="548"/>
      <c r="OX135" s="548"/>
      <c r="OY135" s="548"/>
      <c r="OZ135" s="548"/>
      <c r="PA135" s="548"/>
      <c r="PB135" s="548"/>
      <c r="PC135" s="548"/>
      <c r="PD135" s="548"/>
      <c r="PE135" s="548"/>
      <c r="PF135" s="548"/>
      <c r="PG135" s="548"/>
      <c r="PH135" s="548"/>
      <c r="PI135" s="548"/>
      <c r="PJ135" s="548"/>
      <c r="PK135" s="548"/>
      <c r="PL135" s="548"/>
      <c r="PM135" s="548"/>
      <c r="PN135" s="548"/>
      <c r="PO135" s="548"/>
      <c r="PP135" s="548"/>
      <c r="PQ135" s="548"/>
      <c r="PR135" s="548"/>
      <c r="PS135" s="548"/>
      <c r="PT135" s="548"/>
      <c r="PU135" s="548"/>
      <c r="PV135" s="548"/>
      <c r="PW135" s="548"/>
      <c r="PX135" s="548"/>
      <c r="PY135" s="548"/>
      <c r="PZ135" s="548"/>
      <c r="QA135" s="548"/>
      <c r="QB135" s="548"/>
      <c r="QC135" s="548"/>
      <c r="QD135" s="548"/>
      <c r="QE135" s="548"/>
      <c r="QF135" s="548"/>
      <c r="QG135" s="548"/>
      <c r="QH135" s="548"/>
      <c r="QI135" s="548"/>
      <c r="QJ135" s="548"/>
      <c r="QK135" s="548"/>
      <c r="QL135" s="548"/>
      <c r="QM135" s="548"/>
      <c r="QN135" s="548"/>
      <c r="QO135" s="548"/>
      <c r="QP135" s="548"/>
      <c r="QQ135" s="1009"/>
      <c r="QR135" s="548"/>
      <c r="QS135" s="548"/>
      <c r="QT135" s="548"/>
      <c r="QU135" s="548"/>
      <c r="QV135" s="548"/>
      <c r="QW135" s="548"/>
      <c r="QX135" s="548"/>
      <c r="QY135" s="548"/>
      <c r="QZ135" s="548"/>
      <c r="RA135" s="548"/>
      <c r="RB135" s="548"/>
      <c r="RC135" s="548"/>
      <c r="RD135" s="548"/>
      <c r="RE135" s="548"/>
      <c r="RF135" s="548"/>
      <c r="RG135" s="548"/>
      <c r="RH135" s="548"/>
      <c r="RI135" s="548"/>
      <c r="RJ135" s="548"/>
      <c r="RK135" s="548"/>
      <c r="RL135" s="548"/>
      <c r="RM135" s="548"/>
      <c r="RN135" s="548"/>
      <c r="RO135" s="548"/>
      <c r="RP135" s="548"/>
      <c r="RQ135" s="548"/>
      <c r="RR135" s="548"/>
      <c r="RS135" s="548"/>
      <c r="RT135" s="548"/>
      <c r="RU135" s="548"/>
      <c r="RV135" s="548"/>
      <c r="RW135" s="548"/>
      <c r="RX135" s="548"/>
      <c r="RY135" s="548"/>
      <c r="RZ135" s="548"/>
      <c r="SA135" s="548"/>
      <c r="SB135" s="548"/>
      <c r="SC135" s="548"/>
      <c r="SD135" s="548"/>
      <c r="SE135" s="548"/>
      <c r="SF135" s="548"/>
      <c r="SG135" s="548"/>
      <c r="SH135" s="548"/>
      <c r="SI135" s="548"/>
      <c r="SJ135" s="548"/>
      <c r="SK135" s="548"/>
      <c r="SL135" s="548"/>
      <c r="SM135" s="548"/>
      <c r="SN135" s="548"/>
      <c r="SO135" s="548"/>
      <c r="SP135" s="548"/>
      <c r="SQ135" s="548"/>
      <c r="SR135" s="548"/>
      <c r="SS135" s="548"/>
      <c r="ST135" s="548"/>
      <c r="SU135" s="548"/>
      <c r="SV135" s="548"/>
      <c r="SW135" s="548"/>
      <c r="SX135" s="548"/>
      <c r="SY135" s="548"/>
      <c r="SZ135" s="548"/>
      <c r="TA135" s="548"/>
      <c r="TB135" s="548"/>
      <c r="TC135" s="548"/>
      <c r="TD135" s="548"/>
      <c r="TE135" s="548"/>
      <c r="TF135" s="548"/>
      <c r="TG135" s="548"/>
      <c r="TH135" s="548"/>
      <c r="TI135" s="548"/>
      <c r="TJ135" s="548"/>
      <c r="TK135" s="548"/>
      <c r="TL135" s="548"/>
      <c r="TM135" s="548"/>
      <c r="TN135" s="548"/>
      <c r="TO135" s="548"/>
      <c r="TP135" s="548"/>
      <c r="TQ135" s="548"/>
      <c r="TR135" s="548"/>
      <c r="TS135" s="548"/>
      <c r="TT135" s="548"/>
      <c r="TU135" s="548"/>
      <c r="TV135" s="548"/>
      <c r="TW135" s="548"/>
      <c r="TX135" s="548"/>
      <c r="TY135" s="548"/>
      <c r="TZ135" s="548"/>
      <c r="UA135" s="548"/>
      <c r="UB135" s="548"/>
      <c r="UC135" s="548"/>
      <c r="UD135" s="548"/>
      <c r="UE135" s="548"/>
      <c r="UF135" s="548"/>
      <c r="UG135" s="548"/>
      <c r="UH135" s="548"/>
      <c r="UI135" s="548"/>
      <c r="UJ135" s="548"/>
      <c r="UK135" s="548"/>
      <c r="UL135" s="548"/>
      <c r="UM135" s="548"/>
      <c r="UN135" s="548"/>
      <c r="UO135" s="548"/>
      <c r="UP135" s="548"/>
      <c r="UQ135" s="548"/>
      <c r="UR135" s="548"/>
      <c r="US135" s="548"/>
      <c r="UT135" s="548"/>
      <c r="UU135" s="548"/>
      <c r="UV135" s="548"/>
      <c r="UW135" s="548"/>
      <c r="UX135" s="548"/>
      <c r="UY135" s="548"/>
      <c r="UZ135" s="548"/>
      <c r="VA135" s="548"/>
      <c r="VB135" s="548"/>
      <c r="VC135" s="548"/>
      <c r="VD135" s="548"/>
      <c r="VE135" s="548"/>
      <c r="VF135" s="548"/>
      <c r="VG135" s="548"/>
      <c r="VH135" s="548"/>
      <c r="VI135" s="548"/>
      <c r="VJ135" s="548"/>
      <c r="VK135" s="548"/>
      <c r="VL135" s="548"/>
      <c r="VM135" s="548"/>
      <c r="VN135" s="548"/>
      <c r="VO135" s="548"/>
      <c r="VP135" s="548"/>
      <c r="VQ135" s="548"/>
      <c r="VR135" s="548"/>
      <c r="VS135" s="548"/>
      <c r="VT135" s="548"/>
      <c r="VU135" s="548"/>
      <c r="VV135" s="548"/>
      <c r="VW135" s="548"/>
      <c r="VX135" s="548"/>
      <c r="VY135" s="548"/>
      <c r="VZ135" s="548"/>
      <c r="WA135" s="548"/>
      <c r="WB135" s="548"/>
      <c r="WC135" s="548"/>
      <c r="WD135" s="548"/>
      <c r="WE135" s="548"/>
      <c r="WF135" s="548"/>
      <c r="WG135" s="548"/>
      <c r="WH135" s="548"/>
      <c r="WI135" s="548"/>
      <c r="WJ135" s="548"/>
      <c r="WK135" s="548"/>
      <c r="WL135" s="548"/>
      <c r="WM135" s="548"/>
      <c r="WN135" s="548"/>
      <c r="WO135" s="548"/>
      <c r="WP135" s="548"/>
      <c r="WQ135" s="548"/>
      <c r="WR135" s="548"/>
      <c r="WS135" s="548"/>
      <c r="WT135" s="548"/>
      <c r="WU135" s="548"/>
      <c r="WV135" s="548"/>
      <c r="WW135" s="548"/>
      <c r="WX135" s="548"/>
      <c r="WY135" s="548"/>
      <c r="WZ135" s="548"/>
      <c r="XA135" s="548"/>
      <c r="XB135" s="548"/>
      <c r="XC135" s="548"/>
      <c r="XD135" s="548"/>
      <c r="XE135" s="548"/>
      <c r="XF135" s="548"/>
      <c r="XG135" s="548"/>
      <c r="XH135" s="548"/>
      <c r="XI135" s="548"/>
      <c r="XJ135" s="548"/>
      <c r="XK135" s="548"/>
      <c r="XL135" s="548"/>
      <c r="XM135" s="548"/>
      <c r="XN135" s="548"/>
      <c r="XO135" s="548"/>
      <c r="XP135" s="548"/>
      <c r="XQ135" s="548"/>
      <c r="XR135" s="548"/>
      <c r="XS135" s="548"/>
      <c r="XT135" s="548"/>
      <c r="XU135" s="548"/>
      <c r="XV135" s="548"/>
      <c r="XW135" s="548"/>
      <c r="XX135" s="548"/>
      <c r="XY135" s="548"/>
      <c r="XZ135" s="548"/>
      <c r="YA135" s="548"/>
      <c r="YB135" s="548"/>
      <c r="YC135" s="548"/>
      <c r="YD135" s="548"/>
      <c r="YE135" s="548"/>
      <c r="YF135" s="548"/>
      <c r="YG135" s="548"/>
      <c r="YH135" s="548"/>
      <c r="YI135" s="548"/>
      <c r="YJ135" s="548"/>
      <c r="YK135" s="548"/>
      <c r="YL135" s="548"/>
      <c r="YM135" s="548"/>
      <c r="YN135" s="548"/>
      <c r="YO135" s="548"/>
      <c r="YP135" s="548"/>
      <c r="YQ135" s="548"/>
      <c r="YR135" s="548"/>
      <c r="YS135" s="548"/>
      <c r="YT135" s="548"/>
      <c r="YU135" s="548"/>
      <c r="YV135" s="548"/>
      <c r="YW135" s="548"/>
      <c r="YX135" s="548"/>
      <c r="YY135" s="548"/>
      <c r="YZ135" s="548"/>
      <c r="ZA135" s="548"/>
      <c r="ZB135" s="548"/>
      <c r="ZC135" s="548"/>
      <c r="ZD135" s="548"/>
      <c r="ZE135" s="548"/>
      <c r="ZF135" s="548"/>
      <c r="ZG135" s="548"/>
      <c r="ZH135" s="548"/>
      <c r="ZI135" s="548"/>
      <c r="ZJ135" s="548"/>
      <c r="ZK135" s="548"/>
      <c r="ZL135" s="548"/>
      <c r="ZM135" s="548"/>
      <c r="ZN135" s="548"/>
      <c r="ZO135" s="548"/>
      <c r="ZP135" s="548"/>
      <c r="ZQ135" s="548"/>
      <c r="ZR135" s="548"/>
      <c r="ZS135" s="548"/>
      <c r="ZT135" s="548"/>
      <c r="ZU135" s="548"/>
      <c r="ZV135" s="548"/>
      <c r="ZW135" s="548"/>
      <c r="ZX135" s="548"/>
      <c r="ZY135" s="548"/>
      <c r="ZZ135" s="548"/>
      <c r="AAA135" s="548"/>
      <c r="AAB135" s="548"/>
      <c r="AAC135" s="548"/>
      <c r="AAD135" s="548"/>
      <c r="AAE135" s="548"/>
      <c r="AAF135" s="548"/>
      <c r="AAG135" s="548"/>
      <c r="AAH135" s="548"/>
      <c r="AAI135" s="548"/>
      <c r="AAJ135" s="548"/>
      <c r="AAK135" s="548"/>
      <c r="AAL135" s="548"/>
      <c r="AAM135" s="548"/>
      <c r="AAN135" s="548"/>
      <c r="AAO135" s="548"/>
      <c r="AAP135" s="548"/>
      <c r="AAQ135" s="548"/>
      <c r="AAR135" s="548"/>
      <c r="AAS135" s="548"/>
      <c r="AAT135" s="548"/>
      <c r="AAU135" s="548"/>
      <c r="AAV135" s="548"/>
      <c r="AAW135" s="548"/>
      <c r="AAX135" s="548"/>
      <c r="AAY135" s="548"/>
      <c r="AAZ135" s="548"/>
      <c r="ABA135" s="548"/>
      <c r="ABB135" s="548"/>
      <c r="ABC135" s="548"/>
      <c r="ABD135" s="548"/>
      <c r="ABE135" s="548"/>
      <c r="ABF135" s="548"/>
      <c r="ABG135" s="548"/>
      <c r="ABH135" s="548"/>
      <c r="ABI135" s="548"/>
      <c r="ABJ135" s="548"/>
      <c r="ABK135" s="548"/>
      <c r="ABL135" s="548"/>
      <c r="ABM135" s="548"/>
      <c r="ABN135" s="548"/>
      <c r="ABO135" s="548"/>
      <c r="ABP135" s="548"/>
      <c r="ABQ135" s="548"/>
      <c r="ABR135" s="548"/>
      <c r="ABS135" s="548"/>
    </row>
    <row r="136" spans="1:747" customFormat="1" ht="15" customHeight="1" x14ac:dyDescent="0.2">
      <c r="A136" s="424" t="str">
        <f t="shared" si="1687"/>
        <v/>
      </c>
      <c r="B136" s="415"/>
      <c r="C136" s="525"/>
      <c r="D136" s="750"/>
      <c r="E136" s="416" t="str">
        <f t="shared" si="1529"/>
        <v/>
      </c>
      <c r="F136" s="527" t="str">
        <f t="shared" si="1530"/>
        <v/>
      </c>
      <c r="G136" s="417"/>
      <c r="H136" s="585" t="str">
        <f t="shared" si="1531"/>
        <v/>
      </c>
      <c r="I136" s="424"/>
      <c r="J136" s="419"/>
      <c r="K136" s="418"/>
      <c r="L136" s="419"/>
      <c r="M136" s="415"/>
      <c r="N136" s="420"/>
      <c r="O136" s="421"/>
      <c r="P136" s="561"/>
      <c r="Q136" s="422"/>
      <c r="R136" s="561" t="str">
        <f t="shared" si="1532"/>
        <v/>
      </c>
      <c r="S136" s="664"/>
      <c r="T136" s="663"/>
      <c r="U136" s="580">
        <f t="shared" si="1533"/>
        <v>0</v>
      </c>
      <c r="V136" s="418"/>
      <c r="W136" s="582" t="str">
        <f t="shared" si="1534"/>
        <v/>
      </c>
      <c r="X136" s="479" t="str">
        <f t="shared" si="1535"/>
        <v/>
      </c>
      <c r="Y136" s="582" t="str">
        <f t="shared" si="1536"/>
        <v/>
      </c>
      <c r="Z136" s="317" t="str">
        <f t="shared" si="1537"/>
        <v/>
      </c>
      <c r="AA136" s="317" t="str">
        <f t="shared" si="1538"/>
        <v/>
      </c>
      <c r="AB136" s="317">
        <f t="shared" si="1539"/>
        <v>0</v>
      </c>
      <c r="AC136" s="317" t="str">
        <f t="shared" si="1540"/>
        <v/>
      </c>
      <c r="AD136" s="479"/>
      <c r="AE136" s="479"/>
      <c r="AF136" s="479"/>
      <c r="AG136" s="423"/>
      <c r="AH136" s="820"/>
      <c r="AI136" s="437"/>
      <c r="AJ136" s="660"/>
      <c r="AK136" s="524" t="str">
        <f t="shared" si="1541"/>
        <v/>
      </c>
      <c r="AL136" s="731">
        <f>SUMIF($J$4:$J$32,"Livre Aplic.",$S$4:$S$32)</f>
        <v>0</v>
      </c>
      <c r="AM136" s="732">
        <f>SUMIF($J$4:$J$32,"Livre Aplic.",$T$4:$T$32)</f>
        <v>0</v>
      </c>
      <c r="AN136" s="426">
        <f t="shared" si="1542"/>
        <v>0</v>
      </c>
      <c r="AO136" s="427" t="str">
        <f t="shared" si="1543"/>
        <v/>
      </c>
      <c r="AP136" s="426" t="str">
        <f t="shared" si="1544"/>
        <v/>
      </c>
      <c r="AQ136" s="426"/>
      <c r="AR136" s="426"/>
      <c r="AS136" s="428"/>
      <c r="AT136" s="429"/>
      <c r="AU136" s="430"/>
      <c r="AV136" s="431"/>
      <c r="AW136" s="432"/>
      <c r="AX136" s="430"/>
      <c r="AY136" s="431">
        <f t="shared" si="1545"/>
        <v>0</v>
      </c>
      <c r="AZ136" s="426"/>
      <c r="BA136" s="435" t="str">
        <f t="shared" si="1546"/>
        <v/>
      </c>
      <c r="BB136" s="435"/>
      <c r="BC136" s="426"/>
      <c r="BD136" s="426">
        <f t="array" ref="BD136">IF(SUM((BC136=$BC$3:BC135)*1)=0,BC136,0)</f>
        <v>0</v>
      </c>
      <c r="BE136" s="426"/>
      <c r="BF136" s="426"/>
      <c r="BG136" s="426">
        <f t="array" ref="BG136">IF(SUM((BF136=$BF$3:BF135)*1)=0,BF136,0)</f>
        <v>0</v>
      </c>
      <c r="BH136" s="426"/>
      <c r="BI136" s="426"/>
      <c r="BJ136" s="426"/>
      <c r="BK136" s="426"/>
      <c r="BL136" s="426"/>
      <c r="BM136" s="426"/>
      <c r="BN136" s="426"/>
      <c r="BO136" s="426"/>
      <c r="BP136" s="433">
        <f t="shared" si="1547"/>
        <v>0</v>
      </c>
      <c r="BQ136" s="426"/>
      <c r="BR136" s="434"/>
      <c r="BS136" s="426"/>
      <c r="BT136" s="433"/>
      <c r="BU136" s="435"/>
      <c r="BV136" s="435" t="str">
        <f t="shared" si="1548"/>
        <v/>
      </c>
      <c r="BW136" s="435" t="str">
        <f t="shared" si="1576"/>
        <v/>
      </c>
      <c r="BX136" s="435"/>
      <c r="BY136" s="435"/>
      <c r="BZ136" s="435"/>
      <c r="CA136" s="435"/>
      <c r="CB136" s="435"/>
      <c r="CC136" s="435"/>
      <c r="CD136" s="435"/>
      <c r="CE136" s="435"/>
      <c r="CF136" s="435"/>
      <c r="CG136" s="435"/>
      <c r="CH136" s="435"/>
      <c r="CI136" s="435"/>
      <c r="CJ136" s="426" t="str">
        <f t="shared" si="1577"/>
        <v/>
      </c>
      <c r="CK136" s="435"/>
      <c r="CL136" s="426"/>
      <c r="CM136" s="435"/>
      <c r="CN136" s="426"/>
      <c r="CO136" s="426"/>
      <c r="CP136" s="426"/>
      <c r="CQ136" s="426"/>
      <c r="CR136" s="426"/>
      <c r="CS136" s="426"/>
      <c r="CT136" s="426"/>
      <c r="CU136" s="426"/>
      <c r="CV136" s="426"/>
      <c r="CW136" s="493"/>
      <c r="CX136" s="493"/>
      <c r="CY136" s="426">
        <v>133</v>
      </c>
      <c r="CZ136" s="493"/>
      <c r="DA136" s="493"/>
      <c r="DB136" s="493"/>
      <c r="DC136" s="426" t="s">
        <v>876</v>
      </c>
      <c r="DD136" s="426" t="s">
        <v>1036</v>
      </c>
      <c r="DE136" s="435" t="str">
        <f t="shared" si="1578"/>
        <v/>
      </c>
      <c r="DF136" s="435" t="str">
        <f t="shared" si="1579"/>
        <v/>
      </c>
      <c r="DG136" s="435" t="str">
        <f t="shared" si="1580"/>
        <v/>
      </c>
      <c r="DH136" s="435" t="str">
        <f t="shared" si="1581"/>
        <v/>
      </c>
      <c r="DI136" s="435" t="str">
        <f t="shared" si="1582"/>
        <v/>
      </c>
      <c r="DJ136" s="435" t="str">
        <f t="shared" si="1583"/>
        <v/>
      </c>
      <c r="DK136" s="435" t="str">
        <f t="shared" si="1549"/>
        <v/>
      </c>
      <c r="DL136" s="435" t="str">
        <f t="shared" si="1550"/>
        <v/>
      </c>
      <c r="DM136" s="435" t="str">
        <f t="shared" si="1584"/>
        <v/>
      </c>
      <c r="DN136" s="435" t="str">
        <f t="shared" si="1585"/>
        <v/>
      </c>
      <c r="DO136" s="435" t="str">
        <f t="shared" si="1551"/>
        <v/>
      </c>
      <c r="DP136" s="435" t="str">
        <f t="shared" si="1552"/>
        <v/>
      </c>
      <c r="DQ136" s="435" t="str">
        <f t="shared" si="1586"/>
        <v/>
      </c>
      <c r="DR136" s="435" t="str">
        <f t="shared" si="1587"/>
        <v/>
      </c>
      <c r="DS136" s="435" t="str">
        <f t="shared" si="1553"/>
        <v/>
      </c>
      <c r="DT136" s="435" t="str">
        <f t="shared" si="1554"/>
        <v/>
      </c>
      <c r="DU136" s="435" t="str">
        <f t="shared" si="1588"/>
        <v/>
      </c>
      <c r="DV136" s="435" t="str">
        <f t="shared" si="1589"/>
        <v/>
      </c>
      <c r="DW136" s="435" t="str">
        <f t="shared" si="1555"/>
        <v/>
      </c>
      <c r="DX136" s="435" t="str">
        <f t="shared" si="1556"/>
        <v/>
      </c>
      <c r="DY136" s="435" t="str">
        <f t="shared" si="1590"/>
        <v/>
      </c>
      <c r="DZ136" s="435" t="str">
        <f t="shared" si="1591"/>
        <v/>
      </c>
      <c r="EA136" s="435" t="str">
        <f t="shared" si="1557"/>
        <v/>
      </c>
      <c r="EB136" s="435" t="str">
        <f t="shared" si="1558"/>
        <v/>
      </c>
      <c r="EC136" s="435" t="str">
        <f t="shared" si="1559"/>
        <v/>
      </c>
      <c r="ED136" s="435" t="str">
        <f t="shared" si="1560"/>
        <v/>
      </c>
      <c r="EE136" s="435" t="str">
        <f t="shared" si="1561"/>
        <v/>
      </c>
      <c r="EF136" s="435" t="str">
        <f t="shared" si="1562"/>
        <v/>
      </c>
      <c r="EG136" s="435" t="str">
        <f t="shared" si="1563"/>
        <v/>
      </c>
      <c r="EH136" s="435" t="str">
        <f t="shared" si="1564"/>
        <v/>
      </c>
      <c r="EI136" s="435" t="str">
        <f t="shared" si="1565"/>
        <v/>
      </c>
      <c r="EJ136" s="435" t="str">
        <f t="shared" si="1566"/>
        <v/>
      </c>
      <c r="EK136" s="485"/>
      <c r="EL136" s="485"/>
      <c r="EM136" s="485"/>
      <c r="EN136" s="485"/>
      <c r="EO136" s="448"/>
      <c r="EP136" s="448"/>
      <c r="EQ136" s="448"/>
      <c r="ER136" s="448"/>
      <c r="ES136" s="448"/>
      <c r="ET136" s="435"/>
      <c r="EU136" s="435"/>
      <c r="EV136" s="435"/>
      <c r="EW136" s="435"/>
      <c r="EX136" s="426"/>
      <c r="EY136" s="426"/>
      <c r="EZ136" s="426"/>
      <c r="FA136" s="863"/>
      <c r="FB136" s="427">
        <f t="array" ref="FB136">IF(SUM((FA136=$FA$3:FA135)*1)=0,FA136,0)</f>
        <v>0</v>
      </c>
      <c r="FC136" s="863"/>
      <c r="FD136" s="863"/>
      <c r="FE136" s="863">
        <f t="array" ref="FE136">IF(SUM((FD136=$FD$3:FD135)*1)=0,FD136,0)</f>
        <v>0</v>
      </c>
      <c r="FF136" s="863"/>
      <c r="FG136" s="863"/>
      <c r="FH136" s="863"/>
      <c r="FI136" s="427">
        <f t="array" ref="FI136">IF(SUM((FH136=$FH$3:FH135)*1)=0,FH136,0)</f>
        <v>0</v>
      </c>
      <c r="FJ136" s="863"/>
      <c r="FK136" s="863"/>
      <c r="FL136" s="863">
        <f t="array" ref="FL136">IF(SUM((FK136=$FK$3:FK135)*1)=0,FK136,0)</f>
        <v>0</v>
      </c>
      <c r="FM136" s="863"/>
      <c r="FN136" s="863"/>
      <c r="FO136" s="863"/>
      <c r="FP136" s="427">
        <f t="array" ref="FP136">IF(SUM((FO136=$FO$3:FO135)*1)=0,FO136,0)</f>
        <v>0</v>
      </c>
      <c r="FQ136" s="863"/>
      <c r="FR136" s="863"/>
      <c r="FS136" s="863">
        <f t="array" ref="FS136">IF(SUM((FR136=$FR$3:FR135)*1)=0,FR136,0)</f>
        <v>0</v>
      </c>
      <c r="FT136" s="863"/>
      <c r="FU136" s="863"/>
      <c r="FV136" s="863"/>
      <c r="FW136" s="427">
        <f t="array" ref="FW136">IF(SUM((FV136=$FV$3:FV135)*1)=0,FV136,0)</f>
        <v>0</v>
      </c>
      <c r="FX136" s="863"/>
      <c r="FY136" s="863"/>
      <c r="FZ136" s="863">
        <f t="array" ref="FZ136">IF(SUM((FY136=$FY$3:FY135)*1)=0,FY136,0)</f>
        <v>0</v>
      </c>
      <c r="GA136" s="863"/>
      <c r="GB136" s="863"/>
      <c r="GC136" s="863"/>
      <c r="GD136" s="427">
        <f t="array" ref="GD136">IF(SUM((GC136=$GC$3:GC135)*1)=0,GC136,0)</f>
        <v>0</v>
      </c>
      <c r="GE136" s="863"/>
      <c r="GF136" s="863"/>
      <c r="GG136" s="863">
        <f t="array" ref="GG136">IF(SUM((GF136=$GF$3:GF135)*1)=0,GF136,0)</f>
        <v>0</v>
      </c>
      <c r="GH136" s="863"/>
      <c r="GI136" s="863"/>
      <c r="GJ136" s="863"/>
      <c r="GK136" s="798">
        <f t="array" ref="GK136">IF(SUM((GJ136=$GJ$3:GJ135)*1)=0,GJ136,0)</f>
        <v>0</v>
      </c>
      <c r="GL136" s="863"/>
      <c r="GM136" s="863"/>
      <c r="GN136" s="798">
        <f t="array" ref="GN136">IF(SUM((GM136=$GM$3:GM135)*1)=0,GM136,0)</f>
        <v>0</v>
      </c>
      <c r="GO136" s="863"/>
      <c r="GP136" s="863"/>
      <c r="GQ136" s="863"/>
      <c r="GR136" s="798">
        <f t="array" ref="GR136">IF(SUM((GQ136=$GQ$3:GQ135)*1)=0,GQ136,0)</f>
        <v>0</v>
      </c>
      <c r="GS136" s="863"/>
      <c r="GT136" s="863"/>
      <c r="GU136" s="798">
        <f t="array" ref="GU136">IF(SUM((GT136=$GT$3:GT135)*1)=0,GT136,0)</f>
        <v>0</v>
      </c>
      <c r="GV136" s="863"/>
      <c r="GW136" s="863"/>
      <c r="GX136" s="863"/>
      <c r="GY136" s="798">
        <f t="array" ref="GY136">IF(SUM((GX136=$GX$3:GX135)*1)=0,GX136,0)</f>
        <v>0</v>
      </c>
      <c r="GZ136" s="863"/>
      <c r="HA136" s="863"/>
      <c r="HB136" s="798">
        <f t="array" ref="HB136">IF(SUM((HA136=$HA$3:HA135)*1)=0,HA136,0)</f>
        <v>0</v>
      </c>
      <c r="HC136" s="863"/>
      <c r="HD136" s="863"/>
      <c r="HE136" s="769" t="str">
        <f t="shared" si="1667"/>
        <v/>
      </c>
      <c r="HF136" s="768" t="str">
        <f t="shared" ref="HF136" si="1697">IF(HE136&lt;0,"Invadiu REP-BA-C","")</f>
        <v/>
      </c>
      <c r="HG136" s="769" t="str">
        <f t="shared" si="1669"/>
        <v/>
      </c>
      <c r="HH136" s="768" t="str">
        <f t="shared" si="1593"/>
        <v/>
      </c>
      <c r="HI136" s="728" t="str">
        <f t="shared" si="1670"/>
        <v/>
      </c>
      <c r="HJ136" s="768" t="str">
        <f t="shared" si="1594"/>
        <v/>
      </c>
      <c r="HK136" s="728" t="str">
        <f t="shared" si="1671"/>
        <v/>
      </c>
      <c r="HL136" s="768" t="str">
        <f t="shared" si="1595"/>
        <v/>
      </c>
      <c r="HM136" s="769" t="str">
        <f t="shared" si="1596"/>
        <v/>
      </c>
      <c r="HN136" s="768" t="str">
        <f t="shared" ref="HN136" si="1698">IF(HM136&lt;0,"Invadiu REP-BA-C","")</f>
        <v/>
      </c>
      <c r="HO136" s="769" t="str">
        <f t="shared" si="1598"/>
        <v/>
      </c>
      <c r="HP136" s="768" t="str">
        <f t="shared" si="1599"/>
        <v/>
      </c>
      <c r="HQ136" s="728" t="str">
        <f t="shared" si="1600"/>
        <v/>
      </c>
      <c r="HR136" s="768" t="str">
        <f t="shared" si="1601"/>
        <v/>
      </c>
      <c r="HS136" s="728" t="str">
        <f t="shared" si="1602"/>
        <v/>
      </c>
      <c r="HT136" s="768" t="str">
        <f t="shared" si="1603"/>
        <v/>
      </c>
      <c r="HU136" s="769" t="str">
        <f t="shared" si="1604"/>
        <v/>
      </c>
      <c r="HV136" s="768" t="str">
        <f t="shared" ref="HV136" si="1699">IF(HU136&lt;0,"Invadiu REP-BA-C","")</f>
        <v/>
      </c>
      <c r="HW136" s="769" t="str">
        <f t="shared" si="1606"/>
        <v/>
      </c>
      <c r="HX136" s="768" t="str">
        <f t="shared" si="1607"/>
        <v/>
      </c>
      <c r="HY136" s="728" t="str">
        <f t="shared" si="1608"/>
        <v/>
      </c>
      <c r="HZ136" s="768" t="str">
        <f t="shared" si="1609"/>
        <v/>
      </c>
      <c r="IA136" s="728" t="str">
        <f t="shared" si="1610"/>
        <v/>
      </c>
      <c r="IB136" s="768" t="str">
        <f t="shared" si="1611"/>
        <v/>
      </c>
      <c r="IC136" s="769" t="str">
        <f t="shared" si="1612"/>
        <v/>
      </c>
      <c r="ID136" s="768" t="str">
        <f t="shared" ref="ID136" si="1700">IF(IC136&lt;0,"Invadiu REP-BA-C","")</f>
        <v/>
      </c>
      <c r="IE136" s="769" t="str">
        <f t="shared" si="1614"/>
        <v/>
      </c>
      <c r="IF136" s="768" t="str">
        <f t="shared" si="1615"/>
        <v/>
      </c>
      <c r="IG136" s="728" t="str">
        <f t="shared" si="1616"/>
        <v/>
      </c>
      <c r="IH136" s="768" t="str">
        <f t="shared" si="1617"/>
        <v/>
      </c>
      <c r="II136" s="728" t="str">
        <f t="shared" si="1618"/>
        <v/>
      </c>
      <c r="IJ136" s="768" t="str">
        <f t="shared" si="1619"/>
        <v/>
      </c>
      <c r="IK136" s="769" t="str">
        <f t="shared" si="1620"/>
        <v/>
      </c>
      <c r="IL136" s="768" t="str">
        <f t="shared" ref="IL136" si="1701">IF(IK136&lt;0,"Invadiu REP-BA-C","")</f>
        <v/>
      </c>
      <c r="IM136" s="769" t="str">
        <f t="shared" si="1622"/>
        <v/>
      </c>
      <c r="IN136" s="768" t="str">
        <f t="shared" si="1623"/>
        <v/>
      </c>
      <c r="IO136" s="728" t="str">
        <f t="shared" si="1624"/>
        <v/>
      </c>
      <c r="IP136" s="768" t="str">
        <f t="shared" si="1625"/>
        <v/>
      </c>
      <c r="IQ136" s="728" t="str">
        <f t="shared" si="1626"/>
        <v/>
      </c>
      <c r="IR136" s="768" t="str">
        <f t="shared" si="1627"/>
        <v/>
      </c>
      <c r="IS136" s="769" t="str">
        <f t="shared" si="1628"/>
        <v/>
      </c>
      <c r="IT136" s="768" t="str">
        <f t="shared" ref="IT136" si="1702">IF(IS136&lt;0,"Invadiu REP-BA-C","")</f>
        <v/>
      </c>
      <c r="IU136" s="769" t="str">
        <f t="shared" si="1630"/>
        <v/>
      </c>
      <c r="IV136" s="768" t="str">
        <f t="shared" si="1631"/>
        <v/>
      </c>
      <c r="IW136" s="728" t="str">
        <f t="shared" si="1632"/>
        <v/>
      </c>
      <c r="IX136" s="768" t="str">
        <f t="shared" si="1633"/>
        <v/>
      </c>
      <c r="IY136" s="728" t="str">
        <f t="shared" si="1634"/>
        <v/>
      </c>
      <c r="IZ136" s="768" t="str">
        <f t="shared" si="1635"/>
        <v/>
      </c>
      <c r="JA136" s="769" t="str">
        <f t="shared" si="1636"/>
        <v/>
      </c>
      <c r="JB136" s="768" t="str">
        <f t="shared" ref="JB136" si="1703">IF(JA136&lt;0,"Invadiu REP-BA-C","")</f>
        <v/>
      </c>
      <c r="JC136" s="769" t="str">
        <f t="shared" si="1638"/>
        <v/>
      </c>
      <c r="JD136" s="768" t="str">
        <f t="shared" si="1639"/>
        <v/>
      </c>
      <c r="JE136" s="728" t="str">
        <f t="shared" si="1640"/>
        <v/>
      </c>
      <c r="JF136" s="768" t="str">
        <f t="shared" si="1641"/>
        <v/>
      </c>
      <c r="JG136" s="728" t="str">
        <f t="shared" si="1642"/>
        <v/>
      </c>
      <c r="JH136" s="768" t="str">
        <f t="shared" si="1643"/>
        <v/>
      </c>
      <c r="JI136" s="769" t="str">
        <f t="shared" si="1644"/>
        <v/>
      </c>
      <c r="JJ136" s="768" t="str">
        <f t="shared" ref="JJ136" si="1704">IF(JI136&lt;0,"Invadiu REP-BA-C","")</f>
        <v/>
      </c>
      <c r="JK136" s="769" t="str">
        <f t="shared" si="1646"/>
        <v/>
      </c>
      <c r="JL136" s="768" t="str">
        <f t="shared" si="1647"/>
        <v/>
      </c>
      <c r="JM136" s="728" t="str">
        <f t="shared" si="1648"/>
        <v/>
      </c>
      <c r="JN136" s="768" t="str">
        <f t="shared" si="1649"/>
        <v/>
      </c>
      <c r="JO136" s="728" t="str">
        <f t="shared" si="1650"/>
        <v/>
      </c>
      <c r="JP136" s="768" t="str">
        <f t="shared" si="1651"/>
        <v/>
      </c>
      <c r="JQ136" s="769" t="str">
        <f t="shared" si="1652"/>
        <v/>
      </c>
      <c r="JR136" s="768" t="str">
        <f t="shared" ref="JR136" si="1705">IF(JQ136&lt;0,"Invadiu REP-BA-C","")</f>
        <v/>
      </c>
      <c r="JS136" s="769" t="str">
        <f t="shared" si="1654"/>
        <v/>
      </c>
      <c r="JT136" s="768" t="str">
        <f t="shared" si="1655"/>
        <v/>
      </c>
      <c r="JU136" s="728" t="str">
        <f t="shared" si="1656"/>
        <v/>
      </c>
      <c r="JV136" s="768" t="str">
        <f t="shared" si="1657"/>
        <v/>
      </c>
      <c r="JW136" s="728" t="str">
        <f t="shared" si="1658"/>
        <v/>
      </c>
      <c r="JX136" s="768" t="str">
        <f t="shared" si="1659"/>
        <v/>
      </c>
      <c r="JY136" s="768" t="str">
        <f t="shared" si="1660"/>
        <v/>
      </c>
      <c r="JZ136" s="485" t="str">
        <f>IF(JY136="","",IF(AND(C136=$C$164,JY136&lt;&gt;""),Verificarcpf(D136),IF(AND(C136=$C$165,JY136&lt;&gt;""),VerificarCNPJ(D136))))</f>
        <v/>
      </c>
      <c r="KA136" s="768" t="str">
        <f t="shared" si="1661"/>
        <v/>
      </c>
      <c r="KB136" s="485">
        <f t="shared" si="1662"/>
        <v>0</v>
      </c>
      <c r="KC136" s="768">
        <f t="shared" si="1663"/>
        <v>0</v>
      </c>
      <c r="KD136" s="485">
        <f t="shared" si="1664"/>
        <v>0</v>
      </c>
      <c r="KE136" s="448"/>
      <c r="KF136" s="548"/>
      <c r="KG136" s="548"/>
      <c r="KH136" s="548"/>
      <c r="KI136" s="548"/>
      <c r="KJ136" s="548" t="str">
        <f t="shared" si="1665"/>
        <v/>
      </c>
      <c r="KK136" s="548"/>
      <c r="KL136" s="548"/>
      <c r="KM136" s="548">
        <f t="array" ref="KM136">IF(SUM((KL136=$KL$3:KL135)*1)=0,KL136,0)</f>
        <v>0</v>
      </c>
      <c r="KN136" s="548"/>
      <c r="KO136" s="548"/>
      <c r="KP136" s="548"/>
      <c r="KQ136" s="548"/>
      <c r="KR136" s="548" t="str">
        <f t="shared" si="1666"/>
        <v/>
      </c>
      <c r="KS136" s="548"/>
      <c r="KT136" s="548"/>
      <c r="KU136" s="548"/>
      <c r="KV136" s="548"/>
      <c r="KW136" s="548"/>
      <c r="KX136" s="548"/>
      <c r="KY136" s="548"/>
      <c r="KZ136" s="548"/>
      <c r="LA136" s="548"/>
      <c r="LB136" s="548"/>
      <c r="LC136" s="485" t="str">
        <f t="shared" si="1680"/>
        <v/>
      </c>
      <c r="LD136" s="548"/>
      <c r="LE136" s="548"/>
      <c r="LF136" s="548"/>
      <c r="LG136" s="548"/>
      <c r="LH136" s="548"/>
      <c r="LI136" s="548"/>
      <c r="LJ136" s="548"/>
      <c r="LK136" s="548"/>
      <c r="LL136" s="548"/>
      <c r="LM136" s="548"/>
      <c r="LN136" s="548"/>
      <c r="LO136" s="548"/>
      <c r="LP136" s="485" t="str">
        <f t="shared" si="1681"/>
        <v/>
      </c>
      <c r="LQ136" s="548"/>
      <c r="LR136" s="548"/>
      <c r="LS136" s="548"/>
      <c r="LT136" s="548"/>
      <c r="LU136" s="548"/>
      <c r="LV136" s="548"/>
      <c r="LW136" s="548"/>
      <c r="LX136" s="548"/>
      <c r="LY136" s="548"/>
      <c r="LZ136" s="548"/>
      <c r="MA136" s="548"/>
      <c r="MB136" s="548"/>
      <c r="MC136" s="485" t="str">
        <f t="shared" si="1682"/>
        <v/>
      </c>
      <c r="MD136" s="548"/>
      <c r="ME136" s="548"/>
      <c r="MF136" s="548"/>
      <c r="MG136" s="548"/>
      <c r="MH136" s="548"/>
      <c r="MI136" s="548"/>
      <c r="MJ136" s="548"/>
      <c r="MK136" s="548"/>
      <c r="ML136" s="548"/>
      <c r="MM136" s="548"/>
      <c r="MN136" s="548"/>
      <c r="MO136" s="548"/>
      <c r="MP136" s="485" t="str">
        <f t="shared" si="1683"/>
        <v/>
      </c>
      <c r="MQ136" s="548"/>
      <c r="MR136" s="548"/>
      <c r="MS136" s="548"/>
      <c r="MT136" s="548"/>
      <c r="MU136" s="548"/>
      <c r="MV136" s="548"/>
      <c r="MW136" s="548"/>
      <c r="MX136" s="548"/>
      <c r="MY136" s="548"/>
      <c r="MZ136" s="548"/>
      <c r="NA136" s="548"/>
      <c r="NB136" s="548"/>
      <c r="NC136" s="485" t="str">
        <f t="shared" si="1684"/>
        <v/>
      </c>
      <c r="ND136" s="548"/>
      <c r="NE136" s="548"/>
      <c r="NF136" s="548"/>
      <c r="NG136" s="548"/>
      <c r="NH136" s="548"/>
      <c r="NI136" s="548"/>
      <c r="NJ136" s="548"/>
      <c r="NK136" s="548"/>
      <c r="NL136" s="548"/>
      <c r="NM136" s="548"/>
      <c r="NN136" s="548"/>
      <c r="NO136" s="548"/>
      <c r="NP136" s="485" t="str">
        <f t="shared" si="1685"/>
        <v/>
      </c>
      <c r="NQ136" s="548"/>
      <c r="NR136" s="548"/>
      <c r="NS136" s="548"/>
      <c r="NT136" s="548"/>
      <c r="NU136" s="548"/>
      <c r="NV136" s="548"/>
      <c r="NW136" s="548"/>
      <c r="NX136" s="548"/>
      <c r="NY136" s="548"/>
      <c r="NZ136" s="548"/>
      <c r="OA136" s="548"/>
      <c r="OB136" s="548"/>
      <c r="OC136" s="485" t="str">
        <f t="shared" si="1686"/>
        <v/>
      </c>
      <c r="OD136" s="548"/>
      <c r="OE136" s="548"/>
      <c r="OF136" s="548"/>
      <c r="OG136" s="548"/>
      <c r="OH136" s="548"/>
      <c r="OI136" s="548"/>
      <c r="OJ136" s="548"/>
      <c r="OK136" s="548"/>
      <c r="OL136" s="548"/>
      <c r="OM136" s="548"/>
      <c r="ON136" s="548"/>
      <c r="OO136" s="548"/>
      <c r="OP136" s="548"/>
      <c r="OQ136" s="548"/>
      <c r="OR136" s="548"/>
      <c r="OS136" s="548"/>
      <c r="OT136" s="548"/>
      <c r="OU136" s="548"/>
      <c r="OV136" s="548"/>
      <c r="OW136" s="548"/>
      <c r="OX136" s="548"/>
      <c r="OY136" s="548"/>
      <c r="OZ136" s="548"/>
      <c r="PA136" s="548"/>
      <c r="PB136" s="548"/>
      <c r="PC136" s="548"/>
      <c r="PD136" s="548"/>
      <c r="PE136" s="548"/>
      <c r="PF136" s="548"/>
      <c r="PG136" s="548"/>
      <c r="PH136" s="548"/>
      <c r="PI136" s="548"/>
      <c r="PJ136" s="548"/>
      <c r="PK136" s="548"/>
      <c r="PL136" s="548"/>
      <c r="PM136" s="548"/>
      <c r="PN136" s="548"/>
      <c r="PO136" s="548"/>
      <c r="PP136" s="548"/>
      <c r="PQ136" s="548"/>
      <c r="PR136" s="548"/>
      <c r="PS136" s="548"/>
      <c r="PT136" s="548"/>
      <c r="PU136" s="548"/>
      <c r="PV136" s="548"/>
      <c r="PW136" s="548"/>
      <c r="PX136" s="548"/>
      <c r="PY136" s="548"/>
      <c r="PZ136" s="548"/>
      <c r="QA136" s="548"/>
      <c r="QB136" s="548"/>
      <c r="QC136" s="548"/>
      <c r="QD136" s="548"/>
      <c r="QE136" s="548"/>
      <c r="QF136" s="548"/>
      <c r="QG136" s="548"/>
      <c r="QH136" s="548"/>
      <c r="QI136" s="548"/>
      <c r="QJ136" s="548"/>
      <c r="QK136" s="548"/>
      <c r="QL136" s="548"/>
      <c r="QM136" s="548"/>
      <c r="QN136" s="548"/>
      <c r="QO136" s="548"/>
      <c r="QP136" s="548"/>
      <c r="QQ136" s="1009"/>
      <c r="QR136" s="548"/>
      <c r="QS136" s="548"/>
      <c r="QT136" s="548"/>
      <c r="QU136" s="548"/>
      <c r="QV136" s="548"/>
      <c r="QW136" s="548"/>
      <c r="QX136" s="548"/>
      <c r="QY136" s="548"/>
      <c r="QZ136" s="548"/>
      <c r="RA136" s="548"/>
      <c r="RB136" s="548"/>
      <c r="RC136" s="548"/>
      <c r="RD136" s="548"/>
      <c r="RE136" s="548"/>
      <c r="RF136" s="548"/>
      <c r="RG136" s="548"/>
      <c r="RH136" s="548"/>
      <c r="RI136" s="548"/>
      <c r="RJ136" s="548"/>
      <c r="RK136" s="548"/>
      <c r="RL136" s="548"/>
      <c r="RM136" s="548"/>
      <c r="RN136" s="548"/>
      <c r="RO136" s="548"/>
      <c r="RP136" s="548"/>
      <c r="RQ136" s="548"/>
      <c r="RR136" s="548"/>
      <c r="RS136" s="548"/>
      <c r="RT136" s="548"/>
      <c r="RU136" s="548"/>
      <c r="RV136" s="548"/>
      <c r="RW136" s="548"/>
      <c r="RX136" s="548"/>
      <c r="RY136" s="548"/>
      <c r="RZ136" s="548"/>
      <c r="SA136" s="548"/>
      <c r="SB136" s="548"/>
      <c r="SC136" s="548"/>
      <c r="SD136" s="548"/>
      <c r="SE136" s="548"/>
      <c r="SF136" s="548"/>
      <c r="SG136" s="548"/>
      <c r="SH136" s="548"/>
      <c r="SI136" s="548"/>
      <c r="SJ136" s="548"/>
      <c r="SK136" s="548"/>
      <c r="SL136" s="548"/>
      <c r="SM136" s="548"/>
      <c r="SN136" s="548"/>
      <c r="SO136" s="548"/>
      <c r="SP136" s="548"/>
      <c r="SQ136" s="548"/>
      <c r="SR136" s="548"/>
      <c r="SS136" s="548"/>
      <c r="ST136" s="548"/>
      <c r="SU136" s="548"/>
      <c r="SV136" s="548"/>
      <c r="SW136" s="548"/>
      <c r="SX136" s="548"/>
      <c r="SY136" s="548"/>
      <c r="SZ136" s="548"/>
      <c r="TA136" s="548"/>
      <c r="TB136" s="548"/>
      <c r="TC136" s="548"/>
      <c r="TD136" s="548"/>
      <c r="TE136" s="548"/>
      <c r="TF136" s="548"/>
      <c r="TG136" s="548"/>
      <c r="TH136" s="548"/>
      <c r="TI136" s="548"/>
      <c r="TJ136" s="548"/>
      <c r="TK136" s="548"/>
      <c r="TL136" s="548"/>
      <c r="TM136" s="548"/>
      <c r="TN136" s="548"/>
      <c r="TO136" s="548"/>
      <c r="TP136" s="548"/>
      <c r="TQ136" s="548"/>
      <c r="TR136" s="548"/>
      <c r="TS136" s="548"/>
      <c r="TT136" s="548"/>
      <c r="TU136" s="548"/>
      <c r="TV136" s="548"/>
      <c r="TW136" s="548"/>
      <c r="TX136" s="548"/>
      <c r="TY136" s="548"/>
      <c r="TZ136" s="548"/>
      <c r="UA136" s="548"/>
      <c r="UB136" s="548"/>
      <c r="UC136" s="548"/>
      <c r="UD136" s="548"/>
      <c r="UE136" s="548"/>
      <c r="UF136" s="548"/>
      <c r="UG136" s="548"/>
      <c r="UH136" s="548"/>
      <c r="UI136" s="548"/>
      <c r="UJ136" s="548"/>
      <c r="UK136" s="548"/>
      <c r="UL136" s="548"/>
      <c r="UM136" s="548"/>
      <c r="UN136" s="548"/>
      <c r="UO136" s="548"/>
      <c r="UP136" s="548"/>
      <c r="UQ136" s="548"/>
      <c r="UR136" s="548"/>
      <c r="US136" s="548"/>
      <c r="UT136" s="548"/>
      <c r="UU136" s="548"/>
      <c r="UV136" s="548"/>
      <c r="UW136" s="548"/>
      <c r="UX136" s="548"/>
      <c r="UY136" s="548"/>
      <c r="UZ136" s="548"/>
      <c r="VA136" s="548"/>
      <c r="VB136" s="548"/>
      <c r="VC136" s="548"/>
      <c r="VD136" s="548"/>
      <c r="VE136" s="548"/>
      <c r="VF136" s="548"/>
      <c r="VG136" s="548"/>
      <c r="VH136" s="548"/>
      <c r="VI136" s="548"/>
      <c r="VJ136" s="548"/>
      <c r="VK136" s="548"/>
      <c r="VL136" s="548"/>
      <c r="VM136" s="548"/>
      <c r="VN136" s="548"/>
      <c r="VO136" s="548"/>
      <c r="VP136" s="548"/>
      <c r="VQ136" s="548"/>
      <c r="VR136" s="548"/>
      <c r="VS136" s="548"/>
      <c r="VT136" s="548"/>
      <c r="VU136" s="548"/>
      <c r="VV136" s="548"/>
      <c r="VW136" s="548"/>
      <c r="VX136" s="548"/>
      <c r="VY136" s="548"/>
      <c r="VZ136" s="548"/>
      <c r="WA136" s="548"/>
      <c r="WB136" s="548"/>
      <c r="WC136" s="548"/>
      <c r="WD136" s="548"/>
      <c r="WE136" s="548"/>
      <c r="WF136" s="548"/>
      <c r="WG136" s="548"/>
      <c r="WH136" s="548"/>
      <c r="WI136" s="548"/>
      <c r="WJ136" s="548"/>
      <c r="WK136" s="548"/>
      <c r="WL136" s="548"/>
      <c r="WM136" s="548"/>
      <c r="WN136" s="548"/>
      <c r="WO136" s="548"/>
      <c r="WP136" s="548"/>
      <c r="WQ136" s="548"/>
      <c r="WR136" s="548"/>
      <c r="WS136" s="548"/>
      <c r="WT136" s="548"/>
      <c r="WU136" s="548"/>
      <c r="WV136" s="548"/>
      <c r="WW136" s="548"/>
      <c r="WX136" s="548"/>
      <c r="WY136" s="548"/>
      <c r="WZ136" s="548"/>
      <c r="XA136" s="548"/>
      <c r="XB136" s="548"/>
      <c r="XC136" s="548"/>
      <c r="XD136" s="548"/>
      <c r="XE136" s="548"/>
      <c r="XF136" s="548"/>
      <c r="XG136" s="548"/>
      <c r="XH136" s="548"/>
      <c r="XI136" s="548"/>
      <c r="XJ136" s="548"/>
      <c r="XK136" s="548"/>
      <c r="XL136" s="548"/>
      <c r="XM136" s="548"/>
      <c r="XN136" s="548"/>
      <c r="XO136" s="548"/>
      <c r="XP136" s="548"/>
      <c r="XQ136" s="548"/>
      <c r="XR136" s="548"/>
      <c r="XS136" s="548"/>
      <c r="XT136" s="548"/>
      <c r="XU136" s="548"/>
      <c r="XV136" s="548"/>
      <c r="XW136" s="548"/>
      <c r="XX136" s="548"/>
      <c r="XY136" s="548"/>
      <c r="XZ136" s="548"/>
      <c r="YA136" s="548"/>
      <c r="YB136" s="548"/>
      <c r="YC136" s="548"/>
      <c r="YD136" s="548"/>
      <c r="YE136" s="548"/>
      <c r="YF136" s="548"/>
      <c r="YG136" s="548"/>
      <c r="YH136" s="548"/>
      <c r="YI136" s="548"/>
      <c r="YJ136" s="548"/>
      <c r="YK136" s="548"/>
      <c r="YL136" s="548"/>
      <c r="YM136" s="548"/>
      <c r="YN136" s="548"/>
      <c r="YO136" s="548"/>
      <c r="YP136" s="548"/>
      <c r="YQ136" s="548"/>
      <c r="YR136" s="548"/>
      <c r="YS136" s="548"/>
      <c r="YT136" s="548"/>
      <c r="YU136" s="548"/>
      <c r="YV136" s="548"/>
      <c r="YW136" s="548"/>
      <c r="YX136" s="548"/>
      <c r="YY136" s="548"/>
      <c r="YZ136" s="548"/>
      <c r="ZA136" s="548"/>
      <c r="ZB136" s="548"/>
      <c r="ZC136" s="548"/>
      <c r="ZD136" s="548"/>
      <c r="ZE136" s="548"/>
      <c r="ZF136" s="548"/>
      <c r="ZG136" s="548"/>
      <c r="ZH136" s="548"/>
      <c r="ZI136" s="548"/>
      <c r="ZJ136" s="548"/>
      <c r="ZK136" s="548"/>
      <c r="ZL136" s="548"/>
      <c r="ZM136" s="548"/>
      <c r="ZN136" s="548"/>
      <c r="ZO136" s="548"/>
      <c r="ZP136" s="548"/>
      <c r="ZQ136" s="548"/>
      <c r="ZR136" s="548"/>
      <c r="ZS136" s="548"/>
      <c r="ZT136" s="548"/>
      <c r="ZU136" s="548"/>
      <c r="ZV136" s="548"/>
      <c r="ZW136" s="548"/>
      <c r="ZX136" s="548"/>
      <c r="ZY136" s="548"/>
      <c r="ZZ136" s="548"/>
      <c r="AAA136" s="548"/>
      <c r="AAB136" s="548"/>
      <c r="AAC136" s="548"/>
      <c r="AAD136" s="548"/>
      <c r="AAE136" s="548"/>
      <c r="AAF136" s="548"/>
      <c r="AAG136" s="548"/>
      <c r="AAH136" s="548"/>
      <c r="AAI136" s="548"/>
      <c r="AAJ136" s="548"/>
      <c r="AAK136" s="548"/>
      <c r="AAL136" s="548"/>
      <c r="AAM136" s="548"/>
      <c r="AAN136" s="548"/>
      <c r="AAO136" s="548"/>
      <c r="AAP136" s="548"/>
      <c r="AAQ136" s="548"/>
      <c r="AAR136" s="548"/>
      <c r="AAS136" s="548"/>
      <c r="AAT136" s="548"/>
      <c r="AAU136" s="548"/>
      <c r="AAV136" s="548"/>
      <c r="AAW136" s="548"/>
      <c r="AAX136" s="548"/>
      <c r="AAY136" s="548"/>
      <c r="AAZ136" s="548"/>
      <c r="ABA136" s="548"/>
      <c r="ABB136" s="548"/>
      <c r="ABC136" s="548"/>
      <c r="ABD136" s="548"/>
      <c r="ABE136" s="548"/>
      <c r="ABF136" s="548"/>
      <c r="ABG136" s="548"/>
      <c r="ABH136" s="548"/>
      <c r="ABI136" s="548"/>
      <c r="ABJ136" s="548"/>
      <c r="ABK136" s="548"/>
      <c r="ABL136" s="548"/>
      <c r="ABM136" s="548"/>
      <c r="ABN136" s="548"/>
      <c r="ABO136" s="548"/>
      <c r="ABP136" s="548"/>
      <c r="ABQ136" s="548"/>
      <c r="ABR136" s="548"/>
      <c r="ABS136" s="548"/>
    </row>
    <row r="137" spans="1:747" customFormat="1" ht="15" customHeight="1" x14ac:dyDescent="0.2">
      <c r="A137" s="424" t="str">
        <f t="shared" si="1687"/>
        <v/>
      </c>
      <c r="B137" s="415"/>
      <c r="C137" s="525"/>
      <c r="D137" s="750"/>
      <c r="E137" s="416" t="str">
        <f t="shared" si="1529"/>
        <v/>
      </c>
      <c r="F137" s="527" t="str">
        <f t="shared" si="1530"/>
        <v/>
      </c>
      <c r="G137" s="417"/>
      <c r="H137" s="585" t="str">
        <f t="shared" si="1531"/>
        <v/>
      </c>
      <c r="I137" s="424"/>
      <c r="J137" s="419"/>
      <c r="K137" s="418"/>
      <c r="L137" s="419"/>
      <c r="M137" s="415"/>
      <c r="N137" s="420"/>
      <c r="O137" s="421"/>
      <c r="P137" s="561"/>
      <c r="Q137" s="422"/>
      <c r="R137" s="561" t="str">
        <f t="shared" si="1532"/>
        <v/>
      </c>
      <c r="S137" s="664"/>
      <c r="T137" s="663"/>
      <c r="U137" s="580">
        <f t="shared" si="1533"/>
        <v>0</v>
      </c>
      <c r="V137" s="418"/>
      <c r="W137" s="582" t="str">
        <f t="shared" si="1534"/>
        <v/>
      </c>
      <c r="X137" s="479" t="str">
        <f t="shared" si="1535"/>
        <v/>
      </c>
      <c r="Y137" s="582" t="str">
        <f t="shared" si="1536"/>
        <v/>
      </c>
      <c r="Z137" s="317" t="str">
        <f t="shared" si="1537"/>
        <v/>
      </c>
      <c r="AA137" s="317" t="str">
        <f t="shared" si="1538"/>
        <v/>
      </c>
      <c r="AB137" s="317">
        <f t="shared" si="1539"/>
        <v>0</v>
      </c>
      <c r="AC137" s="317" t="str">
        <f t="shared" si="1540"/>
        <v/>
      </c>
      <c r="AD137" s="479"/>
      <c r="AE137" s="479"/>
      <c r="AF137" s="479"/>
      <c r="AG137" s="423"/>
      <c r="AH137" s="820"/>
      <c r="AI137" s="437"/>
      <c r="AJ137" s="660"/>
      <c r="AK137" s="524" t="str">
        <f t="shared" si="1541"/>
        <v/>
      </c>
      <c r="AL137" s="731">
        <f>SUMIF($J$4:$J$46,"Livre Aplic.",$S$4:$S$46)</f>
        <v>0</v>
      </c>
      <c r="AM137" s="732">
        <f>SUMIF($J$4:$J$46,"Livre Aplic.",$T$4:$T$46)</f>
        <v>0</v>
      </c>
      <c r="AN137" s="426">
        <f t="shared" si="1542"/>
        <v>0</v>
      </c>
      <c r="AO137" s="427" t="str">
        <f t="shared" si="1543"/>
        <v/>
      </c>
      <c r="AP137" s="426" t="str">
        <f t="shared" si="1544"/>
        <v/>
      </c>
      <c r="AQ137" s="426"/>
      <c r="AR137" s="426"/>
      <c r="AS137" s="428"/>
      <c r="AT137" s="429"/>
      <c r="AU137" s="430"/>
      <c r="AV137" s="431"/>
      <c r="AW137" s="432"/>
      <c r="AX137" s="430"/>
      <c r="AY137" s="431">
        <f t="shared" si="1545"/>
        <v>0</v>
      </c>
      <c r="AZ137" s="426"/>
      <c r="BA137" s="435" t="str">
        <f t="shared" si="1546"/>
        <v/>
      </c>
      <c r="BB137" s="435"/>
      <c r="BC137" s="426"/>
      <c r="BD137" s="426">
        <f t="array" ref="BD137">IF(SUM((BC137=$BC$3:BC136)*1)=0,BC137,0)</f>
        <v>0</v>
      </c>
      <c r="BE137" s="426"/>
      <c r="BF137" s="426"/>
      <c r="BG137" s="426">
        <f t="array" ref="BG137">IF(SUM((BF137=$BF$3:BF136)*1)=0,BF137,0)</f>
        <v>0</v>
      </c>
      <c r="BH137" s="426"/>
      <c r="BI137" s="426"/>
      <c r="BJ137" s="426"/>
      <c r="BK137" s="426"/>
      <c r="BL137" s="426"/>
      <c r="BM137" s="426"/>
      <c r="BN137" s="426"/>
      <c r="BO137" s="426"/>
      <c r="BP137" s="433">
        <f t="shared" si="1547"/>
        <v>0</v>
      </c>
      <c r="BQ137" s="426"/>
      <c r="BR137" s="434"/>
      <c r="BS137" s="426"/>
      <c r="BT137" s="433"/>
      <c r="BU137" s="435"/>
      <c r="BV137" s="435" t="str">
        <f t="shared" si="1548"/>
        <v/>
      </c>
      <c r="BW137" s="435" t="str">
        <f t="shared" si="1576"/>
        <v/>
      </c>
      <c r="BX137" s="435"/>
      <c r="BY137" s="435"/>
      <c r="BZ137" s="435"/>
      <c r="CA137" s="435"/>
      <c r="CB137" s="435"/>
      <c r="CC137" s="435"/>
      <c r="CD137" s="435"/>
      <c r="CE137" s="435"/>
      <c r="CF137" s="435"/>
      <c r="CG137" s="435"/>
      <c r="CH137" s="435"/>
      <c r="CI137" s="435"/>
      <c r="CJ137" s="426" t="str">
        <f t="shared" si="1577"/>
        <v/>
      </c>
      <c r="CK137" s="435"/>
      <c r="CL137" s="426"/>
      <c r="CM137" s="435"/>
      <c r="CN137" s="426"/>
      <c r="CO137" s="426"/>
      <c r="CP137" s="426"/>
      <c r="CQ137" s="426"/>
      <c r="CR137" s="426"/>
      <c r="CS137" s="426"/>
      <c r="CT137" s="426"/>
      <c r="CU137" s="426"/>
      <c r="CV137" s="426"/>
      <c r="CW137" s="493"/>
      <c r="CX137" s="493"/>
      <c r="CY137" s="426">
        <v>134</v>
      </c>
      <c r="CZ137" s="493"/>
      <c r="DA137" s="493"/>
      <c r="DB137" s="493"/>
      <c r="DC137" s="426" t="s">
        <v>877</v>
      </c>
      <c r="DD137" s="426" t="s">
        <v>1037</v>
      </c>
      <c r="DE137" s="435" t="str">
        <f t="shared" si="1578"/>
        <v/>
      </c>
      <c r="DF137" s="435" t="str">
        <f t="shared" si="1579"/>
        <v/>
      </c>
      <c r="DG137" s="435" t="str">
        <f t="shared" si="1580"/>
        <v/>
      </c>
      <c r="DH137" s="435" t="str">
        <f t="shared" si="1581"/>
        <v/>
      </c>
      <c r="DI137" s="435" t="str">
        <f t="shared" si="1582"/>
        <v/>
      </c>
      <c r="DJ137" s="435" t="str">
        <f t="shared" si="1583"/>
        <v/>
      </c>
      <c r="DK137" s="435" t="str">
        <f t="shared" si="1549"/>
        <v/>
      </c>
      <c r="DL137" s="435" t="str">
        <f t="shared" si="1550"/>
        <v/>
      </c>
      <c r="DM137" s="435" t="str">
        <f t="shared" si="1584"/>
        <v/>
      </c>
      <c r="DN137" s="435" t="str">
        <f t="shared" si="1585"/>
        <v/>
      </c>
      <c r="DO137" s="435" t="str">
        <f t="shared" si="1551"/>
        <v/>
      </c>
      <c r="DP137" s="435" t="str">
        <f t="shared" si="1552"/>
        <v/>
      </c>
      <c r="DQ137" s="435" t="str">
        <f t="shared" si="1586"/>
        <v/>
      </c>
      <c r="DR137" s="435" t="str">
        <f t="shared" si="1587"/>
        <v/>
      </c>
      <c r="DS137" s="435" t="str">
        <f t="shared" si="1553"/>
        <v/>
      </c>
      <c r="DT137" s="435" t="str">
        <f t="shared" si="1554"/>
        <v/>
      </c>
      <c r="DU137" s="435" t="str">
        <f t="shared" si="1588"/>
        <v/>
      </c>
      <c r="DV137" s="435" t="str">
        <f t="shared" si="1589"/>
        <v/>
      </c>
      <c r="DW137" s="435" t="str">
        <f t="shared" si="1555"/>
        <v/>
      </c>
      <c r="DX137" s="435" t="str">
        <f t="shared" si="1556"/>
        <v/>
      </c>
      <c r="DY137" s="435" t="str">
        <f t="shared" si="1590"/>
        <v/>
      </c>
      <c r="DZ137" s="435" t="str">
        <f t="shared" si="1591"/>
        <v/>
      </c>
      <c r="EA137" s="435" t="str">
        <f t="shared" si="1557"/>
        <v/>
      </c>
      <c r="EB137" s="435" t="str">
        <f t="shared" si="1558"/>
        <v/>
      </c>
      <c r="EC137" s="435" t="str">
        <f t="shared" si="1559"/>
        <v/>
      </c>
      <c r="ED137" s="435" t="str">
        <f t="shared" si="1560"/>
        <v/>
      </c>
      <c r="EE137" s="435" t="str">
        <f t="shared" si="1561"/>
        <v/>
      </c>
      <c r="EF137" s="435" t="str">
        <f t="shared" si="1562"/>
        <v/>
      </c>
      <c r="EG137" s="435" t="str">
        <f t="shared" si="1563"/>
        <v/>
      </c>
      <c r="EH137" s="435" t="str">
        <f t="shared" si="1564"/>
        <v/>
      </c>
      <c r="EI137" s="435" t="str">
        <f t="shared" si="1565"/>
        <v/>
      </c>
      <c r="EJ137" s="435" t="str">
        <f t="shared" si="1566"/>
        <v/>
      </c>
      <c r="EK137" s="485"/>
      <c r="EL137" s="485"/>
      <c r="EM137" s="485"/>
      <c r="EN137" s="485"/>
      <c r="EO137" s="448"/>
      <c r="EP137" s="448"/>
      <c r="EQ137" s="448"/>
      <c r="ER137" s="448"/>
      <c r="ES137" s="448"/>
      <c r="ET137" s="435"/>
      <c r="EU137" s="435"/>
      <c r="EV137" s="435"/>
      <c r="EW137" s="435"/>
      <c r="EX137" s="426"/>
      <c r="EY137" s="426"/>
      <c r="EZ137" s="426"/>
      <c r="FA137" s="863"/>
      <c r="FB137" s="427">
        <f t="array" ref="FB137">IF(SUM((FA137=$FA$3:FA136)*1)=0,FA137,0)</f>
        <v>0</v>
      </c>
      <c r="FC137" s="863"/>
      <c r="FD137" s="863"/>
      <c r="FE137" s="863">
        <f t="array" ref="FE137">IF(SUM((FD137=$FD$3:FD136)*1)=0,FD137,0)</f>
        <v>0</v>
      </c>
      <c r="FF137" s="863"/>
      <c r="FG137" s="863"/>
      <c r="FH137" s="863"/>
      <c r="FI137" s="427">
        <f t="array" ref="FI137">IF(SUM((FH137=$FH$3:FH136)*1)=0,FH137,0)</f>
        <v>0</v>
      </c>
      <c r="FJ137" s="863"/>
      <c r="FK137" s="863"/>
      <c r="FL137" s="863">
        <f t="array" ref="FL137">IF(SUM((FK137=$FK$3:FK136)*1)=0,FK137,0)</f>
        <v>0</v>
      </c>
      <c r="FM137" s="863"/>
      <c r="FN137" s="863"/>
      <c r="FO137" s="863"/>
      <c r="FP137" s="427">
        <f t="array" ref="FP137">IF(SUM((FO137=$FO$3:FO136)*1)=0,FO137,0)</f>
        <v>0</v>
      </c>
      <c r="FQ137" s="863"/>
      <c r="FR137" s="863"/>
      <c r="FS137" s="863">
        <f t="array" ref="FS137">IF(SUM((FR137=$FR$3:FR136)*1)=0,FR137,0)</f>
        <v>0</v>
      </c>
      <c r="FT137" s="863"/>
      <c r="FU137" s="863"/>
      <c r="FV137" s="863"/>
      <c r="FW137" s="427">
        <f t="array" ref="FW137">IF(SUM((FV137=$FV$3:FV136)*1)=0,FV137,0)</f>
        <v>0</v>
      </c>
      <c r="FX137" s="863"/>
      <c r="FY137" s="863"/>
      <c r="FZ137" s="863">
        <f t="array" ref="FZ137">IF(SUM((FY137=$FY$3:FY136)*1)=0,FY137,0)</f>
        <v>0</v>
      </c>
      <c r="GA137" s="863"/>
      <c r="GB137" s="863"/>
      <c r="GC137" s="863"/>
      <c r="GD137" s="427">
        <f t="array" ref="GD137">IF(SUM((GC137=$GC$3:GC136)*1)=0,GC137,0)</f>
        <v>0</v>
      </c>
      <c r="GE137" s="863"/>
      <c r="GF137" s="863"/>
      <c r="GG137" s="863">
        <f t="array" ref="GG137">IF(SUM((GF137=$GF$3:GF136)*1)=0,GF137,0)</f>
        <v>0</v>
      </c>
      <c r="GH137" s="863"/>
      <c r="GI137" s="863"/>
      <c r="GJ137" s="863"/>
      <c r="GK137" s="798">
        <f t="array" ref="GK137">IF(SUM((GJ137=$GJ$3:GJ136)*1)=0,GJ137,0)</f>
        <v>0</v>
      </c>
      <c r="GL137" s="863"/>
      <c r="GM137" s="863"/>
      <c r="GN137" s="798">
        <f t="array" ref="GN137">IF(SUM((GM137=$GM$3:GM136)*1)=0,GM137,0)</f>
        <v>0</v>
      </c>
      <c r="GO137" s="863"/>
      <c r="GP137" s="863"/>
      <c r="GQ137" s="863"/>
      <c r="GR137" s="798">
        <f t="array" ref="GR137">IF(SUM((GQ137=$GQ$3:GQ136)*1)=0,GQ137,0)</f>
        <v>0</v>
      </c>
      <c r="GS137" s="863"/>
      <c r="GT137" s="863"/>
      <c r="GU137" s="798">
        <f t="array" ref="GU137">IF(SUM((GT137=$GT$3:GT136)*1)=0,GT137,0)</f>
        <v>0</v>
      </c>
      <c r="GV137" s="863"/>
      <c r="GW137" s="863"/>
      <c r="GX137" s="863"/>
      <c r="GY137" s="798">
        <f t="array" ref="GY137">IF(SUM((GX137=$GX$3:GX136)*1)=0,GX137,0)</f>
        <v>0</v>
      </c>
      <c r="GZ137" s="863"/>
      <c r="HA137" s="863"/>
      <c r="HB137" s="798">
        <f t="array" ref="HB137">IF(SUM((HA137=$HA$3:HA136)*1)=0,HA137,0)</f>
        <v>0</v>
      </c>
      <c r="HC137" s="863"/>
      <c r="HD137" s="863"/>
      <c r="HE137" s="769" t="str">
        <f t="shared" si="1667"/>
        <v/>
      </c>
      <c r="HF137" s="768" t="str">
        <f t="shared" ref="HF137" si="1706">IF(HE137&lt;0,"Invadiu REP-BA-C","")</f>
        <v/>
      </c>
      <c r="HG137" s="769" t="str">
        <f t="shared" si="1669"/>
        <v/>
      </c>
      <c r="HH137" s="768" t="str">
        <f t="shared" si="1593"/>
        <v/>
      </c>
      <c r="HI137" s="728" t="str">
        <f t="shared" si="1670"/>
        <v/>
      </c>
      <c r="HJ137" s="768" t="str">
        <f t="shared" si="1594"/>
        <v/>
      </c>
      <c r="HK137" s="728" t="str">
        <f t="shared" si="1671"/>
        <v/>
      </c>
      <c r="HL137" s="768" t="str">
        <f t="shared" si="1595"/>
        <v/>
      </c>
      <c r="HM137" s="769" t="str">
        <f t="shared" si="1596"/>
        <v/>
      </c>
      <c r="HN137" s="768" t="str">
        <f t="shared" ref="HN137" si="1707">IF(HM137&lt;0,"Invadiu REP-BA-C","")</f>
        <v/>
      </c>
      <c r="HO137" s="769" t="str">
        <f t="shared" si="1598"/>
        <v/>
      </c>
      <c r="HP137" s="768" t="str">
        <f t="shared" si="1599"/>
        <v/>
      </c>
      <c r="HQ137" s="728" t="str">
        <f t="shared" si="1600"/>
        <v/>
      </c>
      <c r="HR137" s="768" t="str">
        <f t="shared" si="1601"/>
        <v/>
      </c>
      <c r="HS137" s="728" t="str">
        <f t="shared" si="1602"/>
        <v/>
      </c>
      <c r="HT137" s="768" t="str">
        <f t="shared" si="1603"/>
        <v/>
      </c>
      <c r="HU137" s="769" t="str">
        <f t="shared" si="1604"/>
        <v/>
      </c>
      <c r="HV137" s="768" t="str">
        <f t="shared" ref="HV137" si="1708">IF(HU137&lt;0,"Invadiu REP-BA-C","")</f>
        <v/>
      </c>
      <c r="HW137" s="769" t="str">
        <f t="shared" si="1606"/>
        <v/>
      </c>
      <c r="HX137" s="768" t="str">
        <f t="shared" si="1607"/>
        <v/>
      </c>
      <c r="HY137" s="728" t="str">
        <f t="shared" si="1608"/>
        <v/>
      </c>
      <c r="HZ137" s="768" t="str">
        <f t="shared" si="1609"/>
        <v/>
      </c>
      <c r="IA137" s="728" t="str">
        <f t="shared" si="1610"/>
        <v/>
      </c>
      <c r="IB137" s="768" t="str">
        <f t="shared" si="1611"/>
        <v/>
      </c>
      <c r="IC137" s="769" t="str">
        <f t="shared" si="1612"/>
        <v/>
      </c>
      <c r="ID137" s="768" t="str">
        <f t="shared" ref="ID137" si="1709">IF(IC137&lt;0,"Invadiu REP-BA-C","")</f>
        <v/>
      </c>
      <c r="IE137" s="769" t="str">
        <f t="shared" si="1614"/>
        <v/>
      </c>
      <c r="IF137" s="768" t="str">
        <f t="shared" si="1615"/>
        <v/>
      </c>
      <c r="IG137" s="728" t="str">
        <f t="shared" si="1616"/>
        <v/>
      </c>
      <c r="IH137" s="768" t="str">
        <f t="shared" si="1617"/>
        <v/>
      </c>
      <c r="II137" s="728" t="str">
        <f t="shared" si="1618"/>
        <v/>
      </c>
      <c r="IJ137" s="768" t="str">
        <f t="shared" si="1619"/>
        <v/>
      </c>
      <c r="IK137" s="769" t="str">
        <f t="shared" si="1620"/>
        <v/>
      </c>
      <c r="IL137" s="768" t="str">
        <f t="shared" ref="IL137" si="1710">IF(IK137&lt;0,"Invadiu REP-BA-C","")</f>
        <v/>
      </c>
      <c r="IM137" s="769" t="str">
        <f t="shared" si="1622"/>
        <v/>
      </c>
      <c r="IN137" s="768" t="str">
        <f t="shared" si="1623"/>
        <v/>
      </c>
      <c r="IO137" s="728" t="str">
        <f t="shared" si="1624"/>
        <v/>
      </c>
      <c r="IP137" s="768" t="str">
        <f t="shared" si="1625"/>
        <v/>
      </c>
      <c r="IQ137" s="728" t="str">
        <f t="shared" si="1626"/>
        <v/>
      </c>
      <c r="IR137" s="768" t="str">
        <f t="shared" si="1627"/>
        <v/>
      </c>
      <c r="IS137" s="769" t="str">
        <f t="shared" si="1628"/>
        <v/>
      </c>
      <c r="IT137" s="768" t="str">
        <f t="shared" ref="IT137" si="1711">IF(IS137&lt;0,"Invadiu REP-BA-C","")</f>
        <v/>
      </c>
      <c r="IU137" s="769" t="str">
        <f t="shared" si="1630"/>
        <v/>
      </c>
      <c r="IV137" s="768" t="str">
        <f t="shared" si="1631"/>
        <v/>
      </c>
      <c r="IW137" s="728" t="str">
        <f t="shared" si="1632"/>
        <v/>
      </c>
      <c r="IX137" s="768" t="str">
        <f t="shared" si="1633"/>
        <v/>
      </c>
      <c r="IY137" s="728" t="str">
        <f t="shared" si="1634"/>
        <v/>
      </c>
      <c r="IZ137" s="768" t="str">
        <f t="shared" si="1635"/>
        <v/>
      </c>
      <c r="JA137" s="769" t="str">
        <f t="shared" si="1636"/>
        <v/>
      </c>
      <c r="JB137" s="768" t="str">
        <f t="shared" ref="JB137" si="1712">IF(JA137&lt;0,"Invadiu REP-BA-C","")</f>
        <v/>
      </c>
      <c r="JC137" s="769" t="str">
        <f t="shared" si="1638"/>
        <v/>
      </c>
      <c r="JD137" s="768" t="str">
        <f t="shared" si="1639"/>
        <v/>
      </c>
      <c r="JE137" s="728" t="str">
        <f t="shared" si="1640"/>
        <v/>
      </c>
      <c r="JF137" s="768" t="str">
        <f t="shared" si="1641"/>
        <v/>
      </c>
      <c r="JG137" s="728" t="str">
        <f t="shared" si="1642"/>
        <v/>
      </c>
      <c r="JH137" s="768" t="str">
        <f t="shared" si="1643"/>
        <v/>
      </c>
      <c r="JI137" s="769" t="str">
        <f t="shared" si="1644"/>
        <v/>
      </c>
      <c r="JJ137" s="768" t="str">
        <f t="shared" ref="JJ137" si="1713">IF(JI137&lt;0,"Invadiu REP-BA-C","")</f>
        <v/>
      </c>
      <c r="JK137" s="769" t="str">
        <f t="shared" si="1646"/>
        <v/>
      </c>
      <c r="JL137" s="768" t="str">
        <f t="shared" si="1647"/>
        <v/>
      </c>
      <c r="JM137" s="728" t="str">
        <f t="shared" si="1648"/>
        <v/>
      </c>
      <c r="JN137" s="768" t="str">
        <f t="shared" si="1649"/>
        <v/>
      </c>
      <c r="JO137" s="728" t="str">
        <f t="shared" si="1650"/>
        <v/>
      </c>
      <c r="JP137" s="768" t="str">
        <f t="shared" si="1651"/>
        <v/>
      </c>
      <c r="JQ137" s="769" t="str">
        <f t="shared" si="1652"/>
        <v/>
      </c>
      <c r="JR137" s="768" t="str">
        <f t="shared" ref="JR137" si="1714">IF(JQ137&lt;0,"Invadiu REP-BA-C","")</f>
        <v/>
      </c>
      <c r="JS137" s="769" t="str">
        <f t="shared" si="1654"/>
        <v/>
      </c>
      <c r="JT137" s="768" t="str">
        <f t="shared" si="1655"/>
        <v/>
      </c>
      <c r="JU137" s="728" t="str">
        <f t="shared" si="1656"/>
        <v/>
      </c>
      <c r="JV137" s="768" t="str">
        <f t="shared" si="1657"/>
        <v/>
      </c>
      <c r="JW137" s="728" t="str">
        <f t="shared" si="1658"/>
        <v/>
      </c>
      <c r="JX137" s="768" t="str">
        <f t="shared" si="1659"/>
        <v/>
      </c>
      <c r="JY137" s="768" t="str">
        <f t="shared" si="1660"/>
        <v/>
      </c>
      <c r="JZ137" s="485" t="str">
        <f>IF(JY137="","",IF(AND(C137=$C$164,JY137&lt;&gt;""),Verificarcpf(D137),IF(AND(C137=$C$165,JY137&lt;&gt;""),VerificarCNPJ(D137))))</f>
        <v/>
      </c>
      <c r="KA137" s="768" t="str">
        <f t="shared" si="1661"/>
        <v/>
      </c>
      <c r="KB137" s="485">
        <f t="shared" si="1662"/>
        <v>0</v>
      </c>
      <c r="KC137" s="768">
        <f t="shared" si="1663"/>
        <v>0</v>
      </c>
      <c r="KD137" s="485">
        <f t="shared" si="1664"/>
        <v>0</v>
      </c>
      <c r="KE137" s="448"/>
      <c r="KF137" s="548"/>
      <c r="KG137" s="548"/>
      <c r="KH137" s="548"/>
      <c r="KI137" s="548"/>
      <c r="KJ137" s="548" t="str">
        <f t="shared" si="1665"/>
        <v/>
      </c>
      <c r="KK137" s="548"/>
      <c r="KL137" s="548"/>
      <c r="KM137" s="548">
        <f t="array" ref="KM137">IF(SUM((KL137=$KL$3:KL136)*1)=0,KL137,0)</f>
        <v>0</v>
      </c>
      <c r="KN137" s="548"/>
      <c r="KO137" s="548"/>
      <c r="KP137" s="548"/>
      <c r="KQ137" s="548"/>
      <c r="KR137" s="548" t="str">
        <f t="shared" si="1666"/>
        <v/>
      </c>
      <c r="KS137" s="548"/>
      <c r="KT137" s="548"/>
      <c r="KU137" s="548"/>
      <c r="KV137" s="548"/>
      <c r="KW137" s="548"/>
      <c r="KX137" s="548"/>
      <c r="KY137" s="548"/>
      <c r="KZ137" s="548"/>
      <c r="LA137" s="548"/>
      <c r="LB137" s="548"/>
      <c r="LC137" s="485" t="str">
        <f t="shared" si="1680"/>
        <v/>
      </c>
      <c r="LD137" s="548"/>
      <c r="LE137" s="548"/>
      <c r="LF137" s="548"/>
      <c r="LG137" s="548"/>
      <c r="LH137" s="548"/>
      <c r="LI137" s="548"/>
      <c r="LJ137" s="548"/>
      <c r="LK137" s="548"/>
      <c r="LL137" s="548"/>
      <c r="LM137" s="548"/>
      <c r="LN137" s="548"/>
      <c r="LO137" s="548"/>
      <c r="LP137" s="485" t="str">
        <f t="shared" si="1681"/>
        <v/>
      </c>
      <c r="LQ137" s="548"/>
      <c r="LR137" s="548"/>
      <c r="LS137" s="548"/>
      <c r="LT137" s="548"/>
      <c r="LU137" s="548"/>
      <c r="LV137" s="548"/>
      <c r="LW137" s="548"/>
      <c r="LX137" s="548"/>
      <c r="LY137" s="548"/>
      <c r="LZ137" s="548"/>
      <c r="MA137" s="548"/>
      <c r="MB137" s="548"/>
      <c r="MC137" s="485" t="str">
        <f t="shared" si="1682"/>
        <v/>
      </c>
      <c r="MD137" s="548"/>
      <c r="ME137" s="548"/>
      <c r="MF137" s="548"/>
      <c r="MG137" s="548"/>
      <c r="MH137" s="548"/>
      <c r="MI137" s="548"/>
      <c r="MJ137" s="548"/>
      <c r="MK137" s="548"/>
      <c r="ML137" s="548"/>
      <c r="MM137" s="548"/>
      <c r="MN137" s="548"/>
      <c r="MO137" s="548"/>
      <c r="MP137" s="485" t="str">
        <f t="shared" si="1683"/>
        <v/>
      </c>
      <c r="MQ137" s="548"/>
      <c r="MR137" s="548"/>
      <c r="MS137" s="548"/>
      <c r="MT137" s="548"/>
      <c r="MU137" s="548"/>
      <c r="MV137" s="548"/>
      <c r="MW137" s="548"/>
      <c r="MX137" s="548"/>
      <c r="MY137" s="548"/>
      <c r="MZ137" s="548"/>
      <c r="NA137" s="548"/>
      <c r="NB137" s="548"/>
      <c r="NC137" s="485" t="str">
        <f t="shared" si="1684"/>
        <v/>
      </c>
      <c r="ND137" s="548"/>
      <c r="NE137" s="548"/>
      <c r="NF137" s="548"/>
      <c r="NG137" s="548"/>
      <c r="NH137" s="548"/>
      <c r="NI137" s="548"/>
      <c r="NJ137" s="548"/>
      <c r="NK137" s="548"/>
      <c r="NL137" s="548"/>
      <c r="NM137" s="548"/>
      <c r="NN137" s="548"/>
      <c r="NO137" s="548"/>
      <c r="NP137" s="485" t="str">
        <f t="shared" si="1685"/>
        <v/>
      </c>
      <c r="NQ137" s="548"/>
      <c r="NR137" s="548"/>
      <c r="NS137" s="548"/>
      <c r="NT137" s="548"/>
      <c r="NU137" s="548"/>
      <c r="NV137" s="548"/>
      <c r="NW137" s="548"/>
      <c r="NX137" s="548"/>
      <c r="NY137" s="548"/>
      <c r="NZ137" s="548"/>
      <c r="OA137" s="548"/>
      <c r="OB137" s="548"/>
      <c r="OC137" s="485" t="str">
        <f t="shared" si="1686"/>
        <v/>
      </c>
      <c r="OD137" s="548"/>
      <c r="OE137" s="548"/>
      <c r="OF137" s="548"/>
      <c r="OG137" s="548"/>
      <c r="OH137" s="548"/>
      <c r="OI137" s="548"/>
      <c r="OJ137" s="548"/>
      <c r="OK137" s="548"/>
      <c r="OL137" s="548"/>
      <c r="OM137" s="548"/>
      <c r="ON137" s="548"/>
      <c r="OO137" s="548"/>
      <c r="OP137" s="548"/>
      <c r="OQ137" s="548"/>
      <c r="OR137" s="548"/>
      <c r="OS137" s="548"/>
      <c r="OT137" s="548"/>
      <c r="OU137" s="548"/>
      <c r="OV137" s="548"/>
      <c r="OW137" s="548"/>
      <c r="OX137" s="548"/>
      <c r="OY137" s="548"/>
      <c r="OZ137" s="548"/>
      <c r="PA137" s="548"/>
      <c r="PB137" s="548"/>
      <c r="PC137" s="548"/>
      <c r="PD137" s="548"/>
      <c r="PE137" s="548"/>
      <c r="PF137" s="548"/>
      <c r="PG137" s="548"/>
      <c r="PH137" s="548"/>
      <c r="PI137" s="548"/>
      <c r="PJ137" s="548"/>
      <c r="PK137" s="548"/>
      <c r="PL137" s="548"/>
      <c r="PM137" s="548"/>
      <c r="PN137" s="548"/>
      <c r="PO137" s="548"/>
      <c r="PP137" s="548"/>
      <c r="PQ137" s="548"/>
      <c r="PR137" s="548"/>
      <c r="PS137" s="548"/>
      <c r="PT137" s="548"/>
      <c r="PU137" s="548"/>
      <c r="PV137" s="548"/>
      <c r="PW137" s="548"/>
      <c r="PX137" s="548"/>
      <c r="PY137" s="548"/>
      <c r="PZ137" s="548"/>
      <c r="QA137" s="548"/>
      <c r="QB137" s="548"/>
      <c r="QC137" s="548"/>
      <c r="QD137" s="548"/>
      <c r="QE137" s="548"/>
      <c r="QF137" s="548"/>
      <c r="QG137" s="548"/>
      <c r="QH137" s="548"/>
      <c r="QI137" s="548"/>
      <c r="QJ137" s="548"/>
      <c r="QK137" s="548"/>
      <c r="QL137" s="548"/>
      <c r="QM137" s="548"/>
      <c r="QN137" s="548"/>
      <c r="QO137" s="548"/>
      <c r="QP137" s="548"/>
      <c r="QQ137" s="1009"/>
      <c r="QR137" s="548"/>
      <c r="QS137" s="548"/>
      <c r="QT137" s="548"/>
      <c r="QU137" s="548"/>
      <c r="QV137" s="548"/>
      <c r="QW137" s="548"/>
      <c r="QX137" s="548"/>
      <c r="QY137" s="548"/>
      <c r="QZ137" s="548"/>
      <c r="RA137" s="548"/>
      <c r="RB137" s="548"/>
      <c r="RC137" s="548"/>
      <c r="RD137" s="548"/>
      <c r="RE137" s="548"/>
      <c r="RF137" s="548"/>
      <c r="RG137" s="548"/>
      <c r="RH137" s="548"/>
      <c r="RI137" s="548"/>
      <c r="RJ137" s="548"/>
      <c r="RK137" s="548"/>
      <c r="RL137" s="548"/>
      <c r="RM137" s="548"/>
      <c r="RN137" s="548"/>
      <c r="RO137" s="548"/>
      <c r="RP137" s="548"/>
      <c r="RQ137" s="548"/>
      <c r="RR137" s="548"/>
      <c r="RS137" s="548"/>
      <c r="RT137" s="548"/>
      <c r="RU137" s="548"/>
      <c r="RV137" s="548"/>
      <c r="RW137" s="548"/>
      <c r="RX137" s="548"/>
      <c r="RY137" s="548"/>
      <c r="RZ137" s="548"/>
      <c r="SA137" s="548"/>
      <c r="SB137" s="548"/>
      <c r="SC137" s="548"/>
      <c r="SD137" s="548"/>
      <c r="SE137" s="548"/>
      <c r="SF137" s="548"/>
      <c r="SG137" s="548"/>
      <c r="SH137" s="548"/>
      <c r="SI137" s="548"/>
      <c r="SJ137" s="548"/>
      <c r="SK137" s="548"/>
      <c r="SL137" s="548"/>
      <c r="SM137" s="548"/>
      <c r="SN137" s="548"/>
      <c r="SO137" s="548"/>
      <c r="SP137" s="548"/>
      <c r="SQ137" s="548"/>
      <c r="SR137" s="548"/>
      <c r="SS137" s="548"/>
      <c r="ST137" s="548"/>
      <c r="SU137" s="548"/>
      <c r="SV137" s="548"/>
      <c r="SW137" s="548"/>
      <c r="SX137" s="548"/>
      <c r="SY137" s="548"/>
      <c r="SZ137" s="548"/>
      <c r="TA137" s="548"/>
      <c r="TB137" s="548"/>
      <c r="TC137" s="548"/>
      <c r="TD137" s="548"/>
      <c r="TE137" s="548"/>
      <c r="TF137" s="548"/>
      <c r="TG137" s="548"/>
      <c r="TH137" s="548"/>
      <c r="TI137" s="548"/>
      <c r="TJ137" s="548"/>
      <c r="TK137" s="548"/>
      <c r="TL137" s="548"/>
      <c r="TM137" s="548"/>
      <c r="TN137" s="548"/>
      <c r="TO137" s="548"/>
      <c r="TP137" s="548"/>
      <c r="TQ137" s="548"/>
      <c r="TR137" s="548"/>
      <c r="TS137" s="548"/>
      <c r="TT137" s="548"/>
      <c r="TU137" s="548"/>
      <c r="TV137" s="548"/>
      <c r="TW137" s="548"/>
      <c r="TX137" s="548"/>
      <c r="TY137" s="548"/>
      <c r="TZ137" s="548"/>
      <c r="UA137" s="548"/>
      <c r="UB137" s="548"/>
      <c r="UC137" s="548"/>
      <c r="UD137" s="548"/>
      <c r="UE137" s="548"/>
      <c r="UF137" s="548"/>
      <c r="UG137" s="548"/>
      <c r="UH137" s="548"/>
      <c r="UI137" s="548"/>
      <c r="UJ137" s="548"/>
      <c r="UK137" s="548"/>
      <c r="UL137" s="548"/>
      <c r="UM137" s="548"/>
      <c r="UN137" s="548"/>
      <c r="UO137" s="548"/>
      <c r="UP137" s="548"/>
      <c r="UQ137" s="548"/>
      <c r="UR137" s="548"/>
      <c r="US137" s="548"/>
      <c r="UT137" s="548"/>
      <c r="UU137" s="548"/>
      <c r="UV137" s="548"/>
      <c r="UW137" s="548"/>
      <c r="UX137" s="548"/>
      <c r="UY137" s="548"/>
      <c r="UZ137" s="548"/>
      <c r="VA137" s="548"/>
      <c r="VB137" s="548"/>
      <c r="VC137" s="548"/>
      <c r="VD137" s="548"/>
      <c r="VE137" s="548"/>
      <c r="VF137" s="548"/>
      <c r="VG137" s="548"/>
      <c r="VH137" s="548"/>
      <c r="VI137" s="548"/>
      <c r="VJ137" s="548"/>
      <c r="VK137" s="548"/>
      <c r="VL137" s="548"/>
      <c r="VM137" s="548"/>
      <c r="VN137" s="548"/>
      <c r="VO137" s="548"/>
      <c r="VP137" s="548"/>
      <c r="VQ137" s="548"/>
      <c r="VR137" s="548"/>
      <c r="VS137" s="548"/>
      <c r="VT137" s="548"/>
      <c r="VU137" s="548"/>
      <c r="VV137" s="548"/>
      <c r="VW137" s="548"/>
      <c r="VX137" s="548"/>
      <c r="VY137" s="548"/>
      <c r="VZ137" s="548"/>
      <c r="WA137" s="548"/>
      <c r="WB137" s="548"/>
      <c r="WC137" s="548"/>
      <c r="WD137" s="548"/>
      <c r="WE137" s="548"/>
      <c r="WF137" s="548"/>
      <c r="WG137" s="548"/>
      <c r="WH137" s="548"/>
      <c r="WI137" s="548"/>
      <c r="WJ137" s="548"/>
      <c r="WK137" s="548"/>
      <c r="WL137" s="548"/>
      <c r="WM137" s="548"/>
      <c r="WN137" s="548"/>
      <c r="WO137" s="548"/>
      <c r="WP137" s="548"/>
      <c r="WQ137" s="548"/>
      <c r="WR137" s="548"/>
      <c r="WS137" s="548"/>
      <c r="WT137" s="548"/>
      <c r="WU137" s="548"/>
      <c r="WV137" s="548"/>
      <c r="WW137" s="548"/>
      <c r="WX137" s="548"/>
      <c r="WY137" s="548"/>
      <c r="WZ137" s="548"/>
      <c r="XA137" s="548"/>
      <c r="XB137" s="548"/>
      <c r="XC137" s="548"/>
      <c r="XD137" s="548"/>
      <c r="XE137" s="548"/>
      <c r="XF137" s="548"/>
      <c r="XG137" s="548"/>
      <c r="XH137" s="548"/>
      <c r="XI137" s="548"/>
      <c r="XJ137" s="548"/>
      <c r="XK137" s="548"/>
      <c r="XL137" s="548"/>
      <c r="XM137" s="548"/>
      <c r="XN137" s="548"/>
      <c r="XO137" s="548"/>
      <c r="XP137" s="548"/>
      <c r="XQ137" s="548"/>
      <c r="XR137" s="548"/>
      <c r="XS137" s="548"/>
      <c r="XT137" s="548"/>
      <c r="XU137" s="548"/>
      <c r="XV137" s="548"/>
      <c r="XW137" s="548"/>
      <c r="XX137" s="548"/>
      <c r="XY137" s="548"/>
      <c r="XZ137" s="548"/>
      <c r="YA137" s="548"/>
      <c r="YB137" s="548"/>
      <c r="YC137" s="548"/>
      <c r="YD137" s="548"/>
      <c r="YE137" s="548"/>
      <c r="YF137" s="548"/>
      <c r="YG137" s="548"/>
      <c r="YH137" s="548"/>
      <c r="YI137" s="548"/>
      <c r="YJ137" s="548"/>
      <c r="YK137" s="548"/>
      <c r="YL137" s="548"/>
      <c r="YM137" s="548"/>
      <c r="YN137" s="548"/>
      <c r="YO137" s="548"/>
      <c r="YP137" s="548"/>
      <c r="YQ137" s="548"/>
      <c r="YR137" s="548"/>
      <c r="YS137" s="548"/>
      <c r="YT137" s="548"/>
      <c r="YU137" s="548"/>
      <c r="YV137" s="548"/>
      <c r="YW137" s="548"/>
      <c r="YX137" s="548"/>
      <c r="YY137" s="548"/>
      <c r="YZ137" s="548"/>
      <c r="ZA137" s="548"/>
      <c r="ZB137" s="548"/>
      <c r="ZC137" s="548"/>
      <c r="ZD137" s="548"/>
      <c r="ZE137" s="548"/>
      <c r="ZF137" s="548"/>
      <c r="ZG137" s="548"/>
      <c r="ZH137" s="548"/>
      <c r="ZI137" s="548"/>
      <c r="ZJ137" s="548"/>
      <c r="ZK137" s="548"/>
      <c r="ZL137" s="548"/>
      <c r="ZM137" s="548"/>
      <c r="ZN137" s="548"/>
      <c r="ZO137" s="548"/>
      <c r="ZP137" s="548"/>
      <c r="ZQ137" s="548"/>
      <c r="ZR137" s="548"/>
      <c r="ZS137" s="548"/>
      <c r="ZT137" s="548"/>
      <c r="ZU137" s="548"/>
      <c r="ZV137" s="548"/>
      <c r="ZW137" s="548"/>
      <c r="ZX137" s="548"/>
      <c r="ZY137" s="548"/>
      <c r="ZZ137" s="548"/>
      <c r="AAA137" s="548"/>
      <c r="AAB137" s="548"/>
      <c r="AAC137" s="548"/>
      <c r="AAD137" s="548"/>
      <c r="AAE137" s="548"/>
      <c r="AAF137" s="548"/>
      <c r="AAG137" s="548"/>
      <c r="AAH137" s="548"/>
      <c r="AAI137" s="548"/>
      <c r="AAJ137" s="548"/>
      <c r="AAK137" s="548"/>
      <c r="AAL137" s="548"/>
      <c r="AAM137" s="548"/>
      <c r="AAN137" s="548"/>
      <c r="AAO137" s="548"/>
      <c r="AAP137" s="548"/>
      <c r="AAQ137" s="548"/>
      <c r="AAR137" s="548"/>
      <c r="AAS137" s="548"/>
      <c r="AAT137" s="548"/>
      <c r="AAU137" s="548"/>
      <c r="AAV137" s="548"/>
      <c r="AAW137" s="548"/>
      <c r="AAX137" s="548"/>
      <c r="AAY137" s="548"/>
      <c r="AAZ137" s="548"/>
      <c r="ABA137" s="548"/>
      <c r="ABB137" s="548"/>
      <c r="ABC137" s="548"/>
      <c r="ABD137" s="548"/>
      <c r="ABE137" s="548"/>
      <c r="ABF137" s="548"/>
      <c r="ABG137" s="548"/>
      <c r="ABH137" s="548"/>
      <c r="ABI137" s="548"/>
      <c r="ABJ137" s="548"/>
      <c r="ABK137" s="548"/>
      <c r="ABL137" s="548"/>
      <c r="ABM137" s="548"/>
      <c r="ABN137" s="548"/>
      <c r="ABO137" s="548"/>
      <c r="ABP137" s="548"/>
      <c r="ABQ137" s="548"/>
      <c r="ABR137" s="548"/>
      <c r="ABS137" s="548"/>
    </row>
    <row r="138" spans="1:747" customFormat="1" ht="15" customHeight="1" x14ac:dyDescent="0.2">
      <c r="A138" s="424" t="str">
        <f t="shared" si="1687"/>
        <v/>
      </c>
      <c r="B138" s="415"/>
      <c r="C138" s="525"/>
      <c r="D138" s="750"/>
      <c r="E138" s="416" t="str">
        <f t="shared" si="1529"/>
        <v/>
      </c>
      <c r="F138" s="527" t="str">
        <f t="shared" si="1530"/>
        <v/>
      </c>
      <c r="G138" s="417"/>
      <c r="H138" s="585" t="str">
        <f t="shared" si="1531"/>
        <v/>
      </c>
      <c r="I138" s="424"/>
      <c r="J138" s="419"/>
      <c r="K138" s="418"/>
      <c r="L138" s="419"/>
      <c r="M138" s="415"/>
      <c r="N138" s="420"/>
      <c r="O138" s="421"/>
      <c r="P138" s="561"/>
      <c r="Q138" s="422"/>
      <c r="R138" s="561" t="str">
        <f t="shared" si="1532"/>
        <v/>
      </c>
      <c r="S138" s="664"/>
      <c r="T138" s="663"/>
      <c r="U138" s="580">
        <f t="shared" si="1533"/>
        <v>0</v>
      </c>
      <c r="V138" s="418"/>
      <c r="W138" s="582" t="str">
        <f t="shared" si="1534"/>
        <v/>
      </c>
      <c r="X138" s="479" t="str">
        <f t="shared" si="1535"/>
        <v/>
      </c>
      <c r="Y138" s="582" t="str">
        <f t="shared" si="1536"/>
        <v/>
      </c>
      <c r="Z138" s="317" t="str">
        <f t="shared" si="1537"/>
        <v/>
      </c>
      <c r="AA138" s="317" t="str">
        <f t="shared" si="1538"/>
        <v/>
      </c>
      <c r="AB138" s="317">
        <f t="shared" si="1539"/>
        <v>0</v>
      </c>
      <c r="AC138" s="317" t="str">
        <f t="shared" si="1540"/>
        <v/>
      </c>
      <c r="AD138" s="479"/>
      <c r="AE138" s="479"/>
      <c r="AF138" s="479"/>
      <c r="AG138" s="423"/>
      <c r="AH138" s="820"/>
      <c r="AI138" s="437"/>
      <c r="AJ138" s="660"/>
      <c r="AK138" s="524" t="str">
        <f t="shared" si="1541"/>
        <v/>
      </c>
      <c r="AL138" s="731">
        <f>SUMIF($J$4:$J$60,"Livre Aplic.",$S$4:$S$60)</f>
        <v>0</v>
      </c>
      <c r="AM138" s="732">
        <f>SUMIF($J$4:$J$60,"Livre Aplic.",$T$4:$T$60)</f>
        <v>0</v>
      </c>
      <c r="AN138" s="426">
        <f t="shared" si="1542"/>
        <v>0</v>
      </c>
      <c r="AO138" s="427" t="str">
        <f t="shared" si="1543"/>
        <v/>
      </c>
      <c r="AP138" s="426" t="str">
        <f t="shared" si="1544"/>
        <v/>
      </c>
      <c r="AQ138" s="426"/>
      <c r="AR138" s="426"/>
      <c r="AS138" s="428"/>
      <c r="AT138" s="429"/>
      <c r="AU138" s="430"/>
      <c r="AV138" s="431"/>
      <c r="AW138" s="432"/>
      <c r="AX138" s="430"/>
      <c r="AY138" s="431">
        <f t="shared" si="1545"/>
        <v>0</v>
      </c>
      <c r="AZ138" s="426"/>
      <c r="BA138" s="435" t="str">
        <f t="shared" si="1546"/>
        <v/>
      </c>
      <c r="BB138" s="435"/>
      <c r="BC138" s="426"/>
      <c r="BD138" s="426">
        <f t="array" ref="BD138">IF(SUM((BC138=$BC$3:BC137)*1)=0,BC138,0)</f>
        <v>0</v>
      </c>
      <c r="BE138" s="426"/>
      <c r="BF138" s="426"/>
      <c r="BG138" s="426">
        <f t="array" ref="BG138">IF(SUM((BF138=$BF$3:BF137)*1)=0,BF138,0)</f>
        <v>0</v>
      </c>
      <c r="BH138" s="426"/>
      <c r="BI138" s="426"/>
      <c r="BJ138" s="426"/>
      <c r="BK138" s="426"/>
      <c r="BL138" s="426"/>
      <c r="BM138" s="426"/>
      <c r="BN138" s="426"/>
      <c r="BO138" s="426"/>
      <c r="BP138" s="433">
        <f t="shared" si="1547"/>
        <v>0</v>
      </c>
      <c r="BQ138" s="426"/>
      <c r="BR138" s="434"/>
      <c r="BS138" s="426"/>
      <c r="BT138" s="433"/>
      <c r="BU138" s="435"/>
      <c r="BV138" s="435" t="str">
        <f t="shared" si="1548"/>
        <v/>
      </c>
      <c r="BW138" s="435" t="str">
        <f t="shared" si="1576"/>
        <v/>
      </c>
      <c r="BX138" s="435"/>
      <c r="BY138" s="435"/>
      <c r="BZ138" s="435"/>
      <c r="CA138" s="435"/>
      <c r="CB138" s="435"/>
      <c r="CC138" s="435"/>
      <c r="CD138" s="435"/>
      <c r="CE138" s="435"/>
      <c r="CF138" s="435"/>
      <c r="CG138" s="435"/>
      <c r="CH138" s="435"/>
      <c r="CI138" s="435"/>
      <c r="CJ138" s="426" t="str">
        <f t="shared" si="1577"/>
        <v/>
      </c>
      <c r="CK138" s="435"/>
      <c r="CL138" s="426"/>
      <c r="CM138" s="435"/>
      <c r="CN138" s="426"/>
      <c r="CO138" s="426"/>
      <c r="CP138" s="426"/>
      <c r="CQ138" s="426"/>
      <c r="CR138" s="426"/>
      <c r="CS138" s="426"/>
      <c r="CT138" s="426"/>
      <c r="CU138" s="426"/>
      <c r="CV138" s="426"/>
      <c r="CW138" s="493"/>
      <c r="CX138" s="493"/>
      <c r="CY138" s="426">
        <v>135</v>
      </c>
      <c r="CZ138" s="493"/>
      <c r="DA138" s="493"/>
      <c r="DB138" s="493"/>
      <c r="DC138" s="426" t="s">
        <v>878</v>
      </c>
      <c r="DD138" s="426" t="s">
        <v>1038</v>
      </c>
      <c r="DE138" s="435" t="str">
        <f t="shared" si="1578"/>
        <v/>
      </c>
      <c r="DF138" s="435" t="str">
        <f t="shared" si="1579"/>
        <v/>
      </c>
      <c r="DG138" s="435" t="str">
        <f t="shared" si="1580"/>
        <v/>
      </c>
      <c r="DH138" s="435" t="str">
        <f t="shared" si="1581"/>
        <v/>
      </c>
      <c r="DI138" s="435" t="str">
        <f t="shared" si="1582"/>
        <v/>
      </c>
      <c r="DJ138" s="435" t="str">
        <f t="shared" si="1583"/>
        <v/>
      </c>
      <c r="DK138" s="435" t="str">
        <f t="shared" si="1549"/>
        <v/>
      </c>
      <c r="DL138" s="435" t="str">
        <f t="shared" si="1550"/>
        <v/>
      </c>
      <c r="DM138" s="435" t="str">
        <f t="shared" si="1584"/>
        <v/>
      </c>
      <c r="DN138" s="435" t="str">
        <f t="shared" si="1585"/>
        <v/>
      </c>
      <c r="DO138" s="435" t="str">
        <f t="shared" si="1551"/>
        <v/>
      </c>
      <c r="DP138" s="435" t="str">
        <f t="shared" si="1552"/>
        <v/>
      </c>
      <c r="DQ138" s="435" t="str">
        <f t="shared" si="1586"/>
        <v/>
      </c>
      <c r="DR138" s="435" t="str">
        <f t="shared" si="1587"/>
        <v/>
      </c>
      <c r="DS138" s="435" t="str">
        <f t="shared" si="1553"/>
        <v/>
      </c>
      <c r="DT138" s="435" t="str">
        <f t="shared" si="1554"/>
        <v/>
      </c>
      <c r="DU138" s="435" t="str">
        <f t="shared" si="1588"/>
        <v/>
      </c>
      <c r="DV138" s="435" t="str">
        <f t="shared" si="1589"/>
        <v/>
      </c>
      <c r="DW138" s="435" t="str">
        <f t="shared" si="1555"/>
        <v/>
      </c>
      <c r="DX138" s="435" t="str">
        <f t="shared" si="1556"/>
        <v/>
      </c>
      <c r="DY138" s="435" t="str">
        <f t="shared" si="1590"/>
        <v/>
      </c>
      <c r="DZ138" s="435" t="str">
        <f t="shared" si="1591"/>
        <v/>
      </c>
      <c r="EA138" s="435" t="str">
        <f t="shared" si="1557"/>
        <v/>
      </c>
      <c r="EB138" s="435" t="str">
        <f t="shared" si="1558"/>
        <v/>
      </c>
      <c r="EC138" s="435" t="str">
        <f t="shared" si="1559"/>
        <v/>
      </c>
      <c r="ED138" s="435" t="str">
        <f t="shared" si="1560"/>
        <v/>
      </c>
      <c r="EE138" s="435" t="str">
        <f t="shared" si="1561"/>
        <v/>
      </c>
      <c r="EF138" s="435" t="str">
        <f t="shared" si="1562"/>
        <v/>
      </c>
      <c r="EG138" s="435" t="str">
        <f t="shared" si="1563"/>
        <v/>
      </c>
      <c r="EH138" s="435" t="str">
        <f t="shared" si="1564"/>
        <v/>
      </c>
      <c r="EI138" s="435" t="str">
        <f t="shared" si="1565"/>
        <v/>
      </c>
      <c r="EJ138" s="435" t="str">
        <f t="shared" si="1566"/>
        <v/>
      </c>
      <c r="EK138" s="485"/>
      <c r="EL138" s="485"/>
      <c r="EM138" s="485"/>
      <c r="EN138" s="485"/>
      <c r="EO138" s="448"/>
      <c r="EP138" s="448"/>
      <c r="EQ138" s="448"/>
      <c r="ER138" s="448"/>
      <c r="ES138" s="448"/>
      <c r="ET138" s="435"/>
      <c r="EU138" s="435"/>
      <c r="EV138" s="435"/>
      <c r="EW138" s="435"/>
      <c r="EX138" s="426"/>
      <c r="EY138" s="426"/>
      <c r="EZ138" s="426"/>
      <c r="FA138" s="863"/>
      <c r="FB138" s="427">
        <f t="array" ref="FB138">IF(SUM((FA138=$FA$3:FA137)*1)=0,FA138,0)</f>
        <v>0</v>
      </c>
      <c r="FC138" s="863"/>
      <c r="FD138" s="863"/>
      <c r="FE138" s="863">
        <f t="array" ref="FE138">IF(SUM((FD138=$FD$3:FD137)*1)=0,FD138,0)</f>
        <v>0</v>
      </c>
      <c r="FF138" s="863"/>
      <c r="FG138" s="863"/>
      <c r="FH138" s="863"/>
      <c r="FI138" s="427">
        <f t="array" ref="FI138">IF(SUM((FH138=$FH$3:FH137)*1)=0,FH138,0)</f>
        <v>0</v>
      </c>
      <c r="FJ138" s="863"/>
      <c r="FK138" s="863"/>
      <c r="FL138" s="863">
        <f t="array" ref="FL138">IF(SUM((FK138=$FK$3:FK137)*1)=0,FK138,0)</f>
        <v>0</v>
      </c>
      <c r="FM138" s="863"/>
      <c r="FN138" s="863"/>
      <c r="FO138" s="863"/>
      <c r="FP138" s="427">
        <f t="array" ref="FP138">IF(SUM((FO138=$FO$3:FO137)*1)=0,FO138,0)</f>
        <v>0</v>
      </c>
      <c r="FQ138" s="863"/>
      <c r="FR138" s="863"/>
      <c r="FS138" s="863">
        <f t="array" ref="FS138">IF(SUM((FR138=$FR$3:FR137)*1)=0,FR138,0)</f>
        <v>0</v>
      </c>
      <c r="FT138" s="863"/>
      <c r="FU138" s="863"/>
      <c r="FV138" s="863"/>
      <c r="FW138" s="427">
        <f t="array" ref="FW138">IF(SUM((FV138=$FV$3:FV137)*1)=0,FV138,0)</f>
        <v>0</v>
      </c>
      <c r="FX138" s="863"/>
      <c r="FY138" s="863"/>
      <c r="FZ138" s="863">
        <f t="array" ref="FZ138">IF(SUM((FY138=$FY$3:FY137)*1)=0,FY138,0)</f>
        <v>0</v>
      </c>
      <c r="GA138" s="863"/>
      <c r="GB138" s="863"/>
      <c r="GC138" s="863"/>
      <c r="GD138" s="427">
        <f t="array" ref="GD138">IF(SUM((GC138=$GC$3:GC137)*1)=0,GC138,0)</f>
        <v>0</v>
      </c>
      <c r="GE138" s="863"/>
      <c r="GF138" s="863"/>
      <c r="GG138" s="863">
        <f t="array" ref="GG138">IF(SUM((GF138=$GF$3:GF137)*1)=0,GF138,0)</f>
        <v>0</v>
      </c>
      <c r="GH138" s="863"/>
      <c r="GI138" s="863"/>
      <c r="GJ138" s="863"/>
      <c r="GK138" s="798">
        <f t="array" ref="GK138">IF(SUM((GJ138=$GJ$3:GJ137)*1)=0,GJ138,0)</f>
        <v>0</v>
      </c>
      <c r="GL138" s="863"/>
      <c r="GM138" s="863"/>
      <c r="GN138" s="798">
        <f t="array" ref="GN138">IF(SUM((GM138=$GM$3:GM137)*1)=0,GM138,0)</f>
        <v>0</v>
      </c>
      <c r="GO138" s="863"/>
      <c r="GP138" s="863"/>
      <c r="GQ138" s="863"/>
      <c r="GR138" s="798">
        <f t="array" ref="GR138">IF(SUM((GQ138=$GQ$3:GQ137)*1)=0,GQ138,0)</f>
        <v>0</v>
      </c>
      <c r="GS138" s="863"/>
      <c r="GT138" s="863"/>
      <c r="GU138" s="798">
        <f t="array" ref="GU138">IF(SUM((GT138=$GT$3:GT137)*1)=0,GT138,0)</f>
        <v>0</v>
      </c>
      <c r="GV138" s="863"/>
      <c r="GW138" s="863"/>
      <c r="GX138" s="863"/>
      <c r="GY138" s="798">
        <f t="array" ref="GY138">IF(SUM((GX138=$GX$3:GX137)*1)=0,GX138,0)</f>
        <v>0</v>
      </c>
      <c r="GZ138" s="863"/>
      <c r="HA138" s="863"/>
      <c r="HB138" s="798">
        <f t="array" ref="HB138">IF(SUM((HA138=$HA$3:HA137)*1)=0,HA138,0)</f>
        <v>0</v>
      </c>
      <c r="HC138" s="863"/>
      <c r="HD138" s="863"/>
      <c r="HE138" s="769" t="str">
        <f t="shared" si="1667"/>
        <v/>
      </c>
      <c r="HF138" s="768" t="str">
        <f t="shared" ref="HF138" si="1715">IF(HE138&lt;0,"Invadiu REP-BA-C","")</f>
        <v/>
      </c>
      <c r="HG138" s="769" t="str">
        <f t="shared" si="1669"/>
        <v/>
      </c>
      <c r="HH138" s="768" t="str">
        <f t="shared" si="1593"/>
        <v/>
      </c>
      <c r="HI138" s="728" t="str">
        <f t="shared" si="1670"/>
        <v/>
      </c>
      <c r="HJ138" s="768" t="str">
        <f t="shared" si="1594"/>
        <v/>
      </c>
      <c r="HK138" s="728" t="str">
        <f t="shared" si="1671"/>
        <v/>
      </c>
      <c r="HL138" s="768" t="str">
        <f t="shared" si="1595"/>
        <v/>
      </c>
      <c r="HM138" s="769" t="str">
        <f t="shared" si="1596"/>
        <v/>
      </c>
      <c r="HN138" s="768" t="str">
        <f t="shared" ref="HN138" si="1716">IF(HM138&lt;0,"Invadiu REP-BA-C","")</f>
        <v/>
      </c>
      <c r="HO138" s="769" t="str">
        <f t="shared" si="1598"/>
        <v/>
      </c>
      <c r="HP138" s="768" t="str">
        <f t="shared" si="1599"/>
        <v/>
      </c>
      <c r="HQ138" s="728" t="str">
        <f t="shared" si="1600"/>
        <v/>
      </c>
      <c r="HR138" s="768" t="str">
        <f t="shared" si="1601"/>
        <v/>
      </c>
      <c r="HS138" s="728" t="str">
        <f t="shared" si="1602"/>
        <v/>
      </c>
      <c r="HT138" s="768" t="str">
        <f t="shared" si="1603"/>
        <v/>
      </c>
      <c r="HU138" s="769" t="str">
        <f t="shared" si="1604"/>
        <v/>
      </c>
      <c r="HV138" s="768" t="str">
        <f t="shared" ref="HV138" si="1717">IF(HU138&lt;0,"Invadiu REP-BA-C","")</f>
        <v/>
      </c>
      <c r="HW138" s="769" t="str">
        <f t="shared" si="1606"/>
        <v/>
      </c>
      <c r="HX138" s="768" t="str">
        <f t="shared" si="1607"/>
        <v/>
      </c>
      <c r="HY138" s="728" t="str">
        <f t="shared" si="1608"/>
        <v/>
      </c>
      <c r="HZ138" s="768" t="str">
        <f t="shared" si="1609"/>
        <v/>
      </c>
      <c r="IA138" s="728" t="str">
        <f t="shared" si="1610"/>
        <v/>
      </c>
      <c r="IB138" s="768" t="str">
        <f t="shared" si="1611"/>
        <v/>
      </c>
      <c r="IC138" s="769" t="str">
        <f t="shared" si="1612"/>
        <v/>
      </c>
      <c r="ID138" s="768" t="str">
        <f t="shared" ref="ID138" si="1718">IF(IC138&lt;0,"Invadiu REP-BA-C","")</f>
        <v/>
      </c>
      <c r="IE138" s="769" t="str">
        <f t="shared" si="1614"/>
        <v/>
      </c>
      <c r="IF138" s="768" t="str">
        <f t="shared" si="1615"/>
        <v/>
      </c>
      <c r="IG138" s="728" t="str">
        <f t="shared" si="1616"/>
        <v/>
      </c>
      <c r="IH138" s="768" t="str">
        <f t="shared" si="1617"/>
        <v/>
      </c>
      <c r="II138" s="728" t="str">
        <f t="shared" si="1618"/>
        <v/>
      </c>
      <c r="IJ138" s="768" t="str">
        <f t="shared" si="1619"/>
        <v/>
      </c>
      <c r="IK138" s="769" t="str">
        <f t="shared" si="1620"/>
        <v/>
      </c>
      <c r="IL138" s="768" t="str">
        <f t="shared" ref="IL138" si="1719">IF(IK138&lt;0,"Invadiu REP-BA-C","")</f>
        <v/>
      </c>
      <c r="IM138" s="769" t="str">
        <f t="shared" si="1622"/>
        <v/>
      </c>
      <c r="IN138" s="768" t="str">
        <f t="shared" si="1623"/>
        <v/>
      </c>
      <c r="IO138" s="728" t="str">
        <f t="shared" si="1624"/>
        <v/>
      </c>
      <c r="IP138" s="768" t="str">
        <f t="shared" si="1625"/>
        <v/>
      </c>
      <c r="IQ138" s="728" t="str">
        <f t="shared" si="1626"/>
        <v/>
      </c>
      <c r="IR138" s="768" t="str">
        <f t="shared" si="1627"/>
        <v/>
      </c>
      <c r="IS138" s="769" t="str">
        <f t="shared" si="1628"/>
        <v/>
      </c>
      <c r="IT138" s="768" t="str">
        <f t="shared" ref="IT138" si="1720">IF(IS138&lt;0,"Invadiu REP-BA-C","")</f>
        <v/>
      </c>
      <c r="IU138" s="769" t="str">
        <f t="shared" si="1630"/>
        <v/>
      </c>
      <c r="IV138" s="768" t="str">
        <f t="shared" si="1631"/>
        <v/>
      </c>
      <c r="IW138" s="728" t="str">
        <f t="shared" si="1632"/>
        <v/>
      </c>
      <c r="IX138" s="768" t="str">
        <f t="shared" si="1633"/>
        <v/>
      </c>
      <c r="IY138" s="728" t="str">
        <f t="shared" si="1634"/>
        <v/>
      </c>
      <c r="IZ138" s="768" t="str">
        <f t="shared" si="1635"/>
        <v/>
      </c>
      <c r="JA138" s="769" t="str">
        <f t="shared" si="1636"/>
        <v/>
      </c>
      <c r="JB138" s="768" t="str">
        <f t="shared" ref="JB138" si="1721">IF(JA138&lt;0,"Invadiu REP-BA-C","")</f>
        <v/>
      </c>
      <c r="JC138" s="769" t="str">
        <f t="shared" si="1638"/>
        <v/>
      </c>
      <c r="JD138" s="768" t="str">
        <f t="shared" si="1639"/>
        <v/>
      </c>
      <c r="JE138" s="728" t="str">
        <f t="shared" si="1640"/>
        <v/>
      </c>
      <c r="JF138" s="768" t="str">
        <f t="shared" si="1641"/>
        <v/>
      </c>
      <c r="JG138" s="728" t="str">
        <f t="shared" si="1642"/>
        <v/>
      </c>
      <c r="JH138" s="768" t="str">
        <f t="shared" si="1643"/>
        <v/>
      </c>
      <c r="JI138" s="769" t="str">
        <f t="shared" si="1644"/>
        <v/>
      </c>
      <c r="JJ138" s="768" t="str">
        <f t="shared" ref="JJ138" si="1722">IF(JI138&lt;0,"Invadiu REP-BA-C","")</f>
        <v/>
      </c>
      <c r="JK138" s="769" t="str">
        <f t="shared" si="1646"/>
        <v/>
      </c>
      <c r="JL138" s="768" t="str">
        <f t="shared" si="1647"/>
        <v/>
      </c>
      <c r="JM138" s="728" t="str">
        <f t="shared" si="1648"/>
        <v/>
      </c>
      <c r="JN138" s="768" t="str">
        <f t="shared" si="1649"/>
        <v/>
      </c>
      <c r="JO138" s="728" t="str">
        <f t="shared" si="1650"/>
        <v/>
      </c>
      <c r="JP138" s="768" t="str">
        <f t="shared" si="1651"/>
        <v/>
      </c>
      <c r="JQ138" s="769" t="str">
        <f t="shared" si="1652"/>
        <v/>
      </c>
      <c r="JR138" s="768" t="str">
        <f t="shared" ref="JR138" si="1723">IF(JQ138&lt;0,"Invadiu REP-BA-C","")</f>
        <v/>
      </c>
      <c r="JS138" s="769" t="str">
        <f t="shared" si="1654"/>
        <v/>
      </c>
      <c r="JT138" s="768" t="str">
        <f t="shared" si="1655"/>
        <v/>
      </c>
      <c r="JU138" s="728" t="str">
        <f t="shared" si="1656"/>
        <v/>
      </c>
      <c r="JV138" s="768" t="str">
        <f t="shared" si="1657"/>
        <v/>
      </c>
      <c r="JW138" s="728" t="str">
        <f t="shared" si="1658"/>
        <v/>
      </c>
      <c r="JX138" s="768" t="str">
        <f t="shared" si="1659"/>
        <v/>
      </c>
      <c r="JY138" s="768" t="str">
        <f t="shared" si="1660"/>
        <v/>
      </c>
      <c r="JZ138" s="485" t="str">
        <f>IF(JY138="","",IF(AND(C138=$C$164,JY138&lt;&gt;""),Verificarcpf(D138),IF(AND(C138=$C$165,JY138&lt;&gt;""),VerificarCNPJ(D138))))</f>
        <v/>
      </c>
      <c r="KA138" s="768" t="str">
        <f t="shared" si="1661"/>
        <v/>
      </c>
      <c r="KB138" s="485">
        <f t="shared" si="1662"/>
        <v>0</v>
      </c>
      <c r="KC138" s="768">
        <f t="shared" si="1663"/>
        <v>0</v>
      </c>
      <c r="KD138" s="485">
        <f t="shared" si="1664"/>
        <v>0</v>
      </c>
      <c r="KE138" s="448"/>
      <c r="KF138" s="548"/>
      <c r="KG138" s="548"/>
      <c r="KH138" s="548"/>
      <c r="KI138" s="548"/>
      <c r="KJ138" s="548" t="str">
        <f t="shared" si="1665"/>
        <v/>
      </c>
      <c r="KK138" s="548"/>
      <c r="KL138" s="548"/>
      <c r="KM138" s="548">
        <f t="array" ref="KM138">IF(SUM((KL138=$KL$3:KL137)*1)=0,KL138,0)</f>
        <v>0</v>
      </c>
      <c r="KN138" s="548"/>
      <c r="KO138" s="548"/>
      <c r="KP138" s="548"/>
      <c r="KQ138" s="548"/>
      <c r="KR138" s="548" t="str">
        <f t="shared" si="1666"/>
        <v/>
      </c>
      <c r="KS138" s="548"/>
      <c r="KT138" s="548"/>
      <c r="KU138" s="548"/>
      <c r="KV138" s="548"/>
      <c r="KW138" s="548"/>
      <c r="KX138" s="548"/>
      <c r="KY138" s="548"/>
      <c r="KZ138" s="548"/>
      <c r="LA138" s="548"/>
      <c r="LB138" s="548"/>
      <c r="LC138" s="485" t="str">
        <f t="shared" si="1680"/>
        <v/>
      </c>
      <c r="LD138" s="548"/>
      <c r="LE138" s="548"/>
      <c r="LF138" s="548"/>
      <c r="LG138" s="548"/>
      <c r="LH138" s="548"/>
      <c r="LI138" s="548"/>
      <c r="LJ138" s="548"/>
      <c r="LK138" s="548"/>
      <c r="LL138" s="548"/>
      <c r="LM138" s="548"/>
      <c r="LN138" s="548"/>
      <c r="LO138" s="548"/>
      <c r="LP138" s="485" t="str">
        <f t="shared" si="1681"/>
        <v/>
      </c>
      <c r="LQ138" s="548"/>
      <c r="LR138" s="548"/>
      <c r="LS138" s="548"/>
      <c r="LT138" s="548"/>
      <c r="LU138" s="548"/>
      <c r="LV138" s="548"/>
      <c r="LW138" s="548"/>
      <c r="LX138" s="548"/>
      <c r="LY138" s="548"/>
      <c r="LZ138" s="548"/>
      <c r="MA138" s="548"/>
      <c r="MB138" s="548"/>
      <c r="MC138" s="485" t="str">
        <f t="shared" si="1682"/>
        <v/>
      </c>
      <c r="MD138" s="548"/>
      <c r="ME138" s="548"/>
      <c r="MF138" s="548"/>
      <c r="MG138" s="548"/>
      <c r="MH138" s="548"/>
      <c r="MI138" s="548"/>
      <c r="MJ138" s="548"/>
      <c r="MK138" s="548"/>
      <c r="ML138" s="548"/>
      <c r="MM138" s="548"/>
      <c r="MN138" s="548"/>
      <c r="MO138" s="548"/>
      <c r="MP138" s="485" t="str">
        <f t="shared" si="1683"/>
        <v/>
      </c>
      <c r="MQ138" s="548"/>
      <c r="MR138" s="548"/>
      <c r="MS138" s="548"/>
      <c r="MT138" s="548"/>
      <c r="MU138" s="548"/>
      <c r="MV138" s="548"/>
      <c r="MW138" s="548"/>
      <c r="MX138" s="548"/>
      <c r="MY138" s="548"/>
      <c r="MZ138" s="548"/>
      <c r="NA138" s="548"/>
      <c r="NB138" s="548"/>
      <c r="NC138" s="485" t="str">
        <f t="shared" si="1684"/>
        <v/>
      </c>
      <c r="ND138" s="548"/>
      <c r="NE138" s="548"/>
      <c r="NF138" s="548"/>
      <c r="NG138" s="548"/>
      <c r="NH138" s="548"/>
      <c r="NI138" s="548"/>
      <c r="NJ138" s="548"/>
      <c r="NK138" s="548"/>
      <c r="NL138" s="548"/>
      <c r="NM138" s="548"/>
      <c r="NN138" s="548"/>
      <c r="NO138" s="548"/>
      <c r="NP138" s="485" t="str">
        <f t="shared" si="1685"/>
        <v/>
      </c>
      <c r="NQ138" s="548"/>
      <c r="NR138" s="548"/>
      <c r="NS138" s="548"/>
      <c r="NT138" s="548"/>
      <c r="NU138" s="548"/>
      <c r="NV138" s="548"/>
      <c r="NW138" s="548"/>
      <c r="NX138" s="548"/>
      <c r="NY138" s="548"/>
      <c r="NZ138" s="548"/>
      <c r="OA138" s="548"/>
      <c r="OB138" s="548"/>
      <c r="OC138" s="485" t="str">
        <f t="shared" si="1686"/>
        <v/>
      </c>
      <c r="OD138" s="548"/>
      <c r="OE138" s="548"/>
      <c r="OF138" s="548"/>
      <c r="OG138" s="548"/>
      <c r="OH138" s="548"/>
      <c r="OI138" s="548"/>
      <c r="OJ138" s="548"/>
      <c r="OK138" s="548"/>
      <c r="OL138" s="548"/>
      <c r="OM138" s="548"/>
      <c r="ON138" s="548"/>
      <c r="OO138" s="548"/>
      <c r="OP138" s="548"/>
      <c r="OQ138" s="548"/>
      <c r="OR138" s="548"/>
      <c r="OS138" s="548"/>
      <c r="OT138" s="548"/>
      <c r="OU138" s="548"/>
      <c r="OV138" s="548"/>
      <c r="OW138" s="548"/>
      <c r="OX138" s="548"/>
      <c r="OY138" s="548"/>
      <c r="OZ138" s="548"/>
      <c r="PA138" s="548"/>
      <c r="PB138" s="548"/>
      <c r="PC138" s="548"/>
      <c r="PD138" s="548"/>
      <c r="PE138" s="548"/>
      <c r="PF138" s="548"/>
      <c r="PG138" s="548"/>
      <c r="PH138" s="548"/>
      <c r="PI138" s="548"/>
      <c r="PJ138" s="548"/>
      <c r="PK138" s="548"/>
      <c r="PL138" s="548"/>
      <c r="PM138" s="548"/>
      <c r="PN138" s="548"/>
      <c r="PO138" s="548"/>
      <c r="PP138" s="548"/>
      <c r="PQ138" s="548"/>
      <c r="PR138" s="548"/>
      <c r="PS138" s="548"/>
      <c r="PT138" s="548"/>
      <c r="PU138" s="548"/>
      <c r="PV138" s="548"/>
      <c r="PW138" s="548"/>
      <c r="PX138" s="548"/>
      <c r="PY138" s="548"/>
      <c r="PZ138" s="548"/>
      <c r="QA138" s="548"/>
      <c r="QB138" s="548"/>
      <c r="QC138" s="548"/>
      <c r="QD138" s="548"/>
      <c r="QE138" s="548"/>
      <c r="QF138" s="548"/>
      <c r="QG138" s="548"/>
      <c r="QH138" s="548"/>
      <c r="QI138" s="548"/>
      <c r="QJ138" s="548"/>
      <c r="QK138" s="548"/>
      <c r="QL138" s="548"/>
      <c r="QM138" s="548"/>
      <c r="QN138" s="548"/>
      <c r="QO138" s="548"/>
      <c r="QP138" s="548"/>
      <c r="QQ138" s="1009"/>
      <c r="QR138" s="548"/>
      <c r="QS138" s="548"/>
      <c r="QT138" s="548"/>
      <c r="QU138" s="548"/>
      <c r="QV138" s="548"/>
      <c r="QW138" s="548"/>
      <c r="QX138" s="548"/>
      <c r="QY138" s="548"/>
      <c r="QZ138" s="548"/>
      <c r="RA138" s="548"/>
      <c r="RB138" s="548"/>
      <c r="RC138" s="548"/>
      <c r="RD138" s="548"/>
      <c r="RE138" s="548"/>
      <c r="RF138" s="548"/>
      <c r="RG138" s="548"/>
      <c r="RH138" s="548"/>
      <c r="RI138" s="548"/>
      <c r="RJ138" s="548"/>
      <c r="RK138" s="548"/>
      <c r="RL138" s="548"/>
      <c r="RM138" s="548"/>
      <c r="RN138" s="548"/>
      <c r="RO138" s="548"/>
      <c r="RP138" s="548"/>
      <c r="RQ138" s="548"/>
      <c r="RR138" s="548"/>
      <c r="RS138" s="548"/>
      <c r="RT138" s="548"/>
      <c r="RU138" s="548"/>
      <c r="RV138" s="548"/>
      <c r="RW138" s="548"/>
      <c r="RX138" s="548"/>
      <c r="RY138" s="548"/>
      <c r="RZ138" s="548"/>
      <c r="SA138" s="548"/>
      <c r="SB138" s="548"/>
      <c r="SC138" s="548"/>
      <c r="SD138" s="548"/>
      <c r="SE138" s="548"/>
      <c r="SF138" s="548"/>
      <c r="SG138" s="548"/>
      <c r="SH138" s="548"/>
      <c r="SI138" s="548"/>
      <c r="SJ138" s="548"/>
      <c r="SK138" s="548"/>
      <c r="SL138" s="548"/>
      <c r="SM138" s="548"/>
      <c r="SN138" s="548"/>
      <c r="SO138" s="548"/>
      <c r="SP138" s="548"/>
      <c r="SQ138" s="548"/>
      <c r="SR138" s="548"/>
      <c r="SS138" s="548"/>
      <c r="ST138" s="548"/>
      <c r="SU138" s="548"/>
      <c r="SV138" s="548"/>
      <c r="SW138" s="548"/>
      <c r="SX138" s="548"/>
      <c r="SY138" s="548"/>
      <c r="SZ138" s="548"/>
      <c r="TA138" s="548"/>
      <c r="TB138" s="548"/>
      <c r="TC138" s="548"/>
      <c r="TD138" s="548"/>
      <c r="TE138" s="548"/>
      <c r="TF138" s="548"/>
      <c r="TG138" s="548"/>
      <c r="TH138" s="548"/>
      <c r="TI138" s="548"/>
      <c r="TJ138" s="548"/>
      <c r="TK138" s="548"/>
      <c r="TL138" s="548"/>
      <c r="TM138" s="548"/>
      <c r="TN138" s="548"/>
      <c r="TO138" s="548"/>
      <c r="TP138" s="548"/>
      <c r="TQ138" s="548"/>
      <c r="TR138" s="548"/>
      <c r="TS138" s="548"/>
      <c r="TT138" s="548"/>
      <c r="TU138" s="548"/>
      <c r="TV138" s="548"/>
      <c r="TW138" s="548"/>
      <c r="TX138" s="548"/>
      <c r="TY138" s="548"/>
      <c r="TZ138" s="548"/>
      <c r="UA138" s="548"/>
      <c r="UB138" s="548"/>
      <c r="UC138" s="548"/>
      <c r="UD138" s="548"/>
      <c r="UE138" s="548"/>
      <c r="UF138" s="548"/>
      <c r="UG138" s="548"/>
      <c r="UH138" s="548"/>
      <c r="UI138" s="548"/>
      <c r="UJ138" s="548"/>
      <c r="UK138" s="548"/>
      <c r="UL138" s="548"/>
      <c r="UM138" s="548"/>
      <c r="UN138" s="548"/>
      <c r="UO138" s="548"/>
      <c r="UP138" s="548"/>
      <c r="UQ138" s="548"/>
      <c r="UR138" s="548"/>
      <c r="US138" s="548"/>
      <c r="UT138" s="548"/>
      <c r="UU138" s="548"/>
      <c r="UV138" s="548"/>
      <c r="UW138" s="548"/>
      <c r="UX138" s="548"/>
      <c r="UY138" s="548"/>
      <c r="UZ138" s="548"/>
      <c r="VA138" s="548"/>
      <c r="VB138" s="548"/>
      <c r="VC138" s="548"/>
      <c r="VD138" s="548"/>
      <c r="VE138" s="548"/>
      <c r="VF138" s="548"/>
      <c r="VG138" s="548"/>
      <c r="VH138" s="548"/>
      <c r="VI138" s="548"/>
      <c r="VJ138" s="548"/>
      <c r="VK138" s="548"/>
      <c r="VL138" s="548"/>
      <c r="VM138" s="548"/>
      <c r="VN138" s="548"/>
      <c r="VO138" s="548"/>
      <c r="VP138" s="548"/>
      <c r="VQ138" s="548"/>
      <c r="VR138" s="548"/>
      <c r="VS138" s="548"/>
      <c r="VT138" s="548"/>
      <c r="VU138" s="548"/>
      <c r="VV138" s="548"/>
      <c r="VW138" s="548"/>
      <c r="VX138" s="548"/>
      <c r="VY138" s="548"/>
      <c r="VZ138" s="548"/>
      <c r="WA138" s="548"/>
      <c r="WB138" s="548"/>
      <c r="WC138" s="548"/>
      <c r="WD138" s="548"/>
      <c r="WE138" s="548"/>
      <c r="WF138" s="548"/>
      <c r="WG138" s="548"/>
      <c r="WH138" s="548"/>
      <c r="WI138" s="548"/>
      <c r="WJ138" s="548"/>
      <c r="WK138" s="548"/>
      <c r="WL138" s="548"/>
      <c r="WM138" s="548"/>
      <c r="WN138" s="548"/>
      <c r="WO138" s="548"/>
      <c r="WP138" s="548"/>
      <c r="WQ138" s="548"/>
      <c r="WR138" s="548"/>
      <c r="WS138" s="548"/>
      <c r="WT138" s="548"/>
      <c r="WU138" s="548"/>
      <c r="WV138" s="548"/>
      <c r="WW138" s="548"/>
      <c r="WX138" s="548"/>
      <c r="WY138" s="548"/>
      <c r="WZ138" s="548"/>
      <c r="XA138" s="548"/>
      <c r="XB138" s="548"/>
      <c r="XC138" s="548"/>
      <c r="XD138" s="548"/>
      <c r="XE138" s="548"/>
      <c r="XF138" s="548"/>
      <c r="XG138" s="548"/>
      <c r="XH138" s="548"/>
      <c r="XI138" s="548"/>
      <c r="XJ138" s="548"/>
      <c r="XK138" s="548"/>
      <c r="XL138" s="548"/>
      <c r="XM138" s="548"/>
      <c r="XN138" s="548"/>
      <c r="XO138" s="548"/>
      <c r="XP138" s="548"/>
      <c r="XQ138" s="548"/>
      <c r="XR138" s="548"/>
      <c r="XS138" s="548"/>
      <c r="XT138" s="548"/>
      <c r="XU138" s="548"/>
      <c r="XV138" s="548"/>
      <c r="XW138" s="548"/>
      <c r="XX138" s="548"/>
      <c r="XY138" s="548"/>
      <c r="XZ138" s="548"/>
      <c r="YA138" s="548"/>
      <c r="YB138" s="548"/>
      <c r="YC138" s="548"/>
      <c r="YD138" s="548"/>
      <c r="YE138" s="548"/>
      <c r="YF138" s="548"/>
      <c r="YG138" s="548"/>
      <c r="YH138" s="548"/>
      <c r="YI138" s="548"/>
      <c r="YJ138" s="548"/>
      <c r="YK138" s="548"/>
      <c r="YL138" s="548"/>
      <c r="YM138" s="548"/>
      <c r="YN138" s="548"/>
      <c r="YO138" s="548"/>
      <c r="YP138" s="548"/>
      <c r="YQ138" s="548"/>
      <c r="YR138" s="548"/>
      <c r="YS138" s="548"/>
      <c r="YT138" s="548"/>
      <c r="YU138" s="548"/>
      <c r="YV138" s="548"/>
      <c r="YW138" s="548"/>
      <c r="YX138" s="548"/>
      <c r="YY138" s="548"/>
      <c r="YZ138" s="548"/>
      <c r="ZA138" s="548"/>
      <c r="ZB138" s="548"/>
      <c r="ZC138" s="548"/>
      <c r="ZD138" s="548"/>
      <c r="ZE138" s="548"/>
      <c r="ZF138" s="548"/>
      <c r="ZG138" s="548"/>
      <c r="ZH138" s="548"/>
      <c r="ZI138" s="548"/>
      <c r="ZJ138" s="548"/>
      <c r="ZK138" s="548"/>
      <c r="ZL138" s="548"/>
      <c r="ZM138" s="548"/>
      <c r="ZN138" s="548"/>
      <c r="ZO138" s="548"/>
      <c r="ZP138" s="548"/>
      <c r="ZQ138" s="548"/>
      <c r="ZR138" s="548"/>
      <c r="ZS138" s="548"/>
      <c r="ZT138" s="548"/>
      <c r="ZU138" s="548"/>
      <c r="ZV138" s="548"/>
      <c r="ZW138" s="548"/>
      <c r="ZX138" s="548"/>
      <c r="ZY138" s="548"/>
      <c r="ZZ138" s="548"/>
      <c r="AAA138" s="548"/>
      <c r="AAB138" s="548"/>
      <c r="AAC138" s="548"/>
      <c r="AAD138" s="548"/>
      <c r="AAE138" s="548"/>
      <c r="AAF138" s="548"/>
      <c r="AAG138" s="548"/>
      <c r="AAH138" s="548"/>
      <c r="AAI138" s="548"/>
      <c r="AAJ138" s="548"/>
      <c r="AAK138" s="548"/>
      <c r="AAL138" s="548"/>
      <c r="AAM138" s="548"/>
      <c r="AAN138" s="548"/>
      <c r="AAO138" s="548"/>
      <c r="AAP138" s="548"/>
      <c r="AAQ138" s="548"/>
      <c r="AAR138" s="548"/>
      <c r="AAS138" s="548"/>
      <c r="AAT138" s="548"/>
      <c r="AAU138" s="548"/>
      <c r="AAV138" s="548"/>
      <c r="AAW138" s="548"/>
      <c r="AAX138" s="548"/>
      <c r="AAY138" s="548"/>
      <c r="AAZ138" s="548"/>
      <c r="ABA138" s="548"/>
      <c r="ABB138" s="548"/>
      <c r="ABC138" s="548"/>
      <c r="ABD138" s="548"/>
      <c r="ABE138" s="548"/>
      <c r="ABF138" s="548"/>
      <c r="ABG138" s="548"/>
      <c r="ABH138" s="548"/>
      <c r="ABI138" s="548"/>
      <c r="ABJ138" s="548"/>
      <c r="ABK138" s="548"/>
      <c r="ABL138" s="548"/>
      <c r="ABM138" s="548"/>
      <c r="ABN138" s="548"/>
      <c r="ABO138" s="548"/>
      <c r="ABP138" s="548"/>
      <c r="ABQ138" s="548"/>
      <c r="ABR138" s="548"/>
      <c r="ABS138" s="548"/>
    </row>
    <row r="139" spans="1:747" customFormat="1" ht="15" customHeight="1" x14ac:dyDescent="0.2">
      <c r="A139" s="424" t="str">
        <f t="shared" si="1687"/>
        <v/>
      </c>
      <c r="B139" s="415"/>
      <c r="C139" s="525"/>
      <c r="D139" s="750"/>
      <c r="E139" s="416" t="str">
        <f t="shared" si="1529"/>
        <v/>
      </c>
      <c r="F139" s="527" t="str">
        <f t="shared" si="1530"/>
        <v/>
      </c>
      <c r="G139" s="417"/>
      <c r="H139" s="585" t="str">
        <f t="shared" si="1531"/>
        <v/>
      </c>
      <c r="I139" s="424"/>
      <c r="J139" s="419"/>
      <c r="K139" s="418"/>
      <c r="L139" s="419"/>
      <c r="M139" s="415"/>
      <c r="N139" s="420"/>
      <c r="O139" s="421"/>
      <c r="P139" s="561"/>
      <c r="Q139" s="422"/>
      <c r="R139" s="561" t="str">
        <f t="shared" si="1532"/>
        <v/>
      </c>
      <c r="S139" s="664"/>
      <c r="T139" s="663"/>
      <c r="U139" s="580">
        <f t="shared" si="1533"/>
        <v>0</v>
      </c>
      <c r="V139" s="418"/>
      <c r="W139" s="582" t="str">
        <f t="shared" si="1534"/>
        <v/>
      </c>
      <c r="X139" s="479" t="str">
        <f t="shared" si="1535"/>
        <v/>
      </c>
      <c r="Y139" s="582" t="str">
        <f t="shared" si="1536"/>
        <v/>
      </c>
      <c r="Z139" s="317" t="str">
        <f t="shared" si="1537"/>
        <v/>
      </c>
      <c r="AA139" s="317" t="str">
        <f t="shared" si="1538"/>
        <v/>
      </c>
      <c r="AB139" s="317">
        <f t="shared" si="1539"/>
        <v>0</v>
      </c>
      <c r="AC139" s="317" t="str">
        <f t="shared" si="1540"/>
        <v/>
      </c>
      <c r="AD139" s="479"/>
      <c r="AE139" s="479"/>
      <c r="AF139" s="479"/>
      <c r="AG139" s="423"/>
      <c r="AH139" s="820"/>
      <c r="AI139" s="437"/>
      <c r="AJ139" s="660"/>
      <c r="AK139" s="524" t="str">
        <f t="shared" si="1541"/>
        <v/>
      </c>
      <c r="AL139" s="731">
        <f>SUMIF($J$4:$J$74,"Livre Aplic.",$S$4:$S$74)</f>
        <v>0</v>
      </c>
      <c r="AM139" s="732">
        <f>SUMIF($J$4:$J$74,"Livre Aplic.",$T$4:$T$74)</f>
        <v>0</v>
      </c>
      <c r="AN139" s="426">
        <f t="shared" si="1542"/>
        <v>0</v>
      </c>
      <c r="AO139" s="427" t="str">
        <f t="shared" si="1543"/>
        <v/>
      </c>
      <c r="AP139" s="768" t="str">
        <f t="shared" si="1544"/>
        <v/>
      </c>
      <c r="AQ139" s="426"/>
      <c r="AR139" s="426"/>
      <c r="AS139" s="428"/>
      <c r="AT139" s="429"/>
      <c r="AU139" s="430"/>
      <c r="AV139" s="431"/>
      <c r="AW139" s="432"/>
      <c r="AX139" s="430"/>
      <c r="AY139" s="431">
        <f t="shared" si="1545"/>
        <v>0</v>
      </c>
      <c r="AZ139" s="426"/>
      <c r="BA139" s="435" t="str">
        <f t="shared" si="1546"/>
        <v/>
      </c>
      <c r="BB139" s="435"/>
      <c r="BC139" s="426"/>
      <c r="BD139" s="426">
        <f t="array" ref="BD139">IF(SUM((BC139=$BC$3:BC138)*1)=0,BC139,0)</f>
        <v>0</v>
      </c>
      <c r="BE139" s="426"/>
      <c r="BF139" s="426"/>
      <c r="BG139" s="426">
        <f t="array" ref="BG139">IF(SUM((BF139=$BF$3:BF138)*1)=0,BF139,0)</f>
        <v>0</v>
      </c>
      <c r="BH139" s="426"/>
      <c r="BI139" s="426"/>
      <c r="BJ139" s="426"/>
      <c r="BK139" s="426"/>
      <c r="BL139" s="426"/>
      <c r="BM139" s="426"/>
      <c r="BN139" s="426"/>
      <c r="BO139" s="426"/>
      <c r="BP139" s="433">
        <f t="shared" si="1547"/>
        <v>0</v>
      </c>
      <c r="BQ139" s="426"/>
      <c r="BR139" s="434"/>
      <c r="BS139" s="426"/>
      <c r="BT139" s="433"/>
      <c r="BU139" s="435"/>
      <c r="BV139" s="435" t="str">
        <f t="shared" si="1548"/>
        <v/>
      </c>
      <c r="BW139" s="435" t="str">
        <f t="shared" si="1576"/>
        <v/>
      </c>
      <c r="BX139" s="435"/>
      <c r="BY139" s="435"/>
      <c r="BZ139" s="435"/>
      <c r="CA139" s="435"/>
      <c r="CB139" s="435"/>
      <c r="CC139" s="435"/>
      <c r="CD139" s="435"/>
      <c r="CE139" s="435"/>
      <c r="CF139" s="435"/>
      <c r="CG139" s="435"/>
      <c r="CH139" s="435"/>
      <c r="CI139" s="435"/>
      <c r="CJ139" s="426" t="str">
        <f t="shared" si="1577"/>
        <v/>
      </c>
      <c r="CK139" s="435"/>
      <c r="CL139" s="426"/>
      <c r="CM139" s="435"/>
      <c r="CN139" s="426"/>
      <c r="CO139" s="426"/>
      <c r="CP139" s="426"/>
      <c r="CQ139" s="426"/>
      <c r="CR139" s="426"/>
      <c r="CS139" s="426"/>
      <c r="CT139" s="426"/>
      <c r="CU139" s="426"/>
      <c r="CV139" s="426"/>
      <c r="CW139" s="493"/>
      <c r="CX139" s="493"/>
      <c r="CY139" s="426">
        <v>136</v>
      </c>
      <c r="CZ139" s="493"/>
      <c r="DA139" s="493"/>
      <c r="DB139" s="493"/>
      <c r="DC139" s="426" t="s">
        <v>879</v>
      </c>
      <c r="DD139" s="426" t="s">
        <v>1039</v>
      </c>
      <c r="DE139" s="435" t="str">
        <f t="shared" si="1578"/>
        <v/>
      </c>
      <c r="DF139" s="435" t="str">
        <f t="shared" si="1579"/>
        <v/>
      </c>
      <c r="DG139" s="435" t="str">
        <f t="shared" si="1580"/>
        <v/>
      </c>
      <c r="DH139" s="435" t="str">
        <f t="shared" si="1581"/>
        <v/>
      </c>
      <c r="DI139" s="435" t="str">
        <f t="shared" si="1582"/>
        <v/>
      </c>
      <c r="DJ139" s="435" t="str">
        <f t="shared" si="1583"/>
        <v/>
      </c>
      <c r="DK139" s="435" t="str">
        <f t="shared" si="1549"/>
        <v/>
      </c>
      <c r="DL139" s="435" t="str">
        <f t="shared" si="1550"/>
        <v/>
      </c>
      <c r="DM139" s="435" t="str">
        <f t="shared" si="1584"/>
        <v/>
      </c>
      <c r="DN139" s="435" t="str">
        <f t="shared" si="1585"/>
        <v/>
      </c>
      <c r="DO139" s="435" t="str">
        <f t="shared" si="1551"/>
        <v/>
      </c>
      <c r="DP139" s="435" t="str">
        <f t="shared" si="1552"/>
        <v/>
      </c>
      <c r="DQ139" s="435" t="str">
        <f t="shared" si="1586"/>
        <v/>
      </c>
      <c r="DR139" s="435" t="str">
        <f t="shared" si="1587"/>
        <v/>
      </c>
      <c r="DS139" s="435" t="str">
        <f t="shared" si="1553"/>
        <v/>
      </c>
      <c r="DT139" s="435" t="str">
        <f t="shared" si="1554"/>
        <v/>
      </c>
      <c r="DU139" s="435" t="str">
        <f t="shared" si="1588"/>
        <v/>
      </c>
      <c r="DV139" s="435" t="str">
        <f t="shared" si="1589"/>
        <v/>
      </c>
      <c r="DW139" s="435" t="str">
        <f t="shared" si="1555"/>
        <v/>
      </c>
      <c r="DX139" s="435" t="str">
        <f t="shared" si="1556"/>
        <v/>
      </c>
      <c r="DY139" s="435" t="str">
        <f t="shared" si="1590"/>
        <v/>
      </c>
      <c r="DZ139" s="435" t="str">
        <f t="shared" si="1591"/>
        <v/>
      </c>
      <c r="EA139" s="435" t="str">
        <f t="shared" si="1557"/>
        <v/>
      </c>
      <c r="EB139" s="435" t="str">
        <f t="shared" si="1558"/>
        <v/>
      </c>
      <c r="EC139" s="435" t="str">
        <f t="shared" si="1559"/>
        <v/>
      </c>
      <c r="ED139" s="435" t="str">
        <f t="shared" si="1560"/>
        <v/>
      </c>
      <c r="EE139" s="435" t="str">
        <f t="shared" si="1561"/>
        <v/>
      </c>
      <c r="EF139" s="435" t="str">
        <f t="shared" si="1562"/>
        <v/>
      </c>
      <c r="EG139" s="435" t="str">
        <f t="shared" si="1563"/>
        <v/>
      </c>
      <c r="EH139" s="435" t="str">
        <f t="shared" si="1564"/>
        <v/>
      </c>
      <c r="EI139" s="435" t="str">
        <f t="shared" si="1565"/>
        <v/>
      </c>
      <c r="EJ139" s="435" t="str">
        <f t="shared" si="1566"/>
        <v/>
      </c>
      <c r="EK139" s="485"/>
      <c r="EL139" s="485"/>
      <c r="EM139" s="485"/>
      <c r="EN139" s="485"/>
      <c r="EO139" s="448"/>
      <c r="EP139" s="448"/>
      <c r="EQ139" s="448"/>
      <c r="ER139" s="448"/>
      <c r="ES139" s="448"/>
      <c r="ET139" s="435"/>
      <c r="EU139" s="435"/>
      <c r="EV139" s="435"/>
      <c r="EW139" s="435"/>
      <c r="EX139" s="426"/>
      <c r="EY139" s="426"/>
      <c r="EZ139" s="426"/>
      <c r="FA139" s="863"/>
      <c r="FB139" s="427">
        <f t="array" ref="FB139">IF(SUM((FA139=$FA$3:FA138)*1)=0,FA139,0)</f>
        <v>0</v>
      </c>
      <c r="FC139" s="863"/>
      <c r="FD139" s="863"/>
      <c r="FE139" s="863">
        <f t="array" ref="FE139">IF(SUM((FD139=$FD$3:FD138)*1)=0,FD139,0)</f>
        <v>0</v>
      </c>
      <c r="FF139" s="863"/>
      <c r="FG139" s="863"/>
      <c r="FH139" s="863"/>
      <c r="FI139" s="427">
        <f t="array" ref="FI139">IF(SUM((FH139=$FH$3:FH138)*1)=0,FH139,0)</f>
        <v>0</v>
      </c>
      <c r="FJ139" s="863"/>
      <c r="FK139" s="863"/>
      <c r="FL139" s="863">
        <f t="array" ref="FL139">IF(SUM((FK139=$FK$3:FK138)*1)=0,FK139,0)</f>
        <v>0</v>
      </c>
      <c r="FM139" s="863"/>
      <c r="FN139" s="863"/>
      <c r="FO139" s="863"/>
      <c r="FP139" s="427">
        <f t="array" ref="FP139">IF(SUM((FO139=$FO$3:FO138)*1)=0,FO139,0)</f>
        <v>0</v>
      </c>
      <c r="FQ139" s="863"/>
      <c r="FR139" s="863"/>
      <c r="FS139" s="863">
        <f t="array" ref="FS139">IF(SUM((FR139=$FR$3:FR138)*1)=0,FR139,0)</f>
        <v>0</v>
      </c>
      <c r="FT139" s="863"/>
      <c r="FU139" s="863"/>
      <c r="FV139" s="863"/>
      <c r="FW139" s="427">
        <f t="array" ref="FW139">IF(SUM((FV139=$FV$3:FV138)*1)=0,FV139,0)</f>
        <v>0</v>
      </c>
      <c r="FX139" s="863"/>
      <c r="FY139" s="863"/>
      <c r="FZ139" s="863">
        <f t="array" ref="FZ139">IF(SUM((FY139=$FY$3:FY138)*1)=0,FY139,0)</f>
        <v>0</v>
      </c>
      <c r="GA139" s="863"/>
      <c r="GB139" s="863"/>
      <c r="GC139" s="863"/>
      <c r="GD139" s="427">
        <f t="array" ref="GD139">IF(SUM((GC139=$GC$3:GC138)*1)=0,GC139,0)</f>
        <v>0</v>
      </c>
      <c r="GE139" s="863"/>
      <c r="GF139" s="863"/>
      <c r="GG139" s="863">
        <f t="array" ref="GG139">IF(SUM((GF139=$GF$3:GF138)*1)=0,GF139,0)</f>
        <v>0</v>
      </c>
      <c r="GH139" s="863"/>
      <c r="GI139" s="863"/>
      <c r="GJ139" s="863"/>
      <c r="GK139" s="798">
        <f t="array" ref="GK139">IF(SUM((GJ139=$GJ$3:GJ138)*1)=0,GJ139,0)</f>
        <v>0</v>
      </c>
      <c r="GL139" s="863"/>
      <c r="GM139" s="863"/>
      <c r="GN139" s="798">
        <f t="array" ref="GN139">IF(SUM((GM139=$GM$3:GM138)*1)=0,GM139,0)</f>
        <v>0</v>
      </c>
      <c r="GO139" s="863"/>
      <c r="GP139" s="863"/>
      <c r="GQ139" s="863"/>
      <c r="GR139" s="798">
        <f t="array" ref="GR139">IF(SUM((GQ139=$GQ$3:GQ138)*1)=0,GQ139,0)</f>
        <v>0</v>
      </c>
      <c r="GS139" s="863"/>
      <c r="GT139" s="863"/>
      <c r="GU139" s="798">
        <f t="array" ref="GU139">IF(SUM((GT139=$GT$3:GT138)*1)=0,GT139,0)</f>
        <v>0</v>
      </c>
      <c r="GV139" s="863"/>
      <c r="GW139" s="863"/>
      <c r="GX139" s="863"/>
      <c r="GY139" s="798">
        <f t="array" ref="GY139">IF(SUM((GX139=$GX$3:GX138)*1)=0,GX139,0)</f>
        <v>0</v>
      </c>
      <c r="GZ139" s="863"/>
      <c r="HA139" s="863"/>
      <c r="HB139" s="798">
        <f t="array" ref="HB139">IF(SUM((HA139=$HA$3:HA138)*1)=0,HA139,0)</f>
        <v>0</v>
      </c>
      <c r="HC139" s="863"/>
      <c r="HD139" s="863"/>
      <c r="HE139" s="769" t="str">
        <f t="shared" si="1667"/>
        <v/>
      </c>
      <c r="HF139" s="768" t="str">
        <f t="shared" ref="HF139" si="1724">IF(HE139&lt;0,"Invadiu REP-BA-C","")</f>
        <v/>
      </c>
      <c r="HG139" s="769" t="str">
        <f t="shared" si="1669"/>
        <v/>
      </c>
      <c r="HH139" s="768" t="str">
        <f t="shared" si="1593"/>
        <v/>
      </c>
      <c r="HI139" s="728" t="str">
        <f t="shared" si="1670"/>
        <v/>
      </c>
      <c r="HJ139" s="768" t="str">
        <f t="shared" si="1594"/>
        <v/>
      </c>
      <c r="HK139" s="728" t="str">
        <f t="shared" si="1671"/>
        <v/>
      </c>
      <c r="HL139" s="768" t="str">
        <f t="shared" si="1595"/>
        <v/>
      </c>
      <c r="HM139" s="769" t="str">
        <f t="shared" si="1596"/>
        <v/>
      </c>
      <c r="HN139" s="768" t="str">
        <f t="shared" ref="HN139" si="1725">IF(HM139&lt;0,"Invadiu REP-BA-C","")</f>
        <v/>
      </c>
      <c r="HO139" s="769" t="str">
        <f t="shared" si="1598"/>
        <v/>
      </c>
      <c r="HP139" s="768" t="str">
        <f t="shared" si="1599"/>
        <v/>
      </c>
      <c r="HQ139" s="728" t="str">
        <f t="shared" si="1600"/>
        <v/>
      </c>
      <c r="HR139" s="768" t="str">
        <f t="shared" si="1601"/>
        <v/>
      </c>
      <c r="HS139" s="728" t="str">
        <f t="shared" si="1602"/>
        <v/>
      </c>
      <c r="HT139" s="768" t="str">
        <f t="shared" si="1603"/>
        <v/>
      </c>
      <c r="HU139" s="769" t="str">
        <f t="shared" si="1604"/>
        <v/>
      </c>
      <c r="HV139" s="768" t="str">
        <f t="shared" ref="HV139" si="1726">IF(HU139&lt;0,"Invadiu REP-BA-C","")</f>
        <v/>
      </c>
      <c r="HW139" s="769" t="str">
        <f t="shared" si="1606"/>
        <v/>
      </c>
      <c r="HX139" s="768" t="str">
        <f t="shared" si="1607"/>
        <v/>
      </c>
      <c r="HY139" s="728" t="str">
        <f t="shared" si="1608"/>
        <v/>
      </c>
      <c r="HZ139" s="768" t="str">
        <f t="shared" si="1609"/>
        <v/>
      </c>
      <c r="IA139" s="728" t="str">
        <f t="shared" si="1610"/>
        <v/>
      </c>
      <c r="IB139" s="768" t="str">
        <f t="shared" si="1611"/>
        <v/>
      </c>
      <c r="IC139" s="769" t="str">
        <f t="shared" si="1612"/>
        <v/>
      </c>
      <c r="ID139" s="768" t="str">
        <f t="shared" ref="ID139" si="1727">IF(IC139&lt;0,"Invadiu REP-BA-C","")</f>
        <v/>
      </c>
      <c r="IE139" s="769" t="str">
        <f t="shared" si="1614"/>
        <v/>
      </c>
      <c r="IF139" s="768" t="str">
        <f t="shared" si="1615"/>
        <v/>
      </c>
      <c r="IG139" s="728" t="str">
        <f t="shared" si="1616"/>
        <v/>
      </c>
      <c r="IH139" s="768" t="str">
        <f t="shared" si="1617"/>
        <v/>
      </c>
      <c r="II139" s="728" t="str">
        <f t="shared" si="1618"/>
        <v/>
      </c>
      <c r="IJ139" s="768" t="str">
        <f t="shared" si="1619"/>
        <v/>
      </c>
      <c r="IK139" s="769" t="str">
        <f t="shared" si="1620"/>
        <v/>
      </c>
      <c r="IL139" s="768" t="str">
        <f t="shared" ref="IL139" si="1728">IF(IK139&lt;0,"Invadiu REP-BA-C","")</f>
        <v/>
      </c>
      <c r="IM139" s="769" t="str">
        <f t="shared" si="1622"/>
        <v/>
      </c>
      <c r="IN139" s="768" t="str">
        <f t="shared" si="1623"/>
        <v/>
      </c>
      <c r="IO139" s="728" t="str">
        <f t="shared" si="1624"/>
        <v/>
      </c>
      <c r="IP139" s="768" t="str">
        <f t="shared" si="1625"/>
        <v/>
      </c>
      <c r="IQ139" s="728" t="str">
        <f t="shared" si="1626"/>
        <v/>
      </c>
      <c r="IR139" s="768" t="str">
        <f t="shared" si="1627"/>
        <v/>
      </c>
      <c r="IS139" s="769" t="str">
        <f t="shared" si="1628"/>
        <v/>
      </c>
      <c r="IT139" s="768" t="str">
        <f t="shared" ref="IT139" si="1729">IF(IS139&lt;0,"Invadiu REP-BA-C","")</f>
        <v/>
      </c>
      <c r="IU139" s="769" t="str">
        <f t="shared" si="1630"/>
        <v/>
      </c>
      <c r="IV139" s="768" t="str">
        <f t="shared" si="1631"/>
        <v/>
      </c>
      <c r="IW139" s="728" t="str">
        <f t="shared" si="1632"/>
        <v/>
      </c>
      <c r="IX139" s="768" t="str">
        <f t="shared" si="1633"/>
        <v/>
      </c>
      <c r="IY139" s="728" t="str">
        <f t="shared" si="1634"/>
        <v/>
      </c>
      <c r="IZ139" s="768" t="str">
        <f t="shared" si="1635"/>
        <v/>
      </c>
      <c r="JA139" s="769" t="str">
        <f t="shared" si="1636"/>
        <v/>
      </c>
      <c r="JB139" s="768" t="str">
        <f t="shared" ref="JB139" si="1730">IF(JA139&lt;0,"Invadiu REP-BA-C","")</f>
        <v/>
      </c>
      <c r="JC139" s="769" t="str">
        <f t="shared" si="1638"/>
        <v/>
      </c>
      <c r="JD139" s="768" t="str">
        <f t="shared" si="1639"/>
        <v/>
      </c>
      <c r="JE139" s="728" t="str">
        <f t="shared" si="1640"/>
        <v/>
      </c>
      <c r="JF139" s="768" t="str">
        <f t="shared" si="1641"/>
        <v/>
      </c>
      <c r="JG139" s="728" t="str">
        <f t="shared" si="1642"/>
        <v/>
      </c>
      <c r="JH139" s="768" t="str">
        <f t="shared" si="1643"/>
        <v/>
      </c>
      <c r="JI139" s="769" t="str">
        <f t="shared" si="1644"/>
        <v/>
      </c>
      <c r="JJ139" s="768" t="str">
        <f t="shared" ref="JJ139" si="1731">IF(JI139&lt;0,"Invadiu REP-BA-C","")</f>
        <v/>
      </c>
      <c r="JK139" s="769" t="str">
        <f t="shared" si="1646"/>
        <v/>
      </c>
      <c r="JL139" s="768" t="str">
        <f t="shared" si="1647"/>
        <v/>
      </c>
      <c r="JM139" s="728" t="str">
        <f t="shared" si="1648"/>
        <v/>
      </c>
      <c r="JN139" s="768" t="str">
        <f t="shared" si="1649"/>
        <v/>
      </c>
      <c r="JO139" s="728" t="str">
        <f t="shared" si="1650"/>
        <v/>
      </c>
      <c r="JP139" s="768" t="str">
        <f t="shared" si="1651"/>
        <v/>
      </c>
      <c r="JQ139" s="769" t="str">
        <f t="shared" si="1652"/>
        <v/>
      </c>
      <c r="JR139" s="768" t="str">
        <f t="shared" ref="JR139" si="1732">IF(JQ139&lt;0,"Invadiu REP-BA-C","")</f>
        <v/>
      </c>
      <c r="JS139" s="769" t="str">
        <f t="shared" si="1654"/>
        <v/>
      </c>
      <c r="JT139" s="768" t="str">
        <f t="shared" si="1655"/>
        <v/>
      </c>
      <c r="JU139" s="728" t="str">
        <f t="shared" si="1656"/>
        <v/>
      </c>
      <c r="JV139" s="768" t="str">
        <f t="shared" si="1657"/>
        <v/>
      </c>
      <c r="JW139" s="728" t="str">
        <f t="shared" si="1658"/>
        <v/>
      </c>
      <c r="JX139" s="768" t="str">
        <f t="shared" si="1659"/>
        <v/>
      </c>
      <c r="JY139" s="768" t="str">
        <f t="shared" si="1660"/>
        <v/>
      </c>
      <c r="JZ139" s="485" t="str">
        <f>IF(JY139="","",IF(AND(C139=$C$164,JY139&lt;&gt;""),Verificarcpf(D139),IF(AND(C139=$C$165,JY139&lt;&gt;""),VerificarCNPJ(D139))))</f>
        <v/>
      </c>
      <c r="KA139" s="768" t="str">
        <f t="shared" si="1661"/>
        <v/>
      </c>
      <c r="KB139" s="485">
        <f t="shared" si="1662"/>
        <v>0</v>
      </c>
      <c r="KC139" s="768">
        <f t="shared" si="1663"/>
        <v>0</v>
      </c>
      <c r="KD139" s="485">
        <f t="shared" si="1664"/>
        <v>0</v>
      </c>
      <c r="KE139" s="448"/>
      <c r="KF139" s="548"/>
      <c r="KG139" s="548"/>
      <c r="KH139" s="548"/>
      <c r="KI139" s="548"/>
      <c r="KJ139" s="548" t="str">
        <f t="shared" si="1665"/>
        <v/>
      </c>
      <c r="KK139" s="548"/>
      <c r="KL139" s="548"/>
      <c r="KM139" s="548">
        <f t="array" ref="KM139">IF(SUM((KL139=$KL$3:KL138)*1)=0,KL139,0)</f>
        <v>0</v>
      </c>
      <c r="KN139" s="548"/>
      <c r="KO139" s="548"/>
      <c r="KP139" s="548"/>
      <c r="KQ139" s="548"/>
      <c r="KR139" s="548" t="str">
        <f t="shared" si="1666"/>
        <v/>
      </c>
      <c r="KS139" s="548"/>
      <c r="KT139" s="548"/>
      <c r="KU139" s="548"/>
      <c r="KV139" s="548"/>
      <c r="KW139" s="548"/>
      <c r="KX139" s="548"/>
      <c r="KY139" s="548"/>
      <c r="KZ139" s="548"/>
      <c r="LA139" s="548"/>
      <c r="LB139" s="548"/>
      <c r="LC139" s="485" t="str">
        <f t="shared" si="1680"/>
        <v/>
      </c>
      <c r="LD139" s="548"/>
      <c r="LE139" s="548"/>
      <c r="LF139" s="548"/>
      <c r="LG139" s="548"/>
      <c r="LH139" s="548"/>
      <c r="LI139" s="548"/>
      <c r="LJ139" s="548"/>
      <c r="LK139" s="548"/>
      <c r="LL139" s="548"/>
      <c r="LM139" s="548"/>
      <c r="LN139" s="548"/>
      <c r="LO139" s="548"/>
      <c r="LP139" s="485" t="str">
        <f t="shared" si="1681"/>
        <v/>
      </c>
      <c r="LQ139" s="548"/>
      <c r="LR139" s="548"/>
      <c r="LS139" s="548"/>
      <c r="LT139" s="548"/>
      <c r="LU139" s="548"/>
      <c r="LV139" s="548"/>
      <c r="LW139" s="548"/>
      <c r="LX139" s="548"/>
      <c r="LY139" s="548"/>
      <c r="LZ139" s="548"/>
      <c r="MA139" s="548"/>
      <c r="MB139" s="548"/>
      <c r="MC139" s="485" t="str">
        <f t="shared" si="1682"/>
        <v/>
      </c>
      <c r="MD139" s="548"/>
      <c r="ME139" s="548"/>
      <c r="MF139" s="548"/>
      <c r="MG139" s="548"/>
      <c r="MH139" s="548"/>
      <c r="MI139" s="548"/>
      <c r="MJ139" s="548"/>
      <c r="MK139" s="548"/>
      <c r="ML139" s="548"/>
      <c r="MM139" s="548"/>
      <c r="MN139" s="548"/>
      <c r="MO139" s="548"/>
      <c r="MP139" s="485" t="str">
        <f t="shared" si="1683"/>
        <v/>
      </c>
      <c r="MQ139" s="548"/>
      <c r="MR139" s="548"/>
      <c r="MS139" s="548"/>
      <c r="MT139" s="548"/>
      <c r="MU139" s="548"/>
      <c r="MV139" s="548"/>
      <c r="MW139" s="548"/>
      <c r="MX139" s="548"/>
      <c r="MY139" s="548"/>
      <c r="MZ139" s="548"/>
      <c r="NA139" s="548"/>
      <c r="NB139" s="548"/>
      <c r="NC139" s="485" t="str">
        <f t="shared" si="1684"/>
        <v/>
      </c>
      <c r="ND139" s="548"/>
      <c r="NE139" s="548"/>
      <c r="NF139" s="548"/>
      <c r="NG139" s="548"/>
      <c r="NH139" s="548"/>
      <c r="NI139" s="548"/>
      <c r="NJ139" s="548"/>
      <c r="NK139" s="548"/>
      <c r="NL139" s="548"/>
      <c r="NM139" s="548"/>
      <c r="NN139" s="548"/>
      <c r="NO139" s="548"/>
      <c r="NP139" s="485" t="str">
        <f t="shared" si="1685"/>
        <v/>
      </c>
      <c r="NQ139" s="548"/>
      <c r="NR139" s="548"/>
      <c r="NS139" s="548"/>
      <c r="NT139" s="548"/>
      <c r="NU139" s="548"/>
      <c r="NV139" s="548"/>
      <c r="NW139" s="548"/>
      <c r="NX139" s="548"/>
      <c r="NY139" s="548"/>
      <c r="NZ139" s="548"/>
      <c r="OA139" s="548"/>
      <c r="OB139" s="548"/>
      <c r="OC139" s="485" t="str">
        <f t="shared" si="1686"/>
        <v/>
      </c>
      <c r="OD139" s="548"/>
      <c r="OE139" s="548"/>
      <c r="OF139" s="548"/>
      <c r="OG139" s="548"/>
      <c r="OH139" s="548"/>
      <c r="OI139" s="548"/>
      <c r="OJ139" s="548"/>
      <c r="OK139" s="548"/>
      <c r="OL139" s="548"/>
      <c r="OM139" s="548"/>
      <c r="ON139" s="548"/>
      <c r="OO139" s="548"/>
      <c r="OP139" s="548"/>
      <c r="OQ139" s="548"/>
      <c r="OR139" s="548"/>
      <c r="OS139" s="548"/>
      <c r="OT139" s="548"/>
      <c r="OU139" s="548"/>
      <c r="OV139" s="548"/>
      <c r="OW139" s="548"/>
      <c r="OX139" s="548"/>
      <c r="OY139" s="548"/>
      <c r="OZ139" s="548"/>
      <c r="PA139" s="548"/>
      <c r="PB139" s="548"/>
      <c r="PC139" s="548"/>
      <c r="PD139" s="548"/>
      <c r="PE139" s="548"/>
      <c r="PF139" s="548"/>
      <c r="PG139" s="548"/>
      <c r="PH139" s="548"/>
      <c r="PI139" s="548"/>
      <c r="PJ139" s="548"/>
      <c r="PK139" s="548"/>
      <c r="PL139" s="548"/>
      <c r="PM139" s="548"/>
      <c r="PN139" s="548"/>
      <c r="PO139" s="548"/>
      <c r="PP139" s="548"/>
      <c r="PQ139" s="548"/>
      <c r="PR139" s="548"/>
      <c r="PS139" s="548"/>
      <c r="PT139" s="548"/>
      <c r="PU139" s="548"/>
      <c r="PV139" s="548"/>
      <c r="PW139" s="548"/>
      <c r="PX139" s="548"/>
      <c r="PY139" s="548"/>
      <c r="PZ139" s="548"/>
      <c r="QA139" s="548"/>
      <c r="QB139" s="548"/>
      <c r="QC139" s="548"/>
      <c r="QD139" s="548"/>
      <c r="QE139" s="548"/>
      <c r="QF139" s="548"/>
      <c r="QG139" s="548"/>
      <c r="QH139" s="548"/>
      <c r="QI139" s="548"/>
      <c r="QJ139" s="548"/>
      <c r="QK139" s="548"/>
      <c r="QL139" s="548"/>
      <c r="QM139" s="548"/>
      <c r="QN139" s="548"/>
      <c r="QO139" s="548"/>
      <c r="QP139" s="548"/>
      <c r="QQ139" s="1009"/>
      <c r="QR139" s="548"/>
      <c r="QS139" s="548"/>
      <c r="QT139" s="548"/>
      <c r="QU139" s="548"/>
      <c r="QV139" s="548"/>
      <c r="QW139" s="548"/>
      <c r="QX139" s="548"/>
      <c r="QY139" s="548"/>
      <c r="QZ139" s="548"/>
      <c r="RA139" s="548"/>
      <c r="RB139" s="548"/>
      <c r="RC139" s="548"/>
      <c r="RD139" s="548"/>
      <c r="RE139" s="548"/>
      <c r="RF139" s="548"/>
      <c r="RG139" s="548"/>
      <c r="RH139" s="548"/>
      <c r="RI139" s="548"/>
      <c r="RJ139" s="548"/>
      <c r="RK139" s="548"/>
      <c r="RL139" s="548"/>
      <c r="RM139" s="548"/>
      <c r="RN139" s="548"/>
      <c r="RO139" s="548"/>
      <c r="RP139" s="548"/>
      <c r="RQ139" s="548"/>
      <c r="RR139" s="548"/>
      <c r="RS139" s="548"/>
      <c r="RT139" s="548"/>
      <c r="RU139" s="548"/>
      <c r="RV139" s="548"/>
      <c r="RW139" s="548"/>
      <c r="RX139" s="548"/>
      <c r="RY139" s="548"/>
      <c r="RZ139" s="548"/>
      <c r="SA139" s="548"/>
      <c r="SB139" s="548"/>
      <c r="SC139" s="548"/>
      <c r="SD139" s="548"/>
      <c r="SE139" s="548"/>
      <c r="SF139" s="548"/>
      <c r="SG139" s="548"/>
      <c r="SH139" s="548"/>
      <c r="SI139" s="548"/>
      <c r="SJ139" s="548"/>
      <c r="SK139" s="548"/>
      <c r="SL139" s="548"/>
      <c r="SM139" s="548"/>
      <c r="SN139" s="548"/>
      <c r="SO139" s="548"/>
      <c r="SP139" s="548"/>
      <c r="SQ139" s="548"/>
      <c r="SR139" s="548"/>
      <c r="SS139" s="548"/>
      <c r="ST139" s="548"/>
      <c r="SU139" s="548"/>
      <c r="SV139" s="548"/>
      <c r="SW139" s="548"/>
      <c r="SX139" s="548"/>
      <c r="SY139" s="548"/>
      <c r="SZ139" s="548"/>
      <c r="TA139" s="548"/>
      <c r="TB139" s="548"/>
      <c r="TC139" s="548"/>
      <c r="TD139" s="548"/>
      <c r="TE139" s="548"/>
      <c r="TF139" s="548"/>
      <c r="TG139" s="548"/>
      <c r="TH139" s="548"/>
      <c r="TI139" s="548"/>
      <c r="TJ139" s="548"/>
      <c r="TK139" s="548"/>
      <c r="TL139" s="548"/>
      <c r="TM139" s="548"/>
      <c r="TN139" s="548"/>
      <c r="TO139" s="548"/>
      <c r="TP139" s="548"/>
      <c r="TQ139" s="548"/>
      <c r="TR139" s="548"/>
      <c r="TS139" s="548"/>
      <c r="TT139" s="548"/>
      <c r="TU139" s="548"/>
      <c r="TV139" s="548"/>
      <c r="TW139" s="548"/>
      <c r="TX139" s="548"/>
      <c r="TY139" s="548"/>
      <c r="TZ139" s="548"/>
      <c r="UA139" s="548"/>
      <c r="UB139" s="548"/>
      <c r="UC139" s="548"/>
      <c r="UD139" s="548"/>
      <c r="UE139" s="548"/>
      <c r="UF139" s="548"/>
      <c r="UG139" s="548"/>
      <c r="UH139" s="548"/>
      <c r="UI139" s="548"/>
      <c r="UJ139" s="548"/>
      <c r="UK139" s="548"/>
      <c r="UL139" s="548"/>
      <c r="UM139" s="548"/>
      <c r="UN139" s="548"/>
      <c r="UO139" s="548"/>
      <c r="UP139" s="548"/>
      <c r="UQ139" s="548"/>
      <c r="UR139" s="548"/>
      <c r="US139" s="548"/>
      <c r="UT139" s="548"/>
      <c r="UU139" s="548"/>
      <c r="UV139" s="548"/>
      <c r="UW139" s="548"/>
      <c r="UX139" s="548"/>
      <c r="UY139" s="548"/>
      <c r="UZ139" s="548"/>
      <c r="VA139" s="548"/>
      <c r="VB139" s="548"/>
      <c r="VC139" s="548"/>
      <c r="VD139" s="548"/>
      <c r="VE139" s="548"/>
      <c r="VF139" s="548"/>
      <c r="VG139" s="548"/>
      <c r="VH139" s="548"/>
      <c r="VI139" s="548"/>
      <c r="VJ139" s="548"/>
      <c r="VK139" s="548"/>
      <c r="VL139" s="548"/>
      <c r="VM139" s="548"/>
      <c r="VN139" s="548"/>
      <c r="VO139" s="548"/>
      <c r="VP139" s="548"/>
      <c r="VQ139" s="548"/>
      <c r="VR139" s="548"/>
      <c r="VS139" s="548"/>
      <c r="VT139" s="548"/>
      <c r="VU139" s="548"/>
      <c r="VV139" s="548"/>
      <c r="VW139" s="548"/>
      <c r="VX139" s="548"/>
      <c r="VY139" s="548"/>
      <c r="VZ139" s="548"/>
      <c r="WA139" s="548"/>
      <c r="WB139" s="548"/>
      <c r="WC139" s="548"/>
      <c r="WD139" s="548"/>
      <c r="WE139" s="548"/>
      <c r="WF139" s="548"/>
      <c r="WG139" s="548"/>
      <c r="WH139" s="548"/>
      <c r="WI139" s="548"/>
      <c r="WJ139" s="548"/>
      <c r="WK139" s="548"/>
      <c r="WL139" s="548"/>
      <c r="WM139" s="548"/>
      <c r="WN139" s="548"/>
      <c r="WO139" s="548"/>
      <c r="WP139" s="548"/>
      <c r="WQ139" s="548"/>
      <c r="WR139" s="548"/>
      <c r="WS139" s="548"/>
      <c r="WT139" s="548"/>
      <c r="WU139" s="548"/>
      <c r="WV139" s="548"/>
      <c r="WW139" s="548"/>
      <c r="WX139" s="548"/>
      <c r="WY139" s="548"/>
      <c r="WZ139" s="548"/>
      <c r="XA139" s="548"/>
      <c r="XB139" s="548"/>
      <c r="XC139" s="548"/>
      <c r="XD139" s="548"/>
      <c r="XE139" s="548"/>
      <c r="XF139" s="548"/>
      <c r="XG139" s="548"/>
      <c r="XH139" s="548"/>
      <c r="XI139" s="548"/>
      <c r="XJ139" s="548"/>
      <c r="XK139" s="548"/>
      <c r="XL139" s="548"/>
      <c r="XM139" s="548"/>
      <c r="XN139" s="548"/>
      <c r="XO139" s="548"/>
      <c r="XP139" s="548"/>
      <c r="XQ139" s="548"/>
      <c r="XR139" s="548"/>
      <c r="XS139" s="548"/>
      <c r="XT139" s="548"/>
      <c r="XU139" s="548"/>
      <c r="XV139" s="548"/>
      <c r="XW139" s="548"/>
      <c r="XX139" s="548"/>
      <c r="XY139" s="548"/>
      <c r="XZ139" s="548"/>
      <c r="YA139" s="548"/>
      <c r="YB139" s="548"/>
      <c r="YC139" s="548"/>
      <c r="YD139" s="548"/>
      <c r="YE139" s="548"/>
      <c r="YF139" s="548"/>
      <c r="YG139" s="548"/>
      <c r="YH139" s="548"/>
      <c r="YI139" s="548"/>
      <c r="YJ139" s="548"/>
      <c r="YK139" s="548"/>
      <c r="YL139" s="548"/>
      <c r="YM139" s="548"/>
      <c r="YN139" s="548"/>
      <c r="YO139" s="548"/>
      <c r="YP139" s="548"/>
      <c r="YQ139" s="548"/>
      <c r="YR139" s="548"/>
      <c r="YS139" s="548"/>
      <c r="YT139" s="548"/>
      <c r="YU139" s="548"/>
      <c r="YV139" s="548"/>
      <c r="YW139" s="548"/>
      <c r="YX139" s="548"/>
      <c r="YY139" s="548"/>
      <c r="YZ139" s="548"/>
      <c r="ZA139" s="548"/>
      <c r="ZB139" s="548"/>
      <c r="ZC139" s="548"/>
      <c r="ZD139" s="548"/>
      <c r="ZE139" s="548"/>
      <c r="ZF139" s="548"/>
      <c r="ZG139" s="548"/>
      <c r="ZH139" s="548"/>
      <c r="ZI139" s="548"/>
      <c r="ZJ139" s="548"/>
      <c r="ZK139" s="548"/>
      <c r="ZL139" s="548"/>
      <c r="ZM139" s="548"/>
      <c r="ZN139" s="548"/>
      <c r="ZO139" s="548"/>
      <c r="ZP139" s="548"/>
      <c r="ZQ139" s="548"/>
      <c r="ZR139" s="548"/>
      <c r="ZS139" s="548"/>
      <c r="ZT139" s="548"/>
      <c r="ZU139" s="548"/>
      <c r="ZV139" s="548"/>
      <c r="ZW139" s="548"/>
      <c r="ZX139" s="548"/>
      <c r="ZY139" s="548"/>
      <c r="ZZ139" s="548"/>
      <c r="AAA139" s="548"/>
      <c r="AAB139" s="548"/>
      <c r="AAC139" s="548"/>
      <c r="AAD139" s="548"/>
      <c r="AAE139" s="548"/>
      <c r="AAF139" s="548"/>
      <c r="AAG139" s="548"/>
      <c r="AAH139" s="548"/>
      <c r="AAI139" s="548"/>
      <c r="AAJ139" s="548"/>
      <c r="AAK139" s="548"/>
      <c r="AAL139" s="548"/>
      <c r="AAM139" s="548"/>
      <c r="AAN139" s="548"/>
      <c r="AAO139" s="548"/>
      <c r="AAP139" s="548"/>
      <c r="AAQ139" s="548"/>
      <c r="AAR139" s="548"/>
      <c r="AAS139" s="548"/>
      <c r="AAT139" s="548"/>
      <c r="AAU139" s="548"/>
      <c r="AAV139" s="548"/>
      <c r="AAW139" s="548"/>
      <c r="AAX139" s="548"/>
      <c r="AAY139" s="548"/>
      <c r="AAZ139" s="548"/>
      <c r="ABA139" s="548"/>
      <c r="ABB139" s="548"/>
      <c r="ABC139" s="548"/>
      <c r="ABD139" s="548"/>
      <c r="ABE139" s="548"/>
      <c r="ABF139" s="548"/>
      <c r="ABG139" s="548"/>
      <c r="ABH139" s="548"/>
      <c r="ABI139" s="548"/>
      <c r="ABJ139" s="548"/>
      <c r="ABK139" s="548"/>
      <c r="ABL139" s="548"/>
      <c r="ABM139" s="548"/>
      <c r="ABN139" s="548"/>
      <c r="ABO139" s="548"/>
      <c r="ABP139" s="548"/>
      <c r="ABQ139" s="548"/>
      <c r="ABR139" s="548"/>
      <c r="ABS139" s="548"/>
    </row>
    <row r="140" spans="1:747" customFormat="1" ht="15" customHeight="1" x14ac:dyDescent="0.2">
      <c r="A140" s="424" t="str">
        <f t="shared" si="1687"/>
        <v/>
      </c>
      <c r="B140" s="415"/>
      <c r="C140" s="525"/>
      <c r="D140" s="750"/>
      <c r="E140" s="416" t="str">
        <f t="shared" si="1529"/>
        <v/>
      </c>
      <c r="F140" s="527" t="str">
        <f t="shared" si="1530"/>
        <v/>
      </c>
      <c r="G140" s="417"/>
      <c r="H140" s="585" t="str">
        <f t="shared" si="1531"/>
        <v/>
      </c>
      <c r="I140" s="607"/>
      <c r="J140" s="438"/>
      <c r="K140" s="437"/>
      <c r="L140" s="438"/>
      <c r="M140" s="415"/>
      <c r="N140" s="420"/>
      <c r="O140" s="421"/>
      <c r="P140" s="561"/>
      <c r="Q140" s="422"/>
      <c r="R140" s="561" t="str">
        <f t="shared" si="1532"/>
        <v/>
      </c>
      <c r="S140" s="664"/>
      <c r="T140" s="663"/>
      <c r="U140" s="580">
        <f t="shared" si="1533"/>
        <v>0</v>
      </c>
      <c r="V140" s="418"/>
      <c r="W140" s="582" t="str">
        <f t="shared" si="1534"/>
        <v/>
      </c>
      <c r="X140" s="479" t="str">
        <f t="shared" si="1535"/>
        <v/>
      </c>
      <c r="Y140" s="582" t="str">
        <f t="shared" si="1536"/>
        <v/>
      </c>
      <c r="Z140" s="317" t="str">
        <f t="shared" si="1537"/>
        <v/>
      </c>
      <c r="AA140" s="317" t="str">
        <f t="shared" si="1538"/>
        <v/>
      </c>
      <c r="AB140" s="317">
        <f t="shared" si="1539"/>
        <v>0</v>
      </c>
      <c r="AC140" s="317" t="str">
        <f t="shared" si="1540"/>
        <v/>
      </c>
      <c r="AD140" s="479"/>
      <c r="AE140" s="479"/>
      <c r="AF140" s="479"/>
      <c r="AG140" s="423"/>
      <c r="AH140" s="820"/>
      <c r="AI140" s="437"/>
      <c r="AJ140" s="660"/>
      <c r="AK140" s="524" t="str">
        <f t="shared" si="1541"/>
        <v/>
      </c>
      <c r="AL140" s="731">
        <f>SUMIF($J$4:$J$88,"Livre Aplic.",$S$4:$S$88)</f>
        <v>0</v>
      </c>
      <c r="AM140" s="732">
        <f>SUMIF($J$4:$J$88,"Livre Aplic.",$T$4:$T$88)</f>
        <v>0</v>
      </c>
      <c r="AN140" s="426">
        <f t="shared" si="1542"/>
        <v>0</v>
      </c>
      <c r="AO140" s="427" t="str">
        <f t="shared" si="1543"/>
        <v/>
      </c>
      <c r="AP140" s="426" t="str">
        <f t="shared" si="1544"/>
        <v/>
      </c>
      <c r="AQ140" s="426"/>
      <c r="AR140" s="426"/>
      <c r="AS140" s="428"/>
      <c r="AT140" s="429"/>
      <c r="AU140" s="430"/>
      <c r="AV140" s="431"/>
      <c r="AW140" s="432"/>
      <c r="AX140" s="430"/>
      <c r="AY140" s="431">
        <f t="shared" si="1545"/>
        <v>0</v>
      </c>
      <c r="AZ140" s="426"/>
      <c r="BA140" s="435" t="str">
        <f t="shared" si="1546"/>
        <v/>
      </c>
      <c r="BB140" s="435"/>
      <c r="BC140" s="426"/>
      <c r="BD140" s="426">
        <f t="array" ref="BD140">IF(SUM((BC140=$BC$3:BC139)*1)=0,BC140,0)</f>
        <v>0</v>
      </c>
      <c r="BE140" s="426"/>
      <c r="BF140" s="426"/>
      <c r="BG140" s="426">
        <f t="array" ref="BG140">IF(SUM((BF140=$BF$3:BF139)*1)=0,BF140,0)</f>
        <v>0</v>
      </c>
      <c r="BH140" s="426"/>
      <c r="BI140" s="426"/>
      <c r="BJ140" s="426"/>
      <c r="BK140" s="426"/>
      <c r="BL140" s="426"/>
      <c r="BM140" s="426"/>
      <c r="BN140" s="426"/>
      <c r="BO140" s="426"/>
      <c r="BP140" s="433">
        <f t="shared" si="1547"/>
        <v>0</v>
      </c>
      <c r="BQ140" s="426"/>
      <c r="BR140" s="434"/>
      <c r="BS140" s="426"/>
      <c r="BT140" s="433"/>
      <c r="BU140" s="435"/>
      <c r="BV140" s="435" t="str">
        <f t="shared" si="1548"/>
        <v/>
      </c>
      <c r="BW140" s="435" t="str">
        <f t="shared" si="1576"/>
        <v/>
      </c>
      <c r="BX140" s="435"/>
      <c r="BY140" s="435"/>
      <c r="BZ140" s="435"/>
      <c r="CA140" s="435"/>
      <c r="CB140" s="435"/>
      <c r="CC140" s="435"/>
      <c r="CD140" s="435"/>
      <c r="CE140" s="435"/>
      <c r="CF140" s="435"/>
      <c r="CG140" s="435"/>
      <c r="CH140" s="435"/>
      <c r="CI140" s="435"/>
      <c r="CJ140" s="426" t="str">
        <f t="shared" si="1577"/>
        <v/>
      </c>
      <c r="CK140" s="435"/>
      <c r="CL140" s="426"/>
      <c r="CM140" s="435"/>
      <c r="CN140" s="426"/>
      <c r="CO140" s="426"/>
      <c r="CP140" s="426"/>
      <c r="CQ140" s="426"/>
      <c r="CR140" s="426"/>
      <c r="CS140" s="426"/>
      <c r="CT140" s="426"/>
      <c r="CU140" s="426"/>
      <c r="CV140" s="426"/>
      <c r="CW140" s="493"/>
      <c r="CX140" s="493"/>
      <c r="CY140" s="426">
        <v>137</v>
      </c>
      <c r="CZ140" s="493"/>
      <c r="DA140" s="493"/>
      <c r="DB140" s="493"/>
      <c r="DC140" s="426" t="s">
        <v>880</v>
      </c>
      <c r="DD140" s="426" t="s">
        <v>1040</v>
      </c>
      <c r="DE140" s="435" t="str">
        <f t="shared" si="1578"/>
        <v/>
      </c>
      <c r="DF140" s="435" t="str">
        <f t="shared" si="1579"/>
        <v/>
      </c>
      <c r="DG140" s="435" t="str">
        <f t="shared" si="1580"/>
        <v/>
      </c>
      <c r="DH140" s="435" t="str">
        <f t="shared" si="1581"/>
        <v/>
      </c>
      <c r="DI140" s="435" t="str">
        <f t="shared" si="1582"/>
        <v/>
      </c>
      <c r="DJ140" s="435" t="str">
        <f t="shared" si="1583"/>
        <v/>
      </c>
      <c r="DK140" s="435" t="str">
        <f t="shared" si="1549"/>
        <v/>
      </c>
      <c r="DL140" s="435" t="str">
        <f t="shared" si="1550"/>
        <v/>
      </c>
      <c r="DM140" s="435" t="str">
        <f t="shared" si="1584"/>
        <v/>
      </c>
      <c r="DN140" s="435" t="str">
        <f t="shared" si="1585"/>
        <v/>
      </c>
      <c r="DO140" s="435" t="str">
        <f t="shared" si="1551"/>
        <v/>
      </c>
      <c r="DP140" s="435" t="str">
        <f t="shared" si="1552"/>
        <v/>
      </c>
      <c r="DQ140" s="435" t="str">
        <f t="shared" si="1586"/>
        <v/>
      </c>
      <c r="DR140" s="435" t="str">
        <f t="shared" si="1587"/>
        <v/>
      </c>
      <c r="DS140" s="435" t="str">
        <f t="shared" si="1553"/>
        <v/>
      </c>
      <c r="DT140" s="435" t="str">
        <f t="shared" si="1554"/>
        <v/>
      </c>
      <c r="DU140" s="435" t="str">
        <f t="shared" si="1588"/>
        <v/>
      </c>
      <c r="DV140" s="435" t="str">
        <f t="shared" si="1589"/>
        <v/>
      </c>
      <c r="DW140" s="435" t="str">
        <f t="shared" si="1555"/>
        <v/>
      </c>
      <c r="DX140" s="435" t="str">
        <f t="shared" si="1556"/>
        <v/>
      </c>
      <c r="DY140" s="435" t="str">
        <f t="shared" si="1590"/>
        <v/>
      </c>
      <c r="DZ140" s="435" t="str">
        <f t="shared" si="1591"/>
        <v/>
      </c>
      <c r="EA140" s="435" t="str">
        <f t="shared" si="1557"/>
        <v/>
      </c>
      <c r="EB140" s="435" t="str">
        <f t="shared" si="1558"/>
        <v/>
      </c>
      <c r="EC140" s="435" t="str">
        <f t="shared" si="1559"/>
        <v/>
      </c>
      <c r="ED140" s="435" t="str">
        <f t="shared" si="1560"/>
        <v/>
      </c>
      <c r="EE140" s="435" t="str">
        <f t="shared" si="1561"/>
        <v/>
      </c>
      <c r="EF140" s="435" t="str">
        <f t="shared" si="1562"/>
        <v/>
      </c>
      <c r="EG140" s="435" t="str">
        <f t="shared" si="1563"/>
        <v/>
      </c>
      <c r="EH140" s="435" t="str">
        <f t="shared" si="1564"/>
        <v/>
      </c>
      <c r="EI140" s="435" t="str">
        <f t="shared" si="1565"/>
        <v/>
      </c>
      <c r="EJ140" s="435" t="str">
        <f t="shared" si="1566"/>
        <v/>
      </c>
      <c r="EK140" s="485"/>
      <c r="EL140" s="485"/>
      <c r="EM140" s="485"/>
      <c r="EN140" s="485"/>
      <c r="EO140" s="448"/>
      <c r="EP140" s="448"/>
      <c r="EQ140" s="448"/>
      <c r="ER140" s="448"/>
      <c r="ES140" s="448"/>
      <c r="ET140" s="435"/>
      <c r="EU140" s="435"/>
      <c r="EV140" s="435"/>
      <c r="EW140" s="435"/>
      <c r="EX140" s="426"/>
      <c r="EY140" s="426"/>
      <c r="EZ140" s="426"/>
      <c r="FA140" s="863"/>
      <c r="FB140" s="427">
        <f t="array" ref="FB140">IF(SUM((FA140=$FA$3:FA139)*1)=0,FA140,0)</f>
        <v>0</v>
      </c>
      <c r="FC140" s="863"/>
      <c r="FD140" s="863"/>
      <c r="FE140" s="863">
        <f t="array" ref="FE140">IF(SUM((FD140=$FD$3:FD139)*1)=0,FD140,0)</f>
        <v>0</v>
      </c>
      <c r="FF140" s="863"/>
      <c r="FG140" s="863"/>
      <c r="FH140" s="863"/>
      <c r="FI140" s="427">
        <f t="array" ref="FI140">IF(SUM((FH140=$FH$3:FH139)*1)=0,FH140,0)</f>
        <v>0</v>
      </c>
      <c r="FJ140" s="863"/>
      <c r="FK140" s="863"/>
      <c r="FL140" s="863">
        <f t="array" ref="FL140">IF(SUM((FK140=$FK$3:FK139)*1)=0,FK140,0)</f>
        <v>0</v>
      </c>
      <c r="FM140" s="863"/>
      <c r="FN140" s="863"/>
      <c r="FO140" s="863"/>
      <c r="FP140" s="427">
        <f t="array" ref="FP140">IF(SUM((FO140=$FO$3:FO139)*1)=0,FO140,0)</f>
        <v>0</v>
      </c>
      <c r="FQ140" s="863"/>
      <c r="FR140" s="863"/>
      <c r="FS140" s="863">
        <f t="array" ref="FS140">IF(SUM((FR140=$FR$3:FR139)*1)=0,FR140,0)</f>
        <v>0</v>
      </c>
      <c r="FT140" s="863"/>
      <c r="FU140" s="863"/>
      <c r="FV140" s="863"/>
      <c r="FW140" s="427">
        <f t="array" ref="FW140">IF(SUM((FV140=$FV$3:FV139)*1)=0,FV140,0)</f>
        <v>0</v>
      </c>
      <c r="FX140" s="863"/>
      <c r="FY140" s="863"/>
      <c r="FZ140" s="863">
        <f t="array" ref="FZ140">IF(SUM((FY140=$FY$3:FY139)*1)=0,FY140,0)</f>
        <v>0</v>
      </c>
      <c r="GA140" s="863"/>
      <c r="GB140" s="863"/>
      <c r="GC140" s="863"/>
      <c r="GD140" s="427">
        <f t="array" ref="GD140">IF(SUM((GC140=$GC$3:GC139)*1)=0,GC140,0)</f>
        <v>0</v>
      </c>
      <c r="GE140" s="863"/>
      <c r="GF140" s="863"/>
      <c r="GG140" s="863">
        <f t="array" ref="GG140">IF(SUM((GF140=$GF$3:GF139)*1)=0,GF140,0)</f>
        <v>0</v>
      </c>
      <c r="GH140" s="863"/>
      <c r="GI140" s="863"/>
      <c r="GJ140" s="863"/>
      <c r="GK140" s="798">
        <f t="array" ref="GK140">IF(SUM((GJ140=$GJ$3:GJ139)*1)=0,GJ140,0)</f>
        <v>0</v>
      </c>
      <c r="GL140" s="863"/>
      <c r="GM140" s="863"/>
      <c r="GN140" s="798">
        <f t="array" ref="GN140">IF(SUM((GM140=$GM$3:GM139)*1)=0,GM140,0)</f>
        <v>0</v>
      </c>
      <c r="GO140" s="863"/>
      <c r="GP140" s="863"/>
      <c r="GQ140" s="863"/>
      <c r="GR140" s="798">
        <f t="array" ref="GR140">IF(SUM((GQ140=$GQ$3:GQ139)*1)=0,GQ140,0)</f>
        <v>0</v>
      </c>
      <c r="GS140" s="863"/>
      <c r="GT140" s="863"/>
      <c r="GU140" s="798">
        <f t="array" ref="GU140">IF(SUM((GT140=$GT$3:GT139)*1)=0,GT140,0)</f>
        <v>0</v>
      </c>
      <c r="GV140" s="863"/>
      <c r="GW140" s="863"/>
      <c r="GX140" s="863"/>
      <c r="GY140" s="798">
        <f t="array" ref="GY140">IF(SUM((GX140=$GX$3:GX139)*1)=0,GX140,0)</f>
        <v>0</v>
      </c>
      <c r="GZ140" s="863"/>
      <c r="HA140" s="863"/>
      <c r="HB140" s="798">
        <f t="array" ref="HB140">IF(SUM((HA140=$HA$3:HA139)*1)=0,HA140,0)</f>
        <v>0</v>
      </c>
      <c r="HC140" s="863"/>
      <c r="HD140" s="863"/>
      <c r="HE140" s="769" t="str">
        <f t="shared" si="1667"/>
        <v/>
      </c>
      <c r="HF140" s="768" t="str">
        <f t="shared" ref="HF140" si="1733">IF(HE140&lt;0,"Invadiu REP-BA-C","")</f>
        <v/>
      </c>
      <c r="HG140" s="769" t="str">
        <f t="shared" si="1669"/>
        <v/>
      </c>
      <c r="HH140" s="768" t="str">
        <f t="shared" si="1593"/>
        <v/>
      </c>
      <c r="HI140" s="728" t="str">
        <f t="shared" si="1670"/>
        <v/>
      </c>
      <c r="HJ140" s="768" t="str">
        <f t="shared" si="1594"/>
        <v/>
      </c>
      <c r="HK140" s="728" t="str">
        <f t="shared" si="1671"/>
        <v/>
      </c>
      <c r="HL140" s="768" t="str">
        <f t="shared" si="1595"/>
        <v/>
      </c>
      <c r="HM140" s="769" t="str">
        <f t="shared" si="1596"/>
        <v/>
      </c>
      <c r="HN140" s="768" t="str">
        <f t="shared" ref="HN140" si="1734">IF(HM140&lt;0,"Invadiu REP-BA-C","")</f>
        <v/>
      </c>
      <c r="HO140" s="769" t="str">
        <f t="shared" si="1598"/>
        <v/>
      </c>
      <c r="HP140" s="768" t="str">
        <f t="shared" si="1599"/>
        <v/>
      </c>
      <c r="HQ140" s="728" t="str">
        <f t="shared" si="1600"/>
        <v/>
      </c>
      <c r="HR140" s="768" t="str">
        <f t="shared" si="1601"/>
        <v/>
      </c>
      <c r="HS140" s="728" t="str">
        <f t="shared" si="1602"/>
        <v/>
      </c>
      <c r="HT140" s="768" t="str">
        <f t="shared" si="1603"/>
        <v/>
      </c>
      <c r="HU140" s="769" t="str">
        <f t="shared" si="1604"/>
        <v/>
      </c>
      <c r="HV140" s="768" t="str">
        <f t="shared" ref="HV140" si="1735">IF(HU140&lt;0,"Invadiu REP-BA-C","")</f>
        <v/>
      </c>
      <c r="HW140" s="769" t="str">
        <f t="shared" si="1606"/>
        <v/>
      </c>
      <c r="HX140" s="768" t="str">
        <f t="shared" si="1607"/>
        <v/>
      </c>
      <c r="HY140" s="728" t="str">
        <f t="shared" si="1608"/>
        <v/>
      </c>
      <c r="HZ140" s="768" t="str">
        <f t="shared" si="1609"/>
        <v/>
      </c>
      <c r="IA140" s="728" t="str">
        <f t="shared" si="1610"/>
        <v/>
      </c>
      <c r="IB140" s="768" t="str">
        <f t="shared" si="1611"/>
        <v/>
      </c>
      <c r="IC140" s="769" t="str">
        <f t="shared" si="1612"/>
        <v/>
      </c>
      <c r="ID140" s="768" t="str">
        <f t="shared" ref="ID140" si="1736">IF(IC140&lt;0,"Invadiu REP-BA-C","")</f>
        <v/>
      </c>
      <c r="IE140" s="769" t="str">
        <f t="shared" si="1614"/>
        <v/>
      </c>
      <c r="IF140" s="768" t="str">
        <f t="shared" si="1615"/>
        <v/>
      </c>
      <c r="IG140" s="728" t="str">
        <f t="shared" si="1616"/>
        <v/>
      </c>
      <c r="IH140" s="768" t="str">
        <f t="shared" si="1617"/>
        <v/>
      </c>
      <c r="II140" s="728" t="str">
        <f t="shared" si="1618"/>
        <v/>
      </c>
      <c r="IJ140" s="768" t="str">
        <f t="shared" si="1619"/>
        <v/>
      </c>
      <c r="IK140" s="769" t="str">
        <f t="shared" si="1620"/>
        <v/>
      </c>
      <c r="IL140" s="768" t="str">
        <f t="shared" ref="IL140" si="1737">IF(IK140&lt;0,"Invadiu REP-BA-C","")</f>
        <v/>
      </c>
      <c r="IM140" s="769" t="str">
        <f t="shared" si="1622"/>
        <v/>
      </c>
      <c r="IN140" s="768" t="str">
        <f t="shared" si="1623"/>
        <v/>
      </c>
      <c r="IO140" s="728" t="str">
        <f t="shared" si="1624"/>
        <v/>
      </c>
      <c r="IP140" s="768" t="str">
        <f t="shared" si="1625"/>
        <v/>
      </c>
      <c r="IQ140" s="728" t="str">
        <f t="shared" si="1626"/>
        <v/>
      </c>
      <c r="IR140" s="768" t="str">
        <f t="shared" si="1627"/>
        <v/>
      </c>
      <c r="IS140" s="769" t="str">
        <f t="shared" si="1628"/>
        <v/>
      </c>
      <c r="IT140" s="768" t="str">
        <f t="shared" ref="IT140" si="1738">IF(IS140&lt;0,"Invadiu REP-BA-C","")</f>
        <v/>
      </c>
      <c r="IU140" s="769" t="str">
        <f t="shared" si="1630"/>
        <v/>
      </c>
      <c r="IV140" s="768" t="str">
        <f t="shared" si="1631"/>
        <v/>
      </c>
      <c r="IW140" s="728" t="str">
        <f t="shared" si="1632"/>
        <v/>
      </c>
      <c r="IX140" s="768" t="str">
        <f t="shared" si="1633"/>
        <v/>
      </c>
      <c r="IY140" s="728" t="str">
        <f t="shared" si="1634"/>
        <v/>
      </c>
      <c r="IZ140" s="768" t="str">
        <f t="shared" si="1635"/>
        <v/>
      </c>
      <c r="JA140" s="769" t="str">
        <f t="shared" si="1636"/>
        <v/>
      </c>
      <c r="JB140" s="768" t="str">
        <f t="shared" ref="JB140" si="1739">IF(JA140&lt;0,"Invadiu REP-BA-C","")</f>
        <v/>
      </c>
      <c r="JC140" s="769" t="str">
        <f t="shared" si="1638"/>
        <v/>
      </c>
      <c r="JD140" s="768" t="str">
        <f t="shared" si="1639"/>
        <v/>
      </c>
      <c r="JE140" s="728" t="str">
        <f t="shared" si="1640"/>
        <v/>
      </c>
      <c r="JF140" s="768" t="str">
        <f t="shared" si="1641"/>
        <v/>
      </c>
      <c r="JG140" s="728" t="str">
        <f t="shared" si="1642"/>
        <v/>
      </c>
      <c r="JH140" s="768" t="str">
        <f t="shared" si="1643"/>
        <v/>
      </c>
      <c r="JI140" s="769" t="str">
        <f t="shared" si="1644"/>
        <v/>
      </c>
      <c r="JJ140" s="768" t="str">
        <f t="shared" ref="JJ140" si="1740">IF(JI140&lt;0,"Invadiu REP-BA-C","")</f>
        <v/>
      </c>
      <c r="JK140" s="769" t="str">
        <f t="shared" si="1646"/>
        <v/>
      </c>
      <c r="JL140" s="768" t="str">
        <f t="shared" si="1647"/>
        <v/>
      </c>
      <c r="JM140" s="728" t="str">
        <f t="shared" si="1648"/>
        <v/>
      </c>
      <c r="JN140" s="768" t="str">
        <f t="shared" si="1649"/>
        <v/>
      </c>
      <c r="JO140" s="728" t="str">
        <f t="shared" si="1650"/>
        <v/>
      </c>
      <c r="JP140" s="768" t="str">
        <f t="shared" si="1651"/>
        <v/>
      </c>
      <c r="JQ140" s="769" t="str">
        <f t="shared" si="1652"/>
        <v/>
      </c>
      <c r="JR140" s="768" t="str">
        <f t="shared" ref="JR140" si="1741">IF(JQ140&lt;0,"Invadiu REP-BA-C","")</f>
        <v/>
      </c>
      <c r="JS140" s="769" t="str">
        <f t="shared" si="1654"/>
        <v/>
      </c>
      <c r="JT140" s="768" t="str">
        <f t="shared" si="1655"/>
        <v/>
      </c>
      <c r="JU140" s="728" t="str">
        <f t="shared" si="1656"/>
        <v/>
      </c>
      <c r="JV140" s="768" t="str">
        <f t="shared" si="1657"/>
        <v/>
      </c>
      <c r="JW140" s="728" t="str">
        <f t="shared" si="1658"/>
        <v/>
      </c>
      <c r="JX140" s="768" t="str">
        <f t="shared" si="1659"/>
        <v/>
      </c>
      <c r="JY140" s="768" t="str">
        <f t="shared" si="1660"/>
        <v/>
      </c>
      <c r="JZ140" s="485" t="str">
        <f>IF(JY140="","",IF(AND(C140=$C$164,JY140&lt;&gt;""),Verificarcpf(D140),IF(AND(C140=$C$165,JY140&lt;&gt;""),VerificarCNPJ(D140))))</f>
        <v/>
      </c>
      <c r="KA140" s="768" t="str">
        <f t="shared" si="1661"/>
        <v/>
      </c>
      <c r="KB140" s="485">
        <f t="shared" si="1662"/>
        <v>0</v>
      </c>
      <c r="KC140" s="768">
        <f t="shared" si="1663"/>
        <v>0</v>
      </c>
      <c r="KD140" s="485">
        <f t="shared" si="1664"/>
        <v>0</v>
      </c>
      <c r="KE140" s="448"/>
      <c r="KF140" s="548"/>
      <c r="KG140" s="548"/>
      <c r="KH140" s="548"/>
      <c r="KI140" s="548"/>
      <c r="KJ140" s="548" t="str">
        <f t="shared" si="1665"/>
        <v/>
      </c>
      <c r="KK140" s="548"/>
      <c r="KL140" s="548"/>
      <c r="KM140" s="548">
        <f t="array" ref="KM140">IF(SUM((KL140=$KL$3:KL139)*1)=0,KL140,0)</f>
        <v>0</v>
      </c>
      <c r="KN140" s="548"/>
      <c r="KO140" s="548"/>
      <c r="KP140" s="548"/>
      <c r="KQ140" s="548"/>
      <c r="KR140" s="548" t="str">
        <f t="shared" si="1666"/>
        <v/>
      </c>
      <c r="KS140" s="548"/>
      <c r="KT140" s="548"/>
      <c r="KU140" s="548"/>
      <c r="KV140" s="548"/>
      <c r="KW140" s="548"/>
      <c r="KX140" s="548"/>
      <c r="KY140" s="548"/>
      <c r="KZ140" s="548"/>
      <c r="LA140" s="548"/>
      <c r="LB140" s="548"/>
      <c r="LC140" s="485" t="str">
        <f t="shared" si="1680"/>
        <v/>
      </c>
      <c r="LD140" s="548"/>
      <c r="LE140" s="548"/>
      <c r="LF140" s="548"/>
      <c r="LG140" s="548"/>
      <c r="LH140" s="548"/>
      <c r="LI140" s="548"/>
      <c r="LJ140" s="548"/>
      <c r="LK140" s="548"/>
      <c r="LL140" s="548"/>
      <c r="LM140" s="548"/>
      <c r="LN140" s="548"/>
      <c r="LO140" s="548"/>
      <c r="LP140" s="485" t="str">
        <f t="shared" si="1681"/>
        <v/>
      </c>
      <c r="LQ140" s="548"/>
      <c r="LR140" s="548"/>
      <c r="LS140" s="548"/>
      <c r="LT140" s="548"/>
      <c r="LU140" s="548"/>
      <c r="LV140" s="548"/>
      <c r="LW140" s="548"/>
      <c r="LX140" s="548"/>
      <c r="LY140" s="548"/>
      <c r="LZ140" s="548"/>
      <c r="MA140" s="548"/>
      <c r="MB140" s="548"/>
      <c r="MC140" s="485" t="str">
        <f t="shared" si="1682"/>
        <v/>
      </c>
      <c r="MD140" s="548"/>
      <c r="ME140" s="548"/>
      <c r="MF140" s="548"/>
      <c r="MG140" s="548"/>
      <c r="MH140" s="548"/>
      <c r="MI140" s="548"/>
      <c r="MJ140" s="548"/>
      <c r="MK140" s="548"/>
      <c r="ML140" s="548"/>
      <c r="MM140" s="548"/>
      <c r="MN140" s="548"/>
      <c r="MO140" s="548"/>
      <c r="MP140" s="485" t="str">
        <f t="shared" si="1683"/>
        <v/>
      </c>
      <c r="MQ140" s="548"/>
      <c r="MR140" s="548"/>
      <c r="MS140" s="548"/>
      <c r="MT140" s="548"/>
      <c r="MU140" s="548"/>
      <c r="MV140" s="548"/>
      <c r="MW140" s="548"/>
      <c r="MX140" s="548"/>
      <c r="MY140" s="548"/>
      <c r="MZ140" s="548"/>
      <c r="NA140" s="548"/>
      <c r="NB140" s="548"/>
      <c r="NC140" s="485" t="str">
        <f t="shared" si="1684"/>
        <v/>
      </c>
      <c r="ND140" s="548"/>
      <c r="NE140" s="548"/>
      <c r="NF140" s="548"/>
      <c r="NG140" s="548"/>
      <c r="NH140" s="548"/>
      <c r="NI140" s="548"/>
      <c r="NJ140" s="548"/>
      <c r="NK140" s="548"/>
      <c r="NL140" s="548"/>
      <c r="NM140" s="548"/>
      <c r="NN140" s="548"/>
      <c r="NO140" s="548"/>
      <c r="NP140" s="485" t="str">
        <f t="shared" si="1685"/>
        <v/>
      </c>
      <c r="NQ140" s="548"/>
      <c r="NR140" s="548"/>
      <c r="NS140" s="548"/>
      <c r="NT140" s="548"/>
      <c r="NU140" s="548"/>
      <c r="NV140" s="548"/>
      <c r="NW140" s="548"/>
      <c r="NX140" s="548"/>
      <c r="NY140" s="548"/>
      <c r="NZ140" s="548"/>
      <c r="OA140" s="548"/>
      <c r="OB140" s="548"/>
      <c r="OC140" s="485" t="str">
        <f t="shared" si="1686"/>
        <v/>
      </c>
      <c r="OD140" s="548"/>
      <c r="OE140" s="548"/>
      <c r="OF140" s="548"/>
      <c r="OG140" s="548"/>
      <c r="OH140" s="548"/>
      <c r="OI140" s="548"/>
      <c r="OJ140" s="548"/>
      <c r="OK140" s="548"/>
      <c r="OL140" s="548"/>
      <c r="OM140" s="548"/>
      <c r="ON140" s="548"/>
      <c r="OO140" s="548"/>
      <c r="OP140" s="548"/>
      <c r="OQ140" s="548"/>
      <c r="OR140" s="548"/>
      <c r="OS140" s="548"/>
      <c r="OT140" s="548"/>
      <c r="OU140" s="548"/>
      <c r="OV140" s="548"/>
      <c r="OW140" s="548"/>
      <c r="OX140" s="548"/>
      <c r="OY140" s="548"/>
      <c r="OZ140" s="548"/>
      <c r="PA140" s="548"/>
      <c r="PB140" s="548"/>
      <c r="PC140" s="548"/>
      <c r="PD140" s="548"/>
      <c r="PE140" s="548"/>
      <c r="PF140" s="548"/>
      <c r="PG140" s="548"/>
      <c r="PH140" s="548"/>
      <c r="PI140" s="548"/>
      <c r="PJ140" s="548"/>
      <c r="PK140" s="548"/>
      <c r="PL140" s="548"/>
      <c r="PM140" s="548"/>
      <c r="PN140" s="548"/>
      <c r="PO140" s="548"/>
      <c r="PP140" s="548"/>
      <c r="PQ140" s="548"/>
      <c r="PR140" s="548"/>
      <c r="PS140" s="548"/>
      <c r="PT140" s="548"/>
      <c r="PU140" s="548"/>
      <c r="PV140" s="548"/>
      <c r="PW140" s="548"/>
      <c r="PX140" s="548"/>
      <c r="PY140" s="548"/>
      <c r="PZ140" s="548"/>
      <c r="QA140" s="548"/>
      <c r="QB140" s="548"/>
      <c r="QC140" s="548"/>
      <c r="QD140" s="548"/>
      <c r="QE140" s="548"/>
      <c r="QF140" s="548"/>
      <c r="QG140" s="548"/>
      <c r="QH140" s="548"/>
      <c r="QI140" s="548"/>
      <c r="QJ140" s="548"/>
      <c r="QK140" s="548"/>
      <c r="QL140" s="548"/>
      <c r="QM140" s="548"/>
      <c r="QN140" s="548"/>
      <c r="QO140" s="548"/>
      <c r="QP140" s="548"/>
      <c r="QQ140" s="1009"/>
      <c r="QR140" s="548"/>
      <c r="QS140" s="548"/>
      <c r="QT140" s="548"/>
      <c r="QU140" s="548"/>
      <c r="QV140" s="548"/>
      <c r="QW140" s="548"/>
      <c r="QX140" s="548"/>
      <c r="QY140" s="548"/>
      <c r="QZ140" s="548"/>
      <c r="RA140" s="548"/>
      <c r="RB140" s="548"/>
      <c r="RC140" s="548"/>
      <c r="RD140" s="548"/>
      <c r="RE140" s="548"/>
      <c r="RF140" s="548"/>
      <c r="RG140" s="548"/>
      <c r="RH140" s="548"/>
      <c r="RI140" s="548"/>
      <c r="RJ140" s="548"/>
      <c r="RK140" s="548"/>
      <c r="RL140" s="548"/>
      <c r="RM140" s="548"/>
      <c r="RN140" s="548"/>
      <c r="RO140" s="548"/>
      <c r="RP140" s="548"/>
      <c r="RQ140" s="548"/>
      <c r="RR140" s="548"/>
      <c r="RS140" s="548"/>
      <c r="RT140" s="548"/>
      <c r="RU140" s="548"/>
      <c r="RV140" s="548"/>
      <c r="RW140" s="548"/>
      <c r="RX140" s="548"/>
      <c r="RY140" s="548"/>
      <c r="RZ140" s="548"/>
      <c r="SA140" s="548"/>
      <c r="SB140" s="548"/>
      <c r="SC140" s="548"/>
      <c r="SD140" s="548"/>
      <c r="SE140" s="548"/>
      <c r="SF140" s="548"/>
      <c r="SG140" s="548"/>
      <c r="SH140" s="548"/>
      <c r="SI140" s="548"/>
      <c r="SJ140" s="548"/>
      <c r="SK140" s="548"/>
      <c r="SL140" s="548"/>
      <c r="SM140" s="548"/>
      <c r="SN140" s="548"/>
      <c r="SO140" s="548"/>
      <c r="SP140" s="548"/>
      <c r="SQ140" s="548"/>
      <c r="SR140" s="548"/>
      <c r="SS140" s="548"/>
      <c r="ST140" s="548"/>
      <c r="SU140" s="548"/>
      <c r="SV140" s="548"/>
      <c r="SW140" s="548"/>
      <c r="SX140" s="548"/>
      <c r="SY140" s="548"/>
      <c r="SZ140" s="548"/>
      <c r="TA140" s="548"/>
      <c r="TB140" s="548"/>
      <c r="TC140" s="548"/>
      <c r="TD140" s="548"/>
      <c r="TE140" s="548"/>
      <c r="TF140" s="548"/>
      <c r="TG140" s="548"/>
      <c r="TH140" s="548"/>
      <c r="TI140" s="548"/>
      <c r="TJ140" s="548"/>
      <c r="TK140" s="548"/>
      <c r="TL140" s="548"/>
      <c r="TM140" s="548"/>
      <c r="TN140" s="548"/>
      <c r="TO140" s="548"/>
      <c r="TP140" s="548"/>
      <c r="TQ140" s="548"/>
      <c r="TR140" s="548"/>
      <c r="TS140" s="548"/>
      <c r="TT140" s="548"/>
      <c r="TU140" s="548"/>
      <c r="TV140" s="548"/>
      <c r="TW140" s="548"/>
      <c r="TX140" s="548"/>
      <c r="TY140" s="548"/>
      <c r="TZ140" s="548"/>
      <c r="UA140" s="548"/>
      <c r="UB140" s="548"/>
      <c r="UC140" s="548"/>
      <c r="UD140" s="548"/>
      <c r="UE140" s="548"/>
      <c r="UF140" s="548"/>
      <c r="UG140" s="548"/>
      <c r="UH140" s="548"/>
      <c r="UI140" s="548"/>
      <c r="UJ140" s="548"/>
      <c r="UK140" s="548"/>
      <c r="UL140" s="548"/>
      <c r="UM140" s="548"/>
      <c r="UN140" s="548"/>
      <c r="UO140" s="548"/>
      <c r="UP140" s="548"/>
      <c r="UQ140" s="548"/>
      <c r="UR140" s="548"/>
      <c r="US140" s="548"/>
      <c r="UT140" s="548"/>
      <c r="UU140" s="548"/>
      <c r="UV140" s="548"/>
      <c r="UW140" s="548"/>
      <c r="UX140" s="548"/>
      <c r="UY140" s="548"/>
      <c r="UZ140" s="548"/>
      <c r="VA140" s="548"/>
      <c r="VB140" s="548"/>
      <c r="VC140" s="548"/>
      <c r="VD140" s="548"/>
      <c r="VE140" s="548"/>
      <c r="VF140" s="548"/>
      <c r="VG140" s="548"/>
      <c r="VH140" s="548"/>
      <c r="VI140" s="548"/>
      <c r="VJ140" s="548"/>
      <c r="VK140" s="548"/>
      <c r="VL140" s="548"/>
      <c r="VM140" s="548"/>
      <c r="VN140" s="548"/>
      <c r="VO140" s="548"/>
      <c r="VP140" s="548"/>
      <c r="VQ140" s="548"/>
      <c r="VR140" s="548"/>
      <c r="VS140" s="548"/>
      <c r="VT140" s="548"/>
      <c r="VU140" s="548"/>
      <c r="VV140" s="548"/>
      <c r="VW140" s="548"/>
      <c r="VX140" s="548"/>
      <c r="VY140" s="548"/>
      <c r="VZ140" s="548"/>
      <c r="WA140" s="548"/>
      <c r="WB140" s="548"/>
      <c r="WC140" s="548"/>
      <c r="WD140" s="548"/>
      <c r="WE140" s="548"/>
      <c r="WF140" s="548"/>
      <c r="WG140" s="548"/>
      <c r="WH140" s="548"/>
      <c r="WI140" s="548"/>
      <c r="WJ140" s="548"/>
      <c r="WK140" s="548"/>
      <c r="WL140" s="548"/>
      <c r="WM140" s="548"/>
      <c r="WN140" s="548"/>
      <c r="WO140" s="548"/>
      <c r="WP140" s="548"/>
      <c r="WQ140" s="548"/>
      <c r="WR140" s="548"/>
      <c r="WS140" s="548"/>
      <c r="WT140" s="548"/>
      <c r="WU140" s="548"/>
      <c r="WV140" s="548"/>
      <c r="WW140" s="548"/>
      <c r="WX140" s="548"/>
      <c r="WY140" s="548"/>
      <c r="WZ140" s="548"/>
      <c r="XA140" s="548"/>
      <c r="XB140" s="548"/>
      <c r="XC140" s="548"/>
      <c r="XD140" s="548"/>
      <c r="XE140" s="548"/>
      <c r="XF140" s="548"/>
      <c r="XG140" s="548"/>
      <c r="XH140" s="548"/>
      <c r="XI140" s="548"/>
      <c r="XJ140" s="548"/>
      <c r="XK140" s="548"/>
      <c r="XL140" s="548"/>
      <c r="XM140" s="548"/>
      <c r="XN140" s="548"/>
      <c r="XO140" s="548"/>
      <c r="XP140" s="548"/>
      <c r="XQ140" s="548"/>
      <c r="XR140" s="548"/>
      <c r="XS140" s="548"/>
      <c r="XT140" s="548"/>
      <c r="XU140" s="548"/>
      <c r="XV140" s="548"/>
      <c r="XW140" s="548"/>
      <c r="XX140" s="548"/>
      <c r="XY140" s="548"/>
      <c r="XZ140" s="548"/>
      <c r="YA140" s="548"/>
      <c r="YB140" s="548"/>
      <c r="YC140" s="548"/>
      <c r="YD140" s="548"/>
      <c r="YE140" s="548"/>
      <c r="YF140" s="548"/>
      <c r="YG140" s="548"/>
      <c r="YH140" s="548"/>
      <c r="YI140" s="548"/>
      <c r="YJ140" s="548"/>
      <c r="YK140" s="548"/>
      <c r="YL140" s="548"/>
      <c r="YM140" s="548"/>
      <c r="YN140" s="548"/>
      <c r="YO140" s="548"/>
      <c r="YP140" s="548"/>
      <c r="YQ140" s="548"/>
      <c r="YR140" s="548"/>
      <c r="YS140" s="548"/>
      <c r="YT140" s="548"/>
      <c r="YU140" s="548"/>
      <c r="YV140" s="548"/>
      <c r="YW140" s="548"/>
      <c r="YX140" s="548"/>
      <c r="YY140" s="548"/>
      <c r="YZ140" s="548"/>
      <c r="ZA140" s="548"/>
      <c r="ZB140" s="548"/>
      <c r="ZC140" s="548"/>
      <c r="ZD140" s="548"/>
      <c r="ZE140" s="548"/>
      <c r="ZF140" s="548"/>
      <c r="ZG140" s="548"/>
      <c r="ZH140" s="548"/>
      <c r="ZI140" s="548"/>
      <c r="ZJ140" s="548"/>
      <c r="ZK140" s="548"/>
      <c r="ZL140" s="548"/>
      <c r="ZM140" s="548"/>
      <c r="ZN140" s="548"/>
      <c r="ZO140" s="548"/>
      <c r="ZP140" s="548"/>
      <c r="ZQ140" s="548"/>
      <c r="ZR140" s="548"/>
      <c r="ZS140" s="548"/>
      <c r="ZT140" s="548"/>
      <c r="ZU140" s="548"/>
      <c r="ZV140" s="548"/>
      <c r="ZW140" s="548"/>
      <c r="ZX140" s="548"/>
      <c r="ZY140" s="548"/>
      <c r="ZZ140" s="548"/>
      <c r="AAA140" s="548"/>
      <c r="AAB140" s="548"/>
      <c r="AAC140" s="548"/>
      <c r="AAD140" s="548"/>
      <c r="AAE140" s="548"/>
      <c r="AAF140" s="548"/>
      <c r="AAG140" s="548"/>
      <c r="AAH140" s="548"/>
      <c r="AAI140" s="548"/>
      <c r="AAJ140" s="548"/>
      <c r="AAK140" s="548"/>
      <c r="AAL140" s="548"/>
      <c r="AAM140" s="548"/>
      <c r="AAN140" s="548"/>
      <c r="AAO140" s="548"/>
      <c r="AAP140" s="548"/>
      <c r="AAQ140" s="548"/>
      <c r="AAR140" s="548"/>
      <c r="AAS140" s="548"/>
      <c r="AAT140" s="548"/>
      <c r="AAU140" s="548"/>
      <c r="AAV140" s="548"/>
      <c r="AAW140" s="548"/>
      <c r="AAX140" s="548"/>
      <c r="AAY140" s="548"/>
      <c r="AAZ140" s="548"/>
      <c r="ABA140" s="548"/>
      <c r="ABB140" s="548"/>
      <c r="ABC140" s="548"/>
      <c r="ABD140" s="548"/>
      <c r="ABE140" s="548"/>
      <c r="ABF140" s="548"/>
      <c r="ABG140" s="548"/>
      <c r="ABH140" s="548"/>
      <c r="ABI140" s="548"/>
      <c r="ABJ140" s="548"/>
      <c r="ABK140" s="548"/>
      <c r="ABL140" s="548"/>
      <c r="ABM140" s="548"/>
      <c r="ABN140" s="548"/>
      <c r="ABO140" s="548"/>
      <c r="ABP140" s="548"/>
      <c r="ABQ140" s="548"/>
      <c r="ABR140" s="548"/>
      <c r="ABS140" s="548"/>
    </row>
    <row r="141" spans="1:747" customFormat="1" ht="15" customHeight="1" x14ac:dyDescent="0.2">
      <c r="A141" s="424" t="str">
        <f t="shared" si="1687"/>
        <v/>
      </c>
      <c r="B141" s="415"/>
      <c r="C141" s="525"/>
      <c r="D141" s="750"/>
      <c r="E141" s="416" t="str">
        <f t="shared" si="1529"/>
        <v/>
      </c>
      <c r="F141" s="527" t="str">
        <f t="shared" si="1530"/>
        <v/>
      </c>
      <c r="G141" s="417"/>
      <c r="H141" s="585" t="str">
        <f t="shared" si="1531"/>
        <v/>
      </c>
      <c r="I141" s="424"/>
      <c r="J141" s="419"/>
      <c r="K141" s="418"/>
      <c r="L141" s="419"/>
      <c r="M141" s="415"/>
      <c r="N141" s="420"/>
      <c r="O141" s="421"/>
      <c r="P141" s="561"/>
      <c r="Q141" s="422"/>
      <c r="R141" s="561" t="str">
        <f t="shared" si="1532"/>
        <v/>
      </c>
      <c r="S141" s="664"/>
      <c r="T141" s="663"/>
      <c r="U141" s="580">
        <f t="shared" si="1533"/>
        <v>0</v>
      </c>
      <c r="V141" s="418"/>
      <c r="W141" s="582" t="str">
        <f t="shared" si="1534"/>
        <v/>
      </c>
      <c r="X141" s="479" t="str">
        <f t="shared" si="1535"/>
        <v/>
      </c>
      <c r="Y141" s="582" t="str">
        <f t="shared" si="1536"/>
        <v/>
      </c>
      <c r="Z141" s="317" t="str">
        <f t="shared" si="1537"/>
        <v/>
      </c>
      <c r="AA141" s="317" t="str">
        <f t="shared" si="1538"/>
        <v/>
      </c>
      <c r="AB141" s="317">
        <f t="shared" si="1539"/>
        <v>0</v>
      </c>
      <c r="AC141" s="317" t="str">
        <f t="shared" si="1540"/>
        <v/>
      </c>
      <c r="AD141" s="479"/>
      <c r="AE141" s="479"/>
      <c r="AF141" s="479"/>
      <c r="AG141" s="423"/>
      <c r="AH141" s="820"/>
      <c r="AI141" s="437"/>
      <c r="AJ141" s="660"/>
      <c r="AK141" s="524" t="str">
        <f t="shared" si="1541"/>
        <v/>
      </c>
      <c r="AL141" s="731">
        <f>SUMIF($J$4:$J$102,"Livre Aplic.",$S$4:$S$102)</f>
        <v>0</v>
      </c>
      <c r="AM141" s="732">
        <f>SUMIF($J$4:$J$102,"Livre Aplic.",$T$4:$T$102)</f>
        <v>0</v>
      </c>
      <c r="AN141" s="426">
        <f t="shared" si="1542"/>
        <v>0</v>
      </c>
      <c r="AO141" s="427" t="str">
        <f t="shared" si="1543"/>
        <v/>
      </c>
      <c r="AP141" s="426" t="str">
        <f t="shared" si="1544"/>
        <v/>
      </c>
      <c r="AQ141" s="426"/>
      <c r="AR141" s="426"/>
      <c r="AS141" s="428"/>
      <c r="AT141" s="429"/>
      <c r="AU141" s="430"/>
      <c r="AV141" s="431"/>
      <c r="AW141" s="432"/>
      <c r="AX141" s="430"/>
      <c r="AY141" s="431">
        <f t="shared" si="1545"/>
        <v>0</v>
      </c>
      <c r="AZ141" s="426"/>
      <c r="BA141" s="435" t="str">
        <f t="shared" si="1546"/>
        <v/>
      </c>
      <c r="BB141" s="435"/>
      <c r="BC141" s="426"/>
      <c r="BD141" s="426">
        <f t="array" ref="BD141">IF(SUM((BC141=$BC$3:BC140)*1)=0,BC141,0)</f>
        <v>0</v>
      </c>
      <c r="BE141" s="426"/>
      <c r="BF141" s="426"/>
      <c r="BG141" s="426">
        <f t="array" ref="BG141">IF(SUM((BF141=$BF$3:BF140)*1)=0,BF141,0)</f>
        <v>0</v>
      </c>
      <c r="BH141" s="426"/>
      <c r="BI141" s="426"/>
      <c r="BJ141" s="426"/>
      <c r="BK141" s="426"/>
      <c r="BL141" s="426"/>
      <c r="BM141" s="426"/>
      <c r="BN141" s="426"/>
      <c r="BO141" s="426"/>
      <c r="BP141" s="433">
        <f t="shared" si="1547"/>
        <v>0</v>
      </c>
      <c r="BQ141" s="426"/>
      <c r="BR141" s="434"/>
      <c r="BS141" s="426"/>
      <c r="BT141" s="433"/>
      <c r="BU141" s="435"/>
      <c r="BV141" s="435" t="str">
        <f t="shared" si="1548"/>
        <v/>
      </c>
      <c r="BW141" s="435" t="str">
        <f t="shared" si="1576"/>
        <v/>
      </c>
      <c r="BX141" s="435"/>
      <c r="BY141" s="435"/>
      <c r="BZ141" s="435"/>
      <c r="CA141" s="435"/>
      <c r="CB141" s="435"/>
      <c r="CC141" s="435"/>
      <c r="CD141" s="435"/>
      <c r="CE141" s="435"/>
      <c r="CF141" s="435"/>
      <c r="CG141" s="435"/>
      <c r="CH141" s="435"/>
      <c r="CI141" s="435"/>
      <c r="CJ141" s="426" t="str">
        <f t="shared" si="1577"/>
        <v/>
      </c>
      <c r="CK141" s="435"/>
      <c r="CL141" s="426"/>
      <c r="CM141" s="435"/>
      <c r="CN141" s="426"/>
      <c r="CO141" s="426"/>
      <c r="CP141" s="426"/>
      <c r="CQ141" s="426"/>
      <c r="CR141" s="426"/>
      <c r="CS141" s="426"/>
      <c r="CT141" s="426"/>
      <c r="CU141" s="426"/>
      <c r="CV141" s="426"/>
      <c r="CW141" s="493"/>
      <c r="CX141" s="493"/>
      <c r="CY141" s="426">
        <v>138</v>
      </c>
      <c r="CZ141" s="493"/>
      <c r="DA141" s="493"/>
      <c r="DB141" s="493"/>
      <c r="DC141" s="426" t="s">
        <v>881</v>
      </c>
      <c r="DD141" s="426" t="s">
        <v>1041</v>
      </c>
      <c r="DE141" s="435" t="str">
        <f t="shared" si="1578"/>
        <v/>
      </c>
      <c r="DF141" s="435" t="str">
        <f t="shared" si="1579"/>
        <v/>
      </c>
      <c r="DG141" s="435" t="str">
        <f t="shared" si="1580"/>
        <v/>
      </c>
      <c r="DH141" s="435" t="str">
        <f t="shared" si="1581"/>
        <v/>
      </c>
      <c r="DI141" s="435" t="str">
        <f t="shared" si="1582"/>
        <v/>
      </c>
      <c r="DJ141" s="435" t="str">
        <f t="shared" si="1583"/>
        <v/>
      </c>
      <c r="DK141" s="435" t="str">
        <f t="shared" si="1549"/>
        <v/>
      </c>
      <c r="DL141" s="435" t="str">
        <f t="shared" si="1550"/>
        <v/>
      </c>
      <c r="DM141" s="435" t="str">
        <f t="shared" si="1584"/>
        <v/>
      </c>
      <c r="DN141" s="435" t="str">
        <f t="shared" si="1585"/>
        <v/>
      </c>
      <c r="DO141" s="435" t="str">
        <f t="shared" si="1551"/>
        <v/>
      </c>
      <c r="DP141" s="435" t="str">
        <f t="shared" si="1552"/>
        <v/>
      </c>
      <c r="DQ141" s="435" t="str">
        <f t="shared" si="1586"/>
        <v/>
      </c>
      <c r="DR141" s="435" t="str">
        <f t="shared" si="1587"/>
        <v/>
      </c>
      <c r="DS141" s="435" t="str">
        <f t="shared" si="1553"/>
        <v/>
      </c>
      <c r="DT141" s="435" t="str">
        <f t="shared" si="1554"/>
        <v/>
      </c>
      <c r="DU141" s="435" t="str">
        <f t="shared" si="1588"/>
        <v/>
      </c>
      <c r="DV141" s="435" t="str">
        <f t="shared" si="1589"/>
        <v/>
      </c>
      <c r="DW141" s="435" t="str">
        <f t="shared" si="1555"/>
        <v/>
      </c>
      <c r="DX141" s="435" t="str">
        <f t="shared" si="1556"/>
        <v/>
      </c>
      <c r="DY141" s="435" t="str">
        <f t="shared" si="1590"/>
        <v/>
      </c>
      <c r="DZ141" s="435" t="str">
        <f t="shared" si="1591"/>
        <v/>
      </c>
      <c r="EA141" s="435" t="str">
        <f t="shared" si="1557"/>
        <v/>
      </c>
      <c r="EB141" s="435" t="str">
        <f t="shared" si="1558"/>
        <v/>
      </c>
      <c r="EC141" s="435" t="str">
        <f t="shared" si="1559"/>
        <v/>
      </c>
      <c r="ED141" s="435" t="str">
        <f t="shared" si="1560"/>
        <v/>
      </c>
      <c r="EE141" s="435" t="str">
        <f t="shared" si="1561"/>
        <v/>
      </c>
      <c r="EF141" s="435" t="str">
        <f t="shared" si="1562"/>
        <v/>
      </c>
      <c r="EG141" s="435" t="str">
        <f t="shared" si="1563"/>
        <v/>
      </c>
      <c r="EH141" s="435" t="str">
        <f t="shared" si="1564"/>
        <v/>
      </c>
      <c r="EI141" s="435" t="str">
        <f t="shared" si="1565"/>
        <v/>
      </c>
      <c r="EJ141" s="435" t="str">
        <f t="shared" si="1566"/>
        <v/>
      </c>
      <c r="EK141" s="485"/>
      <c r="EL141" s="485"/>
      <c r="EM141" s="485"/>
      <c r="EN141" s="485"/>
      <c r="EO141" s="448"/>
      <c r="EP141" s="448"/>
      <c r="EQ141" s="448"/>
      <c r="ER141" s="448"/>
      <c r="ES141" s="448"/>
      <c r="ET141" s="435"/>
      <c r="EU141" s="435"/>
      <c r="EV141" s="435"/>
      <c r="EW141" s="435"/>
      <c r="EX141" s="426"/>
      <c r="EY141" s="426"/>
      <c r="EZ141" s="426"/>
      <c r="FA141" s="863"/>
      <c r="FB141" s="427">
        <f t="array" ref="FB141">IF(SUM((FA141=$FA$3:FA140)*1)=0,FA141,0)</f>
        <v>0</v>
      </c>
      <c r="FC141" s="863"/>
      <c r="FD141" s="863"/>
      <c r="FE141" s="863">
        <f t="array" ref="FE141">IF(SUM((FD141=$FD$3:FD140)*1)=0,FD141,0)</f>
        <v>0</v>
      </c>
      <c r="FF141" s="863"/>
      <c r="FG141" s="863"/>
      <c r="FH141" s="863"/>
      <c r="FI141" s="427">
        <f t="array" ref="FI141">IF(SUM((FH141=$FH$3:FH140)*1)=0,FH141,0)</f>
        <v>0</v>
      </c>
      <c r="FJ141" s="863"/>
      <c r="FK141" s="863"/>
      <c r="FL141" s="863">
        <f t="array" ref="FL141">IF(SUM((FK141=$FK$3:FK140)*1)=0,FK141,0)</f>
        <v>0</v>
      </c>
      <c r="FM141" s="863"/>
      <c r="FN141" s="863"/>
      <c r="FO141" s="863"/>
      <c r="FP141" s="427">
        <f t="array" ref="FP141">IF(SUM((FO141=$FO$3:FO140)*1)=0,FO141,0)</f>
        <v>0</v>
      </c>
      <c r="FQ141" s="863"/>
      <c r="FR141" s="863"/>
      <c r="FS141" s="863">
        <f t="array" ref="FS141">IF(SUM((FR141=$FR$3:FR140)*1)=0,FR141,0)</f>
        <v>0</v>
      </c>
      <c r="FT141" s="863"/>
      <c r="FU141" s="863"/>
      <c r="FV141" s="863"/>
      <c r="FW141" s="427">
        <f t="array" ref="FW141">IF(SUM((FV141=$FV$3:FV140)*1)=0,FV141,0)</f>
        <v>0</v>
      </c>
      <c r="FX141" s="863"/>
      <c r="FY141" s="863"/>
      <c r="FZ141" s="863">
        <f t="array" ref="FZ141">IF(SUM((FY141=$FY$3:FY140)*1)=0,FY141,0)</f>
        <v>0</v>
      </c>
      <c r="GA141" s="863"/>
      <c r="GB141" s="863"/>
      <c r="GC141" s="863"/>
      <c r="GD141" s="427">
        <f t="array" ref="GD141">IF(SUM((GC141=$GC$3:GC140)*1)=0,GC141,0)</f>
        <v>0</v>
      </c>
      <c r="GE141" s="863"/>
      <c r="GF141" s="863"/>
      <c r="GG141" s="863">
        <f t="array" ref="GG141">IF(SUM((GF141=$GF$3:GF140)*1)=0,GF141,0)</f>
        <v>0</v>
      </c>
      <c r="GH141" s="863"/>
      <c r="GI141" s="863"/>
      <c r="GJ141" s="863"/>
      <c r="GK141" s="798">
        <f t="array" ref="GK141">IF(SUM((GJ141=$GJ$3:GJ140)*1)=0,GJ141,0)</f>
        <v>0</v>
      </c>
      <c r="GL141" s="863"/>
      <c r="GM141" s="863"/>
      <c r="GN141" s="798">
        <f t="array" ref="GN141">IF(SUM((GM141=$GM$3:GM140)*1)=0,GM141,0)</f>
        <v>0</v>
      </c>
      <c r="GO141" s="863"/>
      <c r="GP141" s="863"/>
      <c r="GQ141" s="863"/>
      <c r="GR141" s="798">
        <f t="array" ref="GR141">IF(SUM((GQ141=$GQ$3:GQ140)*1)=0,GQ141,0)</f>
        <v>0</v>
      </c>
      <c r="GS141" s="863"/>
      <c r="GT141" s="863"/>
      <c r="GU141" s="798">
        <f t="array" ref="GU141">IF(SUM((GT141=$GT$3:GT140)*1)=0,GT141,0)</f>
        <v>0</v>
      </c>
      <c r="GV141" s="863"/>
      <c r="GW141" s="863"/>
      <c r="GX141" s="863"/>
      <c r="GY141" s="798">
        <f t="array" ref="GY141">IF(SUM((GX141=$GX$3:GX140)*1)=0,GX141,0)</f>
        <v>0</v>
      </c>
      <c r="GZ141" s="863"/>
      <c r="HA141" s="863"/>
      <c r="HB141" s="798">
        <f t="array" ref="HB141">IF(SUM((HA141=$HA$3:HA140)*1)=0,HA141,0)</f>
        <v>0</v>
      </c>
      <c r="HC141" s="863"/>
      <c r="HD141" s="863"/>
      <c r="HE141" s="769" t="str">
        <f t="shared" si="1667"/>
        <v/>
      </c>
      <c r="HF141" s="768" t="str">
        <f t="shared" ref="HF141" si="1742">IF(HE141&lt;0,"Invadiu REP-BA-C","")</f>
        <v/>
      </c>
      <c r="HG141" s="769" t="str">
        <f t="shared" si="1669"/>
        <v/>
      </c>
      <c r="HH141" s="768" t="str">
        <f t="shared" si="1593"/>
        <v/>
      </c>
      <c r="HI141" s="728" t="str">
        <f t="shared" si="1670"/>
        <v/>
      </c>
      <c r="HJ141" s="768" t="str">
        <f t="shared" si="1594"/>
        <v/>
      </c>
      <c r="HK141" s="728" t="str">
        <f t="shared" si="1671"/>
        <v/>
      </c>
      <c r="HL141" s="768" t="str">
        <f t="shared" si="1595"/>
        <v/>
      </c>
      <c r="HM141" s="769" t="str">
        <f t="shared" si="1596"/>
        <v/>
      </c>
      <c r="HN141" s="768" t="str">
        <f t="shared" ref="HN141" si="1743">IF(HM141&lt;0,"Invadiu REP-BA-C","")</f>
        <v/>
      </c>
      <c r="HO141" s="769" t="str">
        <f t="shared" si="1598"/>
        <v/>
      </c>
      <c r="HP141" s="768" t="str">
        <f t="shared" si="1599"/>
        <v/>
      </c>
      <c r="HQ141" s="728" t="str">
        <f t="shared" si="1600"/>
        <v/>
      </c>
      <c r="HR141" s="768" t="str">
        <f t="shared" si="1601"/>
        <v/>
      </c>
      <c r="HS141" s="728" t="str">
        <f t="shared" si="1602"/>
        <v/>
      </c>
      <c r="HT141" s="768" t="str">
        <f t="shared" si="1603"/>
        <v/>
      </c>
      <c r="HU141" s="769" t="str">
        <f t="shared" si="1604"/>
        <v/>
      </c>
      <c r="HV141" s="768" t="str">
        <f t="shared" ref="HV141" si="1744">IF(HU141&lt;0,"Invadiu REP-BA-C","")</f>
        <v/>
      </c>
      <c r="HW141" s="769" t="str">
        <f t="shared" si="1606"/>
        <v/>
      </c>
      <c r="HX141" s="768" t="str">
        <f t="shared" si="1607"/>
        <v/>
      </c>
      <c r="HY141" s="728" t="str">
        <f t="shared" si="1608"/>
        <v/>
      </c>
      <c r="HZ141" s="768" t="str">
        <f t="shared" si="1609"/>
        <v/>
      </c>
      <c r="IA141" s="728" t="str">
        <f t="shared" si="1610"/>
        <v/>
      </c>
      <c r="IB141" s="768" t="str">
        <f t="shared" si="1611"/>
        <v/>
      </c>
      <c r="IC141" s="769" t="str">
        <f t="shared" si="1612"/>
        <v/>
      </c>
      <c r="ID141" s="768" t="str">
        <f t="shared" ref="ID141" si="1745">IF(IC141&lt;0,"Invadiu REP-BA-C","")</f>
        <v/>
      </c>
      <c r="IE141" s="769" t="str">
        <f t="shared" si="1614"/>
        <v/>
      </c>
      <c r="IF141" s="768" t="str">
        <f t="shared" si="1615"/>
        <v/>
      </c>
      <c r="IG141" s="728" t="str">
        <f t="shared" si="1616"/>
        <v/>
      </c>
      <c r="IH141" s="768" t="str">
        <f t="shared" si="1617"/>
        <v/>
      </c>
      <c r="II141" s="728" t="str">
        <f t="shared" si="1618"/>
        <v/>
      </c>
      <c r="IJ141" s="768" t="str">
        <f t="shared" si="1619"/>
        <v/>
      </c>
      <c r="IK141" s="769" t="str">
        <f t="shared" si="1620"/>
        <v/>
      </c>
      <c r="IL141" s="768" t="str">
        <f t="shared" ref="IL141" si="1746">IF(IK141&lt;0,"Invadiu REP-BA-C","")</f>
        <v/>
      </c>
      <c r="IM141" s="769" t="str">
        <f t="shared" si="1622"/>
        <v/>
      </c>
      <c r="IN141" s="768" t="str">
        <f t="shared" si="1623"/>
        <v/>
      </c>
      <c r="IO141" s="728" t="str">
        <f t="shared" si="1624"/>
        <v/>
      </c>
      <c r="IP141" s="768" t="str">
        <f t="shared" si="1625"/>
        <v/>
      </c>
      <c r="IQ141" s="728" t="str">
        <f t="shared" si="1626"/>
        <v/>
      </c>
      <c r="IR141" s="768" t="str">
        <f t="shared" si="1627"/>
        <v/>
      </c>
      <c r="IS141" s="769" t="str">
        <f t="shared" si="1628"/>
        <v/>
      </c>
      <c r="IT141" s="768" t="str">
        <f t="shared" ref="IT141" si="1747">IF(IS141&lt;0,"Invadiu REP-BA-C","")</f>
        <v/>
      </c>
      <c r="IU141" s="769" t="str">
        <f t="shared" si="1630"/>
        <v/>
      </c>
      <c r="IV141" s="768" t="str">
        <f t="shared" si="1631"/>
        <v/>
      </c>
      <c r="IW141" s="728" t="str">
        <f t="shared" si="1632"/>
        <v/>
      </c>
      <c r="IX141" s="768" t="str">
        <f t="shared" si="1633"/>
        <v/>
      </c>
      <c r="IY141" s="728" t="str">
        <f t="shared" si="1634"/>
        <v/>
      </c>
      <c r="IZ141" s="768" t="str">
        <f t="shared" si="1635"/>
        <v/>
      </c>
      <c r="JA141" s="769" t="str">
        <f t="shared" si="1636"/>
        <v/>
      </c>
      <c r="JB141" s="768" t="str">
        <f t="shared" ref="JB141" si="1748">IF(JA141&lt;0,"Invadiu REP-BA-C","")</f>
        <v/>
      </c>
      <c r="JC141" s="769" t="str">
        <f t="shared" si="1638"/>
        <v/>
      </c>
      <c r="JD141" s="768" t="str">
        <f t="shared" si="1639"/>
        <v/>
      </c>
      <c r="JE141" s="728" t="str">
        <f t="shared" si="1640"/>
        <v/>
      </c>
      <c r="JF141" s="768" t="str">
        <f t="shared" si="1641"/>
        <v/>
      </c>
      <c r="JG141" s="728" t="str">
        <f t="shared" si="1642"/>
        <v/>
      </c>
      <c r="JH141" s="768" t="str">
        <f t="shared" si="1643"/>
        <v/>
      </c>
      <c r="JI141" s="769" t="str">
        <f t="shared" si="1644"/>
        <v/>
      </c>
      <c r="JJ141" s="768" t="str">
        <f t="shared" ref="JJ141" si="1749">IF(JI141&lt;0,"Invadiu REP-BA-C","")</f>
        <v/>
      </c>
      <c r="JK141" s="769" t="str">
        <f t="shared" si="1646"/>
        <v/>
      </c>
      <c r="JL141" s="768" t="str">
        <f t="shared" si="1647"/>
        <v/>
      </c>
      <c r="JM141" s="728" t="str">
        <f t="shared" si="1648"/>
        <v/>
      </c>
      <c r="JN141" s="768" t="str">
        <f t="shared" si="1649"/>
        <v/>
      </c>
      <c r="JO141" s="728" t="str">
        <f t="shared" si="1650"/>
        <v/>
      </c>
      <c r="JP141" s="768" t="str">
        <f t="shared" si="1651"/>
        <v/>
      </c>
      <c r="JQ141" s="769" t="str">
        <f t="shared" si="1652"/>
        <v/>
      </c>
      <c r="JR141" s="768" t="str">
        <f t="shared" ref="JR141" si="1750">IF(JQ141&lt;0,"Invadiu REP-BA-C","")</f>
        <v/>
      </c>
      <c r="JS141" s="769" t="str">
        <f t="shared" si="1654"/>
        <v/>
      </c>
      <c r="JT141" s="768" t="str">
        <f t="shared" si="1655"/>
        <v/>
      </c>
      <c r="JU141" s="728" t="str">
        <f t="shared" si="1656"/>
        <v/>
      </c>
      <c r="JV141" s="768" t="str">
        <f t="shared" si="1657"/>
        <v/>
      </c>
      <c r="JW141" s="728" t="str">
        <f t="shared" si="1658"/>
        <v/>
      </c>
      <c r="JX141" s="768" t="str">
        <f t="shared" si="1659"/>
        <v/>
      </c>
      <c r="JY141" s="768" t="str">
        <f t="shared" si="1660"/>
        <v/>
      </c>
      <c r="JZ141" s="485" t="str">
        <f>IF(JY141="","",IF(AND(C141=$C$164,JY141&lt;&gt;""),Verificarcpf(D141),IF(AND(C141=$C$165,JY141&lt;&gt;""),VerificarCNPJ(D141))))</f>
        <v/>
      </c>
      <c r="KA141" s="768" t="str">
        <f t="shared" si="1661"/>
        <v/>
      </c>
      <c r="KB141" s="485">
        <f t="shared" si="1662"/>
        <v>0</v>
      </c>
      <c r="KC141" s="768">
        <f t="shared" si="1663"/>
        <v>0</v>
      </c>
      <c r="KD141" s="485">
        <f t="shared" si="1664"/>
        <v>0</v>
      </c>
      <c r="KE141" s="448"/>
      <c r="KF141" s="548"/>
      <c r="KG141" s="548"/>
      <c r="KH141" s="548"/>
      <c r="KI141" s="548"/>
      <c r="KJ141" s="548" t="str">
        <f t="shared" si="1665"/>
        <v/>
      </c>
      <c r="KK141" s="548"/>
      <c r="KL141" s="548"/>
      <c r="KM141" s="548">
        <f t="array" ref="KM141">IF(SUM((KL141=$KL$3:KL140)*1)=0,KL141,0)</f>
        <v>0</v>
      </c>
      <c r="KN141" s="548"/>
      <c r="KO141" s="548"/>
      <c r="KP141" s="548"/>
      <c r="KQ141" s="548"/>
      <c r="KR141" s="548" t="str">
        <f t="shared" si="1666"/>
        <v/>
      </c>
      <c r="KS141" s="548"/>
      <c r="KT141" s="548"/>
      <c r="KU141" s="548"/>
      <c r="KV141" s="548"/>
      <c r="KW141" s="548"/>
      <c r="KX141" s="548"/>
      <c r="KY141" s="548"/>
      <c r="KZ141" s="548"/>
      <c r="LA141" s="548"/>
      <c r="LB141" s="548"/>
      <c r="LC141" s="485" t="str">
        <f t="shared" si="1680"/>
        <v/>
      </c>
      <c r="LD141" s="548"/>
      <c r="LE141" s="548"/>
      <c r="LF141" s="548"/>
      <c r="LG141" s="548"/>
      <c r="LH141" s="548"/>
      <c r="LI141" s="548"/>
      <c r="LJ141" s="548"/>
      <c r="LK141" s="548"/>
      <c r="LL141" s="548"/>
      <c r="LM141" s="548"/>
      <c r="LN141" s="548"/>
      <c r="LO141" s="548"/>
      <c r="LP141" s="485" t="str">
        <f t="shared" si="1681"/>
        <v/>
      </c>
      <c r="LQ141" s="548"/>
      <c r="LR141" s="548"/>
      <c r="LS141" s="548"/>
      <c r="LT141" s="548"/>
      <c r="LU141" s="548"/>
      <c r="LV141" s="548"/>
      <c r="LW141" s="548"/>
      <c r="LX141" s="548"/>
      <c r="LY141" s="548"/>
      <c r="LZ141" s="548"/>
      <c r="MA141" s="548"/>
      <c r="MB141" s="548"/>
      <c r="MC141" s="485" t="str">
        <f t="shared" si="1682"/>
        <v/>
      </c>
      <c r="MD141" s="548"/>
      <c r="ME141" s="548"/>
      <c r="MF141" s="548"/>
      <c r="MG141" s="548"/>
      <c r="MH141" s="548"/>
      <c r="MI141" s="548"/>
      <c r="MJ141" s="548"/>
      <c r="MK141" s="548"/>
      <c r="ML141" s="548"/>
      <c r="MM141" s="548"/>
      <c r="MN141" s="548"/>
      <c r="MO141" s="548"/>
      <c r="MP141" s="485" t="str">
        <f t="shared" si="1683"/>
        <v/>
      </c>
      <c r="MQ141" s="548"/>
      <c r="MR141" s="548"/>
      <c r="MS141" s="548"/>
      <c r="MT141" s="548"/>
      <c r="MU141" s="548"/>
      <c r="MV141" s="548"/>
      <c r="MW141" s="548"/>
      <c r="MX141" s="548"/>
      <c r="MY141" s="548"/>
      <c r="MZ141" s="548"/>
      <c r="NA141" s="548"/>
      <c r="NB141" s="548"/>
      <c r="NC141" s="485" t="str">
        <f t="shared" si="1684"/>
        <v/>
      </c>
      <c r="ND141" s="548"/>
      <c r="NE141" s="548"/>
      <c r="NF141" s="548"/>
      <c r="NG141" s="548"/>
      <c r="NH141" s="548"/>
      <c r="NI141" s="548"/>
      <c r="NJ141" s="548"/>
      <c r="NK141" s="548"/>
      <c r="NL141" s="548"/>
      <c r="NM141" s="548"/>
      <c r="NN141" s="548"/>
      <c r="NO141" s="548"/>
      <c r="NP141" s="485" t="str">
        <f t="shared" si="1685"/>
        <v/>
      </c>
      <c r="NQ141" s="548"/>
      <c r="NR141" s="548"/>
      <c r="NS141" s="548"/>
      <c r="NT141" s="548"/>
      <c r="NU141" s="548"/>
      <c r="NV141" s="548"/>
      <c r="NW141" s="548"/>
      <c r="NX141" s="548"/>
      <c r="NY141" s="548"/>
      <c r="NZ141" s="548"/>
      <c r="OA141" s="548"/>
      <c r="OB141" s="548"/>
      <c r="OC141" s="485" t="str">
        <f t="shared" si="1686"/>
        <v/>
      </c>
      <c r="OD141" s="548"/>
      <c r="OE141" s="548"/>
      <c r="OF141" s="548"/>
      <c r="OG141" s="548"/>
      <c r="OH141" s="548"/>
      <c r="OI141" s="548"/>
      <c r="OJ141" s="548"/>
      <c r="OK141" s="548"/>
      <c r="OL141" s="548"/>
      <c r="OM141" s="548"/>
      <c r="ON141" s="548"/>
      <c r="OO141" s="548"/>
      <c r="OP141" s="548"/>
      <c r="OQ141" s="548"/>
      <c r="OR141" s="548"/>
      <c r="OS141" s="548"/>
      <c r="OT141" s="548"/>
      <c r="OU141" s="548"/>
      <c r="OV141" s="548"/>
      <c r="OW141" s="548"/>
      <c r="OX141" s="548"/>
      <c r="OY141" s="548"/>
      <c r="OZ141" s="548"/>
      <c r="PA141" s="548"/>
      <c r="PB141" s="548"/>
      <c r="PC141" s="548"/>
      <c r="PD141" s="548"/>
      <c r="PE141" s="548"/>
      <c r="PF141" s="548"/>
      <c r="PG141" s="548"/>
      <c r="PH141" s="548"/>
      <c r="PI141" s="548"/>
      <c r="PJ141" s="548"/>
      <c r="PK141" s="548"/>
      <c r="PL141" s="548"/>
      <c r="PM141" s="548"/>
      <c r="PN141" s="548"/>
      <c r="PO141" s="548"/>
      <c r="PP141" s="548"/>
      <c r="PQ141" s="548"/>
      <c r="PR141" s="548"/>
      <c r="PS141" s="548"/>
      <c r="PT141" s="548"/>
      <c r="PU141" s="548"/>
      <c r="PV141" s="548"/>
      <c r="PW141" s="548"/>
      <c r="PX141" s="548"/>
      <c r="PY141" s="548"/>
      <c r="PZ141" s="548"/>
      <c r="QA141" s="548"/>
      <c r="QB141" s="548"/>
      <c r="QC141" s="548"/>
      <c r="QD141" s="548"/>
      <c r="QE141" s="548"/>
      <c r="QF141" s="548"/>
      <c r="QG141" s="548"/>
      <c r="QH141" s="548"/>
      <c r="QI141" s="548"/>
      <c r="QJ141" s="548"/>
      <c r="QK141" s="548"/>
      <c r="QL141" s="548"/>
      <c r="QM141" s="548"/>
      <c r="QN141" s="548"/>
      <c r="QO141" s="548"/>
      <c r="QP141" s="548"/>
      <c r="QQ141" s="1009"/>
      <c r="QR141" s="548"/>
      <c r="QS141" s="548"/>
      <c r="QT141" s="548"/>
      <c r="QU141" s="548"/>
      <c r="QV141" s="548"/>
      <c r="QW141" s="548"/>
      <c r="QX141" s="548"/>
      <c r="QY141" s="548"/>
      <c r="QZ141" s="548"/>
      <c r="RA141" s="548"/>
      <c r="RB141" s="548"/>
      <c r="RC141" s="548"/>
      <c r="RD141" s="548"/>
      <c r="RE141" s="548"/>
      <c r="RF141" s="548"/>
      <c r="RG141" s="548"/>
      <c r="RH141" s="548"/>
      <c r="RI141" s="548"/>
      <c r="RJ141" s="548"/>
      <c r="RK141" s="548"/>
      <c r="RL141" s="548"/>
      <c r="RM141" s="548"/>
      <c r="RN141" s="548"/>
      <c r="RO141" s="548"/>
      <c r="RP141" s="548"/>
      <c r="RQ141" s="548"/>
      <c r="RR141" s="548"/>
      <c r="RS141" s="548"/>
      <c r="RT141" s="548"/>
      <c r="RU141" s="548"/>
      <c r="RV141" s="548"/>
      <c r="RW141" s="548"/>
      <c r="RX141" s="548"/>
      <c r="RY141" s="548"/>
      <c r="RZ141" s="548"/>
      <c r="SA141" s="548"/>
      <c r="SB141" s="548"/>
      <c r="SC141" s="548"/>
      <c r="SD141" s="548"/>
      <c r="SE141" s="548"/>
      <c r="SF141" s="548"/>
      <c r="SG141" s="548"/>
      <c r="SH141" s="548"/>
      <c r="SI141" s="548"/>
      <c r="SJ141" s="548"/>
      <c r="SK141" s="548"/>
      <c r="SL141" s="548"/>
      <c r="SM141" s="548"/>
      <c r="SN141" s="548"/>
      <c r="SO141" s="548"/>
      <c r="SP141" s="548"/>
      <c r="SQ141" s="548"/>
      <c r="SR141" s="548"/>
      <c r="SS141" s="548"/>
      <c r="ST141" s="548"/>
      <c r="SU141" s="548"/>
      <c r="SV141" s="548"/>
      <c r="SW141" s="548"/>
      <c r="SX141" s="548"/>
      <c r="SY141" s="548"/>
      <c r="SZ141" s="548"/>
      <c r="TA141" s="548"/>
      <c r="TB141" s="548"/>
      <c r="TC141" s="548"/>
      <c r="TD141" s="548"/>
      <c r="TE141" s="548"/>
      <c r="TF141" s="548"/>
      <c r="TG141" s="548"/>
      <c r="TH141" s="548"/>
      <c r="TI141" s="548"/>
      <c r="TJ141" s="548"/>
      <c r="TK141" s="548"/>
      <c r="TL141" s="548"/>
      <c r="TM141" s="548"/>
      <c r="TN141" s="548"/>
      <c r="TO141" s="548"/>
      <c r="TP141" s="548"/>
      <c r="TQ141" s="548"/>
      <c r="TR141" s="548"/>
      <c r="TS141" s="548"/>
      <c r="TT141" s="548"/>
      <c r="TU141" s="548"/>
      <c r="TV141" s="548"/>
      <c r="TW141" s="548"/>
      <c r="TX141" s="548"/>
      <c r="TY141" s="548"/>
      <c r="TZ141" s="548"/>
      <c r="UA141" s="548"/>
      <c r="UB141" s="548"/>
      <c r="UC141" s="548"/>
      <c r="UD141" s="548"/>
      <c r="UE141" s="548"/>
      <c r="UF141" s="548"/>
      <c r="UG141" s="548"/>
      <c r="UH141" s="548"/>
      <c r="UI141" s="548"/>
      <c r="UJ141" s="548"/>
      <c r="UK141" s="548"/>
      <c r="UL141" s="548"/>
      <c r="UM141" s="548"/>
      <c r="UN141" s="548"/>
      <c r="UO141" s="548"/>
      <c r="UP141" s="548"/>
      <c r="UQ141" s="548"/>
      <c r="UR141" s="548"/>
      <c r="US141" s="548"/>
      <c r="UT141" s="548"/>
      <c r="UU141" s="548"/>
      <c r="UV141" s="548"/>
      <c r="UW141" s="548"/>
      <c r="UX141" s="548"/>
      <c r="UY141" s="548"/>
      <c r="UZ141" s="548"/>
      <c r="VA141" s="548"/>
      <c r="VB141" s="548"/>
      <c r="VC141" s="548"/>
      <c r="VD141" s="548"/>
      <c r="VE141" s="548"/>
      <c r="VF141" s="548"/>
      <c r="VG141" s="548"/>
      <c r="VH141" s="548"/>
      <c r="VI141" s="548"/>
      <c r="VJ141" s="548"/>
      <c r="VK141" s="548"/>
      <c r="VL141" s="548"/>
      <c r="VM141" s="548"/>
      <c r="VN141" s="548"/>
      <c r="VO141" s="548"/>
      <c r="VP141" s="548"/>
      <c r="VQ141" s="548"/>
      <c r="VR141" s="548"/>
      <c r="VS141" s="548"/>
      <c r="VT141" s="548"/>
      <c r="VU141" s="548"/>
      <c r="VV141" s="548"/>
      <c r="VW141" s="548"/>
      <c r="VX141" s="548"/>
      <c r="VY141" s="548"/>
      <c r="VZ141" s="548"/>
      <c r="WA141" s="548"/>
      <c r="WB141" s="548"/>
      <c r="WC141" s="548"/>
      <c r="WD141" s="548"/>
      <c r="WE141" s="548"/>
      <c r="WF141" s="548"/>
      <c r="WG141" s="548"/>
      <c r="WH141" s="548"/>
      <c r="WI141" s="548"/>
      <c r="WJ141" s="548"/>
      <c r="WK141" s="548"/>
      <c r="WL141" s="548"/>
      <c r="WM141" s="548"/>
      <c r="WN141" s="548"/>
      <c r="WO141" s="548"/>
      <c r="WP141" s="548"/>
      <c r="WQ141" s="548"/>
      <c r="WR141" s="548"/>
      <c r="WS141" s="548"/>
      <c r="WT141" s="548"/>
      <c r="WU141" s="548"/>
      <c r="WV141" s="548"/>
      <c r="WW141" s="548"/>
      <c r="WX141" s="548"/>
      <c r="WY141" s="548"/>
      <c r="WZ141" s="548"/>
      <c r="XA141" s="548"/>
      <c r="XB141" s="548"/>
      <c r="XC141" s="548"/>
      <c r="XD141" s="548"/>
      <c r="XE141" s="548"/>
      <c r="XF141" s="548"/>
      <c r="XG141" s="548"/>
      <c r="XH141" s="548"/>
      <c r="XI141" s="548"/>
      <c r="XJ141" s="548"/>
      <c r="XK141" s="548"/>
      <c r="XL141" s="548"/>
      <c r="XM141" s="548"/>
      <c r="XN141" s="548"/>
      <c r="XO141" s="548"/>
      <c r="XP141" s="548"/>
      <c r="XQ141" s="548"/>
      <c r="XR141" s="548"/>
      <c r="XS141" s="548"/>
      <c r="XT141" s="548"/>
      <c r="XU141" s="548"/>
      <c r="XV141" s="548"/>
      <c r="XW141" s="548"/>
      <c r="XX141" s="548"/>
      <c r="XY141" s="548"/>
      <c r="XZ141" s="548"/>
      <c r="YA141" s="548"/>
      <c r="YB141" s="548"/>
      <c r="YC141" s="548"/>
      <c r="YD141" s="548"/>
      <c r="YE141" s="548"/>
      <c r="YF141" s="548"/>
      <c r="YG141" s="548"/>
      <c r="YH141" s="548"/>
      <c r="YI141" s="548"/>
      <c r="YJ141" s="548"/>
      <c r="YK141" s="548"/>
      <c r="YL141" s="548"/>
      <c r="YM141" s="548"/>
      <c r="YN141" s="548"/>
      <c r="YO141" s="548"/>
      <c r="YP141" s="548"/>
      <c r="YQ141" s="548"/>
      <c r="YR141" s="548"/>
      <c r="YS141" s="548"/>
      <c r="YT141" s="548"/>
      <c r="YU141" s="548"/>
      <c r="YV141" s="548"/>
      <c r="YW141" s="548"/>
      <c r="YX141" s="548"/>
      <c r="YY141" s="548"/>
      <c r="YZ141" s="548"/>
      <c r="ZA141" s="548"/>
      <c r="ZB141" s="548"/>
      <c r="ZC141" s="548"/>
      <c r="ZD141" s="548"/>
      <c r="ZE141" s="548"/>
      <c r="ZF141" s="548"/>
      <c r="ZG141" s="548"/>
      <c r="ZH141" s="548"/>
      <c r="ZI141" s="548"/>
      <c r="ZJ141" s="548"/>
      <c r="ZK141" s="548"/>
      <c r="ZL141" s="548"/>
      <c r="ZM141" s="548"/>
      <c r="ZN141" s="548"/>
      <c r="ZO141" s="548"/>
      <c r="ZP141" s="548"/>
      <c r="ZQ141" s="548"/>
      <c r="ZR141" s="548"/>
      <c r="ZS141" s="548"/>
      <c r="ZT141" s="548"/>
      <c r="ZU141" s="548"/>
      <c r="ZV141" s="548"/>
      <c r="ZW141" s="548"/>
      <c r="ZX141" s="548"/>
      <c r="ZY141" s="548"/>
      <c r="ZZ141" s="548"/>
      <c r="AAA141" s="548"/>
      <c r="AAB141" s="548"/>
      <c r="AAC141" s="548"/>
      <c r="AAD141" s="548"/>
      <c r="AAE141" s="548"/>
      <c r="AAF141" s="548"/>
      <c r="AAG141" s="548"/>
      <c r="AAH141" s="548"/>
      <c r="AAI141" s="548"/>
      <c r="AAJ141" s="548"/>
      <c r="AAK141" s="548"/>
      <c r="AAL141" s="548"/>
      <c r="AAM141" s="548"/>
      <c r="AAN141" s="548"/>
      <c r="AAO141" s="548"/>
      <c r="AAP141" s="548"/>
      <c r="AAQ141" s="548"/>
      <c r="AAR141" s="548"/>
      <c r="AAS141" s="548"/>
      <c r="AAT141" s="548"/>
      <c r="AAU141" s="548"/>
      <c r="AAV141" s="548"/>
      <c r="AAW141" s="548"/>
      <c r="AAX141" s="548"/>
      <c r="AAY141" s="548"/>
      <c r="AAZ141" s="548"/>
      <c r="ABA141" s="548"/>
      <c r="ABB141" s="548"/>
      <c r="ABC141" s="548"/>
      <c r="ABD141" s="548"/>
      <c r="ABE141" s="548"/>
      <c r="ABF141" s="548"/>
      <c r="ABG141" s="548"/>
      <c r="ABH141" s="548"/>
      <c r="ABI141" s="548"/>
      <c r="ABJ141" s="548"/>
      <c r="ABK141" s="548"/>
      <c r="ABL141" s="548"/>
      <c r="ABM141" s="548"/>
      <c r="ABN141" s="548"/>
      <c r="ABO141" s="548"/>
      <c r="ABP141" s="548"/>
      <c r="ABQ141" s="548"/>
      <c r="ABR141" s="548"/>
      <c r="ABS141" s="548"/>
    </row>
    <row r="142" spans="1:747" customFormat="1" ht="15" customHeight="1" x14ac:dyDescent="0.2">
      <c r="A142" s="424" t="str">
        <f t="shared" si="1687"/>
        <v/>
      </c>
      <c r="B142" s="415"/>
      <c r="C142" s="525"/>
      <c r="D142" s="750"/>
      <c r="E142" s="416" t="str">
        <f t="shared" si="1529"/>
        <v/>
      </c>
      <c r="F142" s="527" t="str">
        <f t="shared" si="1530"/>
        <v/>
      </c>
      <c r="G142" s="417"/>
      <c r="H142" s="585" t="str">
        <f t="shared" si="1531"/>
        <v/>
      </c>
      <c r="I142" s="424"/>
      <c r="J142" s="419"/>
      <c r="K142" s="418"/>
      <c r="L142" s="419"/>
      <c r="M142" s="415"/>
      <c r="N142" s="420"/>
      <c r="O142" s="421"/>
      <c r="P142" s="561"/>
      <c r="Q142" s="422"/>
      <c r="R142" s="561" t="str">
        <f t="shared" si="1532"/>
        <v/>
      </c>
      <c r="S142" s="664"/>
      <c r="T142" s="663"/>
      <c r="U142" s="580">
        <f t="shared" si="1533"/>
        <v>0</v>
      </c>
      <c r="V142" s="418"/>
      <c r="W142" s="582" t="str">
        <f t="shared" si="1534"/>
        <v/>
      </c>
      <c r="X142" s="479" t="str">
        <f t="shared" si="1535"/>
        <v/>
      </c>
      <c r="Y142" s="582" t="str">
        <f t="shared" si="1536"/>
        <v/>
      </c>
      <c r="Z142" s="317" t="str">
        <f t="shared" si="1537"/>
        <v/>
      </c>
      <c r="AA142" s="317" t="str">
        <f t="shared" si="1538"/>
        <v/>
      </c>
      <c r="AB142" s="317">
        <f t="shared" si="1539"/>
        <v>0</v>
      </c>
      <c r="AC142" s="317" t="str">
        <f t="shared" si="1540"/>
        <v/>
      </c>
      <c r="AD142" s="479"/>
      <c r="AE142" s="479"/>
      <c r="AF142" s="479"/>
      <c r="AG142" s="423"/>
      <c r="AH142" s="820"/>
      <c r="AI142" s="437"/>
      <c r="AJ142" s="660"/>
      <c r="AK142" s="524" t="str">
        <f t="shared" si="1541"/>
        <v/>
      </c>
      <c r="AL142" s="731">
        <f>SUMIF($J$4:$J$116,"Livre Aplic.",$S$4:$S$116)</f>
        <v>0</v>
      </c>
      <c r="AM142" s="732">
        <f>SUMIF($J$4:$J$116,"Livre Aplic.",$T$4:$T$116)</f>
        <v>0</v>
      </c>
      <c r="AN142" s="426">
        <f t="shared" si="1542"/>
        <v>0</v>
      </c>
      <c r="AO142" s="427" t="str">
        <f t="shared" si="1543"/>
        <v/>
      </c>
      <c r="AP142" s="426" t="str">
        <f t="shared" si="1544"/>
        <v/>
      </c>
      <c r="AQ142" s="426"/>
      <c r="AR142" s="426"/>
      <c r="AS142" s="428"/>
      <c r="AT142" s="429"/>
      <c r="AU142" s="430"/>
      <c r="AV142" s="431"/>
      <c r="AW142" s="432"/>
      <c r="AX142" s="430"/>
      <c r="AY142" s="431">
        <f t="shared" si="1545"/>
        <v>0</v>
      </c>
      <c r="AZ142" s="426"/>
      <c r="BA142" s="435" t="str">
        <f t="shared" si="1546"/>
        <v/>
      </c>
      <c r="BB142" s="435"/>
      <c r="BC142" s="426"/>
      <c r="BD142" s="426">
        <f t="array" ref="BD142">IF(SUM((BC142=$BC$3:BC141)*1)=0,BC142,0)</f>
        <v>0</v>
      </c>
      <c r="BE142" s="426"/>
      <c r="BF142" s="426"/>
      <c r="BG142" s="426">
        <f t="array" ref="BG142">IF(SUM((BF142=$BF$3:BF141)*1)=0,BF142,0)</f>
        <v>0</v>
      </c>
      <c r="BH142" s="426"/>
      <c r="BI142" s="426"/>
      <c r="BJ142" s="426"/>
      <c r="BK142" s="426"/>
      <c r="BL142" s="426"/>
      <c r="BM142" s="426"/>
      <c r="BN142" s="426"/>
      <c r="BO142" s="426"/>
      <c r="BP142" s="433">
        <f t="shared" si="1547"/>
        <v>0</v>
      </c>
      <c r="BQ142" s="426"/>
      <c r="BR142" s="434"/>
      <c r="BS142" s="426"/>
      <c r="BT142" s="433"/>
      <c r="BU142" s="435"/>
      <c r="BV142" s="435" t="str">
        <f t="shared" si="1548"/>
        <v/>
      </c>
      <c r="BW142" s="435" t="str">
        <f t="shared" si="1576"/>
        <v/>
      </c>
      <c r="BX142" s="435"/>
      <c r="BY142" s="435"/>
      <c r="BZ142" s="435"/>
      <c r="CA142" s="435"/>
      <c r="CB142" s="435"/>
      <c r="CC142" s="435"/>
      <c r="CD142" s="435"/>
      <c r="CE142" s="435"/>
      <c r="CF142" s="435"/>
      <c r="CG142" s="435"/>
      <c r="CH142" s="435"/>
      <c r="CI142" s="435"/>
      <c r="CJ142" s="426" t="str">
        <f t="shared" si="1577"/>
        <v/>
      </c>
      <c r="CK142" s="435"/>
      <c r="CL142" s="426"/>
      <c r="CM142" s="435"/>
      <c r="CN142" s="426"/>
      <c r="CO142" s="426"/>
      <c r="CP142" s="426"/>
      <c r="CQ142" s="426"/>
      <c r="CR142" s="426"/>
      <c r="CS142" s="426"/>
      <c r="CT142" s="426"/>
      <c r="CU142" s="426"/>
      <c r="CV142" s="426"/>
      <c r="CW142" s="493"/>
      <c r="CX142" s="493"/>
      <c r="CY142" s="426">
        <v>139</v>
      </c>
      <c r="CZ142" s="493"/>
      <c r="DA142" s="493"/>
      <c r="DB142" s="493"/>
      <c r="DC142" s="426" t="s">
        <v>882</v>
      </c>
      <c r="DD142" s="426" t="s">
        <v>1042</v>
      </c>
      <c r="DE142" s="435" t="str">
        <f t="shared" si="1578"/>
        <v/>
      </c>
      <c r="DF142" s="435" t="str">
        <f t="shared" si="1579"/>
        <v/>
      </c>
      <c r="DG142" s="435" t="str">
        <f t="shared" si="1580"/>
        <v/>
      </c>
      <c r="DH142" s="435" t="str">
        <f t="shared" si="1581"/>
        <v/>
      </c>
      <c r="DI142" s="435" t="str">
        <f t="shared" si="1582"/>
        <v/>
      </c>
      <c r="DJ142" s="435" t="str">
        <f t="shared" si="1583"/>
        <v/>
      </c>
      <c r="DK142" s="435" t="str">
        <f t="shared" si="1549"/>
        <v/>
      </c>
      <c r="DL142" s="435" t="str">
        <f t="shared" si="1550"/>
        <v/>
      </c>
      <c r="DM142" s="435" t="str">
        <f t="shared" si="1584"/>
        <v/>
      </c>
      <c r="DN142" s="435" t="str">
        <f t="shared" si="1585"/>
        <v/>
      </c>
      <c r="DO142" s="435" t="str">
        <f t="shared" si="1551"/>
        <v/>
      </c>
      <c r="DP142" s="435" t="str">
        <f t="shared" si="1552"/>
        <v/>
      </c>
      <c r="DQ142" s="435" t="str">
        <f t="shared" si="1586"/>
        <v/>
      </c>
      <c r="DR142" s="435" t="str">
        <f t="shared" si="1587"/>
        <v/>
      </c>
      <c r="DS142" s="435" t="str">
        <f t="shared" si="1553"/>
        <v/>
      </c>
      <c r="DT142" s="435" t="str">
        <f t="shared" si="1554"/>
        <v/>
      </c>
      <c r="DU142" s="435" t="str">
        <f t="shared" si="1588"/>
        <v/>
      </c>
      <c r="DV142" s="435" t="str">
        <f t="shared" si="1589"/>
        <v/>
      </c>
      <c r="DW142" s="435" t="str">
        <f t="shared" si="1555"/>
        <v/>
      </c>
      <c r="DX142" s="435" t="str">
        <f t="shared" si="1556"/>
        <v/>
      </c>
      <c r="DY142" s="435" t="str">
        <f t="shared" si="1590"/>
        <v/>
      </c>
      <c r="DZ142" s="435" t="str">
        <f t="shared" si="1591"/>
        <v/>
      </c>
      <c r="EA142" s="435" t="str">
        <f t="shared" si="1557"/>
        <v/>
      </c>
      <c r="EB142" s="435" t="str">
        <f t="shared" si="1558"/>
        <v/>
      </c>
      <c r="EC142" s="435" t="str">
        <f t="shared" si="1559"/>
        <v/>
      </c>
      <c r="ED142" s="435" t="str">
        <f t="shared" si="1560"/>
        <v/>
      </c>
      <c r="EE142" s="435" t="str">
        <f t="shared" si="1561"/>
        <v/>
      </c>
      <c r="EF142" s="435" t="str">
        <f t="shared" si="1562"/>
        <v/>
      </c>
      <c r="EG142" s="435" t="str">
        <f t="shared" si="1563"/>
        <v/>
      </c>
      <c r="EH142" s="435" t="str">
        <f t="shared" si="1564"/>
        <v/>
      </c>
      <c r="EI142" s="435" t="str">
        <f t="shared" si="1565"/>
        <v/>
      </c>
      <c r="EJ142" s="435" t="str">
        <f t="shared" si="1566"/>
        <v/>
      </c>
      <c r="EK142" s="485"/>
      <c r="EL142" s="485"/>
      <c r="EM142" s="485"/>
      <c r="EN142" s="485"/>
      <c r="EO142" s="448"/>
      <c r="EP142" s="448"/>
      <c r="EQ142" s="448"/>
      <c r="ER142" s="448"/>
      <c r="ES142" s="448"/>
      <c r="ET142" s="435"/>
      <c r="EU142" s="435"/>
      <c r="EV142" s="435"/>
      <c r="EW142" s="435"/>
      <c r="EX142" s="426"/>
      <c r="EY142" s="426"/>
      <c r="EZ142" s="426"/>
      <c r="FA142" s="863"/>
      <c r="FB142" s="427">
        <f t="array" ref="FB142">IF(SUM((FA142=$FA$3:FA141)*1)=0,FA142,0)</f>
        <v>0</v>
      </c>
      <c r="FC142" s="863"/>
      <c r="FD142" s="863"/>
      <c r="FE142" s="863">
        <f t="array" ref="FE142">IF(SUM((FD142=$FD$3:FD141)*1)=0,FD142,0)</f>
        <v>0</v>
      </c>
      <c r="FF142" s="863"/>
      <c r="FG142" s="863"/>
      <c r="FH142" s="863"/>
      <c r="FI142" s="427">
        <f t="array" ref="FI142">IF(SUM((FH142=$FH$3:FH141)*1)=0,FH142,0)</f>
        <v>0</v>
      </c>
      <c r="FJ142" s="863"/>
      <c r="FK142" s="863"/>
      <c r="FL142" s="863">
        <f t="array" ref="FL142">IF(SUM((FK142=$FK$3:FK141)*1)=0,FK142,0)</f>
        <v>0</v>
      </c>
      <c r="FM142" s="863"/>
      <c r="FN142" s="863"/>
      <c r="FO142" s="863"/>
      <c r="FP142" s="427">
        <f t="array" ref="FP142">IF(SUM((FO142=$FO$3:FO141)*1)=0,FO142,0)</f>
        <v>0</v>
      </c>
      <c r="FQ142" s="863"/>
      <c r="FR142" s="863"/>
      <c r="FS142" s="863">
        <f t="array" ref="FS142">IF(SUM((FR142=$FR$3:FR141)*1)=0,FR142,0)</f>
        <v>0</v>
      </c>
      <c r="FT142" s="863"/>
      <c r="FU142" s="863"/>
      <c r="FV142" s="863"/>
      <c r="FW142" s="427">
        <f t="array" ref="FW142">IF(SUM((FV142=$FV$3:FV141)*1)=0,FV142,0)</f>
        <v>0</v>
      </c>
      <c r="FX142" s="863"/>
      <c r="FY142" s="863"/>
      <c r="FZ142" s="863">
        <f t="array" ref="FZ142">IF(SUM((FY142=$FY$3:FY141)*1)=0,FY142,0)</f>
        <v>0</v>
      </c>
      <c r="GA142" s="863"/>
      <c r="GB142" s="863"/>
      <c r="GC142" s="863"/>
      <c r="GD142" s="427">
        <f t="array" ref="GD142">IF(SUM((GC142=$GC$3:GC141)*1)=0,GC142,0)</f>
        <v>0</v>
      </c>
      <c r="GE142" s="863"/>
      <c r="GF142" s="863"/>
      <c r="GG142" s="863">
        <f t="array" ref="GG142">IF(SUM((GF142=$GF$3:GF141)*1)=0,GF142,0)</f>
        <v>0</v>
      </c>
      <c r="GH142" s="863"/>
      <c r="GI142" s="863"/>
      <c r="GJ142" s="863"/>
      <c r="GK142" s="798">
        <f t="array" ref="GK142">IF(SUM((GJ142=$GJ$3:GJ141)*1)=0,GJ142,0)</f>
        <v>0</v>
      </c>
      <c r="GL142" s="863"/>
      <c r="GM142" s="863"/>
      <c r="GN142" s="798">
        <f t="array" ref="GN142">IF(SUM((GM142=$GM$3:GM141)*1)=0,GM142,0)</f>
        <v>0</v>
      </c>
      <c r="GO142" s="863"/>
      <c r="GP142" s="863"/>
      <c r="GQ142" s="863"/>
      <c r="GR142" s="798">
        <f t="array" ref="GR142">IF(SUM((GQ142=$GQ$3:GQ141)*1)=0,GQ142,0)</f>
        <v>0</v>
      </c>
      <c r="GS142" s="863"/>
      <c r="GT142" s="863"/>
      <c r="GU142" s="798">
        <f t="array" ref="GU142">IF(SUM((GT142=$GT$3:GT141)*1)=0,GT142,0)</f>
        <v>0</v>
      </c>
      <c r="GV142" s="863"/>
      <c r="GW142" s="863"/>
      <c r="GX142" s="863"/>
      <c r="GY142" s="798">
        <f t="array" ref="GY142">IF(SUM((GX142=$GX$3:GX141)*1)=0,GX142,0)</f>
        <v>0</v>
      </c>
      <c r="GZ142" s="863"/>
      <c r="HA142" s="863"/>
      <c r="HB142" s="798">
        <f t="array" ref="HB142">IF(SUM((HA142=$HA$3:HA141)*1)=0,HA142,0)</f>
        <v>0</v>
      </c>
      <c r="HC142" s="863"/>
      <c r="HD142" s="863"/>
      <c r="HE142" s="769" t="str">
        <f t="shared" si="1667"/>
        <v/>
      </c>
      <c r="HF142" s="768" t="str">
        <f t="shared" ref="HF142" si="1751">IF(HE142&lt;0,"Invadiu REP-BA-C","")</f>
        <v/>
      </c>
      <c r="HG142" s="769" t="str">
        <f t="shared" si="1669"/>
        <v/>
      </c>
      <c r="HH142" s="768" t="str">
        <f t="shared" si="1593"/>
        <v/>
      </c>
      <c r="HI142" s="728" t="str">
        <f t="shared" si="1670"/>
        <v/>
      </c>
      <c r="HJ142" s="768" t="str">
        <f t="shared" si="1594"/>
        <v/>
      </c>
      <c r="HK142" s="728" t="str">
        <f t="shared" si="1671"/>
        <v/>
      </c>
      <c r="HL142" s="768" t="str">
        <f t="shared" si="1595"/>
        <v/>
      </c>
      <c r="HM142" s="769" t="str">
        <f t="shared" si="1596"/>
        <v/>
      </c>
      <c r="HN142" s="768" t="str">
        <f t="shared" ref="HN142" si="1752">IF(HM142&lt;0,"Invadiu REP-BA-C","")</f>
        <v/>
      </c>
      <c r="HO142" s="769" t="str">
        <f t="shared" si="1598"/>
        <v/>
      </c>
      <c r="HP142" s="768" t="str">
        <f t="shared" si="1599"/>
        <v/>
      </c>
      <c r="HQ142" s="728" t="str">
        <f t="shared" si="1600"/>
        <v/>
      </c>
      <c r="HR142" s="768" t="str">
        <f t="shared" si="1601"/>
        <v/>
      </c>
      <c r="HS142" s="728" t="str">
        <f t="shared" si="1602"/>
        <v/>
      </c>
      <c r="HT142" s="768" t="str">
        <f t="shared" si="1603"/>
        <v/>
      </c>
      <c r="HU142" s="769" t="str">
        <f t="shared" si="1604"/>
        <v/>
      </c>
      <c r="HV142" s="768" t="str">
        <f t="shared" ref="HV142" si="1753">IF(HU142&lt;0,"Invadiu REP-BA-C","")</f>
        <v/>
      </c>
      <c r="HW142" s="769" t="str">
        <f t="shared" si="1606"/>
        <v/>
      </c>
      <c r="HX142" s="768" t="str">
        <f t="shared" si="1607"/>
        <v/>
      </c>
      <c r="HY142" s="728" t="str">
        <f t="shared" si="1608"/>
        <v/>
      </c>
      <c r="HZ142" s="768" t="str">
        <f t="shared" si="1609"/>
        <v/>
      </c>
      <c r="IA142" s="728" t="str">
        <f t="shared" si="1610"/>
        <v/>
      </c>
      <c r="IB142" s="768" t="str">
        <f t="shared" si="1611"/>
        <v/>
      </c>
      <c r="IC142" s="769" t="str">
        <f t="shared" si="1612"/>
        <v/>
      </c>
      <c r="ID142" s="768" t="str">
        <f t="shared" ref="ID142" si="1754">IF(IC142&lt;0,"Invadiu REP-BA-C","")</f>
        <v/>
      </c>
      <c r="IE142" s="769" t="str">
        <f t="shared" si="1614"/>
        <v/>
      </c>
      <c r="IF142" s="768" t="str">
        <f t="shared" si="1615"/>
        <v/>
      </c>
      <c r="IG142" s="728" t="str">
        <f t="shared" si="1616"/>
        <v/>
      </c>
      <c r="IH142" s="768" t="str">
        <f t="shared" si="1617"/>
        <v/>
      </c>
      <c r="II142" s="728" t="str">
        <f t="shared" si="1618"/>
        <v/>
      </c>
      <c r="IJ142" s="768" t="str">
        <f t="shared" si="1619"/>
        <v/>
      </c>
      <c r="IK142" s="769" t="str">
        <f t="shared" si="1620"/>
        <v/>
      </c>
      <c r="IL142" s="768" t="str">
        <f t="shared" ref="IL142" si="1755">IF(IK142&lt;0,"Invadiu REP-BA-C","")</f>
        <v/>
      </c>
      <c r="IM142" s="769" t="str">
        <f t="shared" si="1622"/>
        <v/>
      </c>
      <c r="IN142" s="768" t="str">
        <f t="shared" si="1623"/>
        <v/>
      </c>
      <c r="IO142" s="728" t="str">
        <f t="shared" si="1624"/>
        <v/>
      </c>
      <c r="IP142" s="768" t="str">
        <f t="shared" si="1625"/>
        <v/>
      </c>
      <c r="IQ142" s="728" t="str">
        <f t="shared" si="1626"/>
        <v/>
      </c>
      <c r="IR142" s="768" t="str">
        <f t="shared" si="1627"/>
        <v/>
      </c>
      <c r="IS142" s="769" t="str">
        <f t="shared" si="1628"/>
        <v/>
      </c>
      <c r="IT142" s="768" t="str">
        <f t="shared" ref="IT142" si="1756">IF(IS142&lt;0,"Invadiu REP-BA-C","")</f>
        <v/>
      </c>
      <c r="IU142" s="769" t="str">
        <f t="shared" si="1630"/>
        <v/>
      </c>
      <c r="IV142" s="768" t="str">
        <f t="shared" si="1631"/>
        <v/>
      </c>
      <c r="IW142" s="728" t="str">
        <f t="shared" si="1632"/>
        <v/>
      </c>
      <c r="IX142" s="768" t="str">
        <f t="shared" si="1633"/>
        <v/>
      </c>
      <c r="IY142" s="728" t="str">
        <f t="shared" si="1634"/>
        <v/>
      </c>
      <c r="IZ142" s="768" t="str">
        <f t="shared" si="1635"/>
        <v/>
      </c>
      <c r="JA142" s="769" t="str">
        <f t="shared" si="1636"/>
        <v/>
      </c>
      <c r="JB142" s="768" t="str">
        <f t="shared" ref="JB142" si="1757">IF(JA142&lt;0,"Invadiu REP-BA-C","")</f>
        <v/>
      </c>
      <c r="JC142" s="769" t="str">
        <f t="shared" si="1638"/>
        <v/>
      </c>
      <c r="JD142" s="768" t="str">
        <f t="shared" si="1639"/>
        <v/>
      </c>
      <c r="JE142" s="728" t="str">
        <f t="shared" si="1640"/>
        <v/>
      </c>
      <c r="JF142" s="768" t="str">
        <f t="shared" si="1641"/>
        <v/>
      </c>
      <c r="JG142" s="728" t="str">
        <f t="shared" si="1642"/>
        <v/>
      </c>
      <c r="JH142" s="768" t="str">
        <f t="shared" si="1643"/>
        <v/>
      </c>
      <c r="JI142" s="769" t="str">
        <f t="shared" si="1644"/>
        <v/>
      </c>
      <c r="JJ142" s="768" t="str">
        <f t="shared" ref="JJ142" si="1758">IF(JI142&lt;0,"Invadiu REP-BA-C","")</f>
        <v/>
      </c>
      <c r="JK142" s="769" t="str">
        <f t="shared" si="1646"/>
        <v/>
      </c>
      <c r="JL142" s="768" t="str">
        <f t="shared" si="1647"/>
        <v/>
      </c>
      <c r="JM142" s="728" t="str">
        <f t="shared" si="1648"/>
        <v/>
      </c>
      <c r="JN142" s="768" t="str">
        <f t="shared" si="1649"/>
        <v/>
      </c>
      <c r="JO142" s="728" t="str">
        <f t="shared" si="1650"/>
        <v/>
      </c>
      <c r="JP142" s="768" t="str">
        <f t="shared" si="1651"/>
        <v/>
      </c>
      <c r="JQ142" s="769" t="str">
        <f t="shared" si="1652"/>
        <v/>
      </c>
      <c r="JR142" s="768" t="str">
        <f t="shared" ref="JR142" si="1759">IF(JQ142&lt;0,"Invadiu REP-BA-C","")</f>
        <v/>
      </c>
      <c r="JS142" s="769" t="str">
        <f t="shared" si="1654"/>
        <v/>
      </c>
      <c r="JT142" s="768" t="str">
        <f t="shared" si="1655"/>
        <v/>
      </c>
      <c r="JU142" s="728" t="str">
        <f t="shared" si="1656"/>
        <v/>
      </c>
      <c r="JV142" s="768" t="str">
        <f t="shared" si="1657"/>
        <v/>
      </c>
      <c r="JW142" s="728" t="str">
        <f t="shared" si="1658"/>
        <v/>
      </c>
      <c r="JX142" s="768" t="str">
        <f t="shared" si="1659"/>
        <v/>
      </c>
      <c r="JY142" s="768" t="str">
        <f t="shared" si="1660"/>
        <v/>
      </c>
      <c r="JZ142" s="485" t="str">
        <f>IF(JY142="","",IF(AND(C142=$C$164,JY142&lt;&gt;""),Verificarcpf(D142),IF(AND(C142=$C$165,JY142&lt;&gt;""),VerificarCNPJ(D142))))</f>
        <v/>
      </c>
      <c r="KA142" s="768" t="str">
        <f t="shared" si="1661"/>
        <v/>
      </c>
      <c r="KB142" s="485">
        <f t="shared" si="1662"/>
        <v>0</v>
      </c>
      <c r="KC142" s="768">
        <f t="shared" si="1663"/>
        <v>0</v>
      </c>
      <c r="KD142" s="485">
        <f t="shared" si="1664"/>
        <v>0</v>
      </c>
      <c r="KE142" s="448"/>
      <c r="KF142" s="548"/>
      <c r="KG142" s="548"/>
      <c r="KH142" s="548"/>
      <c r="KI142" s="548"/>
      <c r="KJ142" s="548" t="str">
        <f t="shared" si="1665"/>
        <v/>
      </c>
      <c r="KK142" s="548"/>
      <c r="KL142" s="548"/>
      <c r="KM142" s="548">
        <f t="array" ref="KM142">IF(SUM((KL142=$KL$3:KL141)*1)=0,KL142,0)</f>
        <v>0</v>
      </c>
      <c r="KN142" s="548"/>
      <c r="KO142" s="548"/>
      <c r="KP142" s="548"/>
      <c r="KQ142" s="548"/>
      <c r="KR142" s="548" t="str">
        <f t="shared" si="1666"/>
        <v/>
      </c>
      <c r="KS142" s="548"/>
      <c r="KT142" s="548"/>
      <c r="KU142" s="548"/>
      <c r="KV142" s="548"/>
      <c r="KW142" s="548"/>
      <c r="KX142" s="548"/>
      <c r="KY142" s="548"/>
      <c r="KZ142" s="548"/>
      <c r="LA142" s="548"/>
      <c r="LB142" s="548"/>
      <c r="LC142" s="485" t="str">
        <f t="shared" si="1680"/>
        <v/>
      </c>
      <c r="LD142" s="548"/>
      <c r="LE142" s="548"/>
      <c r="LF142" s="548"/>
      <c r="LG142" s="548"/>
      <c r="LH142" s="548"/>
      <c r="LI142" s="548"/>
      <c r="LJ142" s="548"/>
      <c r="LK142" s="548"/>
      <c r="LL142" s="548"/>
      <c r="LM142" s="548"/>
      <c r="LN142" s="548"/>
      <c r="LO142" s="548"/>
      <c r="LP142" s="485" t="str">
        <f t="shared" si="1681"/>
        <v/>
      </c>
      <c r="LQ142" s="548"/>
      <c r="LR142" s="548"/>
      <c r="LS142" s="548"/>
      <c r="LT142" s="548"/>
      <c r="LU142" s="548"/>
      <c r="LV142" s="548"/>
      <c r="LW142" s="548"/>
      <c r="LX142" s="548"/>
      <c r="LY142" s="548"/>
      <c r="LZ142" s="548"/>
      <c r="MA142" s="548"/>
      <c r="MB142" s="548"/>
      <c r="MC142" s="485" t="str">
        <f t="shared" si="1682"/>
        <v/>
      </c>
      <c r="MD142" s="548"/>
      <c r="ME142" s="548"/>
      <c r="MF142" s="548"/>
      <c r="MG142" s="548"/>
      <c r="MH142" s="548"/>
      <c r="MI142" s="548"/>
      <c r="MJ142" s="548"/>
      <c r="MK142" s="548"/>
      <c r="ML142" s="548"/>
      <c r="MM142" s="548"/>
      <c r="MN142" s="548"/>
      <c r="MO142" s="548"/>
      <c r="MP142" s="485" t="str">
        <f t="shared" si="1683"/>
        <v/>
      </c>
      <c r="MQ142" s="548"/>
      <c r="MR142" s="548"/>
      <c r="MS142" s="548"/>
      <c r="MT142" s="548"/>
      <c r="MU142" s="548"/>
      <c r="MV142" s="548"/>
      <c r="MW142" s="548"/>
      <c r="MX142" s="548"/>
      <c r="MY142" s="548"/>
      <c r="MZ142" s="548"/>
      <c r="NA142" s="548"/>
      <c r="NB142" s="548"/>
      <c r="NC142" s="485" t="str">
        <f t="shared" si="1684"/>
        <v/>
      </c>
      <c r="ND142" s="548"/>
      <c r="NE142" s="548"/>
      <c r="NF142" s="548"/>
      <c r="NG142" s="548"/>
      <c r="NH142" s="548"/>
      <c r="NI142" s="548"/>
      <c r="NJ142" s="548"/>
      <c r="NK142" s="548"/>
      <c r="NL142" s="548"/>
      <c r="NM142" s="548"/>
      <c r="NN142" s="548"/>
      <c r="NO142" s="548"/>
      <c r="NP142" s="485" t="str">
        <f t="shared" si="1685"/>
        <v/>
      </c>
      <c r="NQ142" s="548"/>
      <c r="NR142" s="548"/>
      <c r="NS142" s="548"/>
      <c r="NT142" s="548"/>
      <c r="NU142" s="548"/>
      <c r="NV142" s="548"/>
      <c r="NW142" s="548"/>
      <c r="NX142" s="548"/>
      <c r="NY142" s="548"/>
      <c r="NZ142" s="548"/>
      <c r="OA142" s="548"/>
      <c r="OB142" s="548"/>
      <c r="OC142" s="485" t="str">
        <f t="shared" si="1686"/>
        <v/>
      </c>
      <c r="OD142" s="548"/>
      <c r="OE142" s="548"/>
      <c r="OF142" s="548"/>
      <c r="OG142" s="548"/>
      <c r="OH142" s="548"/>
      <c r="OI142" s="548"/>
      <c r="OJ142" s="548"/>
      <c r="OK142" s="548"/>
      <c r="OL142" s="548"/>
      <c r="OM142" s="548"/>
      <c r="ON142" s="548"/>
      <c r="OO142" s="548"/>
      <c r="OP142" s="548"/>
      <c r="OQ142" s="548"/>
      <c r="OR142" s="548"/>
      <c r="OS142" s="548"/>
      <c r="OT142" s="548"/>
      <c r="OU142" s="548"/>
      <c r="OV142" s="548"/>
      <c r="OW142" s="548"/>
      <c r="OX142" s="548"/>
      <c r="OY142" s="548"/>
      <c r="OZ142" s="548"/>
      <c r="PA142" s="548"/>
      <c r="PB142" s="548"/>
      <c r="PC142" s="548"/>
      <c r="PD142" s="548"/>
      <c r="PE142" s="548"/>
      <c r="PF142" s="548"/>
      <c r="PG142" s="548"/>
      <c r="PH142" s="548"/>
      <c r="PI142" s="548"/>
      <c r="PJ142" s="548"/>
      <c r="PK142" s="548"/>
      <c r="PL142" s="548"/>
      <c r="PM142" s="548"/>
      <c r="PN142" s="548"/>
      <c r="PO142" s="548"/>
      <c r="PP142" s="548"/>
      <c r="PQ142" s="548"/>
      <c r="PR142" s="548"/>
      <c r="PS142" s="548"/>
      <c r="PT142" s="548"/>
      <c r="PU142" s="548"/>
      <c r="PV142" s="548"/>
      <c r="PW142" s="548"/>
      <c r="PX142" s="548"/>
      <c r="PY142" s="548"/>
      <c r="PZ142" s="548"/>
      <c r="QA142" s="548"/>
      <c r="QB142" s="548"/>
      <c r="QC142" s="548"/>
      <c r="QD142" s="548"/>
      <c r="QE142" s="548"/>
      <c r="QF142" s="548"/>
      <c r="QG142" s="548"/>
      <c r="QH142" s="548"/>
      <c r="QI142" s="548"/>
      <c r="QJ142" s="548"/>
      <c r="QK142" s="548"/>
      <c r="QL142" s="548"/>
      <c r="QM142" s="548"/>
      <c r="QN142" s="548"/>
      <c r="QO142" s="548"/>
      <c r="QP142" s="548"/>
      <c r="QQ142" s="1009"/>
      <c r="QR142" s="548"/>
      <c r="QS142" s="548"/>
      <c r="QT142" s="548"/>
      <c r="QU142" s="548"/>
      <c r="QV142" s="548"/>
      <c r="QW142" s="548"/>
      <c r="QX142" s="548"/>
      <c r="QY142" s="548"/>
      <c r="QZ142" s="548"/>
      <c r="RA142" s="548"/>
      <c r="RB142" s="548"/>
      <c r="RC142" s="548"/>
      <c r="RD142" s="548"/>
      <c r="RE142" s="548"/>
      <c r="RF142" s="548"/>
      <c r="RG142" s="548"/>
      <c r="RH142" s="548"/>
      <c r="RI142" s="548"/>
      <c r="RJ142" s="548"/>
      <c r="RK142" s="548"/>
      <c r="RL142" s="548"/>
      <c r="RM142" s="548"/>
      <c r="RN142" s="548"/>
      <c r="RO142" s="548"/>
      <c r="RP142" s="548"/>
      <c r="RQ142" s="548"/>
      <c r="RR142" s="548"/>
      <c r="RS142" s="548"/>
      <c r="RT142" s="548"/>
      <c r="RU142" s="548"/>
      <c r="RV142" s="548"/>
      <c r="RW142" s="548"/>
      <c r="RX142" s="548"/>
      <c r="RY142" s="548"/>
      <c r="RZ142" s="548"/>
      <c r="SA142" s="548"/>
      <c r="SB142" s="548"/>
      <c r="SC142" s="548"/>
      <c r="SD142" s="548"/>
      <c r="SE142" s="548"/>
      <c r="SF142" s="548"/>
      <c r="SG142" s="548"/>
      <c r="SH142" s="548"/>
      <c r="SI142" s="548"/>
      <c r="SJ142" s="548"/>
      <c r="SK142" s="548"/>
      <c r="SL142" s="548"/>
      <c r="SM142" s="548"/>
      <c r="SN142" s="548"/>
      <c r="SO142" s="548"/>
      <c r="SP142" s="548"/>
      <c r="SQ142" s="548"/>
      <c r="SR142" s="548"/>
      <c r="SS142" s="548"/>
      <c r="ST142" s="548"/>
      <c r="SU142" s="548"/>
      <c r="SV142" s="548"/>
      <c r="SW142" s="548"/>
      <c r="SX142" s="548"/>
      <c r="SY142" s="548"/>
      <c r="SZ142" s="548"/>
      <c r="TA142" s="548"/>
      <c r="TB142" s="548"/>
      <c r="TC142" s="548"/>
      <c r="TD142" s="548"/>
      <c r="TE142" s="548"/>
      <c r="TF142" s="548"/>
      <c r="TG142" s="548"/>
      <c r="TH142" s="548"/>
      <c r="TI142" s="548"/>
      <c r="TJ142" s="548"/>
      <c r="TK142" s="548"/>
      <c r="TL142" s="548"/>
      <c r="TM142" s="548"/>
      <c r="TN142" s="548"/>
      <c r="TO142" s="548"/>
      <c r="TP142" s="548"/>
      <c r="TQ142" s="548"/>
      <c r="TR142" s="548"/>
      <c r="TS142" s="548"/>
      <c r="TT142" s="548"/>
      <c r="TU142" s="548"/>
      <c r="TV142" s="548"/>
      <c r="TW142" s="548"/>
      <c r="TX142" s="548"/>
      <c r="TY142" s="548"/>
      <c r="TZ142" s="548"/>
      <c r="UA142" s="548"/>
      <c r="UB142" s="548"/>
      <c r="UC142" s="548"/>
      <c r="UD142" s="548"/>
      <c r="UE142" s="548"/>
      <c r="UF142" s="548"/>
      <c r="UG142" s="548"/>
      <c r="UH142" s="548"/>
      <c r="UI142" s="548"/>
      <c r="UJ142" s="548"/>
      <c r="UK142" s="548"/>
      <c r="UL142" s="548"/>
      <c r="UM142" s="548"/>
      <c r="UN142" s="548"/>
      <c r="UO142" s="548"/>
      <c r="UP142" s="548"/>
      <c r="UQ142" s="548"/>
      <c r="UR142" s="548"/>
      <c r="US142" s="548"/>
      <c r="UT142" s="548"/>
      <c r="UU142" s="548"/>
      <c r="UV142" s="548"/>
      <c r="UW142" s="548"/>
      <c r="UX142" s="548"/>
      <c r="UY142" s="548"/>
      <c r="UZ142" s="548"/>
      <c r="VA142" s="548"/>
      <c r="VB142" s="548"/>
      <c r="VC142" s="548"/>
      <c r="VD142" s="548"/>
      <c r="VE142" s="548"/>
      <c r="VF142" s="548"/>
      <c r="VG142" s="548"/>
      <c r="VH142" s="548"/>
      <c r="VI142" s="548"/>
      <c r="VJ142" s="548"/>
      <c r="VK142" s="548"/>
      <c r="VL142" s="548"/>
      <c r="VM142" s="548"/>
      <c r="VN142" s="548"/>
      <c r="VO142" s="548"/>
      <c r="VP142" s="548"/>
      <c r="VQ142" s="548"/>
      <c r="VR142" s="548"/>
      <c r="VS142" s="548"/>
      <c r="VT142" s="548"/>
      <c r="VU142" s="548"/>
      <c r="VV142" s="548"/>
      <c r="VW142" s="548"/>
      <c r="VX142" s="548"/>
      <c r="VY142" s="548"/>
      <c r="VZ142" s="548"/>
      <c r="WA142" s="548"/>
      <c r="WB142" s="548"/>
      <c r="WC142" s="548"/>
      <c r="WD142" s="548"/>
      <c r="WE142" s="548"/>
      <c r="WF142" s="548"/>
      <c r="WG142" s="548"/>
      <c r="WH142" s="548"/>
      <c r="WI142" s="548"/>
      <c r="WJ142" s="548"/>
      <c r="WK142" s="548"/>
      <c r="WL142" s="548"/>
      <c r="WM142" s="548"/>
      <c r="WN142" s="548"/>
      <c r="WO142" s="548"/>
      <c r="WP142" s="548"/>
      <c r="WQ142" s="548"/>
      <c r="WR142" s="548"/>
      <c r="WS142" s="548"/>
      <c r="WT142" s="548"/>
      <c r="WU142" s="548"/>
      <c r="WV142" s="548"/>
      <c r="WW142" s="548"/>
      <c r="WX142" s="548"/>
      <c r="WY142" s="548"/>
      <c r="WZ142" s="548"/>
      <c r="XA142" s="548"/>
      <c r="XB142" s="548"/>
      <c r="XC142" s="548"/>
      <c r="XD142" s="548"/>
      <c r="XE142" s="548"/>
      <c r="XF142" s="548"/>
      <c r="XG142" s="548"/>
      <c r="XH142" s="548"/>
      <c r="XI142" s="548"/>
      <c r="XJ142" s="548"/>
      <c r="XK142" s="548"/>
      <c r="XL142" s="548"/>
      <c r="XM142" s="548"/>
      <c r="XN142" s="548"/>
      <c r="XO142" s="548"/>
      <c r="XP142" s="548"/>
      <c r="XQ142" s="548"/>
      <c r="XR142" s="548"/>
      <c r="XS142" s="548"/>
      <c r="XT142" s="548"/>
      <c r="XU142" s="548"/>
      <c r="XV142" s="548"/>
      <c r="XW142" s="548"/>
      <c r="XX142" s="548"/>
      <c r="XY142" s="548"/>
      <c r="XZ142" s="548"/>
      <c r="YA142" s="548"/>
      <c r="YB142" s="548"/>
      <c r="YC142" s="548"/>
      <c r="YD142" s="548"/>
      <c r="YE142" s="548"/>
      <c r="YF142" s="548"/>
      <c r="YG142" s="548"/>
      <c r="YH142" s="548"/>
      <c r="YI142" s="548"/>
      <c r="YJ142" s="548"/>
      <c r="YK142" s="548"/>
      <c r="YL142" s="548"/>
      <c r="YM142" s="548"/>
      <c r="YN142" s="548"/>
      <c r="YO142" s="548"/>
      <c r="YP142" s="548"/>
      <c r="YQ142" s="548"/>
      <c r="YR142" s="548"/>
      <c r="YS142" s="548"/>
      <c r="YT142" s="548"/>
      <c r="YU142" s="548"/>
      <c r="YV142" s="548"/>
      <c r="YW142" s="548"/>
      <c r="YX142" s="548"/>
      <c r="YY142" s="548"/>
      <c r="YZ142" s="548"/>
      <c r="ZA142" s="548"/>
      <c r="ZB142" s="548"/>
      <c r="ZC142" s="548"/>
      <c r="ZD142" s="548"/>
      <c r="ZE142" s="548"/>
      <c r="ZF142" s="548"/>
      <c r="ZG142" s="548"/>
      <c r="ZH142" s="548"/>
      <c r="ZI142" s="548"/>
      <c r="ZJ142" s="548"/>
      <c r="ZK142" s="548"/>
      <c r="ZL142" s="548"/>
      <c r="ZM142" s="548"/>
      <c r="ZN142" s="548"/>
      <c r="ZO142" s="548"/>
      <c r="ZP142" s="548"/>
      <c r="ZQ142" s="548"/>
      <c r="ZR142" s="548"/>
      <c r="ZS142" s="548"/>
      <c r="ZT142" s="548"/>
      <c r="ZU142" s="548"/>
      <c r="ZV142" s="548"/>
      <c r="ZW142" s="548"/>
      <c r="ZX142" s="548"/>
      <c r="ZY142" s="548"/>
      <c r="ZZ142" s="548"/>
      <c r="AAA142" s="548"/>
      <c r="AAB142" s="548"/>
      <c r="AAC142" s="548"/>
      <c r="AAD142" s="548"/>
      <c r="AAE142" s="548"/>
      <c r="AAF142" s="548"/>
      <c r="AAG142" s="548"/>
      <c r="AAH142" s="548"/>
      <c r="AAI142" s="548"/>
      <c r="AAJ142" s="548"/>
      <c r="AAK142" s="548"/>
      <c r="AAL142" s="548"/>
      <c r="AAM142" s="548"/>
      <c r="AAN142" s="548"/>
      <c r="AAO142" s="548"/>
      <c r="AAP142" s="548"/>
      <c r="AAQ142" s="548"/>
      <c r="AAR142" s="548"/>
      <c r="AAS142" s="548"/>
      <c r="AAT142" s="548"/>
      <c r="AAU142" s="548"/>
      <c r="AAV142" s="548"/>
      <c r="AAW142" s="548"/>
      <c r="AAX142" s="548"/>
      <c r="AAY142" s="548"/>
      <c r="AAZ142" s="548"/>
      <c r="ABA142" s="548"/>
      <c r="ABB142" s="548"/>
      <c r="ABC142" s="548"/>
      <c r="ABD142" s="548"/>
      <c r="ABE142" s="548"/>
      <c r="ABF142" s="548"/>
      <c r="ABG142" s="548"/>
      <c r="ABH142" s="548"/>
      <c r="ABI142" s="548"/>
      <c r="ABJ142" s="548"/>
      <c r="ABK142" s="548"/>
      <c r="ABL142" s="548"/>
      <c r="ABM142" s="548"/>
      <c r="ABN142" s="548"/>
      <c r="ABO142" s="548"/>
      <c r="ABP142" s="548"/>
      <c r="ABQ142" s="548"/>
      <c r="ABR142" s="548"/>
      <c r="ABS142" s="548"/>
    </row>
    <row r="143" spans="1:747" customFormat="1" ht="15" customHeight="1" x14ac:dyDescent="0.2">
      <c r="A143" s="424" t="str">
        <f t="shared" si="1687"/>
        <v/>
      </c>
      <c r="B143" s="415"/>
      <c r="C143" s="525"/>
      <c r="D143" s="750"/>
      <c r="E143" s="416" t="str">
        <f t="shared" si="1529"/>
        <v/>
      </c>
      <c r="F143" s="527" t="str">
        <f t="shared" si="1530"/>
        <v/>
      </c>
      <c r="G143" s="417"/>
      <c r="H143" s="585" t="str">
        <f t="shared" si="1531"/>
        <v/>
      </c>
      <c r="I143" s="424"/>
      <c r="J143" s="419"/>
      <c r="K143" s="418"/>
      <c r="L143" s="419"/>
      <c r="M143" s="415"/>
      <c r="N143" s="420"/>
      <c r="O143" s="421"/>
      <c r="P143" s="561"/>
      <c r="Q143" s="422"/>
      <c r="R143" s="561" t="str">
        <f t="shared" si="1532"/>
        <v/>
      </c>
      <c r="S143" s="664"/>
      <c r="T143" s="663"/>
      <c r="U143" s="580">
        <f t="shared" si="1533"/>
        <v>0</v>
      </c>
      <c r="V143" s="418"/>
      <c r="W143" s="582" t="str">
        <f t="shared" si="1534"/>
        <v/>
      </c>
      <c r="X143" s="479" t="str">
        <f t="shared" si="1535"/>
        <v/>
      </c>
      <c r="Y143" s="582" t="str">
        <f t="shared" si="1536"/>
        <v/>
      </c>
      <c r="Z143" s="317" t="str">
        <f t="shared" si="1537"/>
        <v/>
      </c>
      <c r="AA143" s="317" t="str">
        <f t="shared" si="1538"/>
        <v/>
      </c>
      <c r="AB143" s="317">
        <f t="shared" si="1539"/>
        <v>0</v>
      </c>
      <c r="AC143" s="317" t="str">
        <f t="shared" si="1540"/>
        <v/>
      </c>
      <c r="AD143" s="479"/>
      <c r="AE143" s="479"/>
      <c r="AF143" s="479"/>
      <c r="AG143" s="423"/>
      <c r="AH143" s="820"/>
      <c r="AI143" s="437"/>
      <c r="AJ143" s="660"/>
      <c r="AK143" s="524" t="str">
        <f t="shared" si="1541"/>
        <v/>
      </c>
      <c r="AL143" s="731">
        <f>SUMIF($J$4:$J$130,"Livre Aplic.",$S$4:$S$130)</f>
        <v>0</v>
      </c>
      <c r="AM143" s="732">
        <f>SUMIF($J$4:$J$130,"Livre Aplic.",$T$4:$T$130)</f>
        <v>0</v>
      </c>
      <c r="AN143" s="426">
        <f t="shared" si="1542"/>
        <v>0</v>
      </c>
      <c r="AO143" s="427" t="str">
        <f t="shared" si="1543"/>
        <v/>
      </c>
      <c r="AP143" s="426" t="str">
        <f t="shared" si="1544"/>
        <v/>
      </c>
      <c r="AQ143" s="426"/>
      <c r="AR143" s="426"/>
      <c r="AS143" s="428"/>
      <c r="AT143" s="429"/>
      <c r="AU143" s="430"/>
      <c r="AV143" s="431"/>
      <c r="AW143" s="432"/>
      <c r="AX143" s="430"/>
      <c r="AY143" s="431">
        <f t="shared" si="1545"/>
        <v>0</v>
      </c>
      <c r="AZ143" s="426"/>
      <c r="BA143" s="435" t="str">
        <f t="shared" si="1546"/>
        <v/>
      </c>
      <c r="BB143" s="435"/>
      <c r="BC143" s="426"/>
      <c r="BD143" s="426">
        <f t="array" ref="BD143">IF(SUM((BC143=$BC$3:BC142)*1)=0,BC143,0)</f>
        <v>0</v>
      </c>
      <c r="BE143" s="426"/>
      <c r="BF143" s="426"/>
      <c r="BG143" s="426">
        <f t="array" ref="BG143">IF(SUM((BF143=$BF$3:BF142)*1)=0,BF143,0)</f>
        <v>0</v>
      </c>
      <c r="BH143" s="426"/>
      <c r="BI143" s="426"/>
      <c r="BJ143" s="426"/>
      <c r="BK143" s="426"/>
      <c r="BL143" s="426"/>
      <c r="BM143" s="426"/>
      <c r="BN143" s="426"/>
      <c r="BO143" s="426"/>
      <c r="BP143" s="433">
        <f t="shared" si="1547"/>
        <v>0</v>
      </c>
      <c r="BQ143" s="426"/>
      <c r="BR143" s="434"/>
      <c r="BS143" s="426"/>
      <c r="BT143" s="433"/>
      <c r="BU143" s="435"/>
      <c r="BV143" s="435" t="str">
        <f t="shared" si="1548"/>
        <v/>
      </c>
      <c r="BW143" s="435" t="str">
        <f t="shared" si="1576"/>
        <v/>
      </c>
      <c r="BX143" s="435"/>
      <c r="BY143" s="435"/>
      <c r="BZ143" s="435"/>
      <c r="CA143" s="435"/>
      <c r="CB143" s="435"/>
      <c r="CC143" s="435"/>
      <c r="CD143" s="435"/>
      <c r="CE143" s="435"/>
      <c r="CF143" s="435"/>
      <c r="CG143" s="435"/>
      <c r="CH143" s="435"/>
      <c r="CI143" s="435"/>
      <c r="CJ143" s="426" t="str">
        <f t="shared" si="1577"/>
        <v/>
      </c>
      <c r="CK143" s="435"/>
      <c r="CL143" s="426"/>
      <c r="CM143" s="435"/>
      <c r="CN143" s="426"/>
      <c r="CO143" s="426"/>
      <c r="CP143" s="426"/>
      <c r="CQ143" s="426"/>
      <c r="CR143" s="426"/>
      <c r="CS143" s="426"/>
      <c r="CT143" s="426"/>
      <c r="CU143" s="426"/>
      <c r="CV143" s="426"/>
      <c r="CW143" s="493"/>
      <c r="CX143" s="493"/>
      <c r="CY143" s="426">
        <v>140</v>
      </c>
      <c r="CZ143" s="493"/>
      <c r="DA143" s="493"/>
      <c r="DB143" s="493"/>
      <c r="DC143" s="426" t="s">
        <v>883</v>
      </c>
      <c r="DD143" s="426" t="s">
        <v>1043</v>
      </c>
      <c r="DE143" s="435" t="str">
        <f t="shared" si="1578"/>
        <v/>
      </c>
      <c r="DF143" s="435" t="str">
        <f t="shared" si="1579"/>
        <v/>
      </c>
      <c r="DG143" s="435" t="str">
        <f t="shared" si="1580"/>
        <v/>
      </c>
      <c r="DH143" s="435" t="str">
        <f t="shared" si="1581"/>
        <v/>
      </c>
      <c r="DI143" s="435" t="str">
        <f t="shared" si="1582"/>
        <v/>
      </c>
      <c r="DJ143" s="435" t="str">
        <f t="shared" si="1583"/>
        <v/>
      </c>
      <c r="DK143" s="435" t="str">
        <f t="shared" si="1549"/>
        <v/>
      </c>
      <c r="DL143" s="435" t="str">
        <f t="shared" si="1550"/>
        <v/>
      </c>
      <c r="DM143" s="435" t="str">
        <f t="shared" si="1584"/>
        <v/>
      </c>
      <c r="DN143" s="435" t="str">
        <f t="shared" si="1585"/>
        <v/>
      </c>
      <c r="DO143" s="435" t="str">
        <f t="shared" si="1551"/>
        <v/>
      </c>
      <c r="DP143" s="435" t="str">
        <f t="shared" si="1552"/>
        <v/>
      </c>
      <c r="DQ143" s="435" t="str">
        <f t="shared" si="1586"/>
        <v/>
      </c>
      <c r="DR143" s="435" t="str">
        <f t="shared" si="1587"/>
        <v/>
      </c>
      <c r="DS143" s="435" t="str">
        <f t="shared" si="1553"/>
        <v/>
      </c>
      <c r="DT143" s="435" t="str">
        <f t="shared" si="1554"/>
        <v/>
      </c>
      <c r="DU143" s="435" t="str">
        <f t="shared" si="1588"/>
        <v/>
      </c>
      <c r="DV143" s="435" t="str">
        <f t="shared" si="1589"/>
        <v/>
      </c>
      <c r="DW143" s="435" t="str">
        <f t="shared" si="1555"/>
        <v/>
      </c>
      <c r="DX143" s="435" t="str">
        <f t="shared" si="1556"/>
        <v/>
      </c>
      <c r="DY143" s="435" t="str">
        <f t="shared" si="1590"/>
        <v/>
      </c>
      <c r="DZ143" s="435" t="str">
        <f t="shared" si="1591"/>
        <v/>
      </c>
      <c r="EA143" s="435" t="str">
        <f t="shared" si="1557"/>
        <v/>
      </c>
      <c r="EB143" s="435" t="str">
        <f t="shared" si="1558"/>
        <v/>
      </c>
      <c r="EC143" s="435" t="str">
        <f t="shared" si="1559"/>
        <v/>
      </c>
      <c r="ED143" s="435" t="str">
        <f t="shared" si="1560"/>
        <v/>
      </c>
      <c r="EE143" s="435" t="str">
        <f t="shared" si="1561"/>
        <v/>
      </c>
      <c r="EF143" s="435" t="str">
        <f t="shared" si="1562"/>
        <v/>
      </c>
      <c r="EG143" s="435" t="str">
        <f t="shared" si="1563"/>
        <v/>
      </c>
      <c r="EH143" s="435" t="str">
        <f t="shared" si="1564"/>
        <v/>
      </c>
      <c r="EI143" s="435" t="str">
        <f t="shared" si="1565"/>
        <v/>
      </c>
      <c r="EJ143" s="435" t="str">
        <f t="shared" si="1566"/>
        <v/>
      </c>
      <c r="EK143" s="485"/>
      <c r="EL143" s="485"/>
      <c r="EM143" s="485"/>
      <c r="EN143" s="485"/>
      <c r="EO143" s="448"/>
      <c r="EP143" s="448"/>
      <c r="EQ143" s="448"/>
      <c r="ER143" s="448"/>
      <c r="ES143" s="448"/>
      <c r="ET143" s="435"/>
      <c r="EU143" s="435"/>
      <c r="EV143" s="435"/>
      <c r="EW143" s="435"/>
      <c r="EX143" s="426"/>
      <c r="EY143" s="426"/>
      <c r="EZ143" s="426"/>
      <c r="FA143" s="863"/>
      <c r="FB143" s="427">
        <f t="array" ref="FB143">IF(SUM((FA143=$FA$3:FA142)*1)=0,FA143,0)</f>
        <v>0</v>
      </c>
      <c r="FC143" s="863"/>
      <c r="FD143" s="863"/>
      <c r="FE143" s="863">
        <f t="array" ref="FE143">IF(SUM((FD143=$FD$3:FD142)*1)=0,FD143,0)</f>
        <v>0</v>
      </c>
      <c r="FF143" s="863"/>
      <c r="FG143" s="863"/>
      <c r="FH143" s="863"/>
      <c r="FI143" s="427">
        <f t="array" ref="FI143">IF(SUM((FH143=$FH$3:FH142)*1)=0,FH143,0)</f>
        <v>0</v>
      </c>
      <c r="FJ143" s="863"/>
      <c r="FK143" s="863"/>
      <c r="FL143" s="863">
        <f t="array" ref="FL143">IF(SUM((FK143=$FK$3:FK142)*1)=0,FK143,0)</f>
        <v>0</v>
      </c>
      <c r="FM143" s="863"/>
      <c r="FN143" s="863"/>
      <c r="FO143" s="863"/>
      <c r="FP143" s="427">
        <f t="array" ref="FP143">IF(SUM((FO143=$FO$3:FO142)*1)=0,FO143,0)</f>
        <v>0</v>
      </c>
      <c r="FQ143" s="863"/>
      <c r="FR143" s="863"/>
      <c r="FS143" s="863">
        <f t="array" ref="FS143">IF(SUM((FR143=$FR$3:FR142)*1)=0,FR143,0)</f>
        <v>0</v>
      </c>
      <c r="FT143" s="863"/>
      <c r="FU143" s="863"/>
      <c r="FV143" s="863"/>
      <c r="FW143" s="427">
        <f t="array" ref="FW143">IF(SUM((FV143=$FV$3:FV142)*1)=0,FV143,0)</f>
        <v>0</v>
      </c>
      <c r="FX143" s="863"/>
      <c r="FY143" s="863"/>
      <c r="FZ143" s="863">
        <f t="array" ref="FZ143">IF(SUM((FY143=$FY$3:FY142)*1)=0,FY143,0)</f>
        <v>0</v>
      </c>
      <c r="GA143" s="863"/>
      <c r="GB143" s="863"/>
      <c r="GC143" s="863"/>
      <c r="GD143" s="427">
        <f t="array" ref="GD143">IF(SUM((GC143=$GC$3:GC142)*1)=0,GC143,0)</f>
        <v>0</v>
      </c>
      <c r="GE143" s="863"/>
      <c r="GF143" s="863"/>
      <c r="GG143" s="863">
        <f t="array" ref="GG143">IF(SUM((GF143=$GF$3:GF142)*1)=0,GF143,0)</f>
        <v>0</v>
      </c>
      <c r="GH143" s="863"/>
      <c r="GI143" s="863"/>
      <c r="GJ143" s="863"/>
      <c r="GK143" s="798">
        <f t="array" ref="GK143">IF(SUM((GJ143=$GJ$3:GJ142)*1)=0,GJ143,0)</f>
        <v>0</v>
      </c>
      <c r="GL143" s="863"/>
      <c r="GM143" s="863"/>
      <c r="GN143" s="798">
        <f t="array" ref="GN143">IF(SUM((GM143=$GM$3:GM142)*1)=0,GM143,0)</f>
        <v>0</v>
      </c>
      <c r="GO143" s="863"/>
      <c r="GP143" s="863"/>
      <c r="GQ143" s="863"/>
      <c r="GR143" s="798">
        <f t="array" ref="GR143">IF(SUM((GQ143=$GQ$3:GQ142)*1)=0,GQ143,0)</f>
        <v>0</v>
      </c>
      <c r="GS143" s="863"/>
      <c r="GT143" s="863"/>
      <c r="GU143" s="798">
        <f t="array" ref="GU143">IF(SUM((GT143=$GT$3:GT142)*1)=0,GT143,0)</f>
        <v>0</v>
      </c>
      <c r="GV143" s="863"/>
      <c r="GW143" s="863"/>
      <c r="GX143" s="863"/>
      <c r="GY143" s="798">
        <f t="array" ref="GY143">IF(SUM((GX143=$GX$3:GX142)*1)=0,GX143,0)</f>
        <v>0</v>
      </c>
      <c r="GZ143" s="863"/>
      <c r="HA143" s="863"/>
      <c r="HB143" s="798">
        <f t="array" ref="HB143">IF(SUM((HA143=$HA$3:HA142)*1)=0,HA143,0)</f>
        <v>0</v>
      </c>
      <c r="HC143" s="863"/>
      <c r="HD143" s="863"/>
      <c r="HE143" s="769" t="str">
        <f t="shared" si="1667"/>
        <v/>
      </c>
      <c r="HF143" s="768" t="str">
        <f t="shared" ref="HF143" si="1760">IF(HE143&lt;0,"Invadiu REP-BA-C","")</f>
        <v/>
      </c>
      <c r="HG143" s="769" t="str">
        <f t="shared" si="1669"/>
        <v/>
      </c>
      <c r="HH143" s="768" t="str">
        <f t="shared" si="1593"/>
        <v/>
      </c>
      <c r="HI143" s="728" t="str">
        <f t="shared" si="1670"/>
        <v/>
      </c>
      <c r="HJ143" s="768" t="str">
        <f t="shared" si="1594"/>
        <v/>
      </c>
      <c r="HK143" s="728" t="str">
        <f t="shared" si="1671"/>
        <v/>
      </c>
      <c r="HL143" s="768" t="str">
        <f t="shared" si="1595"/>
        <v/>
      </c>
      <c r="HM143" s="769" t="str">
        <f t="shared" si="1596"/>
        <v/>
      </c>
      <c r="HN143" s="768" t="str">
        <f t="shared" ref="HN143" si="1761">IF(HM143&lt;0,"Invadiu REP-BA-C","")</f>
        <v/>
      </c>
      <c r="HO143" s="769" t="str">
        <f t="shared" si="1598"/>
        <v/>
      </c>
      <c r="HP143" s="768" t="str">
        <f t="shared" si="1599"/>
        <v/>
      </c>
      <c r="HQ143" s="728" t="str">
        <f t="shared" si="1600"/>
        <v/>
      </c>
      <c r="HR143" s="768" t="str">
        <f t="shared" si="1601"/>
        <v/>
      </c>
      <c r="HS143" s="728" t="str">
        <f t="shared" si="1602"/>
        <v/>
      </c>
      <c r="HT143" s="768" t="str">
        <f t="shared" si="1603"/>
        <v/>
      </c>
      <c r="HU143" s="769" t="str">
        <f t="shared" si="1604"/>
        <v/>
      </c>
      <c r="HV143" s="768" t="str">
        <f t="shared" ref="HV143" si="1762">IF(HU143&lt;0,"Invadiu REP-BA-C","")</f>
        <v/>
      </c>
      <c r="HW143" s="769" t="str">
        <f t="shared" si="1606"/>
        <v/>
      </c>
      <c r="HX143" s="768" t="str">
        <f t="shared" si="1607"/>
        <v/>
      </c>
      <c r="HY143" s="728" t="str">
        <f t="shared" si="1608"/>
        <v/>
      </c>
      <c r="HZ143" s="768" t="str">
        <f t="shared" si="1609"/>
        <v/>
      </c>
      <c r="IA143" s="728" t="str">
        <f t="shared" si="1610"/>
        <v/>
      </c>
      <c r="IB143" s="768" t="str">
        <f t="shared" si="1611"/>
        <v/>
      </c>
      <c r="IC143" s="769" t="str">
        <f t="shared" si="1612"/>
        <v/>
      </c>
      <c r="ID143" s="768" t="str">
        <f t="shared" ref="ID143" si="1763">IF(IC143&lt;0,"Invadiu REP-BA-C","")</f>
        <v/>
      </c>
      <c r="IE143" s="769" t="str">
        <f t="shared" si="1614"/>
        <v/>
      </c>
      <c r="IF143" s="768" t="str">
        <f t="shared" si="1615"/>
        <v/>
      </c>
      <c r="IG143" s="728" t="str">
        <f t="shared" si="1616"/>
        <v/>
      </c>
      <c r="IH143" s="768" t="str">
        <f t="shared" si="1617"/>
        <v/>
      </c>
      <c r="II143" s="728" t="str">
        <f t="shared" si="1618"/>
        <v/>
      </c>
      <c r="IJ143" s="768" t="str">
        <f t="shared" si="1619"/>
        <v/>
      </c>
      <c r="IK143" s="769" t="str">
        <f t="shared" si="1620"/>
        <v/>
      </c>
      <c r="IL143" s="768" t="str">
        <f t="shared" ref="IL143" si="1764">IF(IK143&lt;0,"Invadiu REP-BA-C","")</f>
        <v/>
      </c>
      <c r="IM143" s="769" t="str">
        <f t="shared" si="1622"/>
        <v/>
      </c>
      <c r="IN143" s="768" t="str">
        <f t="shared" si="1623"/>
        <v/>
      </c>
      <c r="IO143" s="728" t="str">
        <f t="shared" si="1624"/>
        <v/>
      </c>
      <c r="IP143" s="768" t="str">
        <f t="shared" si="1625"/>
        <v/>
      </c>
      <c r="IQ143" s="728" t="str">
        <f t="shared" si="1626"/>
        <v/>
      </c>
      <c r="IR143" s="768" t="str">
        <f t="shared" si="1627"/>
        <v/>
      </c>
      <c r="IS143" s="769" t="str">
        <f t="shared" si="1628"/>
        <v/>
      </c>
      <c r="IT143" s="768" t="str">
        <f t="shared" ref="IT143" si="1765">IF(IS143&lt;0,"Invadiu REP-BA-C","")</f>
        <v/>
      </c>
      <c r="IU143" s="769" t="str">
        <f t="shared" si="1630"/>
        <v/>
      </c>
      <c r="IV143" s="768" t="str">
        <f t="shared" si="1631"/>
        <v/>
      </c>
      <c r="IW143" s="728" t="str">
        <f t="shared" si="1632"/>
        <v/>
      </c>
      <c r="IX143" s="768" t="str">
        <f t="shared" si="1633"/>
        <v/>
      </c>
      <c r="IY143" s="728" t="str">
        <f t="shared" si="1634"/>
        <v/>
      </c>
      <c r="IZ143" s="768" t="str">
        <f t="shared" si="1635"/>
        <v/>
      </c>
      <c r="JA143" s="769" t="str">
        <f t="shared" si="1636"/>
        <v/>
      </c>
      <c r="JB143" s="768" t="str">
        <f t="shared" ref="JB143" si="1766">IF(JA143&lt;0,"Invadiu REP-BA-C","")</f>
        <v/>
      </c>
      <c r="JC143" s="769" t="str">
        <f t="shared" si="1638"/>
        <v/>
      </c>
      <c r="JD143" s="768" t="str">
        <f t="shared" si="1639"/>
        <v/>
      </c>
      <c r="JE143" s="728" t="str">
        <f t="shared" si="1640"/>
        <v/>
      </c>
      <c r="JF143" s="768" t="str">
        <f t="shared" si="1641"/>
        <v/>
      </c>
      <c r="JG143" s="728" t="str">
        <f t="shared" si="1642"/>
        <v/>
      </c>
      <c r="JH143" s="768" t="str">
        <f t="shared" si="1643"/>
        <v/>
      </c>
      <c r="JI143" s="769" t="str">
        <f t="shared" si="1644"/>
        <v/>
      </c>
      <c r="JJ143" s="768" t="str">
        <f t="shared" ref="JJ143" si="1767">IF(JI143&lt;0,"Invadiu REP-BA-C","")</f>
        <v/>
      </c>
      <c r="JK143" s="769" t="str">
        <f t="shared" si="1646"/>
        <v/>
      </c>
      <c r="JL143" s="768" t="str">
        <f t="shared" si="1647"/>
        <v/>
      </c>
      <c r="JM143" s="728" t="str">
        <f t="shared" si="1648"/>
        <v/>
      </c>
      <c r="JN143" s="768" t="str">
        <f t="shared" si="1649"/>
        <v/>
      </c>
      <c r="JO143" s="728" t="str">
        <f t="shared" si="1650"/>
        <v/>
      </c>
      <c r="JP143" s="768" t="str">
        <f t="shared" si="1651"/>
        <v/>
      </c>
      <c r="JQ143" s="769" t="str">
        <f t="shared" si="1652"/>
        <v/>
      </c>
      <c r="JR143" s="768" t="str">
        <f t="shared" ref="JR143" si="1768">IF(JQ143&lt;0,"Invadiu REP-BA-C","")</f>
        <v/>
      </c>
      <c r="JS143" s="769" t="str">
        <f t="shared" si="1654"/>
        <v/>
      </c>
      <c r="JT143" s="768" t="str">
        <f t="shared" si="1655"/>
        <v/>
      </c>
      <c r="JU143" s="728" t="str">
        <f t="shared" si="1656"/>
        <v/>
      </c>
      <c r="JV143" s="768" t="str">
        <f t="shared" si="1657"/>
        <v/>
      </c>
      <c r="JW143" s="728" t="str">
        <f t="shared" si="1658"/>
        <v/>
      </c>
      <c r="JX143" s="768" t="str">
        <f t="shared" si="1659"/>
        <v/>
      </c>
      <c r="JY143" s="768" t="str">
        <f t="shared" si="1660"/>
        <v/>
      </c>
      <c r="JZ143" s="485" t="str">
        <f>IF(JY143="","",IF(AND(C143=$C$164,JY143&lt;&gt;""),Verificarcpf(D143),IF(AND(C143=$C$165,JY143&lt;&gt;""),VerificarCNPJ(D143))))</f>
        <v/>
      </c>
      <c r="KA143" s="768" t="str">
        <f t="shared" si="1661"/>
        <v/>
      </c>
      <c r="KB143" s="485">
        <f t="shared" si="1662"/>
        <v>0</v>
      </c>
      <c r="KC143" s="768">
        <f t="shared" si="1663"/>
        <v>0</v>
      </c>
      <c r="KD143" s="485">
        <f t="shared" si="1664"/>
        <v>0</v>
      </c>
      <c r="KE143" s="448"/>
      <c r="KF143" s="548"/>
      <c r="KG143" s="548"/>
      <c r="KH143" s="548"/>
      <c r="KI143" s="548"/>
      <c r="KJ143" s="548" t="str">
        <f t="shared" si="1665"/>
        <v/>
      </c>
      <c r="KK143" s="548"/>
      <c r="KL143" s="548"/>
      <c r="KM143" s="548">
        <f t="array" ref="KM143">IF(SUM((KL143=$KL$3:KL142)*1)=0,KL143,0)</f>
        <v>0</v>
      </c>
      <c r="KN143" s="548"/>
      <c r="KO143" s="548"/>
      <c r="KP143" s="548"/>
      <c r="KQ143" s="548"/>
      <c r="KR143" s="548" t="str">
        <f t="shared" si="1666"/>
        <v/>
      </c>
      <c r="KS143" s="548"/>
      <c r="KT143" s="548"/>
      <c r="KU143" s="548"/>
      <c r="KV143" s="548"/>
      <c r="KW143" s="548"/>
      <c r="KX143" s="548"/>
      <c r="KY143" s="548"/>
      <c r="KZ143" s="548"/>
      <c r="LA143" s="548"/>
      <c r="LB143" s="548"/>
      <c r="LC143" s="485" t="str">
        <f t="shared" si="1680"/>
        <v/>
      </c>
      <c r="LD143" s="548"/>
      <c r="LE143" s="548"/>
      <c r="LF143" s="548"/>
      <c r="LG143" s="548"/>
      <c r="LH143" s="548"/>
      <c r="LI143" s="548"/>
      <c r="LJ143" s="548"/>
      <c r="LK143" s="548"/>
      <c r="LL143" s="548"/>
      <c r="LM143" s="548"/>
      <c r="LN143" s="548"/>
      <c r="LO143" s="548"/>
      <c r="LP143" s="485" t="str">
        <f t="shared" si="1681"/>
        <v/>
      </c>
      <c r="LQ143" s="548"/>
      <c r="LR143" s="548"/>
      <c r="LS143" s="548"/>
      <c r="LT143" s="548"/>
      <c r="LU143" s="548"/>
      <c r="LV143" s="548"/>
      <c r="LW143" s="548"/>
      <c r="LX143" s="548"/>
      <c r="LY143" s="548"/>
      <c r="LZ143" s="548"/>
      <c r="MA143" s="548"/>
      <c r="MB143" s="548"/>
      <c r="MC143" s="485" t="str">
        <f t="shared" si="1682"/>
        <v/>
      </c>
      <c r="MD143" s="548"/>
      <c r="ME143" s="548"/>
      <c r="MF143" s="548"/>
      <c r="MG143" s="548"/>
      <c r="MH143" s="548"/>
      <c r="MI143" s="548"/>
      <c r="MJ143" s="548"/>
      <c r="MK143" s="548"/>
      <c r="ML143" s="548"/>
      <c r="MM143" s="548"/>
      <c r="MN143" s="548"/>
      <c r="MO143" s="548"/>
      <c r="MP143" s="485" t="str">
        <f t="shared" si="1683"/>
        <v/>
      </c>
      <c r="MQ143" s="548"/>
      <c r="MR143" s="548"/>
      <c r="MS143" s="548"/>
      <c r="MT143" s="548"/>
      <c r="MU143" s="548"/>
      <c r="MV143" s="548"/>
      <c r="MW143" s="548"/>
      <c r="MX143" s="548"/>
      <c r="MY143" s="548"/>
      <c r="MZ143" s="548"/>
      <c r="NA143" s="548"/>
      <c r="NB143" s="548"/>
      <c r="NC143" s="485" t="str">
        <f t="shared" si="1684"/>
        <v/>
      </c>
      <c r="ND143" s="548"/>
      <c r="NE143" s="548"/>
      <c r="NF143" s="548"/>
      <c r="NG143" s="548"/>
      <c r="NH143" s="548"/>
      <c r="NI143" s="548"/>
      <c r="NJ143" s="548"/>
      <c r="NK143" s="548"/>
      <c r="NL143" s="548"/>
      <c r="NM143" s="548"/>
      <c r="NN143" s="548"/>
      <c r="NO143" s="548"/>
      <c r="NP143" s="485" t="str">
        <f t="shared" si="1685"/>
        <v/>
      </c>
      <c r="NQ143" s="548"/>
      <c r="NR143" s="548"/>
      <c r="NS143" s="548"/>
      <c r="NT143" s="548"/>
      <c r="NU143" s="548"/>
      <c r="NV143" s="548"/>
      <c r="NW143" s="548"/>
      <c r="NX143" s="548"/>
      <c r="NY143" s="548"/>
      <c r="NZ143" s="548"/>
      <c r="OA143" s="548"/>
      <c r="OB143" s="548"/>
      <c r="OC143" s="485" t="str">
        <f t="shared" si="1686"/>
        <v/>
      </c>
      <c r="OD143" s="548"/>
      <c r="OE143" s="548"/>
      <c r="OF143" s="548"/>
      <c r="OG143" s="548"/>
      <c r="OH143" s="548"/>
      <c r="OI143" s="548"/>
      <c r="OJ143" s="548"/>
      <c r="OK143" s="548"/>
      <c r="OL143" s="548"/>
      <c r="OM143" s="548"/>
      <c r="ON143" s="548"/>
      <c r="OO143" s="548"/>
      <c r="OP143" s="548"/>
      <c r="OQ143" s="548"/>
      <c r="OR143" s="548"/>
      <c r="OS143" s="548"/>
      <c r="OT143" s="548"/>
      <c r="OU143" s="548"/>
      <c r="OV143" s="548"/>
      <c r="OW143" s="548"/>
      <c r="OX143" s="548"/>
      <c r="OY143" s="548"/>
      <c r="OZ143" s="548"/>
      <c r="PA143" s="548"/>
      <c r="PB143" s="548"/>
      <c r="PC143" s="548"/>
      <c r="PD143" s="548"/>
      <c r="PE143" s="548"/>
      <c r="PF143" s="548"/>
      <c r="PG143" s="548"/>
      <c r="PH143" s="548"/>
      <c r="PI143" s="548"/>
      <c r="PJ143" s="548"/>
      <c r="PK143" s="548"/>
      <c r="PL143" s="548"/>
      <c r="PM143" s="548"/>
      <c r="PN143" s="548"/>
      <c r="PO143" s="548"/>
      <c r="PP143" s="548"/>
      <c r="PQ143" s="548"/>
      <c r="PR143" s="548"/>
      <c r="PS143" s="548"/>
      <c r="PT143" s="548"/>
      <c r="PU143" s="548"/>
      <c r="PV143" s="548"/>
      <c r="PW143" s="548"/>
      <c r="PX143" s="548"/>
      <c r="PY143" s="548"/>
      <c r="PZ143" s="548"/>
      <c r="QA143" s="548"/>
      <c r="QB143" s="548"/>
      <c r="QC143" s="548"/>
      <c r="QD143" s="548"/>
      <c r="QE143" s="548"/>
      <c r="QF143" s="548"/>
      <c r="QG143" s="548"/>
      <c r="QH143" s="548"/>
      <c r="QI143" s="548"/>
      <c r="QJ143" s="548"/>
      <c r="QK143" s="548"/>
      <c r="QL143" s="548"/>
      <c r="QM143" s="548"/>
      <c r="QN143" s="548"/>
      <c r="QO143" s="548"/>
      <c r="QP143" s="548"/>
      <c r="QQ143" s="1009"/>
      <c r="QR143" s="548"/>
      <c r="QS143" s="548"/>
      <c r="QT143" s="548"/>
      <c r="QU143" s="548"/>
      <c r="QV143" s="548"/>
      <c r="QW143" s="548"/>
      <c r="QX143" s="548"/>
      <c r="QY143" s="548"/>
      <c r="QZ143" s="548"/>
      <c r="RA143" s="548"/>
      <c r="RB143" s="548"/>
      <c r="RC143" s="548"/>
      <c r="RD143" s="548"/>
      <c r="RE143" s="548"/>
      <c r="RF143" s="548"/>
      <c r="RG143" s="548"/>
      <c r="RH143" s="548"/>
      <c r="RI143" s="548"/>
      <c r="RJ143" s="548"/>
      <c r="RK143" s="548"/>
      <c r="RL143" s="548"/>
      <c r="RM143" s="548"/>
      <c r="RN143" s="548"/>
      <c r="RO143" s="548"/>
      <c r="RP143" s="548"/>
      <c r="RQ143" s="548"/>
      <c r="RR143" s="548"/>
      <c r="RS143" s="548"/>
      <c r="RT143" s="548"/>
      <c r="RU143" s="548"/>
      <c r="RV143" s="548"/>
      <c r="RW143" s="548"/>
      <c r="RX143" s="548"/>
      <c r="RY143" s="548"/>
      <c r="RZ143" s="548"/>
      <c r="SA143" s="548"/>
      <c r="SB143" s="548"/>
      <c r="SC143" s="548"/>
      <c r="SD143" s="548"/>
      <c r="SE143" s="548"/>
      <c r="SF143" s="548"/>
      <c r="SG143" s="548"/>
      <c r="SH143" s="548"/>
      <c r="SI143" s="548"/>
      <c r="SJ143" s="548"/>
      <c r="SK143" s="548"/>
      <c r="SL143" s="548"/>
      <c r="SM143" s="548"/>
      <c r="SN143" s="548"/>
      <c r="SO143" s="548"/>
      <c r="SP143" s="548"/>
      <c r="SQ143" s="548"/>
      <c r="SR143" s="548"/>
      <c r="SS143" s="548"/>
      <c r="ST143" s="548"/>
      <c r="SU143" s="548"/>
      <c r="SV143" s="548"/>
      <c r="SW143" s="548"/>
      <c r="SX143" s="548"/>
      <c r="SY143" s="548"/>
      <c r="SZ143" s="548"/>
      <c r="TA143" s="548"/>
      <c r="TB143" s="548"/>
      <c r="TC143" s="548"/>
      <c r="TD143" s="548"/>
      <c r="TE143" s="548"/>
      <c r="TF143" s="548"/>
      <c r="TG143" s="548"/>
      <c r="TH143" s="548"/>
      <c r="TI143" s="548"/>
      <c r="TJ143" s="548"/>
      <c r="TK143" s="548"/>
      <c r="TL143" s="548"/>
      <c r="TM143" s="548"/>
      <c r="TN143" s="548"/>
      <c r="TO143" s="548"/>
      <c r="TP143" s="548"/>
      <c r="TQ143" s="548"/>
      <c r="TR143" s="548"/>
      <c r="TS143" s="548"/>
      <c r="TT143" s="548"/>
      <c r="TU143" s="548"/>
      <c r="TV143" s="548"/>
      <c r="TW143" s="548"/>
      <c r="TX143" s="548"/>
      <c r="TY143" s="548"/>
      <c r="TZ143" s="548"/>
      <c r="UA143" s="548"/>
      <c r="UB143" s="548"/>
      <c r="UC143" s="548"/>
      <c r="UD143" s="548"/>
      <c r="UE143" s="548"/>
      <c r="UF143" s="548"/>
      <c r="UG143" s="548"/>
      <c r="UH143" s="548"/>
      <c r="UI143" s="548"/>
      <c r="UJ143" s="548"/>
      <c r="UK143" s="548"/>
      <c r="UL143" s="548"/>
      <c r="UM143" s="548"/>
      <c r="UN143" s="548"/>
      <c r="UO143" s="548"/>
      <c r="UP143" s="548"/>
      <c r="UQ143" s="548"/>
      <c r="UR143" s="548"/>
      <c r="US143" s="548"/>
      <c r="UT143" s="548"/>
      <c r="UU143" s="548"/>
      <c r="UV143" s="548"/>
      <c r="UW143" s="548"/>
      <c r="UX143" s="548"/>
      <c r="UY143" s="548"/>
      <c r="UZ143" s="548"/>
      <c r="VA143" s="548"/>
      <c r="VB143" s="548"/>
      <c r="VC143" s="548"/>
      <c r="VD143" s="548"/>
      <c r="VE143" s="548"/>
      <c r="VF143" s="548"/>
      <c r="VG143" s="548"/>
      <c r="VH143" s="548"/>
      <c r="VI143" s="548"/>
      <c r="VJ143" s="548"/>
      <c r="VK143" s="548"/>
      <c r="VL143" s="548"/>
      <c r="VM143" s="548"/>
      <c r="VN143" s="548"/>
      <c r="VO143" s="548"/>
      <c r="VP143" s="548"/>
      <c r="VQ143" s="548"/>
      <c r="VR143" s="548"/>
      <c r="VS143" s="548"/>
      <c r="VT143" s="548"/>
      <c r="VU143" s="548"/>
      <c r="VV143" s="548"/>
      <c r="VW143" s="548"/>
      <c r="VX143" s="548"/>
      <c r="VY143" s="548"/>
      <c r="VZ143" s="548"/>
      <c r="WA143" s="548"/>
      <c r="WB143" s="548"/>
      <c r="WC143" s="548"/>
      <c r="WD143" s="548"/>
      <c r="WE143" s="548"/>
      <c r="WF143" s="548"/>
      <c r="WG143" s="548"/>
      <c r="WH143" s="548"/>
      <c r="WI143" s="548"/>
      <c r="WJ143" s="548"/>
      <c r="WK143" s="548"/>
      <c r="WL143" s="548"/>
      <c r="WM143" s="548"/>
      <c r="WN143" s="548"/>
      <c r="WO143" s="548"/>
      <c r="WP143" s="548"/>
      <c r="WQ143" s="548"/>
      <c r="WR143" s="548"/>
      <c r="WS143" s="548"/>
      <c r="WT143" s="548"/>
      <c r="WU143" s="548"/>
      <c r="WV143" s="548"/>
      <c r="WW143" s="548"/>
      <c r="WX143" s="548"/>
      <c r="WY143" s="548"/>
      <c r="WZ143" s="548"/>
      <c r="XA143" s="548"/>
      <c r="XB143" s="548"/>
      <c r="XC143" s="548"/>
      <c r="XD143" s="548"/>
      <c r="XE143" s="548"/>
      <c r="XF143" s="548"/>
      <c r="XG143" s="548"/>
      <c r="XH143" s="548"/>
      <c r="XI143" s="548"/>
      <c r="XJ143" s="548"/>
      <c r="XK143" s="548"/>
      <c r="XL143" s="548"/>
      <c r="XM143" s="548"/>
      <c r="XN143" s="548"/>
      <c r="XO143" s="548"/>
      <c r="XP143" s="548"/>
      <c r="XQ143" s="548"/>
      <c r="XR143" s="548"/>
      <c r="XS143" s="548"/>
      <c r="XT143" s="548"/>
      <c r="XU143" s="548"/>
      <c r="XV143" s="548"/>
      <c r="XW143" s="548"/>
      <c r="XX143" s="548"/>
      <c r="XY143" s="548"/>
      <c r="XZ143" s="548"/>
      <c r="YA143" s="548"/>
      <c r="YB143" s="548"/>
      <c r="YC143" s="548"/>
      <c r="YD143" s="548"/>
      <c r="YE143" s="548"/>
      <c r="YF143" s="548"/>
      <c r="YG143" s="548"/>
      <c r="YH143" s="548"/>
      <c r="YI143" s="548"/>
      <c r="YJ143" s="548"/>
      <c r="YK143" s="548"/>
      <c r="YL143" s="548"/>
      <c r="YM143" s="548"/>
      <c r="YN143" s="548"/>
      <c r="YO143" s="548"/>
      <c r="YP143" s="548"/>
      <c r="YQ143" s="548"/>
      <c r="YR143" s="548"/>
      <c r="YS143" s="548"/>
      <c r="YT143" s="548"/>
      <c r="YU143" s="548"/>
      <c r="YV143" s="548"/>
      <c r="YW143" s="548"/>
      <c r="YX143" s="548"/>
      <c r="YY143" s="548"/>
      <c r="YZ143" s="548"/>
      <c r="ZA143" s="548"/>
      <c r="ZB143" s="548"/>
      <c r="ZC143" s="548"/>
      <c r="ZD143" s="548"/>
      <c r="ZE143" s="548"/>
      <c r="ZF143" s="548"/>
      <c r="ZG143" s="548"/>
      <c r="ZH143" s="548"/>
      <c r="ZI143" s="548"/>
      <c r="ZJ143" s="548"/>
      <c r="ZK143" s="548"/>
      <c r="ZL143" s="548"/>
      <c r="ZM143" s="548"/>
      <c r="ZN143" s="548"/>
      <c r="ZO143" s="548"/>
      <c r="ZP143" s="548"/>
      <c r="ZQ143" s="548"/>
      <c r="ZR143" s="548"/>
      <c r="ZS143" s="548"/>
      <c r="ZT143" s="548"/>
      <c r="ZU143" s="548"/>
      <c r="ZV143" s="548"/>
      <c r="ZW143" s="548"/>
      <c r="ZX143" s="548"/>
      <c r="ZY143" s="548"/>
      <c r="ZZ143" s="548"/>
      <c r="AAA143" s="548"/>
      <c r="AAB143" s="548"/>
      <c r="AAC143" s="548"/>
      <c r="AAD143" s="548"/>
      <c r="AAE143" s="548"/>
      <c r="AAF143" s="548"/>
      <c r="AAG143" s="548"/>
      <c r="AAH143" s="548"/>
      <c r="AAI143" s="548"/>
      <c r="AAJ143" s="548"/>
      <c r="AAK143" s="548"/>
      <c r="AAL143" s="548"/>
      <c r="AAM143" s="548"/>
      <c r="AAN143" s="548"/>
      <c r="AAO143" s="548"/>
      <c r="AAP143" s="548"/>
      <c r="AAQ143" s="548"/>
      <c r="AAR143" s="548"/>
      <c r="AAS143" s="548"/>
      <c r="AAT143" s="548"/>
      <c r="AAU143" s="548"/>
      <c r="AAV143" s="548"/>
      <c r="AAW143" s="548"/>
      <c r="AAX143" s="548"/>
      <c r="AAY143" s="548"/>
      <c r="AAZ143" s="548"/>
      <c r="ABA143" s="548"/>
      <c r="ABB143" s="548"/>
      <c r="ABC143" s="548"/>
      <c r="ABD143" s="548"/>
      <c r="ABE143" s="548"/>
      <c r="ABF143" s="548"/>
      <c r="ABG143" s="548"/>
      <c r="ABH143" s="548"/>
      <c r="ABI143" s="548"/>
      <c r="ABJ143" s="548"/>
      <c r="ABK143" s="548"/>
      <c r="ABL143" s="548"/>
      <c r="ABM143" s="548"/>
      <c r="ABN143" s="548"/>
      <c r="ABO143" s="548"/>
      <c r="ABP143" s="548"/>
      <c r="ABQ143" s="548"/>
      <c r="ABR143" s="548"/>
      <c r="ABS143" s="548"/>
    </row>
    <row r="144" spans="1:747" customFormat="1" ht="15" customHeight="1" x14ac:dyDescent="0.2">
      <c r="A144" s="424" t="str">
        <f t="shared" si="1687"/>
        <v/>
      </c>
      <c r="B144" s="415"/>
      <c r="C144" s="525"/>
      <c r="D144" s="750"/>
      <c r="E144" s="416" t="str">
        <f t="shared" si="1529"/>
        <v/>
      </c>
      <c r="F144" s="527" t="str">
        <f t="shared" si="1530"/>
        <v/>
      </c>
      <c r="G144" s="417"/>
      <c r="H144" s="585" t="str">
        <f t="shared" si="1531"/>
        <v/>
      </c>
      <c r="I144" s="424"/>
      <c r="J144" s="419"/>
      <c r="K144" s="418"/>
      <c r="L144" s="419"/>
      <c r="M144" s="415"/>
      <c r="N144" s="420"/>
      <c r="O144" s="421"/>
      <c r="P144" s="561"/>
      <c r="Q144" s="422"/>
      <c r="R144" s="561" t="str">
        <f t="shared" si="1532"/>
        <v/>
      </c>
      <c r="S144" s="664"/>
      <c r="T144" s="663"/>
      <c r="U144" s="580">
        <f t="shared" si="1533"/>
        <v>0</v>
      </c>
      <c r="V144" s="418"/>
      <c r="W144" s="582" t="str">
        <f t="shared" si="1534"/>
        <v/>
      </c>
      <c r="X144" s="479" t="str">
        <f t="shared" si="1535"/>
        <v/>
      </c>
      <c r="Y144" s="582" t="str">
        <f t="shared" si="1536"/>
        <v/>
      </c>
      <c r="Z144" s="317" t="str">
        <f t="shared" si="1537"/>
        <v/>
      </c>
      <c r="AA144" s="317" t="str">
        <f t="shared" si="1538"/>
        <v/>
      </c>
      <c r="AB144" s="317">
        <f t="shared" si="1539"/>
        <v>0</v>
      </c>
      <c r="AC144" s="317" t="str">
        <f t="shared" si="1540"/>
        <v/>
      </c>
      <c r="AD144" s="479"/>
      <c r="AE144" s="479"/>
      <c r="AF144" s="479"/>
      <c r="AG144" s="423"/>
      <c r="AH144" s="820"/>
      <c r="AI144" s="437"/>
      <c r="AJ144" s="660"/>
      <c r="AK144" s="524" t="str">
        <f t="shared" si="1541"/>
        <v/>
      </c>
      <c r="AL144" s="731">
        <f>SUMIF($J$4:$J$144,"Livre Aplic.",$S$4:$S$144)</f>
        <v>0</v>
      </c>
      <c r="AM144" s="732">
        <f>SUMIF($J$4:$J$144,"Livre Aplic.",$T$4:$T$144)</f>
        <v>0</v>
      </c>
      <c r="AN144" s="426">
        <f t="shared" si="1542"/>
        <v>0</v>
      </c>
      <c r="AO144" s="427" t="str">
        <f t="shared" si="1543"/>
        <v/>
      </c>
      <c r="AP144" s="426" t="str">
        <f t="shared" si="1544"/>
        <v/>
      </c>
      <c r="AQ144" s="426"/>
      <c r="AR144" s="426"/>
      <c r="AS144" s="428"/>
      <c r="AT144" s="429"/>
      <c r="AU144" s="430"/>
      <c r="AV144" s="431"/>
      <c r="AW144" s="432"/>
      <c r="AX144" s="430"/>
      <c r="AY144" s="431">
        <f t="shared" si="1545"/>
        <v>0</v>
      </c>
      <c r="AZ144" s="426"/>
      <c r="BA144" s="435" t="str">
        <f t="shared" si="1546"/>
        <v/>
      </c>
      <c r="BB144" s="435"/>
      <c r="BC144" s="426"/>
      <c r="BD144" s="426">
        <f t="array" ref="BD144">IF(SUM((BC144=$BC$3:BC143)*1)=0,BC144,0)</f>
        <v>0</v>
      </c>
      <c r="BE144" s="426"/>
      <c r="BF144" s="426"/>
      <c r="BG144" s="426">
        <f t="array" ref="BG144">IF(SUM((BF144=$BF$3:BF143)*1)=0,BF144,0)</f>
        <v>0</v>
      </c>
      <c r="BH144" s="426"/>
      <c r="BI144" s="426"/>
      <c r="BJ144" s="426"/>
      <c r="BK144" s="426"/>
      <c r="BL144" s="426"/>
      <c r="BM144" s="426"/>
      <c r="BN144" s="426"/>
      <c r="BO144" s="426"/>
      <c r="BP144" s="433">
        <f t="shared" si="1547"/>
        <v>0</v>
      </c>
      <c r="BQ144" s="426"/>
      <c r="BR144" s="434"/>
      <c r="BS144" s="426"/>
      <c r="BT144" s="433"/>
      <c r="BU144" s="435"/>
      <c r="BV144" s="435" t="str">
        <f t="shared" si="1548"/>
        <v/>
      </c>
      <c r="BW144" s="435" t="str">
        <f t="shared" si="1576"/>
        <v/>
      </c>
      <c r="BX144" s="435"/>
      <c r="BY144" s="435"/>
      <c r="BZ144" s="435"/>
      <c r="CA144" s="435"/>
      <c r="CB144" s="435"/>
      <c r="CC144" s="435"/>
      <c r="CD144" s="435"/>
      <c r="CE144" s="435"/>
      <c r="CF144" s="435"/>
      <c r="CG144" s="435"/>
      <c r="CH144" s="435"/>
      <c r="CI144" s="435"/>
      <c r="CJ144" s="426" t="str">
        <f t="shared" si="1577"/>
        <v/>
      </c>
      <c r="CK144" s="435"/>
      <c r="CL144" s="426"/>
      <c r="CM144" s="435"/>
      <c r="CN144" s="426"/>
      <c r="CO144" s="426"/>
      <c r="CP144" s="426"/>
      <c r="CQ144" s="426"/>
      <c r="CR144" s="426"/>
      <c r="CS144" s="426"/>
      <c r="CT144" s="426"/>
      <c r="CU144" s="426"/>
      <c r="CV144" s="426"/>
      <c r="CW144" s="493"/>
      <c r="CX144" s="493"/>
      <c r="CY144" s="426">
        <v>141</v>
      </c>
      <c r="CZ144" s="493"/>
      <c r="DA144" s="493"/>
      <c r="DB144" s="493"/>
      <c r="DC144" s="426" t="s">
        <v>884</v>
      </c>
      <c r="DD144" s="426" t="s">
        <v>1044</v>
      </c>
      <c r="DE144" s="435" t="str">
        <f t="shared" si="1578"/>
        <v/>
      </c>
      <c r="DF144" s="435" t="str">
        <f t="shared" si="1579"/>
        <v/>
      </c>
      <c r="DG144" s="435" t="str">
        <f t="shared" si="1580"/>
        <v/>
      </c>
      <c r="DH144" s="435" t="str">
        <f t="shared" si="1581"/>
        <v/>
      </c>
      <c r="DI144" s="435" t="str">
        <f t="shared" si="1582"/>
        <v/>
      </c>
      <c r="DJ144" s="435" t="str">
        <f t="shared" si="1583"/>
        <v/>
      </c>
      <c r="DK144" s="435" t="str">
        <f t="shared" si="1549"/>
        <v/>
      </c>
      <c r="DL144" s="435" t="str">
        <f t="shared" si="1550"/>
        <v/>
      </c>
      <c r="DM144" s="435" t="str">
        <f t="shared" si="1584"/>
        <v/>
      </c>
      <c r="DN144" s="435" t="str">
        <f t="shared" si="1585"/>
        <v/>
      </c>
      <c r="DO144" s="435" t="str">
        <f t="shared" si="1551"/>
        <v/>
      </c>
      <c r="DP144" s="435" t="str">
        <f t="shared" si="1552"/>
        <v/>
      </c>
      <c r="DQ144" s="435" t="str">
        <f t="shared" si="1586"/>
        <v/>
      </c>
      <c r="DR144" s="435" t="str">
        <f t="shared" si="1587"/>
        <v/>
      </c>
      <c r="DS144" s="435" t="str">
        <f t="shared" si="1553"/>
        <v/>
      </c>
      <c r="DT144" s="435" t="str">
        <f t="shared" si="1554"/>
        <v/>
      </c>
      <c r="DU144" s="435" t="str">
        <f t="shared" si="1588"/>
        <v/>
      </c>
      <c r="DV144" s="435" t="str">
        <f t="shared" si="1589"/>
        <v/>
      </c>
      <c r="DW144" s="435" t="str">
        <f t="shared" si="1555"/>
        <v/>
      </c>
      <c r="DX144" s="435" t="str">
        <f t="shared" si="1556"/>
        <v/>
      </c>
      <c r="DY144" s="435" t="str">
        <f t="shared" si="1590"/>
        <v/>
      </c>
      <c r="DZ144" s="435" t="str">
        <f t="shared" si="1591"/>
        <v/>
      </c>
      <c r="EA144" s="435" t="str">
        <f t="shared" si="1557"/>
        <v/>
      </c>
      <c r="EB144" s="435" t="str">
        <f t="shared" si="1558"/>
        <v/>
      </c>
      <c r="EC144" s="435" t="str">
        <f t="shared" si="1559"/>
        <v/>
      </c>
      <c r="ED144" s="435" t="str">
        <f t="shared" si="1560"/>
        <v/>
      </c>
      <c r="EE144" s="435" t="str">
        <f t="shared" si="1561"/>
        <v/>
      </c>
      <c r="EF144" s="435" t="str">
        <f t="shared" si="1562"/>
        <v/>
      </c>
      <c r="EG144" s="435" t="str">
        <f t="shared" si="1563"/>
        <v/>
      </c>
      <c r="EH144" s="435" t="str">
        <f t="shared" si="1564"/>
        <v/>
      </c>
      <c r="EI144" s="435" t="str">
        <f t="shared" si="1565"/>
        <v/>
      </c>
      <c r="EJ144" s="435" t="str">
        <f t="shared" si="1566"/>
        <v/>
      </c>
      <c r="EK144" s="485"/>
      <c r="EL144" s="485"/>
      <c r="EM144" s="485"/>
      <c r="EN144" s="485"/>
      <c r="EO144" s="448"/>
      <c r="EP144" s="448"/>
      <c r="EQ144" s="448"/>
      <c r="ER144" s="448"/>
      <c r="ES144" s="448"/>
      <c r="ET144" s="435"/>
      <c r="EU144" s="435"/>
      <c r="EV144" s="435"/>
      <c r="EW144" s="435"/>
      <c r="EX144" s="426"/>
      <c r="EY144" s="426"/>
      <c r="EZ144" s="426"/>
      <c r="FA144" s="863"/>
      <c r="FB144" s="427">
        <f t="array" ref="FB144">IF(SUM((FA144=$FA$3:FA143)*1)=0,FA144,0)</f>
        <v>0</v>
      </c>
      <c r="FC144" s="863"/>
      <c r="FD144" s="863"/>
      <c r="FE144" s="863">
        <f t="array" ref="FE144">IF(SUM((FD144=$FD$3:FD143)*1)=0,FD144,0)</f>
        <v>0</v>
      </c>
      <c r="FF144" s="863"/>
      <c r="FG144" s="863"/>
      <c r="FH144" s="863"/>
      <c r="FI144" s="427">
        <f t="array" ref="FI144">IF(SUM((FH144=$FH$3:FH143)*1)=0,FH144,0)</f>
        <v>0</v>
      </c>
      <c r="FJ144" s="863"/>
      <c r="FK144" s="863"/>
      <c r="FL144" s="863">
        <f t="array" ref="FL144">IF(SUM((FK144=$FK$3:FK143)*1)=0,FK144,0)</f>
        <v>0</v>
      </c>
      <c r="FM144" s="863"/>
      <c r="FN144" s="863"/>
      <c r="FO144" s="863"/>
      <c r="FP144" s="427">
        <f t="array" ref="FP144">IF(SUM((FO144=$FO$3:FO143)*1)=0,FO144,0)</f>
        <v>0</v>
      </c>
      <c r="FQ144" s="863"/>
      <c r="FR144" s="863"/>
      <c r="FS144" s="863">
        <f t="array" ref="FS144">IF(SUM((FR144=$FR$3:FR143)*1)=0,FR144,0)</f>
        <v>0</v>
      </c>
      <c r="FT144" s="863"/>
      <c r="FU144" s="863"/>
      <c r="FV144" s="863"/>
      <c r="FW144" s="427">
        <f t="array" ref="FW144">IF(SUM((FV144=$FV$3:FV143)*1)=0,FV144,0)</f>
        <v>0</v>
      </c>
      <c r="FX144" s="863"/>
      <c r="FY144" s="863"/>
      <c r="FZ144" s="863">
        <f t="array" ref="FZ144">IF(SUM((FY144=$FY$3:FY143)*1)=0,FY144,0)</f>
        <v>0</v>
      </c>
      <c r="GA144" s="863"/>
      <c r="GB144" s="863"/>
      <c r="GC144" s="863"/>
      <c r="GD144" s="427">
        <f t="array" ref="GD144">IF(SUM((GC144=$GC$3:GC143)*1)=0,GC144,0)</f>
        <v>0</v>
      </c>
      <c r="GE144" s="863"/>
      <c r="GF144" s="863"/>
      <c r="GG144" s="863">
        <f t="array" ref="GG144">IF(SUM((GF144=$GF$3:GF143)*1)=0,GF144,0)</f>
        <v>0</v>
      </c>
      <c r="GH144" s="863"/>
      <c r="GI144" s="863"/>
      <c r="GJ144" s="863"/>
      <c r="GK144" s="798">
        <f t="array" ref="GK144">IF(SUM((GJ144=$GJ$3:GJ143)*1)=0,GJ144,0)</f>
        <v>0</v>
      </c>
      <c r="GL144" s="863"/>
      <c r="GM144" s="863"/>
      <c r="GN144" s="798">
        <f t="array" ref="GN144">IF(SUM((GM144=$GM$3:GM143)*1)=0,GM144,0)</f>
        <v>0</v>
      </c>
      <c r="GO144" s="863"/>
      <c r="GP144" s="863"/>
      <c r="GQ144" s="863"/>
      <c r="GR144" s="798">
        <f t="array" ref="GR144">IF(SUM((GQ144=$GQ$3:GQ143)*1)=0,GQ144,0)</f>
        <v>0</v>
      </c>
      <c r="GS144" s="863"/>
      <c r="GT144" s="863"/>
      <c r="GU144" s="798">
        <f t="array" ref="GU144">IF(SUM((GT144=$GT$3:GT143)*1)=0,GT144,0)</f>
        <v>0</v>
      </c>
      <c r="GV144" s="863"/>
      <c r="GW144" s="863"/>
      <c r="GX144" s="863"/>
      <c r="GY144" s="798">
        <f t="array" ref="GY144">IF(SUM((GX144=$GX$3:GX143)*1)=0,GX144,0)</f>
        <v>0</v>
      </c>
      <c r="GZ144" s="863"/>
      <c r="HA144" s="863"/>
      <c r="HB144" s="798">
        <f t="array" ref="HB144">IF(SUM((HA144=$HA$3:HA143)*1)=0,HA144,0)</f>
        <v>0</v>
      </c>
      <c r="HC144" s="863"/>
      <c r="HD144" s="863"/>
      <c r="HE144" s="769" t="str">
        <f t="shared" si="1667"/>
        <v/>
      </c>
      <c r="HF144" s="768" t="str">
        <f t="shared" ref="HF144" si="1769">IF(HE144&lt;0,"Invadiu REP-BA-C","")</f>
        <v/>
      </c>
      <c r="HG144" s="769" t="str">
        <f t="shared" si="1669"/>
        <v/>
      </c>
      <c r="HH144" s="768" t="str">
        <f t="shared" si="1593"/>
        <v/>
      </c>
      <c r="HI144" s="728" t="str">
        <f t="shared" si="1670"/>
        <v/>
      </c>
      <c r="HJ144" s="768" t="str">
        <f t="shared" si="1594"/>
        <v/>
      </c>
      <c r="HK144" s="728" t="str">
        <f t="shared" si="1671"/>
        <v/>
      </c>
      <c r="HL144" s="768" t="str">
        <f t="shared" si="1595"/>
        <v/>
      </c>
      <c r="HM144" s="769" t="str">
        <f t="shared" si="1596"/>
        <v/>
      </c>
      <c r="HN144" s="768" t="str">
        <f t="shared" ref="HN144" si="1770">IF(HM144&lt;0,"Invadiu REP-BA-C","")</f>
        <v/>
      </c>
      <c r="HO144" s="769" t="str">
        <f t="shared" si="1598"/>
        <v/>
      </c>
      <c r="HP144" s="768" t="str">
        <f t="shared" si="1599"/>
        <v/>
      </c>
      <c r="HQ144" s="728" t="str">
        <f t="shared" si="1600"/>
        <v/>
      </c>
      <c r="HR144" s="768" t="str">
        <f t="shared" si="1601"/>
        <v/>
      </c>
      <c r="HS144" s="728" t="str">
        <f t="shared" si="1602"/>
        <v/>
      </c>
      <c r="HT144" s="768" t="str">
        <f t="shared" si="1603"/>
        <v/>
      </c>
      <c r="HU144" s="769" t="str">
        <f t="shared" si="1604"/>
        <v/>
      </c>
      <c r="HV144" s="768" t="str">
        <f t="shared" ref="HV144" si="1771">IF(HU144&lt;0,"Invadiu REP-BA-C","")</f>
        <v/>
      </c>
      <c r="HW144" s="769" t="str">
        <f t="shared" si="1606"/>
        <v/>
      </c>
      <c r="HX144" s="768" t="str">
        <f t="shared" si="1607"/>
        <v/>
      </c>
      <c r="HY144" s="728" t="str">
        <f t="shared" si="1608"/>
        <v/>
      </c>
      <c r="HZ144" s="768" t="str">
        <f t="shared" si="1609"/>
        <v/>
      </c>
      <c r="IA144" s="728" t="str">
        <f t="shared" si="1610"/>
        <v/>
      </c>
      <c r="IB144" s="768" t="str">
        <f t="shared" si="1611"/>
        <v/>
      </c>
      <c r="IC144" s="769" t="str">
        <f t="shared" si="1612"/>
        <v/>
      </c>
      <c r="ID144" s="768" t="str">
        <f t="shared" ref="ID144" si="1772">IF(IC144&lt;0,"Invadiu REP-BA-C","")</f>
        <v/>
      </c>
      <c r="IE144" s="769" t="str">
        <f t="shared" si="1614"/>
        <v/>
      </c>
      <c r="IF144" s="768" t="str">
        <f t="shared" si="1615"/>
        <v/>
      </c>
      <c r="IG144" s="728" t="str">
        <f t="shared" si="1616"/>
        <v/>
      </c>
      <c r="IH144" s="768" t="str">
        <f t="shared" si="1617"/>
        <v/>
      </c>
      <c r="II144" s="728" t="str">
        <f t="shared" si="1618"/>
        <v/>
      </c>
      <c r="IJ144" s="768" t="str">
        <f t="shared" si="1619"/>
        <v/>
      </c>
      <c r="IK144" s="769" t="str">
        <f t="shared" si="1620"/>
        <v/>
      </c>
      <c r="IL144" s="768" t="str">
        <f t="shared" ref="IL144" si="1773">IF(IK144&lt;0,"Invadiu REP-BA-C","")</f>
        <v/>
      </c>
      <c r="IM144" s="769" t="str">
        <f t="shared" si="1622"/>
        <v/>
      </c>
      <c r="IN144" s="768" t="str">
        <f t="shared" si="1623"/>
        <v/>
      </c>
      <c r="IO144" s="728" t="str">
        <f t="shared" si="1624"/>
        <v/>
      </c>
      <c r="IP144" s="768" t="str">
        <f t="shared" si="1625"/>
        <v/>
      </c>
      <c r="IQ144" s="728" t="str">
        <f t="shared" si="1626"/>
        <v/>
      </c>
      <c r="IR144" s="768" t="str">
        <f t="shared" si="1627"/>
        <v/>
      </c>
      <c r="IS144" s="769" t="str">
        <f t="shared" si="1628"/>
        <v/>
      </c>
      <c r="IT144" s="768" t="str">
        <f t="shared" ref="IT144" si="1774">IF(IS144&lt;0,"Invadiu REP-BA-C","")</f>
        <v/>
      </c>
      <c r="IU144" s="769" t="str">
        <f t="shared" si="1630"/>
        <v/>
      </c>
      <c r="IV144" s="768" t="str">
        <f t="shared" si="1631"/>
        <v/>
      </c>
      <c r="IW144" s="728" t="str">
        <f t="shared" si="1632"/>
        <v/>
      </c>
      <c r="IX144" s="768" t="str">
        <f t="shared" si="1633"/>
        <v/>
      </c>
      <c r="IY144" s="728" t="str">
        <f t="shared" si="1634"/>
        <v/>
      </c>
      <c r="IZ144" s="768" t="str">
        <f t="shared" si="1635"/>
        <v/>
      </c>
      <c r="JA144" s="769" t="str">
        <f t="shared" si="1636"/>
        <v/>
      </c>
      <c r="JB144" s="768" t="str">
        <f t="shared" ref="JB144" si="1775">IF(JA144&lt;0,"Invadiu REP-BA-C","")</f>
        <v/>
      </c>
      <c r="JC144" s="769" t="str">
        <f t="shared" si="1638"/>
        <v/>
      </c>
      <c r="JD144" s="768" t="str">
        <f t="shared" si="1639"/>
        <v/>
      </c>
      <c r="JE144" s="728" t="str">
        <f t="shared" si="1640"/>
        <v/>
      </c>
      <c r="JF144" s="768" t="str">
        <f t="shared" si="1641"/>
        <v/>
      </c>
      <c r="JG144" s="728" t="str">
        <f t="shared" si="1642"/>
        <v/>
      </c>
      <c r="JH144" s="768" t="str">
        <f t="shared" si="1643"/>
        <v/>
      </c>
      <c r="JI144" s="769" t="str">
        <f t="shared" si="1644"/>
        <v/>
      </c>
      <c r="JJ144" s="768" t="str">
        <f t="shared" ref="JJ144" si="1776">IF(JI144&lt;0,"Invadiu REP-BA-C","")</f>
        <v/>
      </c>
      <c r="JK144" s="769" t="str">
        <f t="shared" si="1646"/>
        <v/>
      </c>
      <c r="JL144" s="768" t="str">
        <f t="shared" si="1647"/>
        <v/>
      </c>
      <c r="JM144" s="728" t="str">
        <f t="shared" si="1648"/>
        <v/>
      </c>
      <c r="JN144" s="768" t="str">
        <f t="shared" si="1649"/>
        <v/>
      </c>
      <c r="JO144" s="728" t="str">
        <f t="shared" si="1650"/>
        <v/>
      </c>
      <c r="JP144" s="768" t="str">
        <f t="shared" si="1651"/>
        <v/>
      </c>
      <c r="JQ144" s="769" t="str">
        <f t="shared" si="1652"/>
        <v/>
      </c>
      <c r="JR144" s="768" t="str">
        <f t="shared" ref="JR144" si="1777">IF(JQ144&lt;0,"Invadiu REP-BA-C","")</f>
        <v/>
      </c>
      <c r="JS144" s="769" t="str">
        <f t="shared" si="1654"/>
        <v/>
      </c>
      <c r="JT144" s="768" t="str">
        <f t="shared" si="1655"/>
        <v/>
      </c>
      <c r="JU144" s="728" t="str">
        <f t="shared" si="1656"/>
        <v/>
      </c>
      <c r="JV144" s="768" t="str">
        <f t="shared" si="1657"/>
        <v/>
      </c>
      <c r="JW144" s="728" t="str">
        <f t="shared" si="1658"/>
        <v/>
      </c>
      <c r="JX144" s="768" t="str">
        <f t="shared" si="1659"/>
        <v/>
      </c>
      <c r="JY144" s="768" t="str">
        <f t="shared" si="1660"/>
        <v/>
      </c>
      <c r="JZ144" s="485" t="str">
        <f>IF(JY144="","",IF(AND(C144=$C$164,JY144&lt;&gt;""),Verificarcpf(D144),IF(AND(C144=$C$165,JY144&lt;&gt;""),VerificarCNPJ(D144))))</f>
        <v/>
      </c>
      <c r="KA144" s="768" t="str">
        <f t="shared" si="1661"/>
        <v/>
      </c>
      <c r="KB144" s="485">
        <f t="shared" si="1662"/>
        <v>0</v>
      </c>
      <c r="KC144" s="768">
        <f t="shared" si="1663"/>
        <v>0</v>
      </c>
      <c r="KD144" s="485">
        <f t="shared" si="1664"/>
        <v>0</v>
      </c>
      <c r="KE144" s="448"/>
      <c r="KF144" s="548"/>
      <c r="KG144" s="548"/>
      <c r="KH144" s="548"/>
      <c r="KI144" s="548"/>
      <c r="KJ144" s="548" t="str">
        <f t="shared" si="1665"/>
        <v/>
      </c>
      <c r="KK144" s="548"/>
      <c r="KL144" s="548"/>
      <c r="KM144" s="548">
        <f t="array" ref="KM144">IF(SUM((KL144=$KL$3:KL143)*1)=0,KL144,0)</f>
        <v>0</v>
      </c>
      <c r="KN144" s="548"/>
      <c r="KO144" s="548"/>
      <c r="KP144" s="548"/>
      <c r="KQ144" s="548"/>
      <c r="KR144" s="548" t="str">
        <f t="shared" si="1666"/>
        <v/>
      </c>
      <c r="KS144" s="548"/>
      <c r="KT144" s="548"/>
      <c r="KU144" s="548"/>
      <c r="KV144" s="548"/>
      <c r="KW144" s="548"/>
      <c r="KX144" s="548"/>
      <c r="KY144" s="548"/>
      <c r="KZ144" s="548"/>
      <c r="LA144" s="548"/>
      <c r="LB144" s="548"/>
      <c r="LC144" s="485" t="str">
        <f t="shared" si="1680"/>
        <v/>
      </c>
      <c r="LD144" s="548"/>
      <c r="LE144" s="548"/>
      <c r="LF144" s="548"/>
      <c r="LG144" s="548"/>
      <c r="LH144" s="548"/>
      <c r="LI144" s="548"/>
      <c r="LJ144" s="548"/>
      <c r="LK144" s="548"/>
      <c r="LL144" s="548"/>
      <c r="LM144" s="548"/>
      <c r="LN144" s="548"/>
      <c r="LO144" s="548"/>
      <c r="LP144" s="485" t="str">
        <f t="shared" si="1681"/>
        <v/>
      </c>
      <c r="LQ144" s="548"/>
      <c r="LR144" s="548"/>
      <c r="LS144" s="548"/>
      <c r="LT144" s="548"/>
      <c r="LU144" s="548"/>
      <c r="LV144" s="548"/>
      <c r="LW144" s="548"/>
      <c r="LX144" s="548"/>
      <c r="LY144" s="548"/>
      <c r="LZ144" s="548"/>
      <c r="MA144" s="548"/>
      <c r="MB144" s="548"/>
      <c r="MC144" s="485" t="str">
        <f t="shared" si="1682"/>
        <v/>
      </c>
      <c r="MD144" s="548"/>
      <c r="ME144" s="548"/>
      <c r="MF144" s="548"/>
      <c r="MG144" s="548"/>
      <c r="MH144" s="548"/>
      <c r="MI144" s="548"/>
      <c r="MJ144" s="548"/>
      <c r="MK144" s="548"/>
      <c r="ML144" s="548"/>
      <c r="MM144" s="548"/>
      <c r="MN144" s="548"/>
      <c r="MO144" s="548"/>
      <c r="MP144" s="485" t="str">
        <f t="shared" si="1683"/>
        <v/>
      </c>
      <c r="MQ144" s="548"/>
      <c r="MR144" s="548"/>
      <c r="MS144" s="548"/>
      <c r="MT144" s="548"/>
      <c r="MU144" s="548"/>
      <c r="MV144" s="548"/>
      <c r="MW144" s="548"/>
      <c r="MX144" s="548"/>
      <c r="MY144" s="548"/>
      <c r="MZ144" s="548"/>
      <c r="NA144" s="548"/>
      <c r="NB144" s="548"/>
      <c r="NC144" s="485" t="str">
        <f t="shared" si="1684"/>
        <v/>
      </c>
      <c r="ND144" s="548"/>
      <c r="NE144" s="548"/>
      <c r="NF144" s="548"/>
      <c r="NG144" s="548"/>
      <c r="NH144" s="548"/>
      <c r="NI144" s="548"/>
      <c r="NJ144" s="548"/>
      <c r="NK144" s="548"/>
      <c r="NL144" s="548"/>
      <c r="NM144" s="548"/>
      <c r="NN144" s="548"/>
      <c r="NO144" s="548"/>
      <c r="NP144" s="485" t="str">
        <f t="shared" si="1685"/>
        <v/>
      </c>
      <c r="NQ144" s="548"/>
      <c r="NR144" s="548"/>
      <c r="NS144" s="548"/>
      <c r="NT144" s="548"/>
      <c r="NU144" s="548"/>
      <c r="NV144" s="548"/>
      <c r="NW144" s="548"/>
      <c r="NX144" s="548"/>
      <c r="NY144" s="548"/>
      <c r="NZ144" s="548"/>
      <c r="OA144" s="548"/>
      <c r="OB144" s="548"/>
      <c r="OC144" s="485" t="str">
        <f t="shared" si="1686"/>
        <v/>
      </c>
      <c r="OD144" s="548"/>
      <c r="OE144" s="548"/>
      <c r="OF144" s="548"/>
      <c r="OG144" s="548"/>
      <c r="OH144" s="548"/>
      <c r="OI144" s="548"/>
      <c r="OJ144" s="548"/>
      <c r="OK144" s="548"/>
      <c r="OL144" s="548"/>
      <c r="OM144" s="548"/>
      <c r="ON144" s="548"/>
      <c r="OO144" s="548"/>
      <c r="OP144" s="548"/>
      <c r="OQ144" s="548"/>
      <c r="OR144" s="548"/>
      <c r="OS144" s="548"/>
      <c r="OT144" s="548"/>
      <c r="OU144" s="548"/>
      <c r="OV144" s="548"/>
      <c r="OW144" s="548"/>
      <c r="OX144" s="548"/>
      <c r="OY144" s="548"/>
      <c r="OZ144" s="548"/>
      <c r="PA144" s="548"/>
      <c r="PB144" s="548"/>
      <c r="PC144" s="548"/>
      <c r="PD144" s="548"/>
      <c r="PE144" s="548"/>
      <c r="PF144" s="548"/>
      <c r="PG144" s="548"/>
      <c r="PH144" s="548"/>
      <c r="PI144" s="548"/>
      <c r="PJ144" s="548"/>
      <c r="PK144" s="548"/>
      <c r="PL144" s="548"/>
      <c r="PM144" s="548"/>
      <c r="PN144" s="548"/>
      <c r="PO144" s="548"/>
      <c r="PP144" s="548"/>
      <c r="PQ144" s="548"/>
      <c r="PR144" s="548"/>
      <c r="PS144" s="548"/>
      <c r="PT144" s="548"/>
      <c r="PU144" s="548"/>
      <c r="PV144" s="548"/>
      <c r="PW144" s="548"/>
      <c r="PX144" s="548"/>
      <c r="PY144" s="548"/>
      <c r="PZ144" s="548"/>
      <c r="QA144" s="548"/>
      <c r="QB144" s="548"/>
      <c r="QC144" s="548"/>
      <c r="QD144" s="548"/>
      <c r="QE144" s="548"/>
      <c r="QF144" s="548"/>
      <c r="QG144" s="548"/>
      <c r="QH144" s="548"/>
      <c r="QI144" s="548"/>
      <c r="QJ144" s="548"/>
      <c r="QK144" s="548"/>
      <c r="QL144" s="548"/>
      <c r="QM144" s="548"/>
      <c r="QN144" s="548"/>
      <c r="QO144" s="548"/>
      <c r="QP144" s="548"/>
      <c r="QQ144" s="1009"/>
      <c r="QR144" s="548"/>
      <c r="QS144" s="548"/>
      <c r="QT144" s="548"/>
      <c r="QU144" s="548"/>
      <c r="QV144" s="548"/>
      <c r="QW144" s="548"/>
      <c r="QX144" s="548"/>
      <c r="QY144" s="548"/>
      <c r="QZ144" s="548"/>
      <c r="RA144" s="548"/>
      <c r="RB144" s="548"/>
      <c r="RC144" s="548"/>
      <c r="RD144" s="548"/>
      <c r="RE144" s="548"/>
      <c r="RF144" s="548"/>
      <c r="RG144" s="548"/>
      <c r="RH144" s="548"/>
      <c r="RI144" s="548"/>
      <c r="RJ144" s="548"/>
      <c r="RK144" s="548"/>
      <c r="RL144" s="548"/>
      <c r="RM144" s="548"/>
      <c r="RN144" s="548"/>
      <c r="RO144" s="548"/>
      <c r="RP144" s="548"/>
      <c r="RQ144" s="548"/>
      <c r="RR144" s="548"/>
      <c r="RS144" s="548"/>
      <c r="RT144" s="548"/>
      <c r="RU144" s="548"/>
      <c r="RV144" s="548"/>
      <c r="RW144" s="548"/>
      <c r="RX144" s="548"/>
      <c r="RY144" s="548"/>
      <c r="RZ144" s="548"/>
      <c r="SA144" s="548"/>
      <c r="SB144" s="548"/>
      <c r="SC144" s="548"/>
      <c r="SD144" s="548"/>
      <c r="SE144" s="548"/>
      <c r="SF144" s="548"/>
      <c r="SG144" s="548"/>
      <c r="SH144" s="548"/>
      <c r="SI144" s="548"/>
      <c r="SJ144" s="548"/>
      <c r="SK144" s="548"/>
      <c r="SL144" s="548"/>
      <c r="SM144" s="548"/>
      <c r="SN144" s="548"/>
      <c r="SO144" s="548"/>
      <c r="SP144" s="548"/>
      <c r="SQ144" s="548"/>
      <c r="SR144" s="548"/>
      <c r="SS144" s="548"/>
      <c r="ST144" s="548"/>
      <c r="SU144" s="548"/>
      <c r="SV144" s="548"/>
      <c r="SW144" s="548"/>
      <c r="SX144" s="548"/>
      <c r="SY144" s="548"/>
      <c r="SZ144" s="548"/>
      <c r="TA144" s="548"/>
      <c r="TB144" s="548"/>
      <c r="TC144" s="548"/>
      <c r="TD144" s="548"/>
      <c r="TE144" s="548"/>
      <c r="TF144" s="548"/>
      <c r="TG144" s="548"/>
      <c r="TH144" s="548"/>
      <c r="TI144" s="548"/>
      <c r="TJ144" s="548"/>
      <c r="TK144" s="548"/>
      <c r="TL144" s="548"/>
      <c r="TM144" s="548"/>
      <c r="TN144" s="548"/>
      <c r="TO144" s="548"/>
      <c r="TP144" s="548"/>
      <c r="TQ144" s="548"/>
      <c r="TR144" s="548"/>
      <c r="TS144" s="548"/>
      <c r="TT144" s="548"/>
      <c r="TU144" s="548"/>
      <c r="TV144" s="548"/>
      <c r="TW144" s="548"/>
      <c r="TX144" s="548"/>
      <c r="TY144" s="548"/>
      <c r="TZ144" s="548"/>
      <c r="UA144" s="548"/>
      <c r="UB144" s="548"/>
      <c r="UC144" s="548"/>
      <c r="UD144" s="548"/>
      <c r="UE144" s="548"/>
      <c r="UF144" s="548"/>
      <c r="UG144" s="548"/>
      <c r="UH144" s="548"/>
      <c r="UI144" s="548"/>
      <c r="UJ144" s="548"/>
      <c r="UK144" s="548"/>
      <c r="UL144" s="548"/>
      <c r="UM144" s="548"/>
      <c r="UN144" s="548"/>
      <c r="UO144" s="548"/>
      <c r="UP144" s="548"/>
      <c r="UQ144" s="548"/>
      <c r="UR144" s="548"/>
      <c r="US144" s="548"/>
      <c r="UT144" s="548"/>
      <c r="UU144" s="548"/>
      <c r="UV144" s="548"/>
      <c r="UW144" s="548"/>
      <c r="UX144" s="548"/>
      <c r="UY144" s="548"/>
      <c r="UZ144" s="548"/>
      <c r="VA144" s="548"/>
      <c r="VB144" s="548"/>
      <c r="VC144" s="548"/>
      <c r="VD144" s="548"/>
      <c r="VE144" s="548"/>
      <c r="VF144" s="548"/>
      <c r="VG144" s="548"/>
      <c r="VH144" s="548"/>
      <c r="VI144" s="548"/>
      <c r="VJ144" s="548"/>
      <c r="VK144" s="548"/>
      <c r="VL144" s="548"/>
      <c r="VM144" s="548"/>
      <c r="VN144" s="548"/>
      <c r="VO144" s="548"/>
      <c r="VP144" s="548"/>
      <c r="VQ144" s="548"/>
      <c r="VR144" s="548"/>
      <c r="VS144" s="548"/>
      <c r="VT144" s="548"/>
      <c r="VU144" s="548"/>
      <c r="VV144" s="548"/>
      <c r="VW144" s="548"/>
      <c r="VX144" s="548"/>
      <c r="VY144" s="548"/>
      <c r="VZ144" s="548"/>
      <c r="WA144" s="548"/>
      <c r="WB144" s="548"/>
      <c r="WC144" s="548"/>
      <c r="WD144" s="548"/>
      <c r="WE144" s="548"/>
      <c r="WF144" s="548"/>
      <c r="WG144" s="548"/>
      <c r="WH144" s="548"/>
      <c r="WI144" s="548"/>
      <c r="WJ144" s="548"/>
      <c r="WK144" s="548"/>
      <c r="WL144" s="548"/>
      <c r="WM144" s="548"/>
      <c r="WN144" s="548"/>
      <c r="WO144" s="548"/>
      <c r="WP144" s="548"/>
      <c r="WQ144" s="548"/>
      <c r="WR144" s="548"/>
      <c r="WS144" s="548"/>
      <c r="WT144" s="548"/>
      <c r="WU144" s="548"/>
      <c r="WV144" s="548"/>
      <c r="WW144" s="548"/>
      <c r="WX144" s="548"/>
      <c r="WY144" s="548"/>
      <c r="WZ144" s="548"/>
      <c r="XA144" s="548"/>
      <c r="XB144" s="548"/>
      <c r="XC144" s="548"/>
      <c r="XD144" s="548"/>
      <c r="XE144" s="548"/>
      <c r="XF144" s="548"/>
      <c r="XG144" s="548"/>
      <c r="XH144" s="548"/>
      <c r="XI144" s="548"/>
      <c r="XJ144" s="548"/>
      <c r="XK144" s="548"/>
      <c r="XL144" s="548"/>
      <c r="XM144" s="548"/>
      <c r="XN144" s="548"/>
      <c r="XO144" s="548"/>
      <c r="XP144" s="548"/>
      <c r="XQ144" s="548"/>
      <c r="XR144" s="548"/>
      <c r="XS144" s="548"/>
      <c r="XT144" s="548"/>
      <c r="XU144" s="548"/>
      <c r="XV144" s="548"/>
      <c r="XW144" s="548"/>
      <c r="XX144" s="548"/>
      <c r="XY144" s="548"/>
      <c r="XZ144" s="548"/>
      <c r="YA144" s="548"/>
      <c r="YB144" s="548"/>
      <c r="YC144" s="548"/>
      <c r="YD144" s="548"/>
      <c r="YE144" s="548"/>
      <c r="YF144" s="548"/>
      <c r="YG144" s="548"/>
      <c r="YH144" s="548"/>
      <c r="YI144" s="548"/>
      <c r="YJ144" s="548"/>
      <c r="YK144" s="548"/>
      <c r="YL144" s="548"/>
      <c r="YM144" s="548"/>
      <c r="YN144" s="548"/>
      <c r="YO144" s="548"/>
      <c r="YP144" s="548"/>
      <c r="YQ144" s="548"/>
      <c r="YR144" s="548"/>
      <c r="YS144" s="548"/>
      <c r="YT144" s="548"/>
      <c r="YU144" s="548"/>
      <c r="YV144" s="548"/>
      <c r="YW144" s="548"/>
      <c r="YX144" s="548"/>
      <c r="YY144" s="548"/>
      <c r="YZ144" s="548"/>
      <c r="ZA144" s="548"/>
      <c r="ZB144" s="548"/>
      <c r="ZC144" s="548"/>
      <c r="ZD144" s="548"/>
      <c r="ZE144" s="548"/>
      <c r="ZF144" s="548"/>
      <c r="ZG144" s="548"/>
      <c r="ZH144" s="548"/>
      <c r="ZI144" s="548"/>
      <c r="ZJ144" s="548"/>
      <c r="ZK144" s="548"/>
      <c r="ZL144" s="548"/>
      <c r="ZM144" s="548"/>
      <c r="ZN144" s="548"/>
      <c r="ZO144" s="548"/>
      <c r="ZP144" s="548"/>
      <c r="ZQ144" s="548"/>
      <c r="ZR144" s="548"/>
      <c r="ZS144" s="548"/>
      <c r="ZT144" s="548"/>
      <c r="ZU144" s="548"/>
      <c r="ZV144" s="548"/>
      <c r="ZW144" s="548"/>
      <c r="ZX144" s="548"/>
      <c r="ZY144" s="548"/>
      <c r="ZZ144" s="548"/>
      <c r="AAA144" s="548"/>
      <c r="AAB144" s="548"/>
      <c r="AAC144" s="548"/>
      <c r="AAD144" s="548"/>
      <c r="AAE144" s="548"/>
      <c r="AAF144" s="548"/>
      <c r="AAG144" s="548"/>
      <c r="AAH144" s="548"/>
      <c r="AAI144" s="548"/>
      <c r="AAJ144" s="548"/>
      <c r="AAK144" s="548"/>
      <c r="AAL144" s="548"/>
      <c r="AAM144" s="548"/>
      <c r="AAN144" s="548"/>
      <c r="AAO144" s="548"/>
      <c r="AAP144" s="548"/>
      <c r="AAQ144" s="548"/>
      <c r="AAR144" s="548"/>
      <c r="AAS144" s="548"/>
      <c r="AAT144" s="548"/>
      <c r="AAU144" s="548"/>
      <c r="AAV144" s="548"/>
      <c r="AAW144" s="548"/>
      <c r="AAX144" s="548"/>
      <c r="AAY144" s="548"/>
      <c r="AAZ144" s="548"/>
      <c r="ABA144" s="548"/>
      <c r="ABB144" s="548"/>
      <c r="ABC144" s="548"/>
      <c r="ABD144" s="548"/>
      <c r="ABE144" s="548"/>
      <c r="ABF144" s="548"/>
      <c r="ABG144" s="548"/>
      <c r="ABH144" s="548"/>
      <c r="ABI144" s="548"/>
      <c r="ABJ144" s="548"/>
      <c r="ABK144" s="548"/>
      <c r="ABL144" s="548"/>
      <c r="ABM144" s="548"/>
      <c r="ABN144" s="548"/>
      <c r="ABO144" s="548"/>
      <c r="ABP144" s="548"/>
      <c r="ABQ144" s="548"/>
      <c r="ABR144" s="548"/>
      <c r="ABS144" s="548"/>
    </row>
    <row r="145" spans="1:747" customFormat="1" ht="15" customHeight="1" x14ac:dyDescent="0.2">
      <c r="A145" s="424" t="str">
        <f t="shared" si="1687"/>
        <v/>
      </c>
      <c r="B145" s="415"/>
      <c r="C145" s="525"/>
      <c r="D145" s="750"/>
      <c r="E145" s="416" t="str">
        <f t="shared" si="1529"/>
        <v/>
      </c>
      <c r="F145" s="527" t="str">
        <f t="shared" si="1530"/>
        <v/>
      </c>
      <c r="G145" s="417"/>
      <c r="H145" s="585" t="str">
        <f t="shared" si="1531"/>
        <v/>
      </c>
      <c r="I145" s="424"/>
      <c r="J145" s="419"/>
      <c r="K145" s="418"/>
      <c r="L145" s="419"/>
      <c r="M145" s="415"/>
      <c r="N145" s="420"/>
      <c r="O145" s="421"/>
      <c r="P145" s="561"/>
      <c r="Q145" s="422"/>
      <c r="R145" s="561" t="str">
        <f t="shared" si="1532"/>
        <v/>
      </c>
      <c r="S145" s="664"/>
      <c r="T145" s="663"/>
      <c r="U145" s="580">
        <f t="shared" si="1533"/>
        <v>0</v>
      </c>
      <c r="V145" s="418"/>
      <c r="W145" s="582" t="str">
        <f t="shared" si="1534"/>
        <v/>
      </c>
      <c r="X145" s="479" t="str">
        <f t="shared" si="1535"/>
        <v/>
      </c>
      <c r="Y145" s="582" t="str">
        <f t="shared" si="1536"/>
        <v/>
      </c>
      <c r="Z145" s="317" t="str">
        <f t="shared" si="1537"/>
        <v/>
      </c>
      <c r="AA145" s="317" t="str">
        <f t="shared" si="1538"/>
        <v/>
      </c>
      <c r="AB145" s="317">
        <f t="shared" si="1539"/>
        <v>0</v>
      </c>
      <c r="AC145" s="317" t="str">
        <f t="shared" si="1540"/>
        <v/>
      </c>
      <c r="AD145" s="479"/>
      <c r="AE145" s="479"/>
      <c r="AF145" s="479"/>
      <c r="AG145" s="423"/>
      <c r="AH145" s="820"/>
      <c r="AI145" s="437"/>
      <c r="AJ145" s="660"/>
      <c r="AK145" s="524" t="str">
        <f t="shared" si="1541"/>
        <v/>
      </c>
      <c r="AL145" s="731">
        <f>SUMIF($J$4:$J$158,"Livre Aplic.",$S$4:$S$158)</f>
        <v>0</v>
      </c>
      <c r="AM145" s="732">
        <f>SUMIF($J$4:$J$158,"Livre Aplic.",$T$4:$T$158)</f>
        <v>0</v>
      </c>
      <c r="AN145" s="426">
        <f t="shared" si="1542"/>
        <v>0</v>
      </c>
      <c r="AO145" s="427" t="str">
        <f t="shared" si="1543"/>
        <v/>
      </c>
      <c r="AP145" s="426" t="str">
        <f t="shared" si="1544"/>
        <v/>
      </c>
      <c r="AQ145" s="426"/>
      <c r="AR145" s="426"/>
      <c r="AS145" s="428"/>
      <c r="AT145" s="429"/>
      <c r="AU145" s="430"/>
      <c r="AV145" s="431"/>
      <c r="AW145" s="432"/>
      <c r="AX145" s="430"/>
      <c r="AY145" s="431">
        <f t="shared" si="1545"/>
        <v>0</v>
      </c>
      <c r="AZ145" s="426"/>
      <c r="BA145" s="435" t="str">
        <f t="shared" si="1546"/>
        <v/>
      </c>
      <c r="BB145" s="435"/>
      <c r="BC145" s="426"/>
      <c r="BD145" s="426">
        <f t="array" ref="BD145">IF(SUM((BC145=$BC$3:BC144)*1)=0,BC145,0)</f>
        <v>0</v>
      </c>
      <c r="BE145" s="426"/>
      <c r="BF145" s="426"/>
      <c r="BG145" s="426">
        <f t="array" ref="BG145">IF(SUM((BF145=$BF$3:BF144)*1)=0,BF145,0)</f>
        <v>0</v>
      </c>
      <c r="BH145" s="426"/>
      <c r="BI145" s="426"/>
      <c r="BJ145" s="426"/>
      <c r="BK145" s="426"/>
      <c r="BL145" s="426"/>
      <c r="BM145" s="426"/>
      <c r="BN145" s="426"/>
      <c r="BO145" s="426"/>
      <c r="BP145" s="433">
        <f t="shared" si="1547"/>
        <v>0</v>
      </c>
      <c r="BQ145" s="426"/>
      <c r="BR145" s="434"/>
      <c r="BS145" s="426"/>
      <c r="BT145" s="433"/>
      <c r="BU145" s="435"/>
      <c r="BV145" s="435" t="str">
        <f t="shared" si="1548"/>
        <v/>
      </c>
      <c r="BW145" s="435" t="str">
        <f t="shared" si="1576"/>
        <v/>
      </c>
      <c r="BX145" s="435"/>
      <c r="BY145" s="435"/>
      <c r="BZ145" s="435"/>
      <c r="CA145" s="435"/>
      <c r="CB145" s="435"/>
      <c r="CC145" s="435"/>
      <c r="CD145" s="435"/>
      <c r="CE145" s="435"/>
      <c r="CF145" s="435"/>
      <c r="CG145" s="435"/>
      <c r="CH145" s="435"/>
      <c r="CI145" s="435"/>
      <c r="CJ145" s="426" t="str">
        <f t="shared" si="1577"/>
        <v/>
      </c>
      <c r="CK145" s="435"/>
      <c r="CL145" s="426"/>
      <c r="CM145" s="435"/>
      <c r="CN145" s="426"/>
      <c r="CO145" s="426"/>
      <c r="CP145" s="426"/>
      <c r="CQ145" s="426"/>
      <c r="CR145" s="426"/>
      <c r="CS145" s="426"/>
      <c r="CT145" s="426"/>
      <c r="CU145" s="426"/>
      <c r="CV145" s="426"/>
      <c r="CW145" s="493"/>
      <c r="CX145" s="493"/>
      <c r="CY145" s="426">
        <v>142</v>
      </c>
      <c r="CZ145" s="493"/>
      <c r="DA145" s="493"/>
      <c r="DB145" s="493"/>
      <c r="DC145" s="426" t="s">
        <v>885</v>
      </c>
      <c r="DD145" s="426" t="s">
        <v>1045</v>
      </c>
      <c r="DE145" s="435" t="str">
        <f t="shared" si="1578"/>
        <v/>
      </c>
      <c r="DF145" s="435" t="str">
        <f t="shared" si="1579"/>
        <v/>
      </c>
      <c r="DG145" s="435" t="str">
        <f t="shared" si="1580"/>
        <v/>
      </c>
      <c r="DH145" s="435" t="str">
        <f t="shared" si="1581"/>
        <v/>
      </c>
      <c r="DI145" s="435" t="str">
        <f t="shared" si="1582"/>
        <v/>
      </c>
      <c r="DJ145" s="435" t="str">
        <f t="shared" si="1583"/>
        <v/>
      </c>
      <c r="DK145" s="435" t="str">
        <f t="shared" si="1549"/>
        <v/>
      </c>
      <c r="DL145" s="435" t="str">
        <f t="shared" si="1550"/>
        <v/>
      </c>
      <c r="DM145" s="435" t="str">
        <f t="shared" si="1584"/>
        <v/>
      </c>
      <c r="DN145" s="435" t="str">
        <f t="shared" si="1585"/>
        <v/>
      </c>
      <c r="DO145" s="435" t="str">
        <f t="shared" si="1551"/>
        <v/>
      </c>
      <c r="DP145" s="435" t="str">
        <f t="shared" si="1552"/>
        <v/>
      </c>
      <c r="DQ145" s="435" t="str">
        <f t="shared" si="1586"/>
        <v/>
      </c>
      <c r="DR145" s="435" t="str">
        <f t="shared" si="1587"/>
        <v/>
      </c>
      <c r="DS145" s="435" t="str">
        <f t="shared" si="1553"/>
        <v/>
      </c>
      <c r="DT145" s="435" t="str">
        <f t="shared" si="1554"/>
        <v/>
      </c>
      <c r="DU145" s="435" t="str">
        <f t="shared" si="1588"/>
        <v/>
      </c>
      <c r="DV145" s="435" t="str">
        <f t="shared" si="1589"/>
        <v/>
      </c>
      <c r="DW145" s="435" t="str">
        <f t="shared" si="1555"/>
        <v/>
      </c>
      <c r="DX145" s="435" t="str">
        <f t="shared" si="1556"/>
        <v/>
      </c>
      <c r="DY145" s="435" t="str">
        <f t="shared" si="1590"/>
        <v/>
      </c>
      <c r="DZ145" s="435" t="str">
        <f t="shared" si="1591"/>
        <v/>
      </c>
      <c r="EA145" s="435" t="str">
        <f t="shared" si="1557"/>
        <v/>
      </c>
      <c r="EB145" s="435" t="str">
        <f t="shared" si="1558"/>
        <v/>
      </c>
      <c r="EC145" s="435" t="str">
        <f t="shared" si="1559"/>
        <v/>
      </c>
      <c r="ED145" s="435" t="str">
        <f t="shared" si="1560"/>
        <v/>
      </c>
      <c r="EE145" s="435" t="str">
        <f t="shared" si="1561"/>
        <v/>
      </c>
      <c r="EF145" s="435" t="str">
        <f t="shared" si="1562"/>
        <v/>
      </c>
      <c r="EG145" s="435" t="str">
        <f t="shared" si="1563"/>
        <v/>
      </c>
      <c r="EH145" s="435" t="str">
        <f t="shared" si="1564"/>
        <v/>
      </c>
      <c r="EI145" s="435" t="str">
        <f t="shared" si="1565"/>
        <v/>
      </c>
      <c r="EJ145" s="435" t="str">
        <f t="shared" si="1566"/>
        <v/>
      </c>
      <c r="EK145" s="485"/>
      <c r="EL145" s="485"/>
      <c r="EM145" s="485"/>
      <c r="EN145" s="485"/>
      <c r="EO145" s="448"/>
      <c r="EP145" s="448"/>
      <c r="EQ145" s="448"/>
      <c r="ER145" s="448"/>
      <c r="ES145" s="448"/>
      <c r="ET145" s="435"/>
      <c r="EU145" s="435"/>
      <c r="EV145" s="435"/>
      <c r="EW145" s="435"/>
      <c r="EX145" s="426"/>
      <c r="EY145" s="426"/>
      <c r="EZ145" s="426"/>
      <c r="FA145" s="863"/>
      <c r="FB145" s="427">
        <f t="array" ref="FB145">IF(SUM((FA145=$FA$3:FA144)*1)=0,FA145,0)</f>
        <v>0</v>
      </c>
      <c r="FC145" s="863"/>
      <c r="FD145" s="863"/>
      <c r="FE145" s="863">
        <f t="array" ref="FE145">IF(SUM((FD145=$FD$3:FD144)*1)=0,FD145,0)</f>
        <v>0</v>
      </c>
      <c r="FF145" s="863"/>
      <c r="FG145" s="863"/>
      <c r="FH145" s="863"/>
      <c r="FI145" s="427">
        <f t="array" ref="FI145">IF(SUM((FH145=$FH$3:FH144)*1)=0,FH145,0)</f>
        <v>0</v>
      </c>
      <c r="FJ145" s="863"/>
      <c r="FK145" s="863"/>
      <c r="FL145" s="863">
        <f t="array" ref="FL145">IF(SUM((FK145=$FK$3:FK144)*1)=0,FK145,0)</f>
        <v>0</v>
      </c>
      <c r="FM145" s="863"/>
      <c r="FN145" s="863"/>
      <c r="FO145" s="863"/>
      <c r="FP145" s="427">
        <f t="array" ref="FP145">IF(SUM((FO145=$FO$3:FO144)*1)=0,FO145,0)</f>
        <v>0</v>
      </c>
      <c r="FQ145" s="863"/>
      <c r="FR145" s="863"/>
      <c r="FS145" s="863">
        <f t="array" ref="FS145">IF(SUM((FR145=$FR$3:FR144)*1)=0,FR145,0)</f>
        <v>0</v>
      </c>
      <c r="FT145" s="863"/>
      <c r="FU145" s="863"/>
      <c r="FV145" s="863"/>
      <c r="FW145" s="427">
        <f t="array" ref="FW145">IF(SUM((FV145=$FV$3:FV144)*1)=0,FV145,0)</f>
        <v>0</v>
      </c>
      <c r="FX145" s="863"/>
      <c r="FY145" s="863"/>
      <c r="FZ145" s="863">
        <f t="array" ref="FZ145">IF(SUM((FY145=$FY$3:FY144)*1)=0,FY145,0)</f>
        <v>0</v>
      </c>
      <c r="GA145" s="863"/>
      <c r="GB145" s="863"/>
      <c r="GC145" s="863"/>
      <c r="GD145" s="427">
        <f t="array" ref="GD145">IF(SUM((GC145=$GC$3:GC144)*1)=0,GC145,0)</f>
        <v>0</v>
      </c>
      <c r="GE145" s="863"/>
      <c r="GF145" s="863"/>
      <c r="GG145" s="863">
        <f t="array" ref="GG145">IF(SUM((GF145=$GF$3:GF144)*1)=0,GF145,0)</f>
        <v>0</v>
      </c>
      <c r="GH145" s="863"/>
      <c r="GI145" s="863"/>
      <c r="GJ145" s="863"/>
      <c r="GK145" s="798">
        <f t="array" ref="GK145">IF(SUM((GJ145=$GJ$3:GJ144)*1)=0,GJ145,0)</f>
        <v>0</v>
      </c>
      <c r="GL145" s="863"/>
      <c r="GM145" s="863"/>
      <c r="GN145" s="798">
        <f t="array" ref="GN145">IF(SUM((GM145=$GM$3:GM144)*1)=0,GM145,0)</f>
        <v>0</v>
      </c>
      <c r="GO145" s="863"/>
      <c r="GP145" s="863"/>
      <c r="GQ145" s="863"/>
      <c r="GR145" s="798">
        <f t="array" ref="GR145">IF(SUM((GQ145=$GQ$3:GQ144)*1)=0,GQ145,0)</f>
        <v>0</v>
      </c>
      <c r="GS145" s="863"/>
      <c r="GT145" s="863"/>
      <c r="GU145" s="798">
        <f t="array" ref="GU145">IF(SUM((GT145=$GT$3:GT144)*1)=0,GT145,0)</f>
        <v>0</v>
      </c>
      <c r="GV145" s="863"/>
      <c r="GW145" s="863"/>
      <c r="GX145" s="863"/>
      <c r="GY145" s="798">
        <f t="array" ref="GY145">IF(SUM((GX145=$GX$3:GX144)*1)=0,GX145,0)</f>
        <v>0</v>
      </c>
      <c r="GZ145" s="863"/>
      <c r="HA145" s="863"/>
      <c r="HB145" s="798">
        <f t="array" ref="HB145">IF(SUM((HA145=$HA$3:HA144)*1)=0,HA145,0)</f>
        <v>0</v>
      </c>
      <c r="HC145" s="863"/>
      <c r="HD145" s="863"/>
      <c r="HE145" s="769" t="str">
        <f t="shared" si="1667"/>
        <v/>
      </c>
      <c r="HF145" s="768" t="str">
        <f t="shared" ref="HF145" si="1778">IF(HE145&lt;0,"Invadiu REP-BA-C","")</f>
        <v/>
      </c>
      <c r="HG145" s="769" t="str">
        <f t="shared" si="1669"/>
        <v/>
      </c>
      <c r="HH145" s="768" t="str">
        <f t="shared" si="1593"/>
        <v/>
      </c>
      <c r="HI145" s="728" t="str">
        <f t="shared" si="1670"/>
        <v/>
      </c>
      <c r="HJ145" s="768" t="str">
        <f t="shared" si="1594"/>
        <v/>
      </c>
      <c r="HK145" s="728" t="str">
        <f t="shared" si="1671"/>
        <v/>
      </c>
      <c r="HL145" s="768" t="str">
        <f t="shared" si="1595"/>
        <v/>
      </c>
      <c r="HM145" s="769" t="str">
        <f t="shared" si="1596"/>
        <v/>
      </c>
      <c r="HN145" s="768" t="str">
        <f t="shared" ref="HN145" si="1779">IF(HM145&lt;0,"Invadiu REP-BA-C","")</f>
        <v/>
      </c>
      <c r="HO145" s="769" t="str">
        <f t="shared" si="1598"/>
        <v/>
      </c>
      <c r="HP145" s="768" t="str">
        <f t="shared" si="1599"/>
        <v/>
      </c>
      <c r="HQ145" s="728" t="str">
        <f t="shared" si="1600"/>
        <v/>
      </c>
      <c r="HR145" s="768" t="str">
        <f t="shared" si="1601"/>
        <v/>
      </c>
      <c r="HS145" s="728" t="str">
        <f t="shared" si="1602"/>
        <v/>
      </c>
      <c r="HT145" s="768" t="str">
        <f t="shared" si="1603"/>
        <v/>
      </c>
      <c r="HU145" s="769" t="str">
        <f t="shared" si="1604"/>
        <v/>
      </c>
      <c r="HV145" s="768" t="str">
        <f t="shared" ref="HV145" si="1780">IF(HU145&lt;0,"Invadiu REP-BA-C","")</f>
        <v/>
      </c>
      <c r="HW145" s="769" t="str">
        <f t="shared" si="1606"/>
        <v/>
      </c>
      <c r="HX145" s="768" t="str">
        <f t="shared" si="1607"/>
        <v/>
      </c>
      <c r="HY145" s="728" t="str">
        <f t="shared" si="1608"/>
        <v/>
      </c>
      <c r="HZ145" s="768" t="str">
        <f t="shared" si="1609"/>
        <v/>
      </c>
      <c r="IA145" s="728" t="str">
        <f t="shared" si="1610"/>
        <v/>
      </c>
      <c r="IB145" s="768" t="str">
        <f t="shared" si="1611"/>
        <v/>
      </c>
      <c r="IC145" s="769" t="str">
        <f t="shared" si="1612"/>
        <v/>
      </c>
      <c r="ID145" s="768" t="str">
        <f t="shared" ref="ID145" si="1781">IF(IC145&lt;0,"Invadiu REP-BA-C","")</f>
        <v/>
      </c>
      <c r="IE145" s="769" t="str">
        <f t="shared" si="1614"/>
        <v/>
      </c>
      <c r="IF145" s="768" t="str">
        <f t="shared" si="1615"/>
        <v/>
      </c>
      <c r="IG145" s="728" t="str">
        <f t="shared" si="1616"/>
        <v/>
      </c>
      <c r="IH145" s="768" t="str">
        <f t="shared" si="1617"/>
        <v/>
      </c>
      <c r="II145" s="728" t="str">
        <f t="shared" si="1618"/>
        <v/>
      </c>
      <c r="IJ145" s="768" t="str">
        <f t="shared" si="1619"/>
        <v/>
      </c>
      <c r="IK145" s="769" t="str">
        <f t="shared" si="1620"/>
        <v/>
      </c>
      <c r="IL145" s="768" t="str">
        <f t="shared" ref="IL145" si="1782">IF(IK145&lt;0,"Invadiu REP-BA-C","")</f>
        <v/>
      </c>
      <c r="IM145" s="769" t="str">
        <f t="shared" si="1622"/>
        <v/>
      </c>
      <c r="IN145" s="768" t="str">
        <f t="shared" si="1623"/>
        <v/>
      </c>
      <c r="IO145" s="728" t="str">
        <f t="shared" si="1624"/>
        <v/>
      </c>
      <c r="IP145" s="768" t="str">
        <f t="shared" si="1625"/>
        <v/>
      </c>
      <c r="IQ145" s="728" t="str">
        <f t="shared" si="1626"/>
        <v/>
      </c>
      <c r="IR145" s="768" t="str">
        <f t="shared" si="1627"/>
        <v/>
      </c>
      <c r="IS145" s="769" t="str">
        <f t="shared" si="1628"/>
        <v/>
      </c>
      <c r="IT145" s="768" t="str">
        <f t="shared" ref="IT145" si="1783">IF(IS145&lt;0,"Invadiu REP-BA-C","")</f>
        <v/>
      </c>
      <c r="IU145" s="769" t="str">
        <f t="shared" si="1630"/>
        <v/>
      </c>
      <c r="IV145" s="768" t="str">
        <f t="shared" si="1631"/>
        <v/>
      </c>
      <c r="IW145" s="728" t="str">
        <f t="shared" si="1632"/>
        <v/>
      </c>
      <c r="IX145" s="768" t="str">
        <f t="shared" si="1633"/>
        <v/>
      </c>
      <c r="IY145" s="728" t="str">
        <f t="shared" si="1634"/>
        <v/>
      </c>
      <c r="IZ145" s="768" t="str">
        <f t="shared" si="1635"/>
        <v/>
      </c>
      <c r="JA145" s="769" t="str">
        <f t="shared" si="1636"/>
        <v/>
      </c>
      <c r="JB145" s="768" t="str">
        <f t="shared" ref="JB145" si="1784">IF(JA145&lt;0,"Invadiu REP-BA-C","")</f>
        <v/>
      </c>
      <c r="JC145" s="769" t="str">
        <f t="shared" si="1638"/>
        <v/>
      </c>
      <c r="JD145" s="768" t="str">
        <f t="shared" si="1639"/>
        <v/>
      </c>
      <c r="JE145" s="728" t="str">
        <f t="shared" si="1640"/>
        <v/>
      </c>
      <c r="JF145" s="768" t="str">
        <f t="shared" si="1641"/>
        <v/>
      </c>
      <c r="JG145" s="728" t="str">
        <f t="shared" si="1642"/>
        <v/>
      </c>
      <c r="JH145" s="768" t="str">
        <f t="shared" si="1643"/>
        <v/>
      </c>
      <c r="JI145" s="769" t="str">
        <f t="shared" si="1644"/>
        <v/>
      </c>
      <c r="JJ145" s="768" t="str">
        <f t="shared" ref="JJ145" si="1785">IF(JI145&lt;0,"Invadiu REP-BA-C","")</f>
        <v/>
      </c>
      <c r="JK145" s="769" t="str">
        <f t="shared" si="1646"/>
        <v/>
      </c>
      <c r="JL145" s="768" t="str">
        <f t="shared" si="1647"/>
        <v/>
      </c>
      <c r="JM145" s="728" t="str">
        <f t="shared" si="1648"/>
        <v/>
      </c>
      <c r="JN145" s="768" t="str">
        <f t="shared" si="1649"/>
        <v/>
      </c>
      <c r="JO145" s="728" t="str">
        <f t="shared" si="1650"/>
        <v/>
      </c>
      <c r="JP145" s="768" t="str">
        <f t="shared" si="1651"/>
        <v/>
      </c>
      <c r="JQ145" s="769" t="str">
        <f t="shared" si="1652"/>
        <v/>
      </c>
      <c r="JR145" s="768" t="str">
        <f t="shared" ref="JR145" si="1786">IF(JQ145&lt;0,"Invadiu REP-BA-C","")</f>
        <v/>
      </c>
      <c r="JS145" s="769" t="str">
        <f t="shared" si="1654"/>
        <v/>
      </c>
      <c r="JT145" s="768" t="str">
        <f t="shared" si="1655"/>
        <v/>
      </c>
      <c r="JU145" s="728" t="str">
        <f t="shared" si="1656"/>
        <v/>
      </c>
      <c r="JV145" s="768" t="str">
        <f t="shared" si="1657"/>
        <v/>
      </c>
      <c r="JW145" s="728" t="str">
        <f t="shared" si="1658"/>
        <v/>
      </c>
      <c r="JX145" s="768" t="str">
        <f t="shared" si="1659"/>
        <v/>
      </c>
      <c r="JY145" s="768" t="str">
        <f t="shared" si="1660"/>
        <v/>
      </c>
      <c r="JZ145" s="485" t="str">
        <f>IF(JY145="","",IF(AND(C145=$C$164,JY145&lt;&gt;""),Verificarcpf(D145),IF(AND(C145=$C$165,JY145&lt;&gt;""),VerificarCNPJ(D145))))</f>
        <v/>
      </c>
      <c r="KA145" s="768" t="str">
        <f t="shared" si="1661"/>
        <v/>
      </c>
      <c r="KB145" s="485">
        <f t="shared" si="1662"/>
        <v>0</v>
      </c>
      <c r="KC145" s="768">
        <f t="shared" si="1663"/>
        <v>0</v>
      </c>
      <c r="KD145" s="485">
        <f t="shared" si="1664"/>
        <v>0</v>
      </c>
      <c r="KE145" s="448"/>
      <c r="KF145" s="548"/>
      <c r="KG145" s="548"/>
      <c r="KH145" s="548"/>
      <c r="KI145" s="548"/>
      <c r="KJ145" s="548" t="str">
        <f t="shared" si="1665"/>
        <v/>
      </c>
      <c r="KK145" s="548"/>
      <c r="KL145" s="548"/>
      <c r="KM145" s="548">
        <f t="array" ref="KM145">IF(SUM((KL145=$KL$3:KL144)*1)=0,KL145,0)</f>
        <v>0</v>
      </c>
      <c r="KN145" s="548"/>
      <c r="KO145" s="548"/>
      <c r="KP145" s="548"/>
      <c r="KQ145" s="548"/>
      <c r="KR145" s="548" t="str">
        <f t="shared" si="1666"/>
        <v/>
      </c>
      <c r="KS145" s="548"/>
      <c r="KT145" s="548"/>
      <c r="KU145" s="548"/>
      <c r="KV145" s="548"/>
      <c r="KW145" s="548"/>
      <c r="KX145" s="548"/>
      <c r="KY145" s="548"/>
      <c r="KZ145" s="548"/>
      <c r="LA145" s="548"/>
      <c r="LB145" s="548"/>
      <c r="LC145" s="485" t="str">
        <f t="shared" si="1680"/>
        <v/>
      </c>
      <c r="LD145" s="548"/>
      <c r="LE145" s="548"/>
      <c r="LF145" s="548"/>
      <c r="LG145" s="548"/>
      <c r="LH145" s="548"/>
      <c r="LI145" s="548"/>
      <c r="LJ145" s="548"/>
      <c r="LK145" s="548"/>
      <c r="LL145" s="548"/>
      <c r="LM145" s="548"/>
      <c r="LN145" s="548"/>
      <c r="LO145" s="548"/>
      <c r="LP145" s="485" t="str">
        <f t="shared" si="1681"/>
        <v/>
      </c>
      <c r="LQ145" s="548"/>
      <c r="LR145" s="548"/>
      <c r="LS145" s="548"/>
      <c r="LT145" s="548"/>
      <c r="LU145" s="548"/>
      <c r="LV145" s="548"/>
      <c r="LW145" s="548"/>
      <c r="LX145" s="548"/>
      <c r="LY145" s="548"/>
      <c r="LZ145" s="548"/>
      <c r="MA145" s="548"/>
      <c r="MB145" s="548"/>
      <c r="MC145" s="485" t="str">
        <f t="shared" si="1682"/>
        <v/>
      </c>
      <c r="MD145" s="548"/>
      <c r="ME145" s="548"/>
      <c r="MF145" s="548"/>
      <c r="MG145" s="548"/>
      <c r="MH145" s="548"/>
      <c r="MI145" s="548"/>
      <c r="MJ145" s="548"/>
      <c r="MK145" s="548"/>
      <c r="ML145" s="548"/>
      <c r="MM145" s="548"/>
      <c r="MN145" s="548"/>
      <c r="MO145" s="548"/>
      <c r="MP145" s="485" t="str">
        <f t="shared" si="1683"/>
        <v/>
      </c>
      <c r="MQ145" s="548"/>
      <c r="MR145" s="548"/>
      <c r="MS145" s="548"/>
      <c r="MT145" s="548"/>
      <c r="MU145" s="548"/>
      <c r="MV145" s="548"/>
      <c r="MW145" s="548"/>
      <c r="MX145" s="548"/>
      <c r="MY145" s="548"/>
      <c r="MZ145" s="548"/>
      <c r="NA145" s="548"/>
      <c r="NB145" s="548"/>
      <c r="NC145" s="485" t="str">
        <f t="shared" si="1684"/>
        <v/>
      </c>
      <c r="ND145" s="548"/>
      <c r="NE145" s="548"/>
      <c r="NF145" s="548"/>
      <c r="NG145" s="548"/>
      <c r="NH145" s="548"/>
      <c r="NI145" s="548"/>
      <c r="NJ145" s="548"/>
      <c r="NK145" s="548"/>
      <c r="NL145" s="548"/>
      <c r="NM145" s="548"/>
      <c r="NN145" s="548"/>
      <c r="NO145" s="548"/>
      <c r="NP145" s="485" t="str">
        <f t="shared" si="1685"/>
        <v/>
      </c>
      <c r="NQ145" s="548"/>
      <c r="NR145" s="548"/>
      <c r="NS145" s="548"/>
      <c r="NT145" s="548"/>
      <c r="NU145" s="548"/>
      <c r="NV145" s="548"/>
      <c r="NW145" s="548"/>
      <c r="NX145" s="548"/>
      <c r="NY145" s="548"/>
      <c r="NZ145" s="548"/>
      <c r="OA145" s="548"/>
      <c r="OB145" s="548"/>
      <c r="OC145" s="485" t="str">
        <f t="shared" si="1686"/>
        <v/>
      </c>
      <c r="OD145" s="548"/>
      <c r="OE145" s="548"/>
      <c r="OF145" s="548"/>
      <c r="OG145" s="548"/>
      <c r="OH145" s="548"/>
      <c r="OI145" s="548"/>
      <c r="OJ145" s="548"/>
      <c r="OK145" s="548"/>
      <c r="OL145" s="548"/>
      <c r="OM145" s="548"/>
      <c r="ON145" s="548"/>
      <c r="OO145" s="548"/>
      <c r="OP145" s="548"/>
      <c r="OQ145" s="548"/>
      <c r="OR145" s="548"/>
      <c r="OS145" s="548"/>
      <c r="OT145" s="548"/>
      <c r="OU145" s="548"/>
      <c r="OV145" s="548"/>
      <c r="OW145" s="548"/>
      <c r="OX145" s="548"/>
      <c r="OY145" s="548"/>
      <c r="OZ145" s="548"/>
      <c r="PA145" s="548"/>
      <c r="PB145" s="548"/>
      <c r="PC145" s="548"/>
      <c r="PD145" s="548"/>
      <c r="PE145" s="548"/>
      <c r="PF145" s="548"/>
      <c r="PG145" s="548"/>
      <c r="PH145" s="548"/>
      <c r="PI145" s="548"/>
      <c r="PJ145" s="548"/>
      <c r="PK145" s="548"/>
      <c r="PL145" s="548"/>
      <c r="PM145" s="548"/>
      <c r="PN145" s="548"/>
      <c r="PO145" s="548"/>
      <c r="PP145" s="548"/>
      <c r="PQ145" s="548"/>
      <c r="PR145" s="548"/>
      <c r="PS145" s="548"/>
      <c r="PT145" s="548"/>
      <c r="PU145" s="548"/>
      <c r="PV145" s="548"/>
      <c r="PW145" s="548"/>
      <c r="PX145" s="548"/>
      <c r="PY145" s="548"/>
      <c r="PZ145" s="548"/>
      <c r="QA145" s="548"/>
      <c r="QB145" s="548"/>
      <c r="QC145" s="548"/>
      <c r="QD145" s="548"/>
      <c r="QE145" s="548"/>
      <c r="QF145" s="548"/>
      <c r="QG145" s="548"/>
      <c r="QH145" s="548"/>
      <c r="QI145" s="548"/>
      <c r="QJ145" s="548"/>
      <c r="QK145" s="548"/>
      <c r="QL145" s="548"/>
      <c r="QM145" s="548"/>
      <c r="QN145" s="548"/>
      <c r="QO145" s="548"/>
      <c r="QP145" s="548"/>
      <c r="QQ145" s="1009"/>
      <c r="QR145" s="548"/>
      <c r="QS145" s="548"/>
      <c r="QT145" s="548"/>
      <c r="QU145" s="548"/>
      <c r="QV145" s="548"/>
      <c r="QW145" s="548"/>
      <c r="QX145" s="548"/>
      <c r="QY145" s="548"/>
      <c r="QZ145" s="548"/>
      <c r="RA145" s="548"/>
      <c r="RB145" s="548"/>
      <c r="RC145" s="548"/>
      <c r="RD145" s="548"/>
      <c r="RE145" s="548"/>
      <c r="RF145" s="548"/>
      <c r="RG145" s="548"/>
      <c r="RH145" s="548"/>
      <c r="RI145" s="548"/>
      <c r="RJ145" s="548"/>
      <c r="RK145" s="548"/>
      <c r="RL145" s="548"/>
      <c r="RM145" s="548"/>
      <c r="RN145" s="548"/>
      <c r="RO145" s="548"/>
      <c r="RP145" s="548"/>
      <c r="RQ145" s="548"/>
      <c r="RR145" s="548"/>
      <c r="RS145" s="548"/>
      <c r="RT145" s="548"/>
      <c r="RU145" s="548"/>
      <c r="RV145" s="548"/>
      <c r="RW145" s="548"/>
      <c r="RX145" s="548"/>
      <c r="RY145" s="548"/>
      <c r="RZ145" s="548"/>
      <c r="SA145" s="548"/>
      <c r="SB145" s="548"/>
      <c r="SC145" s="548"/>
      <c r="SD145" s="548"/>
      <c r="SE145" s="548"/>
      <c r="SF145" s="548"/>
      <c r="SG145" s="548"/>
      <c r="SH145" s="548"/>
      <c r="SI145" s="548"/>
      <c r="SJ145" s="548"/>
      <c r="SK145" s="548"/>
      <c r="SL145" s="548"/>
      <c r="SM145" s="548"/>
      <c r="SN145" s="548"/>
      <c r="SO145" s="548"/>
      <c r="SP145" s="548"/>
      <c r="SQ145" s="548"/>
      <c r="SR145" s="548"/>
      <c r="SS145" s="548"/>
      <c r="ST145" s="548"/>
      <c r="SU145" s="548"/>
      <c r="SV145" s="548"/>
      <c r="SW145" s="548"/>
      <c r="SX145" s="548"/>
      <c r="SY145" s="548"/>
      <c r="SZ145" s="548"/>
      <c r="TA145" s="548"/>
      <c r="TB145" s="548"/>
      <c r="TC145" s="548"/>
      <c r="TD145" s="548"/>
      <c r="TE145" s="548"/>
      <c r="TF145" s="548"/>
      <c r="TG145" s="548"/>
      <c r="TH145" s="548"/>
      <c r="TI145" s="548"/>
      <c r="TJ145" s="548"/>
      <c r="TK145" s="548"/>
      <c r="TL145" s="548"/>
      <c r="TM145" s="548"/>
      <c r="TN145" s="548"/>
      <c r="TO145" s="548"/>
      <c r="TP145" s="548"/>
      <c r="TQ145" s="548"/>
      <c r="TR145" s="548"/>
      <c r="TS145" s="548"/>
      <c r="TT145" s="548"/>
      <c r="TU145" s="548"/>
      <c r="TV145" s="548"/>
      <c r="TW145" s="548"/>
      <c r="TX145" s="548"/>
      <c r="TY145" s="548"/>
      <c r="TZ145" s="548"/>
      <c r="UA145" s="548"/>
      <c r="UB145" s="548"/>
      <c r="UC145" s="548"/>
      <c r="UD145" s="548"/>
      <c r="UE145" s="548"/>
      <c r="UF145" s="548"/>
      <c r="UG145" s="548"/>
      <c r="UH145" s="548"/>
      <c r="UI145" s="548"/>
      <c r="UJ145" s="548"/>
      <c r="UK145" s="548"/>
      <c r="UL145" s="548"/>
      <c r="UM145" s="548"/>
      <c r="UN145" s="548"/>
      <c r="UO145" s="548"/>
      <c r="UP145" s="548"/>
      <c r="UQ145" s="548"/>
      <c r="UR145" s="548"/>
      <c r="US145" s="548"/>
      <c r="UT145" s="548"/>
      <c r="UU145" s="548"/>
      <c r="UV145" s="548"/>
      <c r="UW145" s="548"/>
      <c r="UX145" s="548"/>
      <c r="UY145" s="548"/>
      <c r="UZ145" s="548"/>
      <c r="VA145" s="548"/>
      <c r="VB145" s="548"/>
      <c r="VC145" s="548"/>
      <c r="VD145" s="548"/>
      <c r="VE145" s="548"/>
      <c r="VF145" s="548"/>
      <c r="VG145" s="548"/>
      <c r="VH145" s="548"/>
      <c r="VI145" s="548"/>
      <c r="VJ145" s="548"/>
      <c r="VK145" s="548"/>
      <c r="VL145" s="548"/>
      <c r="VM145" s="548"/>
      <c r="VN145" s="548"/>
      <c r="VO145" s="548"/>
      <c r="VP145" s="548"/>
      <c r="VQ145" s="548"/>
      <c r="VR145" s="548"/>
      <c r="VS145" s="548"/>
      <c r="VT145" s="548"/>
      <c r="VU145" s="548"/>
      <c r="VV145" s="548"/>
      <c r="VW145" s="548"/>
      <c r="VX145" s="548"/>
      <c r="VY145" s="548"/>
      <c r="VZ145" s="548"/>
      <c r="WA145" s="548"/>
      <c r="WB145" s="548"/>
      <c r="WC145" s="548"/>
      <c r="WD145" s="548"/>
      <c r="WE145" s="548"/>
      <c r="WF145" s="548"/>
      <c r="WG145" s="548"/>
      <c r="WH145" s="548"/>
      <c r="WI145" s="548"/>
      <c r="WJ145" s="548"/>
      <c r="WK145" s="548"/>
      <c r="WL145" s="548"/>
      <c r="WM145" s="548"/>
      <c r="WN145" s="548"/>
      <c r="WO145" s="548"/>
      <c r="WP145" s="548"/>
      <c r="WQ145" s="548"/>
      <c r="WR145" s="548"/>
      <c r="WS145" s="548"/>
      <c r="WT145" s="548"/>
      <c r="WU145" s="548"/>
      <c r="WV145" s="548"/>
      <c r="WW145" s="548"/>
      <c r="WX145" s="548"/>
      <c r="WY145" s="548"/>
      <c r="WZ145" s="548"/>
      <c r="XA145" s="548"/>
      <c r="XB145" s="548"/>
      <c r="XC145" s="548"/>
      <c r="XD145" s="548"/>
      <c r="XE145" s="548"/>
      <c r="XF145" s="548"/>
      <c r="XG145" s="548"/>
      <c r="XH145" s="548"/>
      <c r="XI145" s="548"/>
      <c r="XJ145" s="548"/>
      <c r="XK145" s="548"/>
      <c r="XL145" s="548"/>
      <c r="XM145" s="548"/>
      <c r="XN145" s="548"/>
      <c r="XO145" s="548"/>
      <c r="XP145" s="548"/>
      <c r="XQ145" s="548"/>
      <c r="XR145" s="548"/>
      <c r="XS145" s="548"/>
      <c r="XT145" s="548"/>
      <c r="XU145" s="548"/>
      <c r="XV145" s="548"/>
      <c r="XW145" s="548"/>
      <c r="XX145" s="548"/>
      <c r="XY145" s="548"/>
      <c r="XZ145" s="548"/>
      <c r="YA145" s="548"/>
      <c r="YB145" s="548"/>
      <c r="YC145" s="548"/>
      <c r="YD145" s="548"/>
      <c r="YE145" s="548"/>
      <c r="YF145" s="548"/>
      <c r="YG145" s="548"/>
      <c r="YH145" s="548"/>
      <c r="YI145" s="548"/>
      <c r="YJ145" s="548"/>
      <c r="YK145" s="548"/>
      <c r="YL145" s="548"/>
      <c r="YM145" s="548"/>
      <c r="YN145" s="548"/>
      <c r="YO145" s="548"/>
      <c r="YP145" s="548"/>
      <c r="YQ145" s="548"/>
      <c r="YR145" s="548"/>
      <c r="YS145" s="548"/>
      <c r="YT145" s="548"/>
      <c r="YU145" s="548"/>
      <c r="YV145" s="548"/>
      <c r="YW145" s="548"/>
      <c r="YX145" s="548"/>
      <c r="YY145" s="548"/>
      <c r="YZ145" s="548"/>
      <c r="ZA145" s="548"/>
      <c r="ZB145" s="548"/>
      <c r="ZC145" s="548"/>
      <c r="ZD145" s="548"/>
      <c r="ZE145" s="548"/>
      <c r="ZF145" s="548"/>
      <c r="ZG145" s="548"/>
      <c r="ZH145" s="548"/>
      <c r="ZI145" s="548"/>
      <c r="ZJ145" s="548"/>
      <c r="ZK145" s="548"/>
      <c r="ZL145" s="548"/>
      <c r="ZM145" s="548"/>
      <c r="ZN145" s="548"/>
      <c r="ZO145" s="548"/>
      <c r="ZP145" s="548"/>
      <c r="ZQ145" s="548"/>
      <c r="ZR145" s="548"/>
      <c r="ZS145" s="548"/>
      <c r="ZT145" s="548"/>
      <c r="ZU145" s="548"/>
      <c r="ZV145" s="548"/>
      <c r="ZW145" s="548"/>
      <c r="ZX145" s="548"/>
      <c r="ZY145" s="548"/>
      <c r="ZZ145" s="548"/>
      <c r="AAA145" s="548"/>
      <c r="AAB145" s="548"/>
      <c r="AAC145" s="548"/>
      <c r="AAD145" s="548"/>
      <c r="AAE145" s="548"/>
      <c r="AAF145" s="548"/>
      <c r="AAG145" s="548"/>
      <c r="AAH145" s="548"/>
      <c r="AAI145" s="548"/>
      <c r="AAJ145" s="548"/>
      <c r="AAK145" s="548"/>
      <c r="AAL145" s="548"/>
      <c r="AAM145" s="548"/>
      <c r="AAN145" s="548"/>
      <c r="AAO145" s="548"/>
      <c r="AAP145" s="548"/>
      <c r="AAQ145" s="548"/>
      <c r="AAR145" s="548"/>
      <c r="AAS145" s="548"/>
      <c r="AAT145" s="548"/>
      <c r="AAU145" s="548"/>
      <c r="AAV145" s="548"/>
      <c r="AAW145" s="548"/>
      <c r="AAX145" s="548"/>
      <c r="AAY145" s="548"/>
      <c r="AAZ145" s="548"/>
      <c r="ABA145" s="548"/>
      <c r="ABB145" s="548"/>
      <c r="ABC145" s="548"/>
      <c r="ABD145" s="548"/>
      <c r="ABE145" s="548"/>
      <c r="ABF145" s="548"/>
      <c r="ABG145" s="548"/>
      <c r="ABH145" s="548"/>
      <c r="ABI145" s="548"/>
      <c r="ABJ145" s="548"/>
      <c r="ABK145" s="548"/>
      <c r="ABL145" s="548"/>
      <c r="ABM145" s="548"/>
      <c r="ABN145" s="548"/>
      <c r="ABO145" s="548"/>
      <c r="ABP145" s="548"/>
      <c r="ABQ145" s="548"/>
      <c r="ABR145" s="548"/>
      <c r="ABS145" s="548"/>
    </row>
    <row r="146" spans="1:747" customFormat="1" ht="15" customHeight="1" thickBot="1" x14ac:dyDescent="0.25">
      <c r="A146" s="424" t="str">
        <f t="shared" si="1687"/>
        <v/>
      </c>
      <c r="B146" s="415"/>
      <c r="C146" s="525"/>
      <c r="D146" s="750"/>
      <c r="E146" s="416" t="str">
        <f t="shared" si="1529"/>
        <v/>
      </c>
      <c r="F146" s="527" t="str">
        <f t="shared" si="1530"/>
        <v/>
      </c>
      <c r="G146" s="417"/>
      <c r="H146" s="585" t="str">
        <f t="shared" si="1531"/>
        <v/>
      </c>
      <c r="I146" s="424"/>
      <c r="J146" s="419"/>
      <c r="K146" s="418"/>
      <c r="L146" s="419"/>
      <c r="M146" s="415"/>
      <c r="N146" s="420"/>
      <c r="O146" s="421"/>
      <c r="P146" s="561"/>
      <c r="Q146" s="422"/>
      <c r="R146" s="561" t="str">
        <f t="shared" si="1532"/>
        <v/>
      </c>
      <c r="S146" s="664"/>
      <c r="T146" s="663"/>
      <c r="U146" s="580">
        <f t="shared" si="1533"/>
        <v>0</v>
      </c>
      <c r="V146" s="418"/>
      <c r="W146" s="582" t="str">
        <f t="shared" si="1534"/>
        <v/>
      </c>
      <c r="X146" s="479" t="str">
        <f t="shared" si="1535"/>
        <v/>
      </c>
      <c r="Y146" s="582" t="str">
        <f t="shared" si="1536"/>
        <v/>
      </c>
      <c r="Z146" s="317" t="str">
        <f t="shared" si="1537"/>
        <v/>
      </c>
      <c r="AA146" s="317" t="str">
        <f t="shared" si="1538"/>
        <v/>
      </c>
      <c r="AB146" s="317">
        <f t="shared" si="1539"/>
        <v>0</v>
      </c>
      <c r="AC146" s="317" t="str">
        <f t="shared" si="1540"/>
        <v/>
      </c>
      <c r="AD146" s="479"/>
      <c r="AE146" s="479"/>
      <c r="AF146" s="479"/>
      <c r="AG146" s="423"/>
      <c r="AH146" s="820"/>
      <c r="AI146" s="437"/>
      <c r="AJ146" s="660"/>
      <c r="AK146" s="524" t="str">
        <f t="shared" si="1541"/>
        <v/>
      </c>
      <c r="AL146" s="733">
        <f>SUMIF($J$4:$J$163,"Livre Aplic.",$S$4:$S$163)</f>
        <v>0</v>
      </c>
      <c r="AM146" s="816">
        <f>SUMIF($J$4:$J$163,"Livre Aplic.",$T$4:$T$163)</f>
        <v>0</v>
      </c>
      <c r="AN146" s="426">
        <f t="shared" si="1542"/>
        <v>0</v>
      </c>
      <c r="AO146" s="427" t="str">
        <f t="shared" si="1543"/>
        <v/>
      </c>
      <c r="AP146" s="426" t="str">
        <f t="shared" si="1544"/>
        <v/>
      </c>
      <c r="AQ146" s="426"/>
      <c r="AR146" s="426"/>
      <c r="AS146" s="428"/>
      <c r="AT146" s="429"/>
      <c r="AU146" s="430"/>
      <c r="AV146" s="431"/>
      <c r="AW146" s="432"/>
      <c r="AX146" s="430"/>
      <c r="AY146" s="431">
        <f t="shared" si="1545"/>
        <v>0</v>
      </c>
      <c r="AZ146" s="426"/>
      <c r="BA146" s="435" t="str">
        <f t="shared" si="1546"/>
        <v/>
      </c>
      <c r="BB146" s="435"/>
      <c r="BC146" s="426"/>
      <c r="BD146" s="426">
        <f t="array" ref="BD146">IF(SUM((BC146=$BC$3:BC145)*1)=0,BC146,0)</f>
        <v>0</v>
      </c>
      <c r="BE146" s="426"/>
      <c r="BF146" s="426"/>
      <c r="BG146" s="426">
        <f t="array" ref="BG146">IF(SUM((BF146=$BF$3:BF145)*1)=0,BF146,0)</f>
        <v>0</v>
      </c>
      <c r="BH146" s="426"/>
      <c r="BI146" s="426"/>
      <c r="BJ146" s="426"/>
      <c r="BK146" s="426"/>
      <c r="BL146" s="426"/>
      <c r="BM146" s="426"/>
      <c r="BN146" s="426"/>
      <c r="BO146" s="426"/>
      <c r="BP146" s="433">
        <f t="shared" si="1547"/>
        <v>0</v>
      </c>
      <c r="BQ146" s="426"/>
      <c r="BR146" s="434"/>
      <c r="BS146" s="426"/>
      <c r="BT146" s="433"/>
      <c r="BU146" s="435"/>
      <c r="BV146" s="435" t="str">
        <f t="shared" si="1548"/>
        <v/>
      </c>
      <c r="BW146" s="435" t="str">
        <f t="shared" si="1576"/>
        <v/>
      </c>
      <c r="BX146" s="435"/>
      <c r="BY146" s="435"/>
      <c r="BZ146" s="435"/>
      <c r="CA146" s="435"/>
      <c r="CB146" s="435"/>
      <c r="CC146" s="435"/>
      <c r="CD146" s="435"/>
      <c r="CE146" s="435"/>
      <c r="CF146" s="435"/>
      <c r="CG146" s="435"/>
      <c r="CH146" s="435"/>
      <c r="CI146" s="435"/>
      <c r="CJ146" s="426" t="str">
        <f t="shared" si="1577"/>
        <v/>
      </c>
      <c r="CK146" s="435"/>
      <c r="CL146" s="426"/>
      <c r="CM146" s="435"/>
      <c r="CN146" s="426"/>
      <c r="CO146" s="426"/>
      <c r="CP146" s="426"/>
      <c r="CQ146" s="426"/>
      <c r="CR146" s="426"/>
      <c r="CS146" s="426"/>
      <c r="CT146" s="426"/>
      <c r="CU146" s="426"/>
      <c r="CV146" s="426"/>
      <c r="CW146" s="493"/>
      <c r="CX146" s="493"/>
      <c r="CY146" s="426">
        <v>143</v>
      </c>
      <c r="CZ146" s="493"/>
      <c r="DA146" s="493"/>
      <c r="DB146" s="493"/>
      <c r="DC146" s="426" t="s">
        <v>886</v>
      </c>
      <c r="DD146" s="426" t="s">
        <v>1046</v>
      </c>
      <c r="DE146" s="435" t="str">
        <f t="shared" si="1578"/>
        <v/>
      </c>
      <c r="DF146" s="435" t="str">
        <f t="shared" si="1579"/>
        <v/>
      </c>
      <c r="DG146" s="435" t="str">
        <f t="shared" si="1580"/>
        <v/>
      </c>
      <c r="DH146" s="435" t="str">
        <f t="shared" si="1581"/>
        <v/>
      </c>
      <c r="DI146" s="435" t="str">
        <f t="shared" si="1582"/>
        <v/>
      </c>
      <c r="DJ146" s="435" t="str">
        <f t="shared" si="1583"/>
        <v/>
      </c>
      <c r="DK146" s="435" t="str">
        <f t="shared" si="1549"/>
        <v/>
      </c>
      <c r="DL146" s="435" t="str">
        <f t="shared" si="1550"/>
        <v/>
      </c>
      <c r="DM146" s="435" t="str">
        <f t="shared" si="1584"/>
        <v/>
      </c>
      <c r="DN146" s="435" t="str">
        <f t="shared" si="1585"/>
        <v/>
      </c>
      <c r="DO146" s="435" t="str">
        <f t="shared" si="1551"/>
        <v/>
      </c>
      <c r="DP146" s="435" t="str">
        <f t="shared" si="1552"/>
        <v/>
      </c>
      <c r="DQ146" s="435" t="str">
        <f t="shared" si="1586"/>
        <v/>
      </c>
      <c r="DR146" s="435" t="str">
        <f t="shared" si="1587"/>
        <v/>
      </c>
      <c r="DS146" s="435" t="str">
        <f t="shared" si="1553"/>
        <v/>
      </c>
      <c r="DT146" s="435" t="str">
        <f t="shared" si="1554"/>
        <v/>
      </c>
      <c r="DU146" s="435" t="str">
        <f t="shared" si="1588"/>
        <v/>
      </c>
      <c r="DV146" s="435" t="str">
        <f t="shared" si="1589"/>
        <v/>
      </c>
      <c r="DW146" s="435" t="str">
        <f t="shared" si="1555"/>
        <v/>
      </c>
      <c r="DX146" s="435" t="str">
        <f t="shared" si="1556"/>
        <v/>
      </c>
      <c r="DY146" s="435" t="str">
        <f t="shared" si="1590"/>
        <v/>
      </c>
      <c r="DZ146" s="435" t="str">
        <f t="shared" si="1591"/>
        <v/>
      </c>
      <c r="EA146" s="435" t="str">
        <f t="shared" si="1557"/>
        <v/>
      </c>
      <c r="EB146" s="435" t="str">
        <f t="shared" si="1558"/>
        <v/>
      </c>
      <c r="EC146" s="435" t="str">
        <f t="shared" si="1559"/>
        <v/>
      </c>
      <c r="ED146" s="435" t="str">
        <f t="shared" si="1560"/>
        <v/>
      </c>
      <c r="EE146" s="435" t="str">
        <f t="shared" si="1561"/>
        <v/>
      </c>
      <c r="EF146" s="435" t="str">
        <f t="shared" si="1562"/>
        <v/>
      </c>
      <c r="EG146" s="435" t="str">
        <f t="shared" si="1563"/>
        <v/>
      </c>
      <c r="EH146" s="435" t="str">
        <f t="shared" si="1564"/>
        <v/>
      </c>
      <c r="EI146" s="435" t="str">
        <f t="shared" si="1565"/>
        <v/>
      </c>
      <c r="EJ146" s="435" t="str">
        <f t="shared" si="1566"/>
        <v/>
      </c>
      <c r="EK146" s="485"/>
      <c r="EL146" s="485"/>
      <c r="EM146" s="485"/>
      <c r="EN146" s="485"/>
      <c r="EO146" s="448"/>
      <c r="EP146" s="448"/>
      <c r="EQ146" s="448"/>
      <c r="ER146" s="448"/>
      <c r="ES146" s="448"/>
      <c r="ET146" s="435"/>
      <c r="EU146" s="435"/>
      <c r="EV146" s="435"/>
      <c r="EW146" s="435"/>
      <c r="EX146" s="426"/>
      <c r="EY146" s="426"/>
      <c r="EZ146" s="426"/>
      <c r="FA146" s="863"/>
      <c r="FB146" s="427">
        <f t="array" ref="FB146">IF(SUM((FA146=$FA$3:FA145)*1)=0,FA146,0)</f>
        <v>0</v>
      </c>
      <c r="FC146" s="863"/>
      <c r="FD146" s="863"/>
      <c r="FE146" s="863">
        <f t="array" ref="FE146">IF(SUM((FD146=$FD$3:FD145)*1)=0,FD146,0)</f>
        <v>0</v>
      </c>
      <c r="FF146" s="863"/>
      <c r="FG146" s="863"/>
      <c r="FH146" s="863"/>
      <c r="FI146" s="427">
        <f t="array" ref="FI146">IF(SUM((FH146=$FH$3:FH145)*1)=0,FH146,0)</f>
        <v>0</v>
      </c>
      <c r="FJ146" s="863"/>
      <c r="FK146" s="863"/>
      <c r="FL146" s="863">
        <f t="array" ref="FL146">IF(SUM((FK146=$FK$3:FK145)*1)=0,FK146,0)</f>
        <v>0</v>
      </c>
      <c r="FM146" s="863"/>
      <c r="FN146" s="863"/>
      <c r="FO146" s="863"/>
      <c r="FP146" s="427">
        <f t="array" ref="FP146">IF(SUM((FO146=$FO$3:FO145)*1)=0,FO146,0)</f>
        <v>0</v>
      </c>
      <c r="FQ146" s="863"/>
      <c r="FR146" s="863"/>
      <c r="FS146" s="863">
        <f t="array" ref="FS146">IF(SUM((FR146=$FR$3:FR145)*1)=0,FR146,0)</f>
        <v>0</v>
      </c>
      <c r="FT146" s="863"/>
      <c r="FU146" s="863"/>
      <c r="FV146" s="863"/>
      <c r="FW146" s="427">
        <f t="array" ref="FW146">IF(SUM((FV146=$FV$3:FV145)*1)=0,FV146,0)</f>
        <v>0</v>
      </c>
      <c r="FX146" s="863"/>
      <c r="FY146" s="863"/>
      <c r="FZ146" s="863">
        <f t="array" ref="FZ146">IF(SUM((FY146=$FY$3:FY145)*1)=0,FY146,0)</f>
        <v>0</v>
      </c>
      <c r="GA146" s="863"/>
      <c r="GB146" s="863"/>
      <c r="GC146" s="863"/>
      <c r="GD146" s="427">
        <f t="array" ref="GD146">IF(SUM((GC146=$GC$3:GC145)*1)=0,GC146,0)</f>
        <v>0</v>
      </c>
      <c r="GE146" s="863"/>
      <c r="GF146" s="863"/>
      <c r="GG146" s="863">
        <f t="array" ref="GG146">IF(SUM((GF146=$GF$3:GF145)*1)=0,GF146,0)</f>
        <v>0</v>
      </c>
      <c r="GH146" s="863"/>
      <c r="GI146" s="863"/>
      <c r="GJ146" s="863"/>
      <c r="GK146" s="798">
        <f t="array" ref="GK146">IF(SUM((GJ146=$GJ$3:GJ145)*1)=0,GJ146,0)</f>
        <v>0</v>
      </c>
      <c r="GL146" s="863"/>
      <c r="GM146" s="863"/>
      <c r="GN146" s="798">
        <f t="array" ref="GN146">IF(SUM((GM146=$GM$3:GM145)*1)=0,GM146,0)</f>
        <v>0</v>
      </c>
      <c r="GO146" s="863"/>
      <c r="GP146" s="863"/>
      <c r="GQ146" s="863"/>
      <c r="GR146" s="798">
        <f t="array" ref="GR146">IF(SUM((GQ146=$GQ$3:GQ145)*1)=0,GQ146,0)</f>
        <v>0</v>
      </c>
      <c r="GS146" s="863"/>
      <c r="GT146" s="863"/>
      <c r="GU146" s="798">
        <f t="array" ref="GU146">IF(SUM((GT146=$GT$3:GT145)*1)=0,GT146,0)</f>
        <v>0</v>
      </c>
      <c r="GV146" s="863"/>
      <c r="GW146" s="863"/>
      <c r="GX146" s="863"/>
      <c r="GY146" s="798">
        <f t="array" ref="GY146">IF(SUM((GX146=$GX$3:GX145)*1)=0,GX146,0)</f>
        <v>0</v>
      </c>
      <c r="GZ146" s="863"/>
      <c r="HA146" s="863"/>
      <c r="HB146" s="798">
        <f t="array" ref="HB146">IF(SUM((HA146=$HA$3:HA145)*1)=0,HA146,0)</f>
        <v>0</v>
      </c>
      <c r="HC146" s="863"/>
      <c r="HD146" s="863"/>
      <c r="HE146" s="769" t="str">
        <f t="shared" si="1667"/>
        <v/>
      </c>
      <c r="HF146" s="768" t="str">
        <f t="shared" ref="HF146" si="1787">IF(HE146&lt;0,"Invadiu REP-BA-C","")</f>
        <v/>
      </c>
      <c r="HG146" s="769" t="str">
        <f t="shared" si="1669"/>
        <v/>
      </c>
      <c r="HH146" s="768" t="str">
        <f t="shared" si="1593"/>
        <v/>
      </c>
      <c r="HI146" s="728" t="str">
        <f t="shared" si="1670"/>
        <v/>
      </c>
      <c r="HJ146" s="768" t="str">
        <f t="shared" si="1594"/>
        <v/>
      </c>
      <c r="HK146" s="728" t="str">
        <f t="shared" si="1671"/>
        <v/>
      </c>
      <c r="HL146" s="768" t="str">
        <f t="shared" si="1595"/>
        <v/>
      </c>
      <c r="HM146" s="769" t="str">
        <f t="shared" si="1596"/>
        <v/>
      </c>
      <c r="HN146" s="768" t="str">
        <f t="shared" ref="HN146" si="1788">IF(HM146&lt;0,"Invadiu REP-BA-C","")</f>
        <v/>
      </c>
      <c r="HO146" s="769" t="str">
        <f t="shared" si="1598"/>
        <v/>
      </c>
      <c r="HP146" s="768" t="str">
        <f t="shared" si="1599"/>
        <v/>
      </c>
      <c r="HQ146" s="728" t="str">
        <f t="shared" si="1600"/>
        <v/>
      </c>
      <c r="HR146" s="768" t="str">
        <f t="shared" si="1601"/>
        <v/>
      </c>
      <c r="HS146" s="728" t="str">
        <f t="shared" si="1602"/>
        <v/>
      </c>
      <c r="HT146" s="768" t="str">
        <f t="shared" si="1603"/>
        <v/>
      </c>
      <c r="HU146" s="769" t="str">
        <f t="shared" si="1604"/>
        <v/>
      </c>
      <c r="HV146" s="768" t="str">
        <f t="shared" ref="HV146" si="1789">IF(HU146&lt;0,"Invadiu REP-BA-C","")</f>
        <v/>
      </c>
      <c r="HW146" s="769" t="str">
        <f t="shared" si="1606"/>
        <v/>
      </c>
      <c r="HX146" s="768" t="str">
        <f t="shared" si="1607"/>
        <v/>
      </c>
      <c r="HY146" s="728" t="str">
        <f t="shared" si="1608"/>
        <v/>
      </c>
      <c r="HZ146" s="768" t="str">
        <f t="shared" si="1609"/>
        <v/>
      </c>
      <c r="IA146" s="728" t="str">
        <f t="shared" si="1610"/>
        <v/>
      </c>
      <c r="IB146" s="768" t="str">
        <f t="shared" si="1611"/>
        <v/>
      </c>
      <c r="IC146" s="769" t="str">
        <f t="shared" si="1612"/>
        <v/>
      </c>
      <c r="ID146" s="768" t="str">
        <f t="shared" ref="ID146" si="1790">IF(IC146&lt;0,"Invadiu REP-BA-C","")</f>
        <v/>
      </c>
      <c r="IE146" s="769" t="str">
        <f t="shared" si="1614"/>
        <v/>
      </c>
      <c r="IF146" s="768" t="str">
        <f t="shared" si="1615"/>
        <v/>
      </c>
      <c r="IG146" s="728" t="str">
        <f t="shared" si="1616"/>
        <v/>
      </c>
      <c r="IH146" s="768" t="str">
        <f t="shared" si="1617"/>
        <v/>
      </c>
      <c r="II146" s="728" t="str">
        <f t="shared" si="1618"/>
        <v/>
      </c>
      <c r="IJ146" s="768" t="str">
        <f t="shared" si="1619"/>
        <v/>
      </c>
      <c r="IK146" s="769" t="str">
        <f t="shared" si="1620"/>
        <v/>
      </c>
      <c r="IL146" s="768" t="str">
        <f t="shared" ref="IL146" si="1791">IF(IK146&lt;0,"Invadiu REP-BA-C","")</f>
        <v/>
      </c>
      <c r="IM146" s="769" t="str">
        <f t="shared" si="1622"/>
        <v/>
      </c>
      <c r="IN146" s="768" t="str">
        <f t="shared" si="1623"/>
        <v/>
      </c>
      <c r="IO146" s="728" t="str">
        <f t="shared" si="1624"/>
        <v/>
      </c>
      <c r="IP146" s="768" t="str">
        <f t="shared" si="1625"/>
        <v/>
      </c>
      <c r="IQ146" s="728" t="str">
        <f t="shared" si="1626"/>
        <v/>
      </c>
      <c r="IR146" s="768" t="str">
        <f t="shared" si="1627"/>
        <v/>
      </c>
      <c r="IS146" s="769" t="str">
        <f t="shared" si="1628"/>
        <v/>
      </c>
      <c r="IT146" s="768" t="str">
        <f t="shared" ref="IT146" si="1792">IF(IS146&lt;0,"Invadiu REP-BA-C","")</f>
        <v/>
      </c>
      <c r="IU146" s="769" t="str">
        <f t="shared" si="1630"/>
        <v/>
      </c>
      <c r="IV146" s="768" t="str">
        <f t="shared" si="1631"/>
        <v/>
      </c>
      <c r="IW146" s="728" t="str">
        <f t="shared" si="1632"/>
        <v/>
      </c>
      <c r="IX146" s="768" t="str">
        <f t="shared" si="1633"/>
        <v/>
      </c>
      <c r="IY146" s="728" t="str">
        <f t="shared" si="1634"/>
        <v/>
      </c>
      <c r="IZ146" s="768" t="str">
        <f t="shared" si="1635"/>
        <v/>
      </c>
      <c r="JA146" s="769" t="str">
        <f t="shared" si="1636"/>
        <v/>
      </c>
      <c r="JB146" s="768" t="str">
        <f t="shared" ref="JB146" si="1793">IF(JA146&lt;0,"Invadiu REP-BA-C","")</f>
        <v/>
      </c>
      <c r="JC146" s="769" t="str">
        <f t="shared" si="1638"/>
        <v/>
      </c>
      <c r="JD146" s="768" t="str">
        <f t="shared" si="1639"/>
        <v/>
      </c>
      <c r="JE146" s="728" t="str">
        <f t="shared" si="1640"/>
        <v/>
      </c>
      <c r="JF146" s="768" t="str">
        <f t="shared" si="1641"/>
        <v/>
      </c>
      <c r="JG146" s="728" t="str">
        <f t="shared" si="1642"/>
        <v/>
      </c>
      <c r="JH146" s="768" t="str">
        <f t="shared" si="1643"/>
        <v/>
      </c>
      <c r="JI146" s="769" t="str">
        <f t="shared" si="1644"/>
        <v/>
      </c>
      <c r="JJ146" s="768" t="str">
        <f t="shared" ref="JJ146" si="1794">IF(JI146&lt;0,"Invadiu REP-BA-C","")</f>
        <v/>
      </c>
      <c r="JK146" s="769" t="str">
        <f t="shared" si="1646"/>
        <v/>
      </c>
      <c r="JL146" s="768" t="str">
        <f t="shared" si="1647"/>
        <v/>
      </c>
      <c r="JM146" s="728" t="str">
        <f t="shared" si="1648"/>
        <v/>
      </c>
      <c r="JN146" s="768" t="str">
        <f t="shared" si="1649"/>
        <v/>
      </c>
      <c r="JO146" s="728" t="str">
        <f t="shared" si="1650"/>
        <v/>
      </c>
      <c r="JP146" s="768" t="str">
        <f t="shared" si="1651"/>
        <v/>
      </c>
      <c r="JQ146" s="769" t="str">
        <f t="shared" si="1652"/>
        <v/>
      </c>
      <c r="JR146" s="768" t="str">
        <f t="shared" ref="JR146" si="1795">IF(JQ146&lt;0,"Invadiu REP-BA-C","")</f>
        <v/>
      </c>
      <c r="JS146" s="769" t="str">
        <f t="shared" si="1654"/>
        <v/>
      </c>
      <c r="JT146" s="768" t="str">
        <f t="shared" si="1655"/>
        <v/>
      </c>
      <c r="JU146" s="728" t="str">
        <f t="shared" si="1656"/>
        <v/>
      </c>
      <c r="JV146" s="768" t="str">
        <f t="shared" si="1657"/>
        <v/>
      </c>
      <c r="JW146" s="728" t="str">
        <f t="shared" si="1658"/>
        <v/>
      </c>
      <c r="JX146" s="768" t="str">
        <f t="shared" si="1659"/>
        <v/>
      </c>
      <c r="JY146" s="768" t="str">
        <f t="shared" si="1660"/>
        <v/>
      </c>
      <c r="JZ146" s="485" t="str">
        <f>IF(JY146="","",IF(AND(C146=$C$164,JY146&lt;&gt;""),Verificarcpf(D146),IF(AND(C146=$C$165,JY146&lt;&gt;""),VerificarCNPJ(D146))))</f>
        <v/>
      </c>
      <c r="KA146" s="768" t="str">
        <f t="shared" si="1661"/>
        <v/>
      </c>
      <c r="KB146" s="485">
        <f t="shared" si="1662"/>
        <v>0</v>
      </c>
      <c r="KC146" s="768">
        <f t="shared" si="1663"/>
        <v>0</v>
      </c>
      <c r="KD146" s="485">
        <f t="shared" si="1664"/>
        <v>0</v>
      </c>
      <c r="KE146" s="448"/>
      <c r="KF146" s="548"/>
      <c r="KG146" s="548"/>
      <c r="KH146" s="548"/>
      <c r="KI146" s="548"/>
      <c r="KJ146" s="548" t="str">
        <f t="shared" si="1665"/>
        <v/>
      </c>
      <c r="KK146" s="548"/>
      <c r="KL146" s="548"/>
      <c r="KM146" s="548">
        <f t="array" ref="KM146">IF(SUM((KL146=$KL$3:KL145)*1)=0,KL146,0)</f>
        <v>0</v>
      </c>
      <c r="KN146" s="548"/>
      <c r="KO146" s="548"/>
      <c r="KP146" s="548"/>
      <c r="KQ146" s="548"/>
      <c r="KR146" s="548" t="str">
        <f t="shared" si="1666"/>
        <v/>
      </c>
      <c r="KS146" s="548"/>
      <c r="KT146" s="548"/>
      <c r="KU146" s="548"/>
      <c r="KV146" s="548"/>
      <c r="KW146" s="548"/>
      <c r="KX146" s="548"/>
      <c r="KY146" s="548"/>
      <c r="KZ146" s="548"/>
      <c r="LA146" s="548"/>
      <c r="LB146" s="548"/>
      <c r="LC146" s="485" t="str">
        <f t="shared" si="1680"/>
        <v/>
      </c>
      <c r="LD146" s="548"/>
      <c r="LE146" s="548"/>
      <c r="LF146" s="548"/>
      <c r="LG146" s="548"/>
      <c r="LH146" s="548"/>
      <c r="LI146" s="548"/>
      <c r="LJ146" s="548"/>
      <c r="LK146" s="548"/>
      <c r="LL146" s="548"/>
      <c r="LM146" s="548"/>
      <c r="LN146" s="548"/>
      <c r="LO146" s="548"/>
      <c r="LP146" s="485" t="str">
        <f t="shared" si="1681"/>
        <v/>
      </c>
      <c r="LQ146" s="548"/>
      <c r="LR146" s="548"/>
      <c r="LS146" s="548"/>
      <c r="LT146" s="548"/>
      <c r="LU146" s="548"/>
      <c r="LV146" s="548"/>
      <c r="LW146" s="548"/>
      <c r="LX146" s="548"/>
      <c r="LY146" s="548"/>
      <c r="LZ146" s="548"/>
      <c r="MA146" s="548"/>
      <c r="MB146" s="548"/>
      <c r="MC146" s="485" t="str">
        <f t="shared" si="1682"/>
        <v/>
      </c>
      <c r="MD146" s="548"/>
      <c r="ME146" s="548"/>
      <c r="MF146" s="548"/>
      <c r="MG146" s="548"/>
      <c r="MH146" s="548"/>
      <c r="MI146" s="548"/>
      <c r="MJ146" s="548"/>
      <c r="MK146" s="548"/>
      <c r="ML146" s="548"/>
      <c r="MM146" s="548"/>
      <c r="MN146" s="548"/>
      <c r="MO146" s="548"/>
      <c r="MP146" s="485" t="str">
        <f t="shared" si="1683"/>
        <v/>
      </c>
      <c r="MQ146" s="548"/>
      <c r="MR146" s="548"/>
      <c r="MS146" s="548"/>
      <c r="MT146" s="548"/>
      <c r="MU146" s="548"/>
      <c r="MV146" s="548"/>
      <c r="MW146" s="548"/>
      <c r="MX146" s="548"/>
      <c r="MY146" s="548"/>
      <c r="MZ146" s="548"/>
      <c r="NA146" s="548"/>
      <c r="NB146" s="548"/>
      <c r="NC146" s="485" t="str">
        <f t="shared" si="1684"/>
        <v/>
      </c>
      <c r="ND146" s="548"/>
      <c r="NE146" s="548"/>
      <c r="NF146" s="548"/>
      <c r="NG146" s="548"/>
      <c r="NH146" s="548"/>
      <c r="NI146" s="548"/>
      <c r="NJ146" s="548"/>
      <c r="NK146" s="548"/>
      <c r="NL146" s="548"/>
      <c r="NM146" s="548"/>
      <c r="NN146" s="548"/>
      <c r="NO146" s="548"/>
      <c r="NP146" s="485" t="str">
        <f t="shared" si="1685"/>
        <v/>
      </c>
      <c r="NQ146" s="548"/>
      <c r="NR146" s="548"/>
      <c r="NS146" s="548"/>
      <c r="NT146" s="548"/>
      <c r="NU146" s="548"/>
      <c r="NV146" s="548"/>
      <c r="NW146" s="548"/>
      <c r="NX146" s="548"/>
      <c r="NY146" s="548"/>
      <c r="NZ146" s="548"/>
      <c r="OA146" s="548"/>
      <c r="OB146" s="548"/>
      <c r="OC146" s="485" t="str">
        <f t="shared" si="1686"/>
        <v/>
      </c>
      <c r="OD146" s="548"/>
      <c r="OE146" s="548"/>
      <c r="OF146" s="548"/>
      <c r="OG146" s="548"/>
      <c r="OH146" s="548"/>
      <c r="OI146" s="548"/>
      <c r="OJ146" s="548"/>
      <c r="OK146" s="548"/>
      <c r="OL146" s="548"/>
      <c r="OM146" s="548"/>
      <c r="ON146" s="548"/>
      <c r="OO146" s="548"/>
      <c r="OP146" s="548"/>
      <c r="OQ146" s="548"/>
      <c r="OR146" s="548"/>
      <c r="OS146" s="548"/>
      <c r="OT146" s="548"/>
      <c r="OU146" s="548"/>
      <c r="OV146" s="548"/>
      <c r="OW146" s="548"/>
      <c r="OX146" s="548"/>
      <c r="OY146" s="548"/>
      <c r="OZ146" s="548"/>
      <c r="PA146" s="548"/>
      <c r="PB146" s="548"/>
      <c r="PC146" s="548"/>
      <c r="PD146" s="548"/>
      <c r="PE146" s="548"/>
      <c r="PF146" s="548"/>
      <c r="PG146" s="548"/>
      <c r="PH146" s="548"/>
      <c r="PI146" s="548"/>
      <c r="PJ146" s="548"/>
      <c r="PK146" s="548"/>
      <c r="PL146" s="548"/>
      <c r="PM146" s="548"/>
      <c r="PN146" s="548"/>
      <c r="PO146" s="548"/>
      <c r="PP146" s="548"/>
      <c r="PQ146" s="548"/>
      <c r="PR146" s="548"/>
      <c r="PS146" s="548"/>
      <c r="PT146" s="548"/>
      <c r="PU146" s="548"/>
      <c r="PV146" s="548"/>
      <c r="PW146" s="548"/>
      <c r="PX146" s="548"/>
      <c r="PY146" s="548"/>
      <c r="PZ146" s="548"/>
      <c r="QA146" s="548"/>
      <c r="QB146" s="548"/>
      <c r="QC146" s="548"/>
      <c r="QD146" s="548"/>
      <c r="QE146" s="548"/>
      <c r="QF146" s="548"/>
      <c r="QG146" s="548"/>
      <c r="QH146" s="548"/>
      <c r="QI146" s="548"/>
      <c r="QJ146" s="548"/>
      <c r="QK146" s="548"/>
      <c r="QL146" s="548"/>
      <c r="QM146" s="548"/>
      <c r="QN146" s="548"/>
      <c r="QO146" s="548"/>
      <c r="QP146" s="548"/>
      <c r="QQ146" s="1009"/>
      <c r="QR146" s="548"/>
      <c r="QS146" s="548"/>
      <c r="QT146" s="548"/>
      <c r="QU146" s="548"/>
      <c r="QV146" s="548"/>
      <c r="QW146" s="548"/>
      <c r="QX146" s="548"/>
      <c r="QY146" s="548"/>
      <c r="QZ146" s="548"/>
      <c r="RA146" s="548"/>
      <c r="RB146" s="548"/>
      <c r="RC146" s="548"/>
      <c r="RD146" s="548"/>
      <c r="RE146" s="548"/>
      <c r="RF146" s="548"/>
      <c r="RG146" s="548"/>
      <c r="RH146" s="548"/>
      <c r="RI146" s="548"/>
      <c r="RJ146" s="548"/>
      <c r="RK146" s="548"/>
      <c r="RL146" s="548"/>
      <c r="RM146" s="548"/>
      <c r="RN146" s="548"/>
      <c r="RO146" s="548"/>
      <c r="RP146" s="548"/>
      <c r="RQ146" s="548"/>
      <c r="RR146" s="548"/>
      <c r="RS146" s="548"/>
      <c r="RT146" s="548"/>
      <c r="RU146" s="548"/>
      <c r="RV146" s="548"/>
      <c r="RW146" s="548"/>
      <c r="RX146" s="548"/>
      <c r="RY146" s="548"/>
      <c r="RZ146" s="548"/>
      <c r="SA146" s="548"/>
      <c r="SB146" s="548"/>
      <c r="SC146" s="548"/>
      <c r="SD146" s="548"/>
      <c r="SE146" s="548"/>
      <c r="SF146" s="548"/>
      <c r="SG146" s="548"/>
      <c r="SH146" s="548"/>
      <c r="SI146" s="548"/>
      <c r="SJ146" s="548"/>
      <c r="SK146" s="548"/>
      <c r="SL146" s="548"/>
      <c r="SM146" s="548"/>
      <c r="SN146" s="548"/>
      <c r="SO146" s="548"/>
      <c r="SP146" s="548"/>
      <c r="SQ146" s="548"/>
      <c r="SR146" s="548"/>
      <c r="SS146" s="548"/>
      <c r="ST146" s="548"/>
      <c r="SU146" s="548"/>
      <c r="SV146" s="548"/>
      <c r="SW146" s="548"/>
      <c r="SX146" s="548"/>
      <c r="SY146" s="548"/>
      <c r="SZ146" s="548"/>
      <c r="TA146" s="548"/>
      <c r="TB146" s="548"/>
      <c r="TC146" s="548"/>
      <c r="TD146" s="548"/>
      <c r="TE146" s="548"/>
      <c r="TF146" s="548"/>
      <c r="TG146" s="548"/>
      <c r="TH146" s="548"/>
      <c r="TI146" s="548"/>
      <c r="TJ146" s="548"/>
      <c r="TK146" s="548"/>
      <c r="TL146" s="548"/>
      <c r="TM146" s="548"/>
      <c r="TN146" s="548"/>
      <c r="TO146" s="548"/>
      <c r="TP146" s="548"/>
      <c r="TQ146" s="548"/>
      <c r="TR146" s="548"/>
      <c r="TS146" s="548"/>
      <c r="TT146" s="548"/>
      <c r="TU146" s="548"/>
      <c r="TV146" s="548"/>
      <c r="TW146" s="548"/>
      <c r="TX146" s="548"/>
      <c r="TY146" s="548"/>
      <c r="TZ146" s="548"/>
      <c r="UA146" s="548"/>
      <c r="UB146" s="548"/>
      <c r="UC146" s="548"/>
      <c r="UD146" s="548"/>
      <c r="UE146" s="548"/>
      <c r="UF146" s="548"/>
      <c r="UG146" s="548"/>
      <c r="UH146" s="548"/>
      <c r="UI146" s="548"/>
      <c r="UJ146" s="548"/>
      <c r="UK146" s="548"/>
      <c r="UL146" s="548"/>
      <c r="UM146" s="548"/>
      <c r="UN146" s="548"/>
      <c r="UO146" s="548"/>
      <c r="UP146" s="548"/>
      <c r="UQ146" s="548"/>
      <c r="UR146" s="548"/>
      <c r="US146" s="548"/>
      <c r="UT146" s="548"/>
      <c r="UU146" s="548"/>
      <c r="UV146" s="548"/>
      <c r="UW146" s="548"/>
      <c r="UX146" s="548"/>
      <c r="UY146" s="548"/>
      <c r="UZ146" s="548"/>
      <c r="VA146" s="548"/>
      <c r="VB146" s="548"/>
      <c r="VC146" s="548"/>
      <c r="VD146" s="548"/>
      <c r="VE146" s="548"/>
      <c r="VF146" s="548"/>
      <c r="VG146" s="548"/>
      <c r="VH146" s="548"/>
      <c r="VI146" s="548"/>
      <c r="VJ146" s="548"/>
      <c r="VK146" s="548"/>
      <c r="VL146" s="548"/>
      <c r="VM146" s="548"/>
      <c r="VN146" s="548"/>
      <c r="VO146" s="548"/>
      <c r="VP146" s="548"/>
      <c r="VQ146" s="548"/>
      <c r="VR146" s="548"/>
      <c r="VS146" s="548"/>
      <c r="VT146" s="548"/>
      <c r="VU146" s="548"/>
      <c r="VV146" s="548"/>
      <c r="VW146" s="548"/>
      <c r="VX146" s="548"/>
      <c r="VY146" s="548"/>
      <c r="VZ146" s="548"/>
      <c r="WA146" s="548"/>
      <c r="WB146" s="548"/>
      <c r="WC146" s="548"/>
      <c r="WD146" s="548"/>
      <c r="WE146" s="548"/>
      <c r="WF146" s="548"/>
      <c r="WG146" s="548"/>
      <c r="WH146" s="548"/>
      <c r="WI146" s="548"/>
      <c r="WJ146" s="548"/>
      <c r="WK146" s="548"/>
      <c r="WL146" s="548"/>
      <c r="WM146" s="548"/>
      <c r="WN146" s="548"/>
      <c r="WO146" s="548"/>
      <c r="WP146" s="548"/>
      <c r="WQ146" s="548"/>
      <c r="WR146" s="548"/>
      <c r="WS146" s="548"/>
      <c r="WT146" s="548"/>
      <c r="WU146" s="548"/>
      <c r="WV146" s="548"/>
      <c r="WW146" s="548"/>
      <c r="WX146" s="548"/>
      <c r="WY146" s="548"/>
      <c r="WZ146" s="548"/>
      <c r="XA146" s="548"/>
      <c r="XB146" s="548"/>
      <c r="XC146" s="548"/>
      <c r="XD146" s="548"/>
      <c r="XE146" s="548"/>
      <c r="XF146" s="548"/>
      <c r="XG146" s="548"/>
      <c r="XH146" s="548"/>
      <c r="XI146" s="548"/>
      <c r="XJ146" s="548"/>
      <c r="XK146" s="548"/>
      <c r="XL146" s="548"/>
      <c r="XM146" s="548"/>
      <c r="XN146" s="548"/>
      <c r="XO146" s="548"/>
      <c r="XP146" s="548"/>
      <c r="XQ146" s="548"/>
      <c r="XR146" s="548"/>
      <c r="XS146" s="548"/>
      <c r="XT146" s="548"/>
      <c r="XU146" s="548"/>
      <c r="XV146" s="548"/>
      <c r="XW146" s="548"/>
      <c r="XX146" s="548"/>
      <c r="XY146" s="548"/>
      <c r="XZ146" s="548"/>
      <c r="YA146" s="548"/>
      <c r="YB146" s="548"/>
      <c r="YC146" s="548"/>
      <c r="YD146" s="548"/>
      <c r="YE146" s="548"/>
      <c r="YF146" s="548"/>
      <c r="YG146" s="548"/>
      <c r="YH146" s="548"/>
      <c r="YI146" s="548"/>
      <c r="YJ146" s="548"/>
      <c r="YK146" s="548"/>
      <c r="YL146" s="548"/>
      <c r="YM146" s="548"/>
      <c r="YN146" s="548"/>
      <c r="YO146" s="548"/>
      <c r="YP146" s="548"/>
      <c r="YQ146" s="548"/>
      <c r="YR146" s="548"/>
      <c r="YS146" s="548"/>
      <c r="YT146" s="548"/>
      <c r="YU146" s="548"/>
      <c r="YV146" s="548"/>
      <c r="YW146" s="548"/>
      <c r="YX146" s="548"/>
      <c r="YY146" s="548"/>
      <c r="YZ146" s="548"/>
      <c r="ZA146" s="548"/>
      <c r="ZB146" s="548"/>
      <c r="ZC146" s="548"/>
      <c r="ZD146" s="548"/>
      <c r="ZE146" s="548"/>
      <c r="ZF146" s="548"/>
      <c r="ZG146" s="548"/>
      <c r="ZH146" s="548"/>
      <c r="ZI146" s="548"/>
      <c r="ZJ146" s="548"/>
      <c r="ZK146" s="548"/>
      <c r="ZL146" s="548"/>
      <c r="ZM146" s="548"/>
      <c r="ZN146" s="548"/>
      <c r="ZO146" s="548"/>
      <c r="ZP146" s="548"/>
      <c r="ZQ146" s="548"/>
      <c r="ZR146" s="548"/>
      <c r="ZS146" s="548"/>
      <c r="ZT146" s="548"/>
      <c r="ZU146" s="548"/>
      <c r="ZV146" s="548"/>
      <c r="ZW146" s="548"/>
      <c r="ZX146" s="548"/>
      <c r="ZY146" s="548"/>
      <c r="ZZ146" s="548"/>
      <c r="AAA146" s="548"/>
      <c r="AAB146" s="548"/>
      <c r="AAC146" s="548"/>
      <c r="AAD146" s="548"/>
      <c r="AAE146" s="548"/>
      <c r="AAF146" s="548"/>
      <c r="AAG146" s="548"/>
      <c r="AAH146" s="548"/>
      <c r="AAI146" s="548"/>
      <c r="AAJ146" s="548"/>
      <c r="AAK146" s="548"/>
      <c r="AAL146" s="548"/>
      <c r="AAM146" s="548"/>
      <c r="AAN146" s="548"/>
      <c r="AAO146" s="548"/>
      <c r="AAP146" s="548"/>
      <c r="AAQ146" s="548"/>
      <c r="AAR146" s="548"/>
      <c r="AAS146" s="548"/>
      <c r="AAT146" s="548"/>
      <c r="AAU146" s="548"/>
      <c r="AAV146" s="548"/>
      <c r="AAW146" s="548"/>
      <c r="AAX146" s="548"/>
      <c r="AAY146" s="548"/>
      <c r="AAZ146" s="548"/>
      <c r="ABA146" s="548"/>
      <c r="ABB146" s="548"/>
      <c r="ABC146" s="548"/>
      <c r="ABD146" s="548"/>
      <c r="ABE146" s="548"/>
      <c r="ABF146" s="548"/>
      <c r="ABG146" s="548"/>
      <c r="ABH146" s="548"/>
      <c r="ABI146" s="548"/>
      <c r="ABJ146" s="548"/>
      <c r="ABK146" s="548"/>
      <c r="ABL146" s="548"/>
      <c r="ABM146" s="548"/>
      <c r="ABN146" s="548"/>
      <c r="ABO146" s="548"/>
      <c r="ABP146" s="548"/>
      <c r="ABQ146" s="548"/>
      <c r="ABR146" s="548"/>
      <c r="ABS146" s="548"/>
    </row>
    <row r="147" spans="1:747" customFormat="1" ht="15" customHeight="1" thickBot="1" x14ac:dyDescent="0.25">
      <c r="A147" s="424" t="str">
        <f t="shared" si="1687"/>
        <v/>
      </c>
      <c r="B147" s="415"/>
      <c r="C147" s="525"/>
      <c r="D147" s="750"/>
      <c r="E147" s="416" t="str">
        <f t="shared" si="1529"/>
        <v/>
      </c>
      <c r="F147" s="527" t="str">
        <f t="shared" si="1530"/>
        <v/>
      </c>
      <c r="G147" s="417"/>
      <c r="H147" s="585" t="str">
        <f t="shared" si="1531"/>
        <v/>
      </c>
      <c r="I147" s="424"/>
      <c r="J147" s="419"/>
      <c r="K147" s="418"/>
      <c r="L147" s="419"/>
      <c r="M147" s="415"/>
      <c r="N147" s="420"/>
      <c r="O147" s="421"/>
      <c r="P147" s="561"/>
      <c r="Q147" s="422"/>
      <c r="R147" s="561" t="str">
        <f t="shared" si="1532"/>
        <v/>
      </c>
      <c r="S147" s="664"/>
      <c r="T147" s="663"/>
      <c r="U147" s="580">
        <f t="shared" si="1533"/>
        <v>0</v>
      </c>
      <c r="V147" s="418"/>
      <c r="W147" s="582" t="str">
        <f t="shared" si="1534"/>
        <v/>
      </c>
      <c r="X147" s="479" t="str">
        <f t="shared" si="1535"/>
        <v/>
      </c>
      <c r="Y147" s="582" t="str">
        <f t="shared" si="1536"/>
        <v/>
      </c>
      <c r="Z147" s="317" t="str">
        <f t="shared" si="1537"/>
        <v/>
      </c>
      <c r="AA147" s="317" t="str">
        <f t="shared" si="1538"/>
        <v/>
      </c>
      <c r="AB147" s="317">
        <f t="shared" si="1539"/>
        <v>0</v>
      </c>
      <c r="AC147" s="317" t="str">
        <f t="shared" si="1540"/>
        <v/>
      </c>
      <c r="AD147" s="479"/>
      <c r="AE147" s="479"/>
      <c r="AF147" s="479"/>
      <c r="AG147" s="423"/>
      <c r="AH147" s="820"/>
      <c r="AI147" s="437"/>
      <c r="AJ147" s="660"/>
      <c r="AK147" s="524" t="str">
        <f t="shared" si="1541"/>
        <v/>
      </c>
      <c r="AL147" s="748" t="str">
        <f>IF(Dados!$E$3="","",($JQ$2+$JS$2)-$AL$146)</f>
        <v/>
      </c>
      <c r="AM147" s="753" t="str">
        <f>IF(Dados!$E$3="","",($JU$2+$JW$2)-$AM$146)</f>
        <v/>
      </c>
      <c r="AN147" s="426">
        <f t="shared" si="1542"/>
        <v>0</v>
      </c>
      <c r="AO147" s="427" t="str">
        <f t="shared" si="1543"/>
        <v/>
      </c>
      <c r="AP147" s="426" t="str">
        <f t="shared" si="1544"/>
        <v/>
      </c>
      <c r="AQ147" s="426"/>
      <c r="AR147" s="426"/>
      <c r="AS147" s="428"/>
      <c r="AT147" s="429"/>
      <c r="AU147" s="430"/>
      <c r="AV147" s="431"/>
      <c r="AW147" s="432"/>
      <c r="AX147" s="430"/>
      <c r="AY147" s="431">
        <f t="shared" si="1545"/>
        <v>0</v>
      </c>
      <c r="AZ147" s="426"/>
      <c r="BA147" s="435" t="str">
        <f t="shared" si="1546"/>
        <v/>
      </c>
      <c r="BB147" s="435"/>
      <c r="BC147" s="426"/>
      <c r="BD147" s="426">
        <f t="array" ref="BD147">IF(SUM((BC147=$BC$3:BC146)*1)=0,BC147,0)</f>
        <v>0</v>
      </c>
      <c r="BE147" s="426"/>
      <c r="BF147" s="426"/>
      <c r="BG147" s="426">
        <f t="array" ref="BG147">IF(SUM((BF147=$BF$3:BF146)*1)=0,BF147,0)</f>
        <v>0</v>
      </c>
      <c r="BH147" s="426"/>
      <c r="BI147" s="426"/>
      <c r="BJ147" s="426"/>
      <c r="BK147" s="426"/>
      <c r="BL147" s="426"/>
      <c r="BM147" s="426"/>
      <c r="BN147" s="426"/>
      <c r="BO147" s="426"/>
      <c r="BP147" s="433">
        <f t="shared" si="1547"/>
        <v>0</v>
      </c>
      <c r="BQ147" s="426"/>
      <c r="BR147" s="434"/>
      <c r="BS147" s="426"/>
      <c r="BT147" s="433"/>
      <c r="BU147" s="435"/>
      <c r="BV147" s="435" t="str">
        <f t="shared" si="1548"/>
        <v/>
      </c>
      <c r="BW147" s="435" t="str">
        <f t="shared" si="1576"/>
        <v/>
      </c>
      <c r="BX147" s="435"/>
      <c r="BY147" s="435"/>
      <c r="BZ147" s="435"/>
      <c r="CA147" s="435"/>
      <c r="CB147" s="435"/>
      <c r="CC147" s="435"/>
      <c r="CD147" s="435"/>
      <c r="CE147" s="435"/>
      <c r="CF147" s="435"/>
      <c r="CG147" s="435"/>
      <c r="CH147" s="435"/>
      <c r="CI147" s="435"/>
      <c r="CJ147" s="426" t="str">
        <f t="shared" si="1577"/>
        <v/>
      </c>
      <c r="CK147" s="435"/>
      <c r="CL147" s="426"/>
      <c r="CM147" s="435"/>
      <c r="CN147" s="426"/>
      <c r="CO147" s="426"/>
      <c r="CP147" s="426"/>
      <c r="CQ147" s="426"/>
      <c r="CR147" s="426"/>
      <c r="CS147" s="426"/>
      <c r="CT147" s="426"/>
      <c r="CU147" s="426"/>
      <c r="CV147" s="426"/>
      <c r="CW147" s="493"/>
      <c r="CX147" s="493"/>
      <c r="CY147" s="426">
        <v>144</v>
      </c>
      <c r="CZ147" s="493"/>
      <c r="DA147" s="493"/>
      <c r="DB147" s="493"/>
      <c r="DC147" s="426" t="s">
        <v>887</v>
      </c>
      <c r="DD147" s="426" t="s">
        <v>1047</v>
      </c>
      <c r="DE147" s="435" t="str">
        <f t="shared" si="1578"/>
        <v/>
      </c>
      <c r="DF147" s="435" t="str">
        <f t="shared" si="1579"/>
        <v/>
      </c>
      <c r="DG147" s="435" t="str">
        <f t="shared" si="1580"/>
        <v/>
      </c>
      <c r="DH147" s="435" t="str">
        <f t="shared" si="1581"/>
        <v/>
      </c>
      <c r="DI147" s="435" t="str">
        <f t="shared" si="1582"/>
        <v/>
      </c>
      <c r="DJ147" s="435" t="str">
        <f t="shared" si="1583"/>
        <v/>
      </c>
      <c r="DK147" s="435" t="str">
        <f t="shared" si="1549"/>
        <v/>
      </c>
      <c r="DL147" s="435" t="str">
        <f t="shared" si="1550"/>
        <v/>
      </c>
      <c r="DM147" s="435" t="str">
        <f t="shared" si="1584"/>
        <v/>
      </c>
      <c r="DN147" s="435" t="str">
        <f t="shared" si="1585"/>
        <v/>
      </c>
      <c r="DO147" s="435" t="str">
        <f t="shared" si="1551"/>
        <v/>
      </c>
      <c r="DP147" s="435" t="str">
        <f t="shared" si="1552"/>
        <v/>
      </c>
      <c r="DQ147" s="435" t="str">
        <f t="shared" si="1586"/>
        <v/>
      </c>
      <c r="DR147" s="435" t="str">
        <f t="shared" si="1587"/>
        <v/>
      </c>
      <c r="DS147" s="435" t="str">
        <f t="shared" si="1553"/>
        <v/>
      </c>
      <c r="DT147" s="435" t="str">
        <f t="shared" si="1554"/>
        <v/>
      </c>
      <c r="DU147" s="435" t="str">
        <f t="shared" si="1588"/>
        <v/>
      </c>
      <c r="DV147" s="435" t="str">
        <f t="shared" si="1589"/>
        <v/>
      </c>
      <c r="DW147" s="435" t="str">
        <f t="shared" si="1555"/>
        <v/>
      </c>
      <c r="DX147" s="435" t="str">
        <f t="shared" si="1556"/>
        <v/>
      </c>
      <c r="DY147" s="435" t="str">
        <f t="shared" si="1590"/>
        <v/>
      </c>
      <c r="DZ147" s="435" t="str">
        <f t="shared" si="1591"/>
        <v/>
      </c>
      <c r="EA147" s="435" t="str">
        <f t="shared" si="1557"/>
        <v/>
      </c>
      <c r="EB147" s="435" t="str">
        <f t="shared" si="1558"/>
        <v/>
      </c>
      <c r="EC147" s="435" t="str">
        <f t="shared" si="1559"/>
        <v/>
      </c>
      <c r="ED147" s="435" t="str">
        <f t="shared" si="1560"/>
        <v/>
      </c>
      <c r="EE147" s="435" t="str">
        <f t="shared" si="1561"/>
        <v/>
      </c>
      <c r="EF147" s="435" t="str">
        <f t="shared" si="1562"/>
        <v/>
      </c>
      <c r="EG147" s="435" t="str">
        <f t="shared" si="1563"/>
        <v/>
      </c>
      <c r="EH147" s="435" t="str">
        <f t="shared" si="1564"/>
        <v/>
      </c>
      <c r="EI147" s="435" t="str">
        <f t="shared" si="1565"/>
        <v/>
      </c>
      <c r="EJ147" s="435" t="str">
        <f t="shared" si="1566"/>
        <v/>
      </c>
      <c r="EK147" s="485"/>
      <c r="EL147" s="485"/>
      <c r="EM147" s="485"/>
      <c r="EN147" s="485"/>
      <c r="EO147" s="448"/>
      <c r="EP147" s="448"/>
      <c r="EQ147" s="448"/>
      <c r="ER147" s="448"/>
      <c r="ES147" s="448"/>
      <c r="ET147" s="435"/>
      <c r="EU147" s="435"/>
      <c r="EV147" s="435"/>
      <c r="EW147" s="435"/>
      <c r="EX147" s="426"/>
      <c r="EY147" s="426"/>
      <c r="EZ147" s="426"/>
      <c r="FA147" s="863"/>
      <c r="FB147" s="427">
        <f t="array" ref="FB147">IF(SUM((FA147=$FA$3:FA146)*1)=0,FA147,0)</f>
        <v>0</v>
      </c>
      <c r="FC147" s="863"/>
      <c r="FD147" s="863"/>
      <c r="FE147" s="863">
        <f t="array" ref="FE147">IF(SUM((FD147=$FD$3:FD146)*1)=0,FD147,0)</f>
        <v>0</v>
      </c>
      <c r="FF147" s="863"/>
      <c r="FG147" s="863"/>
      <c r="FH147" s="863"/>
      <c r="FI147" s="427">
        <f t="array" ref="FI147">IF(SUM((FH147=$FH$3:FH146)*1)=0,FH147,0)</f>
        <v>0</v>
      </c>
      <c r="FJ147" s="863"/>
      <c r="FK147" s="863"/>
      <c r="FL147" s="863">
        <f t="array" ref="FL147">IF(SUM((FK147=$FK$3:FK146)*1)=0,FK147,0)</f>
        <v>0</v>
      </c>
      <c r="FM147" s="863"/>
      <c r="FN147" s="863"/>
      <c r="FO147" s="863"/>
      <c r="FP147" s="427">
        <f t="array" ref="FP147">IF(SUM((FO147=$FO$3:FO146)*1)=0,FO147,0)</f>
        <v>0</v>
      </c>
      <c r="FQ147" s="863"/>
      <c r="FR147" s="863"/>
      <c r="FS147" s="863">
        <f t="array" ref="FS147">IF(SUM((FR147=$FR$3:FR146)*1)=0,FR147,0)</f>
        <v>0</v>
      </c>
      <c r="FT147" s="863"/>
      <c r="FU147" s="863"/>
      <c r="FV147" s="863"/>
      <c r="FW147" s="427">
        <f t="array" ref="FW147">IF(SUM((FV147=$FV$3:FV146)*1)=0,FV147,0)</f>
        <v>0</v>
      </c>
      <c r="FX147" s="863"/>
      <c r="FY147" s="863"/>
      <c r="FZ147" s="863">
        <f t="array" ref="FZ147">IF(SUM((FY147=$FY$3:FY146)*1)=0,FY147,0)</f>
        <v>0</v>
      </c>
      <c r="GA147" s="863"/>
      <c r="GB147" s="863"/>
      <c r="GC147" s="863"/>
      <c r="GD147" s="427">
        <f t="array" ref="GD147">IF(SUM((GC147=$GC$3:GC146)*1)=0,GC147,0)</f>
        <v>0</v>
      </c>
      <c r="GE147" s="863"/>
      <c r="GF147" s="863"/>
      <c r="GG147" s="863">
        <f t="array" ref="GG147">IF(SUM((GF147=$GF$3:GF146)*1)=0,GF147,0)</f>
        <v>0</v>
      </c>
      <c r="GH147" s="863"/>
      <c r="GI147" s="863"/>
      <c r="GJ147" s="863"/>
      <c r="GK147" s="798">
        <f t="array" ref="GK147">IF(SUM((GJ147=$GJ$3:GJ146)*1)=0,GJ147,0)</f>
        <v>0</v>
      </c>
      <c r="GL147" s="863"/>
      <c r="GM147" s="863"/>
      <c r="GN147" s="798">
        <f t="array" ref="GN147">IF(SUM((GM147=$GM$3:GM146)*1)=0,GM147,0)</f>
        <v>0</v>
      </c>
      <c r="GO147" s="863"/>
      <c r="GP147" s="863"/>
      <c r="GQ147" s="863"/>
      <c r="GR147" s="798">
        <f t="array" ref="GR147">IF(SUM((GQ147=$GQ$3:GQ146)*1)=0,GQ147,0)</f>
        <v>0</v>
      </c>
      <c r="GS147" s="863"/>
      <c r="GT147" s="863"/>
      <c r="GU147" s="798">
        <f t="array" ref="GU147">IF(SUM((GT147=$GT$3:GT146)*1)=0,GT147,0)</f>
        <v>0</v>
      </c>
      <c r="GV147" s="863"/>
      <c r="GW147" s="863"/>
      <c r="GX147" s="863"/>
      <c r="GY147" s="798">
        <f t="array" ref="GY147">IF(SUM((GX147=$GX$3:GX146)*1)=0,GX147,0)</f>
        <v>0</v>
      </c>
      <c r="GZ147" s="863"/>
      <c r="HA147" s="863"/>
      <c r="HB147" s="798">
        <f t="array" ref="HB147">IF(SUM((HA147=$HA$3:HA146)*1)=0,HA147,0)</f>
        <v>0</v>
      </c>
      <c r="HC147" s="863"/>
      <c r="HD147" s="863"/>
      <c r="HE147" s="769" t="str">
        <f t="shared" si="1667"/>
        <v/>
      </c>
      <c r="HF147" s="768" t="str">
        <f t="shared" ref="HF147" si="1796">IF(HE147&lt;0,"Invadiu REP-BA-C","")</f>
        <v/>
      </c>
      <c r="HG147" s="769" t="str">
        <f t="shared" si="1669"/>
        <v/>
      </c>
      <c r="HH147" s="768" t="str">
        <f t="shared" si="1593"/>
        <v/>
      </c>
      <c r="HI147" s="728" t="str">
        <f t="shared" si="1670"/>
        <v/>
      </c>
      <c r="HJ147" s="768" t="str">
        <f t="shared" si="1594"/>
        <v/>
      </c>
      <c r="HK147" s="728" t="str">
        <f t="shared" si="1671"/>
        <v/>
      </c>
      <c r="HL147" s="768" t="str">
        <f t="shared" si="1595"/>
        <v/>
      </c>
      <c r="HM147" s="769" t="str">
        <f t="shared" si="1596"/>
        <v/>
      </c>
      <c r="HN147" s="768" t="str">
        <f t="shared" ref="HN147" si="1797">IF(HM147&lt;0,"Invadiu REP-BA-C","")</f>
        <v/>
      </c>
      <c r="HO147" s="769" t="str">
        <f t="shared" si="1598"/>
        <v/>
      </c>
      <c r="HP147" s="768" t="str">
        <f t="shared" si="1599"/>
        <v/>
      </c>
      <c r="HQ147" s="728" t="str">
        <f t="shared" si="1600"/>
        <v/>
      </c>
      <c r="HR147" s="768" t="str">
        <f t="shared" si="1601"/>
        <v/>
      </c>
      <c r="HS147" s="728" t="str">
        <f t="shared" si="1602"/>
        <v/>
      </c>
      <c r="HT147" s="768" t="str">
        <f t="shared" si="1603"/>
        <v/>
      </c>
      <c r="HU147" s="769" t="str">
        <f t="shared" si="1604"/>
        <v/>
      </c>
      <c r="HV147" s="768" t="str">
        <f t="shared" ref="HV147" si="1798">IF(HU147&lt;0,"Invadiu REP-BA-C","")</f>
        <v/>
      </c>
      <c r="HW147" s="769" t="str">
        <f t="shared" si="1606"/>
        <v/>
      </c>
      <c r="HX147" s="768" t="str">
        <f t="shared" si="1607"/>
        <v/>
      </c>
      <c r="HY147" s="728" t="str">
        <f t="shared" si="1608"/>
        <v/>
      </c>
      <c r="HZ147" s="768" t="str">
        <f t="shared" si="1609"/>
        <v/>
      </c>
      <c r="IA147" s="728" t="str">
        <f t="shared" si="1610"/>
        <v/>
      </c>
      <c r="IB147" s="768" t="str">
        <f t="shared" si="1611"/>
        <v/>
      </c>
      <c r="IC147" s="769" t="str">
        <f t="shared" si="1612"/>
        <v/>
      </c>
      <c r="ID147" s="768" t="str">
        <f t="shared" ref="ID147" si="1799">IF(IC147&lt;0,"Invadiu REP-BA-C","")</f>
        <v/>
      </c>
      <c r="IE147" s="769" t="str">
        <f t="shared" si="1614"/>
        <v/>
      </c>
      <c r="IF147" s="768" t="str">
        <f t="shared" si="1615"/>
        <v/>
      </c>
      <c r="IG147" s="728" t="str">
        <f t="shared" si="1616"/>
        <v/>
      </c>
      <c r="IH147" s="768" t="str">
        <f t="shared" si="1617"/>
        <v/>
      </c>
      <c r="II147" s="728" t="str">
        <f t="shared" si="1618"/>
        <v/>
      </c>
      <c r="IJ147" s="768" t="str">
        <f t="shared" si="1619"/>
        <v/>
      </c>
      <c r="IK147" s="769" t="str">
        <f t="shared" si="1620"/>
        <v/>
      </c>
      <c r="IL147" s="768" t="str">
        <f t="shared" ref="IL147" si="1800">IF(IK147&lt;0,"Invadiu REP-BA-C","")</f>
        <v/>
      </c>
      <c r="IM147" s="769" t="str">
        <f t="shared" si="1622"/>
        <v/>
      </c>
      <c r="IN147" s="768" t="str">
        <f t="shared" si="1623"/>
        <v/>
      </c>
      <c r="IO147" s="728" t="str">
        <f t="shared" si="1624"/>
        <v/>
      </c>
      <c r="IP147" s="768" t="str">
        <f t="shared" si="1625"/>
        <v/>
      </c>
      <c r="IQ147" s="728" t="str">
        <f t="shared" si="1626"/>
        <v/>
      </c>
      <c r="IR147" s="768" t="str">
        <f t="shared" si="1627"/>
        <v/>
      </c>
      <c r="IS147" s="769" t="str">
        <f t="shared" si="1628"/>
        <v/>
      </c>
      <c r="IT147" s="768" t="str">
        <f t="shared" ref="IT147" si="1801">IF(IS147&lt;0,"Invadiu REP-BA-C","")</f>
        <v/>
      </c>
      <c r="IU147" s="769" t="str">
        <f t="shared" si="1630"/>
        <v/>
      </c>
      <c r="IV147" s="768" t="str">
        <f t="shared" si="1631"/>
        <v/>
      </c>
      <c r="IW147" s="728" t="str">
        <f t="shared" si="1632"/>
        <v/>
      </c>
      <c r="IX147" s="768" t="str">
        <f t="shared" si="1633"/>
        <v/>
      </c>
      <c r="IY147" s="728" t="str">
        <f t="shared" si="1634"/>
        <v/>
      </c>
      <c r="IZ147" s="768" t="str">
        <f t="shared" si="1635"/>
        <v/>
      </c>
      <c r="JA147" s="769" t="str">
        <f t="shared" si="1636"/>
        <v/>
      </c>
      <c r="JB147" s="768" t="str">
        <f t="shared" ref="JB147" si="1802">IF(JA147&lt;0,"Invadiu REP-BA-C","")</f>
        <v/>
      </c>
      <c r="JC147" s="769" t="str">
        <f t="shared" si="1638"/>
        <v/>
      </c>
      <c r="JD147" s="768" t="str">
        <f t="shared" si="1639"/>
        <v/>
      </c>
      <c r="JE147" s="728" t="str">
        <f t="shared" si="1640"/>
        <v/>
      </c>
      <c r="JF147" s="768" t="str">
        <f t="shared" si="1641"/>
        <v/>
      </c>
      <c r="JG147" s="728" t="str">
        <f t="shared" si="1642"/>
        <v/>
      </c>
      <c r="JH147" s="768" t="str">
        <f t="shared" si="1643"/>
        <v/>
      </c>
      <c r="JI147" s="769" t="str">
        <f t="shared" si="1644"/>
        <v/>
      </c>
      <c r="JJ147" s="768" t="str">
        <f t="shared" ref="JJ147" si="1803">IF(JI147&lt;0,"Invadiu REP-BA-C","")</f>
        <v/>
      </c>
      <c r="JK147" s="769" t="str">
        <f t="shared" si="1646"/>
        <v/>
      </c>
      <c r="JL147" s="768" t="str">
        <f t="shared" si="1647"/>
        <v/>
      </c>
      <c r="JM147" s="728" t="str">
        <f t="shared" si="1648"/>
        <v/>
      </c>
      <c r="JN147" s="768" t="str">
        <f t="shared" si="1649"/>
        <v/>
      </c>
      <c r="JO147" s="728" t="str">
        <f t="shared" si="1650"/>
        <v/>
      </c>
      <c r="JP147" s="768" t="str">
        <f t="shared" si="1651"/>
        <v/>
      </c>
      <c r="JQ147" s="769" t="str">
        <f t="shared" si="1652"/>
        <v/>
      </c>
      <c r="JR147" s="768" t="str">
        <f t="shared" ref="JR147" si="1804">IF(JQ147&lt;0,"Invadiu REP-BA-C","")</f>
        <v/>
      </c>
      <c r="JS147" s="769" t="str">
        <f t="shared" si="1654"/>
        <v/>
      </c>
      <c r="JT147" s="768" t="str">
        <f t="shared" si="1655"/>
        <v/>
      </c>
      <c r="JU147" s="728" t="str">
        <f t="shared" si="1656"/>
        <v/>
      </c>
      <c r="JV147" s="768" t="str">
        <f t="shared" si="1657"/>
        <v/>
      </c>
      <c r="JW147" s="728" t="str">
        <f t="shared" si="1658"/>
        <v/>
      </c>
      <c r="JX147" s="768" t="str">
        <f t="shared" si="1659"/>
        <v/>
      </c>
      <c r="JY147" s="768" t="str">
        <f t="shared" si="1660"/>
        <v/>
      </c>
      <c r="JZ147" s="485" t="str">
        <f>IF(JY147="","",IF(AND(C147=$C$164,JY147&lt;&gt;""),Verificarcpf(D147),IF(AND(C147=$C$165,JY147&lt;&gt;""),VerificarCNPJ(D147))))</f>
        <v/>
      </c>
      <c r="KA147" s="768" t="str">
        <f t="shared" si="1661"/>
        <v/>
      </c>
      <c r="KB147" s="485">
        <f t="shared" si="1662"/>
        <v>0</v>
      </c>
      <c r="KC147" s="768">
        <f t="shared" si="1663"/>
        <v>0</v>
      </c>
      <c r="KD147" s="485">
        <f t="shared" si="1664"/>
        <v>0</v>
      </c>
      <c r="KE147" s="448"/>
      <c r="KF147" s="548"/>
      <c r="KG147" s="548"/>
      <c r="KH147" s="548"/>
      <c r="KI147" s="548"/>
      <c r="KJ147" s="548" t="str">
        <f t="shared" si="1665"/>
        <v/>
      </c>
      <c r="KK147" s="548"/>
      <c r="KL147" s="548"/>
      <c r="KM147" s="548">
        <f t="array" ref="KM147">IF(SUM((KL147=$KL$3:KL146)*1)=0,KL147,0)</f>
        <v>0</v>
      </c>
      <c r="KN147" s="548"/>
      <c r="KO147" s="548"/>
      <c r="KP147" s="548"/>
      <c r="KQ147" s="548"/>
      <c r="KR147" s="548" t="str">
        <f t="shared" si="1666"/>
        <v/>
      </c>
      <c r="KS147" s="548"/>
      <c r="KT147" s="548"/>
      <c r="KU147" s="548"/>
      <c r="KV147" s="548"/>
      <c r="KW147" s="548"/>
      <c r="KX147" s="548"/>
      <c r="KY147" s="548"/>
      <c r="KZ147" s="548"/>
      <c r="LA147" s="548"/>
      <c r="LB147" s="548"/>
      <c r="LC147" s="485" t="str">
        <f t="shared" si="1680"/>
        <v/>
      </c>
      <c r="LD147" s="548"/>
      <c r="LE147" s="548"/>
      <c r="LF147" s="548"/>
      <c r="LG147" s="548"/>
      <c r="LH147" s="548"/>
      <c r="LI147" s="548"/>
      <c r="LJ147" s="548"/>
      <c r="LK147" s="548"/>
      <c r="LL147" s="548"/>
      <c r="LM147" s="548"/>
      <c r="LN147" s="548"/>
      <c r="LO147" s="548"/>
      <c r="LP147" s="485" t="str">
        <f t="shared" si="1681"/>
        <v/>
      </c>
      <c r="LQ147" s="548"/>
      <c r="LR147" s="548"/>
      <c r="LS147" s="548"/>
      <c r="LT147" s="548"/>
      <c r="LU147" s="548"/>
      <c r="LV147" s="548"/>
      <c r="LW147" s="548"/>
      <c r="LX147" s="548"/>
      <c r="LY147" s="548"/>
      <c r="LZ147" s="548"/>
      <c r="MA147" s="548"/>
      <c r="MB147" s="548"/>
      <c r="MC147" s="485" t="str">
        <f t="shared" si="1682"/>
        <v/>
      </c>
      <c r="MD147" s="548"/>
      <c r="ME147" s="548"/>
      <c r="MF147" s="548"/>
      <c r="MG147" s="548"/>
      <c r="MH147" s="548"/>
      <c r="MI147" s="548"/>
      <c r="MJ147" s="548"/>
      <c r="MK147" s="548"/>
      <c r="ML147" s="548"/>
      <c r="MM147" s="548"/>
      <c r="MN147" s="548"/>
      <c r="MO147" s="548"/>
      <c r="MP147" s="485" t="str">
        <f t="shared" si="1683"/>
        <v/>
      </c>
      <c r="MQ147" s="548"/>
      <c r="MR147" s="548"/>
      <c r="MS147" s="548"/>
      <c r="MT147" s="548"/>
      <c r="MU147" s="548"/>
      <c r="MV147" s="548"/>
      <c r="MW147" s="548"/>
      <c r="MX147" s="548"/>
      <c r="MY147" s="548"/>
      <c r="MZ147" s="548"/>
      <c r="NA147" s="548"/>
      <c r="NB147" s="548"/>
      <c r="NC147" s="485" t="str">
        <f t="shared" si="1684"/>
        <v/>
      </c>
      <c r="ND147" s="548"/>
      <c r="NE147" s="548"/>
      <c r="NF147" s="548"/>
      <c r="NG147" s="548"/>
      <c r="NH147" s="548"/>
      <c r="NI147" s="548"/>
      <c r="NJ147" s="548"/>
      <c r="NK147" s="548"/>
      <c r="NL147" s="548"/>
      <c r="NM147" s="548"/>
      <c r="NN147" s="548"/>
      <c r="NO147" s="548"/>
      <c r="NP147" s="485" t="str">
        <f t="shared" si="1685"/>
        <v/>
      </c>
      <c r="NQ147" s="548"/>
      <c r="NR147" s="548"/>
      <c r="NS147" s="548"/>
      <c r="NT147" s="548"/>
      <c r="NU147" s="548"/>
      <c r="NV147" s="548"/>
      <c r="NW147" s="548"/>
      <c r="NX147" s="548"/>
      <c r="NY147" s="548"/>
      <c r="NZ147" s="548"/>
      <c r="OA147" s="548"/>
      <c r="OB147" s="548"/>
      <c r="OC147" s="485" t="str">
        <f t="shared" si="1686"/>
        <v/>
      </c>
      <c r="OD147" s="548"/>
      <c r="OE147" s="548"/>
      <c r="OF147" s="548"/>
      <c r="OG147" s="548"/>
      <c r="OH147" s="548"/>
      <c r="OI147" s="548"/>
      <c r="OJ147" s="548"/>
      <c r="OK147" s="548"/>
      <c r="OL147" s="548"/>
      <c r="OM147" s="548"/>
      <c r="ON147" s="548"/>
      <c r="OO147" s="548"/>
      <c r="OP147" s="548"/>
      <c r="OQ147" s="548"/>
      <c r="OR147" s="548"/>
      <c r="OS147" s="548"/>
      <c r="OT147" s="548"/>
      <c r="OU147" s="548"/>
      <c r="OV147" s="548"/>
      <c r="OW147" s="548"/>
      <c r="OX147" s="548"/>
      <c r="OY147" s="548"/>
      <c r="OZ147" s="548"/>
      <c r="PA147" s="548"/>
      <c r="PB147" s="548"/>
      <c r="PC147" s="548"/>
      <c r="PD147" s="548"/>
      <c r="PE147" s="548"/>
      <c r="PF147" s="548"/>
      <c r="PG147" s="548"/>
      <c r="PH147" s="548"/>
      <c r="PI147" s="548"/>
      <c r="PJ147" s="548"/>
      <c r="PK147" s="548"/>
      <c r="PL147" s="548"/>
      <c r="PM147" s="548"/>
      <c r="PN147" s="548"/>
      <c r="PO147" s="548"/>
      <c r="PP147" s="548"/>
      <c r="PQ147" s="548"/>
      <c r="PR147" s="548"/>
      <c r="PS147" s="548"/>
      <c r="PT147" s="548"/>
      <c r="PU147" s="548"/>
      <c r="PV147" s="548"/>
      <c r="PW147" s="548"/>
      <c r="PX147" s="548"/>
      <c r="PY147" s="548"/>
      <c r="PZ147" s="548"/>
      <c r="QA147" s="548"/>
      <c r="QB147" s="548"/>
      <c r="QC147" s="548"/>
      <c r="QD147" s="548"/>
      <c r="QE147" s="548"/>
      <c r="QF147" s="548"/>
      <c r="QG147" s="548"/>
      <c r="QH147" s="548"/>
      <c r="QI147" s="548"/>
      <c r="QJ147" s="548"/>
      <c r="QK147" s="548"/>
      <c r="QL147" s="548"/>
      <c r="QM147" s="548"/>
      <c r="QN147" s="548"/>
      <c r="QO147" s="548"/>
      <c r="QP147" s="548"/>
      <c r="QQ147" s="1009"/>
      <c r="QR147" s="548"/>
      <c r="QS147" s="548"/>
      <c r="QT147" s="548"/>
      <c r="QU147" s="548"/>
      <c r="QV147" s="548"/>
      <c r="QW147" s="548"/>
      <c r="QX147" s="548"/>
      <c r="QY147" s="548"/>
      <c r="QZ147" s="548"/>
      <c r="RA147" s="548"/>
      <c r="RB147" s="548"/>
      <c r="RC147" s="548"/>
      <c r="RD147" s="548"/>
      <c r="RE147" s="548"/>
      <c r="RF147" s="548"/>
      <c r="RG147" s="548"/>
      <c r="RH147" s="548"/>
      <c r="RI147" s="548"/>
      <c r="RJ147" s="548"/>
      <c r="RK147" s="548"/>
      <c r="RL147" s="548"/>
      <c r="RM147" s="548"/>
      <c r="RN147" s="548"/>
      <c r="RO147" s="548"/>
      <c r="RP147" s="548"/>
      <c r="RQ147" s="548"/>
      <c r="RR147" s="548"/>
      <c r="RS147" s="548"/>
      <c r="RT147" s="548"/>
      <c r="RU147" s="548"/>
      <c r="RV147" s="548"/>
      <c r="RW147" s="548"/>
      <c r="RX147" s="548"/>
      <c r="RY147" s="548"/>
      <c r="RZ147" s="548"/>
      <c r="SA147" s="548"/>
      <c r="SB147" s="548"/>
      <c r="SC147" s="548"/>
      <c r="SD147" s="548"/>
      <c r="SE147" s="548"/>
      <c r="SF147" s="548"/>
      <c r="SG147" s="548"/>
      <c r="SH147" s="548"/>
      <c r="SI147" s="548"/>
      <c r="SJ147" s="548"/>
      <c r="SK147" s="548"/>
      <c r="SL147" s="548"/>
      <c r="SM147" s="548"/>
      <c r="SN147" s="548"/>
      <c r="SO147" s="548"/>
      <c r="SP147" s="548"/>
      <c r="SQ147" s="548"/>
      <c r="SR147" s="548"/>
      <c r="SS147" s="548"/>
      <c r="ST147" s="548"/>
      <c r="SU147" s="548"/>
      <c r="SV147" s="548"/>
      <c r="SW147" s="548"/>
      <c r="SX147" s="548"/>
      <c r="SY147" s="548"/>
      <c r="SZ147" s="548"/>
      <c r="TA147" s="548"/>
      <c r="TB147" s="548"/>
      <c r="TC147" s="548"/>
      <c r="TD147" s="548"/>
      <c r="TE147" s="548"/>
      <c r="TF147" s="548"/>
      <c r="TG147" s="548"/>
      <c r="TH147" s="548"/>
      <c r="TI147" s="548"/>
      <c r="TJ147" s="548"/>
      <c r="TK147" s="548"/>
      <c r="TL147" s="548"/>
      <c r="TM147" s="548"/>
      <c r="TN147" s="548"/>
      <c r="TO147" s="548"/>
      <c r="TP147" s="548"/>
      <c r="TQ147" s="548"/>
      <c r="TR147" s="548"/>
      <c r="TS147" s="548"/>
      <c r="TT147" s="548"/>
      <c r="TU147" s="548"/>
      <c r="TV147" s="548"/>
      <c r="TW147" s="548"/>
      <c r="TX147" s="548"/>
      <c r="TY147" s="548"/>
      <c r="TZ147" s="548"/>
      <c r="UA147" s="548"/>
      <c r="UB147" s="548"/>
      <c r="UC147" s="548"/>
      <c r="UD147" s="548"/>
      <c r="UE147" s="548"/>
      <c r="UF147" s="548"/>
      <c r="UG147" s="548"/>
      <c r="UH147" s="548"/>
      <c r="UI147" s="548"/>
      <c r="UJ147" s="548"/>
      <c r="UK147" s="548"/>
      <c r="UL147" s="548"/>
      <c r="UM147" s="548"/>
      <c r="UN147" s="548"/>
      <c r="UO147" s="548"/>
      <c r="UP147" s="548"/>
      <c r="UQ147" s="548"/>
      <c r="UR147" s="548"/>
      <c r="US147" s="548"/>
      <c r="UT147" s="548"/>
      <c r="UU147" s="548"/>
      <c r="UV147" s="548"/>
      <c r="UW147" s="548"/>
      <c r="UX147" s="548"/>
      <c r="UY147" s="548"/>
      <c r="UZ147" s="548"/>
      <c r="VA147" s="548"/>
      <c r="VB147" s="548"/>
      <c r="VC147" s="548"/>
      <c r="VD147" s="548"/>
      <c r="VE147" s="548"/>
      <c r="VF147" s="548"/>
      <c r="VG147" s="548"/>
      <c r="VH147" s="548"/>
      <c r="VI147" s="548"/>
      <c r="VJ147" s="548"/>
      <c r="VK147" s="548"/>
      <c r="VL147" s="548"/>
      <c r="VM147" s="548"/>
      <c r="VN147" s="548"/>
      <c r="VO147" s="548"/>
      <c r="VP147" s="548"/>
      <c r="VQ147" s="548"/>
      <c r="VR147" s="548"/>
      <c r="VS147" s="548"/>
      <c r="VT147" s="548"/>
      <c r="VU147" s="548"/>
      <c r="VV147" s="548"/>
      <c r="VW147" s="548"/>
      <c r="VX147" s="548"/>
      <c r="VY147" s="548"/>
      <c r="VZ147" s="548"/>
      <c r="WA147" s="548"/>
      <c r="WB147" s="548"/>
      <c r="WC147" s="548"/>
      <c r="WD147" s="548"/>
      <c r="WE147" s="548"/>
      <c r="WF147" s="548"/>
      <c r="WG147" s="548"/>
      <c r="WH147" s="548"/>
      <c r="WI147" s="548"/>
      <c r="WJ147" s="548"/>
      <c r="WK147" s="548"/>
      <c r="WL147" s="548"/>
      <c r="WM147" s="548"/>
      <c r="WN147" s="548"/>
      <c r="WO147" s="548"/>
      <c r="WP147" s="548"/>
      <c r="WQ147" s="548"/>
      <c r="WR147" s="548"/>
      <c r="WS147" s="548"/>
      <c r="WT147" s="548"/>
      <c r="WU147" s="548"/>
      <c r="WV147" s="548"/>
      <c r="WW147" s="548"/>
      <c r="WX147" s="548"/>
      <c r="WY147" s="548"/>
      <c r="WZ147" s="548"/>
      <c r="XA147" s="548"/>
      <c r="XB147" s="548"/>
      <c r="XC147" s="548"/>
      <c r="XD147" s="548"/>
      <c r="XE147" s="548"/>
      <c r="XF147" s="548"/>
      <c r="XG147" s="548"/>
      <c r="XH147" s="548"/>
      <c r="XI147" s="548"/>
      <c r="XJ147" s="548"/>
      <c r="XK147" s="548"/>
      <c r="XL147" s="548"/>
      <c r="XM147" s="548"/>
      <c r="XN147" s="548"/>
      <c r="XO147" s="548"/>
      <c r="XP147" s="548"/>
      <c r="XQ147" s="548"/>
      <c r="XR147" s="548"/>
      <c r="XS147" s="548"/>
      <c r="XT147" s="548"/>
      <c r="XU147" s="548"/>
      <c r="XV147" s="548"/>
      <c r="XW147" s="548"/>
      <c r="XX147" s="548"/>
      <c r="XY147" s="548"/>
      <c r="XZ147" s="548"/>
      <c r="YA147" s="548"/>
      <c r="YB147" s="548"/>
      <c r="YC147" s="548"/>
      <c r="YD147" s="548"/>
      <c r="YE147" s="548"/>
      <c r="YF147" s="548"/>
      <c r="YG147" s="548"/>
      <c r="YH147" s="548"/>
      <c r="YI147" s="548"/>
      <c r="YJ147" s="548"/>
      <c r="YK147" s="548"/>
      <c r="YL147" s="548"/>
      <c r="YM147" s="548"/>
      <c r="YN147" s="548"/>
      <c r="YO147" s="548"/>
      <c r="YP147" s="548"/>
      <c r="YQ147" s="548"/>
      <c r="YR147" s="548"/>
      <c r="YS147" s="548"/>
      <c r="YT147" s="548"/>
      <c r="YU147" s="548"/>
      <c r="YV147" s="548"/>
      <c r="YW147" s="548"/>
      <c r="YX147" s="548"/>
      <c r="YY147" s="548"/>
      <c r="YZ147" s="548"/>
      <c r="ZA147" s="548"/>
      <c r="ZB147" s="548"/>
      <c r="ZC147" s="548"/>
      <c r="ZD147" s="548"/>
      <c r="ZE147" s="548"/>
      <c r="ZF147" s="548"/>
      <c r="ZG147" s="548"/>
      <c r="ZH147" s="548"/>
      <c r="ZI147" s="548"/>
      <c r="ZJ147" s="548"/>
      <c r="ZK147" s="548"/>
      <c r="ZL147" s="548"/>
      <c r="ZM147" s="548"/>
      <c r="ZN147" s="548"/>
      <c r="ZO147" s="548"/>
      <c r="ZP147" s="548"/>
      <c r="ZQ147" s="548"/>
      <c r="ZR147" s="548"/>
      <c r="ZS147" s="548"/>
      <c r="ZT147" s="548"/>
      <c r="ZU147" s="548"/>
      <c r="ZV147" s="548"/>
      <c r="ZW147" s="548"/>
      <c r="ZX147" s="548"/>
      <c r="ZY147" s="548"/>
      <c r="ZZ147" s="548"/>
      <c r="AAA147" s="548"/>
      <c r="AAB147" s="548"/>
      <c r="AAC147" s="548"/>
      <c r="AAD147" s="548"/>
      <c r="AAE147" s="548"/>
      <c r="AAF147" s="548"/>
      <c r="AAG147" s="548"/>
      <c r="AAH147" s="548"/>
      <c r="AAI147" s="548"/>
      <c r="AAJ147" s="548"/>
      <c r="AAK147" s="548"/>
      <c r="AAL147" s="548"/>
      <c r="AAM147" s="548"/>
      <c r="AAN147" s="548"/>
      <c r="AAO147" s="548"/>
      <c r="AAP147" s="548"/>
      <c r="AAQ147" s="548"/>
      <c r="AAR147" s="548"/>
      <c r="AAS147" s="548"/>
      <c r="AAT147" s="548"/>
      <c r="AAU147" s="548"/>
      <c r="AAV147" s="548"/>
      <c r="AAW147" s="548"/>
      <c r="AAX147" s="548"/>
      <c r="AAY147" s="548"/>
      <c r="AAZ147" s="548"/>
      <c r="ABA147" s="548"/>
      <c r="ABB147" s="548"/>
      <c r="ABC147" s="548"/>
      <c r="ABD147" s="548"/>
      <c r="ABE147" s="548"/>
      <c r="ABF147" s="548"/>
      <c r="ABG147" s="548"/>
      <c r="ABH147" s="548"/>
      <c r="ABI147" s="548"/>
      <c r="ABJ147" s="548"/>
      <c r="ABK147" s="548"/>
      <c r="ABL147" s="548"/>
      <c r="ABM147" s="548"/>
      <c r="ABN147" s="548"/>
      <c r="ABO147" s="548"/>
      <c r="ABP147" s="548"/>
      <c r="ABQ147" s="548"/>
      <c r="ABR147" s="548"/>
      <c r="ABS147" s="548"/>
    </row>
    <row r="148" spans="1:747" customFormat="1" ht="15" customHeight="1" thickBot="1" x14ac:dyDescent="0.25">
      <c r="A148" s="424" t="str">
        <f t="shared" si="1687"/>
        <v/>
      </c>
      <c r="B148" s="415"/>
      <c r="C148" s="525"/>
      <c r="D148" s="750"/>
      <c r="E148" s="416" t="str">
        <f t="shared" si="1529"/>
        <v/>
      </c>
      <c r="F148" s="527" t="str">
        <f t="shared" si="1530"/>
        <v/>
      </c>
      <c r="G148" s="417"/>
      <c r="H148" s="585" t="str">
        <f t="shared" si="1531"/>
        <v/>
      </c>
      <c r="I148" s="424"/>
      <c r="J148" s="419"/>
      <c r="K148" s="418"/>
      <c r="L148" s="419"/>
      <c r="M148" s="415"/>
      <c r="N148" s="420"/>
      <c r="O148" s="421"/>
      <c r="P148" s="561"/>
      <c r="Q148" s="422"/>
      <c r="R148" s="561" t="str">
        <f t="shared" si="1532"/>
        <v/>
      </c>
      <c r="S148" s="664"/>
      <c r="T148" s="663"/>
      <c r="U148" s="580">
        <f t="shared" si="1533"/>
        <v>0</v>
      </c>
      <c r="V148" s="418"/>
      <c r="W148" s="582" t="str">
        <f t="shared" si="1534"/>
        <v/>
      </c>
      <c r="X148" s="479" t="str">
        <f t="shared" si="1535"/>
        <v/>
      </c>
      <c r="Y148" s="582" t="str">
        <f t="shared" si="1536"/>
        <v/>
      </c>
      <c r="Z148" s="317" t="str">
        <f t="shared" si="1537"/>
        <v/>
      </c>
      <c r="AA148" s="317" t="str">
        <f t="shared" si="1538"/>
        <v/>
      </c>
      <c r="AB148" s="317">
        <f t="shared" si="1539"/>
        <v>0</v>
      </c>
      <c r="AC148" s="317" t="str">
        <f t="shared" si="1540"/>
        <v/>
      </c>
      <c r="AD148" s="479"/>
      <c r="AE148" s="479"/>
      <c r="AF148" s="479"/>
      <c r="AG148" s="423"/>
      <c r="AH148" s="820"/>
      <c r="AI148" s="437"/>
      <c r="AJ148" s="660"/>
      <c r="AK148" s="524" t="str">
        <f t="shared" si="1541"/>
        <v/>
      </c>
      <c r="AL148" s="1910" t="s">
        <v>1067</v>
      </c>
      <c r="AM148" s="1911"/>
      <c r="AN148" s="426">
        <f t="shared" si="1542"/>
        <v>0</v>
      </c>
      <c r="AO148" s="427" t="str">
        <f t="shared" si="1543"/>
        <v/>
      </c>
      <c r="AP148" s="426" t="str">
        <f t="shared" si="1544"/>
        <v/>
      </c>
      <c r="AQ148" s="426"/>
      <c r="AR148" s="426"/>
      <c r="AS148" s="428"/>
      <c r="AT148" s="429"/>
      <c r="AU148" s="430"/>
      <c r="AV148" s="431"/>
      <c r="AW148" s="432"/>
      <c r="AX148" s="430"/>
      <c r="AY148" s="431">
        <f t="shared" si="1545"/>
        <v>0</v>
      </c>
      <c r="AZ148" s="426"/>
      <c r="BA148" s="435" t="str">
        <f t="shared" si="1546"/>
        <v/>
      </c>
      <c r="BB148" s="435"/>
      <c r="BC148" s="426"/>
      <c r="BD148" s="426">
        <f t="array" ref="BD148">IF(SUM((BC148=$BC$3:BC147)*1)=0,BC148,0)</f>
        <v>0</v>
      </c>
      <c r="BE148" s="426"/>
      <c r="BF148" s="426"/>
      <c r="BG148" s="426">
        <f t="array" ref="BG148">IF(SUM((BF148=$BF$3:BF147)*1)=0,BF148,0)</f>
        <v>0</v>
      </c>
      <c r="BH148" s="426"/>
      <c r="BI148" s="426"/>
      <c r="BJ148" s="426"/>
      <c r="BK148" s="426"/>
      <c r="BL148" s="426"/>
      <c r="BM148" s="426"/>
      <c r="BN148" s="426"/>
      <c r="BO148" s="426"/>
      <c r="BP148" s="433">
        <f t="shared" si="1547"/>
        <v>0</v>
      </c>
      <c r="BQ148" s="426"/>
      <c r="BR148" s="434"/>
      <c r="BS148" s="426"/>
      <c r="BT148" s="433"/>
      <c r="BU148" s="435"/>
      <c r="BV148" s="435" t="str">
        <f t="shared" si="1548"/>
        <v/>
      </c>
      <c r="BW148" s="435" t="str">
        <f t="shared" si="1576"/>
        <v/>
      </c>
      <c r="BX148" s="435"/>
      <c r="BY148" s="435"/>
      <c r="BZ148" s="435"/>
      <c r="CA148" s="435"/>
      <c r="CB148" s="435"/>
      <c r="CC148" s="435"/>
      <c r="CD148" s="435"/>
      <c r="CE148" s="435"/>
      <c r="CF148" s="435"/>
      <c r="CG148" s="435"/>
      <c r="CH148" s="435"/>
      <c r="CI148" s="435"/>
      <c r="CJ148" s="426" t="str">
        <f t="shared" si="1577"/>
        <v/>
      </c>
      <c r="CK148" s="435"/>
      <c r="CL148" s="426"/>
      <c r="CM148" s="435"/>
      <c r="CN148" s="426"/>
      <c r="CO148" s="426"/>
      <c r="CP148" s="426"/>
      <c r="CQ148" s="426"/>
      <c r="CR148" s="426"/>
      <c r="CS148" s="426"/>
      <c r="CT148" s="426"/>
      <c r="CU148" s="426"/>
      <c r="CV148" s="426"/>
      <c r="CW148" s="493"/>
      <c r="CX148" s="493"/>
      <c r="CY148" s="426">
        <v>145</v>
      </c>
      <c r="CZ148" s="493"/>
      <c r="DA148" s="493"/>
      <c r="DB148" s="493"/>
      <c r="DC148" s="426" t="s">
        <v>888</v>
      </c>
      <c r="DD148" s="426" t="s">
        <v>1048</v>
      </c>
      <c r="DE148" s="435" t="str">
        <f t="shared" si="1578"/>
        <v/>
      </c>
      <c r="DF148" s="435" t="str">
        <f t="shared" si="1579"/>
        <v/>
      </c>
      <c r="DG148" s="435" t="str">
        <f t="shared" si="1580"/>
        <v/>
      </c>
      <c r="DH148" s="435" t="str">
        <f t="shared" si="1581"/>
        <v/>
      </c>
      <c r="DI148" s="435" t="str">
        <f t="shared" si="1582"/>
        <v/>
      </c>
      <c r="DJ148" s="435" t="str">
        <f t="shared" si="1583"/>
        <v/>
      </c>
      <c r="DK148" s="435" t="str">
        <f t="shared" si="1549"/>
        <v/>
      </c>
      <c r="DL148" s="435" t="str">
        <f t="shared" si="1550"/>
        <v/>
      </c>
      <c r="DM148" s="435" t="str">
        <f t="shared" si="1584"/>
        <v/>
      </c>
      <c r="DN148" s="435" t="str">
        <f t="shared" si="1585"/>
        <v/>
      </c>
      <c r="DO148" s="435" t="str">
        <f t="shared" si="1551"/>
        <v/>
      </c>
      <c r="DP148" s="435" t="str">
        <f t="shared" si="1552"/>
        <v/>
      </c>
      <c r="DQ148" s="435" t="str">
        <f t="shared" si="1586"/>
        <v/>
      </c>
      <c r="DR148" s="435" t="str">
        <f t="shared" si="1587"/>
        <v/>
      </c>
      <c r="DS148" s="435" t="str">
        <f t="shared" si="1553"/>
        <v/>
      </c>
      <c r="DT148" s="435" t="str">
        <f t="shared" si="1554"/>
        <v/>
      </c>
      <c r="DU148" s="435" t="str">
        <f t="shared" si="1588"/>
        <v/>
      </c>
      <c r="DV148" s="435" t="str">
        <f t="shared" si="1589"/>
        <v/>
      </c>
      <c r="DW148" s="435" t="str">
        <f t="shared" si="1555"/>
        <v/>
      </c>
      <c r="DX148" s="435" t="str">
        <f t="shared" si="1556"/>
        <v/>
      </c>
      <c r="DY148" s="435" t="str">
        <f t="shared" si="1590"/>
        <v/>
      </c>
      <c r="DZ148" s="435" t="str">
        <f t="shared" si="1591"/>
        <v/>
      </c>
      <c r="EA148" s="435" t="str">
        <f t="shared" si="1557"/>
        <v/>
      </c>
      <c r="EB148" s="435" t="str">
        <f t="shared" si="1558"/>
        <v/>
      </c>
      <c r="EC148" s="435" t="str">
        <f t="shared" si="1559"/>
        <v/>
      </c>
      <c r="ED148" s="435" t="str">
        <f t="shared" si="1560"/>
        <v/>
      </c>
      <c r="EE148" s="435" t="str">
        <f t="shared" si="1561"/>
        <v/>
      </c>
      <c r="EF148" s="435" t="str">
        <f t="shared" si="1562"/>
        <v/>
      </c>
      <c r="EG148" s="435" t="str">
        <f t="shared" si="1563"/>
        <v/>
      </c>
      <c r="EH148" s="435" t="str">
        <f t="shared" si="1564"/>
        <v/>
      </c>
      <c r="EI148" s="435" t="str">
        <f t="shared" si="1565"/>
        <v/>
      </c>
      <c r="EJ148" s="435" t="str">
        <f t="shared" si="1566"/>
        <v/>
      </c>
      <c r="EK148" s="485"/>
      <c r="EL148" s="485"/>
      <c r="EM148" s="485"/>
      <c r="EN148" s="485"/>
      <c r="EO148" s="448"/>
      <c r="EP148" s="448"/>
      <c r="EQ148" s="448"/>
      <c r="ER148" s="448"/>
      <c r="ES148" s="448"/>
      <c r="ET148" s="435"/>
      <c r="EU148" s="435"/>
      <c r="EV148" s="435"/>
      <c r="EW148" s="435"/>
      <c r="EX148" s="426"/>
      <c r="EY148" s="426"/>
      <c r="EZ148" s="426"/>
      <c r="FA148" s="863"/>
      <c r="FB148" s="427">
        <f t="array" ref="FB148">IF(SUM((FA148=$FA$3:FA147)*1)=0,FA148,0)</f>
        <v>0</v>
      </c>
      <c r="FC148" s="863"/>
      <c r="FD148" s="863"/>
      <c r="FE148" s="863">
        <f t="array" ref="FE148">IF(SUM((FD148=$FD$3:FD147)*1)=0,FD148,0)</f>
        <v>0</v>
      </c>
      <c r="FF148" s="863"/>
      <c r="FG148" s="863"/>
      <c r="FH148" s="863"/>
      <c r="FI148" s="427">
        <f t="array" ref="FI148">IF(SUM((FH148=$FH$3:FH147)*1)=0,FH148,0)</f>
        <v>0</v>
      </c>
      <c r="FJ148" s="863"/>
      <c r="FK148" s="863"/>
      <c r="FL148" s="863">
        <f t="array" ref="FL148">IF(SUM((FK148=$FK$3:FK147)*1)=0,FK148,0)</f>
        <v>0</v>
      </c>
      <c r="FM148" s="863"/>
      <c r="FN148" s="863"/>
      <c r="FO148" s="863"/>
      <c r="FP148" s="427">
        <f t="array" ref="FP148">IF(SUM((FO148=$FO$3:FO147)*1)=0,FO148,0)</f>
        <v>0</v>
      </c>
      <c r="FQ148" s="863"/>
      <c r="FR148" s="863"/>
      <c r="FS148" s="863">
        <f t="array" ref="FS148">IF(SUM((FR148=$FR$3:FR147)*1)=0,FR148,0)</f>
        <v>0</v>
      </c>
      <c r="FT148" s="863"/>
      <c r="FU148" s="863"/>
      <c r="FV148" s="863"/>
      <c r="FW148" s="427">
        <f t="array" ref="FW148">IF(SUM((FV148=$FV$3:FV147)*1)=0,FV148,0)</f>
        <v>0</v>
      </c>
      <c r="FX148" s="863"/>
      <c r="FY148" s="863"/>
      <c r="FZ148" s="863">
        <f t="array" ref="FZ148">IF(SUM((FY148=$FY$3:FY147)*1)=0,FY148,0)</f>
        <v>0</v>
      </c>
      <c r="GA148" s="863"/>
      <c r="GB148" s="863"/>
      <c r="GC148" s="863"/>
      <c r="GD148" s="427">
        <f t="array" ref="GD148">IF(SUM((GC148=$GC$3:GC147)*1)=0,GC148,0)</f>
        <v>0</v>
      </c>
      <c r="GE148" s="863"/>
      <c r="GF148" s="863"/>
      <c r="GG148" s="863">
        <f t="array" ref="GG148">IF(SUM((GF148=$GF$3:GF147)*1)=0,GF148,0)</f>
        <v>0</v>
      </c>
      <c r="GH148" s="863"/>
      <c r="GI148" s="863"/>
      <c r="GJ148" s="863"/>
      <c r="GK148" s="798">
        <f t="array" ref="GK148">IF(SUM((GJ148=$GJ$3:GJ147)*1)=0,GJ148,0)</f>
        <v>0</v>
      </c>
      <c r="GL148" s="863"/>
      <c r="GM148" s="863"/>
      <c r="GN148" s="798">
        <f t="array" ref="GN148">IF(SUM((GM148=$GM$3:GM147)*1)=0,GM148,0)</f>
        <v>0</v>
      </c>
      <c r="GO148" s="863"/>
      <c r="GP148" s="863"/>
      <c r="GQ148" s="863"/>
      <c r="GR148" s="798">
        <f t="array" ref="GR148">IF(SUM((GQ148=$GQ$3:GQ147)*1)=0,GQ148,0)</f>
        <v>0</v>
      </c>
      <c r="GS148" s="863"/>
      <c r="GT148" s="863"/>
      <c r="GU148" s="798">
        <f t="array" ref="GU148">IF(SUM((GT148=$GT$3:GT147)*1)=0,GT148,0)</f>
        <v>0</v>
      </c>
      <c r="GV148" s="863"/>
      <c r="GW148" s="863"/>
      <c r="GX148" s="863"/>
      <c r="GY148" s="798">
        <f t="array" ref="GY148">IF(SUM((GX148=$GX$3:GX147)*1)=0,GX148,0)</f>
        <v>0</v>
      </c>
      <c r="GZ148" s="863"/>
      <c r="HA148" s="863"/>
      <c r="HB148" s="798">
        <f t="array" ref="HB148">IF(SUM((HA148=$HA$3:HA147)*1)=0,HA148,0)</f>
        <v>0</v>
      </c>
      <c r="HC148" s="863"/>
      <c r="HD148" s="863"/>
      <c r="HE148" s="769" t="str">
        <f t="shared" si="1667"/>
        <v/>
      </c>
      <c r="HF148" s="768" t="str">
        <f t="shared" ref="HF148" si="1805">IF(HE148&lt;0,"Invadiu REP-BA-C","")</f>
        <v/>
      </c>
      <c r="HG148" s="769" t="str">
        <f t="shared" si="1669"/>
        <v/>
      </c>
      <c r="HH148" s="768" t="str">
        <f t="shared" si="1593"/>
        <v/>
      </c>
      <c r="HI148" s="728" t="str">
        <f t="shared" si="1670"/>
        <v/>
      </c>
      <c r="HJ148" s="768" t="str">
        <f t="shared" si="1594"/>
        <v/>
      </c>
      <c r="HK148" s="728" t="str">
        <f t="shared" si="1671"/>
        <v/>
      </c>
      <c r="HL148" s="768" t="str">
        <f t="shared" si="1595"/>
        <v/>
      </c>
      <c r="HM148" s="769" t="str">
        <f t="shared" si="1596"/>
        <v/>
      </c>
      <c r="HN148" s="768" t="str">
        <f t="shared" ref="HN148" si="1806">IF(HM148&lt;0,"Invadiu REP-BA-C","")</f>
        <v/>
      </c>
      <c r="HO148" s="769" t="str">
        <f t="shared" si="1598"/>
        <v/>
      </c>
      <c r="HP148" s="768" t="str">
        <f t="shared" si="1599"/>
        <v/>
      </c>
      <c r="HQ148" s="728" t="str">
        <f t="shared" si="1600"/>
        <v/>
      </c>
      <c r="HR148" s="768" t="str">
        <f t="shared" si="1601"/>
        <v/>
      </c>
      <c r="HS148" s="728" t="str">
        <f t="shared" si="1602"/>
        <v/>
      </c>
      <c r="HT148" s="768" t="str">
        <f t="shared" si="1603"/>
        <v/>
      </c>
      <c r="HU148" s="769" t="str">
        <f t="shared" si="1604"/>
        <v/>
      </c>
      <c r="HV148" s="768" t="str">
        <f t="shared" ref="HV148" si="1807">IF(HU148&lt;0,"Invadiu REP-BA-C","")</f>
        <v/>
      </c>
      <c r="HW148" s="769" t="str">
        <f t="shared" si="1606"/>
        <v/>
      </c>
      <c r="HX148" s="768" t="str">
        <f t="shared" si="1607"/>
        <v/>
      </c>
      <c r="HY148" s="728" t="str">
        <f t="shared" si="1608"/>
        <v/>
      </c>
      <c r="HZ148" s="768" t="str">
        <f t="shared" si="1609"/>
        <v/>
      </c>
      <c r="IA148" s="728" t="str">
        <f t="shared" si="1610"/>
        <v/>
      </c>
      <c r="IB148" s="768" t="str">
        <f t="shared" si="1611"/>
        <v/>
      </c>
      <c r="IC148" s="769" t="str">
        <f t="shared" si="1612"/>
        <v/>
      </c>
      <c r="ID148" s="768" t="str">
        <f t="shared" ref="ID148" si="1808">IF(IC148&lt;0,"Invadiu REP-BA-C","")</f>
        <v/>
      </c>
      <c r="IE148" s="769" t="str">
        <f t="shared" si="1614"/>
        <v/>
      </c>
      <c r="IF148" s="768" t="str">
        <f t="shared" si="1615"/>
        <v/>
      </c>
      <c r="IG148" s="728" t="str">
        <f t="shared" si="1616"/>
        <v/>
      </c>
      <c r="IH148" s="768" t="str">
        <f t="shared" si="1617"/>
        <v/>
      </c>
      <c r="II148" s="728" t="str">
        <f t="shared" si="1618"/>
        <v/>
      </c>
      <c r="IJ148" s="768" t="str">
        <f t="shared" si="1619"/>
        <v/>
      </c>
      <c r="IK148" s="769" t="str">
        <f t="shared" si="1620"/>
        <v/>
      </c>
      <c r="IL148" s="768" t="str">
        <f t="shared" ref="IL148" si="1809">IF(IK148&lt;0,"Invadiu REP-BA-C","")</f>
        <v/>
      </c>
      <c r="IM148" s="769" t="str">
        <f t="shared" si="1622"/>
        <v/>
      </c>
      <c r="IN148" s="768" t="str">
        <f t="shared" si="1623"/>
        <v/>
      </c>
      <c r="IO148" s="728" t="str">
        <f t="shared" si="1624"/>
        <v/>
      </c>
      <c r="IP148" s="768" t="str">
        <f t="shared" si="1625"/>
        <v/>
      </c>
      <c r="IQ148" s="728" t="str">
        <f t="shared" si="1626"/>
        <v/>
      </c>
      <c r="IR148" s="768" t="str">
        <f t="shared" si="1627"/>
        <v/>
      </c>
      <c r="IS148" s="769" t="str">
        <f t="shared" si="1628"/>
        <v/>
      </c>
      <c r="IT148" s="768" t="str">
        <f t="shared" ref="IT148" si="1810">IF(IS148&lt;0,"Invadiu REP-BA-C","")</f>
        <v/>
      </c>
      <c r="IU148" s="769" t="str">
        <f t="shared" si="1630"/>
        <v/>
      </c>
      <c r="IV148" s="768" t="str">
        <f t="shared" si="1631"/>
        <v/>
      </c>
      <c r="IW148" s="728" t="str">
        <f t="shared" si="1632"/>
        <v/>
      </c>
      <c r="IX148" s="768" t="str">
        <f t="shared" si="1633"/>
        <v/>
      </c>
      <c r="IY148" s="728" t="str">
        <f t="shared" si="1634"/>
        <v/>
      </c>
      <c r="IZ148" s="768" t="str">
        <f t="shared" si="1635"/>
        <v/>
      </c>
      <c r="JA148" s="769" t="str">
        <f t="shared" si="1636"/>
        <v/>
      </c>
      <c r="JB148" s="768" t="str">
        <f t="shared" ref="JB148" si="1811">IF(JA148&lt;0,"Invadiu REP-BA-C","")</f>
        <v/>
      </c>
      <c r="JC148" s="769" t="str">
        <f t="shared" si="1638"/>
        <v/>
      </c>
      <c r="JD148" s="768" t="str">
        <f t="shared" si="1639"/>
        <v/>
      </c>
      <c r="JE148" s="728" t="str">
        <f t="shared" si="1640"/>
        <v/>
      </c>
      <c r="JF148" s="768" t="str">
        <f t="shared" si="1641"/>
        <v/>
      </c>
      <c r="JG148" s="728" t="str">
        <f t="shared" si="1642"/>
        <v/>
      </c>
      <c r="JH148" s="768" t="str">
        <f t="shared" si="1643"/>
        <v/>
      </c>
      <c r="JI148" s="769" t="str">
        <f t="shared" si="1644"/>
        <v/>
      </c>
      <c r="JJ148" s="768" t="str">
        <f t="shared" ref="JJ148" si="1812">IF(JI148&lt;0,"Invadiu REP-BA-C","")</f>
        <v/>
      </c>
      <c r="JK148" s="769" t="str">
        <f t="shared" si="1646"/>
        <v/>
      </c>
      <c r="JL148" s="768" t="str">
        <f t="shared" si="1647"/>
        <v/>
      </c>
      <c r="JM148" s="728" t="str">
        <f t="shared" si="1648"/>
        <v/>
      </c>
      <c r="JN148" s="768" t="str">
        <f t="shared" si="1649"/>
        <v/>
      </c>
      <c r="JO148" s="728" t="str">
        <f t="shared" si="1650"/>
        <v/>
      </c>
      <c r="JP148" s="768" t="str">
        <f t="shared" si="1651"/>
        <v/>
      </c>
      <c r="JQ148" s="769" t="str">
        <f t="shared" si="1652"/>
        <v/>
      </c>
      <c r="JR148" s="768" t="str">
        <f t="shared" ref="JR148" si="1813">IF(JQ148&lt;0,"Invadiu REP-BA-C","")</f>
        <v/>
      </c>
      <c r="JS148" s="769" t="str">
        <f t="shared" si="1654"/>
        <v/>
      </c>
      <c r="JT148" s="768" t="str">
        <f t="shared" si="1655"/>
        <v/>
      </c>
      <c r="JU148" s="728" t="str">
        <f t="shared" si="1656"/>
        <v/>
      </c>
      <c r="JV148" s="768" t="str">
        <f t="shared" si="1657"/>
        <v/>
      </c>
      <c r="JW148" s="728" t="str">
        <f t="shared" si="1658"/>
        <v/>
      </c>
      <c r="JX148" s="768" t="str">
        <f t="shared" si="1659"/>
        <v/>
      </c>
      <c r="JY148" s="768" t="str">
        <f t="shared" si="1660"/>
        <v/>
      </c>
      <c r="JZ148" s="485" t="str">
        <f>IF(JY148="","",IF(AND(C148=$C$164,JY148&lt;&gt;""),Verificarcpf(D148),IF(AND(C148=$C$165,JY148&lt;&gt;""),VerificarCNPJ(D148))))</f>
        <v/>
      </c>
      <c r="KA148" s="768" t="str">
        <f t="shared" si="1661"/>
        <v/>
      </c>
      <c r="KB148" s="485">
        <f t="shared" si="1662"/>
        <v>0</v>
      </c>
      <c r="KC148" s="768">
        <f t="shared" si="1663"/>
        <v>0</v>
      </c>
      <c r="KD148" s="485">
        <f t="shared" si="1664"/>
        <v>0</v>
      </c>
      <c r="KE148" s="448"/>
      <c r="KF148" s="548"/>
      <c r="KG148" s="548"/>
      <c r="KH148" s="548"/>
      <c r="KI148" s="548"/>
      <c r="KJ148" s="548" t="str">
        <f t="shared" si="1665"/>
        <v/>
      </c>
      <c r="KK148" s="548"/>
      <c r="KL148" s="548"/>
      <c r="KM148" s="548">
        <f t="array" ref="KM148">IF(SUM((KL148=$KL$3:KL147)*1)=0,KL148,0)</f>
        <v>0</v>
      </c>
      <c r="KN148" s="548"/>
      <c r="KO148" s="548"/>
      <c r="KP148" s="548"/>
      <c r="KQ148" s="548"/>
      <c r="KR148" s="548" t="str">
        <f t="shared" si="1666"/>
        <v/>
      </c>
      <c r="KS148" s="548"/>
      <c r="KT148" s="548"/>
      <c r="KU148" s="548"/>
      <c r="KV148" s="548"/>
      <c r="KW148" s="548"/>
      <c r="KX148" s="548"/>
      <c r="KY148" s="548"/>
      <c r="KZ148" s="548"/>
      <c r="LA148" s="548"/>
      <c r="LB148" s="548"/>
      <c r="LC148" s="485" t="str">
        <f t="shared" si="1680"/>
        <v/>
      </c>
      <c r="LD148" s="548"/>
      <c r="LE148" s="548"/>
      <c r="LF148" s="548"/>
      <c r="LG148" s="548"/>
      <c r="LH148" s="548"/>
      <c r="LI148" s="548"/>
      <c r="LJ148" s="548"/>
      <c r="LK148" s="548"/>
      <c r="LL148" s="548"/>
      <c r="LM148" s="548"/>
      <c r="LN148" s="548"/>
      <c r="LO148" s="548"/>
      <c r="LP148" s="485" t="str">
        <f t="shared" si="1681"/>
        <v/>
      </c>
      <c r="LQ148" s="548"/>
      <c r="LR148" s="548"/>
      <c r="LS148" s="548"/>
      <c r="LT148" s="548"/>
      <c r="LU148" s="548"/>
      <c r="LV148" s="548"/>
      <c r="LW148" s="548"/>
      <c r="LX148" s="548"/>
      <c r="LY148" s="548"/>
      <c r="LZ148" s="548"/>
      <c r="MA148" s="548"/>
      <c r="MB148" s="548"/>
      <c r="MC148" s="485" t="str">
        <f t="shared" si="1682"/>
        <v/>
      </c>
      <c r="MD148" s="548"/>
      <c r="ME148" s="548"/>
      <c r="MF148" s="548"/>
      <c r="MG148" s="548"/>
      <c r="MH148" s="548"/>
      <c r="MI148" s="548"/>
      <c r="MJ148" s="548"/>
      <c r="MK148" s="548"/>
      <c r="ML148" s="548"/>
      <c r="MM148" s="548"/>
      <c r="MN148" s="548"/>
      <c r="MO148" s="548"/>
      <c r="MP148" s="485" t="str">
        <f t="shared" si="1683"/>
        <v/>
      </c>
      <c r="MQ148" s="548"/>
      <c r="MR148" s="548"/>
      <c r="MS148" s="548"/>
      <c r="MT148" s="548"/>
      <c r="MU148" s="548"/>
      <c r="MV148" s="548"/>
      <c r="MW148" s="548"/>
      <c r="MX148" s="548"/>
      <c r="MY148" s="548"/>
      <c r="MZ148" s="548"/>
      <c r="NA148" s="548"/>
      <c r="NB148" s="548"/>
      <c r="NC148" s="485" t="str">
        <f t="shared" si="1684"/>
        <v/>
      </c>
      <c r="ND148" s="548"/>
      <c r="NE148" s="548"/>
      <c r="NF148" s="548"/>
      <c r="NG148" s="548"/>
      <c r="NH148" s="548"/>
      <c r="NI148" s="548"/>
      <c r="NJ148" s="548"/>
      <c r="NK148" s="548"/>
      <c r="NL148" s="548"/>
      <c r="NM148" s="548"/>
      <c r="NN148" s="548"/>
      <c r="NO148" s="548"/>
      <c r="NP148" s="485" t="str">
        <f t="shared" si="1685"/>
        <v/>
      </c>
      <c r="NQ148" s="548"/>
      <c r="NR148" s="548"/>
      <c r="NS148" s="548"/>
      <c r="NT148" s="548"/>
      <c r="NU148" s="548"/>
      <c r="NV148" s="548"/>
      <c r="NW148" s="548"/>
      <c r="NX148" s="548"/>
      <c r="NY148" s="548"/>
      <c r="NZ148" s="548"/>
      <c r="OA148" s="548"/>
      <c r="OB148" s="548"/>
      <c r="OC148" s="485" t="str">
        <f t="shared" si="1686"/>
        <v/>
      </c>
      <c r="OD148" s="548"/>
      <c r="OE148" s="548"/>
      <c r="OF148" s="548"/>
      <c r="OG148" s="548"/>
      <c r="OH148" s="548"/>
      <c r="OI148" s="548"/>
      <c r="OJ148" s="548"/>
      <c r="OK148" s="548"/>
      <c r="OL148" s="548"/>
      <c r="OM148" s="548"/>
      <c r="ON148" s="548"/>
      <c r="OO148" s="548"/>
      <c r="OP148" s="548"/>
      <c r="OQ148" s="548"/>
      <c r="OR148" s="548"/>
      <c r="OS148" s="548"/>
      <c r="OT148" s="548"/>
      <c r="OU148" s="548"/>
      <c r="OV148" s="548"/>
      <c r="OW148" s="548"/>
      <c r="OX148" s="548"/>
      <c r="OY148" s="548"/>
      <c r="OZ148" s="548"/>
      <c r="PA148" s="548"/>
      <c r="PB148" s="548"/>
      <c r="PC148" s="548"/>
      <c r="PD148" s="548"/>
      <c r="PE148" s="548"/>
      <c r="PF148" s="548"/>
      <c r="PG148" s="548"/>
      <c r="PH148" s="548"/>
      <c r="PI148" s="548"/>
      <c r="PJ148" s="548"/>
      <c r="PK148" s="548"/>
      <c r="PL148" s="548"/>
      <c r="PM148" s="548"/>
      <c r="PN148" s="548"/>
      <c r="PO148" s="548"/>
      <c r="PP148" s="548"/>
      <c r="PQ148" s="548"/>
      <c r="PR148" s="548"/>
      <c r="PS148" s="548"/>
      <c r="PT148" s="548"/>
      <c r="PU148" s="548"/>
      <c r="PV148" s="548"/>
      <c r="PW148" s="548"/>
      <c r="PX148" s="548"/>
      <c r="PY148" s="548"/>
      <c r="PZ148" s="548"/>
      <c r="QA148" s="548"/>
      <c r="QB148" s="548"/>
      <c r="QC148" s="548"/>
      <c r="QD148" s="548"/>
      <c r="QE148" s="548"/>
      <c r="QF148" s="548"/>
      <c r="QG148" s="548"/>
      <c r="QH148" s="548"/>
      <c r="QI148" s="548"/>
      <c r="QJ148" s="548"/>
      <c r="QK148" s="548"/>
      <c r="QL148" s="548"/>
      <c r="QM148" s="548"/>
      <c r="QN148" s="548"/>
      <c r="QO148" s="548"/>
      <c r="QP148" s="548"/>
      <c r="QQ148" s="1009"/>
      <c r="QR148" s="548"/>
      <c r="QS148" s="548"/>
      <c r="QT148" s="548"/>
      <c r="QU148" s="548"/>
      <c r="QV148" s="548"/>
      <c r="QW148" s="548"/>
      <c r="QX148" s="548"/>
      <c r="QY148" s="548"/>
      <c r="QZ148" s="548"/>
      <c r="RA148" s="548"/>
      <c r="RB148" s="548"/>
      <c r="RC148" s="548"/>
      <c r="RD148" s="548"/>
      <c r="RE148" s="548"/>
      <c r="RF148" s="548"/>
      <c r="RG148" s="548"/>
      <c r="RH148" s="548"/>
      <c r="RI148" s="548"/>
      <c r="RJ148" s="548"/>
      <c r="RK148" s="548"/>
      <c r="RL148" s="548"/>
      <c r="RM148" s="548"/>
      <c r="RN148" s="548"/>
      <c r="RO148" s="548"/>
      <c r="RP148" s="548"/>
      <c r="RQ148" s="548"/>
      <c r="RR148" s="548"/>
      <c r="RS148" s="548"/>
      <c r="RT148" s="548"/>
      <c r="RU148" s="548"/>
      <c r="RV148" s="548"/>
      <c r="RW148" s="548"/>
      <c r="RX148" s="548"/>
      <c r="RY148" s="548"/>
      <c r="RZ148" s="548"/>
      <c r="SA148" s="548"/>
      <c r="SB148" s="548"/>
      <c r="SC148" s="548"/>
      <c r="SD148" s="548"/>
      <c r="SE148" s="548"/>
      <c r="SF148" s="548"/>
      <c r="SG148" s="548"/>
      <c r="SH148" s="548"/>
      <c r="SI148" s="548"/>
      <c r="SJ148" s="548"/>
      <c r="SK148" s="548"/>
      <c r="SL148" s="548"/>
      <c r="SM148" s="548"/>
      <c r="SN148" s="548"/>
      <c r="SO148" s="548"/>
      <c r="SP148" s="548"/>
      <c r="SQ148" s="548"/>
      <c r="SR148" s="548"/>
      <c r="SS148" s="548"/>
      <c r="ST148" s="548"/>
      <c r="SU148" s="548"/>
      <c r="SV148" s="548"/>
      <c r="SW148" s="548"/>
      <c r="SX148" s="548"/>
      <c r="SY148" s="548"/>
      <c r="SZ148" s="548"/>
      <c r="TA148" s="548"/>
      <c r="TB148" s="548"/>
      <c r="TC148" s="548"/>
      <c r="TD148" s="548"/>
      <c r="TE148" s="548"/>
      <c r="TF148" s="548"/>
      <c r="TG148" s="548"/>
      <c r="TH148" s="548"/>
      <c r="TI148" s="548"/>
      <c r="TJ148" s="548"/>
      <c r="TK148" s="548"/>
      <c r="TL148" s="548"/>
      <c r="TM148" s="548"/>
      <c r="TN148" s="548"/>
      <c r="TO148" s="548"/>
      <c r="TP148" s="548"/>
      <c r="TQ148" s="548"/>
      <c r="TR148" s="548"/>
      <c r="TS148" s="548"/>
      <c r="TT148" s="548"/>
      <c r="TU148" s="548"/>
      <c r="TV148" s="548"/>
      <c r="TW148" s="548"/>
      <c r="TX148" s="548"/>
      <c r="TY148" s="548"/>
      <c r="TZ148" s="548"/>
      <c r="UA148" s="548"/>
      <c r="UB148" s="548"/>
      <c r="UC148" s="548"/>
      <c r="UD148" s="548"/>
      <c r="UE148" s="548"/>
      <c r="UF148" s="548"/>
      <c r="UG148" s="548"/>
      <c r="UH148" s="548"/>
      <c r="UI148" s="548"/>
      <c r="UJ148" s="548"/>
      <c r="UK148" s="548"/>
      <c r="UL148" s="548"/>
      <c r="UM148" s="548"/>
      <c r="UN148" s="548"/>
      <c r="UO148" s="548"/>
      <c r="UP148" s="548"/>
      <c r="UQ148" s="548"/>
      <c r="UR148" s="548"/>
      <c r="US148" s="548"/>
      <c r="UT148" s="548"/>
      <c r="UU148" s="548"/>
      <c r="UV148" s="548"/>
      <c r="UW148" s="548"/>
      <c r="UX148" s="548"/>
      <c r="UY148" s="548"/>
      <c r="UZ148" s="548"/>
      <c r="VA148" s="548"/>
      <c r="VB148" s="548"/>
      <c r="VC148" s="548"/>
      <c r="VD148" s="548"/>
      <c r="VE148" s="548"/>
      <c r="VF148" s="548"/>
      <c r="VG148" s="548"/>
      <c r="VH148" s="548"/>
      <c r="VI148" s="548"/>
      <c r="VJ148" s="548"/>
      <c r="VK148" s="548"/>
      <c r="VL148" s="548"/>
      <c r="VM148" s="548"/>
      <c r="VN148" s="548"/>
      <c r="VO148" s="548"/>
      <c r="VP148" s="548"/>
      <c r="VQ148" s="548"/>
      <c r="VR148" s="548"/>
      <c r="VS148" s="548"/>
      <c r="VT148" s="548"/>
      <c r="VU148" s="548"/>
      <c r="VV148" s="548"/>
      <c r="VW148" s="548"/>
      <c r="VX148" s="548"/>
      <c r="VY148" s="548"/>
      <c r="VZ148" s="548"/>
      <c r="WA148" s="548"/>
      <c r="WB148" s="548"/>
      <c r="WC148" s="548"/>
      <c r="WD148" s="548"/>
      <c r="WE148" s="548"/>
      <c r="WF148" s="548"/>
      <c r="WG148" s="548"/>
      <c r="WH148" s="548"/>
      <c r="WI148" s="548"/>
      <c r="WJ148" s="548"/>
      <c r="WK148" s="548"/>
      <c r="WL148" s="548"/>
      <c r="WM148" s="548"/>
      <c r="WN148" s="548"/>
      <c r="WO148" s="548"/>
      <c r="WP148" s="548"/>
      <c r="WQ148" s="548"/>
      <c r="WR148" s="548"/>
      <c r="WS148" s="548"/>
      <c r="WT148" s="548"/>
      <c r="WU148" s="548"/>
      <c r="WV148" s="548"/>
      <c r="WW148" s="548"/>
      <c r="WX148" s="548"/>
      <c r="WY148" s="548"/>
      <c r="WZ148" s="548"/>
      <c r="XA148" s="548"/>
      <c r="XB148" s="548"/>
      <c r="XC148" s="548"/>
      <c r="XD148" s="548"/>
      <c r="XE148" s="548"/>
      <c r="XF148" s="548"/>
      <c r="XG148" s="548"/>
      <c r="XH148" s="548"/>
      <c r="XI148" s="548"/>
      <c r="XJ148" s="548"/>
      <c r="XK148" s="548"/>
      <c r="XL148" s="548"/>
      <c r="XM148" s="548"/>
      <c r="XN148" s="548"/>
      <c r="XO148" s="548"/>
      <c r="XP148" s="548"/>
      <c r="XQ148" s="548"/>
      <c r="XR148" s="548"/>
      <c r="XS148" s="548"/>
      <c r="XT148" s="548"/>
      <c r="XU148" s="548"/>
      <c r="XV148" s="548"/>
      <c r="XW148" s="548"/>
      <c r="XX148" s="548"/>
      <c r="XY148" s="548"/>
      <c r="XZ148" s="548"/>
      <c r="YA148" s="548"/>
      <c r="YB148" s="548"/>
      <c r="YC148" s="548"/>
      <c r="YD148" s="548"/>
      <c r="YE148" s="548"/>
      <c r="YF148" s="548"/>
      <c r="YG148" s="548"/>
      <c r="YH148" s="548"/>
      <c r="YI148" s="548"/>
      <c r="YJ148" s="548"/>
      <c r="YK148" s="548"/>
      <c r="YL148" s="548"/>
      <c r="YM148" s="548"/>
      <c r="YN148" s="548"/>
      <c r="YO148" s="548"/>
      <c r="YP148" s="548"/>
      <c r="YQ148" s="548"/>
      <c r="YR148" s="548"/>
      <c r="YS148" s="548"/>
      <c r="YT148" s="548"/>
      <c r="YU148" s="548"/>
      <c r="YV148" s="548"/>
      <c r="YW148" s="548"/>
      <c r="YX148" s="548"/>
      <c r="YY148" s="548"/>
      <c r="YZ148" s="548"/>
      <c r="ZA148" s="548"/>
      <c r="ZB148" s="548"/>
      <c r="ZC148" s="548"/>
      <c r="ZD148" s="548"/>
      <c r="ZE148" s="548"/>
      <c r="ZF148" s="548"/>
      <c r="ZG148" s="548"/>
      <c r="ZH148" s="548"/>
      <c r="ZI148" s="548"/>
      <c r="ZJ148" s="548"/>
      <c r="ZK148" s="548"/>
      <c r="ZL148" s="548"/>
      <c r="ZM148" s="548"/>
      <c r="ZN148" s="548"/>
      <c r="ZO148" s="548"/>
      <c r="ZP148" s="548"/>
      <c r="ZQ148" s="548"/>
      <c r="ZR148" s="548"/>
      <c r="ZS148" s="548"/>
      <c r="ZT148" s="548"/>
      <c r="ZU148" s="548"/>
      <c r="ZV148" s="548"/>
      <c r="ZW148" s="548"/>
      <c r="ZX148" s="548"/>
      <c r="ZY148" s="548"/>
      <c r="ZZ148" s="548"/>
      <c r="AAA148" s="548"/>
      <c r="AAB148" s="548"/>
      <c r="AAC148" s="548"/>
      <c r="AAD148" s="548"/>
      <c r="AAE148" s="548"/>
      <c r="AAF148" s="548"/>
      <c r="AAG148" s="548"/>
      <c r="AAH148" s="548"/>
      <c r="AAI148" s="548"/>
      <c r="AAJ148" s="548"/>
      <c r="AAK148" s="548"/>
      <c r="AAL148" s="548"/>
      <c r="AAM148" s="548"/>
      <c r="AAN148" s="548"/>
      <c r="AAO148" s="548"/>
      <c r="AAP148" s="548"/>
      <c r="AAQ148" s="548"/>
      <c r="AAR148" s="548"/>
      <c r="AAS148" s="548"/>
      <c r="AAT148" s="548"/>
      <c r="AAU148" s="548"/>
      <c r="AAV148" s="548"/>
      <c r="AAW148" s="548"/>
      <c r="AAX148" s="548"/>
      <c r="AAY148" s="548"/>
      <c r="AAZ148" s="548"/>
      <c r="ABA148" s="548"/>
      <c r="ABB148" s="548"/>
      <c r="ABC148" s="548"/>
      <c r="ABD148" s="548"/>
      <c r="ABE148" s="548"/>
      <c r="ABF148" s="548"/>
      <c r="ABG148" s="548"/>
      <c r="ABH148" s="548"/>
      <c r="ABI148" s="548"/>
      <c r="ABJ148" s="548"/>
      <c r="ABK148" s="548"/>
      <c r="ABL148" s="548"/>
      <c r="ABM148" s="548"/>
      <c r="ABN148" s="548"/>
      <c r="ABO148" s="548"/>
      <c r="ABP148" s="548"/>
      <c r="ABQ148" s="548"/>
      <c r="ABR148" s="548"/>
      <c r="ABS148" s="548"/>
    </row>
    <row r="149" spans="1:747" customFormat="1" ht="15" customHeight="1" x14ac:dyDescent="0.2">
      <c r="A149" s="424" t="str">
        <f t="shared" si="1687"/>
        <v/>
      </c>
      <c r="B149" s="415"/>
      <c r="C149" s="525"/>
      <c r="D149" s="750"/>
      <c r="E149" s="416" t="str">
        <f t="shared" si="1529"/>
        <v/>
      </c>
      <c r="F149" s="527" t="str">
        <f t="shared" si="1530"/>
        <v/>
      </c>
      <c r="G149" s="417"/>
      <c r="H149" s="585" t="str">
        <f t="shared" si="1531"/>
        <v/>
      </c>
      <c r="I149" s="424"/>
      <c r="J149" s="419"/>
      <c r="K149" s="418"/>
      <c r="L149" s="419"/>
      <c r="M149" s="415"/>
      <c r="N149" s="420"/>
      <c r="O149" s="421"/>
      <c r="P149" s="561"/>
      <c r="Q149" s="422"/>
      <c r="R149" s="561" t="str">
        <f t="shared" si="1532"/>
        <v/>
      </c>
      <c r="S149" s="664"/>
      <c r="T149" s="663"/>
      <c r="U149" s="580">
        <f t="shared" si="1533"/>
        <v>0</v>
      </c>
      <c r="V149" s="418"/>
      <c r="W149" s="582" t="str">
        <f t="shared" si="1534"/>
        <v/>
      </c>
      <c r="X149" s="479" t="str">
        <f t="shared" si="1535"/>
        <v/>
      </c>
      <c r="Y149" s="582" t="str">
        <f t="shared" si="1536"/>
        <v/>
      </c>
      <c r="Z149" s="317" t="str">
        <f t="shared" si="1537"/>
        <v/>
      </c>
      <c r="AA149" s="317" t="str">
        <f t="shared" si="1538"/>
        <v/>
      </c>
      <c r="AB149" s="317">
        <f t="shared" si="1539"/>
        <v>0</v>
      </c>
      <c r="AC149" s="317" t="str">
        <f t="shared" si="1540"/>
        <v/>
      </c>
      <c r="AD149" s="479"/>
      <c r="AE149" s="479"/>
      <c r="AF149" s="479"/>
      <c r="AG149" s="423"/>
      <c r="AH149" s="820"/>
      <c r="AI149" s="437"/>
      <c r="AJ149" s="660"/>
      <c r="AK149" s="524" t="str">
        <f t="shared" si="1541"/>
        <v/>
      </c>
      <c r="AL149" s="719" t="str">
        <f>$AL$5</f>
        <v>itens de Despesas</v>
      </c>
      <c r="AM149" s="719" t="str">
        <f>$AM$5</f>
        <v>total pag. Mod. 2</v>
      </c>
      <c r="AN149" s="426">
        <f t="shared" si="1542"/>
        <v>0</v>
      </c>
      <c r="AO149" s="427" t="str">
        <f t="shared" si="1543"/>
        <v/>
      </c>
      <c r="AP149" s="426" t="str">
        <f t="shared" si="1544"/>
        <v/>
      </c>
      <c r="AQ149" s="426"/>
      <c r="AR149" s="426"/>
      <c r="AS149" s="428"/>
      <c r="AT149" s="429"/>
      <c r="AU149" s="430"/>
      <c r="AV149" s="431"/>
      <c r="AW149" s="432"/>
      <c r="AX149" s="430"/>
      <c r="AY149" s="431">
        <f t="shared" si="1545"/>
        <v>0</v>
      </c>
      <c r="AZ149" s="426"/>
      <c r="BA149" s="435" t="str">
        <f t="shared" si="1546"/>
        <v/>
      </c>
      <c r="BB149" s="435"/>
      <c r="BC149" s="426"/>
      <c r="BD149" s="426">
        <f t="array" ref="BD149">IF(SUM((BC149=$BC$3:BC148)*1)=0,BC149,0)</f>
        <v>0</v>
      </c>
      <c r="BE149" s="426"/>
      <c r="BF149" s="426"/>
      <c r="BG149" s="426">
        <f t="array" ref="BG149">IF(SUM((BF149=$BF$3:BF148)*1)=0,BF149,0)</f>
        <v>0</v>
      </c>
      <c r="BH149" s="426"/>
      <c r="BI149" s="426"/>
      <c r="BJ149" s="426"/>
      <c r="BK149" s="426"/>
      <c r="BL149" s="426"/>
      <c r="BM149" s="426"/>
      <c r="BN149" s="426"/>
      <c r="BO149" s="426"/>
      <c r="BP149" s="433">
        <f t="shared" si="1547"/>
        <v>0</v>
      </c>
      <c r="BQ149" s="426"/>
      <c r="BR149" s="434"/>
      <c r="BS149" s="426"/>
      <c r="BT149" s="433"/>
      <c r="BU149" s="435"/>
      <c r="BV149" s="435" t="str">
        <f t="shared" si="1548"/>
        <v/>
      </c>
      <c r="BW149" s="435" t="str">
        <f t="shared" si="1576"/>
        <v/>
      </c>
      <c r="BX149" s="435"/>
      <c r="BY149" s="435"/>
      <c r="BZ149" s="435"/>
      <c r="CA149" s="435"/>
      <c r="CB149" s="435"/>
      <c r="CC149" s="435"/>
      <c r="CD149" s="435"/>
      <c r="CE149" s="435"/>
      <c r="CF149" s="435"/>
      <c r="CG149" s="435"/>
      <c r="CH149" s="435"/>
      <c r="CI149" s="435"/>
      <c r="CJ149" s="426" t="str">
        <f t="shared" si="1577"/>
        <v/>
      </c>
      <c r="CK149" s="435"/>
      <c r="CL149" s="426"/>
      <c r="CM149" s="435"/>
      <c r="CN149" s="426"/>
      <c r="CO149" s="426"/>
      <c r="CP149" s="426"/>
      <c r="CQ149" s="426"/>
      <c r="CR149" s="426"/>
      <c r="CS149" s="426"/>
      <c r="CT149" s="426"/>
      <c r="CU149" s="426"/>
      <c r="CV149" s="426"/>
      <c r="CW149" s="493"/>
      <c r="CX149" s="493"/>
      <c r="CY149" s="426">
        <v>146</v>
      </c>
      <c r="CZ149" s="493"/>
      <c r="DA149" s="493"/>
      <c r="DB149" s="493"/>
      <c r="DC149" s="426" t="s">
        <v>889</v>
      </c>
      <c r="DD149" s="426" t="s">
        <v>1049</v>
      </c>
      <c r="DE149" s="435" t="str">
        <f t="shared" si="1578"/>
        <v/>
      </c>
      <c r="DF149" s="435" t="str">
        <f t="shared" si="1579"/>
        <v/>
      </c>
      <c r="DG149" s="435" t="str">
        <f t="shared" si="1580"/>
        <v/>
      </c>
      <c r="DH149" s="435" t="str">
        <f t="shared" si="1581"/>
        <v/>
      </c>
      <c r="DI149" s="435" t="str">
        <f t="shared" si="1582"/>
        <v/>
      </c>
      <c r="DJ149" s="435" t="str">
        <f t="shared" si="1583"/>
        <v/>
      </c>
      <c r="DK149" s="435" t="str">
        <f t="shared" si="1549"/>
        <v/>
      </c>
      <c r="DL149" s="435" t="str">
        <f t="shared" si="1550"/>
        <v/>
      </c>
      <c r="DM149" s="435" t="str">
        <f t="shared" si="1584"/>
        <v/>
      </c>
      <c r="DN149" s="435" t="str">
        <f t="shared" si="1585"/>
        <v/>
      </c>
      <c r="DO149" s="435" t="str">
        <f t="shared" si="1551"/>
        <v/>
      </c>
      <c r="DP149" s="435" t="str">
        <f t="shared" si="1552"/>
        <v/>
      </c>
      <c r="DQ149" s="435" t="str">
        <f t="shared" si="1586"/>
        <v/>
      </c>
      <c r="DR149" s="435" t="str">
        <f t="shared" si="1587"/>
        <v/>
      </c>
      <c r="DS149" s="435" t="str">
        <f t="shared" si="1553"/>
        <v/>
      </c>
      <c r="DT149" s="435" t="str">
        <f t="shared" si="1554"/>
        <v/>
      </c>
      <c r="DU149" s="435" t="str">
        <f t="shared" si="1588"/>
        <v/>
      </c>
      <c r="DV149" s="435" t="str">
        <f t="shared" si="1589"/>
        <v/>
      </c>
      <c r="DW149" s="435" t="str">
        <f t="shared" si="1555"/>
        <v/>
      </c>
      <c r="DX149" s="435" t="str">
        <f t="shared" si="1556"/>
        <v/>
      </c>
      <c r="DY149" s="435" t="str">
        <f t="shared" si="1590"/>
        <v/>
      </c>
      <c r="DZ149" s="435" t="str">
        <f t="shared" si="1591"/>
        <v/>
      </c>
      <c r="EA149" s="435" t="str">
        <f t="shared" si="1557"/>
        <v/>
      </c>
      <c r="EB149" s="435" t="str">
        <f t="shared" si="1558"/>
        <v/>
      </c>
      <c r="EC149" s="435" t="str">
        <f t="shared" si="1559"/>
        <v/>
      </c>
      <c r="ED149" s="435" t="str">
        <f t="shared" si="1560"/>
        <v/>
      </c>
      <c r="EE149" s="435" t="str">
        <f t="shared" si="1561"/>
        <v/>
      </c>
      <c r="EF149" s="435" t="str">
        <f t="shared" si="1562"/>
        <v/>
      </c>
      <c r="EG149" s="435" t="str">
        <f t="shared" si="1563"/>
        <v/>
      </c>
      <c r="EH149" s="435" t="str">
        <f t="shared" si="1564"/>
        <v/>
      </c>
      <c r="EI149" s="435" t="str">
        <f t="shared" si="1565"/>
        <v/>
      </c>
      <c r="EJ149" s="435" t="str">
        <f t="shared" si="1566"/>
        <v/>
      </c>
      <c r="EK149" s="485"/>
      <c r="EL149" s="485"/>
      <c r="EM149" s="485"/>
      <c r="EN149" s="485"/>
      <c r="EO149" s="448"/>
      <c r="EP149" s="448"/>
      <c r="EQ149" s="448"/>
      <c r="ER149" s="448"/>
      <c r="ES149" s="448"/>
      <c r="ET149" s="435"/>
      <c r="EU149" s="435"/>
      <c r="EV149" s="435"/>
      <c r="EW149" s="435"/>
      <c r="EX149" s="426"/>
      <c r="EY149" s="426"/>
      <c r="EZ149" s="426"/>
      <c r="FA149" s="863"/>
      <c r="FB149" s="427">
        <f t="array" ref="FB149">IF(SUM((FA149=$FA$3:FA148)*1)=0,FA149,0)</f>
        <v>0</v>
      </c>
      <c r="FC149" s="863"/>
      <c r="FD149" s="863"/>
      <c r="FE149" s="863">
        <f t="array" ref="FE149">IF(SUM((FD149=$FD$3:FD148)*1)=0,FD149,0)</f>
        <v>0</v>
      </c>
      <c r="FF149" s="863"/>
      <c r="FG149" s="863"/>
      <c r="FH149" s="863"/>
      <c r="FI149" s="427">
        <f t="array" ref="FI149">IF(SUM((FH149=$FH$3:FH148)*1)=0,FH149,0)</f>
        <v>0</v>
      </c>
      <c r="FJ149" s="863"/>
      <c r="FK149" s="863"/>
      <c r="FL149" s="863">
        <f t="array" ref="FL149">IF(SUM((FK149=$FK$3:FK148)*1)=0,FK149,0)</f>
        <v>0</v>
      </c>
      <c r="FM149" s="863"/>
      <c r="FN149" s="863"/>
      <c r="FO149" s="863"/>
      <c r="FP149" s="427">
        <f t="array" ref="FP149">IF(SUM((FO149=$FO$3:FO148)*1)=0,FO149,0)</f>
        <v>0</v>
      </c>
      <c r="FQ149" s="863"/>
      <c r="FR149" s="863"/>
      <c r="FS149" s="863">
        <f t="array" ref="FS149">IF(SUM((FR149=$FR$3:FR148)*1)=0,FR149,0)</f>
        <v>0</v>
      </c>
      <c r="FT149" s="863"/>
      <c r="FU149" s="863"/>
      <c r="FV149" s="863"/>
      <c r="FW149" s="427">
        <f t="array" ref="FW149">IF(SUM((FV149=$FV$3:FV148)*1)=0,FV149,0)</f>
        <v>0</v>
      </c>
      <c r="FX149" s="863"/>
      <c r="FY149" s="863"/>
      <c r="FZ149" s="863">
        <f t="array" ref="FZ149">IF(SUM((FY149=$FY$3:FY148)*1)=0,FY149,0)</f>
        <v>0</v>
      </c>
      <c r="GA149" s="863"/>
      <c r="GB149" s="863"/>
      <c r="GC149" s="863"/>
      <c r="GD149" s="427">
        <f t="array" ref="GD149">IF(SUM((GC149=$GC$3:GC148)*1)=0,GC149,0)</f>
        <v>0</v>
      </c>
      <c r="GE149" s="863"/>
      <c r="GF149" s="863"/>
      <c r="GG149" s="863">
        <f t="array" ref="GG149">IF(SUM((GF149=$GF$3:GF148)*1)=0,GF149,0)</f>
        <v>0</v>
      </c>
      <c r="GH149" s="863"/>
      <c r="GI149" s="863"/>
      <c r="GJ149" s="863"/>
      <c r="GK149" s="798">
        <f t="array" ref="GK149">IF(SUM((GJ149=$GJ$3:GJ148)*1)=0,GJ149,0)</f>
        <v>0</v>
      </c>
      <c r="GL149" s="863"/>
      <c r="GM149" s="863"/>
      <c r="GN149" s="798">
        <f t="array" ref="GN149">IF(SUM((GM149=$GM$3:GM148)*1)=0,GM149,0)</f>
        <v>0</v>
      </c>
      <c r="GO149" s="863"/>
      <c r="GP149" s="863"/>
      <c r="GQ149" s="863"/>
      <c r="GR149" s="798">
        <f t="array" ref="GR149">IF(SUM((GQ149=$GQ$3:GQ148)*1)=0,GQ149,0)</f>
        <v>0</v>
      </c>
      <c r="GS149" s="863"/>
      <c r="GT149" s="863"/>
      <c r="GU149" s="798">
        <f t="array" ref="GU149">IF(SUM((GT149=$GT$3:GT148)*1)=0,GT149,0)</f>
        <v>0</v>
      </c>
      <c r="GV149" s="863"/>
      <c r="GW149" s="863"/>
      <c r="GX149" s="863"/>
      <c r="GY149" s="798">
        <f t="array" ref="GY149">IF(SUM((GX149=$GX$3:GX148)*1)=0,GX149,0)</f>
        <v>0</v>
      </c>
      <c r="GZ149" s="863"/>
      <c r="HA149" s="863"/>
      <c r="HB149" s="798">
        <f t="array" ref="HB149">IF(SUM((HA149=$HA$3:HA148)*1)=0,HA149,0)</f>
        <v>0</v>
      </c>
      <c r="HC149" s="863"/>
      <c r="HD149" s="863"/>
      <c r="HE149" s="769" t="str">
        <f t="shared" si="1667"/>
        <v/>
      </c>
      <c r="HF149" s="768" t="str">
        <f t="shared" ref="HF149" si="1814">IF(HE149&lt;0,"Invadiu REP-BA-C","")</f>
        <v/>
      </c>
      <c r="HG149" s="769" t="str">
        <f t="shared" si="1669"/>
        <v/>
      </c>
      <c r="HH149" s="768" t="str">
        <f t="shared" si="1593"/>
        <v/>
      </c>
      <c r="HI149" s="728" t="str">
        <f t="shared" si="1670"/>
        <v/>
      </c>
      <c r="HJ149" s="768" t="str">
        <f t="shared" si="1594"/>
        <v/>
      </c>
      <c r="HK149" s="728" t="str">
        <f t="shared" si="1671"/>
        <v/>
      </c>
      <c r="HL149" s="768" t="str">
        <f t="shared" si="1595"/>
        <v/>
      </c>
      <c r="HM149" s="769" t="str">
        <f t="shared" si="1596"/>
        <v/>
      </c>
      <c r="HN149" s="768" t="str">
        <f t="shared" ref="HN149" si="1815">IF(HM149&lt;0,"Invadiu REP-BA-C","")</f>
        <v/>
      </c>
      <c r="HO149" s="769" t="str">
        <f t="shared" si="1598"/>
        <v/>
      </c>
      <c r="HP149" s="768" t="str">
        <f t="shared" si="1599"/>
        <v/>
      </c>
      <c r="HQ149" s="728" t="str">
        <f t="shared" si="1600"/>
        <v/>
      </c>
      <c r="HR149" s="768" t="str">
        <f t="shared" si="1601"/>
        <v/>
      </c>
      <c r="HS149" s="728" t="str">
        <f t="shared" si="1602"/>
        <v/>
      </c>
      <c r="HT149" s="768" t="str">
        <f t="shared" si="1603"/>
        <v/>
      </c>
      <c r="HU149" s="769" t="str">
        <f t="shared" si="1604"/>
        <v/>
      </c>
      <c r="HV149" s="768" t="str">
        <f t="shared" ref="HV149" si="1816">IF(HU149&lt;0,"Invadiu REP-BA-C","")</f>
        <v/>
      </c>
      <c r="HW149" s="769" t="str">
        <f t="shared" si="1606"/>
        <v/>
      </c>
      <c r="HX149" s="768" t="str">
        <f t="shared" si="1607"/>
        <v/>
      </c>
      <c r="HY149" s="728" t="str">
        <f t="shared" si="1608"/>
        <v/>
      </c>
      <c r="HZ149" s="768" t="str">
        <f t="shared" si="1609"/>
        <v/>
      </c>
      <c r="IA149" s="728" t="str">
        <f t="shared" si="1610"/>
        <v/>
      </c>
      <c r="IB149" s="768" t="str">
        <f t="shared" si="1611"/>
        <v/>
      </c>
      <c r="IC149" s="769" t="str">
        <f t="shared" si="1612"/>
        <v/>
      </c>
      <c r="ID149" s="768" t="str">
        <f t="shared" ref="ID149" si="1817">IF(IC149&lt;0,"Invadiu REP-BA-C","")</f>
        <v/>
      </c>
      <c r="IE149" s="769" t="str">
        <f t="shared" si="1614"/>
        <v/>
      </c>
      <c r="IF149" s="768" t="str">
        <f t="shared" si="1615"/>
        <v/>
      </c>
      <c r="IG149" s="728" t="str">
        <f t="shared" si="1616"/>
        <v/>
      </c>
      <c r="IH149" s="768" t="str">
        <f t="shared" si="1617"/>
        <v/>
      </c>
      <c r="II149" s="728" t="str">
        <f t="shared" si="1618"/>
        <v/>
      </c>
      <c r="IJ149" s="768" t="str">
        <f t="shared" si="1619"/>
        <v/>
      </c>
      <c r="IK149" s="769" t="str">
        <f t="shared" si="1620"/>
        <v/>
      </c>
      <c r="IL149" s="768" t="str">
        <f t="shared" ref="IL149" si="1818">IF(IK149&lt;0,"Invadiu REP-BA-C","")</f>
        <v/>
      </c>
      <c r="IM149" s="769" t="str">
        <f t="shared" si="1622"/>
        <v/>
      </c>
      <c r="IN149" s="768" t="str">
        <f t="shared" si="1623"/>
        <v/>
      </c>
      <c r="IO149" s="728" t="str">
        <f t="shared" si="1624"/>
        <v/>
      </c>
      <c r="IP149" s="768" t="str">
        <f t="shared" si="1625"/>
        <v/>
      </c>
      <c r="IQ149" s="728" t="str">
        <f t="shared" si="1626"/>
        <v/>
      </c>
      <c r="IR149" s="768" t="str">
        <f t="shared" si="1627"/>
        <v/>
      </c>
      <c r="IS149" s="769" t="str">
        <f t="shared" si="1628"/>
        <v/>
      </c>
      <c r="IT149" s="768" t="str">
        <f t="shared" ref="IT149" si="1819">IF(IS149&lt;0,"Invadiu REP-BA-C","")</f>
        <v/>
      </c>
      <c r="IU149" s="769" t="str">
        <f t="shared" si="1630"/>
        <v/>
      </c>
      <c r="IV149" s="768" t="str">
        <f t="shared" si="1631"/>
        <v/>
      </c>
      <c r="IW149" s="728" t="str">
        <f t="shared" si="1632"/>
        <v/>
      </c>
      <c r="IX149" s="768" t="str">
        <f t="shared" si="1633"/>
        <v/>
      </c>
      <c r="IY149" s="728" t="str">
        <f t="shared" si="1634"/>
        <v/>
      </c>
      <c r="IZ149" s="768" t="str">
        <f t="shared" si="1635"/>
        <v/>
      </c>
      <c r="JA149" s="769" t="str">
        <f t="shared" si="1636"/>
        <v/>
      </c>
      <c r="JB149" s="768" t="str">
        <f t="shared" ref="JB149" si="1820">IF(JA149&lt;0,"Invadiu REP-BA-C","")</f>
        <v/>
      </c>
      <c r="JC149" s="769" t="str">
        <f t="shared" si="1638"/>
        <v/>
      </c>
      <c r="JD149" s="768" t="str">
        <f t="shared" si="1639"/>
        <v/>
      </c>
      <c r="JE149" s="728" t="str">
        <f t="shared" si="1640"/>
        <v/>
      </c>
      <c r="JF149" s="768" t="str">
        <f t="shared" si="1641"/>
        <v/>
      </c>
      <c r="JG149" s="728" t="str">
        <f t="shared" si="1642"/>
        <v/>
      </c>
      <c r="JH149" s="768" t="str">
        <f t="shared" si="1643"/>
        <v/>
      </c>
      <c r="JI149" s="769" t="str">
        <f t="shared" si="1644"/>
        <v/>
      </c>
      <c r="JJ149" s="768" t="str">
        <f t="shared" ref="JJ149" si="1821">IF(JI149&lt;0,"Invadiu REP-BA-C","")</f>
        <v/>
      </c>
      <c r="JK149" s="769" t="str">
        <f t="shared" si="1646"/>
        <v/>
      </c>
      <c r="JL149" s="768" t="str">
        <f t="shared" si="1647"/>
        <v/>
      </c>
      <c r="JM149" s="728" t="str">
        <f t="shared" si="1648"/>
        <v/>
      </c>
      <c r="JN149" s="768" t="str">
        <f t="shared" si="1649"/>
        <v/>
      </c>
      <c r="JO149" s="728" t="str">
        <f t="shared" si="1650"/>
        <v/>
      </c>
      <c r="JP149" s="768" t="str">
        <f t="shared" si="1651"/>
        <v/>
      </c>
      <c r="JQ149" s="769" t="str">
        <f t="shared" si="1652"/>
        <v/>
      </c>
      <c r="JR149" s="768" t="str">
        <f t="shared" ref="JR149" si="1822">IF(JQ149&lt;0,"Invadiu REP-BA-C","")</f>
        <v/>
      </c>
      <c r="JS149" s="769" t="str">
        <f t="shared" si="1654"/>
        <v/>
      </c>
      <c r="JT149" s="768" t="str">
        <f t="shared" si="1655"/>
        <v/>
      </c>
      <c r="JU149" s="728" t="str">
        <f t="shared" si="1656"/>
        <v/>
      </c>
      <c r="JV149" s="768" t="str">
        <f t="shared" si="1657"/>
        <v/>
      </c>
      <c r="JW149" s="728" t="str">
        <f t="shared" si="1658"/>
        <v/>
      </c>
      <c r="JX149" s="768" t="str">
        <f t="shared" si="1659"/>
        <v/>
      </c>
      <c r="JY149" s="768" t="str">
        <f t="shared" si="1660"/>
        <v/>
      </c>
      <c r="JZ149" s="485" t="str">
        <f>IF(JY149="","",IF(AND(C149=$C$164,JY149&lt;&gt;""),Verificarcpf(D149),IF(AND(C149=$C$165,JY149&lt;&gt;""),VerificarCNPJ(D149))))</f>
        <v/>
      </c>
      <c r="KA149" s="768" t="str">
        <f t="shared" si="1661"/>
        <v/>
      </c>
      <c r="KB149" s="485">
        <f t="shared" si="1662"/>
        <v>0</v>
      </c>
      <c r="KC149" s="768">
        <f t="shared" si="1663"/>
        <v>0</v>
      </c>
      <c r="KD149" s="485">
        <f t="shared" si="1664"/>
        <v>0</v>
      </c>
      <c r="KE149" s="448"/>
      <c r="KF149" s="548"/>
      <c r="KG149" s="548"/>
      <c r="KH149" s="548"/>
      <c r="KI149" s="548"/>
      <c r="KJ149" s="548" t="str">
        <f t="shared" si="1665"/>
        <v/>
      </c>
      <c r="KK149" s="548"/>
      <c r="KL149" s="548"/>
      <c r="KM149" s="548">
        <f t="array" ref="KM149">IF(SUM((KL149=$KL$3:KL148)*1)=0,KL149,0)</f>
        <v>0</v>
      </c>
      <c r="KN149" s="548"/>
      <c r="KO149" s="548"/>
      <c r="KP149" s="548"/>
      <c r="KQ149" s="548"/>
      <c r="KR149" s="548" t="str">
        <f t="shared" si="1666"/>
        <v/>
      </c>
      <c r="KS149" s="548"/>
      <c r="KT149" s="548"/>
      <c r="KU149" s="548"/>
      <c r="KV149" s="548"/>
      <c r="KW149" s="548"/>
      <c r="KX149" s="548"/>
      <c r="KY149" s="548"/>
      <c r="KZ149" s="548"/>
      <c r="LA149" s="548"/>
      <c r="LB149" s="548"/>
      <c r="LC149" s="485" t="str">
        <f t="shared" si="1680"/>
        <v/>
      </c>
      <c r="LD149" s="548"/>
      <c r="LE149" s="548"/>
      <c r="LF149" s="548"/>
      <c r="LG149" s="548"/>
      <c r="LH149" s="548"/>
      <c r="LI149" s="548"/>
      <c r="LJ149" s="548"/>
      <c r="LK149" s="548"/>
      <c r="LL149" s="548"/>
      <c r="LM149" s="548"/>
      <c r="LN149" s="548"/>
      <c r="LO149" s="548"/>
      <c r="LP149" s="485" t="str">
        <f t="shared" si="1681"/>
        <v/>
      </c>
      <c r="LQ149" s="548"/>
      <c r="LR149" s="548"/>
      <c r="LS149" s="548"/>
      <c r="LT149" s="548"/>
      <c r="LU149" s="548"/>
      <c r="LV149" s="548"/>
      <c r="LW149" s="548"/>
      <c r="LX149" s="548"/>
      <c r="LY149" s="548"/>
      <c r="LZ149" s="548"/>
      <c r="MA149" s="548"/>
      <c r="MB149" s="548"/>
      <c r="MC149" s="485" t="str">
        <f t="shared" si="1682"/>
        <v/>
      </c>
      <c r="MD149" s="548"/>
      <c r="ME149" s="548"/>
      <c r="MF149" s="548"/>
      <c r="MG149" s="548"/>
      <c r="MH149" s="548"/>
      <c r="MI149" s="548"/>
      <c r="MJ149" s="548"/>
      <c r="MK149" s="548"/>
      <c r="ML149" s="548"/>
      <c r="MM149" s="548"/>
      <c r="MN149" s="548"/>
      <c r="MO149" s="548"/>
      <c r="MP149" s="485" t="str">
        <f t="shared" si="1683"/>
        <v/>
      </c>
      <c r="MQ149" s="548"/>
      <c r="MR149" s="548"/>
      <c r="MS149" s="548"/>
      <c r="MT149" s="548"/>
      <c r="MU149" s="548"/>
      <c r="MV149" s="548"/>
      <c r="MW149" s="548"/>
      <c r="MX149" s="548"/>
      <c r="MY149" s="548"/>
      <c r="MZ149" s="548"/>
      <c r="NA149" s="548"/>
      <c r="NB149" s="548"/>
      <c r="NC149" s="485" t="str">
        <f t="shared" si="1684"/>
        <v/>
      </c>
      <c r="ND149" s="548"/>
      <c r="NE149" s="548"/>
      <c r="NF149" s="548"/>
      <c r="NG149" s="548"/>
      <c r="NH149" s="548"/>
      <c r="NI149" s="548"/>
      <c r="NJ149" s="548"/>
      <c r="NK149" s="548"/>
      <c r="NL149" s="548"/>
      <c r="NM149" s="548"/>
      <c r="NN149" s="548"/>
      <c r="NO149" s="548"/>
      <c r="NP149" s="485" t="str">
        <f t="shared" si="1685"/>
        <v/>
      </c>
      <c r="NQ149" s="548"/>
      <c r="NR149" s="548"/>
      <c r="NS149" s="548"/>
      <c r="NT149" s="548"/>
      <c r="NU149" s="548"/>
      <c r="NV149" s="548"/>
      <c r="NW149" s="548"/>
      <c r="NX149" s="548"/>
      <c r="NY149" s="548"/>
      <c r="NZ149" s="548"/>
      <c r="OA149" s="548"/>
      <c r="OB149" s="548"/>
      <c r="OC149" s="485" t="str">
        <f t="shared" si="1686"/>
        <v/>
      </c>
      <c r="OD149" s="548"/>
      <c r="OE149" s="548"/>
      <c r="OF149" s="548"/>
      <c r="OG149" s="548"/>
      <c r="OH149" s="548"/>
      <c r="OI149" s="548"/>
      <c r="OJ149" s="548"/>
      <c r="OK149" s="548"/>
      <c r="OL149" s="548"/>
      <c r="OM149" s="548"/>
      <c r="ON149" s="548"/>
      <c r="OO149" s="548"/>
      <c r="OP149" s="548"/>
      <c r="OQ149" s="548"/>
      <c r="OR149" s="548"/>
      <c r="OS149" s="548"/>
      <c r="OT149" s="548"/>
      <c r="OU149" s="548"/>
      <c r="OV149" s="548"/>
      <c r="OW149" s="548"/>
      <c r="OX149" s="548"/>
      <c r="OY149" s="548"/>
      <c r="OZ149" s="548"/>
      <c r="PA149" s="548"/>
      <c r="PB149" s="548"/>
      <c r="PC149" s="548"/>
      <c r="PD149" s="548"/>
      <c r="PE149" s="548"/>
      <c r="PF149" s="548"/>
      <c r="PG149" s="548"/>
      <c r="PH149" s="548"/>
      <c r="PI149" s="548"/>
      <c r="PJ149" s="548"/>
      <c r="PK149" s="548"/>
      <c r="PL149" s="548"/>
      <c r="PM149" s="548"/>
      <c r="PN149" s="548"/>
      <c r="PO149" s="548"/>
      <c r="PP149" s="548"/>
      <c r="PQ149" s="548"/>
      <c r="PR149" s="548"/>
      <c r="PS149" s="548"/>
      <c r="PT149" s="548"/>
      <c r="PU149" s="548"/>
      <c r="PV149" s="548"/>
      <c r="PW149" s="548"/>
      <c r="PX149" s="548"/>
      <c r="PY149" s="548"/>
      <c r="PZ149" s="548"/>
      <c r="QA149" s="548"/>
      <c r="QB149" s="548"/>
      <c r="QC149" s="548"/>
      <c r="QD149" s="548"/>
      <c r="QE149" s="548"/>
      <c r="QF149" s="548"/>
      <c r="QG149" s="548"/>
      <c r="QH149" s="548"/>
      <c r="QI149" s="548"/>
      <c r="QJ149" s="548"/>
      <c r="QK149" s="548"/>
      <c r="QL149" s="548"/>
      <c r="QM149" s="548"/>
      <c r="QN149" s="548"/>
      <c r="QO149" s="548"/>
      <c r="QP149" s="548"/>
      <c r="QQ149" s="1009"/>
      <c r="QR149" s="548"/>
      <c r="QS149" s="548"/>
      <c r="QT149" s="548"/>
      <c r="QU149" s="548"/>
      <c r="QV149" s="548"/>
      <c r="QW149" s="548"/>
      <c r="QX149" s="548"/>
      <c r="QY149" s="548"/>
      <c r="QZ149" s="548"/>
      <c r="RA149" s="548"/>
      <c r="RB149" s="548"/>
      <c r="RC149" s="548"/>
      <c r="RD149" s="548"/>
      <c r="RE149" s="548"/>
      <c r="RF149" s="548"/>
      <c r="RG149" s="548"/>
      <c r="RH149" s="548"/>
      <c r="RI149" s="548"/>
      <c r="RJ149" s="548"/>
      <c r="RK149" s="548"/>
      <c r="RL149" s="548"/>
      <c r="RM149" s="548"/>
      <c r="RN149" s="548"/>
      <c r="RO149" s="548"/>
      <c r="RP149" s="548"/>
      <c r="RQ149" s="548"/>
      <c r="RR149" s="548"/>
      <c r="RS149" s="548"/>
      <c r="RT149" s="548"/>
      <c r="RU149" s="548"/>
      <c r="RV149" s="548"/>
      <c r="RW149" s="548"/>
      <c r="RX149" s="548"/>
      <c r="RY149" s="548"/>
      <c r="RZ149" s="548"/>
      <c r="SA149" s="548"/>
      <c r="SB149" s="548"/>
      <c r="SC149" s="548"/>
      <c r="SD149" s="548"/>
      <c r="SE149" s="548"/>
      <c r="SF149" s="548"/>
      <c r="SG149" s="548"/>
      <c r="SH149" s="548"/>
      <c r="SI149" s="548"/>
      <c r="SJ149" s="548"/>
      <c r="SK149" s="548"/>
      <c r="SL149" s="548"/>
      <c r="SM149" s="548"/>
      <c r="SN149" s="548"/>
      <c r="SO149" s="548"/>
      <c r="SP149" s="548"/>
      <c r="SQ149" s="548"/>
      <c r="SR149" s="548"/>
      <c r="SS149" s="548"/>
      <c r="ST149" s="548"/>
      <c r="SU149" s="548"/>
      <c r="SV149" s="548"/>
      <c r="SW149" s="548"/>
      <c r="SX149" s="548"/>
      <c r="SY149" s="548"/>
      <c r="SZ149" s="548"/>
      <c r="TA149" s="548"/>
      <c r="TB149" s="548"/>
      <c r="TC149" s="548"/>
      <c r="TD149" s="548"/>
      <c r="TE149" s="548"/>
      <c r="TF149" s="548"/>
      <c r="TG149" s="548"/>
      <c r="TH149" s="548"/>
      <c r="TI149" s="548"/>
      <c r="TJ149" s="548"/>
      <c r="TK149" s="548"/>
      <c r="TL149" s="548"/>
      <c r="TM149" s="548"/>
      <c r="TN149" s="548"/>
      <c r="TO149" s="548"/>
      <c r="TP149" s="548"/>
      <c r="TQ149" s="548"/>
      <c r="TR149" s="548"/>
      <c r="TS149" s="548"/>
      <c r="TT149" s="548"/>
      <c r="TU149" s="548"/>
      <c r="TV149" s="548"/>
      <c r="TW149" s="548"/>
      <c r="TX149" s="548"/>
      <c r="TY149" s="548"/>
      <c r="TZ149" s="548"/>
      <c r="UA149" s="548"/>
      <c r="UB149" s="548"/>
      <c r="UC149" s="548"/>
      <c r="UD149" s="548"/>
      <c r="UE149" s="548"/>
      <c r="UF149" s="548"/>
      <c r="UG149" s="548"/>
      <c r="UH149" s="548"/>
      <c r="UI149" s="548"/>
      <c r="UJ149" s="548"/>
      <c r="UK149" s="548"/>
      <c r="UL149" s="548"/>
      <c r="UM149" s="548"/>
      <c r="UN149" s="548"/>
      <c r="UO149" s="548"/>
      <c r="UP149" s="548"/>
      <c r="UQ149" s="548"/>
      <c r="UR149" s="548"/>
      <c r="US149" s="548"/>
      <c r="UT149" s="548"/>
      <c r="UU149" s="548"/>
      <c r="UV149" s="548"/>
      <c r="UW149" s="548"/>
      <c r="UX149" s="548"/>
      <c r="UY149" s="548"/>
      <c r="UZ149" s="548"/>
      <c r="VA149" s="548"/>
      <c r="VB149" s="548"/>
      <c r="VC149" s="548"/>
      <c r="VD149" s="548"/>
      <c r="VE149" s="548"/>
      <c r="VF149" s="548"/>
      <c r="VG149" s="548"/>
      <c r="VH149" s="548"/>
      <c r="VI149" s="548"/>
      <c r="VJ149" s="548"/>
      <c r="VK149" s="548"/>
      <c r="VL149" s="548"/>
      <c r="VM149" s="548"/>
      <c r="VN149" s="548"/>
      <c r="VO149" s="548"/>
      <c r="VP149" s="548"/>
      <c r="VQ149" s="548"/>
      <c r="VR149" s="548"/>
      <c r="VS149" s="548"/>
      <c r="VT149" s="548"/>
      <c r="VU149" s="548"/>
      <c r="VV149" s="548"/>
      <c r="VW149" s="548"/>
      <c r="VX149" s="548"/>
      <c r="VY149" s="548"/>
      <c r="VZ149" s="548"/>
      <c r="WA149" s="548"/>
      <c r="WB149" s="548"/>
      <c r="WC149" s="548"/>
      <c r="WD149" s="548"/>
      <c r="WE149" s="548"/>
      <c r="WF149" s="548"/>
      <c r="WG149" s="548"/>
      <c r="WH149" s="548"/>
      <c r="WI149" s="548"/>
      <c r="WJ149" s="548"/>
      <c r="WK149" s="548"/>
      <c r="WL149" s="548"/>
      <c r="WM149" s="548"/>
      <c r="WN149" s="548"/>
      <c r="WO149" s="548"/>
      <c r="WP149" s="548"/>
      <c r="WQ149" s="548"/>
      <c r="WR149" s="548"/>
      <c r="WS149" s="548"/>
      <c r="WT149" s="548"/>
      <c r="WU149" s="548"/>
      <c r="WV149" s="548"/>
      <c r="WW149" s="548"/>
      <c r="WX149" s="548"/>
      <c r="WY149" s="548"/>
      <c r="WZ149" s="548"/>
      <c r="XA149" s="548"/>
      <c r="XB149" s="548"/>
      <c r="XC149" s="548"/>
      <c r="XD149" s="548"/>
      <c r="XE149" s="548"/>
      <c r="XF149" s="548"/>
      <c r="XG149" s="548"/>
      <c r="XH149" s="548"/>
      <c r="XI149" s="548"/>
      <c r="XJ149" s="548"/>
      <c r="XK149" s="548"/>
      <c r="XL149" s="548"/>
      <c r="XM149" s="548"/>
      <c r="XN149" s="548"/>
      <c r="XO149" s="548"/>
      <c r="XP149" s="548"/>
      <c r="XQ149" s="548"/>
      <c r="XR149" s="548"/>
      <c r="XS149" s="548"/>
      <c r="XT149" s="548"/>
      <c r="XU149" s="548"/>
      <c r="XV149" s="548"/>
      <c r="XW149" s="548"/>
      <c r="XX149" s="548"/>
      <c r="XY149" s="548"/>
      <c r="XZ149" s="548"/>
      <c r="YA149" s="548"/>
      <c r="YB149" s="548"/>
      <c r="YC149" s="548"/>
      <c r="YD149" s="548"/>
      <c r="YE149" s="548"/>
      <c r="YF149" s="548"/>
      <c r="YG149" s="548"/>
      <c r="YH149" s="548"/>
      <c r="YI149" s="548"/>
      <c r="YJ149" s="548"/>
      <c r="YK149" s="548"/>
      <c r="YL149" s="548"/>
      <c r="YM149" s="548"/>
      <c r="YN149" s="548"/>
      <c r="YO149" s="548"/>
      <c r="YP149" s="548"/>
      <c r="YQ149" s="548"/>
      <c r="YR149" s="548"/>
      <c r="YS149" s="548"/>
      <c r="YT149" s="548"/>
      <c r="YU149" s="548"/>
      <c r="YV149" s="548"/>
      <c r="YW149" s="548"/>
      <c r="YX149" s="548"/>
      <c r="YY149" s="548"/>
      <c r="YZ149" s="548"/>
      <c r="ZA149" s="548"/>
      <c r="ZB149" s="548"/>
      <c r="ZC149" s="548"/>
      <c r="ZD149" s="548"/>
      <c r="ZE149" s="548"/>
      <c r="ZF149" s="548"/>
      <c r="ZG149" s="548"/>
      <c r="ZH149" s="548"/>
      <c r="ZI149" s="548"/>
      <c r="ZJ149" s="548"/>
      <c r="ZK149" s="548"/>
      <c r="ZL149" s="548"/>
      <c r="ZM149" s="548"/>
      <c r="ZN149" s="548"/>
      <c r="ZO149" s="548"/>
      <c r="ZP149" s="548"/>
      <c r="ZQ149" s="548"/>
      <c r="ZR149" s="548"/>
      <c r="ZS149" s="548"/>
      <c r="ZT149" s="548"/>
      <c r="ZU149" s="548"/>
      <c r="ZV149" s="548"/>
      <c r="ZW149" s="548"/>
      <c r="ZX149" s="548"/>
      <c r="ZY149" s="548"/>
      <c r="ZZ149" s="548"/>
      <c r="AAA149" s="548"/>
      <c r="AAB149" s="548"/>
      <c r="AAC149" s="548"/>
      <c r="AAD149" s="548"/>
      <c r="AAE149" s="548"/>
      <c r="AAF149" s="548"/>
      <c r="AAG149" s="548"/>
      <c r="AAH149" s="548"/>
      <c r="AAI149" s="548"/>
      <c r="AAJ149" s="548"/>
      <c r="AAK149" s="548"/>
      <c r="AAL149" s="548"/>
      <c r="AAM149" s="548"/>
      <c r="AAN149" s="548"/>
      <c r="AAO149" s="548"/>
      <c r="AAP149" s="548"/>
      <c r="AAQ149" s="548"/>
      <c r="AAR149" s="548"/>
      <c r="AAS149" s="548"/>
      <c r="AAT149" s="548"/>
      <c r="AAU149" s="548"/>
      <c r="AAV149" s="548"/>
      <c r="AAW149" s="548"/>
      <c r="AAX149" s="548"/>
      <c r="AAY149" s="548"/>
      <c r="AAZ149" s="548"/>
      <c r="ABA149" s="548"/>
      <c r="ABB149" s="548"/>
      <c r="ABC149" s="548"/>
      <c r="ABD149" s="548"/>
      <c r="ABE149" s="548"/>
      <c r="ABF149" s="548"/>
      <c r="ABG149" s="548"/>
      <c r="ABH149" s="548"/>
      <c r="ABI149" s="548"/>
      <c r="ABJ149" s="548"/>
      <c r="ABK149" s="548"/>
      <c r="ABL149" s="548"/>
      <c r="ABM149" s="548"/>
      <c r="ABN149" s="548"/>
      <c r="ABO149" s="548"/>
      <c r="ABP149" s="548"/>
      <c r="ABQ149" s="548"/>
      <c r="ABR149" s="548"/>
      <c r="ABS149" s="548"/>
    </row>
    <row r="150" spans="1:747" customFormat="1" ht="15" customHeight="1" thickBot="1" x14ac:dyDescent="0.25">
      <c r="A150" s="424" t="str">
        <f t="shared" si="1687"/>
        <v/>
      </c>
      <c r="B150" s="415"/>
      <c r="C150" s="525"/>
      <c r="D150" s="750"/>
      <c r="E150" s="416" t="str">
        <f t="shared" si="1529"/>
        <v/>
      </c>
      <c r="F150" s="527" t="str">
        <f t="shared" si="1530"/>
        <v/>
      </c>
      <c r="G150" s="417"/>
      <c r="H150" s="585" t="str">
        <f t="shared" si="1531"/>
        <v/>
      </c>
      <c r="I150" s="424"/>
      <c r="J150" s="419"/>
      <c r="K150" s="418"/>
      <c r="L150" s="419"/>
      <c r="M150" s="415"/>
      <c r="N150" s="420"/>
      <c r="O150" s="421"/>
      <c r="P150" s="561"/>
      <c r="Q150" s="422"/>
      <c r="R150" s="561" t="str">
        <f t="shared" si="1532"/>
        <v/>
      </c>
      <c r="S150" s="664"/>
      <c r="T150" s="663"/>
      <c r="U150" s="580">
        <f t="shared" si="1533"/>
        <v>0</v>
      </c>
      <c r="V150" s="418"/>
      <c r="W150" s="582" t="str">
        <f t="shared" si="1534"/>
        <v/>
      </c>
      <c r="X150" s="479" t="str">
        <f t="shared" si="1535"/>
        <v/>
      </c>
      <c r="Y150" s="582" t="str">
        <f t="shared" si="1536"/>
        <v/>
      </c>
      <c r="Z150" s="317" t="str">
        <f t="shared" si="1537"/>
        <v/>
      </c>
      <c r="AA150" s="317" t="str">
        <f t="shared" si="1538"/>
        <v/>
      </c>
      <c r="AB150" s="317">
        <f t="shared" si="1539"/>
        <v>0</v>
      </c>
      <c r="AC150" s="317" t="str">
        <f t="shared" si="1540"/>
        <v/>
      </c>
      <c r="AD150" s="479"/>
      <c r="AE150" s="479"/>
      <c r="AF150" s="479"/>
      <c r="AG150" s="423"/>
      <c r="AH150" s="820"/>
      <c r="AI150" s="437"/>
      <c r="AJ150" s="660"/>
      <c r="AK150" s="524" t="str">
        <f t="shared" si="1541"/>
        <v/>
      </c>
      <c r="AL150" s="721">
        <f>MAXA(A4:A163)</f>
        <v>0</v>
      </c>
      <c r="AM150" s="507">
        <f>IF(AL150&lt;=15,1,IF(AND(AL150&gt;15,AL150&lt;=29),2,IF(AND(AL150&gt;29,AL150&lt;=43),3,IF(AND(AL150&gt;43,AL150&lt;=57),4,IF(AND(AL150&gt;57,AL150&lt;=71),5,IF(AND(AL150&gt;71,AL150&lt;=85),6,IF(AND(AL150&gt;85,AL150&lt;=99),7,IF(AND(AL150&gt;99,AL150&lt;=113),8,IF(AND(AL150&gt;113,AL150&lt;=127),9,IF(AND(AL150&gt;127,AL150&lt;=141),10,IF(AND(AL150&gt;141,AL150&lt;=155),11,IF(AND(AL150&gt;155,AL150&lt;=160),12,$AN$1))))))))))))</f>
        <v>1</v>
      </c>
      <c r="AN150" s="426">
        <f t="shared" si="1542"/>
        <v>0</v>
      </c>
      <c r="AO150" s="427" t="str">
        <f t="shared" si="1543"/>
        <v/>
      </c>
      <c r="AP150" s="426" t="str">
        <f t="shared" si="1544"/>
        <v/>
      </c>
      <c r="AQ150" s="426"/>
      <c r="AR150" s="426"/>
      <c r="AS150" s="428"/>
      <c r="AT150" s="429"/>
      <c r="AU150" s="430"/>
      <c r="AV150" s="431"/>
      <c r="AW150" s="432"/>
      <c r="AX150" s="430"/>
      <c r="AY150" s="431">
        <f t="shared" si="1545"/>
        <v>0</v>
      </c>
      <c r="AZ150" s="426"/>
      <c r="BA150" s="435" t="str">
        <f t="shared" si="1546"/>
        <v/>
      </c>
      <c r="BB150" s="435"/>
      <c r="BC150" s="426"/>
      <c r="BD150" s="426">
        <f t="array" ref="BD150">IF(SUM((BC150=$BC$3:BC149)*1)=0,BC150,0)</f>
        <v>0</v>
      </c>
      <c r="BE150" s="426"/>
      <c r="BF150" s="426"/>
      <c r="BG150" s="426">
        <f t="array" ref="BG150">IF(SUM((BF150=$BF$3:BF149)*1)=0,BF150,0)</f>
        <v>0</v>
      </c>
      <c r="BH150" s="426"/>
      <c r="BI150" s="426"/>
      <c r="BJ150" s="426"/>
      <c r="BK150" s="426"/>
      <c r="BL150" s="426"/>
      <c r="BM150" s="426"/>
      <c r="BN150" s="426"/>
      <c r="BO150" s="426"/>
      <c r="BP150" s="433">
        <f t="shared" si="1547"/>
        <v>0</v>
      </c>
      <c r="BQ150" s="426"/>
      <c r="BR150" s="434"/>
      <c r="BS150" s="426"/>
      <c r="BT150" s="433"/>
      <c r="BU150" s="435"/>
      <c r="BV150" s="435" t="str">
        <f t="shared" si="1548"/>
        <v/>
      </c>
      <c r="BW150" s="435" t="str">
        <f t="shared" si="1576"/>
        <v/>
      </c>
      <c r="BX150" s="435"/>
      <c r="BY150" s="435"/>
      <c r="BZ150" s="435"/>
      <c r="CA150" s="435"/>
      <c r="CB150" s="435"/>
      <c r="CC150" s="435"/>
      <c r="CD150" s="435"/>
      <c r="CE150" s="435"/>
      <c r="CF150" s="435"/>
      <c r="CG150" s="435"/>
      <c r="CH150" s="435"/>
      <c r="CI150" s="435"/>
      <c r="CJ150" s="426" t="str">
        <f t="shared" si="1577"/>
        <v/>
      </c>
      <c r="CK150" s="435"/>
      <c r="CL150" s="426"/>
      <c r="CM150" s="435"/>
      <c r="CN150" s="426"/>
      <c r="CO150" s="426"/>
      <c r="CP150" s="426"/>
      <c r="CQ150" s="426"/>
      <c r="CR150" s="426"/>
      <c r="CS150" s="426"/>
      <c r="CT150" s="426"/>
      <c r="CU150" s="426"/>
      <c r="CV150" s="426"/>
      <c r="CW150" s="493"/>
      <c r="CX150" s="493"/>
      <c r="CY150" s="426">
        <v>147</v>
      </c>
      <c r="CZ150" s="493"/>
      <c r="DA150" s="493"/>
      <c r="DB150" s="493"/>
      <c r="DC150" s="426" t="s">
        <v>890</v>
      </c>
      <c r="DD150" s="426" t="s">
        <v>1050</v>
      </c>
      <c r="DE150" s="435" t="str">
        <f t="shared" si="1578"/>
        <v/>
      </c>
      <c r="DF150" s="435" t="str">
        <f t="shared" si="1579"/>
        <v/>
      </c>
      <c r="DG150" s="435" t="str">
        <f t="shared" si="1580"/>
        <v/>
      </c>
      <c r="DH150" s="435" t="str">
        <f t="shared" si="1581"/>
        <v/>
      </c>
      <c r="DI150" s="435" t="str">
        <f t="shared" si="1582"/>
        <v/>
      </c>
      <c r="DJ150" s="435" t="str">
        <f t="shared" si="1583"/>
        <v/>
      </c>
      <c r="DK150" s="435" t="str">
        <f t="shared" si="1549"/>
        <v/>
      </c>
      <c r="DL150" s="435" t="str">
        <f t="shared" si="1550"/>
        <v/>
      </c>
      <c r="DM150" s="435" t="str">
        <f t="shared" si="1584"/>
        <v/>
      </c>
      <c r="DN150" s="435" t="str">
        <f t="shared" si="1585"/>
        <v/>
      </c>
      <c r="DO150" s="435" t="str">
        <f t="shared" si="1551"/>
        <v/>
      </c>
      <c r="DP150" s="435" t="str">
        <f t="shared" si="1552"/>
        <v/>
      </c>
      <c r="DQ150" s="435" t="str">
        <f t="shared" si="1586"/>
        <v/>
      </c>
      <c r="DR150" s="435" t="str">
        <f t="shared" si="1587"/>
        <v/>
      </c>
      <c r="DS150" s="435" t="str">
        <f t="shared" si="1553"/>
        <v/>
      </c>
      <c r="DT150" s="435" t="str">
        <f t="shared" si="1554"/>
        <v/>
      </c>
      <c r="DU150" s="435" t="str">
        <f t="shared" si="1588"/>
        <v/>
      </c>
      <c r="DV150" s="435" t="str">
        <f t="shared" si="1589"/>
        <v/>
      </c>
      <c r="DW150" s="435" t="str">
        <f t="shared" si="1555"/>
        <v/>
      </c>
      <c r="DX150" s="435" t="str">
        <f t="shared" si="1556"/>
        <v/>
      </c>
      <c r="DY150" s="435" t="str">
        <f t="shared" si="1590"/>
        <v/>
      </c>
      <c r="DZ150" s="435" t="str">
        <f t="shared" si="1591"/>
        <v/>
      </c>
      <c r="EA150" s="435" t="str">
        <f t="shared" si="1557"/>
        <v/>
      </c>
      <c r="EB150" s="435" t="str">
        <f t="shared" si="1558"/>
        <v/>
      </c>
      <c r="EC150" s="435" t="str">
        <f t="shared" si="1559"/>
        <v/>
      </c>
      <c r="ED150" s="435" t="str">
        <f t="shared" si="1560"/>
        <v/>
      </c>
      <c r="EE150" s="435" t="str">
        <f t="shared" si="1561"/>
        <v/>
      </c>
      <c r="EF150" s="435" t="str">
        <f t="shared" si="1562"/>
        <v/>
      </c>
      <c r="EG150" s="435" t="str">
        <f t="shared" si="1563"/>
        <v/>
      </c>
      <c r="EH150" s="435" t="str">
        <f t="shared" si="1564"/>
        <v/>
      </c>
      <c r="EI150" s="435" t="str">
        <f t="shared" si="1565"/>
        <v/>
      </c>
      <c r="EJ150" s="435" t="str">
        <f t="shared" si="1566"/>
        <v/>
      </c>
      <c r="EK150" s="485"/>
      <c r="EL150" s="485"/>
      <c r="EM150" s="485"/>
      <c r="EN150" s="485"/>
      <c r="EO150" s="448"/>
      <c r="EP150" s="448"/>
      <c r="EQ150" s="448"/>
      <c r="ER150" s="448"/>
      <c r="ES150" s="448"/>
      <c r="ET150" s="435"/>
      <c r="EU150" s="435"/>
      <c r="EV150" s="435"/>
      <c r="EW150" s="435"/>
      <c r="EX150" s="426"/>
      <c r="EY150" s="426"/>
      <c r="EZ150" s="426"/>
      <c r="FA150" s="863"/>
      <c r="FB150" s="427">
        <f t="array" ref="FB150">IF(SUM((FA150=$FA$3:FA149)*1)=0,FA150,0)</f>
        <v>0</v>
      </c>
      <c r="FC150" s="863"/>
      <c r="FD150" s="863"/>
      <c r="FE150" s="863">
        <f t="array" ref="FE150">IF(SUM((FD150=$FD$3:FD149)*1)=0,FD150,0)</f>
        <v>0</v>
      </c>
      <c r="FF150" s="863"/>
      <c r="FG150" s="863"/>
      <c r="FH150" s="863"/>
      <c r="FI150" s="427">
        <f t="array" ref="FI150">IF(SUM((FH150=$FH$3:FH149)*1)=0,FH150,0)</f>
        <v>0</v>
      </c>
      <c r="FJ150" s="863"/>
      <c r="FK150" s="863"/>
      <c r="FL150" s="863">
        <f t="array" ref="FL150">IF(SUM((FK150=$FK$3:FK149)*1)=0,FK150,0)</f>
        <v>0</v>
      </c>
      <c r="FM150" s="863"/>
      <c r="FN150" s="863"/>
      <c r="FO150" s="863"/>
      <c r="FP150" s="427">
        <f t="array" ref="FP150">IF(SUM((FO150=$FO$3:FO149)*1)=0,FO150,0)</f>
        <v>0</v>
      </c>
      <c r="FQ150" s="863"/>
      <c r="FR150" s="863"/>
      <c r="FS150" s="863">
        <f t="array" ref="FS150">IF(SUM((FR150=$FR$3:FR149)*1)=0,FR150,0)</f>
        <v>0</v>
      </c>
      <c r="FT150" s="863"/>
      <c r="FU150" s="863"/>
      <c r="FV150" s="863"/>
      <c r="FW150" s="427">
        <f t="array" ref="FW150">IF(SUM((FV150=$FV$3:FV149)*1)=0,FV150,0)</f>
        <v>0</v>
      </c>
      <c r="FX150" s="863"/>
      <c r="FY150" s="863"/>
      <c r="FZ150" s="863">
        <f t="array" ref="FZ150">IF(SUM((FY150=$FY$3:FY149)*1)=0,FY150,0)</f>
        <v>0</v>
      </c>
      <c r="GA150" s="863"/>
      <c r="GB150" s="863"/>
      <c r="GC150" s="863"/>
      <c r="GD150" s="427">
        <f t="array" ref="GD150">IF(SUM((GC150=$GC$3:GC149)*1)=0,GC150,0)</f>
        <v>0</v>
      </c>
      <c r="GE150" s="863"/>
      <c r="GF150" s="863"/>
      <c r="GG150" s="863">
        <f t="array" ref="GG150">IF(SUM((GF150=$GF$3:GF149)*1)=0,GF150,0)</f>
        <v>0</v>
      </c>
      <c r="GH150" s="863"/>
      <c r="GI150" s="863"/>
      <c r="GJ150" s="863"/>
      <c r="GK150" s="798">
        <f t="array" ref="GK150">IF(SUM((GJ150=$GJ$3:GJ149)*1)=0,GJ150,0)</f>
        <v>0</v>
      </c>
      <c r="GL150" s="863"/>
      <c r="GM150" s="863"/>
      <c r="GN150" s="798">
        <f t="array" ref="GN150">IF(SUM((GM150=$GM$3:GM149)*1)=0,GM150,0)</f>
        <v>0</v>
      </c>
      <c r="GO150" s="863"/>
      <c r="GP150" s="863"/>
      <c r="GQ150" s="863"/>
      <c r="GR150" s="798">
        <f t="array" ref="GR150">IF(SUM((GQ150=$GQ$3:GQ149)*1)=0,GQ150,0)</f>
        <v>0</v>
      </c>
      <c r="GS150" s="863"/>
      <c r="GT150" s="863"/>
      <c r="GU150" s="798">
        <f t="array" ref="GU150">IF(SUM((GT150=$GT$3:GT149)*1)=0,GT150,0)</f>
        <v>0</v>
      </c>
      <c r="GV150" s="863"/>
      <c r="GW150" s="863"/>
      <c r="GX150" s="863"/>
      <c r="GY150" s="798">
        <f t="array" ref="GY150">IF(SUM((GX150=$GX$3:GX149)*1)=0,GX150,0)</f>
        <v>0</v>
      </c>
      <c r="GZ150" s="863"/>
      <c r="HA150" s="863"/>
      <c r="HB150" s="798">
        <f t="array" ref="HB150">IF(SUM((HA150=$HA$3:HA149)*1)=0,HA150,0)</f>
        <v>0</v>
      </c>
      <c r="HC150" s="863"/>
      <c r="HD150" s="863"/>
      <c r="HE150" s="769" t="str">
        <f t="shared" si="1667"/>
        <v/>
      </c>
      <c r="HF150" s="768" t="str">
        <f t="shared" ref="HF150" si="1823">IF(HE150&lt;0,"Invadiu REP-BA-C","")</f>
        <v/>
      </c>
      <c r="HG150" s="769" t="str">
        <f t="shared" si="1669"/>
        <v/>
      </c>
      <c r="HH150" s="768" t="str">
        <f t="shared" si="1593"/>
        <v/>
      </c>
      <c r="HI150" s="728" t="str">
        <f t="shared" si="1670"/>
        <v/>
      </c>
      <c r="HJ150" s="768" t="str">
        <f t="shared" si="1594"/>
        <v/>
      </c>
      <c r="HK150" s="728" t="str">
        <f t="shared" si="1671"/>
        <v/>
      </c>
      <c r="HL150" s="768" t="str">
        <f t="shared" si="1595"/>
        <v/>
      </c>
      <c r="HM150" s="769" t="str">
        <f t="shared" si="1596"/>
        <v/>
      </c>
      <c r="HN150" s="768" t="str">
        <f t="shared" ref="HN150" si="1824">IF(HM150&lt;0,"Invadiu REP-BA-C","")</f>
        <v/>
      </c>
      <c r="HO150" s="769" t="str">
        <f t="shared" si="1598"/>
        <v/>
      </c>
      <c r="HP150" s="768" t="str">
        <f t="shared" si="1599"/>
        <v/>
      </c>
      <c r="HQ150" s="728" t="str">
        <f t="shared" si="1600"/>
        <v/>
      </c>
      <c r="HR150" s="768" t="str">
        <f t="shared" si="1601"/>
        <v/>
      </c>
      <c r="HS150" s="728" t="str">
        <f t="shared" si="1602"/>
        <v/>
      </c>
      <c r="HT150" s="768" t="str">
        <f t="shared" si="1603"/>
        <v/>
      </c>
      <c r="HU150" s="769" t="str">
        <f t="shared" si="1604"/>
        <v/>
      </c>
      <c r="HV150" s="768" t="str">
        <f t="shared" ref="HV150" si="1825">IF(HU150&lt;0,"Invadiu REP-BA-C","")</f>
        <v/>
      </c>
      <c r="HW150" s="769" t="str">
        <f t="shared" si="1606"/>
        <v/>
      </c>
      <c r="HX150" s="768" t="str">
        <f t="shared" si="1607"/>
        <v/>
      </c>
      <c r="HY150" s="728" t="str">
        <f t="shared" si="1608"/>
        <v/>
      </c>
      <c r="HZ150" s="768" t="str">
        <f t="shared" si="1609"/>
        <v/>
      </c>
      <c r="IA150" s="728" t="str">
        <f t="shared" si="1610"/>
        <v/>
      </c>
      <c r="IB150" s="768" t="str">
        <f t="shared" si="1611"/>
        <v/>
      </c>
      <c r="IC150" s="769" t="str">
        <f t="shared" si="1612"/>
        <v/>
      </c>
      <c r="ID150" s="768" t="str">
        <f t="shared" ref="ID150" si="1826">IF(IC150&lt;0,"Invadiu REP-BA-C","")</f>
        <v/>
      </c>
      <c r="IE150" s="769" t="str">
        <f t="shared" si="1614"/>
        <v/>
      </c>
      <c r="IF150" s="768" t="str">
        <f t="shared" si="1615"/>
        <v/>
      </c>
      <c r="IG150" s="728" t="str">
        <f t="shared" si="1616"/>
        <v/>
      </c>
      <c r="IH150" s="768" t="str">
        <f t="shared" si="1617"/>
        <v/>
      </c>
      <c r="II150" s="728" t="str">
        <f t="shared" si="1618"/>
        <v/>
      </c>
      <c r="IJ150" s="768" t="str">
        <f t="shared" si="1619"/>
        <v/>
      </c>
      <c r="IK150" s="769" t="str">
        <f t="shared" si="1620"/>
        <v/>
      </c>
      <c r="IL150" s="768" t="str">
        <f t="shared" ref="IL150" si="1827">IF(IK150&lt;0,"Invadiu REP-BA-C","")</f>
        <v/>
      </c>
      <c r="IM150" s="769" t="str">
        <f t="shared" si="1622"/>
        <v/>
      </c>
      <c r="IN150" s="768" t="str">
        <f t="shared" si="1623"/>
        <v/>
      </c>
      <c r="IO150" s="728" t="str">
        <f t="shared" si="1624"/>
        <v/>
      </c>
      <c r="IP150" s="768" t="str">
        <f t="shared" si="1625"/>
        <v/>
      </c>
      <c r="IQ150" s="728" t="str">
        <f t="shared" si="1626"/>
        <v/>
      </c>
      <c r="IR150" s="768" t="str">
        <f t="shared" si="1627"/>
        <v/>
      </c>
      <c r="IS150" s="769" t="str">
        <f t="shared" si="1628"/>
        <v/>
      </c>
      <c r="IT150" s="768" t="str">
        <f t="shared" ref="IT150" si="1828">IF(IS150&lt;0,"Invadiu REP-BA-C","")</f>
        <v/>
      </c>
      <c r="IU150" s="769" t="str">
        <f t="shared" si="1630"/>
        <v/>
      </c>
      <c r="IV150" s="768" t="str">
        <f t="shared" si="1631"/>
        <v/>
      </c>
      <c r="IW150" s="728" t="str">
        <f t="shared" si="1632"/>
        <v/>
      </c>
      <c r="IX150" s="768" t="str">
        <f t="shared" si="1633"/>
        <v/>
      </c>
      <c r="IY150" s="728" t="str">
        <f t="shared" si="1634"/>
        <v/>
      </c>
      <c r="IZ150" s="768" t="str">
        <f t="shared" si="1635"/>
        <v/>
      </c>
      <c r="JA150" s="769" t="str">
        <f t="shared" si="1636"/>
        <v/>
      </c>
      <c r="JB150" s="768" t="str">
        <f t="shared" ref="JB150" si="1829">IF(JA150&lt;0,"Invadiu REP-BA-C","")</f>
        <v/>
      </c>
      <c r="JC150" s="769" t="str">
        <f t="shared" si="1638"/>
        <v/>
      </c>
      <c r="JD150" s="768" t="str">
        <f t="shared" si="1639"/>
        <v/>
      </c>
      <c r="JE150" s="728" t="str">
        <f t="shared" si="1640"/>
        <v/>
      </c>
      <c r="JF150" s="768" t="str">
        <f t="shared" si="1641"/>
        <v/>
      </c>
      <c r="JG150" s="728" t="str">
        <f t="shared" si="1642"/>
        <v/>
      </c>
      <c r="JH150" s="768" t="str">
        <f t="shared" si="1643"/>
        <v/>
      </c>
      <c r="JI150" s="769" t="str">
        <f t="shared" si="1644"/>
        <v/>
      </c>
      <c r="JJ150" s="768" t="str">
        <f t="shared" ref="JJ150" si="1830">IF(JI150&lt;0,"Invadiu REP-BA-C","")</f>
        <v/>
      </c>
      <c r="JK150" s="769" t="str">
        <f t="shared" si="1646"/>
        <v/>
      </c>
      <c r="JL150" s="768" t="str">
        <f t="shared" si="1647"/>
        <v/>
      </c>
      <c r="JM150" s="728" t="str">
        <f t="shared" si="1648"/>
        <v/>
      </c>
      <c r="JN150" s="768" t="str">
        <f t="shared" si="1649"/>
        <v/>
      </c>
      <c r="JO150" s="728" t="str">
        <f t="shared" si="1650"/>
        <v/>
      </c>
      <c r="JP150" s="768" t="str">
        <f t="shared" si="1651"/>
        <v/>
      </c>
      <c r="JQ150" s="769" t="str">
        <f t="shared" si="1652"/>
        <v/>
      </c>
      <c r="JR150" s="768" t="str">
        <f t="shared" ref="JR150" si="1831">IF(JQ150&lt;0,"Invadiu REP-BA-C","")</f>
        <v/>
      </c>
      <c r="JS150" s="769" t="str">
        <f t="shared" si="1654"/>
        <v/>
      </c>
      <c r="JT150" s="768" t="str">
        <f t="shared" si="1655"/>
        <v/>
      </c>
      <c r="JU150" s="728" t="str">
        <f t="shared" si="1656"/>
        <v/>
      </c>
      <c r="JV150" s="768" t="str">
        <f t="shared" si="1657"/>
        <v/>
      </c>
      <c r="JW150" s="728" t="str">
        <f t="shared" si="1658"/>
        <v/>
      </c>
      <c r="JX150" s="768" t="str">
        <f t="shared" si="1659"/>
        <v/>
      </c>
      <c r="JY150" s="768" t="str">
        <f t="shared" si="1660"/>
        <v/>
      </c>
      <c r="JZ150" s="485" t="str">
        <f>IF(JY150="","",IF(AND(C150=$C$164,JY150&lt;&gt;""),Verificarcpf(D150),IF(AND(C150=$C$165,JY150&lt;&gt;""),VerificarCNPJ(D150))))</f>
        <v/>
      </c>
      <c r="KA150" s="768" t="str">
        <f t="shared" si="1661"/>
        <v/>
      </c>
      <c r="KB150" s="485">
        <f t="shared" si="1662"/>
        <v>0</v>
      </c>
      <c r="KC150" s="768">
        <f t="shared" si="1663"/>
        <v>0</v>
      </c>
      <c r="KD150" s="485">
        <f t="shared" si="1664"/>
        <v>0</v>
      </c>
      <c r="KE150" s="448"/>
      <c r="KF150" s="548"/>
      <c r="KG150" s="548"/>
      <c r="KH150" s="548"/>
      <c r="KI150" s="548"/>
      <c r="KJ150" s="548" t="str">
        <f t="shared" si="1665"/>
        <v/>
      </c>
      <c r="KK150" s="548"/>
      <c r="KL150" s="548"/>
      <c r="KM150" s="548">
        <f t="array" ref="KM150">IF(SUM((KL150=$KL$3:KL149)*1)=0,KL150,0)</f>
        <v>0</v>
      </c>
      <c r="KN150" s="548"/>
      <c r="KO150" s="548"/>
      <c r="KP150" s="548"/>
      <c r="KQ150" s="548"/>
      <c r="KR150" s="548" t="str">
        <f t="shared" si="1666"/>
        <v/>
      </c>
      <c r="KS150" s="548"/>
      <c r="KT150" s="548"/>
      <c r="KU150" s="548"/>
      <c r="KV150" s="548"/>
      <c r="KW150" s="548"/>
      <c r="KX150" s="548"/>
      <c r="KY150" s="548"/>
      <c r="KZ150" s="548"/>
      <c r="LA150" s="548"/>
      <c r="LB150" s="548"/>
      <c r="LC150" s="485" t="str">
        <f t="shared" si="1680"/>
        <v/>
      </c>
      <c r="LD150" s="548"/>
      <c r="LE150" s="548"/>
      <c r="LF150" s="548"/>
      <c r="LG150" s="548"/>
      <c r="LH150" s="548"/>
      <c r="LI150" s="548"/>
      <c r="LJ150" s="548"/>
      <c r="LK150" s="548"/>
      <c r="LL150" s="548"/>
      <c r="LM150" s="548"/>
      <c r="LN150" s="548"/>
      <c r="LO150" s="548"/>
      <c r="LP150" s="485" t="str">
        <f t="shared" si="1681"/>
        <v/>
      </c>
      <c r="LQ150" s="548"/>
      <c r="LR150" s="548"/>
      <c r="LS150" s="548"/>
      <c r="LT150" s="548"/>
      <c r="LU150" s="548"/>
      <c r="LV150" s="548"/>
      <c r="LW150" s="548"/>
      <c r="LX150" s="548"/>
      <c r="LY150" s="548"/>
      <c r="LZ150" s="548"/>
      <c r="MA150" s="548"/>
      <c r="MB150" s="548"/>
      <c r="MC150" s="485" t="str">
        <f t="shared" si="1682"/>
        <v/>
      </c>
      <c r="MD150" s="548"/>
      <c r="ME150" s="548"/>
      <c r="MF150" s="548"/>
      <c r="MG150" s="548"/>
      <c r="MH150" s="548"/>
      <c r="MI150" s="548"/>
      <c r="MJ150" s="548"/>
      <c r="MK150" s="548"/>
      <c r="ML150" s="548"/>
      <c r="MM150" s="548"/>
      <c r="MN150" s="548"/>
      <c r="MO150" s="548"/>
      <c r="MP150" s="485" t="str">
        <f t="shared" si="1683"/>
        <v/>
      </c>
      <c r="MQ150" s="548"/>
      <c r="MR150" s="548"/>
      <c r="MS150" s="548"/>
      <c r="MT150" s="548"/>
      <c r="MU150" s="548"/>
      <c r="MV150" s="548"/>
      <c r="MW150" s="548"/>
      <c r="MX150" s="548"/>
      <c r="MY150" s="548"/>
      <c r="MZ150" s="548"/>
      <c r="NA150" s="548"/>
      <c r="NB150" s="548"/>
      <c r="NC150" s="485" t="str">
        <f t="shared" si="1684"/>
        <v/>
      </c>
      <c r="ND150" s="548"/>
      <c r="NE150" s="548"/>
      <c r="NF150" s="548"/>
      <c r="NG150" s="548"/>
      <c r="NH150" s="548"/>
      <c r="NI150" s="548"/>
      <c r="NJ150" s="548"/>
      <c r="NK150" s="548"/>
      <c r="NL150" s="548"/>
      <c r="NM150" s="548"/>
      <c r="NN150" s="548"/>
      <c r="NO150" s="548"/>
      <c r="NP150" s="485" t="str">
        <f t="shared" si="1685"/>
        <v/>
      </c>
      <c r="NQ150" s="548"/>
      <c r="NR150" s="548"/>
      <c r="NS150" s="548"/>
      <c r="NT150" s="548"/>
      <c r="NU150" s="548"/>
      <c r="NV150" s="548"/>
      <c r="NW150" s="548"/>
      <c r="NX150" s="548"/>
      <c r="NY150" s="548"/>
      <c r="NZ150" s="548"/>
      <c r="OA150" s="548"/>
      <c r="OB150" s="548"/>
      <c r="OC150" s="485" t="str">
        <f t="shared" si="1686"/>
        <v/>
      </c>
      <c r="OD150" s="548"/>
      <c r="OE150" s="548"/>
      <c r="OF150" s="548"/>
      <c r="OG150" s="548"/>
      <c r="OH150" s="548"/>
      <c r="OI150" s="548"/>
      <c r="OJ150" s="548"/>
      <c r="OK150" s="548"/>
      <c r="OL150" s="548"/>
      <c r="OM150" s="548"/>
      <c r="ON150" s="548"/>
      <c r="OO150" s="548"/>
      <c r="OP150" s="548"/>
      <c r="OQ150" s="548"/>
      <c r="OR150" s="548"/>
      <c r="OS150" s="548"/>
      <c r="OT150" s="548"/>
      <c r="OU150" s="548"/>
      <c r="OV150" s="548"/>
      <c r="OW150" s="548"/>
      <c r="OX150" s="548"/>
      <c r="OY150" s="548"/>
      <c r="OZ150" s="548"/>
      <c r="PA150" s="548"/>
      <c r="PB150" s="548"/>
      <c r="PC150" s="548"/>
      <c r="PD150" s="548"/>
      <c r="PE150" s="548"/>
      <c r="PF150" s="548"/>
      <c r="PG150" s="548"/>
      <c r="PH150" s="548"/>
      <c r="PI150" s="548"/>
      <c r="PJ150" s="548"/>
      <c r="PK150" s="548"/>
      <c r="PL150" s="548"/>
      <c r="PM150" s="548"/>
      <c r="PN150" s="548"/>
      <c r="PO150" s="548"/>
      <c r="PP150" s="548"/>
      <c r="PQ150" s="548"/>
      <c r="PR150" s="548"/>
      <c r="PS150" s="548"/>
      <c r="PT150" s="548"/>
      <c r="PU150" s="548"/>
      <c r="PV150" s="548"/>
      <c r="PW150" s="548"/>
      <c r="PX150" s="548"/>
      <c r="PY150" s="548"/>
      <c r="PZ150" s="548"/>
      <c r="QA150" s="548"/>
      <c r="QB150" s="548"/>
      <c r="QC150" s="548"/>
      <c r="QD150" s="548"/>
      <c r="QE150" s="548"/>
      <c r="QF150" s="548"/>
      <c r="QG150" s="548"/>
      <c r="QH150" s="548"/>
      <c r="QI150" s="548"/>
      <c r="QJ150" s="548"/>
      <c r="QK150" s="548"/>
      <c r="QL150" s="548"/>
      <c r="QM150" s="548"/>
      <c r="QN150" s="548"/>
      <c r="QO150" s="548"/>
      <c r="QP150" s="548"/>
      <c r="QQ150" s="1009"/>
      <c r="QR150" s="548"/>
      <c r="QS150" s="548"/>
      <c r="QT150" s="548"/>
      <c r="QU150" s="548"/>
      <c r="QV150" s="548"/>
      <c r="QW150" s="548"/>
      <c r="QX150" s="548"/>
      <c r="QY150" s="548"/>
      <c r="QZ150" s="548"/>
      <c r="RA150" s="548"/>
      <c r="RB150" s="548"/>
      <c r="RC150" s="548"/>
      <c r="RD150" s="548"/>
      <c r="RE150" s="548"/>
      <c r="RF150" s="548"/>
      <c r="RG150" s="548"/>
      <c r="RH150" s="548"/>
      <c r="RI150" s="548"/>
      <c r="RJ150" s="548"/>
      <c r="RK150" s="548"/>
      <c r="RL150" s="548"/>
      <c r="RM150" s="548"/>
      <c r="RN150" s="548"/>
      <c r="RO150" s="548"/>
      <c r="RP150" s="548"/>
      <c r="RQ150" s="548"/>
      <c r="RR150" s="548"/>
      <c r="RS150" s="548"/>
      <c r="RT150" s="548"/>
      <c r="RU150" s="548"/>
      <c r="RV150" s="548"/>
      <c r="RW150" s="548"/>
      <c r="RX150" s="548"/>
      <c r="RY150" s="548"/>
      <c r="RZ150" s="548"/>
      <c r="SA150" s="548"/>
      <c r="SB150" s="548"/>
      <c r="SC150" s="548"/>
      <c r="SD150" s="548"/>
      <c r="SE150" s="548"/>
      <c r="SF150" s="548"/>
      <c r="SG150" s="548"/>
      <c r="SH150" s="548"/>
      <c r="SI150" s="548"/>
      <c r="SJ150" s="548"/>
      <c r="SK150" s="548"/>
      <c r="SL150" s="548"/>
      <c r="SM150" s="548"/>
      <c r="SN150" s="548"/>
      <c r="SO150" s="548"/>
      <c r="SP150" s="548"/>
      <c r="SQ150" s="548"/>
      <c r="SR150" s="548"/>
      <c r="SS150" s="548"/>
      <c r="ST150" s="548"/>
      <c r="SU150" s="548"/>
      <c r="SV150" s="548"/>
      <c r="SW150" s="548"/>
      <c r="SX150" s="548"/>
      <c r="SY150" s="548"/>
      <c r="SZ150" s="548"/>
      <c r="TA150" s="548"/>
      <c r="TB150" s="548"/>
      <c r="TC150" s="548"/>
      <c r="TD150" s="548"/>
      <c r="TE150" s="548"/>
      <c r="TF150" s="548"/>
      <c r="TG150" s="548"/>
      <c r="TH150" s="548"/>
      <c r="TI150" s="548"/>
      <c r="TJ150" s="548"/>
      <c r="TK150" s="548"/>
      <c r="TL150" s="548"/>
      <c r="TM150" s="548"/>
      <c r="TN150" s="548"/>
      <c r="TO150" s="548"/>
      <c r="TP150" s="548"/>
      <c r="TQ150" s="548"/>
      <c r="TR150" s="548"/>
      <c r="TS150" s="548"/>
      <c r="TT150" s="548"/>
      <c r="TU150" s="548"/>
      <c r="TV150" s="548"/>
      <c r="TW150" s="548"/>
      <c r="TX150" s="548"/>
      <c r="TY150" s="548"/>
      <c r="TZ150" s="548"/>
      <c r="UA150" s="548"/>
      <c r="UB150" s="548"/>
      <c r="UC150" s="548"/>
      <c r="UD150" s="548"/>
      <c r="UE150" s="548"/>
      <c r="UF150" s="548"/>
      <c r="UG150" s="548"/>
      <c r="UH150" s="548"/>
      <c r="UI150" s="548"/>
      <c r="UJ150" s="548"/>
      <c r="UK150" s="548"/>
      <c r="UL150" s="548"/>
      <c r="UM150" s="548"/>
      <c r="UN150" s="548"/>
      <c r="UO150" s="548"/>
      <c r="UP150" s="548"/>
      <c r="UQ150" s="548"/>
      <c r="UR150" s="548"/>
      <c r="US150" s="548"/>
      <c r="UT150" s="548"/>
      <c r="UU150" s="548"/>
      <c r="UV150" s="548"/>
      <c r="UW150" s="548"/>
      <c r="UX150" s="548"/>
      <c r="UY150" s="548"/>
      <c r="UZ150" s="548"/>
      <c r="VA150" s="548"/>
      <c r="VB150" s="548"/>
      <c r="VC150" s="548"/>
      <c r="VD150" s="548"/>
      <c r="VE150" s="548"/>
      <c r="VF150" s="548"/>
      <c r="VG150" s="548"/>
      <c r="VH150" s="548"/>
      <c r="VI150" s="548"/>
      <c r="VJ150" s="548"/>
      <c r="VK150" s="548"/>
      <c r="VL150" s="548"/>
      <c r="VM150" s="548"/>
      <c r="VN150" s="548"/>
      <c r="VO150" s="548"/>
      <c r="VP150" s="548"/>
      <c r="VQ150" s="548"/>
      <c r="VR150" s="548"/>
      <c r="VS150" s="548"/>
      <c r="VT150" s="548"/>
      <c r="VU150" s="548"/>
      <c r="VV150" s="548"/>
      <c r="VW150" s="548"/>
      <c r="VX150" s="548"/>
      <c r="VY150" s="548"/>
      <c r="VZ150" s="548"/>
      <c r="WA150" s="548"/>
      <c r="WB150" s="548"/>
      <c r="WC150" s="548"/>
      <c r="WD150" s="548"/>
      <c r="WE150" s="548"/>
      <c r="WF150" s="548"/>
      <c r="WG150" s="548"/>
      <c r="WH150" s="548"/>
      <c r="WI150" s="548"/>
      <c r="WJ150" s="548"/>
      <c r="WK150" s="548"/>
      <c r="WL150" s="548"/>
      <c r="WM150" s="548"/>
      <c r="WN150" s="548"/>
      <c r="WO150" s="548"/>
      <c r="WP150" s="548"/>
      <c r="WQ150" s="548"/>
      <c r="WR150" s="548"/>
      <c r="WS150" s="548"/>
      <c r="WT150" s="548"/>
      <c r="WU150" s="548"/>
      <c r="WV150" s="548"/>
      <c r="WW150" s="548"/>
      <c r="WX150" s="548"/>
      <c r="WY150" s="548"/>
      <c r="WZ150" s="548"/>
      <c r="XA150" s="548"/>
      <c r="XB150" s="548"/>
      <c r="XC150" s="548"/>
      <c r="XD150" s="548"/>
      <c r="XE150" s="548"/>
      <c r="XF150" s="548"/>
      <c r="XG150" s="548"/>
      <c r="XH150" s="548"/>
      <c r="XI150" s="548"/>
      <c r="XJ150" s="548"/>
      <c r="XK150" s="548"/>
      <c r="XL150" s="548"/>
      <c r="XM150" s="548"/>
      <c r="XN150" s="548"/>
      <c r="XO150" s="548"/>
      <c r="XP150" s="548"/>
      <c r="XQ150" s="548"/>
      <c r="XR150" s="548"/>
      <c r="XS150" s="548"/>
      <c r="XT150" s="548"/>
      <c r="XU150" s="548"/>
      <c r="XV150" s="548"/>
      <c r="XW150" s="548"/>
      <c r="XX150" s="548"/>
      <c r="XY150" s="548"/>
      <c r="XZ150" s="548"/>
      <c r="YA150" s="548"/>
      <c r="YB150" s="548"/>
      <c r="YC150" s="548"/>
      <c r="YD150" s="548"/>
      <c r="YE150" s="548"/>
      <c r="YF150" s="548"/>
      <c r="YG150" s="548"/>
      <c r="YH150" s="548"/>
      <c r="YI150" s="548"/>
      <c r="YJ150" s="548"/>
      <c r="YK150" s="548"/>
      <c r="YL150" s="548"/>
      <c r="YM150" s="548"/>
      <c r="YN150" s="548"/>
      <c r="YO150" s="548"/>
      <c r="YP150" s="548"/>
      <c r="YQ150" s="548"/>
      <c r="YR150" s="548"/>
      <c r="YS150" s="548"/>
      <c r="YT150" s="548"/>
      <c r="YU150" s="548"/>
      <c r="YV150" s="548"/>
      <c r="YW150" s="548"/>
      <c r="YX150" s="548"/>
      <c r="YY150" s="548"/>
      <c r="YZ150" s="548"/>
      <c r="ZA150" s="548"/>
      <c r="ZB150" s="548"/>
      <c r="ZC150" s="548"/>
      <c r="ZD150" s="548"/>
      <c r="ZE150" s="548"/>
      <c r="ZF150" s="548"/>
      <c r="ZG150" s="548"/>
      <c r="ZH150" s="548"/>
      <c r="ZI150" s="548"/>
      <c r="ZJ150" s="548"/>
      <c r="ZK150" s="548"/>
      <c r="ZL150" s="548"/>
      <c r="ZM150" s="548"/>
      <c r="ZN150" s="548"/>
      <c r="ZO150" s="548"/>
      <c r="ZP150" s="548"/>
      <c r="ZQ150" s="548"/>
      <c r="ZR150" s="548"/>
      <c r="ZS150" s="548"/>
      <c r="ZT150" s="548"/>
      <c r="ZU150" s="548"/>
      <c r="ZV150" s="548"/>
      <c r="ZW150" s="548"/>
      <c r="ZX150" s="548"/>
      <c r="ZY150" s="548"/>
      <c r="ZZ150" s="548"/>
      <c r="AAA150" s="548"/>
      <c r="AAB150" s="548"/>
      <c r="AAC150" s="548"/>
      <c r="AAD150" s="548"/>
      <c r="AAE150" s="548"/>
      <c r="AAF150" s="548"/>
      <c r="AAG150" s="548"/>
      <c r="AAH150" s="548"/>
      <c r="AAI150" s="548"/>
      <c r="AAJ150" s="548"/>
      <c r="AAK150" s="548"/>
      <c r="AAL150" s="548"/>
      <c r="AAM150" s="548"/>
      <c r="AAN150" s="548"/>
      <c r="AAO150" s="548"/>
      <c r="AAP150" s="548"/>
      <c r="AAQ150" s="548"/>
      <c r="AAR150" s="548"/>
      <c r="AAS150" s="548"/>
      <c r="AAT150" s="548"/>
      <c r="AAU150" s="548"/>
      <c r="AAV150" s="548"/>
      <c r="AAW150" s="548"/>
      <c r="AAX150" s="548"/>
      <c r="AAY150" s="548"/>
      <c r="AAZ150" s="548"/>
      <c r="ABA150" s="548"/>
      <c r="ABB150" s="548"/>
      <c r="ABC150" s="548"/>
      <c r="ABD150" s="548"/>
      <c r="ABE150" s="548"/>
      <c r="ABF150" s="548"/>
      <c r="ABG150" s="548"/>
      <c r="ABH150" s="548"/>
      <c r="ABI150" s="548"/>
      <c r="ABJ150" s="548"/>
      <c r="ABK150" s="548"/>
      <c r="ABL150" s="548"/>
      <c r="ABM150" s="548"/>
      <c r="ABN150" s="548"/>
      <c r="ABO150" s="548"/>
      <c r="ABP150" s="548"/>
      <c r="ABQ150" s="548"/>
      <c r="ABR150" s="548"/>
      <c r="ABS150" s="548"/>
    </row>
    <row r="151" spans="1:747" customFormat="1" ht="15" customHeight="1" x14ac:dyDescent="0.2">
      <c r="A151" s="424" t="str">
        <f t="shared" si="1687"/>
        <v/>
      </c>
      <c r="B151" s="415"/>
      <c r="C151" s="525"/>
      <c r="D151" s="750"/>
      <c r="E151" s="416" t="str">
        <f t="shared" si="1529"/>
        <v/>
      </c>
      <c r="F151" s="527" t="str">
        <f t="shared" si="1530"/>
        <v/>
      </c>
      <c r="G151" s="417"/>
      <c r="H151" s="585" t="str">
        <f t="shared" si="1531"/>
        <v/>
      </c>
      <c r="I151" s="424"/>
      <c r="J151" s="419"/>
      <c r="K151" s="418"/>
      <c r="L151" s="419"/>
      <c r="M151" s="415"/>
      <c r="N151" s="420"/>
      <c r="O151" s="421"/>
      <c r="P151" s="561"/>
      <c r="Q151" s="422"/>
      <c r="R151" s="561" t="str">
        <f t="shared" si="1532"/>
        <v/>
      </c>
      <c r="S151" s="664"/>
      <c r="T151" s="663"/>
      <c r="U151" s="580">
        <f t="shared" si="1533"/>
        <v>0</v>
      </c>
      <c r="V151" s="418"/>
      <c r="W151" s="582" t="str">
        <f t="shared" si="1534"/>
        <v/>
      </c>
      <c r="X151" s="479" t="str">
        <f t="shared" si="1535"/>
        <v/>
      </c>
      <c r="Y151" s="582" t="str">
        <f t="shared" si="1536"/>
        <v/>
      </c>
      <c r="Z151" s="317" t="str">
        <f t="shared" si="1537"/>
        <v/>
      </c>
      <c r="AA151" s="317" t="str">
        <f t="shared" si="1538"/>
        <v/>
      </c>
      <c r="AB151" s="317">
        <f t="shared" si="1539"/>
        <v>0</v>
      </c>
      <c r="AC151" s="317" t="str">
        <f t="shared" si="1540"/>
        <v/>
      </c>
      <c r="AD151" s="479"/>
      <c r="AE151" s="479"/>
      <c r="AF151" s="479"/>
      <c r="AG151" s="423"/>
      <c r="AH151" s="820"/>
      <c r="AI151" s="437"/>
      <c r="AJ151" s="660"/>
      <c r="AK151" s="524" t="str">
        <f t="shared" si="1541"/>
        <v/>
      </c>
      <c r="AL151" s="729">
        <f t="shared" ref="AL151:AM163" si="1832">SUM(AL7,AL23,AL39,AL55,AL71,AL87,AL103,AL119,AL135)</f>
        <v>0</v>
      </c>
      <c r="AM151" s="730">
        <f t="shared" si="1832"/>
        <v>0</v>
      </c>
      <c r="AN151" s="426">
        <f t="shared" si="1542"/>
        <v>0</v>
      </c>
      <c r="AO151" s="427" t="str">
        <f t="shared" si="1543"/>
        <v/>
      </c>
      <c r="AP151" s="426" t="str">
        <f t="shared" si="1544"/>
        <v/>
      </c>
      <c r="AQ151" s="426"/>
      <c r="AR151" s="426"/>
      <c r="AS151" s="428"/>
      <c r="AT151" s="429"/>
      <c r="AU151" s="430"/>
      <c r="AV151" s="431"/>
      <c r="AW151" s="432"/>
      <c r="AX151" s="430"/>
      <c r="AY151" s="431">
        <f t="shared" si="1545"/>
        <v>0</v>
      </c>
      <c r="AZ151" s="426"/>
      <c r="BA151" s="435" t="str">
        <f t="shared" si="1546"/>
        <v/>
      </c>
      <c r="BB151" s="435"/>
      <c r="BC151" s="426"/>
      <c r="BD151" s="426">
        <f t="array" ref="BD151">IF(SUM((BC151=$BC$3:BC150)*1)=0,BC151,0)</f>
        <v>0</v>
      </c>
      <c r="BE151" s="426"/>
      <c r="BF151" s="426"/>
      <c r="BG151" s="426">
        <f t="array" ref="BG151">IF(SUM((BF151=$BF$3:BF150)*1)=0,BF151,0)</f>
        <v>0</v>
      </c>
      <c r="BH151" s="426"/>
      <c r="BI151" s="426"/>
      <c r="BJ151" s="426"/>
      <c r="BK151" s="426"/>
      <c r="BL151" s="426"/>
      <c r="BM151" s="426"/>
      <c r="BN151" s="426"/>
      <c r="BO151" s="426"/>
      <c r="BP151" s="433">
        <f t="shared" si="1547"/>
        <v>0</v>
      </c>
      <c r="BQ151" s="426"/>
      <c r="BR151" s="434"/>
      <c r="BS151" s="426"/>
      <c r="BT151" s="433"/>
      <c r="BU151" s="435"/>
      <c r="BV151" s="435" t="str">
        <f t="shared" si="1548"/>
        <v/>
      </c>
      <c r="BW151" s="435" t="str">
        <f t="shared" si="1576"/>
        <v/>
      </c>
      <c r="BX151" s="435"/>
      <c r="BY151" s="435"/>
      <c r="BZ151" s="435"/>
      <c r="CA151" s="435"/>
      <c r="CB151" s="435"/>
      <c r="CC151" s="435"/>
      <c r="CD151" s="435"/>
      <c r="CE151" s="435"/>
      <c r="CF151" s="435"/>
      <c r="CG151" s="435"/>
      <c r="CH151" s="435"/>
      <c r="CI151" s="435"/>
      <c r="CJ151" s="426" t="str">
        <f t="shared" si="1577"/>
        <v/>
      </c>
      <c r="CK151" s="435"/>
      <c r="CL151" s="426"/>
      <c r="CM151" s="435"/>
      <c r="CN151" s="426"/>
      <c r="CO151" s="426"/>
      <c r="CP151" s="426"/>
      <c r="CQ151" s="426"/>
      <c r="CR151" s="426"/>
      <c r="CS151" s="426"/>
      <c r="CT151" s="426"/>
      <c r="CU151" s="426"/>
      <c r="CV151" s="426"/>
      <c r="CW151" s="493"/>
      <c r="CX151" s="493"/>
      <c r="CY151" s="426">
        <v>148</v>
      </c>
      <c r="CZ151" s="493"/>
      <c r="DA151" s="493"/>
      <c r="DB151" s="493"/>
      <c r="DC151" s="426" t="s">
        <v>891</v>
      </c>
      <c r="DD151" s="426" t="s">
        <v>1051</v>
      </c>
      <c r="DE151" s="435" t="str">
        <f t="shared" si="1578"/>
        <v/>
      </c>
      <c r="DF151" s="435" t="str">
        <f t="shared" si="1579"/>
        <v/>
      </c>
      <c r="DG151" s="435" t="str">
        <f t="shared" si="1580"/>
        <v/>
      </c>
      <c r="DH151" s="435" t="str">
        <f t="shared" si="1581"/>
        <v/>
      </c>
      <c r="DI151" s="435" t="str">
        <f t="shared" si="1582"/>
        <v/>
      </c>
      <c r="DJ151" s="435" t="str">
        <f t="shared" si="1583"/>
        <v/>
      </c>
      <c r="DK151" s="435" t="str">
        <f t="shared" si="1549"/>
        <v/>
      </c>
      <c r="DL151" s="435" t="str">
        <f t="shared" si="1550"/>
        <v/>
      </c>
      <c r="DM151" s="435" t="str">
        <f t="shared" si="1584"/>
        <v/>
      </c>
      <c r="DN151" s="435" t="str">
        <f t="shared" si="1585"/>
        <v/>
      </c>
      <c r="DO151" s="435" t="str">
        <f t="shared" si="1551"/>
        <v/>
      </c>
      <c r="DP151" s="435" t="str">
        <f t="shared" si="1552"/>
        <v/>
      </c>
      <c r="DQ151" s="435" t="str">
        <f t="shared" si="1586"/>
        <v/>
      </c>
      <c r="DR151" s="435" t="str">
        <f t="shared" si="1587"/>
        <v/>
      </c>
      <c r="DS151" s="435" t="str">
        <f t="shared" si="1553"/>
        <v/>
      </c>
      <c r="DT151" s="435" t="str">
        <f t="shared" si="1554"/>
        <v/>
      </c>
      <c r="DU151" s="435" t="str">
        <f t="shared" si="1588"/>
        <v/>
      </c>
      <c r="DV151" s="435" t="str">
        <f t="shared" si="1589"/>
        <v/>
      </c>
      <c r="DW151" s="435" t="str">
        <f t="shared" si="1555"/>
        <v/>
      </c>
      <c r="DX151" s="435" t="str">
        <f t="shared" si="1556"/>
        <v/>
      </c>
      <c r="DY151" s="435" t="str">
        <f t="shared" si="1590"/>
        <v/>
      </c>
      <c r="DZ151" s="435" t="str">
        <f t="shared" si="1591"/>
        <v/>
      </c>
      <c r="EA151" s="435" t="str">
        <f t="shared" si="1557"/>
        <v/>
      </c>
      <c r="EB151" s="435" t="str">
        <f t="shared" si="1558"/>
        <v/>
      </c>
      <c r="EC151" s="435" t="str">
        <f t="shared" si="1559"/>
        <v/>
      </c>
      <c r="ED151" s="435" t="str">
        <f t="shared" si="1560"/>
        <v/>
      </c>
      <c r="EE151" s="435" t="str">
        <f t="shared" si="1561"/>
        <v/>
      </c>
      <c r="EF151" s="435" t="str">
        <f t="shared" si="1562"/>
        <v/>
      </c>
      <c r="EG151" s="435" t="str">
        <f t="shared" si="1563"/>
        <v/>
      </c>
      <c r="EH151" s="435" t="str">
        <f t="shared" si="1564"/>
        <v/>
      </c>
      <c r="EI151" s="435" t="str">
        <f t="shared" si="1565"/>
        <v/>
      </c>
      <c r="EJ151" s="435" t="str">
        <f t="shared" si="1566"/>
        <v/>
      </c>
      <c r="EK151" s="485"/>
      <c r="EL151" s="485"/>
      <c r="EM151" s="485"/>
      <c r="EN151" s="485"/>
      <c r="EO151" s="448"/>
      <c r="EP151" s="448"/>
      <c r="EQ151" s="448"/>
      <c r="ER151" s="448"/>
      <c r="ES151" s="448"/>
      <c r="ET151" s="435"/>
      <c r="EU151" s="435"/>
      <c r="EV151" s="435"/>
      <c r="EW151" s="435"/>
      <c r="EX151" s="426"/>
      <c r="EY151" s="426"/>
      <c r="EZ151" s="426"/>
      <c r="FA151" s="863"/>
      <c r="FB151" s="427">
        <f t="array" ref="FB151">IF(SUM((FA151=$FA$3:FA150)*1)=0,FA151,0)</f>
        <v>0</v>
      </c>
      <c r="FC151" s="863"/>
      <c r="FD151" s="863"/>
      <c r="FE151" s="863">
        <f t="array" ref="FE151">IF(SUM((FD151=$FD$3:FD150)*1)=0,FD151,0)</f>
        <v>0</v>
      </c>
      <c r="FF151" s="863"/>
      <c r="FG151" s="863"/>
      <c r="FH151" s="863"/>
      <c r="FI151" s="427">
        <f t="array" ref="FI151">IF(SUM((FH151=$FH$3:FH150)*1)=0,FH151,0)</f>
        <v>0</v>
      </c>
      <c r="FJ151" s="863"/>
      <c r="FK151" s="863"/>
      <c r="FL151" s="863">
        <f t="array" ref="FL151">IF(SUM((FK151=$FK$3:FK150)*1)=0,FK151,0)</f>
        <v>0</v>
      </c>
      <c r="FM151" s="863"/>
      <c r="FN151" s="863"/>
      <c r="FO151" s="863"/>
      <c r="FP151" s="427">
        <f t="array" ref="FP151">IF(SUM((FO151=$FO$3:FO150)*1)=0,FO151,0)</f>
        <v>0</v>
      </c>
      <c r="FQ151" s="863"/>
      <c r="FR151" s="863"/>
      <c r="FS151" s="863">
        <f t="array" ref="FS151">IF(SUM((FR151=$FR$3:FR150)*1)=0,FR151,0)</f>
        <v>0</v>
      </c>
      <c r="FT151" s="863"/>
      <c r="FU151" s="863"/>
      <c r="FV151" s="863"/>
      <c r="FW151" s="427">
        <f t="array" ref="FW151">IF(SUM((FV151=$FV$3:FV150)*1)=0,FV151,0)</f>
        <v>0</v>
      </c>
      <c r="FX151" s="863"/>
      <c r="FY151" s="863"/>
      <c r="FZ151" s="863">
        <f t="array" ref="FZ151">IF(SUM((FY151=$FY$3:FY150)*1)=0,FY151,0)</f>
        <v>0</v>
      </c>
      <c r="GA151" s="863"/>
      <c r="GB151" s="863"/>
      <c r="GC151" s="863"/>
      <c r="GD151" s="427">
        <f t="array" ref="GD151">IF(SUM((GC151=$GC$3:GC150)*1)=0,GC151,0)</f>
        <v>0</v>
      </c>
      <c r="GE151" s="863"/>
      <c r="GF151" s="863"/>
      <c r="GG151" s="863">
        <f t="array" ref="GG151">IF(SUM((GF151=$GF$3:GF150)*1)=0,GF151,0)</f>
        <v>0</v>
      </c>
      <c r="GH151" s="863"/>
      <c r="GI151" s="863"/>
      <c r="GJ151" s="863"/>
      <c r="GK151" s="798">
        <f t="array" ref="GK151">IF(SUM((GJ151=$GJ$3:GJ150)*1)=0,GJ151,0)</f>
        <v>0</v>
      </c>
      <c r="GL151" s="863"/>
      <c r="GM151" s="863"/>
      <c r="GN151" s="798">
        <f t="array" ref="GN151">IF(SUM((GM151=$GM$3:GM150)*1)=0,GM151,0)</f>
        <v>0</v>
      </c>
      <c r="GO151" s="863"/>
      <c r="GP151" s="863"/>
      <c r="GQ151" s="863"/>
      <c r="GR151" s="798">
        <f t="array" ref="GR151">IF(SUM((GQ151=$GQ$3:GQ150)*1)=0,GQ151,0)</f>
        <v>0</v>
      </c>
      <c r="GS151" s="863"/>
      <c r="GT151" s="863"/>
      <c r="GU151" s="798">
        <f t="array" ref="GU151">IF(SUM((GT151=$GT$3:GT150)*1)=0,GT151,0)</f>
        <v>0</v>
      </c>
      <c r="GV151" s="863"/>
      <c r="GW151" s="863"/>
      <c r="GX151" s="863"/>
      <c r="GY151" s="798">
        <f t="array" ref="GY151">IF(SUM((GX151=$GX$3:GX150)*1)=0,GX151,0)</f>
        <v>0</v>
      </c>
      <c r="GZ151" s="863"/>
      <c r="HA151" s="863"/>
      <c r="HB151" s="798">
        <f t="array" ref="HB151">IF(SUM((HA151=$HA$3:HA150)*1)=0,HA151,0)</f>
        <v>0</v>
      </c>
      <c r="HC151" s="863"/>
      <c r="HD151" s="863"/>
      <c r="HE151" s="769" t="str">
        <f t="shared" si="1667"/>
        <v/>
      </c>
      <c r="HF151" s="768" t="str">
        <f t="shared" ref="HF151" si="1833">IF(HE151&lt;0,"Invadiu REP-BA-C","")</f>
        <v/>
      </c>
      <c r="HG151" s="769" t="str">
        <f t="shared" si="1669"/>
        <v/>
      </c>
      <c r="HH151" s="768" t="str">
        <f t="shared" si="1593"/>
        <v/>
      </c>
      <c r="HI151" s="728" t="str">
        <f t="shared" si="1670"/>
        <v/>
      </c>
      <c r="HJ151" s="768" t="str">
        <f t="shared" si="1594"/>
        <v/>
      </c>
      <c r="HK151" s="728" t="str">
        <f t="shared" si="1671"/>
        <v/>
      </c>
      <c r="HL151" s="768" t="str">
        <f t="shared" si="1595"/>
        <v/>
      </c>
      <c r="HM151" s="769" t="str">
        <f t="shared" si="1596"/>
        <v/>
      </c>
      <c r="HN151" s="768" t="str">
        <f t="shared" ref="HN151" si="1834">IF(HM151&lt;0,"Invadiu REP-BA-C","")</f>
        <v/>
      </c>
      <c r="HO151" s="769" t="str">
        <f t="shared" si="1598"/>
        <v/>
      </c>
      <c r="HP151" s="768" t="str">
        <f t="shared" si="1599"/>
        <v/>
      </c>
      <c r="HQ151" s="728" t="str">
        <f t="shared" si="1600"/>
        <v/>
      </c>
      <c r="HR151" s="768" t="str">
        <f t="shared" si="1601"/>
        <v/>
      </c>
      <c r="HS151" s="728" t="str">
        <f t="shared" si="1602"/>
        <v/>
      </c>
      <c r="HT151" s="768" t="str">
        <f t="shared" si="1603"/>
        <v/>
      </c>
      <c r="HU151" s="769" t="str">
        <f t="shared" si="1604"/>
        <v/>
      </c>
      <c r="HV151" s="768" t="str">
        <f t="shared" ref="HV151" si="1835">IF(HU151&lt;0,"Invadiu REP-BA-C","")</f>
        <v/>
      </c>
      <c r="HW151" s="769" t="str">
        <f t="shared" si="1606"/>
        <v/>
      </c>
      <c r="HX151" s="768" t="str">
        <f t="shared" si="1607"/>
        <v/>
      </c>
      <c r="HY151" s="728" t="str">
        <f t="shared" si="1608"/>
        <v/>
      </c>
      <c r="HZ151" s="768" t="str">
        <f t="shared" si="1609"/>
        <v/>
      </c>
      <c r="IA151" s="728" t="str">
        <f t="shared" si="1610"/>
        <v/>
      </c>
      <c r="IB151" s="768" t="str">
        <f t="shared" si="1611"/>
        <v/>
      </c>
      <c r="IC151" s="769" t="str">
        <f t="shared" si="1612"/>
        <v/>
      </c>
      <c r="ID151" s="768" t="str">
        <f t="shared" ref="ID151" si="1836">IF(IC151&lt;0,"Invadiu REP-BA-C","")</f>
        <v/>
      </c>
      <c r="IE151" s="769" t="str">
        <f t="shared" si="1614"/>
        <v/>
      </c>
      <c r="IF151" s="768" t="str">
        <f t="shared" si="1615"/>
        <v/>
      </c>
      <c r="IG151" s="728" t="str">
        <f t="shared" si="1616"/>
        <v/>
      </c>
      <c r="IH151" s="768" t="str">
        <f t="shared" si="1617"/>
        <v/>
      </c>
      <c r="II151" s="728" t="str">
        <f t="shared" si="1618"/>
        <v/>
      </c>
      <c r="IJ151" s="768" t="str">
        <f t="shared" si="1619"/>
        <v/>
      </c>
      <c r="IK151" s="769" t="str">
        <f t="shared" si="1620"/>
        <v/>
      </c>
      <c r="IL151" s="768" t="str">
        <f t="shared" ref="IL151" si="1837">IF(IK151&lt;0,"Invadiu REP-BA-C","")</f>
        <v/>
      </c>
      <c r="IM151" s="769" t="str">
        <f t="shared" si="1622"/>
        <v/>
      </c>
      <c r="IN151" s="768" t="str">
        <f t="shared" si="1623"/>
        <v/>
      </c>
      <c r="IO151" s="728" t="str">
        <f t="shared" si="1624"/>
        <v/>
      </c>
      <c r="IP151" s="768" t="str">
        <f t="shared" si="1625"/>
        <v/>
      </c>
      <c r="IQ151" s="728" t="str">
        <f t="shared" si="1626"/>
        <v/>
      </c>
      <c r="IR151" s="768" t="str">
        <f t="shared" si="1627"/>
        <v/>
      </c>
      <c r="IS151" s="769" t="str">
        <f t="shared" si="1628"/>
        <v/>
      </c>
      <c r="IT151" s="768" t="str">
        <f t="shared" ref="IT151" si="1838">IF(IS151&lt;0,"Invadiu REP-BA-C","")</f>
        <v/>
      </c>
      <c r="IU151" s="769" t="str">
        <f t="shared" si="1630"/>
        <v/>
      </c>
      <c r="IV151" s="768" t="str">
        <f t="shared" si="1631"/>
        <v/>
      </c>
      <c r="IW151" s="728" t="str">
        <f t="shared" si="1632"/>
        <v/>
      </c>
      <c r="IX151" s="768" t="str">
        <f t="shared" si="1633"/>
        <v/>
      </c>
      <c r="IY151" s="728" t="str">
        <f t="shared" si="1634"/>
        <v/>
      </c>
      <c r="IZ151" s="768" t="str">
        <f t="shared" si="1635"/>
        <v/>
      </c>
      <c r="JA151" s="769" t="str">
        <f t="shared" si="1636"/>
        <v/>
      </c>
      <c r="JB151" s="768" t="str">
        <f t="shared" ref="JB151" si="1839">IF(JA151&lt;0,"Invadiu REP-BA-C","")</f>
        <v/>
      </c>
      <c r="JC151" s="769" t="str">
        <f t="shared" si="1638"/>
        <v/>
      </c>
      <c r="JD151" s="768" t="str">
        <f t="shared" si="1639"/>
        <v/>
      </c>
      <c r="JE151" s="728" t="str">
        <f t="shared" si="1640"/>
        <v/>
      </c>
      <c r="JF151" s="768" t="str">
        <f t="shared" si="1641"/>
        <v/>
      </c>
      <c r="JG151" s="728" t="str">
        <f t="shared" si="1642"/>
        <v/>
      </c>
      <c r="JH151" s="768" t="str">
        <f t="shared" si="1643"/>
        <v/>
      </c>
      <c r="JI151" s="769" t="str">
        <f t="shared" si="1644"/>
        <v/>
      </c>
      <c r="JJ151" s="768" t="str">
        <f t="shared" ref="JJ151" si="1840">IF(JI151&lt;0,"Invadiu REP-BA-C","")</f>
        <v/>
      </c>
      <c r="JK151" s="769" t="str">
        <f t="shared" si="1646"/>
        <v/>
      </c>
      <c r="JL151" s="768" t="str">
        <f t="shared" si="1647"/>
        <v/>
      </c>
      <c r="JM151" s="728" t="str">
        <f t="shared" si="1648"/>
        <v/>
      </c>
      <c r="JN151" s="768" t="str">
        <f t="shared" si="1649"/>
        <v/>
      </c>
      <c r="JO151" s="728" t="str">
        <f t="shared" si="1650"/>
        <v/>
      </c>
      <c r="JP151" s="768" t="str">
        <f t="shared" si="1651"/>
        <v/>
      </c>
      <c r="JQ151" s="769" t="str">
        <f t="shared" si="1652"/>
        <v/>
      </c>
      <c r="JR151" s="768" t="str">
        <f t="shared" ref="JR151" si="1841">IF(JQ151&lt;0,"Invadiu REP-BA-C","")</f>
        <v/>
      </c>
      <c r="JS151" s="769" t="str">
        <f t="shared" si="1654"/>
        <v/>
      </c>
      <c r="JT151" s="768" t="str">
        <f t="shared" si="1655"/>
        <v/>
      </c>
      <c r="JU151" s="728" t="str">
        <f t="shared" si="1656"/>
        <v/>
      </c>
      <c r="JV151" s="768" t="str">
        <f t="shared" si="1657"/>
        <v/>
      </c>
      <c r="JW151" s="728" t="str">
        <f t="shared" si="1658"/>
        <v/>
      </c>
      <c r="JX151" s="768" t="str">
        <f t="shared" si="1659"/>
        <v/>
      </c>
      <c r="JY151" s="768" t="str">
        <f t="shared" si="1660"/>
        <v/>
      </c>
      <c r="JZ151" s="485" t="str">
        <f>IF(JY151="","",IF(AND(C151=$C$164,JY151&lt;&gt;""),Verificarcpf(D151),IF(AND(C151=$C$165,JY151&lt;&gt;""),VerificarCNPJ(D151))))</f>
        <v/>
      </c>
      <c r="KA151" s="768" t="str">
        <f t="shared" si="1661"/>
        <v/>
      </c>
      <c r="KB151" s="485">
        <f t="shared" si="1662"/>
        <v>0</v>
      </c>
      <c r="KC151" s="768">
        <f t="shared" si="1663"/>
        <v>0</v>
      </c>
      <c r="KD151" s="485">
        <f t="shared" si="1664"/>
        <v>0</v>
      </c>
      <c r="KE151" s="448"/>
      <c r="KF151" s="548"/>
      <c r="KG151" s="548"/>
      <c r="KH151" s="548"/>
      <c r="KI151" s="548"/>
      <c r="KJ151" s="548" t="str">
        <f t="shared" si="1665"/>
        <v/>
      </c>
      <c r="KK151" s="548"/>
      <c r="KL151" s="548"/>
      <c r="KM151" s="548">
        <f t="array" ref="KM151">IF(SUM((KL151=$KL$3:KL150)*1)=0,KL151,0)</f>
        <v>0</v>
      </c>
      <c r="KN151" s="548"/>
      <c r="KO151" s="548"/>
      <c r="KP151" s="548"/>
      <c r="KQ151" s="548"/>
      <c r="KR151" s="548" t="str">
        <f t="shared" si="1666"/>
        <v/>
      </c>
      <c r="KS151" s="548"/>
      <c r="KT151" s="548"/>
      <c r="KU151" s="548"/>
      <c r="KV151" s="548"/>
      <c r="KW151" s="548"/>
      <c r="KX151" s="548"/>
      <c r="KY151" s="548"/>
      <c r="KZ151" s="548"/>
      <c r="LA151" s="548"/>
      <c r="LB151" s="548"/>
      <c r="LC151" s="485" t="str">
        <f t="shared" si="1680"/>
        <v/>
      </c>
      <c r="LD151" s="548"/>
      <c r="LE151" s="548"/>
      <c r="LF151" s="548"/>
      <c r="LG151" s="548"/>
      <c r="LH151" s="548"/>
      <c r="LI151" s="548"/>
      <c r="LJ151" s="548"/>
      <c r="LK151" s="548"/>
      <c r="LL151" s="548"/>
      <c r="LM151" s="548"/>
      <c r="LN151" s="548"/>
      <c r="LO151" s="548"/>
      <c r="LP151" s="485" t="str">
        <f t="shared" si="1681"/>
        <v/>
      </c>
      <c r="LQ151" s="548"/>
      <c r="LR151" s="548"/>
      <c r="LS151" s="548"/>
      <c r="LT151" s="548"/>
      <c r="LU151" s="548"/>
      <c r="LV151" s="548"/>
      <c r="LW151" s="548"/>
      <c r="LX151" s="548"/>
      <c r="LY151" s="548"/>
      <c r="LZ151" s="548"/>
      <c r="MA151" s="548"/>
      <c r="MB151" s="548"/>
      <c r="MC151" s="485" t="str">
        <f t="shared" si="1682"/>
        <v/>
      </c>
      <c r="MD151" s="548"/>
      <c r="ME151" s="548"/>
      <c r="MF151" s="548"/>
      <c r="MG151" s="548"/>
      <c r="MH151" s="548"/>
      <c r="MI151" s="548"/>
      <c r="MJ151" s="548"/>
      <c r="MK151" s="548"/>
      <c r="ML151" s="548"/>
      <c r="MM151" s="548"/>
      <c r="MN151" s="548"/>
      <c r="MO151" s="548"/>
      <c r="MP151" s="485" t="str">
        <f t="shared" si="1683"/>
        <v/>
      </c>
      <c r="MQ151" s="548"/>
      <c r="MR151" s="548"/>
      <c r="MS151" s="548"/>
      <c r="MT151" s="548"/>
      <c r="MU151" s="548"/>
      <c r="MV151" s="548"/>
      <c r="MW151" s="548"/>
      <c r="MX151" s="548"/>
      <c r="MY151" s="548"/>
      <c r="MZ151" s="548"/>
      <c r="NA151" s="548"/>
      <c r="NB151" s="548"/>
      <c r="NC151" s="485" t="str">
        <f t="shared" si="1684"/>
        <v/>
      </c>
      <c r="ND151" s="548"/>
      <c r="NE151" s="548"/>
      <c r="NF151" s="548"/>
      <c r="NG151" s="548"/>
      <c r="NH151" s="548"/>
      <c r="NI151" s="548"/>
      <c r="NJ151" s="548"/>
      <c r="NK151" s="548"/>
      <c r="NL151" s="548"/>
      <c r="NM151" s="548"/>
      <c r="NN151" s="548"/>
      <c r="NO151" s="548"/>
      <c r="NP151" s="485" t="str">
        <f t="shared" si="1685"/>
        <v/>
      </c>
      <c r="NQ151" s="548"/>
      <c r="NR151" s="548"/>
      <c r="NS151" s="548"/>
      <c r="NT151" s="548"/>
      <c r="NU151" s="548"/>
      <c r="NV151" s="548"/>
      <c r="NW151" s="548"/>
      <c r="NX151" s="548"/>
      <c r="NY151" s="548"/>
      <c r="NZ151" s="548"/>
      <c r="OA151" s="548"/>
      <c r="OB151" s="548"/>
      <c r="OC151" s="485" t="str">
        <f t="shared" si="1686"/>
        <v/>
      </c>
      <c r="OD151" s="548"/>
      <c r="OE151" s="548"/>
      <c r="OF151" s="548"/>
      <c r="OG151" s="548"/>
      <c r="OH151" s="548"/>
      <c r="OI151" s="548"/>
      <c r="OJ151" s="548"/>
      <c r="OK151" s="548"/>
      <c r="OL151" s="548"/>
      <c r="OM151" s="548"/>
      <c r="ON151" s="548"/>
      <c r="OO151" s="548"/>
      <c r="OP151" s="548"/>
      <c r="OQ151" s="548"/>
      <c r="OR151" s="548"/>
      <c r="OS151" s="548"/>
      <c r="OT151" s="548"/>
      <c r="OU151" s="548"/>
      <c r="OV151" s="548"/>
      <c r="OW151" s="548"/>
      <c r="OX151" s="548"/>
      <c r="OY151" s="548"/>
      <c r="OZ151" s="548"/>
      <c r="PA151" s="548"/>
      <c r="PB151" s="548"/>
      <c r="PC151" s="548"/>
      <c r="PD151" s="548"/>
      <c r="PE151" s="548"/>
      <c r="PF151" s="548"/>
      <c r="PG151" s="548"/>
      <c r="PH151" s="548"/>
      <c r="PI151" s="548"/>
      <c r="PJ151" s="548"/>
      <c r="PK151" s="548"/>
      <c r="PL151" s="548"/>
      <c r="PM151" s="548"/>
      <c r="PN151" s="548"/>
      <c r="PO151" s="548"/>
      <c r="PP151" s="548"/>
      <c r="PQ151" s="548"/>
      <c r="PR151" s="548"/>
      <c r="PS151" s="548"/>
      <c r="PT151" s="548"/>
      <c r="PU151" s="548"/>
      <c r="PV151" s="548"/>
      <c r="PW151" s="548"/>
      <c r="PX151" s="548"/>
      <c r="PY151" s="548"/>
      <c r="PZ151" s="548"/>
      <c r="QA151" s="548"/>
      <c r="QB151" s="548"/>
      <c r="QC151" s="548"/>
      <c r="QD151" s="548"/>
      <c r="QE151" s="548"/>
      <c r="QF151" s="548"/>
      <c r="QG151" s="548"/>
      <c r="QH151" s="548"/>
      <c r="QI151" s="548"/>
      <c r="QJ151" s="548"/>
      <c r="QK151" s="548"/>
      <c r="QL151" s="548"/>
      <c r="QM151" s="548"/>
      <c r="QN151" s="548"/>
      <c r="QO151" s="548"/>
      <c r="QP151" s="548"/>
      <c r="QQ151" s="1009"/>
      <c r="QR151" s="548"/>
      <c r="QS151" s="548"/>
      <c r="QT151" s="548"/>
      <c r="QU151" s="548"/>
      <c r="QV151" s="548"/>
      <c r="QW151" s="548"/>
      <c r="QX151" s="548"/>
      <c r="QY151" s="548"/>
      <c r="QZ151" s="548"/>
      <c r="RA151" s="548"/>
      <c r="RB151" s="548"/>
      <c r="RC151" s="548"/>
      <c r="RD151" s="548"/>
      <c r="RE151" s="548"/>
      <c r="RF151" s="548"/>
      <c r="RG151" s="548"/>
      <c r="RH151" s="548"/>
      <c r="RI151" s="548"/>
      <c r="RJ151" s="548"/>
      <c r="RK151" s="548"/>
      <c r="RL151" s="548"/>
      <c r="RM151" s="548"/>
      <c r="RN151" s="548"/>
      <c r="RO151" s="548"/>
      <c r="RP151" s="548"/>
      <c r="RQ151" s="548"/>
      <c r="RR151" s="548"/>
      <c r="RS151" s="548"/>
      <c r="RT151" s="548"/>
      <c r="RU151" s="548"/>
      <c r="RV151" s="548"/>
      <c r="RW151" s="548"/>
      <c r="RX151" s="548"/>
      <c r="RY151" s="548"/>
      <c r="RZ151" s="548"/>
      <c r="SA151" s="548"/>
      <c r="SB151" s="548"/>
      <c r="SC151" s="548"/>
      <c r="SD151" s="548"/>
      <c r="SE151" s="548"/>
      <c r="SF151" s="548"/>
      <c r="SG151" s="548"/>
      <c r="SH151" s="548"/>
      <c r="SI151" s="548"/>
      <c r="SJ151" s="548"/>
      <c r="SK151" s="548"/>
      <c r="SL151" s="548"/>
      <c r="SM151" s="548"/>
      <c r="SN151" s="548"/>
      <c r="SO151" s="548"/>
      <c r="SP151" s="548"/>
      <c r="SQ151" s="548"/>
      <c r="SR151" s="548"/>
      <c r="SS151" s="548"/>
      <c r="ST151" s="548"/>
      <c r="SU151" s="548"/>
      <c r="SV151" s="548"/>
      <c r="SW151" s="548"/>
      <c r="SX151" s="548"/>
      <c r="SY151" s="548"/>
      <c r="SZ151" s="548"/>
      <c r="TA151" s="548"/>
      <c r="TB151" s="548"/>
      <c r="TC151" s="548"/>
      <c r="TD151" s="548"/>
      <c r="TE151" s="548"/>
      <c r="TF151" s="548"/>
      <c r="TG151" s="548"/>
      <c r="TH151" s="548"/>
      <c r="TI151" s="548"/>
      <c r="TJ151" s="548"/>
      <c r="TK151" s="548"/>
      <c r="TL151" s="548"/>
      <c r="TM151" s="548"/>
      <c r="TN151" s="548"/>
      <c r="TO151" s="548"/>
      <c r="TP151" s="548"/>
      <c r="TQ151" s="548"/>
      <c r="TR151" s="548"/>
      <c r="TS151" s="548"/>
      <c r="TT151" s="548"/>
      <c r="TU151" s="548"/>
      <c r="TV151" s="548"/>
      <c r="TW151" s="548"/>
      <c r="TX151" s="548"/>
      <c r="TY151" s="548"/>
      <c r="TZ151" s="548"/>
      <c r="UA151" s="548"/>
      <c r="UB151" s="548"/>
      <c r="UC151" s="548"/>
      <c r="UD151" s="548"/>
      <c r="UE151" s="548"/>
      <c r="UF151" s="548"/>
      <c r="UG151" s="548"/>
      <c r="UH151" s="548"/>
      <c r="UI151" s="548"/>
      <c r="UJ151" s="548"/>
      <c r="UK151" s="548"/>
      <c r="UL151" s="548"/>
      <c r="UM151" s="548"/>
      <c r="UN151" s="548"/>
      <c r="UO151" s="548"/>
      <c r="UP151" s="548"/>
      <c r="UQ151" s="548"/>
      <c r="UR151" s="548"/>
      <c r="US151" s="548"/>
      <c r="UT151" s="548"/>
      <c r="UU151" s="548"/>
      <c r="UV151" s="548"/>
      <c r="UW151" s="548"/>
      <c r="UX151" s="548"/>
      <c r="UY151" s="548"/>
      <c r="UZ151" s="548"/>
      <c r="VA151" s="548"/>
      <c r="VB151" s="548"/>
      <c r="VC151" s="548"/>
      <c r="VD151" s="548"/>
      <c r="VE151" s="548"/>
      <c r="VF151" s="548"/>
      <c r="VG151" s="548"/>
      <c r="VH151" s="548"/>
      <c r="VI151" s="548"/>
      <c r="VJ151" s="548"/>
      <c r="VK151" s="548"/>
      <c r="VL151" s="548"/>
      <c r="VM151" s="548"/>
      <c r="VN151" s="548"/>
      <c r="VO151" s="548"/>
      <c r="VP151" s="548"/>
      <c r="VQ151" s="548"/>
      <c r="VR151" s="548"/>
      <c r="VS151" s="548"/>
      <c r="VT151" s="548"/>
      <c r="VU151" s="548"/>
      <c r="VV151" s="548"/>
      <c r="VW151" s="548"/>
      <c r="VX151" s="548"/>
      <c r="VY151" s="548"/>
      <c r="VZ151" s="548"/>
      <c r="WA151" s="548"/>
      <c r="WB151" s="548"/>
      <c r="WC151" s="548"/>
      <c r="WD151" s="548"/>
      <c r="WE151" s="548"/>
      <c r="WF151" s="548"/>
      <c r="WG151" s="548"/>
      <c r="WH151" s="548"/>
      <c r="WI151" s="548"/>
      <c r="WJ151" s="548"/>
      <c r="WK151" s="548"/>
      <c r="WL151" s="548"/>
      <c r="WM151" s="548"/>
      <c r="WN151" s="548"/>
      <c r="WO151" s="548"/>
      <c r="WP151" s="548"/>
      <c r="WQ151" s="548"/>
      <c r="WR151" s="548"/>
      <c r="WS151" s="548"/>
      <c r="WT151" s="548"/>
      <c r="WU151" s="548"/>
      <c r="WV151" s="548"/>
      <c r="WW151" s="548"/>
      <c r="WX151" s="548"/>
      <c r="WY151" s="548"/>
      <c r="WZ151" s="548"/>
      <c r="XA151" s="548"/>
      <c r="XB151" s="548"/>
      <c r="XC151" s="548"/>
      <c r="XD151" s="548"/>
      <c r="XE151" s="548"/>
      <c r="XF151" s="548"/>
      <c r="XG151" s="548"/>
      <c r="XH151" s="548"/>
      <c r="XI151" s="548"/>
      <c r="XJ151" s="548"/>
      <c r="XK151" s="548"/>
      <c r="XL151" s="548"/>
      <c r="XM151" s="548"/>
      <c r="XN151" s="548"/>
      <c r="XO151" s="548"/>
      <c r="XP151" s="548"/>
      <c r="XQ151" s="548"/>
      <c r="XR151" s="548"/>
      <c r="XS151" s="548"/>
      <c r="XT151" s="548"/>
      <c r="XU151" s="548"/>
      <c r="XV151" s="548"/>
      <c r="XW151" s="548"/>
      <c r="XX151" s="548"/>
      <c r="XY151" s="548"/>
      <c r="XZ151" s="548"/>
      <c r="YA151" s="548"/>
      <c r="YB151" s="548"/>
      <c r="YC151" s="548"/>
      <c r="YD151" s="548"/>
      <c r="YE151" s="548"/>
      <c r="YF151" s="548"/>
      <c r="YG151" s="548"/>
      <c r="YH151" s="548"/>
      <c r="YI151" s="548"/>
      <c r="YJ151" s="548"/>
      <c r="YK151" s="548"/>
      <c r="YL151" s="548"/>
      <c r="YM151" s="548"/>
      <c r="YN151" s="548"/>
      <c r="YO151" s="548"/>
      <c r="YP151" s="548"/>
      <c r="YQ151" s="548"/>
      <c r="YR151" s="548"/>
      <c r="YS151" s="548"/>
      <c r="YT151" s="548"/>
      <c r="YU151" s="548"/>
      <c r="YV151" s="548"/>
      <c r="YW151" s="548"/>
      <c r="YX151" s="548"/>
      <c r="YY151" s="548"/>
      <c r="YZ151" s="548"/>
      <c r="ZA151" s="548"/>
      <c r="ZB151" s="548"/>
      <c r="ZC151" s="548"/>
      <c r="ZD151" s="548"/>
      <c r="ZE151" s="548"/>
      <c r="ZF151" s="548"/>
      <c r="ZG151" s="548"/>
      <c r="ZH151" s="548"/>
      <c r="ZI151" s="548"/>
      <c r="ZJ151" s="548"/>
      <c r="ZK151" s="548"/>
      <c r="ZL151" s="548"/>
      <c r="ZM151" s="548"/>
      <c r="ZN151" s="548"/>
      <c r="ZO151" s="548"/>
      <c r="ZP151" s="548"/>
      <c r="ZQ151" s="548"/>
      <c r="ZR151" s="548"/>
      <c r="ZS151" s="548"/>
      <c r="ZT151" s="548"/>
      <c r="ZU151" s="548"/>
      <c r="ZV151" s="548"/>
      <c r="ZW151" s="548"/>
      <c r="ZX151" s="548"/>
      <c r="ZY151" s="548"/>
      <c r="ZZ151" s="548"/>
      <c r="AAA151" s="548"/>
      <c r="AAB151" s="548"/>
      <c r="AAC151" s="548"/>
      <c r="AAD151" s="548"/>
      <c r="AAE151" s="548"/>
      <c r="AAF151" s="548"/>
      <c r="AAG151" s="548"/>
      <c r="AAH151" s="548"/>
      <c r="AAI151" s="548"/>
      <c r="AAJ151" s="548"/>
      <c r="AAK151" s="548"/>
      <c r="AAL151" s="548"/>
      <c r="AAM151" s="548"/>
      <c r="AAN151" s="548"/>
      <c r="AAO151" s="548"/>
      <c r="AAP151" s="548"/>
      <c r="AAQ151" s="548"/>
      <c r="AAR151" s="548"/>
      <c r="AAS151" s="548"/>
      <c r="AAT151" s="548"/>
      <c r="AAU151" s="548"/>
      <c r="AAV151" s="548"/>
      <c r="AAW151" s="548"/>
      <c r="AAX151" s="548"/>
      <c r="AAY151" s="548"/>
      <c r="AAZ151" s="548"/>
      <c r="ABA151" s="548"/>
      <c r="ABB151" s="548"/>
      <c r="ABC151" s="548"/>
      <c r="ABD151" s="548"/>
      <c r="ABE151" s="548"/>
      <c r="ABF151" s="548"/>
      <c r="ABG151" s="548"/>
      <c r="ABH151" s="548"/>
      <c r="ABI151" s="548"/>
      <c r="ABJ151" s="548"/>
      <c r="ABK151" s="548"/>
      <c r="ABL151" s="548"/>
      <c r="ABM151" s="548"/>
      <c r="ABN151" s="548"/>
      <c r="ABO151" s="548"/>
      <c r="ABP151" s="548"/>
      <c r="ABQ151" s="548"/>
      <c r="ABR151" s="548"/>
      <c r="ABS151" s="548"/>
    </row>
    <row r="152" spans="1:747" customFormat="1" ht="15" customHeight="1" x14ac:dyDescent="0.2">
      <c r="A152" s="424" t="str">
        <f t="shared" si="1687"/>
        <v/>
      </c>
      <c r="B152" s="415"/>
      <c r="C152" s="525"/>
      <c r="D152" s="750"/>
      <c r="E152" s="416" t="str">
        <f t="shared" si="1529"/>
        <v/>
      </c>
      <c r="F152" s="527" t="str">
        <f t="shared" si="1530"/>
        <v/>
      </c>
      <c r="G152" s="417"/>
      <c r="H152" s="585" t="str">
        <f t="shared" si="1531"/>
        <v/>
      </c>
      <c r="I152" s="424"/>
      <c r="J152" s="419"/>
      <c r="K152" s="418"/>
      <c r="L152" s="419"/>
      <c r="M152" s="415"/>
      <c r="N152" s="420"/>
      <c r="O152" s="421"/>
      <c r="P152" s="561"/>
      <c r="Q152" s="422"/>
      <c r="R152" s="561" t="str">
        <f t="shared" si="1532"/>
        <v/>
      </c>
      <c r="S152" s="664"/>
      <c r="T152" s="663"/>
      <c r="U152" s="580">
        <f t="shared" si="1533"/>
        <v>0</v>
      </c>
      <c r="V152" s="418"/>
      <c r="W152" s="582" t="str">
        <f t="shared" si="1534"/>
        <v/>
      </c>
      <c r="X152" s="479" t="str">
        <f t="shared" si="1535"/>
        <v/>
      </c>
      <c r="Y152" s="582" t="str">
        <f t="shared" si="1536"/>
        <v/>
      </c>
      <c r="Z152" s="317" t="str">
        <f t="shared" si="1537"/>
        <v/>
      </c>
      <c r="AA152" s="317" t="str">
        <f t="shared" si="1538"/>
        <v/>
      </c>
      <c r="AB152" s="317">
        <f t="shared" si="1539"/>
        <v>0</v>
      </c>
      <c r="AC152" s="317" t="str">
        <f t="shared" si="1540"/>
        <v/>
      </c>
      <c r="AD152" s="479"/>
      <c r="AE152" s="479"/>
      <c r="AF152" s="479"/>
      <c r="AG152" s="423"/>
      <c r="AH152" s="820"/>
      <c r="AI152" s="437"/>
      <c r="AJ152" s="660"/>
      <c r="AK152" s="524" t="str">
        <f t="shared" si="1541"/>
        <v/>
      </c>
      <c r="AL152" s="731">
        <f t="shared" si="1832"/>
        <v>0</v>
      </c>
      <c r="AM152" s="732">
        <f t="shared" si="1832"/>
        <v>0</v>
      </c>
      <c r="AN152" s="426">
        <f t="shared" si="1542"/>
        <v>0</v>
      </c>
      <c r="AO152" s="427" t="str">
        <f t="shared" si="1543"/>
        <v/>
      </c>
      <c r="AP152" s="426" t="str">
        <f t="shared" si="1544"/>
        <v/>
      </c>
      <c r="AQ152" s="426"/>
      <c r="AR152" s="426"/>
      <c r="AS152" s="428"/>
      <c r="AT152" s="429"/>
      <c r="AU152" s="430"/>
      <c r="AV152" s="431"/>
      <c r="AW152" s="432"/>
      <c r="AX152" s="430"/>
      <c r="AY152" s="431">
        <f t="shared" si="1545"/>
        <v>0</v>
      </c>
      <c r="AZ152" s="426"/>
      <c r="BA152" s="435" t="str">
        <f t="shared" si="1546"/>
        <v/>
      </c>
      <c r="BB152" s="435"/>
      <c r="BC152" s="426"/>
      <c r="BD152" s="426">
        <f t="array" ref="BD152">IF(SUM((BC152=$BC$3:BC151)*1)=0,BC152,0)</f>
        <v>0</v>
      </c>
      <c r="BE152" s="426"/>
      <c r="BF152" s="426"/>
      <c r="BG152" s="426">
        <f t="array" ref="BG152">IF(SUM((BF152=$BF$3:BF151)*1)=0,BF152,0)</f>
        <v>0</v>
      </c>
      <c r="BH152" s="426"/>
      <c r="BI152" s="426"/>
      <c r="BJ152" s="426"/>
      <c r="BK152" s="426"/>
      <c r="BL152" s="426"/>
      <c r="BM152" s="426"/>
      <c r="BN152" s="426"/>
      <c r="BO152" s="426"/>
      <c r="BP152" s="433">
        <f t="shared" si="1547"/>
        <v>0</v>
      </c>
      <c r="BQ152" s="426"/>
      <c r="BR152" s="434"/>
      <c r="BS152" s="426"/>
      <c r="BT152" s="433"/>
      <c r="BU152" s="435"/>
      <c r="BV152" s="435" t="str">
        <f t="shared" si="1548"/>
        <v/>
      </c>
      <c r="BW152" s="435" t="str">
        <f t="shared" si="1576"/>
        <v/>
      </c>
      <c r="BX152" s="435"/>
      <c r="BY152" s="435"/>
      <c r="BZ152" s="435"/>
      <c r="CA152" s="435"/>
      <c r="CB152" s="435"/>
      <c r="CC152" s="435"/>
      <c r="CD152" s="435"/>
      <c r="CE152" s="435"/>
      <c r="CF152" s="435"/>
      <c r="CG152" s="435"/>
      <c r="CH152" s="435"/>
      <c r="CI152" s="435"/>
      <c r="CJ152" s="426" t="str">
        <f t="shared" si="1577"/>
        <v/>
      </c>
      <c r="CK152" s="435"/>
      <c r="CL152" s="426"/>
      <c r="CM152" s="435"/>
      <c r="CN152" s="426"/>
      <c r="CO152" s="426"/>
      <c r="CP152" s="426"/>
      <c r="CQ152" s="426"/>
      <c r="CR152" s="426"/>
      <c r="CS152" s="426"/>
      <c r="CT152" s="426"/>
      <c r="CU152" s="426"/>
      <c r="CV152" s="426"/>
      <c r="CW152" s="493"/>
      <c r="CX152" s="493"/>
      <c r="CY152" s="426">
        <v>149</v>
      </c>
      <c r="CZ152" s="493"/>
      <c r="DA152" s="493"/>
      <c r="DB152" s="493"/>
      <c r="DC152" s="426" t="s">
        <v>892</v>
      </c>
      <c r="DD152" s="426" t="s">
        <v>1052</v>
      </c>
      <c r="DE152" s="435" t="str">
        <f t="shared" si="1578"/>
        <v/>
      </c>
      <c r="DF152" s="435" t="str">
        <f t="shared" si="1579"/>
        <v/>
      </c>
      <c r="DG152" s="435" t="str">
        <f t="shared" si="1580"/>
        <v/>
      </c>
      <c r="DH152" s="435" t="str">
        <f t="shared" si="1581"/>
        <v/>
      </c>
      <c r="DI152" s="435" t="str">
        <f t="shared" si="1582"/>
        <v/>
      </c>
      <c r="DJ152" s="435" t="str">
        <f t="shared" si="1583"/>
        <v/>
      </c>
      <c r="DK152" s="435" t="str">
        <f t="shared" si="1549"/>
        <v/>
      </c>
      <c r="DL152" s="435" t="str">
        <f t="shared" si="1550"/>
        <v/>
      </c>
      <c r="DM152" s="435" t="str">
        <f t="shared" si="1584"/>
        <v/>
      </c>
      <c r="DN152" s="435" t="str">
        <f t="shared" si="1585"/>
        <v/>
      </c>
      <c r="DO152" s="435" t="str">
        <f t="shared" si="1551"/>
        <v/>
      </c>
      <c r="DP152" s="435" t="str">
        <f t="shared" si="1552"/>
        <v/>
      </c>
      <c r="DQ152" s="435" t="str">
        <f t="shared" si="1586"/>
        <v/>
      </c>
      <c r="DR152" s="435" t="str">
        <f t="shared" si="1587"/>
        <v/>
      </c>
      <c r="DS152" s="435" t="str">
        <f t="shared" si="1553"/>
        <v/>
      </c>
      <c r="DT152" s="435" t="str">
        <f t="shared" si="1554"/>
        <v/>
      </c>
      <c r="DU152" s="435" t="str">
        <f t="shared" si="1588"/>
        <v/>
      </c>
      <c r="DV152" s="435" t="str">
        <f t="shared" si="1589"/>
        <v/>
      </c>
      <c r="DW152" s="435" t="str">
        <f t="shared" si="1555"/>
        <v/>
      </c>
      <c r="DX152" s="435" t="str">
        <f t="shared" si="1556"/>
        <v/>
      </c>
      <c r="DY152" s="435" t="str">
        <f t="shared" si="1590"/>
        <v/>
      </c>
      <c r="DZ152" s="435" t="str">
        <f t="shared" si="1591"/>
        <v/>
      </c>
      <c r="EA152" s="435" t="str">
        <f t="shared" si="1557"/>
        <v/>
      </c>
      <c r="EB152" s="435" t="str">
        <f t="shared" si="1558"/>
        <v/>
      </c>
      <c r="EC152" s="435" t="str">
        <f t="shared" si="1559"/>
        <v/>
      </c>
      <c r="ED152" s="435" t="str">
        <f t="shared" si="1560"/>
        <v/>
      </c>
      <c r="EE152" s="435" t="str">
        <f t="shared" si="1561"/>
        <v/>
      </c>
      <c r="EF152" s="435" t="str">
        <f t="shared" si="1562"/>
        <v/>
      </c>
      <c r="EG152" s="435" t="str">
        <f t="shared" si="1563"/>
        <v/>
      </c>
      <c r="EH152" s="435" t="str">
        <f t="shared" si="1564"/>
        <v/>
      </c>
      <c r="EI152" s="435" t="str">
        <f t="shared" si="1565"/>
        <v/>
      </c>
      <c r="EJ152" s="435" t="str">
        <f t="shared" si="1566"/>
        <v/>
      </c>
      <c r="EK152" s="485"/>
      <c r="EL152" s="485"/>
      <c r="EM152" s="485"/>
      <c r="EN152" s="485"/>
      <c r="EO152" s="448"/>
      <c r="EP152" s="448"/>
      <c r="EQ152" s="448"/>
      <c r="ER152" s="448"/>
      <c r="ES152" s="448"/>
      <c r="ET152" s="435"/>
      <c r="EU152" s="435"/>
      <c r="EV152" s="435"/>
      <c r="EW152" s="435"/>
      <c r="EX152" s="426"/>
      <c r="EY152" s="426"/>
      <c r="EZ152" s="426"/>
      <c r="FA152" s="863"/>
      <c r="FB152" s="427">
        <f t="array" ref="FB152">IF(SUM((FA152=$FA$3:FA151)*1)=0,FA152,0)</f>
        <v>0</v>
      </c>
      <c r="FC152" s="863"/>
      <c r="FD152" s="863"/>
      <c r="FE152" s="863">
        <f t="array" ref="FE152">IF(SUM((FD152=$FD$3:FD151)*1)=0,FD152,0)</f>
        <v>0</v>
      </c>
      <c r="FF152" s="863"/>
      <c r="FG152" s="863"/>
      <c r="FH152" s="863"/>
      <c r="FI152" s="427">
        <f t="array" ref="FI152">IF(SUM((FH152=$FH$3:FH151)*1)=0,FH152,0)</f>
        <v>0</v>
      </c>
      <c r="FJ152" s="863"/>
      <c r="FK152" s="863"/>
      <c r="FL152" s="863">
        <f t="array" ref="FL152">IF(SUM((FK152=$FK$3:FK151)*1)=0,FK152,0)</f>
        <v>0</v>
      </c>
      <c r="FM152" s="863"/>
      <c r="FN152" s="863"/>
      <c r="FO152" s="863"/>
      <c r="FP152" s="427">
        <f t="array" ref="FP152">IF(SUM((FO152=$FO$3:FO151)*1)=0,FO152,0)</f>
        <v>0</v>
      </c>
      <c r="FQ152" s="863"/>
      <c r="FR152" s="863"/>
      <c r="FS152" s="863">
        <f t="array" ref="FS152">IF(SUM((FR152=$FR$3:FR151)*1)=0,FR152,0)</f>
        <v>0</v>
      </c>
      <c r="FT152" s="863"/>
      <c r="FU152" s="863"/>
      <c r="FV152" s="863"/>
      <c r="FW152" s="427">
        <f t="array" ref="FW152">IF(SUM((FV152=$FV$3:FV151)*1)=0,FV152,0)</f>
        <v>0</v>
      </c>
      <c r="FX152" s="863"/>
      <c r="FY152" s="863"/>
      <c r="FZ152" s="863">
        <f t="array" ref="FZ152">IF(SUM((FY152=$FY$3:FY151)*1)=0,FY152,0)</f>
        <v>0</v>
      </c>
      <c r="GA152" s="863"/>
      <c r="GB152" s="863"/>
      <c r="GC152" s="863"/>
      <c r="GD152" s="427">
        <f t="array" ref="GD152">IF(SUM((GC152=$GC$3:GC151)*1)=0,GC152,0)</f>
        <v>0</v>
      </c>
      <c r="GE152" s="863"/>
      <c r="GF152" s="863"/>
      <c r="GG152" s="863">
        <f t="array" ref="GG152">IF(SUM((GF152=$GF$3:GF151)*1)=0,GF152,0)</f>
        <v>0</v>
      </c>
      <c r="GH152" s="863"/>
      <c r="GI152" s="863"/>
      <c r="GJ152" s="863"/>
      <c r="GK152" s="798">
        <f t="array" ref="GK152">IF(SUM((GJ152=$GJ$3:GJ151)*1)=0,GJ152,0)</f>
        <v>0</v>
      </c>
      <c r="GL152" s="863"/>
      <c r="GM152" s="863"/>
      <c r="GN152" s="798">
        <f t="array" ref="GN152">IF(SUM((GM152=$GM$3:GM151)*1)=0,GM152,0)</f>
        <v>0</v>
      </c>
      <c r="GO152" s="863"/>
      <c r="GP152" s="863"/>
      <c r="GQ152" s="863"/>
      <c r="GR152" s="798">
        <f t="array" ref="GR152">IF(SUM((GQ152=$GQ$3:GQ151)*1)=0,GQ152,0)</f>
        <v>0</v>
      </c>
      <c r="GS152" s="863"/>
      <c r="GT152" s="863"/>
      <c r="GU152" s="798">
        <f t="array" ref="GU152">IF(SUM((GT152=$GT$3:GT151)*1)=0,GT152,0)</f>
        <v>0</v>
      </c>
      <c r="GV152" s="863"/>
      <c r="GW152" s="863"/>
      <c r="GX152" s="863"/>
      <c r="GY152" s="798">
        <f t="array" ref="GY152">IF(SUM((GX152=$GX$3:GX151)*1)=0,GX152,0)</f>
        <v>0</v>
      </c>
      <c r="GZ152" s="863"/>
      <c r="HA152" s="863"/>
      <c r="HB152" s="798">
        <f t="array" ref="HB152">IF(SUM((HA152=$HA$3:HA151)*1)=0,HA152,0)</f>
        <v>0</v>
      </c>
      <c r="HC152" s="863"/>
      <c r="HD152" s="863"/>
      <c r="HE152" s="769" t="str">
        <f t="shared" si="1667"/>
        <v/>
      </c>
      <c r="HF152" s="768" t="str">
        <f t="shared" ref="HF152" si="1842">IF(HE152&lt;0,"Invadiu REP-BA-C","")</f>
        <v/>
      </c>
      <c r="HG152" s="769" t="str">
        <f t="shared" si="1669"/>
        <v/>
      </c>
      <c r="HH152" s="768" t="str">
        <f t="shared" si="1593"/>
        <v/>
      </c>
      <c r="HI152" s="728" t="str">
        <f t="shared" si="1670"/>
        <v/>
      </c>
      <c r="HJ152" s="768" t="str">
        <f t="shared" si="1594"/>
        <v/>
      </c>
      <c r="HK152" s="728" t="str">
        <f t="shared" si="1671"/>
        <v/>
      </c>
      <c r="HL152" s="768" t="str">
        <f t="shared" si="1595"/>
        <v/>
      </c>
      <c r="HM152" s="769" t="str">
        <f t="shared" si="1596"/>
        <v/>
      </c>
      <c r="HN152" s="768" t="str">
        <f t="shared" ref="HN152" si="1843">IF(HM152&lt;0,"Invadiu REP-BA-C","")</f>
        <v/>
      </c>
      <c r="HO152" s="769" t="str">
        <f t="shared" si="1598"/>
        <v/>
      </c>
      <c r="HP152" s="768" t="str">
        <f t="shared" si="1599"/>
        <v/>
      </c>
      <c r="HQ152" s="728" t="str">
        <f t="shared" si="1600"/>
        <v/>
      </c>
      <c r="HR152" s="768" t="str">
        <f t="shared" si="1601"/>
        <v/>
      </c>
      <c r="HS152" s="728" t="str">
        <f t="shared" si="1602"/>
        <v/>
      </c>
      <c r="HT152" s="768" t="str">
        <f t="shared" si="1603"/>
        <v/>
      </c>
      <c r="HU152" s="769" t="str">
        <f t="shared" si="1604"/>
        <v/>
      </c>
      <c r="HV152" s="768" t="str">
        <f t="shared" ref="HV152" si="1844">IF(HU152&lt;0,"Invadiu REP-BA-C","")</f>
        <v/>
      </c>
      <c r="HW152" s="769" t="str">
        <f t="shared" si="1606"/>
        <v/>
      </c>
      <c r="HX152" s="768" t="str">
        <f t="shared" si="1607"/>
        <v/>
      </c>
      <c r="HY152" s="728" t="str">
        <f t="shared" si="1608"/>
        <v/>
      </c>
      <c r="HZ152" s="768" t="str">
        <f t="shared" si="1609"/>
        <v/>
      </c>
      <c r="IA152" s="728" t="str">
        <f t="shared" si="1610"/>
        <v/>
      </c>
      <c r="IB152" s="768" t="str">
        <f t="shared" si="1611"/>
        <v/>
      </c>
      <c r="IC152" s="769" t="str">
        <f t="shared" si="1612"/>
        <v/>
      </c>
      <c r="ID152" s="768" t="str">
        <f t="shared" ref="ID152" si="1845">IF(IC152&lt;0,"Invadiu REP-BA-C","")</f>
        <v/>
      </c>
      <c r="IE152" s="769" t="str">
        <f t="shared" si="1614"/>
        <v/>
      </c>
      <c r="IF152" s="768" t="str">
        <f t="shared" si="1615"/>
        <v/>
      </c>
      <c r="IG152" s="728" t="str">
        <f t="shared" si="1616"/>
        <v/>
      </c>
      <c r="IH152" s="768" t="str">
        <f t="shared" si="1617"/>
        <v/>
      </c>
      <c r="II152" s="728" t="str">
        <f t="shared" si="1618"/>
        <v/>
      </c>
      <c r="IJ152" s="768" t="str">
        <f t="shared" si="1619"/>
        <v/>
      </c>
      <c r="IK152" s="769" t="str">
        <f t="shared" si="1620"/>
        <v/>
      </c>
      <c r="IL152" s="768" t="str">
        <f t="shared" ref="IL152" si="1846">IF(IK152&lt;0,"Invadiu REP-BA-C","")</f>
        <v/>
      </c>
      <c r="IM152" s="769" t="str">
        <f t="shared" si="1622"/>
        <v/>
      </c>
      <c r="IN152" s="768" t="str">
        <f t="shared" si="1623"/>
        <v/>
      </c>
      <c r="IO152" s="728" t="str">
        <f t="shared" si="1624"/>
        <v/>
      </c>
      <c r="IP152" s="768" t="str">
        <f t="shared" si="1625"/>
        <v/>
      </c>
      <c r="IQ152" s="728" t="str">
        <f t="shared" si="1626"/>
        <v/>
      </c>
      <c r="IR152" s="768" t="str">
        <f t="shared" si="1627"/>
        <v/>
      </c>
      <c r="IS152" s="769" t="str">
        <f t="shared" si="1628"/>
        <v/>
      </c>
      <c r="IT152" s="768" t="str">
        <f t="shared" ref="IT152" si="1847">IF(IS152&lt;0,"Invadiu REP-BA-C","")</f>
        <v/>
      </c>
      <c r="IU152" s="769" t="str">
        <f t="shared" si="1630"/>
        <v/>
      </c>
      <c r="IV152" s="768" t="str">
        <f t="shared" si="1631"/>
        <v/>
      </c>
      <c r="IW152" s="728" t="str">
        <f t="shared" si="1632"/>
        <v/>
      </c>
      <c r="IX152" s="768" t="str">
        <f t="shared" si="1633"/>
        <v/>
      </c>
      <c r="IY152" s="728" t="str">
        <f t="shared" si="1634"/>
        <v/>
      </c>
      <c r="IZ152" s="768" t="str">
        <f t="shared" si="1635"/>
        <v/>
      </c>
      <c r="JA152" s="769" t="str">
        <f t="shared" si="1636"/>
        <v/>
      </c>
      <c r="JB152" s="768" t="str">
        <f t="shared" ref="JB152" si="1848">IF(JA152&lt;0,"Invadiu REP-BA-C","")</f>
        <v/>
      </c>
      <c r="JC152" s="769" t="str">
        <f t="shared" si="1638"/>
        <v/>
      </c>
      <c r="JD152" s="768" t="str">
        <f t="shared" si="1639"/>
        <v/>
      </c>
      <c r="JE152" s="728" t="str">
        <f t="shared" si="1640"/>
        <v/>
      </c>
      <c r="JF152" s="768" t="str">
        <f t="shared" si="1641"/>
        <v/>
      </c>
      <c r="JG152" s="728" t="str">
        <f t="shared" si="1642"/>
        <v/>
      </c>
      <c r="JH152" s="768" t="str">
        <f t="shared" si="1643"/>
        <v/>
      </c>
      <c r="JI152" s="769" t="str">
        <f t="shared" si="1644"/>
        <v/>
      </c>
      <c r="JJ152" s="768" t="str">
        <f t="shared" ref="JJ152" si="1849">IF(JI152&lt;0,"Invadiu REP-BA-C","")</f>
        <v/>
      </c>
      <c r="JK152" s="769" t="str">
        <f t="shared" si="1646"/>
        <v/>
      </c>
      <c r="JL152" s="768" t="str">
        <f t="shared" si="1647"/>
        <v/>
      </c>
      <c r="JM152" s="728" t="str">
        <f t="shared" si="1648"/>
        <v/>
      </c>
      <c r="JN152" s="768" t="str">
        <f t="shared" si="1649"/>
        <v/>
      </c>
      <c r="JO152" s="728" t="str">
        <f t="shared" si="1650"/>
        <v/>
      </c>
      <c r="JP152" s="768" t="str">
        <f t="shared" si="1651"/>
        <v/>
      </c>
      <c r="JQ152" s="769" t="str">
        <f t="shared" si="1652"/>
        <v/>
      </c>
      <c r="JR152" s="768" t="str">
        <f t="shared" ref="JR152" si="1850">IF(JQ152&lt;0,"Invadiu REP-BA-C","")</f>
        <v/>
      </c>
      <c r="JS152" s="769" t="str">
        <f t="shared" si="1654"/>
        <v/>
      </c>
      <c r="JT152" s="768" t="str">
        <f t="shared" si="1655"/>
        <v/>
      </c>
      <c r="JU152" s="728" t="str">
        <f t="shared" si="1656"/>
        <v/>
      </c>
      <c r="JV152" s="768" t="str">
        <f t="shared" si="1657"/>
        <v/>
      </c>
      <c r="JW152" s="728" t="str">
        <f t="shared" si="1658"/>
        <v/>
      </c>
      <c r="JX152" s="768" t="str">
        <f t="shared" si="1659"/>
        <v/>
      </c>
      <c r="JY152" s="768" t="str">
        <f t="shared" si="1660"/>
        <v/>
      </c>
      <c r="JZ152" s="485" t="str">
        <f>IF(JY152="","",IF(AND(C152=$C$164,JY152&lt;&gt;""),Verificarcpf(D152),IF(AND(C152=$C$165,JY152&lt;&gt;""),VerificarCNPJ(D152))))</f>
        <v/>
      </c>
      <c r="KA152" s="768" t="str">
        <f t="shared" si="1661"/>
        <v/>
      </c>
      <c r="KB152" s="485">
        <f t="shared" si="1662"/>
        <v>0</v>
      </c>
      <c r="KC152" s="768">
        <f t="shared" si="1663"/>
        <v>0</v>
      </c>
      <c r="KD152" s="485">
        <f t="shared" si="1664"/>
        <v>0</v>
      </c>
      <c r="KE152" s="448"/>
      <c r="KF152" s="548"/>
      <c r="KG152" s="548"/>
      <c r="KH152" s="548"/>
      <c r="KI152" s="548"/>
      <c r="KJ152" s="548" t="str">
        <f t="shared" si="1665"/>
        <v/>
      </c>
      <c r="KK152" s="548"/>
      <c r="KL152" s="548"/>
      <c r="KM152" s="548">
        <f t="array" ref="KM152">IF(SUM((KL152=$KL$3:KL151)*1)=0,KL152,0)</f>
        <v>0</v>
      </c>
      <c r="KN152" s="548"/>
      <c r="KO152" s="548"/>
      <c r="KP152" s="548"/>
      <c r="KQ152" s="548"/>
      <c r="KR152" s="548" t="str">
        <f t="shared" si="1666"/>
        <v/>
      </c>
      <c r="KS152" s="548"/>
      <c r="KT152" s="548"/>
      <c r="KU152" s="548"/>
      <c r="KV152" s="548"/>
      <c r="KW152" s="548"/>
      <c r="KX152" s="548"/>
      <c r="KY152" s="548"/>
      <c r="KZ152" s="548"/>
      <c r="LA152" s="548"/>
      <c r="LB152" s="548"/>
      <c r="LC152" s="485" t="str">
        <f t="shared" si="1680"/>
        <v/>
      </c>
      <c r="LD152" s="548"/>
      <c r="LE152" s="548"/>
      <c r="LF152" s="548"/>
      <c r="LG152" s="548"/>
      <c r="LH152" s="548"/>
      <c r="LI152" s="548"/>
      <c r="LJ152" s="548"/>
      <c r="LK152" s="548"/>
      <c r="LL152" s="548"/>
      <c r="LM152" s="548"/>
      <c r="LN152" s="548"/>
      <c r="LO152" s="548"/>
      <c r="LP152" s="485" t="str">
        <f t="shared" si="1681"/>
        <v/>
      </c>
      <c r="LQ152" s="548"/>
      <c r="LR152" s="548"/>
      <c r="LS152" s="548"/>
      <c r="LT152" s="548"/>
      <c r="LU152" s="548"/>
      <c r="LV152" s="548"/>
      <c r="LW152" s="548"/>
      <c r="LX152" s="548"/>
      <c r="LY152" s="548"/>
      <c r="LZ152" s="548"/>
      <c r="MA152" s="548"/>
      <c r="MB152" s="548"/>
      <c r="MC152" s="485" t="str">
        <f t="shared" si="1682"/>
        <v/>
      </c>
      <c r="MD152" s="548"/>
      <c r="ME152" s="548"/>
      <c r="MF152" s="548"/>
      <c r="MG152" s="548"/>
      <c r="MH152" s="548"/>
      <c r="MI152" s="548"/>
      <c r="MJ152" s="548"/>
      <c r="MK152" s="548"/>
      <c r="ML152" s="548"/>
      <c r="MM152" s="548"/>
      <c r="MN152" s="548"/>
      <c r="MO152" s="548"/>
      <c r="MP152" s="485" t="str">
        <f t="shared" si="1683"/>
        <v/>
      </c>
      <c r="MQ152" s="548"/>
      <c r="MR152" s="548"/>
      <c r="MS152" s="548"/>
      <c r="MT152" s="548"/>
      <c r="MU152" s="548"/>
      <c r="MV152" s="548"/>
      <c r="MW152" s="548"/>
      <c r="MX152" s="548"/>
      <c r="MY152" s="548"/>
      <c r="MZ152" s="548"/>
      <c r="NA152" s="548"/>
      <c r="NB152" s="548"/>
      <c r="NC152" s="485" t="str">
        <f t="shared" si="1684"/>
        <v/>
      </c>
      <c r="ND152" s="548"/>
      <c r="NE152" s="548"/>
      <c r="NF152" s="548"/>
      <c r="NG152" s="548"/>
      <c r="NH152" s="548"/>
      <c r="NI152" s="548"/>
      <c r="NJ152" s="548"/>
      <c r="NK152" s="548"/>
      <c r="NL152" s="548"/>
      <c r="NM152" s="548"/>
      <c r="NN152" s="548"/>
      <c r="NO152" s="548"/>
      <c r="NP152" s="485" t="str">
        <f t="shared" si="1685"/>
        <v/>
      </c>
      <c r="NQ152" s="548"/>
      <c r="NR152" s="548"/>
      <c r="NS152" s="548"/>
      <c r="NT152" s="548"/>
      <c r="NU152" s="548"/>
      <c r="NV152" s="548"/>
      <c r="NW152" s="548"/>
      <c r="NX152" s="548"/>
      <c r="NY152" s="548"/>
      <c r="NZ152" s="548"/>
      <c r="OA152" s="548"/>
      <c r="OB152" s="548"/>
      <c r="OC152" s="485" t="str">
        <f t="shared" si="1686"/>
        <v/>
      </c>
      <c r="OD152" s="548"/>
      <c r="OE152" s="548"/>
      <c r="OF152" s="548"/>
      <c r="OG152" s="548"/>
      <c r="OH152" s="548"/>
      <c r="OI152" s="548"/>
      <c r="OJ152" s="548"/>
      <c r="OK152" s="548"/>
      <c r="OL152" s="548"/>
      <c r="OM152" s="548"/>
      <c r="ON152" s="548"/>
      <c r="OO152" s="548"/>
      <c r="OP152" s="548"/>
      <c r="OQ152" s="548"/>
      <c r="OR152" s="548"/>
      <c r="OS152" s="548"/>
      <c r="OT152" s="548"/>
      <c r="OU152" s="548"/>
      <c r="OV152" s="548"/>
      <c r="OW152" s="548"/>
      <c r="OX152" s="548"/>
      <c r="OY152" s="548"/>
      <c r="OZ152" s="548"/>
      <c r="PA152" s="548"/>
      <c r="PB152" s="548"/>
      <c r="PC152" s="548"/>
      <c r="PD152" s="548"/>
      <c r="PE152" s="548"/>
      <c r="PF152" s="548"/>
      <c r="PG152" s="548"/>
      <c r="PH152" s="548"/>
      <c r="PI152" s="548"/>
      <c r="PJ152" s="548"/>
      <c r="PK152" s="548"/>
      <c r="PL152" s="548"/>
      <c r="PM152" s="548"/>
      <c r="PN152" s="548"/>
      <c r="PO152" s="548"/>
      <c r="PP152" s="548"/>
      <c r="PQ152" s="548"/>
      <c r="PR152" s="548"/>
      <c r="PS152" s="548"/>
      <c r="PT152" s="548"/>
      <c r="PU152" s="548"/>
      <c r="PV152" s="548"/>
      <c r="PW152" s="548"/>
      <c r="PX152" s="548"/>
      <c r="PY152" s="548"/>
      <c r="PZ152" s="548"/>
      <c r="QA152" s="548"/>
      <c r="QB152" s="548"/>
      <c r="QC152" s="548"/>
      <c r="QD152" s="548"/>
      <c r="QE152" s="548"/>
      <c r="QF152" s="548"/>
      <c r="QG152" s="548"/>
      <c r="QH152" s="548"/>
      <c r="QI152" s="548"/>
      <c r="QJ152" s="548"/>
      <c r="QK152" s="548"/>
      <c r="QL152" s="548"/>
      <c r="QM152" s="548"/>
      <c r="QN152" s="548"/>
      <c r="QO152" s="548"/>
      <c r="QP152" s="548"/>
      <c r="QQ152" s="1009"/>
      <c r="QR152" s="548"/>
      <c r="QS152" s="548"/>
      <c r="QT152" s="548"/>
      <c r="QU152" s="548"/>
      <c r="QV152" s="548"/>
      <c r="QW152" s="548"/>
      <c r="QX152" s="548"/>
      <c r="QY152" s="548"/>
      <c r="QZ152" s="548"/>
      <c r="RA152" s="548"/>
      <c r="RB152" s="548"/>
      <c r="RC152" s="548"/>
      <c r="RD152" s="548"/>
      <c r="RE152" s="548"/>
      <c r="RF152" s="548"/>
      <c r="RG152" s="548"/>
      <c r="RH152" s="548"/>
      <c r="RI152" s="548"/>
      <c r="RJ152" s="548"/>
      <c r="RK152" s="548"/>
      <c r="RL152" s="548"/>
      <c r="RM152" s="548"/>
      <c r="RN152" s="548"/>
      <c r="RO152" s="548"/>
      <c r="RP152" s="548"/>
      <c r="RQ152" s="548"/>
      <c r="RR152" s="548"/>
      <c r="RS152" s="548"/>
      <c r="RT152" s="548"/>
      <c r="RU152" s="548"/>
      <c r="RV152" s="548"/>
      <c r="RW152" s="548"/>
      <c r="RX152" s="548"/>
      <c r="RY152" s="548"/>
      <c r="RZ152" s="548"/>
      <c r="SA152" s="548"/>
      <c r="SB152" s="548"/>
      <c r="SC152" s="548"/>
      <c r="SD152" s="548"/>
      <c r="SE152" s="548"/>
      <c r="SF152" s="548"/>
      <c r="SG152" s="548"/>
      <c r="SH152" s="548"/>
      <c r="SI152" s="548"/>
      <c r="SJ152" s="548"/>
      <c r="SK152" s="548"/>
      <c r="SL152" s="548"/>
      <c r="SM152" s="548"/>
      <c r="SN152" s="548"/>
      <c r="SO152" s="548"/>
      <c r="SP152" s="548"/>
      <c r="SQ152" s="548"/>
      <c r="SR152" s="548"/>
      <c r="SS152" s="548"/>
      <c r="ST152" s="548"/>
      <c r="SU152" s="548"/>
      <c r="SV152" s="548"/>
      <c r="SW152" s="548"/>
      <c r="SX152" s="548"/>
      <c r="SY152" s="548"/>
      <c r="SZ152" s="548"/>
      <c r="TA152" s="548"/>
      <c r="TB152" s="548"/>
      <c r="TC152" s="548"/>
      <c r="TD152" s="548"/>
      <c r="TE152" s="548"/>
      <c r="TF152" s="548"/>
      <c r="TG152" s="548"/>
      <c r="TH152" s="548"/>
      <c r="TI152" s="548"/>
      <c r="TJ152" s="548"/>
      <c r="TK152" s="548"/>
      <c r="TL152" s="548"/>
      <c r="TM152" s="548"/>
      <c r="TN152" s="548"/>
      <c r="TO152" s="548"/>
      <c r="TP152" s="548"/>
      <c r="TQ152" s="548"/>
      <c r="TR152" s="548"/>
      <c r="TS152" s="548"/>
      <c r="TT152" s="548"/>
      <c r="TU152" s="548"/>
      <c r="TV152" s="548"/>
      <c r="TW152" s="548"/>
      <c r="TX152" s="548"/>
      <c r="TY152" s="548"/>
      <c r="TZ152" s="548"/>
      <c r="UA152" s="548"/>
      <c r="UB152" s="548"/>
      <c r="UC152" s="548"/>
      <c r="UD152" s="548"/>
      <c r="UE152" s="548"/>
      <c r="UF152" s="548"/>
      <c r="UG152" s="548"/>
      <c r="UH152" s="548"/>
      <c r="UI152" s="548"/>
      <c r="UJ152" s="548"/>
      <c r="UK152" s="548"/>
      <c r="UL152" s="548"/>
      <c r="UM152" s="548"/>
      <c r="UN152" s="548"/>
      <c r="UO152" s="548"/>
      <c r="UP152" s="548"/>
      <c r="UQ152" s="548"/>
      <c r="UR152" s="548"/>
      <c r="US152" s="548"/>
      <c r="UT152" s="548"/>
      <c r="UU152" s="548"/>
      <c r="UV152" s="548"/>
      <c r="UW152" s="548"/>
      <c r="UX152" s="548"/>
      <c r="UY152" s="548"/>
      <c r="UZ152" s="548"/>
      <c r="VA152" s="548"/>
      <c r="VB152" s="548"/>
      <c r="VC152" s="548"/>
      <c r="VD152" s="548"/>
      <c r="VE152" s="548"/>
      <c r="VF152" s="548"/>
      <c r="VG152" s="548"/>
      <c r="VH152" s="548"/>
      <c r="VI152" s="548"/>
      <c r="VJ152" s="548"/>
      <c r="VK152" s="548"/>
      <c r="VL152" s="548"/>
      <c r="VM152" s="548"/>
      <c r="VN152" s="548"/>
      <c r="VO152" s="548"/>
      <c r="VP152" s="548"/>
      <c r="VQ152" s="548"/>
      <c r="VR152" s="548"/>
      <c r="VS152" s="548"/>
      <c r="VT152" s="548"/>
      <c r="VU152" s="548"/>
      <c r="VV152" s="548"/>
      <c r="VW152" s="548"/>
      <c r="VX152" s="548"/>
      <c r="VY152" s="548"/>
      <c r="VZ152" s="548"/>
      <c r="WA152" s="548"/>
      <c r="WB152" s="548"/>
      <c r="WC152" s="548"/>
      <c r="WD152" s="548"/>
      <c r="WE152" s="548"/>
      <c r="WF152" s="548"/>
      <c r="WG152" s="548"/>
      <c r="WH152" s="548"/>
      <c r="WI152" s="548"/>
      <c r="WJ152" s="548"/>
      <c r="WK152" s="548"/>
      <c r="WL152" s="548"/>
      <c r="WM152" s="548"/>
      <c r="WN152" s="548"/>
      <c r="WO152" s="548"/>
      <c r="WP152" s="548"/>
      <c r="WQ152" s="548"/>
      <c r="WR152" s="548"/>
      <c r="WS152" s="548"/>
      <c r="WT152" s="548"/>
      <c r="WU152" s="548"/>
      <c r="WV152" s="548"/>
      <c r="WW152" s="548"/>
      <c r="WX152" s="548"/>
      <c r="WY152" s="548"/>
      <c r="WZ152" s="548"/>
      <c r="XA152" s="548"/>
      <c r="XB152" s="548"/>
      <c r="XC152" s="548"/>
      <c r="XD152" s="548"/>
      <c r="XE152" s="548"/>
      <c r="XF152" s="548"/>
      <c r="XG152" s="548"/>
      <c r="XH152" s="548"/>
      <c r="XI152" s="548"/>
      <c r="XJ152" s="548"/>
      <c r="XK152" s="548"/>
      <c r="XL152" s="548"/>
      <c r="XM152" s="548"/>
      <c r="XN152" s="548"/>
      <c r="XO152" s="548"/>
      <c r="XP152" s="548"/>
      <c r="XQ152" s="548"/>
      <c r="XR152" s="548"/>
      <c r="XS152" s="548"/>
      <c r="XT152" s="548"/>
      <c r="XU152" s="548"/>
      <c r="XV152" s="548"/>
      <c r="XW152" s="548"/>
      <c r="XX152" s="548"/>
      <c r="XY152" s="548"/>
      <c r="XZ152" s="548"/>
      <c r="YA152" s="548"/>
      <c r="YB152" s="548"/>
      <c r="YC152" s="548"/>
      <c r="YD152" s="548"/>
      <c r="YE152" s="548"/>
      <c r="YF152" s="548"/>
      <c r="YG152" s="548"/>
      <c r="YH152" s="548"/>
      <c r="YI152" s="548"/>
      <c r="YJ152" s="548"/>
      <c r="YK152" s="548"/>
      <c r="YL152" s="548"/>
      <c r="YM152" s="548"/>
      <c r="YN152" s="548"/>
      <c r="YO152" s="548"/>
      <c r="YP152" s="548"/>
      <c r="YQ152" s="548"/>
      <c r="YR152" s="548"/>
      <c r="YS152" s="548"/>
      <c r="YT152" s="548"/>
      <c r="YU152" s="548"/>
      <c r="YV152" s="548"/>
      <c r="YW152" s="548"/>
      <c r="YX152" s="548"/>
      <c r="YY152" s="548"/>
      <c r="YZ152" s="548"/>
      <c r="ZA152" s="548"/>
      <c r="ZB152" s="548"/>
      <c r="ZC152" s="548"/>
      <c r="ZD152" s="548"/>
      <c r="ZE152" s="548"/>
      <c r="ZF152" s="548"/>
      <c r="ZG152" s="548"/>
      <c r="ZH152" s="548"/>
      <c r="ZI152" s="548"/>
      <c r="ZJ152" s="548"/>
      <c r="ZK152" s="548"/>
      <c r="ZL152" s="548"/>
      <c r="ZM152" s="548"/>
      <c r="ZN152" s="548"/>
      <c r="ZO152" s="548"/>
      <c r="ZP152" s="548"/>
      <c r="ZQ152" s="548"/>
      <c r="ZR152" s="548"/>
      <c r="ZS152" s="548"/>
      <c r="ZT152" s="548"/>
      <c r="ZU152" s="548"/>
      <c r="ZV152" s="548"/>
      <c r="ZW152" s="548"/>
      <c r="ZX152" s="548"/>
      <c r="ZY152" s="548"/>
      <c r="ZZ152" s="548"/>
      <c r="AAA152" s="548"/>
      <c r="AAB152" s="548"/>
      <c r="AAC152" s="548"/>
      <c r="AAD152" s="548"/>
      <c r="AAE152" s="548"/>
      <c r="AAF152" s="548"/>
      <c r="AAG152" s="548"/>
      <c r="AAH152" s="548"/>
      <c r="AAI152" s="548"/>
      <c r="AAJ152" s="548"/>
      <c r="AAK152" s="548"/>
      <c r="AAL152" s="548"/>
      <c r="AAM152" s="548"/>
      <c r="AAN152" s="548"/>
      <c r="AAO152" s="548"/>
      <c r="AAP152" s="548"/>
      <c r="AAQ152" s="548"/>
      <c r="AAR152" s="548"/>
      <c r="AAS152" s="548"/>
      <c r="AAT152" s="548"/>
      <c r="AAU152" s="548"/>
      <c r="AAV152" s="548"/>
      <c r="AAW152" s="548"/>
      <c r="AAX152" s="548"/>
      <c r="AAY152" s="548"/>
      <c r="AAZ152" s="548"/>
      <c r="ABA152" s="548"/>
      <c r="ABB152" s="548"/>
      <c r="ABC152" s="548"/>
      <c r="ABD152" s="548"/>
      <c r="ABE152" s="548"/>
      <c r="ABF152" s="548"/>
      <c r="ABG152" s="548"/>
      <c r="ABH152" s="548"/>
      <c r="ABI152" s="548"/>
      <c r="ABJ152" s="548"/>
      <c r="ABK152" s="548"/>
      <c r="ABL152" s="548"/>
      <c r="ABM152" s="548"/>
      <c r="ABN152" s="548"/>
      <c r="ABO152" s="548"/>
      <c r="ABP152" s="548"/>
      <c r="ABQ152" s="548"/>
      <c r="ABR152" s="548"/>
      <c r="ABS152" s="548"/>
    </row>
    <row r="153" spans="1:747" customFormat="1" ht="15" customHeight="1" x14ac:dyDescent="0.2">
      <c r="A153" s="424" t="str">
        <f t="shared" si="1687"/>
        <v/>
      </c>
      <c r="B153" s="415"/>
      <c r="C153" s="525"/>
      <c r="D153" s="750"/>
      <c r="E153" s="416" t="str">
        <f t="shared" si="1529"/>
        <v/>
      </c>
      <c r="F153" s="527" t="str">
        <f t="shared" si="1530"/>
        <v/>
      </c>
      <c r="G153" s="417"/>
      <c r="H153" s="585" t="str">
        <f t="shared" si="1531"/>
        <v/>
      </c>
      <c r="I153" s="424"/>
      <c r="J153" s="419"/>
      <c r="K153" s="418"/>
      <c r="L153" s="419"/>
      <c r="M153" s="415"/>
      <c r="N153" s="420"/>
      <c r="O153" s="421"/>
      <c r="P153" s="561"/>
      <c r="Q153" s="422"/>
      <c r="R153" s="561" t="str">
        <f t="shared" si="1532"/>
        <v/>
      </c>
      <c r="S153" s="664"/>
      <c r="T153" s="663"/>
      <c r="U153" s="580">
        <f t="shared" si="1533"/>
        <v>0</v>
      </c>
      <c r="V153" s="418"/>
      <c r="W153" s="582" t="str">
        <f t="shared" si="1534"/>
        <v/>
      </c>
      <c r="X153" s="479" t="str">
        <f t="shared" si="1535"/>
        <v/>
      </c>
      <c r="Y153" s="582" t="str">
        <f t="shared" si="1536"/>
        <v/>
      </c>
      <c r="Z153" s="317" t="str">
        <f t="shared" si="1537"/>
        <v/>
      </c>
      <c r="AA153" s="317" t="str">
        <f t="shared" si="1538"/>
        <v/>
      </c>
      <c r="AB153" s="317">
        <f t="shared" si="1539"/>
        <v>0</v>
      </c>
      <c r="AC153" s="317" t="str">
        <f t="shared" si="1540"/>
        <v/>
      </c>
      <c r="AD153" s="479"/>
      <c r="AE153" s="479"/>
      <c r="AF153" s="479"/>
      <c r="AG153" s="423"/>
      <c r="AH153" s="820"/>
      <c r="AI153" s="437"/>
      <c r="AJ153" s="660"/>
      <c r="AK153" s="524" t="str">
        <f t="shared" si="1541"/>
        <v/>
      </c>
      <c r="AL153" s="731">
        <f t="shared" si="1832"/>
        <v>0</v>
      </c>
      <c r="AM153" s="732">
        <f t="shared" si="1832"/>
        <v>0</v>
      </c>
      <c r="AN153" s="426">
        <f t="shared" si="1542"/>
        <v>0</v>
      </c>
      <c r="AO153" s="427" t="str">
        <f t="shared" si="1543"/>
        <v/>
      </c>
      <c r="AP153" s="426" t="str">
        <f t="shared" si="1544"/>
        <v/>
      </c>
      <c r="AQ153" s="426"/>
      <c r="AR153" s="426"/>
      <c r="AS153" s="428"/>
      <c r="AT153" s="429"/>
      <c r="AU153" s="430"/>
      <c r="AV153" s="431"/>
      <c r="AW153" s="432"/>
      <c r="AX153" s="430"/>
      <c r="AY153" s="431">
        <f t="shared" si="1545"/>
        <v>0</v>
      </c>
      <c r="AZ153" s="426"/>
      <c r="BA153" s="435" t="str">
        <f t="shared" si="1546"/>
        <v/>
      </c>
      <c r="BB153" s="435"/>
      <c r="BC153" s="426"/>
      <c r="BD153" s="426">
        <f t="array" ref="BD153">IF(SUM((BC153=$BC$3:BC152)*1)=0,BC153,0)</f>
        <v>0</v>
      </c>
      <c r="BE153" s="426"/>
      <c r="BF153" s="426"/>
      <c r="BG153" s="426">
        <f t="array" ref="BG153">IF(SUM((BF153=$BF$3:BF152)*1)=0,BF153,0)</f>
        <v>0</v>
      </c>
      <c r="BH153" s="426"/>
      <c r="BI153" s="426"/>
      <c r="BJ153" s="426"/>
      <c r="BK153" s="426"/>
      <c r="BL153" s="426"/>
      <c r="BM153" s="426"/>
      <c r="BN153" s="426"/>
      <c r="BO153" s="426"/>
      <c r="BP153" s="433">
        <f t="shared" si="1547"/>
        <v>0</v>
      </c>
      <c r="BQ153" s="426"/>
      <c r="BR153" s="434"/>
      <c r="BS153" s="426"/>
      <c r="BT153" s="433"/>
      <c r="BU153" s="435"/>
      <c r="BV153" s="435" t="str">
        <f t="shared" si="1548"/>
        <v/>
      </c>
      <c r="BW153" s="435" t="str">
        <f t="shared" si="1576"/>
        <v/>
      </c>
      <c r="BX153" s="435"/>
      <c r="BY153" s="435"/>
      <c r="BZ153" s="435"/>
      <c r="CA153" s="435"/>
      <c r="CB153" s="435"/>
      <c r="CC153" s="435"/>
      <c r="CD153" s="435"/>
      <c r="CE153" s="435"/>
      <c r="CF153" s="435"/>
      <c r="CG153" s="435"/>
      <c r="CH153" s="435"/>
      <c r="CI153" s="435"/>
      <c r="CJ153" s="426" t="str">
        <f t="shared" si="1577"/>
        <v/>
      </c>
      <c r="CK153" s="435"/>
      <c r="CL153" s="426"/>
      <c r="CM153" s="435"/>
      <c r="CN153" s="426"/>
      <c r="CO153" s="426"/>
      <c r="CP153" s="426"/>
      <c r="CQ153" s="426"/>
      <c r="CR153" s="426"/>
      <c r="CS153" s="426"/>
      <c r="CT153" s="426"/>
      <c r="CU153" s="426"/>
      <c r="CV153" s="426"/>
      <c r="CW153" s="493"/>
      <c r="CX153" s="493"/>
      <c r="CY153" s="426">
        <v>150</v>
      </c>
      <c r="CZ153" s="493"/>
      <c r="DA153" s="493"/>
      <c r="DB153" s="493"/>
      <c r="DC153" s="426" t="s">
        <v>893</v>
      </c>
      <c r="DD153" s="426" t="s">
        <v>1053</v>
      </c>
      <c r="DE153" s="435" t="str">
        <f t="shared" si="1578"/>
        <v/>
      </c>
      <c r="DF153" s="435" t="str">
        <f t="shared" si="1579"/>
        <v/>
      </c>
      <c r="DG153" s="435" t="str">
        <f t="shared" si="1580"/>
        <v/>
      </c>
      <c r="DH153" s="435" t="str">
        <f t="shared" si="1581"/>
        <v/>
      </c>
      <c r="DI153" s="435" t="str">
        <f t="shared" si="1582"/>
        <v/>
      </c>
      <c r="DJ153" s="435" t="str">
        <f t="shared" si="1583"/>
        <v/>
      </c>
      <c r="DK153" s="435" t="str">
        <f t="shared" si="1549"/>
        <v/>
      </c>
      <c r="DL153" s="435" t="str">
        <f t="shared" si="1550"/>
        <v/>
      </c>
      <c r="DM153" s="435" t="str">
        <f t="shared" si="1584"/>
        <v/>
      </c>
      <c r="DN153" s="435" t="str">
        <f t="shared" si="1585"/>
        <v/>
      </c>
      <c r="DO153" s="435" t="str">
        <f t="shared" si="1551"/>
        <v/>
      </c>
      <c r="DP153" s="435" t="str">
        <f t="shared" si="1552"/>
        <v/>
      </c>
      <c r="DQ153" s="435" t="str">
        <f t="shared" si="1586"/>
        <v/>
      </c>
      <c r="DR153" s="435" t="str">
        <f t="shared" si="1587"/>
        <v/>
      </c>
      <c r="DS153" s="435" t="str">
        <f t="shared" si="1553"/>
        <v/>
      </c>
      <c r="DT153" s="435" t="str">
        <f t="shared" si="1554"/>
        <v/>
      </c>
      <c r="DU153" s="435" t="str">
        <f t="shared" si="1588"/>
        <v/>
      </c>
      <c r="DV153" s="435" t="str">
        <f t="shared" si="1589"/>
        <v/>
      </c>
      <c r="DW153" s="435" t="str">
        <f t="shared" si="1555"/>
        <v/>
      </c>
      <c r="DX153" s="435" t="str">
        <f t="shared" si="1556"/>
        <v/>
      </c>
      <c r="DY153" s="435" t="str">
        <f t="shared" si="1590"/>
        <v/>
      </c>
      <c r="DZ153" s="435" t="str">
        <f t="shared" si="1591"/>
        <v/>
      </c>
      <c r="EA153" s="435" t="str">
        <f t="shared" si="1557"/>
        <v/>
      </c>
      <c r="EB153" s="435" t="str">
        <f t="shared" si="1558"/>
        <v/>
      </c>
      <c r="EC153" s="435" t="str">
        <f t="shared" si="1559"/>
        <v/>
      </c>
      <c r="ED153" s="435" t="str">
        <f t="shared" si="1560"/>
        <v/>
      </c>
      <c r="EE153" s="435" t="str">
        <f t="shared" si="1561"/>
        <v/>
      </c>
      <c r="EF153" s="435" t="str">
        <f t="shared" si="1562"/>
        <v/>
      </c>
      <c r="EG153" s="435" t="str">
        <f t="shared" si="1563"/>
        <v/>
      </c>
      <c r="EH153" s="435" t="str">
        <f t="shared" si="1564"/>
        <v/>
      </c>
      <c r="EI153" s="435" t="str">
        <f t="shared" si="1565"/>
        <v/>
      </c>
      <c r="EJ153" s="435" t="str">
        <f t="shared" si="1566"/>
        <v/>
      </c>
      <c r="EK153" s="485"/>
      <c r="EL153" s="485"/>
      <c r="EM153" s="485"/>
      <c r="EN153" s="485"/>
      <c r="EO153" s="448"/>
      <c r="EP153" s="448"/>
      <c r="EQ153" s="448"/>
      <c r="ER153" s="448"/>
      <c r="ES153" s="448"/>
      <c r="ET153" s="435"/>
      <c r="EU153" s="435"/>
      <c r="EV153" s="435"/>
      <c r="EW153" s="435"/>
      <c r="EX153" s="426"/>
      <c r="EY153" s="426"/>
      <c r="EZ153" s="426"/>
      <c r="FA153" s="863"/>
      <c r="FB153" s="427">
        <f t="array" ref="FB153">IF(SUM((FA153=$FA$3:FA152)*1)=0,FA153,0)</f>
        <v>0</v>
      </c>
      <c r="FC153" s="863"/>
      <c r="FD153" s="863"/>
      <c r="FE153" s="863">
        <f t="array" ref="FE153">IF(SUM((FD153=$FD$3:FD152)*1)=0,FD153,0)</f>
        <v>0</v>
      </c>
      <c r="FF153" s="863"/>
      <c r="FG153" s="863"/>
      <c r="FH153" s="863"/>
      <c r="FI153" s="427">
        <f t="array" ref="FI153">IF(SUM((FH153=$FH$3:FH152)*1)=0,FH153,0)</f>
        <v>0</v>
      </c>
      <c r="FJ153" s="863"/>
      <c r="FK153" s="863"/>
      <c r="FL153" s="863">
        <f t="array" ref="FL153">IF(SUM((FK153=$FK$3:FK152)*1)=0,FK153,0)</f>
        <v>0</v>
      </c>
      <c r="FM153" s="863"/>
      <c r="FN153" s="863"/>
      <c r="FO153" s="863"/>
      <c r="FP153" s="427">
        <f t="array" ref="FP153">IF(SUM((FO153=$FO$3:FO152)*1)=0,FO153,0)</f>
        <v>0</v>
      </c>
      <c r="FQ153" s="863"/>
      <c r="FR153" s="863"/>
      <c r="FS153" s="863">
        <f t="array" ref="FS153">IF(SUM((FR153=$FR$3:FR152)*1)=0,FR153,0)</f>
        <v>0</v>
      </c>
      <c r="FT153" s="863"/>
      <c r="FU153" s="863"/>
      <c r="FV153" s="863"/>
      <c r="FW153" s="427">
        <f t="array" ref="FW153">IF(SUM((FV153=$FV$3:FV152)*1)=0,FV153,0)</f>
        <v>0</v>
      </c>
      <c r="FX153" s="863"/>
      <c r="FY153" s="863"/>
      <c r="FZ153" s="863">
        <f t="array" ref="FZ153">IF(SUM((FY153=$FY$3:FY152)*1)=0,FY153,0)</f>
        <v>0</v>
      </c>
      <c r="GA153" s="863"/>
      <c r="GB153" s="863"/>
      <c r="GC153" s="863"/>
      <c r="GD153" s="427">
        <f t="array" ref="GD153">IF(SUM((GC153=$GC$3:GC152)*1)=0,GC153,0)</f>
        <v>0</v>
      </c>
      <c r="GE153" s="863"/>
      <c r="GF153" s="863"/>
      <c r="GG153" s="863">
        <f t="array" ref="GG153">IF(SUM((GF153=$GF$3:GF152)*1)=0,GF153,0)</f>
        <v>0</v>
      </c>
      <c r="GH153" s="863"/>
      <c r="GI153" s="863"/>
      <c r="GJ153" s="863"/>
      <c r="GK153" s="798">
        <f t="array" ref="GK153">IF(SUM((GJ153=$GJ$3:GJ152)*1)=0,GJ153,0)</f>
        <v>0</v>
      </c>
      <c r="GL153" s="863"/>
      <c r="GM153" s="863"/>
      <c r="GN153" s="798">
        <f t="array" ref="GN153">IF(SUM((GM153=$GM$3:GM152)*1)=0,GM153,0)</f>
        <v>0</v>
      </c>
      <c r="GO153" s="863"/>
      <c r="GP153" s="863"/>
      <c r="GQ153" s="863"/>
      <c r="GR153" s="798">
        <f t="array" ref="GR153">IF(SUM((GQ153=$GQ$3:GQ152)*1)=0,GQ153,0)</f>
        <v>0</v>
      </c>
      <c r="GS153" s="863"/>
      <c r="GT153" s="863"/>
      <c r="GU153" s="798">
        <f t="array" ref="GU153">IF(SUM((GT153=$GT$3:GT152)*1)=0,GT153,0)</f>
        <v>0</v>
      </c>
      <c r="GV153" s="863"/>
      <c r="GW153" s="863"/>
      <c r="GX153" s="863"/>
      <c r="GY153" s="798">
        <f t="array" ref="GY153">IF(SUM((GX153=$GX$3:GX152)*1)=0,GX153,0)</f>
        <v>0</v>
      </c>
      <c r="GZ153" s="863"/>
      <c r="HA153" s="863"/>
      <c r="HB153" s="798">
        <f t="array" ref="HB153">IF(SUM((HA153=$HA$3:HA152)*1)=0,HA153,0)</f>
        <v>0</v>
      </c>
      <c r="HC153" s="863"/>
      <c r="HD153" s="863"/>
      <c r="HE153" s="769" t="str">
        <f t="shared" si="1667"/>
        <v/>
      </c>
      <c r="HF153" s="768" t="str">
        <f t="shared" ref="HF153" si="1851">IF(HE153&lt;0,"Invadiu REP-BA-C","")</f>
        <v/>
      </c>
      <c r="HG153" s="769" t="str">
        <f t="shared" si="1669"/>
        <v/>
      </c>
      <c r="HH153" s="768" t="str">
        <f t="shared" si="1593"/>
        <v/>
      </c>
      <c r="HI153" s="728" t="str">
        <f t="shared" si="1670"/>
        <v/>
      </c>
      <c r="HJ153" s="768" t="str">
        <f t="shared" si="1594"/>
        <v/>
      </c>
      <c r="HK153" s="728" t="str">
        <f t="shared" si="1671"/>
        <v/>
      </c>
      <c r="HL153" s="768" t="str">
        <f t="shared" si="1595"/>
        <v/>
      </c>
      <c r="HM153" s="769" t="str">
        <f t="shared" si="1596"/>
        <v/>
      </c>
      <c r="HN153" s="768" t="str">
        <f t="shared" ref="HN153" si="1852">IF(HM153&lt;0,"Invadiu REP-BA-C","")</f>
        <v/>
      </c>
      <c r="HO153" s="769" t="str">
        <f t="shared" si="1598"/>
        <v/>
      </c>
      <c r="HP153" s="768" t="str">
        <f t="shared" si="1599"/>
        <v/>
      </c>
      <c r="HQ153" s="728" t="str">
        <f t="shared" si="1600"/>
        <v/>
      </c>
      <c r="HR153" s="768" t="str">
        <f t="shared" si="1601"/>
        <v/>
      </c>
      <c r="HS153" s="728" t="str">
        <f t="shared" si="1602"/>
        <v/>
      </c>
      <c r="HT153" s="768" t="str">
        <f t="shared" si="1603"/>
        <v/>
      </c>
      <c r="HU153" s="769" t="str">
        <f t="shared" si="1604"/>
        <v/>
      </c>
      <c r="HV153" s="768" t="str">
        <f t="shared" ref="HV153" si="1853">IF(HU153&lt;0,"Invadiu REP-BA-C","")</f>
        <v/>
      </c>
      <c r="HW153" s="769" t="str">
        <f t="shared" si="1606"/>
        <v/>
      </c>
      <c r="HX153" s="768" t="str">
        <f t="shared" si="1607"/>
        <v/>
      </c>
      <c r="HY153" s="728" t="str">
        <f t="shared" si="1608"/>
        <v/>
      </c>
      <c r="HZ153" s="768" t="str">
        <f t="shared" si="1609"/>
        <v/>
      </c>
      <c r="IA153" s="728" t="str">
        <f t="shared" si="1610"/>
        <v/>
      </c>
      <c r="IB153" s="768" t="str">
        <f t="shared" si="1611"/>
        <v/>
      </c>
      <c r="IC153" s="769" t="str">
        <f t="shared" si="1612"/>
        <v/>
      </c>
      <c r="ID153" s="768" t="str">
        <f t="shared" ref="ID153" si="1854">IF(IC153&lt;0,"Invadiu REP-BA-C","")</f>
        <v/>
      </c>
      <c r="IE153" s="769" t="str">
        <f t="shared" si="1614"/>
        <v/>
      </c>
      <c r="IF153" s="768" t="str">
        <f t="shared" si="1615"/>
        <v/>
      </c>
      <c r="IG153" s="728" t="str">
        <f t="shared" si="1616"/>
        <v/>
      </c>
      <c r="IH153" s="768" t="str">
        <f t="shared" si="1617"/>
        <v/>
      </c>
      <c r="II153" s="728" t="str">
        <f t="shared" si="1618"/>
        <v/>
      </c>
      <c r="IJ153" s="768" t="str">
        <f t="shared" si="1619"/>
        <v/>
      </c>
      <c r="IK153" s="769" t="str">
        <f t="shared" si="1620"/>
        <v/>
      </c>
      <c r="IL153" s="768" t="str">
        <f t="shared" ref="IL153" si="1855">IF(IK153&lt;0,"Invadiu REP-BA-C","")</f>
        <v/>
      </c>
      <c r="IM153" s="769" t="str">
        <f t="shared" si="1622"/>
        <v/>
      </c>
      <c r="IN153" s="768" t="str">
        <f t="shared" si="1623"/>
        <v/>
      </c>
      <c r="IO153" s="728" t="str">
        <f t="shared" si="1624"/>
        <v/>
      </c>
      <c r="IP153" s="768" t="str">
        <f t="shared" si="1625"/>
        <v/>
      </c>
      <c r="IQ153" s="728" t="str">
        <f t="shared" si="1626"/>
        <v/>
      </c>
      <c r="IR153" s="768" t="str">
        <f t="shared" si="1627"/>
        <v/>
      </c>
      <c r="IS153" s="769" t="str">
        <f t="shared" si="1628"/>
        <v/>
      </c>
      <c r="IT153" s="768" t="str">
        <f t="shared" ref="IT153" si="1856">IF(IS153&lt;0,"Invadiu REP-BA-C","")</f>
        <v/>
      </c>
      <c r="IU153" s="769" t="str">
        <f t="shared" si="1630"/>
        <v/>
      </c>
      <c r="IV153" s="768" t="str">
        <f t="shared" si="1631"/>
        <v/>
      </c>
      <c r="IW153" s="728" t="str">
        <f t="shared" si="1632"/>
        <v/>
      </c>
      <c r="IX153" s="768" t="str">
        <f t="shared" si="1633"/>
        <v/>
      </c>
      <c r="IY153" s="728" t="str">
        <f t="shared" si="1634"/>
        <v/>
      </c>
      <c r="IZ153" s="768" t="str">
        <f t="shared" si="1635"/>
        <v/>
      </c>
      <c r="JA153" s="769" t="str">
        <f t="shared" si="1636"/>
        <v/>
      </c>
      <c r="JB153" s="768" t="str">
        <f t="shared" ref="JB153" si="1857">IF(JA153&lt;0,"Invadiu REP-BA-C","")</f>
        <v/>
      </c>
      <c r="JC153" s="769" t="str">
        <f t="shared" si="1638"/>
        <v/>
      </c>
      <c r="JD153" s="768" t="str">
        <f t="shared" si="1639"/>
        <v/>
      </c>
      <c r="JE153" s="728" t="str">
        <f t="shared" si="1640"/>
        <v/>
      </c>
      <c r="JF153" s="768" t="str">
        <f t="shared" si="1641"/>
        <v/>
      </c>
      <c r="JG153" s="728" t="str">
        <f t="shared" si="1642"/>
        <v/>
      </c>
      <c r="JH153" s="768" t="str">
        <f t="shared" si="1643"/>
        <v/>
      </c>
      <c r="JI153" s="769" t="str">
        <f t="shared" si="1644"/>
        <v/>
      </c>
      <c r="JJ153" s="768" t="str">
        <f t="shared" ref="JJ153" si="1858">IF(JI153&lt;0,"Invadiu REP-BA-C","")</f>
        <v/>
      </c>
      <c r="JK153" s="769" t="str">
        <f t="shared" si="1646"/>
        <v/>
      </c>
      <c r="JL153" s="768" t="str">
        <f t="shared" si="1647"/>
        <v/>
      </c>
      <c r="JM153" s="728" t="str">
        <f t="shared" si="1648"/>
        <v/>
      </c>
      <c r="JN153" s="768" t="str">
        <f t="shared" si="1649"/>
        <v/>
      </c>
      <c r="JO153" s="728" t="str">
        <f t="shared" si="1650"/>
        <v/>
      </c>
      <c r="JP153" s="768" t="str">
        <f t="shared" si="1651"/>
        <v/>
      </c>
      <c r="JQ153" s="769" t="str">
        <f t="shared" si="1652"/>
        <v/>
      </c>
      <c r="JR153" s="768" t="str">
        <f t="shared" ref="JR153" si="1859">IF(JQ153&lt;0,"Invadiu REP-BA-C","")</f>
        <v/>
      </c>
      <c r="JS153" s="769" t="str">
        <f t="shared" si="1654"/>
        <v/>
      </c>
      <c r="JT153" s="768" t="str">
        <f t="shared" si="1655"/>
        <v/>
      </c>
      <c r="JU153" s="728" t="str">
        <f t="shared" si="1656"/>
        <v/>
      </c>
      <c r="JV153" s="768" t="str">
        <f t="shared" si="1657"/>
        <v/>
      </c>
      <c r="JW153" s="728" t="str">
        <f t="shared" si="1658"/>
        <v/>
      </c>
      <c r="JX153" s="768" t="str">
        <f t="shared" si="1659"/>
        <v/>
      </c>
      <c r="JY153" s="768" t="str">
        <f t="shared" si="1660"/>
        <v/>
      </c>
      <c r="JZ153" s="485" t="str">
        <f>IF(JY153="","",IF(AND(C153=$C$164,JY153&lt;&gt;""),Verificarcpf(D153),IF(AND(C153=$C$165,JY153&lt;&gt;""),VerificarCNPJ(D153))))</f>
        <v/>
      </c>
      <c r="KA153" s="768" t="str">
        <f t="shared" si="1661"/>
        <v/>
      </c>
      <c r="KB153" s="485">
        <f t="shared" si="1662"/>
        <v>0</v>
      </c>
      <c r="KC153" s="768">
        <f t="shared" si="1663"/>
        <v>0</v>
      </c>
      <c r="KD153" s="485">
        <f t="shared" si="1664"/>
        <v>0</v>
      </c>
      <c r="KE153" s="448"/>
      <c r="KF153" s="548"/>
      <c r="KG153" s="548"/>
      <c r="KH153" s="548"/>
      <c r="KI153" s="548"/>
      <c r="KJ153" s="548" t="str">
        <f t="shared" si="1665"/>
        <v/>
      </c>
      <c r="KK153" s="548"/>
      <c r="KL153" s="548"/>
      <c r="KM153" s="548">
        <f t="array" ref="KM153">IF(SUM((KL153=$KL$3:KL152)*1)=0,KL153,0)</f>
        <v>0</v>
      </c>
      <c r="KN153" s="548"/>
      <c r="KO153" s="548"/>
      <c r="KP153" s="548"/>
      <c r="KQ153" s="548"/>
      <c r="KR153" s="548" t="str">
        <f t="shared" si="1666"/>
        <v/>
      </c>
      <c r="KS153" s="548"/>
      <c r="KT153" s="548"/>
      <c r="KU153" s="548"/>
      <c r="KV153" s="548"/>
      <c r="KW153" s="548"/>
      <c r="KX153" s="548"/>
      <c r="KY153" s="548"/>
      <c r="KZ153" s="548"/>
      <c r="LA153" s="548"/>
      <c r="LB153" s="548"/>
      <c r="LC153" s="485" t="str">
        <f t="shared" si="1680"/>
        <v/>
      </c>
      <c r="LD153" s="548"/>
      <c r="LE153" s="548"/>
      <c r="LF153" s="548"/>
      <c r="LG153" s="548"/>
      <c r="LH153" s="548"/>
      <c r="LI153" s="548"/>
      <c r="LJ153" s="548"/>
      <c r="LK153" s="548"/>
      <c r="LL153" s="548"/>
      <c r="LM153" s="548"/>
      <c r="LN153" s="548"/>
      <c r="LO153" s="548"/>
      <c r="LP153" s="485" t="str">
        <f t="shared" si="1681"/>
        <v/>
      </c>
      <c r="LQ153" s="548"/>
      <c r="LR153" s="548"/>
      <c r="LS153" s="548"/>
      <c r="LT153" s="548"/>
      <c r="LU153" s="548"/>
      <c r="LV153" s="548"/>
      <c r="LW153" s="548"/>
      <c r="LX153" s="548"/>
      <c r="LY153" s="548"/>
      <c r="LZ153" s="548"/>
      <c r="MA153" s="548"/>
      <c r="MB153" s="548"/>
      <c r="MC153" s="485" t="str">
        <f t="shared" si="1682"/>
        <v/>
      </c>
      <c r="MD153" s="548"/>
      <c r="ME153" s="548"/>
      <c r="MF153" s="548"/>
      <c r="MG153" s="548"/>
      <c r="MH153" s="548"/>
      <c r="MI153" s="548"/>
      <c r="MJ153" s="548"/>
      <c r="MK153" s="548"/>
      <c r="ML153" s="548"/>
      <c r="MM153" s="548"/>
      <c r="MN153" s="548"/>
      <c r="MO153" s="548"/>
      <c r="MP153" s="485" t="str">
        <f t="shared" si="1683"/>
        <v/>
      </c>
      <c r="MQ153" s="548"/>
      <c r="MR153" s="548"/>
      <c r="MS153" s="548"/>
      <c r="MT153" s="548"/>
      <c r="MU153" s="548"/>
      <c r="MV153" s="548"/>
      <c r="MW153" s="548"/>
      <c r="MX153" s="548"/>
      <c r="MY153" s="548"/>
      <c r="MZ153" s="548"/>
      <c r="NA153" s="548"/>
      <c r="NB153" s="548"/>
      <c r="NC153" s="485" t="str">
        <f t="shared" si="1684"/>
        <v/>
      </c>
      <c r="ND153" s="548"/>
      <c r="NE153" s="548"/>
      <c r="NF153" s="548"/>
      <c r="NG153" s="548"/>
      <c r="NH153" s="548"/>
      <c r="NI153" s="548"/>
      <c r="NJ153" s="548"/>
      <c r="NK153" s="548"/>
      <c r="NL153" s="548"/>
      <c r="NM153" s="548"/>
      <c r="NN153" s="548"/>
      <c r="NO153" s="548"/>
      <c r="NP153" s="485" t="str">
        <f t="shared" si="1685"/>
        <v/>
      </c>
      <c r="NQ153" s="548"/>
      <c r="NR153" s="548"/>
      <c r="NS153" s="548"/>
      <c r="NT153" s="548"/>
      <c r="NU153" s="548"/>
      <c r="NV153" s="548"/>
      <c r="NW153" s="548"/>
      <c r="NX153" s="548"/>
      <c r="NY153" s="548"/>
      <c r="NZ153" s="548"/>
      <c r="OA153" s="548"/>
      <c r="OB153" s="548"/>
      <c r="OC153" s="485" t="str">
        <f t="shared" si="1686"/>
        <v/>
      </c>
      <c r="OD153" s="548"/>
      <c r="OE153" s="548"/>
      <c r="OF153" s="548"/>
      <c r="OG153" s="548"/>
      <c r="OH153" s="548"/>
      <c r="OI153" s="548"/>
      <c r="OJ153" s="548"/>
      <c r="OK153" s="548"/>
      <c r="OL153" s="548"/>
      <c r="OM153" s="548"/>
      <c r="ON153" s="548"/>
      <c r="OO153" s="548"/>
      <c r="OP153" s="548"/>
      <c r="OQ153" s="548"/>
      <c r="OR153" s="548"/>
      <c r="OS153" s="548"/>
      <c r="OT153" s="548"/>
      <c r="OU153" s="548"/>
      <c r="OV153" s="548"/>
      <c r="OW153" s="548"/>
      <c r="OX153" s="548"/>
      <c r="OY153" s="548"/>
      <c r="OZ153" s="548"/>
      <c r="PA153" s="548"/>
      <c r="PB153" s="548"/>
      <c r="PC153" s="548"/>
      <c r="PD153" s="548"/>
      <c r="PE153" s="548"/>
      <c r="PF153" s="548"/>
      <c r="PG153" s="548"/>
      <c r="PH153" s="548"/>
      <c r="PI153" s="548"/>
      <c r="PJ153" s="548"/>
      <c r="PK153" s="548"/>
      <c r="PL153" s="548"/>
      <c r="PM153" s="548"/>
      <c r="PN153" s="548"/>
      <c r="PO153" s="548"/>
      <c r="PP153" s="548"/>
      <c r="PQ153" s="548"/>
      <c r="PR153" s="548"/>
      <c r="PS153" s="548"/>
      <c r="PT153" s="548"/>
      <c r="PU153" s="548"/>
      <c r="PV153" s="548"/>
      <c r="PW153" s="548"/>
      <c r="PX153" s="548"/>
      <c r="PY153" s="548"/>
      <c r="PZ153" s="548"/>
      <c r="QA153" s="548"/>
      <c r="QB153" s="548"/>
      <c r="QC153" s="548"/>
      <c r="QD153" s="548"/>
      <c r="QE153" s="548"/>
      <c r="QF153" s="548"/>
      <c r="QG153" s="548"/>
      <c r="QH153" s="548"/>
      <c r="QI153" s="548"/>
      <c r="QJ153" s="548"/>
      <c r="QK153" s="548"/>
      <c r="QL153" s="548"/>
      <c r="QM153" s="548"/>
      <c r="QN153" s="548"/>
      <c r="QO153" s="548"/>
      <c r="QP153" s="548"/>
      <c r="QQ153" s="1009"/>
      <c r="QR153" s="548"/>
      <c r="QS153" s="548"/>
      <c r="QT153" s="548"/>
      <c r="QU153" s="548"/>
      <c r="QV153" s="548"/>
      <c r="QW153" s="548"/>
      <c r="QX153" s="548"/>
      <c r="QY153" s="548"/>
      <c r="QZ153" s="548"/>
      <c r="RA153" s="548"/>
      <c r="RB153" s="548"/>
      <c r="RC153" s="548"/>
      <c r="RD153" s="548"/>
      <c r="RE153" s="548"/>
      <c r="RF153" s="548"/>
      <c r="RG153" s="548"/>
      <c r="RH153" s="548"/>
      <c r="RI153" s="548"/>
      <c r="RJ153" s="548"/>
      <c r="RK153" s="548"/>
      <c r="RL153" s="548"/>
      <c r="RM153" s="548"/>
      <c r="RN153" s="548"/>
      <c r="RO153" s="548"/>
      <c r="RP153" s="548"/>
      <c r="RQ153" s="548"/>
      <c r="RR153" s="548"/>
      <c r="RS153" s="548"/>
      <c r="RT153" s="548"/>
      <c r="RU153" s="548"/>
      <c r="RV153" s="548"/>
      <c r="RW153" s="548"/>
      <c r="RX153" s="548"/>
      <c r="RY153" s="548"/>
      <c r="RZ153" s="548"/>
      <c r="SA153" s="548"/>
      <c r="SB153" s="548"/>
      <c r="SC153" s="548"/>
      <c r="SD153" s="548"/>
      <c r="SE153" s="548"/>
      <c r="SF153" s="548"/>
      <c r="SG153" s="548"/>
      <c r="SH153" s="548"/>
      <c r="SI153" s="548"/>
      <c r="SJ153" s="548"/>
      <c r="SK153" s="548"/>
      <c r="SL153" s="548"/>
      <c r="SM153" s="548"/>
      <c r="SN153" s="548"/>
      <c r="SO153" s="548"/>
      <c r="SP153" s="548"/>
      <c r="SQ153" s="548"/>
      <c r="SR153" s="548"/>
      <c r="SS153" s="548"/>
      <c r="ST153" s="548"/>
      <c r="SU153" s="548"/>
      <c r="SV153" s="548"/>
      <c r="SW153" s="548"/>
      <c r="SX153" s="548"/>
      <c r="SY153" s="548"/>
      <c r="SZ153" s="548"/>
      <c r="TA153" s="548"/>
      <c r="TB153" s="548"/>
      <c r="TC153" s="548"/>
      <c r="TD153" s="548"/>
      <c r="TE153" s="548"/>
      <c r="TF153" s="548"/>
      <c r="TG153" s="548"/>
      <c r="TH153" s="548"/>
      <c r="TI153" s="548"/>
      <c r="TJ153" s="548"/>
      <c r="TK153" s="548"/>
      <c r="TL153" s="548"/>
      <c r="TM153" s="548"/>
      <c r="TN153" s="548"/>
      <c r="TO153" s="548"/>
      <c r="TP153" s="548"/>
      <c r="TQ153" s="548"/>
      <c r="TR153" s="548"/>
      <c r="TS153" s="548"/>
      <c r="TT153" s="548"/>
      <c r="TU153" s="548"/>
      <c r="TV153" s="548"/>
      <c r="TW153" s="548"/>
      <c r="TX153" s="548"/>
      <c r="TY153" s="548"/>
      <c r="TZ153" s="548"/>
      <c r="UA153" s="548"/>
      <c r="UB153" s="548"/>
      <c r="UC153" s="548"/>
      <c r="UD153" s="548"/>
      <c r="UE153" s="548"/>
      <c r="UF153" s="548"/>
      <c r="UG153" s="548"/>
      <c r="UH153" s="548"/>
      <c r="UI153" s="548"/>
      <c r="UJ153" s="548"/>
      <c r="UK153" s="548"/>
      <c r="UL153" s="548"/>
      <c r="UM153" s="548"/>
      <c r="UN153" s="548"/>
      <c r="UO153" s="548"/>
      <c r="UP153" s="548"/>
      <c r="UQ153" s="548"/>
      <c r="UR153" s="548"/>
      <c r="US153" s="548"/>
      <c r="UT153" s="548"/>
      <c r="UU153" s="548"/>
      <c r="UV153" s="548"/>
      <c r="UW153" s="548"/>
      <c r="UX153" s="548"/>
      <c r="UY153" s="548"/>
      <c r="UZ153" s="548"/>
      <c r="VA153" s="548"/>
      <c r="VB153" s="548"/>
      <c r="VC153" s="548"/>
      <c r="VD153" s="548"/>
      <c r="VE153" s="548"/>
      <c r="VF153" s="548"/>
      <c r="VG153" s="548"/>
      <c r="VH153" s="548"/>
      <c r="VI153" s="548"/>
      <c r="VJ153" s="548"/>
      <c r="VK153" s="548"/>
      <c r="VL153" s="548"/>
      <c r="VM153" s="548"/>
      <c r="VN153" s="548"/>
      <c r="VO153" s="548"/>
      <c r="VP153" s="548"/>
      <c r="VQ153" s="548"/>
      <c r="VR153" s="548"/>
      <c r="VS153" s="548"/>
      <c r="VT153" s="548"/>
      <c r="VU153" s="548"/>
      <c r="VV153" s="548"/>
      <c r="VW153" s="548"/>
      <c r="VX153" s="548"/>
      <c r="VY153" s="548"/>
      <c r="VZ153" s="548"/>
      <c r="WA153" s="548"/>
      <c r="WB153" s="548"/>
      <c r="WC153" s="548"/>
      <c r="WD153" s="548"/>
      <c r="WE153" s="548"/>
      <c r="WF153" s="548"/>
      <c r="WG153" s="548"/>
      <c r="WH153" s="548"/>
      <c r="WI153" s="548"/>
      <c r="WJ153" s="548"/>
      <c r="WK153" s="548"/>
      <c r="WL153" s="548"/>
      <c r="WM153" s="548"/>
      <c r="WN153" s="548"/>
      <c r="WO153" s="548"/>
      <c r="WP153" s="548"/>
      <c r="WQ153" s="548"/>
      <c r="WR153" s="548"/>
      <c r="WS153" s="548"/>
      <c r="WT153" s="548"/>
      <c r="WU153" s="548"/>
      <c r="WV153" s="548"/>
      <c r="WW153" s="548"/>
      <c r="WX153" s="548"/>
      <c r="WY153" s="548"/>
      <c r="WZ153" s="548"/>
      <c r="XA153" s="548"/>
      <c r="XB153" s="548"/>
      <c r="XC153" s="548"/>
      <c r="XD153" s="548"/>
      <c r="XE153" s="548"/>
      <c r="XF153" s="548"/>
      <c r="XG153" s="548"/>
      <c r="XH153" s="548"/>
      <c r="XI153" s="548"/>
      <c r="XJ153" s="548"/>
      <c r="XK153" s="548"/>
      <c r="XL153" s="548"/>
      <c r="XM153" s="548"/>
      <c r="XN153" s="548"/>
      <c r="XO153" s="548"/>
      <c r="XP153" s="548"/>
      <c r="XQ153" s="548"/>
      <c r="XR153" s="548"/>
      <c r="XS153" s="548"/>
      <c r="XT153" s="548"/>
      <c r="XU153" s="548"/>
      <c r="XV153" s="548"/>
      <c r="XW153" s="548"/>
      <c r="XX153" s="548"/>
      <c r="XY153" s="548"/>
      <c r="XZ153" s="548"/>
      <c r="YA153" s="548"/>
      <c r="YB153" s="548"/>
      <c r="YC153" s="548"/>
      <c r="YD153" s="548"/>
      <c r="YE153" s="548"/>
      <c r="YF153" s="548"/>
      <c r="YG153" s="548"/>
      <c r="YH153" s="548"/>
      <c r="YI153" s="548"/>
      <c r="YJ153" s="548"/>
      <c r="YK153" s="548"/>
      <c r="YL153" s="548"/>
      <c r="YM153" s="548"/>
      <c r="YN153" s="548"/>
      <c r="YO153" s="548"/>
      <c r="YP153" s="548"/>
      <c r="YQ153" s="548"/>
      <c r="YR153" s="548"/>
      <c r="YS153" s="548"/>
      <c r="YT153" s="548"/>
      <c r="YU153" s="548"/>
      <c r="YV153" s="548"/>
      <c r="YW153" s="548"/>
      <c r="YX153" s="548"/>
      <c r="YY153" s="548"/>
      <c r="YZ153" s="548"/>
      <c r="ZA153" s="548"/>
      <c r="ZB153" s="548"/>
      <c r="ZC153" s="548"/>
      <c r="ZD153" s="548"/>
      <c r="ZE153" s="548"/>
      <c r="ZF153" s="548"/>
      <c r="ZG153" s="548"/>
      <c r="ZH153" s="548"/>
      <c r="ZI153" s="548"/>
      <c r="ZJ153" s="548"/>
      <c r="ZK153" s="548"/>
      <c r="ZL153" s="548"/>
      <c r="ZM153" s="548"/>
      <c r="ZN153" s="548"/>
      <c r="ZO153" s="548"/>
      <c r="ZP153" s="548"/>
      <c r="ZQ153" s="548"/>
      <c r="ZR153" s="548"/>
      <c r="ZS153" s="548"/>
      <c r="ZT153" s="548"/>
      <c r="ZU153" s="548"/>
      <c r="ZV153" s="548"/>
      <c r="ZW153" s="548"/>
      <c r="ZX153" s="548"/>
      <c r="ZY153" s="548"/>
      <c r="ZZ153" s="548"/>
      <c r="AAA153" s="548"/>
      <c r="AAB153" s="548"/>
      <c r="AAC153" s="548"/>
      <c r="AAD153" s="548"/>
      <c r="AAE153" s="548"/>
      <c r="AAF153" s="548"/>
      <c r="AAG153" s="548"/>
      <c r="AAH153" s="548"/>
      <c r="AAI153" s="548"/>
      <c r="AAJ153" s="548"/>
      <c r="AAK153" s="548"/>
      <c r="AAL153" s="548"/>
      <c r="AAM153" s="548"/>
      <c r="AAN153" s="548"/>
      <c r="AAO153" s="548"/>
      <c r="AAP153" s="548"/>
      <c r="AAQ153" s="548"/>
      <c r="AAR153" s="548"/>
      <c r="AAS153" s="548"/>
      <c r="AAT153" s="548"/>
      <c r="AAU153" s="548"/>
      <c r="AAV153" s="548"/>
      <c r="AAW153" s="548"/>
      <c r="AAX153" s="548"/>
      <c r="AAY153" s="548"/>
      <c r="AAZ153" s="548"/>
      <c r="ABA153" s="548"/>
      <c r="ABB153" s="548"/>
      <c r="ABC153" s="548"/>
      <c r="ABD153" s="548"/>
      <c r="ABE153" s="548"/>
      <c r="ABF153" s="548"/>
      <c r="ABG153" s="548"/>
      <c r="ABH153" s="548"/>
      <c r="ABI153" s="548"/>
      <c r="ABJ153" s="548"/>
      <c r="ABK153" s="548"/>
      <c r="ABL153" s="548"/>
      <c r="ABM153" s="548"/>
      <c r="ABN153" s="548"/>
      <c r="ABO153" s="548"/>
      <c r="ABP153" s="548"/>
      <c r="ABQ153" s="548"/>
      <c r="ABR153" s="548"/>
      <c r="ABS153" s="548"/>
    </row>
    <row r="154" spans="1:747" customFormat="1" ht="15" customHeight="1" x14ac:dyDescent="0.2">
      <c r="A154" s="424" t="str">
        <f t="shared" si="1687"/>
        <v/>
      </c>
      <c r="B154" s="415"/>
      <c r="C154" s="525"/>
      <c r="D154" s="750"/>
      <c r="E154" s="416" t="str">
        <f t="shared" si="1529"/>
        <v/>
      </c>
      <c r="F154" s="527" t="str">
        <f t="shared" si="1530"/>
        <v/>
      </c>
      <c r="G154" s="417"/>
      <c r="H154" s="585" t="str">
        <f t="shared" si="1531"/>
        <v/>
      </c>
      <c r="I154" s="424"/>
      <c r="J154" s="419"/>
      <c r="K154" s="418"/>
      <c r="L154" s="419"/>
      <c r="M154" s="415"/>
      <c r="N154" s="420"/>
      <c r="O154" s="421"/>
      <c r="P154" s="561"/>
      <c r="Q154" s="422"/>
      <c r="R154" s="561" t="str">
        <f t="shared" si="1532"/>
        <v/>
      </c>
      <c r="S154" s="664"/>
      <c r="T154" s="663"/>
      <c r="U154" s="580">
        <f t="shared" si="1533"/>
        <v>0</v>
      </c>
      <c r="V154" s="418"/>
      <c r="W154" s="582" t="str">
        <f t="shared" si="1534"/>
        <v/>
      </c>
      <c r="X154" s="479" t="str">
        <f t="shared" si="1535"/>
        <v/>
      </c>
      <c r="Y154" s="582" t="str">
        <f t="shared" si="1536"/>
        <v/>
      </c>
      <c r="Z154" s="317" t="str">
        <f t="shared" si="1537"/>
        <v/>
      </c>
      <c r="AA154" s="317" t="str">
        <f t="shared" si="1538"/>
        <v/>
      </c>
      <c r="AB154" s="317">
        <f t="shared" si="1539"/>
        <v>0</v>
      </c>
      <c r="AC154" s="317" t="str">
        <f t="shared" si="1540"/>
        <v/>
      </c>
      <c r="AD154" s="479"/>
      <c r="AE154" s="479"/>
      <c r="AF154" s="479"/>
      <c r="AG154" s="423"/>
      <c r="AH154" s="820"/>
      <c r="AI154" s="437"/>
      <c r="AJ154" s="660"/>
      <c r="AK154" s="524" t="str">
        <f t="shared" si="1541"/>
        <v/>
      </c>
      <c r="AL154" s="731">
        <f t="shared" si="1832"/>
        <v>0</v>
      </c>
      <c r="AM154" s="732">
        <f t="shared" si="1832"/>
        <v>0</v>
      </c>
      <c r="AN154" s="426">
        <f t="shared" si="1542"/>
        <v>0</v>
      </c>
      <c r="AO154" s="427" t="str">
        <f t="shared" si="1543"/>
        <v/>
      </c>
      <c r="AP154" s="426" t="str">
        <f t="shared" si="1544"/>
        <v/>
      </c>
      <c r="AQ154" s="426"/>
      <c r="AR154" s="426"/>
      <c r="AS154" s="428"/>
      <c r="AT154" s="429"/>
      <c r="AU154" s="430"/>
      <c r="AV154" s="431"/>
      <c r="AW154" s="432"/>
      <c r="AX154" s="430"/>
      <c r="AY154" s="431">
        <f t="shared" si="1545"/>
        <v>0</v>
      </c>
      <c r="AZ154" s="426"/>
      <c r="BA154" s="435" t="str">
        <f t="shared" si="1546"/>
        <v/>
      </c>
      <c r="BB154" s="435"/>
      <c r="BC154" s="426"/>
      <c r="BD154" s="426">
        <f t="array" ref="BD154">IF(SUM((BC154=$BC$3:BC153)*1)=0,BC154,0)</f>
        <v>0</v>
      </c>
      <c r="BE154" s="426"/>
      <c r="BF154" s="426"/>
      <c r="BG154" s="426">
        <f t="array" ref="BG154">IF(SUM((BF154=$BF$3:BF153)*1)=0,BF154,0)</f>
        <v>0</v>
      </c>
      <c r="BH154" s="426"/>
      <c r="BI154" s="426"/>
      <c r="BJ154" s="426"/>
      <c r="BK154" s="426"/>
      <c r="BL154" s="426"/>
      <c r="BM154" s="426"/>
      <c r="BN154" s="426"/>
      <c r="BO154" s="426"/>
      <c r="BP154" s="433">
        <f t="shared" si="1547"/>
        <v>0</v>
      </c>
      <c r="BQ154" s="426"/>
      <c r="BR154" s="434"/>
      <c r="BS154" s="426"/>
      <c r="BT154" s="433"/>
      <c r="BU154" s="435"/>
      <c r="BV154" s="435" t="str">
        <f t="shared" si="1548"/>
        <v/>
      </c>
      <c r="BW154" s="435" t="str">
        <f t="shared" si="1576"/>
        <v/>
      </c>
      <c r="BX154" s="435"/>
      <c r="BY154" s="435"/>
      <c r="BZ154" s="435"/>
      <c r="CA154" s="435"/>
      <c r="CB154" s="435"/>
      <c r="CC154" s="435"/>
      <c r="CD154" s="435"/>
      <c r="CE154" s="435"/>
      <c r="CF154" s="435"/>
      <c r="CG154" s="435"/>
      <c r="CH154" s="435"/>
      <c r="CI154" s="435"/>
      <c r="CJ154" s="426" t="str">
        <f t="shared" si="1577"/>
        <v/>
      </c>
      <c r="CK154" s="435"/>
      <c r="CL154" s="426"/>
      <c r="CM154" s="435"/>
      <c r="CN154" s="426"/>
      <c r="CO154" s="426"/>
      <c r="CP154" s="426"/>
      <c r="CQ154" s="426"/>
      <c r="CR154" s="426"/>
      <c r="CS154" s="426"/>
      <c r="CT154" s="426"/>
      <c r="CU154" s="426"/>
      <c r="CV154" s="426"/>
      <c r="CW154" s="493"/>
      <c r="CX154" s="493"/>
      <c r="CY154" s="426">
        <v>151</v>
      </c>
      <c r="CZ154" s="493"/>
      <c r="DA154" s="493"/>
      <c r="DB154" s="493"/>
      <c r="DC154" s="426" t="s">
        <v>894</v>
      </c>
      <c r="DD154" s="426" t="s">
        <v>1054</v>
      </c>
      <c r="DE154" s="435" t="str">
        <f t="shared" si="1578"/>
        <v/>
      </c>
      <c r="DF154" s="435" t="str">
        <f t="shared" si="1579"/>
        <v/>
      </c>
      <c r="DG154" s="435" t="str">
        <f t="shared" si="1580"/>
        <v/>
      </c>
      <c r="DH154" s="435" t="str">
        <f t="shared" si="1581"/>
        <v/>
      </c>
      <c r="DI154" s="435" t="str">
        <f t="shared" si="1582"/>
        <v/>
      </c>
      <c r="DJ154" s="435" t="str">
        <f t="shared" si="1583"/>
        <v/>
      </c>
      <c r="DK154" s="435" t="str">
        <f t="shared" si="1549"/>
        <v/>
      </c>
      <c r="DL154" s="435" t="str">
        <f t="shared" si="1550"/>
        <v/>
      </c>
      <c r="DM154" s="435" t="str">
        <f t="shared" si="1584"/>
        <v/>
      </c>
      <c r="DN154" s="435" t="str">
        <f t="shared" si="1585"/>
        <v/>
      </c>
      <c r="DO154" s="435" t="str">
        <f t="shared" si="1551"/>
        <v/>
      </c>
      <c r="DP154" s="435" t="str">
        <f t="shared" si="1552"/>
        <v/>
      </c>
      <c r="DQ154" s="435" t="str">
        <f t="shared" si="1586"/>
        <v/>
      </c>
      <c r="DR154" s="435" t="str">
        <f t="shared" si="1587"/>
        <v/>
      </c>
      <c r="DS154" s="435" t="str">
        <f t="shared" si="1553"/>
        <v/>
      </c>
      <c r="DT154" s="435" t="str">
        <f t="shared" si="1554"/>
        <v/>
      </c>
      <c r="DU154" s="435" t="str">
        <f t="shared" si="1588"/>
        <v/>
      </c>
      <c r="DV154" s="435" t="str">
        <f t="shared" si="1589"/>
        <v/>
      </c>
      <c r="DW154" s="435" t="str">
        <f t="shared" si="1555"/>
        <v/>
      </c>
      <c r="DX154" s="435" t="str">
        <f t="shared" si="1556"/>
        <v/>
      </c>
      <c r="DY154" s="435" t="str">
        <f t="shared" si="1590"/>
        <v/>
      </c>
      <c r="DZ154" s="435" t="str">
        <f t="shared" si="1591"/>
        <v/>
      </c>
      <c r="EA154" s="435" t="str">
        <f t="shared" si="1557"/>
        <v/>
      </c>
      <c r="EB154" s="435" t="str">
        <f t="shared" si="1558"/>
        <v/>
      </c>
      <c r="EC154" s="435" t="str">
        <f t="shared" si="1559"/>
        <v/>
      </c>
      <c r="ED154" s="435" t="str">
        <f t="shared" si="1560"/>
        <v/>
      </c>
      <c r="EE154" s="435" t="str">
        <f t="shared" si="1561"/>
        <v/>
      </c>
      <c r="EF154" s="435" t="str">
        <f t="shared" si="1562"/>
        <v/>
      </c>
      <c r="EG154" s="435" t="str">
        <f t="shared" si="1563"/>
        <v/>
      </c>
      <c r="EH154" s="435" t="str">
        <f t="shared" si="1564"/>
        <v/>
      </c>
      <c r="EI154" s="435" t="str">
        <f t="shared" si="1565"/>
        <v/>
      </c>
      <c r="EJ154" s="435" t="str">
        <f t="shared" si="1566"/>
        <v/>
      </c>
      <c r="EK154" s="485"/>
      <c r="EL154" s="485"/>
      <c r="EM154" s="485"/>
      <c r="EN154" s="485"/>
      <c r="EO154" s="448"/>
      <c r="EP154" s="448"/>
      <c r="EQ154" s="448"/>
      <c r="ER154" s="448"/>
      <c r="ES154" s="448"/>
      <c r="ET154" s="435"/>
      <c r="EU154" s="435"/>
      <c r="EV154" s="435"/>
      <c r="EW154" s="435"/>
      <c r="EX154" s="426"/>
      <c r="EY154" s="426"/>
      <c r="EZ154" s="426"/>
      <c r="FA154" s="863"/>
      <c r="FB154" s="427">
        <f t="array" ref="FB154">IF(SUM((FA154=$FA$3:FA153)*1)=0,FA154,0)</f>
        <v>0</v>
      </c>
      <c r="FC154" s="863"/>
      <c r="FD154" s="863"/>
      <c r="FE154" s="863">
        <f t="array" ref="FE154">IF(SUM((FD154=$FD$3:FD153)*1)=0,FD154,0)</f>
        <v>0</v>
      </c>
      <c r="FF154" s="863"/>
      <c r="FG154" s="863"/>
      <c r="FH154" s="863"/>
      <c r="FI154" s="427">
        <f t="array" ref="FI154">IF(SUM((FH154=$FH$3:FH153)*1)=0,FH154,0)</f>
        <v>0</v>
      </c>
      <c r="FJ154" s="863"/>
      <c r="FK154" s="863"/>
      <c r="FL154" s="863">
        <f t="array" ref="FL154">IF(SUM((FK154=$FK$3:FK153)*1)=0,FK154,0)</f>
        <v>0</v>
      </c>
      <c r="FM154" s="863"/>
      <c r="FN154" s="863"/>
      <c r="FO154" s="863"/>
      <c r="FP154" s="427">
        <f t="array" ref="FP154">IF(SUM((FO154=$FO$3:FO153)*1)=0,FO154,0)</f>
        <v>0</v>
      </c>
      <c r="FQ154" s="863"/>
      <c r="FR154" s="863"/>
      <c r="FS154" s="863">
        <f t="array" ref="FS154">IF(SUM((FR154=$FR$3:FR153)*1)=0,FR154,0)</f>
        <v>0</v>
      </c>
      <c r="FT154" s="863"/>
      <c r="FU154" s="863"/>
      <c r="FV154" s="863"/>
      <c r="FW154" s="427">
        <f t="array" ref="FW154">IF(SUM((FV154=$FV$3:FV153)*1)=0,FV154,0)</f>
        <v>0</v>
      </c>
      <c r="FX154" s="863"/>
      <c r="FY154" s="863"/>
      <c r="FZ154" s="863">
        <f t="array" ref="FZ154">IF(SUM((FY154=$FY$3:FY153)*1)=0,FY154,0)</f>
        <v>0</v>
      </c>
      <c r="GA154" s="863"/>
      <c r="GB154" s="863"/>
      <c r="GC154" s="863"/>
      <c r="GD154" s="427">
        <f t="array" ref="GD154">IF(SUM((GC154=$GC$3:GC153)*1)=0,GC154,0)</f>
        <v>0</v>
      </c>
      <c r="GE154" s="863"/>
      <c r="GF154" s="863"/>
      <c r="GG154" s="863">
        <f t="array" ref="GG154">IF(SUM((GF154=$GF$3:GF153)*1)=0,GF154,0)</f>
        <v>0</v>
      </c>
      <c r="GH154" s="863"/>
      <c r="GI154" s="863"/>
      <c r="GJ154" s="863"/>
      <c r="GK154" s="798">
        <f t="array" ref="GK154">IF(SUM((GJ154=$GJ$3:GJ153)*1)=0,GJ154,0)</f>
        <v>0</v>
      </c>
      <c r="GL154" s="863"/>
      <c r="GM154" s="863"/>
      <c r="GN154" s="798">
        <f t="array" ref="GN154">IF(SUM((GM154=$GM$3:GM153)*1)=0,GM154,0)</f>
        <v>0</v>
      </c>
      <c r="GO154" s="863"/>
      <c r="GP154" s="863"/>
      <c r="GQ154" s="863"/>
      <c r="GR154" s="798">
        <f t="array" ref="GR154">IF(SUM((GQ154=$GQ$3:GQ153)*1)=0,GQ154,0)</f>
        <v>0</v>
      </c>
      <c r="GS154" s="863"/>
      <c r="GT154" s="863"/>
      <c r="GU154" s="798">
        <f t="array" ref="GU154">IF(SUM((GT154=$GT$3:GT153)*1)=0,GT154,0)</f>
        <v>0</v>
      </c>
      <c r="GV154" s="863"/>
      <c r="GW154" s="863"/>
      <c r="GX154" s="863"/>
      <c r="GY154" s="798">
        <f t="array" ref="GY154">IF(SUM((GX154=$GX$3:GX153)*1)=0,GX154,0)</f>
        <v>0</v>
      </c>
      <c r="GZ154" s="863"/>
      <c r="HA154" s="863"/>
      <c r="HB154" s="798">
        <f t="array" ref="HB154">IF(SUM((HA154=$HA$3:HA153)*1)=0,HA154,0)</f>
        <v>0</v>
      </c>
      <c r="HC154" s="863"/>
      <c r="HD154" s="863"/>
      <c r="HE154" s="769" t="str">
        <f t="shared" si="1667"/>
        <v/>
      </c>
      <c r="HF154" s="768" t="str">
        <f t="shared" ref="HF154" si="1860">IF(HE154&lt;0,"Invadiu REP-BA-C","")</f>
        <v/>
      </c>
      <c r="HG154" s="769" t="str">
        <f t="shared" si="1669"/>
        <v/>
      </c>
      <c r="HH154" s="768" t="str">
        <f t="shared" si="1593"/>
        <v/>
      </c>
      <c r="HI154" s="728" t="str">
        <f t="shared" si="1670"/>
        <v/>
      </c>
      <c r="HJ154" s="768" t="str">
        <f t="shared" si="1594"/>
        <v/>
      </c>
      <c r="HK154" s="728" t="str">
        <f t="shared" si="1671"/>
        <v/>
      </c>
      <c r="HL154" s="768" t="str">
        <f t="shared" si="1595"/>
        <v/>
      </c>
      <c r="HM154" s="769" t="str">
        <f t="shared" si="1596"/>
        <v/>
      </c>
      <c r="HN154" s="768" t="str">
        <f t="shared" ref="HN154" si="1861">IF(HM154&lt;0,"Invadiu REP-BA-C","")</f>
        <v/>
      </c>
      <c r="HO154" s="769" t="str">
        <f t="shared" si="1598"/>
        <v/>
      </c>
      <c r="HP154" s="768" t="str">
        <f t="shared" si="1599"/>
        <v/>
      </c>
      <c r="HQ154" s="728" t="str">
        <f t="shared" si="1600"/>
        <v/>
      </c>
      <c r="HR154" s="768" t="str">
        <f t="shared" si="1601"/>
        <v/>
      </c>
      <c r="HS154" s="728" t="str">
        <f t="shared" si="1602"/>
        <v/>
      </c>
      <c r="HT154" s="768" t="str">
        <f t="shared" si="1603"/>
        <v/>
      </c>
      <c r="HU154" s="769" t="str">
        <f t="shared" si="1604"/>
        <v/>
      </c>
      <c r="HV154" s="768" t="str">
        <f t="shared" ref="HV154" si="1862">IF(HU154&lt;0,"Invadiu REP-BA-C","")</f>
        <v/>
      </c>
      <c r="HW154" s="769" t="str">
        <f t="shared" si="1606"/>
        <v/>
      </c>
      <c r="HX154" s="768" t="str">
        <f t="shared" si="1607"/>
        <v/>
      </c>
      <c r="HY154" s="728" t="str">
        <f t="shared" si="1608"/>
        <v/>
      </c>
      <c r="HZ154" s="768" t="str">
        <f t="shared" si="1609"/>
        <v/>
      </c>
      <c r="IA154" s="728" t="str">
        <f t="shared" si="1610"/>
        <v/>
      </c>
      <c r="IB154" s="768" t="str">
        <f t="shared" si="1611"/>
        <v/>
      </c>
      <c r="IC154" s="769" t="str">
        <f t="shared" si="1612"/>
        <v/>
      </c>
      <c r="ID154" s="768" t="str">
        <f t="shared" ref="ID154" si="1863">IF(IC154&lt;0,"Invadiu REP-BA-C","")</f>
        <v/>
      </c>
      <c r="IE154" s="769" t="str">
        <f t="shared" si="1614"/>
        <v/>
      </c>
      <c r="IF154" s="768" t="str">
        <f t="shared" si="1615"/>
        <v/>
      </c>
      <c r="IG154" s="728" t="str">
        <f t="shared" si="1616"/>
        <v/>
      </c>
      <c r="IH154" s="768" t="str">
        <f t="shared" si="1617"/>
        <v/>
      </c>
      <c r="II154" s="728" t="str">
        <f t="shared" si="1618"/>
        <v/>
      </c>
      <c r="IJ154" s="768" t="str">
        <f t="shared" si="1619"/>
        <v/>
      </c>
      <c r="IK154" s="769" t="str">
        <f t="shared" si="1620"/>
        <v/>
      </c>
      <c r="IL154" s="768" t="str">
        <f t="shared" ref="IL154" si="1864">IF(IK154&lt;0,"Invadiu REP-BA-C","")</f>
        <v/>
      </c>
      <c r="IM154" s="769" t="str">
        <f t="shared" si="1622"/>
        <v/>
      </c>
      <c r="IN154" s="768" t="str">
        <f t="shared" si="1623"/>
        <v/>
      </c>
      <c r="IO154" s="728" t="str">
        <f t="shared" si="1624"/>
        <v/>
      </c>
      <c r="IP154" s="768" t="str">
        <f t="shared" si="1625"/>
        <v/>
      </c>
      <c r="IQ154" s="728" t="str">
        <f t="shared" si="1626"/>
        <v/>
      </c>
      <c r="IR154" s="768" t="str">
        <f t="shared" si="1627"/>
        <v/>
      </c>
      <c r="IS154" s="769" t="str">
        <f t="shared" si="1628"/>
        <v/>
      </c>
      <c r="IT154" s="768" t="str">
        <f t="shared" ref="IT154" si="1865">IF(IS154&lt;0,"Invadiu REP-BA-C","")</f>
        <v/>
      </c>
      <c r="IU154" s="769" t="str">
        <f t="shared" si="1630"/>
        <v/>
      </c>
      <c r="IV154" s="768" t="str">
        <f t="shared" si="1631"/>
        <v/>
      </c>
      <c r="IW154" s="728" t="str">
        <f t="shared" si="1632"/>
        <v/>
      </c>
      <c r="IX154" s="768" t="str">
        <f t="shared" si="1633"/>
        <v/>
      </c>
      <c r="IY154" s="728" t="str">
        <f t="shared" si="1634"/>
        <v/>
      </c>
      <c r="IZ154" s="768" t="str">
        <f t="shared" si="1635"/>
        <v/>
      </c>
      <c r="JA154" s="769" t="str">
        <f t="shared" si="1636"/>
        <v/>
      </c>
      <c r="JB154" s="768" t="str">
        <f t="shared" ref="JB154" si="1866">IF(JA154&lt;0,"Invadiu REP-BA-C","")</f>
        <v/>
      </c>
      <c r="JC154" s="769" t="str">
        <f t="shared" si="1638"/>
        <v/>
      </c>
      <c r="JD154" s="768" t="str">
        <f t="shared" si="1639"/>
        <v/>
      </c>
      <c r="JE154" s="728" t="str">
        <f t="shared" si="1640"/>
        <v/>
      </c>
      <c r="JF154" s="768" t="str">
        <f t="shared" si="1641"/>
        <v/>
      </c>
      <c r="JG154" s="728" t="str">
        <f t="shared" si="1642"/>
        <v/>
      </c>
      <c r="JH154" s="768" t="str">
        <f t="shared" si="1643"/>
        <v/>
      </c>
      <c r="JI154" s="769" t="str">
        <f t="shared" si="1644"/>
        <v/>
      </c>
      <c r="JJ154" s="768" t="str">
        <f t="shared" ref="JJ154" si="1867">IF(JI154&lt;0,"Invadiu REP-BA-C","")</f>
        <v/>
      </c>
      <c r="JK154" s="769" t="str">
        <f t="shared" si="1646"/>
        <v/>
      </c>
      <c r="JL154" s="768" t="str">
        <f t="shared" si="1647"/>
        <v/>
      </c>
      <c r="JM154" s="728" t="str">
        <f t="shared" si="1648"/>
        <v/>
      </c>
      <c r="JN154" s="768" t="str">
        <f t="shared" si="1649"/>
        <v/>
      </c>
      <c r="JO154" s="728" t="str">
        <f t="shared" si="1650"/>
        <v/>
      </c>
      <c r="JP154" s="768" t="str">
        <f t="shared" si="1651"/>
        <v/>
      </c>
      <c r="JQ154" s="769" t="str">
        <f t="shared" si="1652"/>
        <v/>
      </c>
      <c r="JR154" s="768" t="str">
        <f t="shared" ref="JR154" si="1868">IF(JQ154&lt;0,"Invadiu REP-BA-C","")</f>
        <v/>
      </c>
      <c r="JS154" s="769" t="str">
        <f t="shared" si="1654"/>
        <v/>
      </c>
      <c r="JT154" s="768" t="str">
        <f t="shared" si="1655"/>
        <v/>
      </c>
      <c r="JU154" s="728" t="str">
        <f t="shared" si="1656"/>
        <v/>
      </c>
      <c r="JV154" s="768" t="str">
        <f t="shared" si="1657"/>
        <v/>
      </c>
      <c r="JW154" s="728" t="str">
        <f t="shared" si="1658"/>
        <v/>
      </c>
      <c r="JX154" s="768" t="str">
        <f t="shared" si="1659"/>
        <v/>
      </c>
      <c r="JY154" s="768" t="str">
        <f t="shared" si="1660"/>
        <v/>
      </c>
      <c r="JZ154" s="485" t="str">
        <f>IF(JY154="","",IF(AND(C154=$C$164,JY154&lt;&gt;""),Verificarcpf(D154),IF(AND(C154=$C$165,JY154&lt;&gt;""),VerificarCNPJ(D154))))</f>
        <v/>
      </c>
      <c r="KA154" s="768" t="str">
        <f t="shared" si="1661"/>
        <v/>
      </c>
      <c r="KB154" s="485">
        <f t="shared" si="1662"/>
        <v>0</v>
      </c>
      <c r="KC154" s="768">
        <f t="shared" si="1663"/>
        <v>0</v>
      </c>
      <c r="KD154" s="485">
        <f t="shared" si="1664"/>
        <v>0</v>
      </c>
      <c r="KE154" s="448"/>
      <c r="KF154" s="548"/>
      <c r="KG154" s="548"/>
      <c r="KH154" s="548"/>
      <c r="KI154" s="548"/>
      <c r="KJ154" s="548" t="str">
        <f t="shared" si="1665"/>
        <v/>
      </c>
      <c r="KK154" s="548"/>
      <c r="KL154" s="548"/>
      <c r="KM154" s="548">
        <f t="array" ref="KM154">IF(SUM((KL154=$KL$3:KL153)*1)=0,KL154,0)</f>
        <v>0</v>
      </c>
      <c r="KN154" s="548"/>
      <c r="KO154" s="548"/>
      <c r="KP154" s="548"/>
      <c r="KQ154" s="548"/>
      <c r="KR154" s="548" t="str">
        <f t="shared" si="1666"/>
        <v/>
      </c>
      <c r="KS154" s="548"/>
      <c r="KT154" s="548"/>
      <c r="KU154" s="548"/>
      <c r="KV154" s="548"/>
      <c r="KW154" s="548"/>
      <c r="KX154" s="548"/>
      <c r="KY154" s="548"/>
      <c r="KZ154" s="548"/>
      <c r="LA154" s="548"/>
      <c r="LB154" s="548"/>
      <c r="LC154" s="485" t="str">
        <f t="shared" si="1680"/>
        <v/>
      </c>
      <c r="LD154" s="548"/>
      <c r="LE154" s="548"/>
      <c r="LF154" s="548"/>
      <c r="LG154" s="548"/>
      <c r="LH154" s="548"/>
      <c r="LI154" s="548"/>
      <c r="LJ154" s="548"/>
      <c r="LK154" s="548"/>
      <c r="LL154" s="548"/>
      <c r="LM154" s="548"/>
      <c r="LN154" s="548"/>
      <c r="LO154" s="548"/>
      <c r="LP154" s="485" t="str">
        <f t="shared" si="1681"/>
        <v/>
      </c>
      <c r="LQ154" s="548"/>
      <c r="LR154" s="548"/>
      <c r="LS154" s="548"/>
      <c r="LT154" s="548"/>
      <c r="LU154" s="548"/>
      <c r="LV154" s="548"/>
      <c r="LW154" s="548"/>
      <c r="LX154" s="548"/>
      <c r="LY154" s="548"/>
      <c r="LZ154" s="548"/>
      <c r="MA154" s="548"/>
      <c r="MB154" s="548"/>
      <c r="MC154" s="485" t="str">
        <f t="shared" si="1682"/>
        <v/>
      </c>
      <c r="MD154" s="548"/>
      <c r="ME154" s="548"/>
      <c r="MF154" s="548"/>
      <c r="MG154" s="548"/>
      <c r="MH154" s="548"/>
      <c r="MI154" s="548"/>
      <c r="MJ154" s="548"/>
      <c r="MK154" s="548"/>
      <c r="ML154" s="548"/>
      <c r="MM154" s="548"/>
      <c r="MN154" s="548"/>
      <c r="MO154" s="548"/>
      <c r="MP154" s="485" t="str">
        <f t="shared" si="1683"/>
        <v/>
      </c>
      <c r="MQ154" s="548"/>
      <c r="MR154" s="548"/>
      <c r="MS154" s="548"/>
      <c r="MT154" s="548"/>
      <c r="MU154" s="548"/>
      <c r="MV154" s="548"/>
      <c r="MW154" s="548"/>
      <c r="MX154" s="548"/>
      <c r="MY154" s="548"/>
      <c r="MZ154" s="548"/>
      <c r="NA154" s="548"/>
      <c r="NB154" s="548"/>
      <c r="NC154" s="485" t="str">
        <f t="shared" si="1684"/>
        <v/>
      </c>
      <c r="ND154" s="548"/>
      <c r="NE154" s="548"/>
      <c r="NF154" s="548"/>
      <c r="NG154" s="548"/>
      <c r="NH154" s="548"/>
      <c r="NI154" s="548"/>
      <c r="NJ154" s="548"/>
      <c r="NK154" s="548"/>
      <c r="NL154" s="548"/>
      <c r="NM154" s="548"/>
      <c r="NN154" s="548"/>
      <c r="NO154" s="548"/>
      <c r="NP154" s="485" t="str">
        <f t="shared" si="1685"/>
        <v/>
      </c>
      <c r="NQ154" s="548"/>
      <c r="NR154" s="548"/>
      <c r="NS154" s="548"/>
      <c r="NT154" s="548"/>
      <c r="NU154" s="548"/>
      <c r="NV154" s="548"/>
      <c r="NW154" s="548"/>
      <c r="NX154" s="548"/>
      <c r="NY154" s="548"/>
      <c r="NZ154" s="548"/>
      <c r="OA154" s="548"/>
      <c r="OB154" s="548"/>
      <c r="OC154" s="485" t="str">
        <f t="shared" si="1686"/>
        <v/>
      </c>
      <c r="OD154" s="548"/>
      <c r="OE154" s="548"/>
      <c r="OF154" s="548"/>
      <c r="OG154" s="548"/>
      <c r="OH154" s="548"/>
      <c r="OI154" s="548"/>
      <c r="OJ154" s="548"/>
      <c r="OK154" s="548"/>
      <c r="OL154" s="548"/>
      <c r="OM154" s="548"/>
      <c r="ON154" s="548"/>
      <c r="OO154" s="548"/>
      <c r="OP154" s="548"/>
      <c r="OQ154" s="548"/>
      <c r="OR154" s="548"/>
      <c r="OS154" s="548"/>
      <c r="OT154" s="548"/>
      <c r="OU154" s="548"/>
      <c r="OV154" s="548"/>
      <c r="OW154" s="548"/>
      <c r="OX154" s="548"/>
      <c r="OY154" s="548"/>
      <c r="OZ154" s="548"/>
      <c r="PA154" s="548"/>
      <c r="PB154" s="548"/>
      <c r="PC154" s="548"/>
      <c r="PD154" s="548"/>
      <c r="PE154" s="548"/>
      <c r="PF154" s="548"/>
      <c r="PG154" s="548"/>
      <c r="PH154" s="548"/>
      <c r="PI154" s="548"/>
      <c r="PJ154" s="548"/>
      <c r="PK154" s="548"/>
      <c r="PL154" s="548"/>
      <c r="PM154" s="548"/>
      <c r="PN154" s="548"/>
      <c r="PO154" s="548"/>
      <c r="PP154" s="548"/>
      <c r="PQ154" s="548"/>
      <c r="PR154" s="548"/>
      <c r="PS154" s="548"/>
      <c r="PT154" s="548"/>
      <c r="PU154" s="548"/>
      <c r="PV154" s="548"/>
      <c r="PW154" s="548"/>
      <c r="PX154" s="548"/>
      <c r="PY154" s="548"/>
      <c r="PZ154" s="548"/>
      <c r="QA154" s="548"/>
      <c r="QB154" s="548"/>
      <c r="QC154" s="548"/>
      <c r="QD154" s="548"/>
      <c r="QE154" s="548"/>
      <c r="QF154" s="548"/>
      <c r="QG154" s="548"/>
      <c r="QH154" s="548"/>
      <c r="QI154" s="548"/>
      <c r="QJ154" s="548"/>
      <c r="QK154" s="548"/>
      <c r="QL154" s="548"/>
      <c r="QM154" s="548"/>
      <c r="QN154" s="548"/>
      <c r="QO154" s="548"/>
      <c r="QP154" s="548"/>
      <c r="QQ154" s="1009"/>
      <c r="QR154" s="548"/>
      <c r="QS154" s="548"/>
      <c r="QT154" s="548"/>
      <c r="QU154" s="548"/>
      <c r="QV154" s="548"/>
      <c r="QW154" s="548"/>
      <c r="QX154" s="548"/>
      <c r="QY154" s="548"/>
      <c r="QZ154" s="548"/>
      <c r="RA154" s="548"/>
      <c r="RB154" s="548"/>
      <c r="RC154" s="548"/>
      <c r="RD154" s="548"/>
      <c r="RE154" s="548"/>
      <c r="RF154" s="548"/>
      <c r="RG154" s="548"/>
      <c r="RH154" s="548"/>
      <c r="RI154" s="548"/>
      <c r="RJ154" s="548"/>
      <c r="RK154" s="548"/>
      <c r="RL154" s="548"/>
      <c r="RM154" s="548"/>
      <c r="RN154" s="548"/>
      <c r="RO154" s="548"/>
      <c r="RP154" s="548"/>
      <c r="RQ154" s="548"/>
      <c r="RR154" s="548"/>
      <c r="RS154" s="548"/>
      <c r="RT154" s="548"/>
      <c r="RU154" s="548"/>
      <c r="RV154" s="548"/>
      <c r="RW154" s="548"/>
      <c r="RX154" s="548"/>
      <c r="RY154" s="548"/>
      <c r="RZ154" s="548"/>
      <c r="SA154" s="548"/>
      <c r="SB154" s="548"/>
      <c r="SC154" s="548"/>
      <c r="SD154" s="548"/>
      <c r="SE154" s="548"/>
      <c r="SF154" s="548"/>
      <c r="SG154" s="548"/>
      <c r="SH154" s="548"/>
      <c r="SI154" s="548"/>
      <c r="SJ154" s="548"/>
      <c r="SK154" s="548"/>
      <c r="SL154" s="548"/>
      <c r="SM154" s="548"/>
      <c r="SN154" s="548"/>
      <c r="SO154" s="548"/>
      <c r="SP154" s="548"/>
      <c r="SQ154" s="548"/>
      <c r="SR154" s="548"/>
      <c r="SS154" s="548"/>
      <c r="ST154" s="548"/>
      <c r="SU154" s="548"/>
      <c r="SV154" s="548"/>
      <c r="SW154" s="548"/>
      <c r="SX154" s="548"/>
      <c r="SY154" s="548"/>
      <c r="SZ154" s="548"/>
      <c r="TA154" s="548"/>
      <c r="TB154" s="548"/>
      <c r="TC154" s="548"/>
      <c r="TD154" s="548"/>
      <c r="TE154" s="548"/>
      <c r="TF154" s="548"/>
      <c r="TG154" s="548"/>
      <c r="TH154" s="548"/>
      <c r="TI154" s="548"/>
      <c r="TJ154" s="548"/>
      <c r="TK154" s="548"/>
      <c r="TL154" s="548"/>
      <c r="TM154" s="548"/>
      <c r="TN154" s="548"/>
      <c r="TO154" s="548"/>
      <c r="TP154" s="548"/>
      <c r="TQ154" s="548"/>
      <c r="TR154" s="548"/>
      <c r="TS154" s="548"/>
      <c r="TT154" s="548"/>
      <c r="TU154" s="548"/>
      <c r="TV154" s="548"/>
      <c r="TW154" s="548"/>
      <c r="TX154" s="548"/>
      <c r="TY154" s="548"/>
      <c r="TZ154" s="548"/>
      <c r="UA154" s="548"/>
      <c r="UB154" s="548"/>
      <c r="UC154" s="548"/>
      <c r="UD154" s="548"/>
      <c r="UE154" s="548"/>
      <c r="UF154" s="548"/>
      <c r="UG154" s="548"/>
      <c r="UH154" s="548"/>
      <c r="UI154" s="548"/>
      <c r="UJ154" s="548"/>
      <c r="UK154" s="548"/>
      <c r="UL154" s="548"/>
      <c r="UM154" s="548"/>
      <c r="UN154" s="548"/>
      <c r="UO154" s="548"/>
      <c r="UP154" s="548"/>
      <c r="UQ154" s="548"/>
      <c r="UR154" s="548"/>
      <c r="US154" s="548"/>
      <c r="UT154" s="548"/>
      <c r="UU154" s="548"/>
      <c r="UV154" s="548"/>
      <c r="UW154" s="548"/>
      <c r="UX154" s="548"/>
      <c r="UY154" s="548"/>
      <c r="UZ154" s="548"/>
      <c r="VA154" s="548"/>
      <c r="VB154" s="548"/>
      <c r="VC154" s="548"/>
      <c r="VD154" s="548"/>
      <c r="VE154" s="548"/>
      <c r="VF154" s="548"/>
      <c r="VG154" s="548"/>
      <c r="VH154" s="548"/>
      <c r="VI154" s="548"/>
      <c r="VJ154" s="548"/>
      <c r="VK154" s="548"/>
      <c r="VL154" s="548"/>
      <c r="VM154" s="548"/>
      <c r="VN154" s="548"/>
      <c r="VO154" s="548"/>
      <c r="VP154" s="548"/>
      <c r="VQ154" s="548"/>
      <c r="VR154" s="548"/>
      <c r="VS154" s="548"/>
      <c r="VT154" s="548"/>
      <c r="VU154" s="548"/>
      <c r="VV154" s="548"/>
      <c r="VW154" s="548"/>
      <c r="VX154" s="548"/>
      <c r="VY154" s="548"/>
      <c r="VZ154" s="548"/>
      <c r="WA154" s="548"/>
      <c r="WB154" s="548"/>
      <c r="WC154" s="548"/>
      <c r="WD154" s="548"/>
      <c r="WE154" s="548"/>
      <c r="WF154" s="548"/>
      <c r="WG154" s="548"/>
      <c r="WH154" s="548"/>
      <c r="WI154" s="548"/>
      <c r="WJ154" s="548"/>
      <c r="WK154" s="548"/>
      <c r="WL154" s="548"/>
      <c r="WM154" s="548"/>
      <c r="WN154" s="548"/>
      <c r="WO154" s="548"/>
      <c r="WP154" s="548"/>
      <c r="WQ154" s="548"/>
      <c r="WR154" s="548"/>
      <c r="WS154" s="548"/>
      <c r="WT154" s="548"/>
      <c r="WU154" s="548"/>
      <c r="WV154" s="548"/>
      <c r="WW154" s="548"/>
      <c r="WX154" s="548"/>
      <c r="WY154" s="548"/>
      <c r="WZ154" s="548"/>
      <c r="XA154" s="548"/>
      <c r="XB154" s="548"/>
      <c r="XC154" s="548"/>
      <c r="XD154" s="548"/>
      <c r="XE154" s="548"/>
      <c r="XF154" s="548"/>
      <c r="XG154" s="548"/>
      <c r="XH154" s="548"/>
      <c r="XI154" s="548"/>
      <c r="XJ154" s="548"/>
      <c r="XK154" s="548"/>
      <c r="XL154" s="548"/>
      <c r="XM154" s="548"/>
      <c r="XN154" s="548"/>
      <c r="XO154" s="548"/>
      <c r="XP154" s="548"/>
      <c r="XQ154" s="548"/>
      <c r="XR154" s="548"/>
      <c r="XS154" s="548"/>
      <c r="XT154" s="548"/>
      <c r="XU154" s="548"/>
      <c r="XV154" s="548"/>
      <c r="XW154" s="548"/>
      <c r="XX154" s="548"/>
      <c r="XY154" s="548"/>
      <c r="XZ154" s="548"/>
      <c r="YA154" s="548"/>
      <c r="YB154" s="548"/>
      <c r="YC154" s="548"/>
      <c r="YD154" s="548"/>
      <c r="YE154" s="548"/>
      <c r="YF154" s="548"/>
      <c r="YG154" s="548"/>
      <c r="YH154" s="548"/>
      <c r="YI154" s="548"/>
      <c r="YJ154" s="548"/>
      <c r="YK154" s="548"/>
      <c r="YL154" s="548"/>
      <c r="YM154" s="548"/>
      <c r="YN154" s="548"/>
      <c r="YO154" s="548"/>
      <c r="YP154" s="548"/>
      <c r="YQ154" s="548"/>
      <c r="YR154" s="548"/>
      <c r="YS154" s="548"/>
      <c r="YT154" s="548"/>
      <c r="YU154" s="548"/>
      <c r="YV154" s="548"/>
      <c r="YW154" s="548"/>
      <c r="YX154" s="548"/>
      <c r="YY154" s="548"/>
      <c r="YZ154" s="548"/>
      <c r="ZA154" s="548"/>
      <c r="ZB154" s="548"/>
      <c r="ZC154" s="548"/>
      <c r="ZD154" s="548"/>
      <c r="ZE154" s="548"/>
      <c r="ZF154" s="548"/>
      <c r="ZG154" s="548"/>
      <c r="ZH154" s="548"/>
      <c r="ZI154" s="548"/>
      <c r="ZJ154" s="548"/>
      <c r="ZK154" s="548"/>
      <c r="ZL154" s="548"/>
      <c r="ZM154" s="548"/>
      <c r="ZN154" s="548"/>
      <c r="ZO154" s="548"/>
      <c r="ZP154" s="548"/>
      <c r="ZQ154" s="548"/>
      <c r="ZR154" s="548"/>
      <c r="ZS154" s="548"/>
      <c r="ZT154" s="548"/>
      <c r="ZU154" s="548"/>
      <c r="ZV154" s="548"/>
      <c r="ZW154" s="548"/>
      <c r="ZX154" s="548"/>
      <c r="ZY154" s="548"/>
      <c r="ZZ154" s="548"/>
      <c r="AAA154" s="548"/>
      <c r="AAB154" s="548"/>
      <c r="AAC154" s="548"/>
      <c r="AAD154" s="548"/>
      <c r="AAE154" s="548"/>
      <c r="AAF154" s="548"/>
      <c r="AAG154" s="548"/>
      <c r="AAH154" s="548"/>
      <c r="AAI154" s="548"/>
      <c r="AAJ154" s="548"/>
      <c r="AAK154" s="548"/>
      <c r="AAL154" s="548"/>
      <c r="AAM154" s="548"/>
      <c r="AAN154" s="548"/>
      <c r="AAO154" s="548"/>
      <c r="AAP154" s="548"/>
      <c r="AAQ154" s="548"/>
      <c r="AAR154" s="548"/>
      <c r="AAS154" s="548"/>
      <c r="AAT154" s="548"/>
      <c r="AAU154" s="548"/>
      <c r="AAV154" s="548"/>
      <c r="AAW154" s="548"/>
      <c r="AAX154" s="548"/>
      <c r="AAY154" s="548"/>
      <c r="AAZ154" s="548"/>
      <c r="ABA154" s="548"/>
      <c r="ABB154" s="548"/>
      <c r="ABC154" s="548"/>
      <c r="ABD154" s="548"/>
      <c r="ABE154" s="548"/>
      <c r="ABF154" s="548"/>
      <c r="ABG154" s="548"/>
      <c r="ABH154" s="548"/>
      <c r="ABI154" s="548"/>
      <c r="ABJ154" s="548"/>
      <c r="ABK154" s="548"/>
      <c r="ABL154" s="548"/>
      <c r="ABM154" s="548"/>
      <c r="ABN154" s="548"/>
      <c r="ABO154" s="548"/>
      <c r="ABP154" s="548"/>
      <c r="ABQ154" s="548"/>
      <c r="ABR154" s="548"/>
      <c r="ABS154" s="548"/>
    </row>
    <row r="155" spans="1:747" customFormat="1" ht="15" customHeight="1" x14ac:dyDescent="0.2">
      <c r="A155" s="424" t="str">
        <f t="shared" si="1687"/>
        <v/>
      </c>
      <c r="B155" s="415"/>
      <c r="C155" s="525"/>
      <c r="D155" s="750"/>
      <c r="E155" s="416" t="str">
        <f t="shared" si="1529"/>
        <v/>
      </c>
      <c r="F155" s="527" t="str">
        <f t="shared" si="1530"/>
        <v/>
      </c>
      <c r="G155" s="417"/>
      <c r="H155" s="585" t="str">
        <f t="shared" si="1531"/>
        <v/>
      </c>
      <c r="I155" s="424"/>
      <c r="J155" s="419"/>
      <c r="K155" s="418"/>
      <c r="L155" s="419"/>
      <c r="M155" s="415"/>
      <c r="N155" s="420"/>
      <c r="O155" s="421"/>
      <c r="P155" s="561"/>
      <c r="Q155" s="422"/>
      <c r="R155" s="561" t="str">
        <f t="shared" si="1532"/>
        <v/>
      </c>
      <c r="S155" s="664"/>
      <c r="T155" s="663"/>
      <c r="U155" s="580">
        <f t="shared" si="1533"/>
        <v>0</v>
      </c>
      <c r="V155" s="418"/>
      <c r="W155" s="582" t="str">
        <f t="shared" si="1534"/>
        <v/>
      </c>
      <c r="X155" s="479" t="str">
        <f t="shared" si="1535"/>
        <v/>
      </c>
      <c r="Y155" s="582" t="str">
        <f t="shared" si="1536"/>
        <v/>
      </c>
      <c r="Z155" s="317" t="str">
        <f t="shared" si="1537"/>
        <v/>
      </c>
      <c r="AA155" s="317" t="str">
        <f t="shared" si="1538"/>
        <v/>
      </c>
      <c r="AB155" s="317">
        <f t="shared" si="1539"/>
        <v>0</v>
      </c>
      <c r="AC155" s="317" t="str">
        <f t="shared" si="1540"/>
        <v/>
      </c>
      <c r="AD155" s="479"/>
      <c r="AE155" s="479"/>
      <c r="AF155" s="479"/>
      <c r="AG155" s="423"/>
      <c r="AH155" s="820"/>
      <c r="AI155" s="437"/>
      <c r="AJ155" s="660"/>
      <c r="AK155" s="524" t="str">
        <f t="shared" si="1541"/>
        <v/>
      </c>
      <c r="AL155" s="731">
        <f t="shared" si="1832"/>
        <v>0</v>
      </c>
      <c r="AM155" s="732">
        <f t="shared" si="1832"/>
        <v>0</v>
      </c>
      <c r="AN155" s="426">
        <f t="shared" si="1542"/>
        <v>0</v>
      </c>
      <c r="AO155" s="427" t="str">
        <f t="shared" si="1543"/>
        <v/>
      </c>
      <c r="AP155" s="426" t="str">
        <f t="shared" si="1544"/>
        <v/>
      </c>
      <c r="AQ155" s="426"/>
      <c r="AR155" s="426"/>
      <c r="AS155" s="428"/>
      <c r="AT155" s="429"/>
      <c r="AU155" s="430"/>
      <c r="AV155" s="431"/>
      <c r="AW155" s="432"/>
      <c r="AX155" s="430"/>
      <c r="AY155" s="431">
        <f t="shared" si="1545"/>
        <v>0</v>
      </c>
      <c r="AZ155" s="426"/>
      <c r="BA155" s="435" t="str">
        <f t="shared" si="1546"/>
        <v/>
      </c>
      <c r="BB155" s="435"/>
      <c r="BC155" s="426"/>
      <c r="BD155" s="426">
        <f t="array" ref="BD155">IF(SUM((BC155=$BC$3:BC154)*1)=0,BC155,0)</f>
        <v>0</v>
      </c>
      <c r="BE155" s="426"/>
      <c r="BF155" s="426"/>
      <c r="BG155" s="426">
        <f t="array" ref="BG155">IF(SUM((BF155=$BF$3:BF154)*1)=0,BF155,0)</f>
        <v>0</v>
      </c>
      <c r="BH155" s="426"/>
      <c r="BI155" s="426"/>
      <c r="BJ155" s="426"/>
      <c r="BK155" s="426"/>
      <c r="BL155" s="426"/>
      <c r="BM155" s="426"/>
      <c r="BN155" s="426"/>
      <c r="BO155" s="426"/>
      <c r="BP155" s="433">
        <f t="shared" si="1547"/>
        <v>0</v>
      </c>
      <c r="BQ155" s="426"/>
      <c r="BR155" s="434"/>
      <c r="BS155" s="426"/>
      <c r="BT155" s="433"/>
      <c r="BU155" s="435"/>
      <c r="BV155" s="435" t="str">
        <f t="shared" si="1548"/>
        <v/>
      </c>
      <c r="BW155" s="435" t="str">
        <f t="shared" si="1576"/>
        <v/>
      </c>
      <c r="BX155" s="435"/>
      <c r="BY155" s="435"/>
      <c r="BZ155" s="435"/>
      <c r="CA155" s="435"/>
      <c r="CB155" s="435"/>
      <c r="CC155" s="435"/>
      <c r="CD155" s="435"/>
      <c r="CE155" s="435"/>
      <c r="CF155" s="435"/>
      <c r="CG155" s="435"/>
      <c r="CH155" s="435"/>
      <c r="CI155" s="435"/>
      <c r="CJ155" s="426" t="str">
        <f t="shared" si="1577"/>
        <v/>
      </c>
      <c r="CK155" s="435"/>
      <c r="CL155" s="426"/>
      <c r="CM155" s="435"/>
      <c r="CN155" s="426"/>
      <c r="CO155" s="426"/>
      <c r="CP155" s="426"/>
      <c r="CQ155" s="426"/>
      <c r="CR155" s="426"/>
      <c r="CS155" s="426"/>
      <c r="CT155" s="426"/>
      <c r="CU155" s="426"/>
      <c r="CV155" s="426"/>
      <c r="CW155" s="493"/>
      <c r="CX155" s="493"/>
      <c r="CY155" s="426">
        <v>152</v>
      </c>
      <c r="CZ155" s="493"/>
      <c r="DA155" s="493"/>
      <c r="DB155" s="493"/>
      <c r="DC155" s="426" t="s">
        <v>895</v>
      </c>
      <c r="DD155" s="426" t="s">
        <v>1055</v>
      </c>
      <c r="DE155" s="435" t="str">
        <f t="shared" si="1578"/>
        <v/>
      </c>
      <c r="DF155" s="435" t="str">
        <f t="shared" si="1579"/>
        <v/>
      </c>
      <c r="DG155" s="435" t="str">
        <f t="shared" si="1580"/>
        <v/>
      </c>
      <c r="DH155" s="435" t="str">
        <f t="shared" si="1581"/>
        <v/>
      </c>
      <c r="DI155" s="435" t="str">
        <f t="shared" si="1582"/>
        <v/>
      </c>
      <c r="DJ155" s="435" t="str">
        <f t="shared" si="1583"/>
        <v/>
      </c>
      <c r="DK155" s="435" t="str">
        <f t="shared" si="1549"/>
        <v/>
      </c>
      <c r="DL155" s="435" t="str">
        <f t="shared" si="1550"/>
        <v/>
      </c>
      <c r="DM155" s="435" t="str">
        <f t="shared" si="1584"/>
        <v/>
      </c>
      <c r="DN155" s="435" t="str">
        <f t="shared" si="1585"/>
        <v/>
      </c>
      <c r="DO155" s="435" t="str">
        <f t="shared" si="1551"/>
        <v/>
      </c>
      <c r="DP155" s="435" t="str">
        <f t="shared" si="1552"/>
        <v/>
      </c>
      <c r="DQ155" s="435" t="str">
        <f t="shared" si="1586"/>
        <v/>
      </c>
      <c r="DR155" s="435" t="str">
        <f t="shared" si="1587"/>
        <v/>
      </c>
      <c r="DS155" s="435" t="str">
        <f t="shared" si="1553"/>
        <v/>
      </c>
      <c r="DT155" s="435" t="str">
        <f t="shared" si="1554"/>
        <v/>
      </c>
      <c r="DU155" s="435" t="str">
        <f t="shared" si="1588"/>
        <v/>
      </c>
      <c r="DV155" s="435" t="str">
        <f t="shared" si="1589"/>
        <v/>
      </c>
      <c r="DW155" s="435" t="str">
        <f t="shared" si="1555"/>
        <v/>
      </c>
      <c r="DX155" s="435" t="str">
        <f t="shared" si="1556"/>
        <v/>
      </c>
      <c r="DY155" s="435" t="str">
        <f t="shared" si="1590"/>
        <v/>
      </c>
      <c r="DZ155" s="435" t="str">
        <f t="shared" si="1591"/>
        <v/>
      </c>
      <c r="EA155" s="435" t="str">
        <f t="shared" si="1557"/>
        <v/>
      </c>
      <c r="EB155" s="435" t="str">
        <f t="shared" si="1558"/>
        <v/>
      </c>
      <c r="EC155" s="435" t="str">
        <f t="shared" si="1559"/>
        <v/>
      </c>
      <c r="ED155" s="435" t="str">
        <f t="shared" si="1560"/>
        <v/>
      </c>
      <c r="EE155" s="435" t="str">
        <f t="shared" si="1561"/>
        <v/>
      </c>
      <c r="EF155" s="435" t="str">
        <f t="shared" si="1562"/>
        <v/>
      </c>
      <c r="EG155" s="435" t="str">
        <f t="shared" si="1563"/>
        <v/>
      </c>
      <c r="EH155" s="435" t="str">
        <f t="shared" si="1564"/>
        <v/>
      </c>
      <c r="EI155" s="435" t="str">
        <f t="shared" si="1565"/>
        <v/>
      </c>
      <c r="EJ155" s="435" t="str">
        <f t="shared" si="1566"/>
        <v/>
      </c>
      <c r="EK155" s="485"/>
      <c r="EL155" s="485"/>
      <c r="EM155" s="485"/>
      <c r="EN155" s="485"/>
      <c r="EO155" s="448"/>
      <c r="EP155" s="448"/>
      <c r="EQ155" s="448"/>
      <c r="ER155" s="448"/>
      <c r="ES155" s="448"/>
      <c r="ET155" s="435"/>
      <c r="EU155" s="435"/>
      <c r="EV155" s="435"/>
      <c r="EW155" s="435"/>
      <c r="EX155" s="426"/>
      <c r="EY155" s="426"/>
      <c r="EZ155" s="426"/>
      <c r="FA155" s="863"/>
      <c r="FB155" s="427">
        <f t="array" ref="FB155">IF(SUM((FA155=$FA$3:FA154)*1)=0,FA155,0)</f>
        <v>0</v>
      </c>
      <c r="FC155" s="863"/>
      <c r="FD155" s="863"/>
      <c r="FE155" s="863">
        <f t="array" ref="FE155">IF(SUM((FD155=$FD$3:FD154)*1)=0,FD155,0)</f>
        <v>0</v>
      </c>
      <c r="FF155" s="863"/>
      <c r="FG155" s="863"/>
      <c r="FH155" s="863"/>
      <c r="FI155" s="427">
        <f t="array" ref="FI155">IF(SUM((FH155=$FH$3:FH154)*1)=0,FH155,0)</f>
        <v>0</v>
      </c>
      <c r="FJ155" s="863"/>
      <c r="FK155" s="863"/>
      <c r="FL155" s="863">
        <f t="array" ref="FL155">IF(SUM((FK155=$FK$3:FK154)*1)=0,FK155,0)</f>
        <v>0</v>
      </c>
      <c r="FM155" s="863"/>
      <c r="FN155" s="863"/>
      <c r="FO155" s="863"/>
      <c r="FP155" s="427">
        <f t="array" ref="FP155">IF(SUM((FO155=$FO$3:FO154)*1)=0,FO155,0)</f>
        <v>0</v>
      </c>
      <c r="FQ155" s="863"/>
      <c r="FR155" s="863"/>
      <c r="FS155" s="863">
        <f t="array" ref="FS155">IF(SUM((FR155=$FR$3:FR154)*1)=0,FR155,0)</f>
        <v>0</v>
      </c>
      <c r="FT155" s="863"/>
      <c r="FU155" s="863"/>
      <c r="FV155" s="863"/>
      <c r="FW155" s="427">
        <f t="array" ref="FW155">IF(SUM((FV155=$FV$3:FV154)*1)=0,FV155,0)</f>
        <v>0</v>
      </c>
      <c r="FX155" s="863"/>
      <c r="FY155" s="863"/>
      <c r="FZ155" s="863">
        <f t="array" ref="FZ155">IF(SUM((FY155=$FY$3:FY154)*1)=0,FY155,0)</f>
        <v>0</v>
      </c>
      <c r="GA155" s="863"/>
      <c r="GB155" s="863"/>
      <c r="GC155" s="863"/>
      <c r="GD155" s="427">
        <f t="array" ref="GD155">IF(SUM((GC155=$GC$3:GC154)*1)=0,GC155,0)</f>
        <v>0</v>
      </c>
      <c r="GE155" s="863"/>
      <c r="GF155" s="863"/>
      <c r="GG155" s="863">
        <f t="array" ref="GG155">IF(SUM((GF155=$GF$3:GF154)*1)=0,GF155,0)</f>
        <v>0</v>
      </c>
      <c r="GH155" s="863"/>
      <c r="GI155" s="863"/>
      <c r="GJ155" s="863"/>
      <c r="GK155" s="798">
        <f t="array" ref="GK155">IF(SUM((GJ155=$GJ$3:GJ154)*1)=0,GJ155,0)</f>
        <v>0</v>
      </c>
      <c r="GL155" s="863"/>
      <c r="GM155" s="863"/>
      <c r="GN155" s="798">
        <f t="array" ref="GN155">IF(SUM((GM155=$GM$3:GM154)*1)=0,GM155,0)</f>
        <v>0</v>
      </c>
      <c r="GO155" s="863"/>
      <c r="GP155" s="863"/>
      <c r="GQ155" s="863"/>
      <c r="GR155" s="798">
        <f t="array" ref="GR155">IF(SUM((GQ155=$GQ$3:GQ154)*1)=0,GQ155,0)</f>
        <v>0</v>
      </c>
      <c r="GS155" s="863"/>
      <c r="GT155" s="863"/>
      <c r="GU155" s="798">
        <f t="array" ref="GU155">IF(SUM((GT155=$GT$3:GT154)*1)=0,GT155,0)</f>
        <v>0</v>
      </c>
      <c r="GV155" s="863"/>
      <c r="GW155" s="863"/>
      <c r="GX155" s="863"/>
      <c r="GY155" s="798">
        <f t="array" ref="GY155">IF(SUM((GX155=$GX$3:GX154)*1)=0,GX155,0)</f>
        <v>0</v>
      </c>
      <c r="GZ155" s="863"/>
      <c r="HA155" s="863"/>
      <c r="HB155" s="798">
        <f t="array" ref="HB155">IF(SUM((HA155=$HA$3:HA154)*1)=0,HA155,0)</f>
        <v>0</v>
      </c>
      <c r="HC155" s="863"/>
      <c r="HD155" s="863"/>
      <c r="HE155" s="769" t="str">
        <f t="shared" si="1667"/>
        <v/>
      </c>
      <c r="HF155" s="768" t="str">
        <f t="shared" ref="HF155" si="1869">IF(HE155&lt;0,"Invadiu REP-BA-C","")</f>
        <v/>
      </c>
      <c r="HG155" s="769" t="str">
        <f t="shared" si="1669"/>
        <v/>
      </c>
      <c r="HH155" s="768" t="str">
        <f t="shared" si="1593"/>
        <v/>
      </c>
      <c r="HI155" s="728" t="str">
        <f t="shared" si="1670"/>
        <v/>
      </c>
      <c r="HJ155" s="768" t="str">
        <f t="shared" si="1594"/>
        <v/>
      </c>
      <c r="HK155" s="728" t="str">
        <f t="shared" si="1671"/>
        <v/>
      </c>
      <c r="HL155" s="768" t="str">
        <f t="shared" si="1595"/>
        <v/>
      </c>
      <c r="HM155" s="769" t="str">
        <f t="shared" si="1596"/>
        <v/>
      </c>
      <c r="HN155" s="768" t="str">
        <f t="shared" ref="HN155" si="1870">IF(HM155&lt;0,"Invadiu REP-BA-C","")</f>
        <v/>
      </c>
      <c r="HO155" s="769" t="str">
        <f t="shared" si="1598"/>
        <v/>
      </c>
      <c r="HP155" s="768" t="str">
        <f t="shared" si="1599"/>
        <v/>
      </c>
      <c r="HQ155" s="728" t="str">
        <f t="shared" si="1600"/>
        <v/>
      </c>
      <c r="HR155" s="768" t="str">
        <f t="shared" si="1601"/>
        <v/>
      </c>
      <c r="HS155" s="728" t="str">
        <f t="shared" si="1602"/>
        <v/>
      </c>
      <c r="HT155" s="768" t="str">
        <f t="shared" si="1603"/>
        <v/>
      </c>
      <c r="HU155" s="769" t="str">
        <f t="shared" si="1604"/>
        <v/>
      </c>
      <c r="HV155" s="768" t="str">
        <f t="shared" ref="HV155" si="1871">IF(HU155&lt;0,"Invadiu REP-BA-C","")</f>
        <v/>
      </c>
      <c r="HW155" s="769" t="str">
        <f t="shared" si="1606"/>
        <v/>
      </c>
      <c r="HX155" s="768" t="str">
        <f t="shared" si="1607"/>
        <v/>
      </c>
      <c r="HY155" s="728" t="str">
        <f t="shared" si="1608"/>
        <v/>
      </c>
      <c r="HZ155" s="768" t="str">
        <f t="shared" si="1609"/>
        <v/>
      </c>
      <c r="IA155" s="728" t="str">
        <f t="shared" si="1610"/>
        <v/>
      </c>
      <c r="IB155" s="768" t="str">
        <f t="shared" si="1611"/>
        <v/>
      </c>
      <c r="IC155" s="769" t="str">
        <f t="shared" si="1612"/>
        <v/>
      </c>
      <c r="ID155" s="768" t="str">
        <f t="shared" ref="ID155" si="1872">IF(IC155&lt;0,"Invadiu REP-BA-C","")</f>
        <v/>
      </c>
      <c r="IE155" s="769" t="str">
        <f t="shared" si="1614"/>
        <v/>
      </c>
      <c r="IF155" s="768" t="str">
        <f t="shared" si="1615"/>
        <v/>
      </c>
      <c r="IG155" s="728" t="str">
        <f t="shared" si="1616"/>
        <v/>
      </c>
      <c r="IH155" s="768" t="str">
        <f t="shared" si="1617"/>
        <v/>
      </c>
      <c r="II155" s="728" t="str">
        <f t="shared" si="1618"/>
        <v/>
      </c>
      <c r="IJ155" s="768" t="str">
        <f t="shared" si="1619"/>
        <v/>
      </c>
      <c r="IK155" s="769" t="str">
        <f t="shared" si="1620"/>
        <v/>
      </c>
      <c r="IL155" s="768" t="str">
        <f t="shared" ref="IL155" si="1873">IF(IK155&lt;0,"Invadiu REP-BA-C","")</f>
        <v/>
      </c>
      <c r="IM155" s="769" t="str">
        <f t="shared" si="1622"/>
        <v/>
      </c>
      <c r="IN155" s="768" t="str">
        <f t="shared" si="1623"/>
        <v/>
      </c>
      <c r="IO155" s="728" t="str">
        <f t="shared" si="1624"/>
        <v/>
      </c>
      <c r="IP155" s="768" t="str">
        <f t="shared" si="1625"/>
        <v/>
      </c>
      <c r="IQ155" s="728" t="str">
        <f t="shared" si="1626"/>
        <v/>
      </c>
      <c r="IR155" s="768" t="str">
        <f t="shared" si="1627"/>
        <v/>
      </c>
      <c r="IS155" s="769" t="str">
        <f t="shared" si="1628"/>
        <v/>
      </c>
      <c r="IT155" s="768" t="str">
        <f t="shared" ref="IT155" si="1874">IF(IS155&lt;0,"Invadiu REP-BA-C","")</f>
        <v/>
      </c>
      <c r="IU155" s="769" t="str">
        <f t="shared" si="1630"/>
        <v/>
      </c>
      <c r="IV155" s="768" t="str">
        <f t="shared" si="1631"/>
        <v/>
      </c>
      <c r="IW155" s="728" t="str">
        <f t="shared" si="1632"/>
        <v/>
      </c>
      <c r="IX155" s="768" t="str">
        <f t="shared" si="1633"/>
        <v/>
      </c>
      <c r="IY155" s="728" t="str">
        <f t="shared" si="1634"/>
        <v/>
      </c>
      <c r="IZ155" s="768" t="str">
        <f t="shared" si="1635"/>
        <v/>
      </c>
      <c r="JA155" s="769" t="str">
        <f t="shared" si="1636"/>
        <v/>
      </c>
      <c r="JB155" s="768" t="str">
        <f t="shared" ref="JB155" si="1875">IF(JA155&lt;0,"Invadiu REP-BA-C","")</f>
        <v/>
      </c>
      <c r="JC155" s="769" t="str">
        <f t="shared" si="1638"/>
        <v/>
      </c>
      <c r="JD155" s="768" t="str">
        <f t="shared" si="1639"/>
        <v/>
      </c>
      <c r="JE155" s="728" t="str">
        <f t="shared" si="1640"/>
        <v/>
      </c>
      <c r="JF155" s="768" t="str">
        <f t="shared" si="1641"/>
        <v/>
      </c>
      <c r="JG155" s="728" t="str">
        <f t="shared" si="1642"/>
        <v/>
      </c>
      <c r="JH155" s="768" t="str">
        <f t="shared" si="1643"/>
        <v/>
      </c>
      <c r="JI155" s="769" t="str">
        <f t="shared" si="1644"/>
        <v/>
      </c>
      <c r="JJ155" s="768" t="str">
        <f t="shared" ref="JJ155" si="1876">IF(JI155&lt;0,"Invadiu REP-BA-C","")</f>
        <v/>
      </c>
      <c r="JK155" s="769" t="str">
        <f t="shared" si="1646"/>
        <v/>
      </c>
      <c r="JL155" s="768" t="str">
        <f t="shared" si="1647"/>
        <v/>
      </c>
      <c r="JM155" s="728" t="str">
        <f t="shared" si="1648"/>
        <v/>
      </c>
      <c r="JN155" s="768" t="str">
        <f t="shared" si="1649"/>
        <v/>
      </c>
      <c r="JO155" s="728" t="str">
        <f t="shared" si="1650"/>
        <v/>
      </c>
      <c r="JP155" s="768" t="str">
        <f t="shared" si="1651"/>
        <v/>
      </c>
      <c r="JQ155" s="769" t="str">
        <f t="shared" si="1652"/>
        <v/>
      </c>
      <c r="JR155" s="768" t="str">
        <f t="shared" ref="JR155" si="1877">IF(JQ155&lt;0,"Invadiu REP-BA-C","")</f>
        <v/>
      </c>
      <c r="JS155" s="769" t="str">
        <f t="shared" si="1654"/>
        <v/>
      </c>
      <c r="JT155" s="768" t="str">
        <f t="shared" si="1655"/>
        <v/>
      </c>
      <c r="JU155" s="728" t="str">
        <f t="shared" si="1656"/>
        <v/>
      </c>
      <c r="JV155" s="768" t="str">
        <f t="shared" si="1657"/>
        <v/>
      </c>
      <c r="JW155" s="728" t="str">
        <f t="shared" si="1658"/>
        <v/>
      </c>
      <c r="JX155" s="768" t="str">
        <f t="shared" si="1659"/>
        <v/>
      </c>
      <c r="JY155" s="768" t="str">
        <f t="shared" si="1660"/>
        <v/>
      </c>
      <c r="JZ155" s="485" t="str">
        <f>IF(JY155="","",IF(AND(C155=$C$164,JY155&lt;&gt;""),Verificarcpf(D155),IF(AND(C155=$C$165,JY155&lt;&gt;""),VerificarCNPJ(D155))))</f>
        <v/>
      </c>
      <c r="KA155" s="768" t="str">
        <f t="shared" si="1661"/>
        <v/>
      </c>
      <c r="KB155" s="485">
        <f t="shared" si="1662"/>
        <v>0</v>
      </c>
      <c r="KC155" s="768">
        <f t="shared" si="1663"/>
        <v>0</v>
      </c>
      <c r="KD155" s="485">
        <f t="shared" si="1664"/>
        <v>0</v>
      </c>
      <c r="KE155" s="448"/>
      <c r="KF155" s="548"/>
      <c r="KG155" s="548"/>
      <c r="KH155" s="548"/>
      <c r="KI155" s="548"/>
      <c r="KJ155" s="548" t="str">
        <f t="shared" si="1665"/>
        <v/>
      </c>
      <c r="KK155" s="548"/>
      <c r="KL155" s="548"/>
      <c r="KM155" s="548">
        <f t="array" ref="KM155">IF(SUM((KL155=$KL$3:KL154)*1)=0,KL155,0)</f>
        <v>0</v>
      </c>
      <c r="KN155" s="548"/>
      <c r="KO155" s="548"/>
      <c r="KP155" s="548"/>
      <c r="KQ155" s="548"/>
      <c r="KR155" s="548" t="str">
        <f t="shared" si="1666"/>
        <v/>
      </c>
      <c r="KS155" s="548"/>
      <c r="KT155" s="548"/>
      <c r="KU155" s="548"/>
      <c r="KV155" s="548"/>
      <c r="KW155" s="548"/>
      <c r="KX155" s="548"/>
      <c r="KY155" s="548"/>
      <c r="KZ155" s="548"/>
      <c r="LA155" s="548"/>
      <c r="LB155" s="548"/>
      <c r="LC155" s="485" t="str">
        <f t="shared" si="1680"/>
        <v/>
      </c>
      <c r="LD155" s="548"/>
      <c r="LE155" s="548"/>
      <c r="LF155" s="548"/>
      <c r="LG155" s="548"/>
      <c r="LH155" s="548"/>
      <c r="LI155" s="548"/>
      <c r="LJ155" s="548"/>
      <c r="LK155" s="548"/>
      <c r="LL155" s="548"/>
      <c r="LM155" s="548"/>
      <c r="LN155" s="548"/>
      <c r="LO155" s="548"/>
      <c r="LP155" s="485" t="str">
        <f t="shared" si="1681"/>
        <v/>
      </c>
      <c r="LQ155" s="548"/>
      <c r="LR155" s="548"/>
      <c r="LS155" s="548"/>
      <c r="LT155" s="548"/>
      <c r="LU155" s="548"/>
      <c r="LV155" s="548"/>
      <c r="LW155" s="548"/>
      <c r="LX155" s="548"/>
      <c r="LY155" s="548"/>
      <c r="LZ155" s="548"/>
      <c r="MA155" s="548"/>
      <c r="MB155" s="548"/>
      <c r="MC155" s="485" t="str">
        <f t="shared" si="1682"/>
        <v/>
      </c>
      <c r="MD155" s="548"/>
      <c r="ME155" s="548"/>
      <c r="MF155" s="548"/>
      <c r="MG155" s="548"/>
      <c r="MH155" s="548"/>
      <c r="MI155" s="548"/>
      <c r="MJ155" s="548"/>
      <c r="MK155" s="548"/>
      <c r="ML155" s="548"/>
      <c r="MM155" s="548"/>
      <c r="MN155" s="548"/>
      <c r="MO155" s="548"/>
      <c r="MP155" s="485" t="str">
        <f t="shared" si="1683"/>
        <v/>
      </c>
      <c r="MQ155" s="548"/>
      <c r="MR155" s="548"/>
      <c r="MS155" s="548"/>
      <c r="MT155" s="548"/>
      <c r="MU155" s="548"/>
      <c r="MV155" s="548"/>
      <c r="MW155" s="548"/>
      <c r="MX155" s="548"/>
      <c r="MY155" s="548"/>
      <c r="MZ155" s="548"/>
      <c r="NA155" s="548"/>
      <c r="NB155" s="548"/>
      <c r="NC155" s="485" t="str">
        <f t="shared" si="1684"/>
        <v/>
      </c>
      <c r="ND155" s="548"/>
      <c r="NE155" s="548"/>
      <c r="NF155" s="548"/>
      <c r="NG155" s="548"/>
      <c r="NH155" s="548"/>
      <c r="NI155" s="548"/>
      <c r="NJ155" s="548"/>
      <c r="NK155" s="548"/>
      <c r="NL155" s="548"/>
      <c r="NM155" s="548"/>
      <c r="NN155" s="548"/>
      <c r="NO155" s="548"/>
      <c r="NP155" s="485" t="str">
        <f t="shared" si="1685"/>
        <v/>
      </c>
      <c r="NQ155" s="548"/>
      <c r="NR155" s="548"/>
      <c r="NS155" s="548"/>
      <c r="NT155" s="548"/>
      <c r="NU155" s="548"/>
      <c r="NV155" s="548"/>
      <c r="NW155" s="548"/>
      <c r="NX155" s="548"/>
      <c r="NY155" s="548"/>
      <c r="NZ155" s="548"/>
      <c r="OA155" s="548"/>
      <c r="OB155" s="548"/>
      <c r="OC155" s="485" t="str">
        <f t="shared" si="1686"/>
        <v/>
      </c>
      <c r="OD155" s="548"/>
      <c r="OE155" s="548"/>
      <c r="OF155" s="548"/>
      <c r="OG155" s="548"/>
      <c r="OH155" s="548"/>
      <c r="OI155" s="548"/>
      <c r="OJ155" s="548"/>
      <c r="OK155" s="548"/>
      <c r="OL155" s="548"/>
      <c r="OM155" s="548"/>
      <c r="ON155" s="548"/>
      <c r="OO155" s="548"/>
      <c r="OP155" s="548"/>
      <c r="OQ155" s="548"/>
      <c r="OR155" s="548"/>
      <c r="OS155" s="548"/>
      <c r="OT155" s="548"/>
      <c r="OU155" s="548"/>
      <c r="OV155" s="548"/>
      <c r="OW155" s="548"/>
      <c r="OX155" s="548"/>
      <c r="OY155" s="548"/>
      <c r="OZ155" s="548"/>
      <c r="PA155" s="548"/>
      <c r="PB155" s="548"/>
      <c r="PC155" s="548"/>
      <c r="PD155" s="548"/>
      <c r="PE155" s="548"/>
      <c r="PF155" s="548"/>
      <c r="PG155" s="548"/>
      <c r="PH155" s="548"/>
      <c r="PI155" s="548"/>
      <c r="PJ155" s="548"/>
      <c r="PK155" s="548"/>
      <c r="PL155" s="548"/>
      <c r="PM155" s="548"/>
      <c r="PN155" s="548"/>
      <c r="PO155" s="548"/>
      <c r="PP155" s="548"/>
      <c r="PQ155" s="548"/>
      <c r="PR155" s="548"/>
      <c r="PS155" s="548"/>
      <c r="PT155" s="548"/>
      <c r="PU155" s="548"/>
      <c r="PV155" s="548"/>
      <c r="PW155" s="548"/>
      <c r="PX155" s="548"/>
      <c r="PY155" s="548"/>
      <c r="PZ155" s="548"/>
      <c r="QA155" s="548"/>
      <c r="QB155" s="548"/>
      <c r="QC155" s="548"/>
      <c r="QD155" s="548"/>
      <c r="QE155" s="548"/>
      <c r="QF155" s="548"/>
      <c r="QG155" s="548"/>
      <c r="QH155" s="548"/>
      <c r="QI155" s="548"/>
      <c r="QJ155" s="548"/>
      <c r="QK155" s="548"/>
      <c r="QL155" s="548"/>
      <c r="QM155" s="548"/>
      <c r="QN155" s="548"/>
      <c r="QO155" s="548"/>
      <c r="QP155" s="548"/>
      <c r="QQ155" s="1009"/>
      <c r="QR155" s="548"/>
      <c r="QS155" s="548"/>
      <c r="QT155" s="548"/>
      <c r="QU155" s="548"/>
      <c r="QV155" s="548"/>
      <c r="QW155" s="548"/>
      <c r="QX155" s="548"/>
      <c r="QY155" s="548"/>
      <c r="QZ155" s="548"/>
      <c r="RA155" s="548"/>
      <c r="RB155" s="548"/>
      <c r="RC155" s="548"/>
      <c r="RD155" s="548"/>
      <c r="RE155" s="548"/>
      <c r="RF155" s="548"/>
      <c r="RG155" s="548"/>
      <c r="RH155" s="548"/>
      <c r="RI155" s="548"/>
      <c r="RJ155" s="548"/>
      <c r="RK155" s="548"/>
      <c r="RL155" s="548"/>
      <c r="RM155" s="548"/>
      <c r="RN155" s="548"/>
      <c r="RO155" s="548"/>
      <c r="RP155" s="548"/>
      <c r="RQ155" s="548"/>
      <c r="RR155" s="548"/>
      <c r="RS155" s="548"/>
      <c r="RT155" s="548"/>
      <c r="RU155" s="548"/>
      <c r="RV155" s="548"/>
      <c r="RW155" s="548"/>
      <c r="RX155" s="548"/>
      <c r="RY155" s="548"/>
      <c r="RZ155" s="548"/>
      <c r="SA155" s="548"/>
      <c r="SB155" s="548"/>
      <c r="SC155" s="548"/>
      <c r="SD155" s="548"/>
      <c r="SE155" s="548"/>
      <c r="SF155" s="548"/>
      <c r="SG155" s="548"/>
      <c r="SH155" s="548"/>
      <c r="SI155" s="548"/>
      <c r="SJ155" s="548"/>
      <c r="SK155" s="548"/>
      <c r="SL155" s="548"/>
      <c r="SM155" s="548"/>
      <c r="SN155" s="548"/>
      <c r="SO155" s="548"/>
      <c r="SP155" s="548"/>
      <c r="SQ155" s="548"/>
      <c r="SR155" s="548"/>
      <c r="SS155" s="548"/>
      <c r="ST155" s="548"/>
      <c r="SU155" s="548"/>
      <c r="SV155" s="548"/>
      <c r="SW155" s="548"/>
      <c r="SX155" s="548"/>
      <c r="SY155" s="548"/>
      <c r="SZ155" s="548"/>
      <c r="TA155" s="548"/>
      <c r="TB155" s="548"/>
      <c r="TC155" s="548"/>
      <c r="TD155" s="548"/>
      <c r="TE155" s="548"/>
      <c r="TF155" s="548"/>
      <c r="TG155" s="548"/>
      <c r="TH155" s="548"/>
      <c r="TI155" s="548"/>
      <c r="TJ155" s="548"/>
      <c r="TK155" s="548"/>
      <c r="TL155" s="548"/>
      <c r="TM155" s="548"/>
      <c r="TN155" s="548"/>
      <c r="TO155" s="548"/>
      <c r="TP155" s="548"/>
      <c r="TQ155" s="548"/>
      <c r="TR155" s="548"/>
      <c r="TS155" s="548"/>
      <c r="TT155" s="548"/>
      <c r="TU155" s="548"/>
      <c r="TV155" s="548"/>
      <c r="TW155" s="548"/>
      <c r="TX155" s="548"/>
      <c r="TY155" s="548"/>
      <c r="TZ155" s="548"/>
      <c r="UA155" s="548"/>
      <c r="UB155" s="548"/>
      <c r="UC155" s="548"/>
      <c r="UD155" s="548"/>
      <c r="UE155" s="548"/>
      <c r="UF155" s="548"/>
      <c r="UG155" s="548"/>
      <c r="UH155" s="548"/>
      <c r="UI155" s="548"/>
      <c r="UJ155" s="548"/>
      <c r="UK155" s="548"/>
      <c r="UL155" s="548"/>
      <c r="UM155" s="548"/>
      <c r="UN155" s="548"/>
      <c r="UO155" s="548"/>
      <c r="UP155" s="548"/>
      <c r="UQ155" s="548"/>
      <c r="UR155" s="548"/>
      <c r="US155" s="548"/>
      <c r="UT155" s="548"/>
      <c r="UU155" s="548"/>
      <c r="UV155" s="548"/>
      <c r="UW155" s="548"/>
      <c r="UX155" s="548"/>
      <c r="UY155" s="548"/>
      <c r="UZ155" s="548"/>
      <c r="VA155" s="548"/>
      <c r="VB155" s="548"/>
      <c r="VC155" s="548"/>
      <c r="VD155" s="548"/>
      <c r="VE155" s="548"/>
      <c r="VF155" s="548"/>
      <c r="VG155" s="548"/>
      <c r="VH155" s="548"/>
      <c r="VI155" s="548"/>
      <c r="VJ155" s="548"/>
      <c r="VK155" s="548"/>
      <c r="VL155" s="548"/>
      <c r="VM155" s="548"/>
      <c r="VN155" s="548"/>
      <c r="VO155" s="548"/>
      <c r="VP155" s="548"/>
      <c r="VQ155" s="548"/>
      <c r="VR155" s="548"/>
      <c r="VS155" s="548"/>
      <c r="VT155" s="548"/>
      <c r="VU155" s="548"/>
      <c r="VV155" s="548"/>
      <c r="VW155" s="548"/>
      <c r="VX155" s="548"/>
      <c r="VY155" s="548"/>
      <c r="VZ155" s="548"/>
      <c r="WA155" s="548"/>
      <c r="WB155" s="548"/>
      <c r="WC155" s="548"/>
      <c r="WD155" s="548"/>
      <c r="WE155" s="548"/>
      <c r="WF155" s="548"/>
      <c r="WG155" s="548"/>
      <c r="WH155" s="548"/>
      <c r="WI155" s="548"/>
      <c r="WJ155" s="548"/>
      <c r="WK155" s="548"/>
      <c r="WL155" s="548"/>
      <c r="WM155" s="548"/>
      <c r="WN155" s="548"/>
      <c r="WO155" s="548"/>
      <c r="WP155" s="548"/>
      <c r="WQ155" s="548"/>
      <c r="WR155" s="548"/>
      <c r="WS155" s="548"/>
      <c r="WT155" s="548"/>
      <c r="WU155" s="548"/>
      <c r="WV155" s="548"/>
      <c r="WW155" s="548"/>
      <c r="WX155" s="548"/>
      <c r="WY155" s="548"/>
      <c r="WZ155" s="548"/>
      <c r="XA155" s="548"/>
      <c r="XB155" s="548"/>
      <c r="XC155" s="548"/>
      <c r="XD155" s="548"/>
      <c r="XE155" s="548"/>
      <c r="XF155" s="548"/>
      <c r="XG155" s="548"/>
      <c r="XH155" s="548"/>
      <c r="XI155" s="548"/>
      <c r="XJ155" s="548"/>
      <c r="XK155" s="548"/>
      <c r="XL155" s="548"/>
      <c r="XM155" s="548"/>
      <c r="XN155" s="548"/>
      <c r="XO155" s="548"/>
      <c r="XP155" s="548"/>
      <c r="XQ155" s="548"/>
      <c r="XR155" s="548"/>
      <c r="XS155" s="548"/>
      <c r="XT155" s="548"/>
      <c r="XU155" s="548"/>
      <c r="XV155" s="548"/>
      <c r="XW155" s="548"/>
      <c r="XX155" s="548"/>
      <c r="XY155" s="548"/>
      <c r="XZ155" s="548"/>
      <c r="YA155" s="548"/>
      <c r="YB155" s="548"/>
      <c r="YC155" s="548"/>
      <c r="YD155" s="548"/>
      <c r="YE155" s="548"/>
      <c r="YF155" s="548"/>
      <c r="YG155" s="548"/>
      <c r="YH155" s="548"/>
      <c r="YI155" s="548"/>
      <c r="YJ155" s="548"/>
      <c r="YK155" s="548"/>
      <c r="YL155" s="548"/>
      <c r="YM155" s="548"/>
      <c r="YN155" s="548"/>
      <c r="YO155" s="548"/>
      <c r="YP155" s="548"/>
      <c r="YQ155" s="548"/>
      <c r="YR155" s="548"/>
      <c r="YS155" s="548"/>
      <c r="YT155" s="548"/>
      <c r="YU155" s="548"/>
      <c r="YV155" s="548"/>
      <c r="YW155" s="548"/>
      <c r="YX155" s="548"/>
      <c r="YY155" s="548"/>
      <c r="YZ155" s="548"/>
      <c r="ZA155" s="548"/>
      <c r="ZB155" s="548"/>
      <c r="ZC155" s="548"/>
      <c r="ZD155" s="548"/>
      <c r="ZE155" s="548"/>
      <c r="ZF155" s="548"/>
      <c r="ZG155" s="548"/>
      <c r="ZH155" s="548"/>
      <c r="ZI155" s="548"/>
      <c r="ZJ155" s="548"/>
      <c r="ZK155" s="548"/>
      <c r="ZL155" s="548"/>
      <c r="ZM155" s="548"/>
      <c r="ZN155" s="548"/>
      <c r="ZO155" s="548"/>
      <c r="ZP155" s="548"/>
      <c r="ZQ155" s="548"/>
      <c r="ZR155" s="548"/>
      <c r="ZS155" s="548"/>
      <c r="ZT155" s="548"/>
      <c r="ZU155" s="548"/>
      <c r="ZV155" s="548"/>
      <c r="ZW155" s="548"/>
      <c r="ZX155" s="548"/>
      <c r="ZY155" s="548"/>
      <c r="ZZ155" s="548"/>
      <c r="AAA155" s="548"/>
      <c r="AAB155" s="548"/>
      <c r="AAC155" s="548"/>
      <c r="AAD155" s="548"/>
      <c r="AAE155" s="548"/>
      <c r="AAF155" s="548"/>
      <c r="AAG155" s="548"/>
      <c r="AAH155" s="548"/>
      <c r="AAI155" s="548"/>
      <c r="AAJ155" s="548"/>
      <c r="AAK155" s="548"/>
      <c r="AAL155" s="548"/>
      <c r="AAM155" s="548"/>
      <c r="AAN155" s="548"/>
      <c r="AAO155" s="548"/>
      <c r="AAP155" s="548"/>
      <c r="AAQ155" s="548"/>
      <c r="AAR155" s="548"/>
      <c r="AAS155" s="548"/>
      <c r="AAT155" s="548"/>
      <c r="AAU155" s="548"/>
      <c r="AAV155" s="548"/>
      <c r="AAW155" s="548"/>
      <c r="AAX155" s="548"/>
      <c r="AAY155" s="548"/>
      <c r="AAZ155" s="548"/>
      <c r="ABA155" s="548"/>
      <c r="ABB155" s="548"/>
      <c r="ABC155" s="548"/>
      <c r="ABD155" s="548"/>
      <c r="ABE155" s="548"/>
      <c r="ABF155" s="548"/>
      <c r="ABG155" s="548"/>
      <c r="ABH155" s="548"/>
      <c r="ABI155" s="548"/>
      <c r="ABJ155" s="548"/>
      <c r="ABK155" s="548"/>
      <c r="ABL155" s="548"/>
      <c r="ABM155" s="548"/>
      <c r="ABN155" s="548"/>
      <c r="ABO155" s="548"/>
      <c r="ABP155" s="548"/>
      <c r="ABQ155" s="548"/>
      <c r="ABR155" s="548"/>
      <c r="ABS155" s="548"/>
    </row>
    <row r="156" spans="1:747" customFormat="1" ht="15" customHeight="1" x14ac:dyDescent="0.2">
      <c r="A156" s="424" t="str">
        <f t="shared" si="1687"/>
        <v/>
      </c>
      <c r="B156" s="415"/>
      <c r="C156" s="525"/>
      <c r="D156" s="750"/>
      <c r="E156" s="416" t="str">
        <f t="shared" si="1529"/>
        <v/>
      </c>
      <c r="F156" s="527" t="str">
        <f t="shared" si="1530"/>
        <v/>
      </c>
      <c r="G156" s="417"/>
      <c r="H156" s="585" t="str">
        <f t="shared" si="1531"/>
        <v/>
      </c>
      <c r="I156" s="424"/>
      <c r="J156" s="419"/>
      <c r="K156" s="418"/>
      <c r="L156" s="419"/>
      <c r="M156" s="415"/>
      <c r="N156" s="420"/>
      <c r="O156" s="421"/>
      <c r="P156" s="561"/>
      <c r="Q156" s="422"/>
      <c r="R156" s="561" t="str">
        <f t="shared" si="1532"/>
        <v/>
      </c>
      <c r="S156" s="664"/>
      <c r="T156" s="663"/>
      <c r="U156" s="580">
        <f t="shared" si="1533"/>
        <v>0</v>
      </c>
      <c r="V156" s="418"/>
      <c r="W156" s="582" t="str">
        <f t="shared" si="1534"/>
        <v/>
      </c>
      <c r="X156" s="479" t="str">
        <f t="shared" si="1535"/>
        <v/>
      </c>
      <c r="Y156" s="582" t="str">
        <f t="shared" si="1536"/>
        <v/>
      </c>
      <c r="Z156" s="317" t="str">
        <f t="shared" si="1537"/>
        <v/>
      </c>
      <c r="AA156" s="317" t="str">
        <f t="shared" si="1538"/>
        <v/>
      </c>
      <c r="AB156" s="317">
        <f t="shared" si="1539"/>
        <v>0</v>
      </c>
      <c r="AC156" s="317" t="str">
        <f t="shared" si="1540"/>
        <v/>
      </c>
      <c r="AD156" s="479"/>
      <c r="AE156" s="479"/>
      <c r="AF156" s="479"/>
      <c r="AG156" s="423"/>
      <c r="AH156" s="820"/>
      <c r="AI156" s="437"/>
      <c r="AJ156" s="660"/>
      <c r="AK156" s="524" t="str">
        <f t="shared" si="1541"/>
        <v/>
      </c>
      <c r="AL156" s="731">
        <f t="shared" si="1832"/>
        <v>0</v>
      </c>
      <c r="AM156" s="732">
        <f t="shared" si="1832"/>
        <v>0</v>
      </c>
      <c r="AN156" s="426">
        <f t="shared" si="1542"/>
        <v>0</v>
      </c>
      <c r="AO156" s="427" t="str">
        <f t="shared" si="1543"/>
        <v/>
      </c>
      <c r="AP156" s="426" t="str">
        <f t="shared" si="1544"/>
        <v/>
      </c>
      <c r="AQ156" s="426"/>
      <c r="AR156" s="426"/>
      <c r="AS156" s="428"/>
      <c r="AT156" s="429"/>
      <c r="AU156" s="430"/>
      <c r="AV156" s="431"/>
      <c r="AW156" s="432"/>
      <c r="AX156" s="430"/>
      <c r="AY156" s="431">
        <f t="shared" si="1545"/>
        <v>0</v>
      </c>
      <c r="AZ156" s="426"/>
      <c r="BA156" s="435" t="str">
        <f t="shared" si="1546"/>
        <v/>
      </c>
      <c r="BB156" s="435"/>
      <c r="BC156" s="426"/>
      <c r="BD156" s="426">
        <f t="array" ref="BD156">IF(SUM((BC156=$BC$3:BC155)*1)=0,BC156,0)</f>
        <v>0</v>
      </c>
      <c r="BE156" s="426"/>
      <c r="BF156" s="426"/>
      <c r="BG156" s="426">
        <f t="array" ref="BG156">IF(SUM((BF156=$BF$3:BF155)*1)=0,BF156,0)</f>
        <v>0</v>
      </c>
      <c r="BH156" s="426"/>
      <c r="BI156" s="426"/>
      <c r="BJ156" s="426"/>
      <c r="BK156" s="426"/>
      <c r="BL156" s="426"/>
      <c r="BM156" s="426"/>
      <c r="BN156" s="426"/>
      <c r="BO156" s="426"/>
      <c r="BP156" s="433">
        <f t="shared" si="1547"/>
        <v>0</v>
      </c>
      <c r="BQ156" s="426"/>
      <c r="BR156" s="434"/>
      <c r="BS156" s="426"/>
      <c r="BT156" s="433"/>
      <c r="BU156" s="435"/>
      <c r="BV156" s="435" t="str">
        <f t="shared" si="1548"/>
        <v/>
      </c>
      <c r="BW156" s="435" t="str">
        <f t="shared" si="1576"/>
        <v/>
      </c>
      <c r="BX156" s="435"/>
      <c r="BY156" s="435"/>
      <c r="BZ156" s="435"/>
      <c r="CA156" s="435"/>
      <c r="CB156" s="435"/>
      <c r="CC156" s="435"/>
      <c r="CD156" s="435"/>
      <c r="CE156" s="435"/>
      <c r="CF156" s="435"/>
      <c r="CG156" s="435"/>
      <c r="CH156" s="435"/>
      <c r="CI156" s="435"/>
      <c r="CJ156" s="426" t="str">
        <f t="shared" si="1577"/>
        <v/>
      </c>
      <c r="CK156" s="435"/>
      <c r="CL156" s="426"/>
      <c r="CM156" s="435"/>
      <c r="CN156" s="426"/>
      <c r="CO156" s="426"/>
      <c r="CP156" s="426"/>
      <c r="CQ156" s="426"/>
      <c r="CR156" s="426"/>
      <c r="CS156" s="426"/>
      <c r="CT156" s="426"/>
      <c r="CU156" s="426"/>
      <c r="CV156" s="426"/>
      <c r="CW156" s="493"/>
      <c r="CX156" s="493"/>
      <c r="CY156" s="426">
        <v>153</v>
      </c>
      <c r="CZ156" s="493"/>
      <c r="DA156" s="493"/>
      <c r="DB156" s="493"/>
      <c r="DC156" s="426" t="s">
        <v>896</v>
      </c>
      <c r="DD156" s="426" t="s">
        <v>1056</v>
      </c>
      <c r="DE156" s="435" t="str">
        <f t="shared" si="1578"/>
        <v/>
      </c>
      <c r="DF156" s="435" t="str">
        <f t="shared" si="1579"/>
        <v/>
      </c>
      <c r="DG156" s="435" t="str">
        <f t="shared" si="1580"/>
        <v/>
      </c>
      <c r="DH156" s="435" t="str">
        <f t="shared" si="1581"/>
        <v/>
      </c>
      <c r="DI156" s="435" t="str">
        <f t="shared" si="1582"/>
        <v/>
      </c>
      <c r="DJ156" s="435" t="str">
        <f t="shared" si="1583"/>
        <v/>
      </c>
      <c r="DK156" s="435" t="str">
        <f t="shared" si="1549"/>
        <v/>
      </c>
      <c r="DL156" s="435" t="str">
        <f t="shared" si="1550"/>
        <v/>
      </c>
      <c r="DM156" s="435" t="str">
        <f t="shared" si="1584"/>
        <v/>
      </c>
      <c r="DN156" s="435" t="str">
        <f t="shared" si="1585"/>
        <v/>
      </c>
      <c r="DO156" s="435" t="str">
        <f t="shared" si="1551"/>
        <v/>
      </c>
      <c r="DP156" s="435" t="str">
        <f t="shared" si="1552"/>
        <v/>
      </c>
      <c r="DQ156" s="435" t="str">
        <f t="shared" si="1586"/>
        <v/>
      </c>
      <c r="DR156" s="435" t="str">
        <f t="shared" si="1587"/>
        <v/>
      </c>
      <c r="DS156" s="435" t="str">
        <f t="shared" si="1553"/>
        <v/>
      </c>
      <c r="DT156" s="435" t="str">
        <f t="shared" si="1554"/>
        <v/>
      </c>
      <c r="DU156" s="435" t="str">
        <f t="shared" si="1588"/>
        <v/>
      </c>
      <c r="DV156" s="435" t="str">
        <f t="shared" si="1589"/>
        <v/>
      </c>
      <c r="DW156" s="435" t="str">
        <f t="shared" si="1555"/>
        <v/>
      </c>
      <c r="DX156" s="435" t="str">
        <f t="shared" si="1556"/>
        <v/>
      </c>
      <c r="DY156" s="435" t="str">
        <f t="shared" si="1590"/>
        <v/>
      </c>
      <c r="DZ156" s="435" t="str">
        <f t="shared" si="1591"/>
        <v/>
      </c>
      <c r="EA156" s="435" t="str">
        <f t="shared" si="1557"/>
        <v/>
      </c>
      <c r="EB156" s="435" t="str">
        <f t="shared" si="1558"/>
        <v/>
      </c>
      <c r="EC156" s="435" t="str">
        <f t="shared" si="1559"/>
        <v/>
      </c>
      <c r="ED156" s="435" t="str">
        <f t="shared" si="1560"/>
        <v/>
      </c>
      <c r="EE156" s="435" t="str">
        <f t="shared" si="1561"/>
        <v/>
      </c>
      <c r="EF156" s="435" t="str">
        <f t="shared" si="1562"/>
        <v/>
      </c>
      <c r="EG156" s="435" t="str">
        <f t="shared" si="1563"/>
        <v/>
      </c>
      <c r="EH156" s="435" t="str">
        <f t="shared" si="1564"/>
        <v/>
      </c>
      <c r="EI156" s="435" t="str">
        <f t="shared" si="1565"/>
        <v/>
      </c>
      <c r="EJ156" s="435" t="str">
        <f t="shared" si="1566"/>
        <v/>
      </c>
      <c r="EK156" s="485"/>
      <c r="EL156" s="485"/>
      <c r="EM156" s="485"/>
      <c r="EN156" s="485"/>
      <c r="EO156" s="448"/>
      <c r="EP156" s="448"/>
      <c r="EQ156" s="448"/>
      <c r="ER156" s="448"/>
      <c r="ES156" s="448"/>
      <c r="ET156" s="435"/>
      <c r="EU156" s="435"/>
      <c r="EV156" s="435"/>
      <c r="EW156" s="435"/>
      <c r="EX156" s="426"/>
      <c r="EY156" s="426"/>
      <c r="EZ156" s="426"/>
      <c r="FA156" s="863"/>
      <c r="FB156" s="427">
        <f t="array" ref="FB156">IF(SUM((FA156=$FA$3:FA155)*1)=0,FA156,0)</f>
        <v>0</v>
      </c>
      <c r="FC156" s="863"/>
      <c r="FD156" s="863"/>
      <c r="FE156" s="863">
        <f t="array" ref="FE156">IF(SUM((FD156=$FD$3:FD155)*1)=0,FD156,0)</f>
        <v>0</v>
      </c>
      <c r="FF156" s="863"/>
      <c r="FG156" s="863"/>
      <c r="FH156" s="863"/>
      <c r="FI156" s="427">
        <f t="array" ref="FI156">IF(SUM((FH156=$FH$3:FH155)*1)=0,FH156,0)</f>
        <v>0</v>
      </c>
      <c r="FJ156" s="863"/>
      <c r="FK156" s="863"/>
      <c r="FL156" s="863">
        <f t="array" ref="FL156">IF(SUM((FK156=$FK$3:FK155)*1)=0,FK156,0)</f>
        <v>0</v>
      </c>
      <c r="FM156" s="863"/>
      <c r="FN156" s="863"/>
      <c r="FO156" s="863"/>
      <c r="FP156" s="427">
        <f t="array" ref="FP156">IF(SUM((FO156=$FO$3:FO155)*1)=0,FO156,0)</f>
        <v>0</v>
      </c>
      <c r="FQ156" s="863"/>
      <c r="FR156" s="863"/>
      <c r="FS156" s="863">
        <f t="array" ref="FS156">IF(SUM((FR156=$FR$3:FR155)*1)=0,FR156,0)</f>
        <v>0</v>
      </c>
      <c r="FT156" s="863"/>
      <c r="FU156" s="863"/>
      <c r="FV156" s="863"/>
      <c r="FW156" s="427">
        <f t="array" ref="FW156">IF(SUM((FV156=$FV$3:FV155)*1)=0,FV156,0)</f>
        <v>0</v>
      </c>
      <c r="FX156" s="863"/>
      <c r="FY156" s="863"/>
      <c r="FZ156" s="863">
        <f t="array" ref="FZ156">IF(SUM((FY156=$FY$3:FY155)*1)=0,FY156,0)</f>
        <v>0</v>
      </c>
      <c r="GA156" s="863"/>
      <c r="GB156" s="863"/>
      <c r="GC156" s="863"/>
      <c r="GD156" s="427">
        <f t="array" ref="GD156">IF(SUM((GC156=$GC$3:GC155)*1)=0,GC156,0)</f>
        <v>0</v>
      </c>
      <c r="GE156" s="863"/>
      <c r="GF156" s="863"/>
      <c r="GG156" s="863">
        <f t="array" ref="GG156">IF(SUM((GF156=$GF$3:GF155)*1)=0,GF156,0)</f>
        <v>0</v>
      </c>
      <c r="GH156" s="863"/>
      <c r="GI156" s="863"/>
      <c r="GJ156" s="863"/>
      <c r="GK156" s="798">
        <f t="array" ref="GK156">IF(SUM((GJ156=$GJ$3:GJ155)*1)=0,GJ156,0)</f>
        <v>0</v>
      </c>
      <c r="GL156" s="863"/>
      <c r="GM156" s="863"/>
      <c r="GN156" s="798">
        <f t="array" ref="GN156">IF(SUM((GM156=$GM$3:GM155)*1)=0,GM156,0)</f>
        <v>0</v>
      </c>
      <c r="GO156" s="863"/>
      <c r="GP156" s="863"/>
      <c r="GQ156" s="863"/>
      <c r="GR156" s="798">
        <f t="array" ref="GR156">IF(SUM((GQ156=$GQ$3:GQ155)*1)=0,GQ156,0)</f>
        <v>0</v>
      </c>
      <c r="GS156" s="863"/>
      <c r="GT156" s="863"/>
      <c r="GU156" s="798">
        <f t="array" ref="GU156">IF(SUM((GT156=$GT$3:GT155)*1)=0,GT156,0)</f>
        <v>0</v>
      </c>
      <c r="GV156" s="863"/>
      <c r="GW156" s="863"/>
      <c r="GX156" s="863"/>
      <c r="GY156" s="798">
        <f t="array" ref="GY156">IF(SUM((GX156=$GX$3:GX155)*1)=0,GX156,0)</f>
        <v>0</v>
      </c>
      <c r="GZ156" s="863"/>
      <c r="HA156" s="863"/>
      <c r="HB156" s="798">
        <f t="array" ref="HB156">IF(SUM((HA156=$HA$3:HA155)*1)=0,HA156,0)</f>
        <v>0</v>
      </c>
      <c r="HC156" s="863"/>
      <c r="HD156" s="863"/>
      <c r="HE156" s="769" t="str">
        <f t="shared" si="1667"/>
        <v/>
      </c>
      <c r="HF156" s="768" t="str">
        <f t="shared" ref="HF156" si="1878">IF(HE156&lt;0,"Invadiu REP-BA-C","")</f>
        <v/>
      </c>
      <c r="HG156" s="769" t="str">
        <f t="shared" si="1669"/>
        <v/>
      </c>
      <c r="HH156" s="768" t="str">
        <f t="shared" si="1593"/>
        <v/>
      </c>
      <c r="HI156" s="728" t="str">
        <f t="shared" si="1670"/>
        <v/>
      </c>
      <c r="HJ156" s="768" t="str">
        <f t="shared" si="1594"/>
        <v/>
      </c>
      <c r="HK156" s="728" t="str">
        <f t="shared" si="1671"/>
        <v/>
      </c>
      <c r="HL156" s="768" t="str">
        <f t="shared" si="1595"/>
        <v/>
      </c>
      <c r="HM156" s="769" t="str">
        <f t="shared" si="1596"/>
        <v/>
      </c>
      <c r="HN156" s="768" t="str">
        <f t="shared" ref="HN156" si="1879">IF(HM156&lt;0,"Invadiu REP-BA-C","")</f>
        <v/>
      </c>
      <c r="HO156" s="769" t="str">
        <f t="shared" si="1598"/>
        <v/>
      </c>
      <c r="HP156" s="768" t="str">
        <f t="shared" si="1599"/>
        <v/>
      </c>
      <c r="HQ156" s="728" t="str">
        <f t="shared" si="1600"/>
        <v/>
      </c>
      <c r="HR156" s="768" t="str">
        <f t="shared" si="1601"/>
        <v/>
      </c>
      <c r="HS156" s="728" t="str">
        <f t="shared" si="1602"/>
        <v/>
      </c>
      <c r="HT156" s="768" t="str">
        <f t="shared" si="1603"/>
        <v/>
      </c>
      <c r="HU156" s="769" t="str">
        <f t="shared" si="1604"/>
        <v/>
      </c>
      <c r="HV156" s="768" t="str">
        <f t="shared" ref="HV156" si="1880">IF(HU156&lt;0,"Invadiu REP-BA-C","")</f>
        <v/>
      </c>
      <c r="HW156" s="769" t="str">
        <f t="shared" si="1606"/>
        <v/>
      </c>
      <c r="HX156" s="768" t="str">
        <f t="shared" si="1607"/>
        <v/>
      </c>
      <c r="HY156" s="728" t="str">
        <f t="shared" si="1608"/>
        <v/>
      </c>
      <c r="HZ156" s="768" t="str">
        <f t="shared" si="1609"/>
        <v/>
      </c>
      <c r="IA156" s="728" t="str">
        <f t="shared" si="1610"/>
        <v/>
      </c>
      <c r="IB156" s="768" t="str">
        <f t="shared" si="1611"/>
        <v/>
      </c>
      <c r="IC156" s="769" t="str">
        <f t="shared" si="1612"/>
        <v/>
      </c>
      <c r="ID156" s="768" t="str">
        <f t="shared" ref="ID156" si="1881">IF(IC156&lt;0,"Invadiu REP-BA-C","")</f>
        <v/>
      </c>
      <c r="IE156" s="769" t="str">
        <f t="shared" si="1614"/>
        <v/>
      </c>
      <c r="IF156" s="768" t="str">
        <f t="shared" si="1615"/>
        <v/>
      </c>
      <c r="IG156" s="728" t="str">
        <f t="shared" si="1616"/>
        <v/>
      </c>
      <c r="IH156" s="768" t="str">
        <f t="shared" si="1617"/>
        <v/>
      </c>
      <c r="II156" s="728" t="str">
        <f t="shared" si="1618"/>
        <v/>
      </c>
      <c r="IJ156" s="768" t="str">
        <f t="shared" si="1619"/>
        <v/>
      </c>
      <c r="IK156" s="769" t="str">
        <f t="shared" si="1620"/>
        <v/>
      </c>
      <c r="IL156" s="768" t="str">
        <f t="shared" ref="IL156" si="1882">IF(IK156&lt;0,"Invadiu REP-BA-C","")</f>
        <v/>
      </c>
      <c r="IM156" s="769" t="str">
        <f t="shared" si="1622"/>
        <v/>
      </c>
      <c r="IN156" s="768" t="str">
        <f t="shared" si="1623"/>
        <v/>
      </c>
      <c r="IO156" s="728" t="str">
        <f t="shared" si="1624"/>
        <v/>
      </c>
      <c r="IP156" s="768" t="str">
        <f t="shared" si="1625"/>
        <v/>
      </c>
      <c r="IQ156" s="728" t="str">
        <f t="shared" si="1626"/>
        <v/>
      </c>
      <c r="IR156" s="768" t="str">
        <f t="shared" si="1627"/>
        <v/>
      </c>
      <c r="IS156" s="769" t="str">
        <f t="shared" si="1628"/>
        <v/>
      </c>
      <c r="IT156" s="768" t="str">
        <f t="shared" ref="IT156" si="1883">IF(IS156&lt;0,"Invadiu REP-BA-C","")</f>
        <v/>
      </c>
      <c r="IU156" s="769" t="str">
        <f t="shared" si="1630"/>
        <v/>
      </c>
      <c r="IV156" s="768" t="str">
        <f t="shared" si="1631"/>
        <v/>
      </c>
      <c r="IW156" s="728" t="str">
        <f t="shared" si="1632"/>
        <v/>
      </c>
      <c r="IX156" s="768" t="str">
        <f t="shared" si="1633"/>
        <v/>
      </c>
      <c r="IY156" s="728" t="str">
        <f t="shared" si="1634"/>
        <v/>
      </c>
      <c r="IZ156" s="768" t="str">
        <f t="shared" si="1635"/>
        <v/>
      </c>
      <c r="JA156" s="769" t="str">
        <f t="shared" si="1636"/>
        <v/>
      </c>
      <c r="JB156" s="768" t="str">
        <f t="shared" ref="JB156" si="1884">IF(JA156&lt;0,"Invadiu REP-BA-C","")</f>
        <v/>
      </c>
      <c r="JC156" s="769" t="str">
        <f t="shared" si="1638"/>
        <v/>
      </c>
      <c r="JD156" s="768" t="str">
        <f t="shared" si="1639"/>
        <v/>
      </c>
      <c r="JE156" s="728" t="str">
        <f t="shared" si="1640"/>
        <v/>
      </c>
      <c r="JF156" s="768" t="str">
        <f t="shared" si="1641"/>
        <v/>
      </c>
      <c r="JG156" s="728" t="str">
        <f t="shared" si="1642"/>
        <v/>
      </c>
      <c r="JH156" s="768" t="str">
        <f t="shared" si="1643"/>
        <v/>
      </c>
      <c r="JI156" s="769" t="str">
        <f t="shared" si="1644"/>
        <v/>
      </c>
      <c r="JJ156" s="768" t="str">
        <f t="shared" ref="JJ156" si="1885">IF(JI156&lt;0,"Invadiu REP-BA-C","")</f>
        <v/>
      </c>
      <c r="JK156" s="769" t="str">
        <f t="shared" si="1646"/>
        <v/>
      </c>
      <c r="JL156" s="768" t="str">
        <f t="shared" si="1647"/>
        <v/>
      </c>
      <c r="JM156" s="728" t="str">
        <f t="shared" si="1648"/>
        <v/>
      </c>
      <c r="JN156" s="768" t="str">
        <f t="shared" si="1649"/>
        <v/>
      </c>
      <c r="JO156" s="728" t="str">
        <f t="shared" si="1650"/>
        <v/>
      </c>
      <c r="JP156" s="768" t="str">
        <f t="shared" si="1651"/>
        <v/>
      </c>
      <c r="JQ156" s="769" t="str">
        <f t="shared" si="1652"/>
        <v/>
      </c>
      <c r="JR156" s="768" t="str">
        <f t="shared" ref="JR156" si="1886">IF(JQ156&lt;0,"Invadiu REP-BA-C","")</f>
        <v/>
      </c>
      <c r="JS156" s="769" t="str">
        <f t="shared" si="1654"/>
        <v/>
      </c>
      <c r="JT156" s="768" t="str">
        <f t="shared" si="1655"/>
        <v/>
      </c>
      <c r="JU156" s="728" t="str">
        <f t="shared" si="1656"/>
        <v/>
      </c>
      <c r="JV156" s="768" t="str">
        <f t="shared" si="1657"/>
        <v/>
      </c>
      <c r="JW156" s="728" t="str">
        <f t="shared" si="1658"/>
        <v/>
      </c>
      <c r="JX156" s="768" t="str">
        <f t="shared" si="1659"/>
        <v/>
      </c>
      <c r="JY156" s="768" t="str">
        <f t="shared" si="1660"/>
        <v/>
      </c>
      <c r="JZ156" s="485" t="str">
        <f>IF(JY156="","",IF(AND(C156=$C$164,JY156&lt;&gt;""),Verificarcpf(D156),IF(AND(C156=$C$165,JY156&lt;&gt;""),VerificarCNPJ(D156))))</f>
        <v/>
      </c>
      <c r="KA156" s="768" t="str">
        <f t="shared" si="1661"/>
        <v/>
      </c>
      <c r="KB156" s="485">
        <f t="shared" si="1662"/>
        <v>0</v>
      </c>
      <c r="KC156" s="768">
        <f t="shared" si="1663"/>
        <v>0</v>
      </c>
      <c r="KD156" s="485">
        <f t="shared" si="1664"/>
        <v>0</v>
      </c>
      <c r="KE156" s="448"/>
      <c r="KF156" s="548"/>
      <c r="KG156" s="548"/>
      <c r="KH156" s="548"/>
      <c r="KI156" s="548"/>
      <c r="KJ156" s="548" t="str">
        <f t="shared" si="1665"/>
        <v/>
      </c>
      <c r="KK156" s="548"/>
      <c r="KL156" s="548"/>
      <c r="KM156" s="548">
        <f t="array" ref="KM156">IF(SUM((KL156=$KL$3:KL155)*1)=0,KL156,0)</f>
        <v>0</v>
      </c>
      <c r="KN156" s="548"/>
      <c r="KO156" s="548"/>
      <c r="KP156" s="548"/>
      <c r="KQ156" s="548"/>
      <c r="KR156" s="548" t="str">
        <f t="shared" si="1666"/>
        <v/>
      </c>
      <c r="KS156" s="548"/>
      <c r="KT156" s="548"/>
      <c r="KU156" s="548"/>
      <c r="KV156" s="548"/>
      <c r="KW156" s="548"/>
      <c r="KX156" s="548"/>
      <c r="KY156" s="548"/>
      <c r="KZ156" s="548"/>
      <c r="LA156" s="548"/>
      <c r="LB156" s="548"/>
      <c r="LC156" s="485" t="str">
        <f t="shared" si="1680"/>
        <v/>
      </c>
      <c r="LD156" s="548"/>
      <c r="LE156" s="548"/>
      <c r="LF156" s="548"/>
      <c r="LG156" s="548"/>
      <c r="LH156" s="548"/>
      <c r="LI156" s="548"/>
      <c r="LJ156" s="548"/>
      <c r="LK156" s="548"/>
      <c r="LL156" s="548"/>
      <c r="LM156" s="548"/>
      <c r="LN156" s="548"/>
      <c r="LO156" s="548"/>
      <c r="LP156" s="485" t="str">
        <f t="shared" si="1681"/>
        <v/>
      </c>
      <c r="LQ156" s="548"/>
      <c r="LR156" s="548"/>
      <c r="LS156" s="548"/>
      <c r="LT156" s="548"/>
      <c r="LU156" s="548"/>
      <c r="LV156" s="548"/>
      <c r="LW156" s="548"/>
      <c r="LX156" s="548"/>
      <c r="LY156" s="548"/>
      <c r="LZ156" s="548"/>
      <c r="MA156" s="548"/>
      <c r="MB156" s="548"/>
      <c r="MC156" s="485" t="str">
        <f t="shared" si="1682"/>
        <v/>
      </c>
      <c r="MD156" s="548"/>
      <c r="ME156" s="548"/>
      <c r="MF156" s="548"/>
      <c r="MG156" s="548"/>
      <c r="MH156" s="548"/>
      <c r="MI156" s="548"/>
      <c r="MJ156" s="548"/>
      <c r="MK156" s="548"/>
      <c r="ML156" s="548"/>
      <c r="MM156" s="548"/>
      <c r="MN156" s="548"/>
      <c r="MO156" s="548"/>
      <c r="MP156" s="485" t="str">
        <f t="shared" si="1683"/>
        <v/>
      </c>
      <c r="MQ156" s="548"/>
      <c r="MR156" s="548"/>
      <c r="MS156" s="548"/>
      <c r="MT156" s="548"/>
      <c r="MU156" s="548"/>
      <c r="MV156" s="548"/>
      <c r="MW156" s="548"/>
      <c r="MX156" s="548"/>
      <c r="MY156" s="548"/>
      <c r="MZ156" s="548"/>
      <c r="NA156" s="548"/>
      <c r="NB156" s="548"/>
      <c r="NC156" s="485" t="str">
        <f t="shared" si="1684"/>
        <v/>
      </c>
      <c r="ND156" s="548"/>
      <c r="NE156" s="548"/>
      <c r="NF156" s="548"/>
      <c r="NG156" s="548"/>
      <c r="NH156" s="548"/>
      <c r="NI156" s="548"/>
      <c r="NJ156" s="548"/>
      <c r="NK156" s="548"/>
      <c r="NL156" s="548"/>
      <c r="NM156" s="548"/>
      <c r="NN156" s="548"/>
      <c r="NO156" s="548"/>
      <c r="NP156" s="485" t="str">
        <f t="shared" si="1685"/>
        <v/>
      </c>
      <c r="NQ156" s="548"/>
      <c r="NR156" s="548"/>
      <c r="NS156" s="548"/>
      <c r="NT156" s="548"/>
      <c r="NU156" s="548"/>
      <c r="NV156" s="548"/>
      <c r="NW156" s="548"/>
      <c r="NX156" s="548"/>
      <c r="NY156" s="548"/>
      <c r="NZ156" s="548"/>
      <c r="OA156" s="548"/>
      <c r="OB156" s="548"/>
      <c r="OC156" s="485" t="str">
        <f t="shared" si="1686"/>
        <v/>
      </c>
      <c r="OD156" s="548"/>
      <c r="OE156" s="548"/>
      <c r="OF156" s="548"/>
      <c r="OG156" s="548"/>
      <c r="OH156" s="548"/>
      <c r="OI156" s="548"/>
      <c r="OJ156" s="548"/>
      <c r="OK156" s="548"/>
      <c r="OL156" s="548"/>
      <c r="OM156" s="548"/>
      <c r="ON156" s="548"/>
      <c r="OO156" s="548"/>
      <c r="OP156" s="548"/>
      <c r="OQ156" s="548"/>
      <c r="OR156" s="548"/>
      <c r="OS156" s="548"/>
      <c r="OT156" s="548"/>
      <c r="OU156" s="548"/>
      <c r="OV156" s="548"/>
      <c r="OW156" s="548"/>
      <c r="OX156" s="548"/>
      <c r="OY156" s="548"/>
      <c r="OZ156" s="548"/>
      <c r="PA156" s="548"/>
      <c r="PB156" s="548"/>
      <c r="PC156" s="548"/>
      <c r="PD156" s="548"/>
      <c r="PE156" s="548"/>
      <c r="PF156" s="548"/>
      <c r="PG156" s="548"/>
      <c r="PH156" s="548"/>
      <c r="PI156" s="548"/>
      <c r="PJ156" s="548"/>
      <c r="PK156" s="548"/>
      <c r="PL156" s="548"/>
      <c r="PM156" s="548"/>
      <c r="PN156" s="548"/>
      <c r="PO156" s="548"/>
      <c r="PP156" s="548"/>
      <c r="PQ156" s="548"/>
      <c r="PR156" s="548"/>
      <c r="PS156" s="548"/>
      <c r="PT156" s="548"/>
      <c r="PU156" s="548"/>
      <c r="PV156" s="548"/>
      <c r="PW156" s="548"/>
      <c r="PX156" s="548"/>
      <c r="PY156" s="548"/>
      <c r="PZ156" s="548"/>
      <c r="QA156" s="548"/>
      <c r="QB156" s="548"/>
      <c r="QC156" s="548"/>
      <c r="QD156" s="548"/>
      <c r="QE156" s="548"/>
      <c r="QF156" s="548"/>
      <c r="QG156" s="548"/>
      <c r="QH156" s="548"/>
      <c r="QI156" s="548"/>
      <c r="QJ156" s="548"/>
      <c r="QK156" s="548"/>
      <c r="QL156" s="548"/>
      <c r="QM156" s="548"/>
      <c r="QN156" s="548"/>
      <c r="QO156" s="548"/>
      <c r="QP156" s="548"/>
      <c r="QQ156" s="1009"/>
      <c r="QR156" s="548"/>
      <c r="QS156" s="548"/>
      <c r="QT156" s="548"/>
      <c r="QU156" s="548"/>
      <c r="QV156" s="548"/>
      <c r="QW156" s="548"/>
      <c r="QX156" s="548"/>
      <c r="QY156" s="548"/>
      <c r="QZ156" s="548"/>
      <c r="RA156" s="548"/>
      <c r="RB156" s="548"/>
      <c r="RC156" s="548"/>
      <c r="RD156" s="548"/>
      <c r="RE156" s="548"/>
      <c r="RF156" s="548"/>
      <c r="RG156" s="548"/>
      <c r="RH156" s="548"/>
      <c r="RI156" s="548"/>
      <c r="RJ156" s="548"/>
      <c r="RK156" s="548"/>
      <c r="RL156" s="548"/>
      <c r="RM156" s="548"/>
      <c r="RN156" s="548"/>
      <c r="RO156" s="548"/>
      <c r="RP156" s="548"/>
      <c r="RQ156" s="548"/>
      <c r="RR156" s="548"/>
      <c r="RS156" s="548"/>
      <c r="RT156" s="548"/>
      <c r="RU156" s="548"/>
      <c r="RV156" s="548"/>
      <c r="RW156" s="548"/>
      <c r="RX156" s="548"/>
      <c r="RY156" s="548"/>
      <c r="RZ156" s="548"/>
      <c r="SA156" s="548"/>
      <c r="SB156" s="548"/>
      <c r="SC156" s="548"/>
      <c r="SD156" s="548"/>
      <c r="SE156" s="548"/>
      <c r="SF156" s="548"/>
      <c r="SG156" s="548"/>
      <c r="SH156" s="548"/>
      <c r="SI156" s="548"/>
      <c r="SJ156" s="548"/>
      <c r="SK156" s="548"/>
      <c r="SL156" s="548"/>
      <c r="SM156" s="548"/>
      <c r="SN156" s="548"/>
      <c r="SO156" s="548"/>
      <c r="SP156" s="548"/>
      <c r="SQ156" s="548"/>
      <c r="SR156" s="548"/>
      <c r="SS156" s="548"/>
      <c r="ST156" s="548"/>
      <c r="SU156" s="548"/>
      <c r="SV156" s="548"/>
      <c r="SW156" s="548"/>
      <c r="SX156" s="548"/>
      <c r="SY156" s="548"/>
      <c r="SZ156" s="548"/>
      <c r="TA156" s="548"/>
      <c r="TB156" s="548"/>
      <c r="TC156" s="548"/>
      <c r="TD156" s="548"/>
      <c r="TE156" s="548"/>
      <c r="TF156" s="548"/>
      <c r="TG156" s="548"/>
      <c r="TH156" s="548"/>
      <c r="TI156" s="548"/>
      <c r="TJ156" s="548"/>
      <c r="TK156" s="548"/>
      <c r="TL156" s="548"/>
      <c r="TM156" s="548"/>
      <c r="TN156" s="548"/>
      <c r="TO156" s="548"/>
      <c r="TP156" s="548"/>
      <c r="TQ156" s="548"/>
      <c r="TR156" s="548"/>
      <c r="TS156" s="548"/>
      <c r="TT156" s="548"/>
      <c r="TU156" s="548"/>
      <c r="TV156" s="548"/>
      <c r="TW156" s="548"/>
      <c r="TX156" s="548"/>
      <c r="TY156" s="548"/>
      <c r="TZ156" s="548"/>
      <c r="UA156" s="548"/>
      <c r="UB156" s="548"/>
      <c r="UC156" s="548"/>
      <c r="UD156" s="548"/>
      <c r="UE156" s="548"/>
      <c r="UF156" s="548"/>
      <c r="UG156" s="548"/>
      <c r="UH156" s="548"/>
      <c r="UI156" s="548"/>
      <c r="UJ156" s="548"/>
      <c r="UK156" s="548"/>
      <c r="UL156" s="548"/>
      <c r="UM156" s="548"/>
      <c r="UN156" s="548"/>
      <c r="UO156" s="548"/>
      <c r="UP156" s="548"/>
      <c r="UQ156" s="548"/>
      <c r="UR156" s="548"/>
      <c r="US156" s="548"/>
      <c r="UT156" s="548"/>
      <c r="UU156" s="548"/>
      <c r="UV156" s="548"/>
      <c r="UW156" s="548"/>
      <c r="UX156" s="548"/>
      <c r="UY156" s="548"/>
      <c r="UZ156" s="548"/>
      <c r="VA156" s="548"/>
      <c r="VB156" s="548"/>
      <c r="VC156" s="548"/>
      <c r="VD156" s="548"/>
      <c r="VE156" s="548"/>
      <c r="VF156" s="548"/>
      <c r="VG156" s="548"/>
      <c r="VH156" s="548"/>
      <c r="VI156" s="548"/>
      <c r="VJ156" s="548"/>
      <c r="VK156" s="548"/>
      <c r="VL156" s="548"/>
      <c r="VM156" s="548"/>
      <c r="VN156" s="548"/>
      <c r="VO156" s="548"/>
      <c r="VP156" s="548"/>
      <c r="VQ156" s="548"/>
      <c r="VR156" s="548"/>
      <c r="VS156" s="548"/>
      <c r="VT156" s="548"/>
      <c r="VU156" s="548"/>
      <c r="VV156" s="548"/>
      <c r="VW156" s="548"/>
      <c r="VX156" s="548"/>
      <c r="VY156" s="548"/>
      <c r="VZ156" s="548"/>
      <c r="WA156" s="548"/>
      <c r="WB156" s="548"/>
      <c r="WC156" s="548"/>
      <c r="WD156" s="548"/>
      <c r="WE156" s="548"/>
      <c r="WF156" s="548"/>
      <c r="WG156" s="548"/>
      <c r="WH156" s="548"/>
      <c r="WI156" s="548"/>
      <c r="WJ156" s="548"/>
      <c r="WK156" s="548"/>
      <c r="WL156" s="548"/>
      <c r="WM156" s="548"/>
      <c r="WN156" s="548"/>
      <c r="WO156" s="548"/>
      <c r="WP156" s="548"/>
      <c r="WQ156" s="548"/>
      <c r="WR156" s="548"/>
      <c r="WS156" s="548"/>
      <c r="WT156" s="548"/>
      <c r="WU156" s="548"/>
      <c r="WV156" s="548"/>
      <c r="WW156" s="548"/>
      <c r="WX156" s="548"/>
      <c r="WY156" s="548"/>
      <c r="WZ156" s="548"/>
      <c r="XA156" s="548"/>
      <c r="XB156" s="548"/>
      <c r="XC156" s="548"/>
      <c r="XD156" s="548"/>
      <c r="XE156" s="548"/>
      <c r="XF156" s="548"/>
      <c r="XG156" s="548"/>
      <c r="XH156" s="548"/>
      <c r="XI156" s="548"/>
      <c r="XJ156" s="548"/>
      <c r="XK156" s="548"/>
      <c r="XL156" s="548"/>
      <c r="XM156" s="548"/>
      <c r="XN156" s="548"/>
      <c r="XO156" s="548"/>
      <c r="XP156" s="548"/>
      <c r="XQ156" s="548"/>
      <c r="XR156" s="548"/>
      <c r="XS156" s="548"/>
      <c r="XT156" s="548"/>
      <c r="XU156" s="548"/>
      <c r="XV156" s="548"/>
      <c r="XW156" s="548"/>
      <c r="XX156" s="548"/>
      <c r="XY156" s="548"/>
      <c r="XZ156" s="548"/>
      <c r="YA156" s="548"/>
      <c r="YB156" s="548"/>
      <c r="YC156" s="548"/>
      <c r="YD156" s="548"/>
      <c r="YE156" s="548"/>
      <c r="YF156" s="548"/>
      <c r="YG156" s="548"/>
      <c r="YH156" s="548"/>
      <c r="YI156" s="548"/>
      <c r="YJ156" s="548"/>
      <c r="YK156" s="548"/>
      <c r="YL156" s="548"/>
      <c r="YM156" s="548"/>
      <c r="YN156" s="548"/>
      <c r="YO156" s="548"/>
      <c r="YP156" s="548"/>
      <c r="YQ156" s="548"/>
      <c r="YR156" s="548"/>
      <c r="YS156" s="548"/>
      <c r="YT156" s="548"/>
      <c r="YU156" s="548"/>
      <c r="YV156" s="548"/>
      <c r="YW156" s="548"/>
      <c r="YX156" s="548"/>
      <c r="YY156" s="548"/>
      <c r="YZ156" s="548"/>
      <c r="ZA156" s="548"/>
      <c r="ZB156" s="548"/>
      <c r="ZC156" s="548"/>
      <c r="ZD156" s="548"/>
      <c r="ZE156" s="548"/>
      <c r="ZF156" s="548"/>
      <c r="ZG156" s="548"/>
      <c r="ZH156" s="548"/>
      <c r="ZI156" s="548"/>
      <c r="ZJ156" s="548"/>
      <c r="ZK156" s="548"/>
      <c r="ZL156" s="548"/>
      <c r="ZM156" s="548"/>
      <c r="ZN156" s="548"/>
      <c r="ZO156" s="548"/>
      <c r="ZP156" s="548"/>
      <c r="ZQ156" s="548"/>
      <c r="ZR156" s="548"/>
      <c r="ZS156" s="548"/>
      <c r="ZT156" s="548"/>
      <c r="ZU156" s="548"/>
      <c r="ZV156" s="548"/>
      <c r="ZW156" s="548"/>
      <c r="ZX156" s="548"/>
      <c r="ZY156" s="548"/>
      <c r="ZZ156" s="548"/>
      <c r="AAA156" s="548"/>
      <c r="AAB156" s="548"/>
      <c r="AAC156" s="548"/>
      <c r="AAD156" s="548"/>
      <c r="AAE156" s="548"/>
      <c r="AAF156" s="548"/>
      <c r="AAG156" s="548"/>
      <c r="AAH156" s="548"/>
      <c r="AAI156" s="548"/>
      <c r="AAJ156" s="548"/>
      <c r="AAK156" s="548"/>
      <c r="AAL156" s="548"/>
      <c r="AAM156" s="548"/>
      <c r="AAN156" s="548"/>
      <c r="AAO156" s="548"/>
      <c r="AAP156" s="548"/>
      <c r="AAQ156" s="548"/>
      <c r="AAR156" s="548"/>
      <c r="AAS156" s="548"/>
      <c r="AAT156" s="548"/>
      <c r="AAU156" s="548"/>
      <c r="AAV156" s="548"/>
      <c r="AAW156" s="548"/>
      <c r="AAX156" s="548"/>
      <c r="AAY156" s="548"/>
      <c r="AAZ156" s="548"/>
      <c r="ABA156" s="548"/>
      <c r="ABB156" s="548"/>
      <c r="ABC156" s="548"/>
      <c r="ABD156" s="548"/>
      <c r="ABE156" s="548"/>
      <c r="ABF156" s="548"/>
      <c r="ABG156" s="548"/>
      <c r="ABH156" s="548"/>
      <c r="ABI156" s="548"/>
      <c r="ABJ156" s="548"/>
      <c r="ABK156" s="548"/>
      <c r="ABL156" s="548"/>
      <c r="ABM156" s="548"/>
      <c r="ABN156" s="548"/>
      <c r="ABO156" s="548"/>
      <c r="ABP156" s="548"/>
      <c r="ABQ156" s="548"/>
      <c r="ABR156" s="548"/>
      <c r="ABS156" s="548"/>
    </row>
    <row r="157" spans="1:747" customFormat="1" ht="15" customHeight="1" x14ac:dyDescent="0.2">
      <c r="A157" s="424" t="str">
        <f t="shared" si="1687"/>
        <v/>
      </c>
      <c r="B157" s="415"/>
      <c r="C157" s="525"/>
      <c r="D157" s="750"/>
      <c r="E157" s="416" t="str">
        <f t="shared" si="1529"/>
        <v/>
      </c>
      <c r="F157" s="527" t="str">
        <f t="shared" si="1530"/>
        <v/>
      </c>
      <c r="G157" s="417"/>
      <c r="H157" s="585" t="str">
        <f t="shared" si="1531"/>
        <v/>
      </c>
      <c r="I157" s="424"/>
      <c r="J157" s="419"/>
      <c r="K157" s="418"/>
      <c r="L157" s="419"/>
      <c r="M157" s="415"/>
      <c r="N157" s="420"/>
      <c r="O157" s="421"/>
      <c r="P157" s="561"/>
      <c r="Q157" s="422"/>
      <c r="R157" s="561" t="str">
        <f t="shared" si="1532"/>
        <v/>
      </c>
      <c r="S157" s="664"/>
      <c r="T157" s="663"/>
      <c r="U157" s="580">
        <f t="shared" si="1533"/>
        <v>0</v>
      </c>
      <c r="V157" s="418"/>
      <c r="W157" s="582" t="str">
        <f t="shared" si="1534"/>
        <v/>
      </c>
      <c r="X157" s="479" t="str">
        <f t="shared" si="1535"/>
        <v/>
      </c>
      <c r="Y157" s="582" t="str">
        <f t="shared" si="1536"/>
        <v/>
      </c>
      <c r="Z157" s="317" t="str">
        <f t="shared" si="1537"/>
        <v/>
      </c>
      <c r="AA157" s="317" t="str">
        <f t="shared" si="1538"/>
        <v/>
      </c>
      <c r="AB157" s="317">
        <f t="shared" si="1539"/>
        <v>0</v>
      </c>
      <c r="AC157" s="317" t="str">
        <f t="shared" si="1540"/>
        <v/>
      </c>
      <c r="AD157" s="479"/>
      <c r="AE157" s="479"/>
      <c r="AF157" s="479"/>
      <c r="AG157" s="423"/>
      <c r="AH157" s="820"/>
      <c r="AI157" s="437"/>
      <c r="AJ157" s="660"/>
      <c r="AK157" s="524" t="str">
        <f t="shared" si="1541"/>
        <v/>
      </c>
      <c r="AL157" s="731">
        <f t="shared" si="1832"/>
        <v>0</v>
      </c>
      <c r="AM157" s="732">
        <f t="shared" si="1832"/>
        <v>0</v>
      </c>
      <c r="AN157" s="426">
        <f t="shared" si="1542"/>
        <v>0</v>
      </c>
      <c r="AO157" s="427" t="str">
        <f t="shared" si="1543"/>
        <v/>
      </c>
      <c r="AP157" s="426" t="str">
        <f t="shared" si="1544"/>
        <v/>
      </c>
      <c r="AQ157" s="426"/>
      <c r="AR157" s="426"/>
      <c r="AS157" s="428"/>
      <c r="AT157" s="429"/>
      <c r="AU157" s="430"/>
      <c r="AV157" s="431"/>
      <c r="AW157" s="432"/>
      <c r="AX157" s="430"/>
      <c r="AY157" s="431">
        <f t="shared" si="1545"/>
        <v>0</v>
      </c>
      <c r="AZ157" s="426"/>
      <c r="BA157" s="435" t="str">
        <f t="shared" si="1546"/>
        <v/>
      </c>
      <c r="BB157" s="435"/>
      <c r="BC157" s="426"/>
      <c r="BD157" s="426">
        <f t="array" ref="BD157">IF(SUM((BC157=$BC$3:BC156)*1)=0,BC157,0)</f>
        <v>0</v>
      </c>
      <c r="BE157" s="426"/>
      <c r="BF157" s="426"/>
      <c r="BG157" s="426">
        <f t="array" ref="BG157">IF(SUM((BF157=$BF$3:BF156)*1)=0,BF157,0)</f>
        <v>0</v>
      </c>
      <c r="BH157" s="426"/>
      <c r="BI157" s="426"/>
      <c r="BJ157" s="426"/>
      <c r="BK157" s="426"/>
      <c r="BL157" s="426"/>
      <c r="BM157" s="426"/>
      <c r="BN157" s="426"/>
      <c r="BO157" s="426"/>
      <c r="BP157" s="433">
        <f t="shared" si="1547"/>
        <v>0</v>
      </c>
      <c r="BQ157" s="426"/>
      <c r="BR157" s="434"/>
      <c r="BS157" s="426"/>
      <c r="BT157" s="433"/>
      <c r="BU157" s="435"/>
      <c r="BV157" s="435" t="str">
        <f t="shared" si="1548"/>
        <v/>
      </c>
      <c r="BW157" s="435" t="str">
        <f t="shared" si="1576"/>
        <v/>
      </c>
      <c r="BX157" s="435"/>
      <c r="BY157" s="435"/>
      <c r="BZ157" s="435"/>
      <c r="CA157" s="435"/>
      <c r="CB157" s="435"/>
      <c r="CC157" s="435"/>
      <c r="CD157" s="435"/>
      <c r="CE157" s="435"/>
      <c r="CF157" s="435"/>
      <c r="CG157" s="435"/>
      <c r="CH157" s="435"/>
      <c r="CI157" s="435"/>
      <c r="CJ157" s="426" t="str">
        <f t="shared" si="1577"/>
        <v/>
      </c>
      <c r="CK157" s="435"/>
      <c r="CL157" s="426"/>
      <c r="CM157" s="435"/>
      <c r="CN157" s="426"/>
      <c r="CO157" s="426"/>
      <c r="CP157" s="426"/>
      <c r="CQ157" s="426"/>
      <c r="CR157" s="426"/>
      <c r="CS157" s="426"/>
      <c r="CT157" s="426"/>
      <c r="CU157" s="426"/>
      <c r="CV157" s="426"/>
      <c r="CW157" s="493"/>
      <c r="CX157" s="493"/>
      <c r="CY157" s="426">
        <v>154</v>
      </c>
      <c r="CZ157" s="493"/>
      <c r="DA157" s="493"/>
      <c r="DB157" s="493"/>
      <c r="DC157" s="426" t="s">
        <v>897</v>
      </c>
      <c r="DD157" s="426" t="s">
        <v>1057</v>
      </c>
      <c r="DE157" s="435" t="str">
        <f t="shared" si="1578"/>
        <v/>
      </c>
      <c r="DF157" s="435" t="str">
        <f t="shared" si="1579"/>
        <v/>
      </c>
      <c r="DG157" s="435" t="str">
        <f t="shared" si="1580"/>
        <v/>
      </c>
      <c r="DH157" s="435" t="str">
        <f t="shared" si="1581"/>
        <v/>
      </c>
      <c r="DI157" s="435" t="str">
        <f t="shared" si="1582"/>
        <v/>
      </c>
      <c r="DJ157" s="435" t="str">
        <f t="shared" si="1583"/>
        <v/>
      </c>
      <c r="DK157" s="435" t="str">
        <f t="shared" si="1549"/>
        <v/>
      </c>
      <c r="DL157" s="435" t="str">
        <f t="shared" si="1550"/>
        <v/>
      </c>
      <c r="DM157" s="435" t="str">
        <f t="shared" si="1584"/>
        <v/>
      </c>
      <c r="DN157" s="435" t="str">
        <f t="shared" si="1585"/>
        <v/>
      </c>
      <c r="DO157" s="435" t="str">
        <f t="shared" si="1551"/>
        <v/>
      </c>
      <c r="DP157" s="435" t="str">
        <f t="shared" si="1552"/>
        <v/>
      </c>
      <c r="DQ157" s="435" t="str">
        <f t="shared" si="1586"/>
        <v/>
      </c>
      <c r="DR157" s="435" t="str">
        <f t="shared" si="1587"/>
        <v/>
      </c>
      <c r="DS157" s="435" t="str">
        <f t="shared" si="1553"/>
        <v/>
      </c>
      <c r="DT157" s="435" t="str">
        <f t="shared" si="1554"/>
        <v/>
      </c>
      <c r="DU157" s="435" t="str">
        <f t="shared" si="1588"/>
        <v/>
      </c>
      <c r="DV157" s="435" t="str">
        <f t="shared" si="1589"/>
        <v/>
      </c>
      <c r="DW157" s="435" t="str">
        <f t="shared" si="1555"/>
        <v/>
      </c>
      <c r="DX157" s="435" t="str">
        <f t="shared" si="1556"/>
        <v/>
      </c>
      <c r="DY157" s="435" t="str">
        <f t="shared" si="1590"/>
        <v/>
      </c>
      <c r="DZ157" s="435" t="str">
        <f t="shared" si="1591"/>
        <v/>
      </c>
      <c r="EA157" s="435" t="str">
        <f t="shared" si="1557"/>
        <v/>
      </c>
      <c r="EB157" s="435" t="str">
        <f t="shared" si="1558"/>
        <v/>
      </c>
      <c r="EC157" s="435" t="str">
        <f t="shared" si="1559"/>
        <v/>
      </c>
      <c r="ED157" s="435" t="str">
        <f t="shared" si="1560"/>
        <v/>
      </c>
      <c r="EE157" s="435" t="str">
        <f t="shared" si="1561"/>
        <v/>
      </c>
      <c r="EF157" s="435" t="str">
        <f t="shared" si="1562"/>
        <v/>
      </c>
      <c r="EG157" s="435" t="str">
        <f t="shared" si="1563"/>
        <v/>
      </c>
      <c r="EH157" s="435" t="str">
        <f t="shared" si="1564"/>
        <v/>
      </c>
      <c r="EI157" s="435" t="str">
        <f t="shared" si="1565"/>
        <v/>
      </c>
      <c r="EJ157" s="435" t="str">
        <f t="shared" si="1566"/>
        <v/>
      </c>
      <c r="EK157" s="485"/>
      <c r="EL157" s="485"/>
      <c r="EM157" s="485"/>
      <c r="EN157" s="485"/>
      <c r="EO157" s="448"/>
      <c r="EP157" s="448"/>
      <c r="EQ157" s="448"/>
      <c r="ER157" s="448"/>
      <c r="ES157" s="448"/>
      <c r="ET157" s="435"/>
      <c r="EU157" s="435"/>
      <c r="EV157" s="435"/>
      <c r="EW157" s="435"/>
      <c r="EX157" s="426"/>
      <c r="EY157" s="426"/>
      <c r="EZ157" s="426"/>
      <c r="FA157" s="863"/>
      <c r="FB157" s="427">
        <f t="array" ref="FB157">IF(SUM((FA157=$FA$3:FA156)*1)=0,FA157,0)</f>
        <v>0</v>
      </c>
      <c r="FC157" s="863"/>
      <c r="FD157" s="863"/>
      <c r="FE157" s="863">
        <f t="array" ref="FE157">IF(SUM((FD157=$FD$3:FD156)*1)=0,FD157,0)</f>
        <v>0</v>
      </c>
      <c r="FF157" s="863"/>
      <c r="FG157" s="863"/>
      <c r="FH157" s="863"/>
      <c r="FI157" s="427">
        <f t="array" ref="FI157">IF(SUM((FH157=$FH$3:FH156)*1)=0,FH157,0)</f>
        <v>0</v>
      </c>
      <c r="FJ157" s="863"/>
      <c r="FK157" s="863"/>
      <c r="FL157" s="863">
        <f t="array" ref="FL157">IF(SUM((FK157=$FK$3:FK156)*1)=0,FK157,0)</f>
        <v>0</v>
      </c>
      <c r="FM157" s="863"/>
      <c r="FN157" s="863"/>
      <c r="FO157" s="863"/>
      <c r="FP157" s="427">
        <f t="array" ref="FP157">IF(SUM((FO157=$FO$3:FO156)*1)=0,FO157,0)</f>
        <v>0</v>
      </c>
      <c r="FQ157" s="863"/>
      <c r="FR157" s="863"/>
      <c r="FS157" s="863">
        <f t="array" ref="FS157">IF(SUM((FR157=$FR$3:FR156)*1)=0,FR157,0)</f>
        <v>0</v>
      </c>
      <c r="FT157" s="863"/>
      <c r="FU157" s="863"/>
      <c r="FV157" s="863"/>
      <c r="FW157" s="427">
        <f t="array" ref="FW157">IF(SUM((FV157=$FV$3:FV156)*1)=0,FV157,0)</f>
        <v>0</v>
      </c>
      <c r="FX157" s="863"/>
      <c r="FY157" s="863"/>
      <c r="FZ157" s="863">
        <f t="array" ref="FZ157">IF(SUM((FY157=$FY$3:FY156)*1)=0,FY157,0)</f>
        <v>0</v>
      </c>
      <c r="GA157" s="863"/>
      <c r="GB157" s="863"/>
      <c r="GC157" s="863"/>
      <c r="GD157" s="427">
        <f t="array" ref="GD157">IF(SUM((GC157=$GC$3:GC156)*1)=0,GC157,0)</f>
        <v>0</v>
      </c>
      <c r="GE157" s="863"/>
      <c r="GF157" s="863"/>
      <c r="GG157" s="863">
        <f t="array" ref="GG157">IF(SUM((GF157=$GF$3:GF156)*1)=0,GF157,0)</f>
        <v>0</v>
      </c>
      <c r="GH157" s="863"/>
      <c r="GI157" s="863"/>
      <c r="GJ157" s="863"/>
      <c r="GK157" s="798">
        <f t="array" ref="GK157">IF(SUM((GJ157=$GJ$3:GJ156)*1)=0,GJ157,0)</f>
        <v>0</v>
      </c>
      <c r="GL157" s="863"/>
      <c r="GM157" s="863"/>
      <c r="GN157" s="798">
        <f t="array" ref="GN157">IF(SUM((GM157=$GM$3:GM156)*1)=0,GM157,0)</f>
        <v>0</v>
      </c>
      <c r="GO157" s="863"/>
      <c r="GP157" s="863"/>
      <c r="GQ157" s="863"/>
      <c r="GR157" s="798">
        <f t="array" ref="GR157">IF(SUM((GQ157=$GQ$3:GQ156)*1)=0,GQ157,0)</f>
        <v>0</v>
      </c>
      <c r="GS157" s="863"/>
      <c r="GT157" s="863"/>
      <c r="GU157" s="798">
        <f t="array" ref="GU157">IF(SUM((GT157=$GT$3:GT156)*1)=0,GT157,0)</f>
        <v>0</v>
      </c>
      <c r="GV157" s="863"/>
      <c r="GW157" s="863"/>
      <c r="GX157" s="863"/>
      <c r="GY157" s="798">
        <f t="array" ref="GY157">IF(SUM((GX157=$GX$3:GX156)*1)=0,GX157,0)</f>
        <v>0</v>
      </c>
      <c r="GZ157" s="863"/>
      <c r="HA157" s="863"/>
      <c r="HB157" s="798">
        <f t="array" ref="HB157">IF(SUM((HA157=$HA$3:HA156)*1)=0,HA157,0)</f>
        <v>0</v>
      </c>
      <c r="HC157" s="863"/>
      <c r="HD157" s="863"/>
      <c r="HE157" s="769" t="str">
        <f t="shared" si="1667"/>
        <v/>
      </c>
      <c r="HF157" s="768" t="str">
        <f t="shared" ref="HF157" si="1887">IF(HE157&lt;0,"Invadiu REP-BA-C","")</f>
        <v/>
      </c>
      <c r="HG157" s="769" t="str">
        <f t="shared" si="1669"/>
        <v/>
      </c>
      <c r="HH157" s="768" t="str">
        <f t="shared" si="1593"/>
        <v/>
      </c>
      <c r="HI157" s="728" t="str">
        <f t="shared" si="1670"/>
        <v/>
      </c>
      <c r="HJ157" s="768" t="str">
        <f t="shared" si="1594"/>
        <v/>
      </c>
      <c r="HK157" s="728" t="str">
        <f t="shared" si="1671"/>
        <v/>
      </c>
      <c r="HL157" s="768" t="str">
        <f t="shared" si="1595"/>
        <v/>
      </c>
      <c r="HM157" s="769" t="str">
        <f t="shared" si="1596"/>
        <v/>
      </c>
      <c r="HN157" s="768" t="str">
        <f t="shared" ref="HN157" si="1888">IF(HM157&lt;0,"Invadiu REP-BA-C","")</f>
        <v/>
      </c>
      <c r="HO157" s="769" t="str">
        <f t="shared" si="1598"/>
        <v/>
      </c>
      <c r="HP157" s="768" t="str">
        <f t="shared" si="1599"/>
        <v/>
      </c>
      <c r="HQ157" s="728" t="str">
        <f t="shared" si="1600"/>
        <v/>
      </c>
      <c r="HR157" s="768" t="str">
        <f t="shared" si="1601"/>
        <v/>
      </c>
      <c r="HS157" s="728" t="str">
        <f t="shared" si="1602"/>
        <v/>
      </c>
      <c r="HT157" s="768" t="str">
        <f t="shared" si="1603"/>
        <v/>
      </c>
      <c r="HU157" s="769" t="str">
        <f t="shared" si="1604"/>
        <v/>
      </c>
      <c r="HV157" s="768" t="str">
        <f t="shared" ref="HV157" si="1889">IF(HU157&lt;0,"Invadiu REP-BA-C","")</f>
        <v/>
      </c>
      <c r="HW157" s="769" t="str">
        <f t="shared" si="1606"/>
        <v/>
      </c>
      <c r="HX157" s="768" t="str">
        <f t="shared" si="1607"/>
        <v/>
      </c>
      <c r="HY157" s="728" t="str">
        <f t="shared" si="1608"/>
        <v/>
      </c>
      <c r="HZ157" s="768" t="str">
        <f t="shared" si="1609"/>
        <v/>
      </c>
      <c r="IA157" s="728" t="str">
        <f t="shared" si="1610"/>
        <v/>
      </c>
      <c r="IB157" s="768" t="str">
        <f t="shared" si="1611"/>
        <v/>
      </c>
      <c r="IC157" s="769" t="str">
        <f t="shared" si="1612"/>
        <v/>
      </c>
      <c r="ID157" s="768" t="str">
        <f t="shared" ref="ID157" si="1890">IF(IC157&lt;0,"Invadiu REP-BA-C","")</f>
        <v/>
      </c>
      <c r="IE157" s="769" t="str">
        <f t="shared" si="1614"/>
        <v/>
      </c>
      <c r="IF157" s="768" t="str">
        <f t="shared" si="1615"/>
        <v/>
      </c>
      <c r="IG157" s="728" t="str">
        <f t="shared" si="1616"/>
        <v/>
      </c>
      <c r="IH157" s="768" t="str">
        <f t="shared" si="1617"/>
        <v/>
      </c>
      <c r="II157" s="728" t="str">
        <f t="shared" si="1618"/>
        <v/>
      </c>
      <c r="IJ157" s="768" t="str">
        <f t="shared" si="1619"/>
        <v/>
      </c>
      <c r="IK157" s="769" t="str">
        <f t="shared" si="1620"/>
        <v/>
      </c>
      <c r="IL157" s="768" t="str">
        <f t="shared" ref="IL157" si="1891">IF(IK157&lt;0,"Invadiu REP-BA-C","")</f>
        <v/>
      </c>
      <c r="IM157" s="769" t="str">
        <f t="shared" si="1622"/>
        <v/>
      </c>
      <c r="IN157" s="768" t="str">
        <f t="shared" si="1623"/>
        <v/>
      </c>
      <c r="IO157" s="728" t="str">
        <f t="shared" si="1624"/>
        <v/>
      </c>
      <c r="IP157" s="768" t="str">
        <f t="shared" si="1625"/>
        <v/>
      </c>
      <c r="IQ157" s="728" t="str">
        <f t="shared" si="1626"/>
        <v/>
      </c>
      <c r="IR157" s="768" t="str">
        <f t="shared" si="1627"/>
        <v/>
      </c>
      <c r="IS157" s="769" t="str">
        <f t="shared" si="1628"/>
        <v/>
      </c>
      <c r="IT157" s="768" t="str">
        <f t="shared" ref="IT157" si="1892">IF(IS157&lt;0,"Invadiu REP-BA-C","")</f>
        <v/>
      </c>
      <c r="IU157" s="769" t="str">
        <f t="shared" si="1630"/>
        <v/>
      </c>
      <c r="IV157" s="768" t="str">
        <f t="shared" si="1631"/>
        <v/>
      </c>
      <c r="IW157" s="728" t="str">
        <f t="shared" si="1632"/>
        <v/>
      </c>
      <c r="IX157" s="768" t="str">
        <f t="shared" si="1633"/>
        <v/>
      </c>
      <c r="IY157" s="728" t="str">
        <f t="shared" si="1634"/>
        <v/>
      </c>
      <c r="IZ157" s="768" t="str">
        <f t="shared" si="1635"/>
        <v/>
      </c>
      <c r="JA157" s="769" t="str">
        <f t="shared" si="1636"/>
        <v/>
      </c>
      <c r="JB157" s="768" t="str">
        <f t="shared" ref="JB157" si="1893">IF(JA157&lt;0,"Invadiu REP-BA-C","")</f>
        <v/>
      </c>
      <c r="JC157" s="769" t="str">
        <f t="shared" si="1638"/>
        <v/>
      </c>
      <c r="JD157" s="768" t="str">
        <f t="shared" si="1639"/>
        <v/>
      </c>
      <c r="JE157" s="728" t="str">
        <f t="shared" si="1640"/>
        <v/>
      </c>
      <c r="JF157" s="768" t="str">
        <f t="shared" si="1641"/>
        <v/>
      </c>
      <c r="JG157" s="728" t="str">
        <f t="shared" si="1642"/>
        <v/>
      </c>
      <c r="JH157" s="768" t="str">
        <f t="shared" si="1643"/>
        <v/>
      </c>
      <c r="JI157" s="769" t="str">
        <f t="shared" si="1644"/>
        <v/>
      </c>
      <c r="JJ157" s="768" t="str">
        <f t="shared" ref="JJ157" si="1894">IF(JI157&lt;0,"Invadiu REP-BA-C","")</f>
        <v/>
      </c>
      <c r="JK157" s="769" t="str">
        <f t="shared" si="1646"/>
        <v/>
      </c>
      <c r="JL157" s="768" t="str">
        <f t="shared" si="1647"/>
        <v/>
      </c>
      <c r="JM157" s="728" t="str">
        <f t="shared" si="1648"/>
        <v/>
      </c>
      <c r="JN157" s="768" t="str">
        <f t="shared" si="1649"/>
        <v/>
      </c>
      <c r="JO157" s="728" t="str">
        <f t="shared" si="1650"/>
        <v/>
      </c>
      <c r="JP157" s="768" t="str">
        <f t="shared" si="1651"/>
        <v/>
      </c>
      <c r="JQ157" s="769" t="str">
        <f t="shared" si="1652"/>
        <v/>
      </c>
      <c r="JR157" s="768" t="str">
        <f t="shared" ref="JR157" si="1895">IF(JQ157&lt;0,"Invadiu REP-BA-C","")</f>
        <v/>
      </c>
      <c r="JS157" s="769" t="str">
        <f t="shared" si="1654"/>
        <v/>
      </c>
      <c r="JT157" s="768" t="str">
        <f t="shared" si="1655"/>
        <v/>
      </c>
      <c r="JU157" s="728" t="str">
        <f t="shared" si="1656"/>
        <v/>
      </c>
      <c r="JV157" s="768" t="str">
        <f t="shared" si="1657"/>
        <v/>
      </c>
      <c r="JW157" s="728" t="str">
        <f t="shared" si="1658"/>
        <v/>
      </c>
      <c r="JX157" s="768" t="str">
        <f t="shared" si="1659"/>
        <v/>
      </c>
      <c r="JY157" s="768" t="str">
        <f t="shared" si="1660"/>
        <v/>
      </c>
      <c r="JZ157" s="485" t="str">
        <f>IF(JY157="","",IF(AND(C157=$C$164,JY157&lt;&gt;""),Verificarcpf(D157),IF(AND(C157=$C$165,JY157&lt;&gt;""),VerificarCNPJ(D157))))</f>
        <v/>
      </c>
      <c r="KA157" s="768" t="str">
        <f t="shared" si="1661"/>
        <v/>
      </c>
      <c r="KB157" s="485">
        <f t="shared" si="1662"/>
        <v>0</v>
      </c>
      <c r="KC157" s="768">
        <f t="shared" si="1663"/>
        <v>0</v>
      </c>
      <c r="KD157" s="485">
        <f t="shared" si="1664"/>
        <v>0</v>
      </c>
      <c r="KE157" s="448"/>
      <c r="KF157" s="548"/>
      <c r="KG157" s="548"/>
      <c r="KH157" s="548"/>
      <c r="KI157" s="548"/>
      <c r="KJ157" s="548" t="str">
        <f t="shared" si="1665"/>
        <v/>
      </c>
      <c r="KK157" s="548"/>
      <c r="KL157" s="548"/>
      <c r="KM157" s="548">
        <f t="array" ref="KM157">IF(SUM((KL157=$KL$3:KL156)*1)=0,KL157,0)</f>
        <v>0</v>
      </c>
      <c r="KN157" s="548"/>
      <c r="KO157" s="548"/>
      <c r="KP157" s="548"/>
      <c r="KQ157" s="548"/>
      <c r="KR157" s="548" t="str">
        <f t="shared" si="1666"/>
        <v/>
      </c>
      <c r="KS157" s="548"/>
      <c r="KT157" s="548"/>
      <c r="KU157" s="548"/>
      <c r="KV157" s="548"/>
      <c r="KW157" s="548"/>
      <c r="KX157" s="548"/>
      <c r="KY157" s="548"/>
      <c r="KZ157" s="548"/>
      <c r="LA157" s="548"/>
      <c r="LB157" s="548"/>
      <c r="LC157" s="485" t="str">
        <f t="shared" si="1680"/>
        <v/>
      </c>
      <c r="LD157" s="548"/>
      <c r="LE157" s="548"/>
      <c r="LF157" s="548"/>
      <c r="LG157" s="548"/>
      <c r="LH157" s="548"/>
      <c r="LI157" s="548"/>
      <c r="LJ157" s="548"/>
      <c r="LK157" s="548"/>
      <c r="LL157" s="548"/>
      <c r="LM157" s="548"/>
      <c r="LN157" s="548"/>
      <c r="LO157" s="548"/>
      <c r="LP157" s="485" t="str">
        <f t="shared" si="1681"/>
        <v/>
      </c>
      <c r="LQ157" s="548"/>
      <c r="LR157" s="548"/>
      <c r="LS157" s="548"/>
      <c r="LT157" s="548"/>
      <c r="LU157" s="548"/>
      <c r="LV157" s="548"/>
      <c r="LW157" s="548"/>
      <c r="LX157" s="548"/>
      <c r="LY157" s="548"/>
      <c r="LZ157" s="548"/>
      <c r="MA157" s="548"/>
      <c r="MB157" s="548"/>
      <c r="MC157" s="485" t="str">
        <f t="shared" si="1682"/>
        <v/>
      </c>
      <c r="MD157" s="548"/>
      <c r="ME157" s="548"/>
      <c r="MF157" s="548"/>
      <c r="MG157" s="548"/>
      <c r="MH157" s="548"/>
      <c r="MI157" s="548"/>
      <c r="MJ157" s="548"/>
      <c r="MK157" s="548"/>
      <c r="ML157" s="548"/>
      <c r="MM157" s="548"/>
      <c r="MN157" s="548"/>
      <c r="MO157" s="548"/>
      <c r="MP157" s="485" t="str">
        <f t="shared" si="1683"/>
        <v/>
      </c>
      <c r="MQ157" s="548"/>
      <c r="MR157" s="548"/>
      <c r="MS157" s="548"/>
      <c r="MT157" s="548"/>
      <c r="MU157" s="548"/>
      <c r="MV157" s="548"/>
      <c r="MW157" s="548"/>
      <c r="MX157" s="548"/>
      <c r="MY157" s="548"/>
      <c r="MZ157" s="548"/>
      <c r="NA157" s="548"/>
      <c r="NB157" s="548"/>
      <c r="NC157" s="485" t="str">
        <f t="shared" si="1684"/>
        <v/>
      </c>
      <c r="ND157" s="548"/>
      <c r="NE157" s="548"/>
      <c r="NF157" s="548"/>
      <c r="NG157" s="548"/>
      <c r="NH157" s="548"/>
      <c r="NI157" s="548"/>
      <c r="NJ157" s="548"/>
      <c r="NK157" s="548"/>
      <c r="NL157" s="548"/>
      <c r="NM157" s="548"/>
      <c r="NN157" s="548"/>
      <c r="NO157" s="548"/>
      <c r="NP157" s="485" t="str">
        <f t="shared" si="1685"/>
        <v/>
      </c>
      <c r="NQ157" s="548"/>
      <c r="NR157" s="548"/>
      <c r="NS157" s="548"/>
      <c r="NT157" s="548"/>
      <c r="NU157" s="548"/>
      <c r="NV157" s="548"/>
      <c r="NW157" s="548"/>
      <c r="NX157" s="548"/>
      <c r="NY157" s="548"/>
      <c r="NZ157" s="548"/>
      <c r="OA157" s="548"/>
      <c r="OB157" s="548"/>
      <c r="OC157" s="485" t="str">
        <f t="shared" si="1686"/>
        <v/>
      </c>
      <c r="OD157" s="548"/>
      <c r="OE157" s="548"/>
      <c r="OF157" s="548"/>
      <c r="OG157" s="548"/>
      <c r="OH157" s="548"/>
      <c r="OI157" s="548"/>
      <c r="OJ157" s="548"/>
      <c r="OK157" s="548"/>
      <c r="OL157" s="548"/>
      <c r="OM157" s="548"/>
      <c r="ON157" s="548"/>
      <c r="OO157" s="548"/>
      <c r="OP157" s="548"/>
      <c r="OQ157" s="548"/>
      <c r="OR157" s="548"/>
      <c r="OS157" s="548"/>
      <c r="OT157" s="548"/>
      <c r="OU157" s="548"/>
      <c r="OV157" s="548"/>
      <c r="OW157" s="548"/>
      <c r="OX157" s="548"/>
      <c r="OY157" s="548"/>
      <c r="OZ157" s="548"/>
      <c r="PA157" s="548"/>
      <c r="PB157" s="548"/>
      <c r="PC157" s="548"/>
      <c r="PD157" s="548"/>
      <c r="PE157" s="548"/>
      <c r="PF157" s="548"/>
      <c r="PG157" s="548"/>
      <c r="PH157" s="548"/>
      <c r="PI157" s="548"/>
      <c r="PJ157" s="548"/>
      <c r="PK157" s="548"/>
      <c r="PL157" s="548"/>
      <c r="PM157" s="548"/>
      <c r="PN157" s="548"/>
      <c r="PO157" s="548"/>
      <c r="PP157" s="548"/>
      <c r="PQ157" s="548"/>
      <c r="PR157" s="548"/>
      <c r="PS157" s="548"/>
      <c r="PT157" s="548"/>
      <c r="PU157" s="548"/>
      <c r="PV157" s="548"/>
      <c r="PW157" s="548"/>
      <c r="PX157" s="548"/>
      <c r="PY157" s="548"/>
      <c r="PZ157" s="548"/>
      <c r="QA157" s="548"/>
      <c r="QB157" s="548"/>
      <c r="QC157" s="548"/>
      <c r="QD157" s="548"/>
      <c r="QE157" s="548"/>
      <c r="QF157" s="548"/>
      <c r="QG157" s="548"/>
      <c r="QH157" s="548"/>
      <c r="QI157" s="548"/>
      <c r="QJ157" s="548"/>
      <c r="QK157" s="548"/>
      <c r="QL157" s="548"/>
      <c r="QM157" s="548"/>
      <c r="QN157" s="548"/>
      <c r="QO157" s="548"/>
      <c r="QP157" s="548"/>
      <c r="QQ157" s="1009"/>
      <c r="QR157" s="548"/>
      <c r="QS157" s="548"/>
      <c r="QT157" s="548"/>
      <c r="QU157" s="548"/>
      <c r="QV157" s="548"/>
      <c r="QW157" s="548"/>
      <c r="QX157" s="548"/>
      <c r="QY157" s="548"/>
      <c r="QZ157" s="548"/>
      <c r="RA157" s="548"/>
      <c r="RB157" s="548"/>
      <c r="RC157" s="548"/>
      <c r="RD157" s="548"/>
      <c r="RE157" s="548"/>
      <c r="RF157" s="548"/>
      <c r="RG157" s="548"/>
      <c r="RH157" s="548"/>
      <c r="RI157" s="548"/>
      <c r="RJ157" s="548"/>
      <c r="RK157" s="548"/>
      <c r="RL157" s="548"/>
      <c r="RM157" s="548"/>
      <c r="RN157" s="548"/>
      <c r="RO157" s="548"/>
      <c r="RP157" s="548"/>
      <c r="RQ157" s="548"/>
      <c r="RR157" s="548"/>
      <c r="RS157" s="548"/>
      <c r="RT157" s="548"/>
      <c r="RU157" s="548"/>
      <c r="RV157" s="548"/>
      <c r="RW157" s="548"/>
      <c r="RX157" s="548"/>
      <c r="RY157" s="548"/>
      <c r="RZ157" s="548"/>
      <c r="SA157" s="548"/>
      <c r="SB157" s="548"/>
      <c r="SC157" s="548"/>
      <c r="SD157" s="548"/>
      <c r="SE157" s="548"/>
      <c r="SF157" s="548"/>
      <c r="SG157" s="548"/>
      <c r="SH157" s="548"/>
      <c r="SI157" s="548"/>
      <c r="SJ157" s="548"/>
      <c r="SK157" s="548"/>
      <c r="SL157" s="548"/>
      <c r="SM157" s="548"/>
      <c r="SN157" s="548"/>
      <c r="SO157" s="548"/>
      <c r="SP157" s="548"/>
      <c r="SQ157" s="548"/>
      <c r="SR157" s="548"/>
      <c r="SS157" s="548"/>
      <c r="ST157" s="548"/>
      <c r="SU157" s="548"/>
      <c r="SV157" s="548"/>
      <c r="SW157" s="548"/>
      <c r="SX157" s="548"/>
      <c r="SY157" s="548"/>
      <c r="SZ157" s="548"/>
      <c r="TA157" s="548"/>
      <c r="TB157" s="548"/>
      <c r="TC157" s="548"/>
      <c r="TD157" s="548"/>
      <c r="TE157" s="548"/>
      <c r="TF157" s="548"/>
      <c r="TG157" s="548"/>
      <c r="TH157" s="548"/>
      <c r="TI157" s="548"/>
      <c r="TJ157" s="548"/>
      <c r="TK157" s="548"/>
      <c r="TL157" s="548"/>
      <c r="TM157" s="548"/>
      <c r="TN157" s="548"/>
      <c r="TO157" s="548"/>
      <c r="TP157" s="548"/>
      <c r="TQ157" s="548"/>
      <c r="TR157" s="548"/>
      <c r="TS157" s="548"/>
      <c r="TT157" s="548"/>
      <c r="TU157" s="548"/>
      <c r="TV157" s="548"/>
      <c r="TW157" s="548"/>
      <c r="TX157" s="548"/>
      <c r="TY157" s="548"/>
      <c r="TZ157" s="548"/>
      <c r="UA157" s="548"/>
      <c r="UB157" s="548"/>
      <c r="UC157" s="548"/>
      <c r="UD157" s="548"/>
      <c r="UE157" s="548"/>
      <c r="UF157" s="548"/>
      <c r="UG157" s="548"/>
      <c r="UH157" s="548"/>
      <c r="UI157" s="548"/>
      <c r="UJ157" s="548"/>
      <c r="UK157" s="548"/>
      <c r="UL157" s="548"/>
      <c r="UM157" s="548"/>
      <c r="UN157" s="548"/>
      <c r="UO157" s="548"/>
      <c r="UP157" s="548"/>
      <c r="UQ157" s="548"/>
      <c r="UR157" s="548"/>
      <c r="US157" s="548"/>
      <c r="UT157" s="548"/>
      <c r="UU157" s="548"/>
      <c r="UV157" s="548"/>
      <c r="UW157" s="548"/>
      <c r="UX157" s="548"/>
      <c r="UY157" s="548"/>
      <c r="UZ157" s="548"/>
      <c r="VA157" s="548"/>
      <c r="VB157" s="548"/>
      <c r="VC157" s="548"/>
      <c r="VD157" s="548"/>
      <c r="VE157" s="548"/>
      <c r="VF157" s="548"/>
      <c r="VG157" s="548"/>
      <c r="VH157" s="548"/>
      <c r="VI157" s="548"/>
      <c r="VJ157" s="548"/>
      <c r="VK157" s="548"/>
      <c r="VL157" s="548"/>
      <c r="VM157" s="548"/>
      <c r="VN157" s="548"/>
      <c r="VO157" s="548"/>
      <c r="VP157" s="548"/>
      <c r="VQ157" s="548"/>
      <c r="VR157" s="548"/>
      <c r="VS157" s="548"/>
      <c r="VT157" s="548"/>
      <c r="VU157" s="548"/>
      <c r="VV157" s="548"/>
      <c r="VW157" s="548"/>
      <c r="VX157" s="548"/>
      <c r="VY157" s="548"/>
      <c r="VZ157" s="548"/>
      <c r="WA157" s="548"/>
      <c r="WB157" s="548"/>
      <c r="WC157" s="548"/>
      <c r="WD157" s="548"/>
      <c r="WE157" s="548"/>
      <c r="WF157" s="548"/>
      <c r="WG157" s="548"/>
      <c r="WH157" s="548"/>
      <c r="WI157" s="548"/>
      <c r="WJ157" s="548"/>
      <c r="WK157" s="548"/>
      <c r="WL157" s="548"/>
      <c r="WM157" s="548"/>
      <c r="WN157" s="548"/>
      <c r="WO157" s="548"/>
      <c r="WP157" s="548"/>
      <c r="WQ157" s="548"/>
      <c r="WR157" s="548"/>
      <c r="WS157" s="548"/>
      <c r="WT157" s="548"/>
      <c r="WU157" s="548"/>
      <c r="WV157" s="548"/>
      <c r="WW157" s="548"/>
      <c r="WX157" s="548"/>
      <c r="WY157" s="548"/>
      <c r="WZ157" s="548"/>
      <c r="XA157" s="548"/>
      <c r="XB157" s="548"/>
      <c r="XC157" s="548"/>
      <c r="XD157" s="548"/>
      <c r="XE157" s="548"/>
      <c r="XF157" s="548"/>
      <c r="XG157" s="548"/>
      <c r="XH157" s="548"/>
      <c r="XI157" s="548"/>
      <c r="XJ157" s="548"/>
      <c r="XK157" s="548"/>
      <c r="XL157" s="548"/>
      <c r="XM157" s="548"/>
      <c r="XN157" s="548"/>
      <c r="XO157" s="548"/>
      <c r="XP157" s="548"/>
      <c r="XQ157" s="548"/>
      <c r="XR157" s="548"/>
      <c r="XS157" s="548"/>
      <c r="XT157" s="548"/>
      <c r="XU157" s="548"/>
      <c r="XV157" s="548"/>
      <c r="XW157" s="548"/>
      <c r="XX157" s="548"/>
      <c r="XY157" s="548"/>
      <c r="XZ157" s="548"/>
      <c r="YA157" s="548"/>
      <c r="YB157" s="548"/>
      <c r="YC157" s="548"/>
      <c r="YD157" s="548"/>
      <c r="YE157" s="548"/>
      <c r="YF157" s="548"/>
      <c r="YG157" s="548"/>
      <c r="YH157" s="548"/>
      <c r="YI157" s="548"/>
      <c r="YJ157" s="548"/>
      <c r="YK157" s="548"/>
      <c r="YL157" s="548"/>
      <c r="YM157" s="548"/>
      <c r="YN157" s="548"/>
      <c r="YO157" s="548"/>
      <c r="YP157" s="548"/>
      <c r="YQ157" s="548"/>
      <c r="YR157" s="548"/>
      <c r="YS157" s="548"/>
      <c r="YT157" s="548"/>
      <c r="YU157" s="548"/>
      <c r="YV157" s="548"/>
      <c r="YW157" s="548"/>
      <c r="YX157" s="548"/>
      <c r="YY157" s="548"/>
      <c r="YZ157" s="548"/>
      <c r="ZA157" s="548"/>
      <c r="ZB157" s="548"/>
      <c r="ZC157" s="548"/>
      <c r="ZD157" s="548"/>
      <c r="ZE157" s="548"/>
      <c r="ZF157" s="548"/>
      <c r="ZG157" s="548"/>
      <c r="ZH157" s="548"/>
      <c r="ZI157" s="548"/>
      <c r="ZJ157" s="548"/>
      <c r="ZK157" s="548"/>
      <c r="ZL157" s="548"/>
      <c r="ZM157" s="548"/>
      <c r="ZN157" s="548"/>
      <c r="ZO157" s="548"/>
      <c r="ZP157" s="548"/>
      <c r="ZQ157" s="548"/>
      <c r="ZR157" s="548"/>
      <c r="ZS157" s="548"/>
      <c r="ZT157" s="548"/>
      <c r="ZU157" s="548"/>
      <c r="ZV157" s="548"/>
      <c r="ZW157" s="548"/>
      <c r="ZX157" s="548"/>
      <c r="ZY157" s="548"/>
      <c r="ZZ157" s="548"/>
      <c r="AAA157" s="548"/>
      <c r="AAB157" s="548"/>
      <c r="AAC157" s="548"/>
      <c r="AAD157" s="548"/>
      <c r="AAE157" s="548"/>
      <c r="AAF157" s="548"/>
      <c r="AAG157" s="548"/>
      <c r="AAH157" s="548"/>
      <c r="AAI157" s="548"/>
      <c r="AAJ157" s="548"/>
      <c r="AAK157" s="548"/>
      <c r="AAL157" s="548"/>
      <c r="AAM157" s="548"/>
      <c r="AAN157" s="548"/>
      <c r="AAO157" s="548"/>
      <c r="AAP157" s="548"/>
      <c r="AAQ157" s="548"/>
      <c r="AAR157" s="548"/>
      <c r="AAS157" s="548"/>
      <c r="AAT157" s="548"/>
      <c r="AAU157" s="548"/>
      <c r="AAV157" s="548"/>
      <c r="AAW157" s="548"/>
      <c r="AAX157" s="548"/>
      <c r="AAY157" s="548"/>
      <c r="AAZ157" s="548"/>
      <c r="ABA157" s="548"/>
      <c r="ABB157" s="548"/>
      <c r="ABC157" s="548"/>
      <c r="ABD157" s="548"/>
      <c r="ABE157" s="548"/>
      <c r="ABF157" s="548"/>
      <c r="ABG157" s="548"/>
      <c r="ABH157" s="548"/>
      <c r="ABI157" s="548"/>
      <c r="ABJ157" s="548"/>
      <c r="ABK157" s="548"/>
      <c r="ABL157" s="548"/>
      <c r="ABM157" s="548"/>
      <c r="ABN157" s="548"/>
      <c r="ABO157" s="548"/>
      <c r="ABP157" s="548"/>
      <c r="ABQ157" s="548"/>
      <c r="ABR157" s="548"/>
      <c r="ABS157" s="548"/>
    </row>
    <row r="158" spans="1:747" customFormat="1" ht="15" customHeight="1" x14ac:dyDescent="0.2">
      <c r="A158" s="424" t="str">
        <f t="shared" si="1687"/>
        <v/>
      </c>
      <c r="B158" s="415"/>
      <c r="C158" s="525"/>
      <c r="D158" s="750"/>
      <c r="E158" s="416" t="str">
        <f t="shared" si="1529"/>
        <v/>
      </c>
      <c r="F158" s="527" t="str">
        <f t="shared" si="1530"/>
        <v/>
      </c>
      <c r="G158" s="417"/>
      <c r="H158" s="585" t="str">
        <f t="shared" si="1531"/>
        <v/>
      </c>
      <c r="I158" s="424"/>
      <c r="J158" s="419"/>
      <c r="K158" s="418"/>
      <c r="L158" s="419"/>
      <c r="M158" s="415"/>
      <c r="N158" s="420"/>
      <c r="O158" s="421"/>
      <c r="P158" s="561"/>
      <c r="Q158" s="422"/>
      <c r="R158" s="561" t="str">
        <f t="shared" si="1532"/>
        <v/>
      </c>
      <c r="S158" s="664"/>
      <c r="T158" s="663"/>
      <c r="U158" s="580">
        <f t="shared" si="1533"/>
        <v>0</v>
      </c>
      <c r="V158" s="418"/>
      <c r="W158" s="582" t="str">
        <f t="shared" si="1534"/>
        <v/>
      </c>
      <c r="X158" s="479" t="str">
        <f t="shared" si="1535"/>
        <v/>
      </c>
      <c r="Y158" s="582" t="str">
        <f t="shared" si="1536"/>
        <v/>
      </c>
      <c r="Z158" s="317" t="str">
        <f t="shared" si="1537"/>
        <v/>
      </c>
      <c r="AA158" s="317" t="str">
        <f t="shared" si="1538"/>
        <v/>
      </c>
      <c r="AB158" s="317">
        <f t="shared" si="1539"/>
        <v>0</v>
      </c>
      <c r="AC158" s="317" t="str">
        <f t="shared" si="1540"/>
        <v/>
      </c>
      <c r="AD158" s="479"/>
      <c r="AE158" s="479"/>
      <c r="AF158" s="479"/>
      <c r="AG158" s="423"/>
      <c r="AH158" s="820"/>
      <c r="AI158" s="437"/>
      <c r="AJ158" s="660"/>
      <c r="AK158" s="524" t="str">
        <f t="shared" si="1541"/>
        <v/>
      </c>
      <c r="AL158" s="731">
        <f t="shared" si="1832"/>
        <v>0</v>
      </c>
      <c r="AM158" s="732">
        <f t="shared" si="1832"/>
        <v>0</v>
      </c>
      <c r="AN158" s="426">
        <f t="shared" si="1542"/>
        <v>0</v>
      </c>
      <c r="AO158" s="427" t="str">
        <f t="shared" si="1543"/>
        <v/>
      </c>
      <c r="AP158" s="426" t="str">
        <f t="shared" si="1544"/>
        <v/>
      </c>
      <c r="AQ158" s="426"/>
      <c r="AR158" s="426"/>
      <c r="AS158" s="428"/>
      <c r="AT158" s="429"/>
      <c r="AU158" s="430"/>
      <c r="AV158" s="431"/>
      <c r="AW158" s="432"/>
      <c r="AX158" s="430"/>
      <c r="AY158" s="431">
        <f t="shared" si="1545"/>
        <v>0</v>
      </c>
      <c r="AZ158" s="426"/>
      <c r="BA158" s="435" t="str">
        <f t="shared" si="1546"/>
        <v/>
      </c>
      <c r="BB158" s="435"/>
      <c r="BC158" s="426"/>
      <c r="BD158" s="426">
        <f t="array" ref="BD158">IF(SUM((BC158=$BC$3:BC157)*1)=0,BC158,0)</f>
        <v>0</v>
      </c>
      <c r="BE158" s="426"/>
      <c r="BF158" s="426"/>
      <c r="BG158" s="426">
        <f t="array" ref="BG158">IF(SUM((BF158=$BF$3:BF157)*1)=0,BF158,0)</f>
        <v>0</v>
      </c>
      <c r="BH158" s="426"/>
      <c r="BI158" s="426"/>
      <c r="BJ158" s="426"/>
      <c r="BK158" s="426"/>
      <c r="BL158" s="426"/>
      <c r="BM158" s="426"/>
      <c r="BN158" s="426"/>
      <c r="BO158" s="426"/>
      <c r="BP158" s="433">
        <f t="shared" si="1547"/>
        <v>0</v>
      </c>
      <c r="BQ158" s="426"/>
      <c r="BR158" s="434"/>
      <c r="BS158" s="426"/>
      <c r="BT158" s="433"/>
      <c r="BU158" s="435"/>
      <c r="BV158" s="435" t="str">
        <f t="shared" si="1548"/>
        <v/>
      </c>
      <c r="BW158" s="435" t="str">
        <f t="shared" si="1576"/>
        <v/>
      </c>
      <c r="BX158" s="435"/>
      <c r="BY158" s="435"/>
      <c r="BZ158" s="435"/>
      <c r="CA158" s="435"/>
      <c r="CB158" s="435"/>
      <c r="CC158" s="435"/>
      <c r="CD158" s="435"/>
      <c r="CE158" s="435"/>
      <c r="CF158" s="435"/>
      <c r="CG158" s="435"/>
      <c r="CH158" s="435"/>
      <c r="CI158" s="435"/>
      <c r="CJ158" s="426" t="str">
        <f t="shared" si="1577"/>
        <v/>
      </c>
      <c r="CK158" s="435"/>
      <c r="CL158" s="426"/>
      <c r="CM158" s="435"/>
      <c r="CN158" s="426"/>
      <c r="CO158" s="426"/>
      <c r="CP158" s="426"/>
      <c r="CQ158" s="426"/>
      <c r="CR158" s="426"/>
      <c r="CS158" s="426"/>
      <c r="CT158" s="426"/>
      <c r="CU158" s="426"/>
      <c r="CV158" s="426"/>
      <c r="CW158" s="493"/>
      <c r="CX158" s="493"/>
      <c r="CY158" s="426">
        <v>155</v>
      </c>
      <c r="CZ158" s="493"/>
      <c r="DA158" s="493"/>
      <c r="DB158" s="493"/>
      <c r="DC158" s="426" t="s">
        <v>898</v>
      </c>
      <c r="DD158" s="426" t="s">
        <v>1058</v>
      </c>
      <c r="DE158" s="435" t="str">
        <f t="shared" si="1578"/>
        <v/>
      </c>
      <c r="DF158" s="435" t="str">
        <f t="shared" si="1579"/>
        <v/>
      </c>
      <c r="DG158" s="435" t="str">
        <f t="shared" si="1580"/>
        <v/>
      </c>
      <c r="DH158" s="435" t="str">
        <f t="shared" si="1581"/>
        <v/>
      </c>
      <c r="DI158" s="435" t="str">
        <f t="shared" si="1582"/>
        <v/>
      </c>
      <c r="DJ158" s="435" t="str">
        <f t="shared" si="1583"/>
        <v/>
      </c>
      <c r="DK158" s="435" t="str">
        <f t="shared" si="1549"/>
        <v/>
      </c>
      <c r="DL158" s="435" t="str">
        <f t="shared" si="1550"/>
        <v/>
      </c>
      <c r="DM158" s="435" t="str">
        <f t="shared" si="1584"/>
        <v/>
      </c>
      <c r="DN158" s="435" t="str">
        <f t="shared" si="1585"/>
        <v/>
      </c>
      <c r="DO158" s="435" t="str">
        <f t="shared" si="1551"/>
        <v/>
      </c>
      <c r="DP158" s="435" t="str">
        <f t="shared" si="1552"/>
        <v/>
      </c>
      <c r="DQ158" s="435" t="str">
        <f t="shared" si="1586"/>
        <v/>
      </c>
      <c r="DR158" s="435" t="str">
        <f t="shared" si="1587"/>
        <v/>
      </c>
      <c r="DS158" s="435" t="str">
        <f t="shared" si="1553"/>
        <v/>
      </c>
      <c r="DT158" s="435" t="str">
        <f t="shared" si="1554"/>
        <v/>
      </c>
      <c r="DU158" s="435" t="str">
        <f t="shared" si="1588"/>
        <v/>
      </c>
      <c r="DV158" s="435" t="str">
        <f t="shared" si="1589"/>
        <v/>
      </c>
      <c r="DW158" s="435" t="str">
        <f t="shared" si="1555"/>
        <v/>
      </c>
      <c r="DX158" s="435" t="str">
        <f t="shared" si="1556"/>
        <v/>
      </c>
      <c r="DY158" s="435" t="str">
        <f t="shared" si="1590"/>
        <v/>
      </c>
      <c r="DZ158" s="435" t="str">
        <f t="shared" si="1591"/>
        <v/>
      </c>
      <c r="EA158" s="435" t="str">
        <f t="shared" si="1557"/>
        <v/>
      </c>
      <c r="EB158" s="435" t="str">
        <f t="shared" si="1558"/>
        <v/>
      </c>
      <c r="EC158" s="435" t="str">
        <f t="shared" si="1559"/>
        <v/>
      </c>
      <c r="ED158" s="435" t="str">
        <f t="shared" si="1560"/>
        <v/>
      </c>
      <c r="EE158" s="435" t="str">
        <f t="shared" si="1561"/>
        <v/>
      </c>
      <c r="EF158" s="435" t="str">
        <f t="shared" si="1562"/>
        <v/>
      </c>
      <c r="EG158" s="435" t="str">
        <f t="shared" si="1563"/>
        <v/>
      </c>
      <c r="EH158" s="435" t="str">
        <f t="shared" si="1564"/>
        <v/>
      </c>
      <c r="EI158" s="435" t="str">
        <f t="shared" si="1565"/>
        <v/>
      </c>
      <c r="EJ158" s="435" t="str">
        <f t="shared" si="1566"/>
        <v/>
      </c>
      <c r="EK158" s="485"/>
      <c r="EL158" s="485"/>
      <c r="EM158" s="485"/>
      <c r="EN158" s="485"/>
      <c r="EO158" s="448"/>
      <c r="EP158" s="448"/>
      <c r="EQ158" s="448"/>
      <c r="ER158" s="448"/>
      <c r="ES158" s="448"/>
      <c r="ET158" s="435"/>
      <c r="EU158" s="435"/>
      <c r="EV158" s="435"/>
      <c r="EW158" s="435"/>
      <c r="EX158" s="426"/>
      <c r="EY158" s="426"/>
      <c r="EZ158" s="426"/>
      <c r="FA158" s="863"/>
      <c r="FB158" s="427">
        <f t="array" ref="FB158">IF(SUM((FA158=$FA$3:FA157)*1)=0,FA158,0)</f>
        <v>0</v>
      </c>
      <c r="FC158" s="863"/>
      <c r="FD158" s="863"/>
      <c r="FE158" s="863">
        <f t="array" ref="FE158">IF(SUM((FD158=$FD$3:FD157)*1)=0,FD158,0)</f>
        <v>0</v>
      </c>
      <c r="FF158" s="863"/>
      <c r="FG158" s="863"/>
      <c r="FH158" s="863"/>
      <c r="FI158" s="427">
        <f t="array" ref="FI158">IF(SUM((FH158=$FH$3:FH157)*1)=0,FH158,0)</f>
        <v>0</v>
      </c>
      <c r="FJ158" s="863"/>
      <c r="FK158" s="863"/>
      <c r="FL158" s="863">
        <f t="array" ref="FL158">IF(SUM((FK158=$FK$3:FK157)*1)=0,FK158,0)</f>
        <v>0</v>
      </c>
      <c r="FM158" s="863"/>
      <c r="FN158" s="863"/>
      <c r="FO158" s="863"/>
      <c r="FP158" s="427">
        <f t="array" ref="FP158">IF(SUM((FO158=$FO$3:FO157)*1)=0,FO158,0)</f>
        <v>0</v>
      </c>
      <c r="FQ158" s="863"/>
      <c r="FR158" s="863"/>
      <c r="FS158" s="863">
        <f t="array" ref="FS158">IF(SUM((FR158=$FR$3:FR157)*1)=0,FR158,0)</f>
        <v>0</v>
      </c>
      <c r="FT158" s="863"/>
      <c r="FU158" s="863"/>
      <c r="FV158" s="863"/>
      <c r="FW158" s="427">
        <f t="array" ref="FW158">IF(SUM((FV158=$FV$3:FV157)*1)=0,FV158,0)</f>
        <v>0</v>
      </c>
      <c r="FX158" s="863"/>
      <c r="FY158" s="863"/>
      <c r="FZ158" s="863">
        <f t="array" ref="FZ158">IF(SUM((FY158=$FY$3:FY157)*1)=0,FY158,0)</f>
        <v>0</v>
      </c>
      <c r="GA158" s="863"/>
      <c r="GB158" s="863"/>
      <c r="GC158" s="863"/>
      <c r="GD158" s="427">
        <f t="array" ref="GD158">IF(SUM((GC158=$GC$3:GC157)*1)=0,GC158,0)</f>
        <v>0</v>
      </c>
      <c r="GE158" s="863"/>
      <c r="GF158" s="863"/>
      <c r="GG158" s="863">
        <f t="array" ref="GG158">IF(SUM((GF158=$GF$3:GF157)*1)=0,GF158,0)</f>
        <v>0</v>
      </c>
      <c r="GH158" s="863"/>
      <c r="GI158" s="863"/>
      <c r="GJ158" s="863"/>
      <c r="GK158" s="798">
        <f t="array" ref="GK158">IF(SUM((GJ158=$GJ$3:GJ157)*1)=0,GJ158,0)</f>
        <v>0</v>
      </c>
      <c r="GL158" s="863"/>
      <c r="GM158" s="863"/>
      <c r="GN158" s="798">
        <f t="array" ref="GN158">IF(SUM((GM158=$GM$3:GM157)*1)=0,GM158,0)</f>
        <v>0</v>
      </c>
      <c r="GO158" s="863"/>
      <c r="GP158" s="863"/>
      <c r="GQ158" s="863"/>
      <c r="GR158" s="798">
        <f t="array" ref="GR158">IF(SUM((GQ158=$GQ$3:GQ157)*1)=0,GQ158,0)</f>
        <v>0</v>
      </c>
      <c r="GS158" s="863"/>
      <c r="GT158" s="863"/>
      <c r="GU158" s="798">
        <f t="array" ref="GU158">IF(SUM((GT158=$GT$3:GT157)*1)=0,GT158,0)</f>
        <v>0</v>
      </c>
      <c r="GV158" s="863"/>
      <c r="GW158" s="863"/>
      <c r="GX158" s="863"/>
      <c r="GY158" s="798">
        <f t="array" ref="GY158">IF(SUM((GX158=$GX$3:GX157)*1)=0,GX158,0)</f>
        <v>0</v>
      </c>
      <c r="GZ158" s="863"/>
      <c r="HA158" s="863"/>
      <c r="HB158" s="798">
        <f t="array" ref="HB158">IF(SUM((HA158=$HA$3:HA157)*1)=0,HA158,0)</f>
        <v>0</v>
      </c>
      <c r="HC158" s="863"/>
      <c r="HD158" s="863"/>
      <c r="HE158" s="769" t="str">
        <f t="shared" si="1667"/>
        <v/>
      </c>
      <c r="HF158" s="768" t="str">
        <f t="shared" ref="HF158" si="1896">IF(HE158&lt;0,"Invadiu REP-BA-C","")</f>
        <v/>
      </c>
      <c r="HG158" s="769" t="str">
        <f t="shared" si="1669"/>
        <v/>
      </c>
      <c r="HH158" s="768" t="str">
        <f t="shared" si="1593"/>
        <v/>
      </c>
      <c r="HI158" s="728" t="str">
        <f t="shared" si="1670"/>
        <v/>
      </c>
      <c r="HJ158" s="768" t="str">
        <f t="shared" si="1594"/>
        <v/>
      </c>
      <c r="HK158" s="728" t="str">
        <f t="shared" si="1671"/>
        <v/>
      </c>
      <c r="HL158" s="768" t="str">
        <f t="shared" si="1595"/>
        <v/>
      </c>
      <c r="HM158" s="769" t="str">
        <f t="shared" si="1596"/>
        <v/>
      </c>
      <c r="HN158" s="768" t="str">
        <f t="shared" ref="HN158" si="1897">IF(HM158&lt;0,"Invadiu REP-BA-C","")</f>
        <v/>
      </c>
      <c r="HO158" s="769" t="str">
        <f t="shared" si="1598"/>
        <v/>
      </c>
      <c r="HP158" s="768" t="str">
        <f t="shared" si="1599"/>
        <v/>
      </c>
      <c r="HQ158" s="728" t="str">
        <f t="shared" si="1600"/>
        <v/>
      </c>
      <c r="HR158" s="768" t="str">
        <f t="shared" si="1601"/>
        <v/>
      </c>
      <c r="HS158" s="728" t="str">
        <f t="shared" si="1602"/>
        <v/>
      </c>
      <c r="HT158" s="768" t="str">
        <f t="shared" si="1603"/>
        <v/>
      </c>
      <c r="HU158" s="769" t="str">
        <f t="shared" si="1604"/>
        <v/>
      </c>
      <c r="HV158" s="768" t="str">
        <f t="shared" ref="HV158" si="1898">IF(HU158&lt;0,"Invadiu REP-BA-C","")</f>
        <v/>
      </c>
      <c r="HW158" s="769" t="str">
        <f t="shared" si="1606"/>
        <v/>
      </c>
      <c r="HX158" s="768" t="str">
        <f t="shared" si="1607"/>
        <v/>
      </c>
      <c r="HY158" s="728" t="str">
        <f t="shared" si="1608"/>
        <v/>
      </c>
      <c r="HZ158" s="768" t="str">
        <f t="shared" si="1609"/>
        <v/>
      </c>
      <c r="IA158" s="728" t="str">
        <f t="shared" si="1610"/>
        <v/>
      </c>
      <c r="IB158" s="768" t="str">
        <f t="shared" si="1611"/>
        <v/>
      </c>
      <c r="IC158" s="769" t="str">
        <f t="shared" si="1612"/>
        <v/>
      </c>
      <c r="ID158" s="768" t="str">
        <f t="shared" ref="ID158" si="1899">IF(IC158&lt;0,"Invadiu REP-BA-C","")</f>
        <v/>
      </c>
      <c r="IE158" s="769" t="str">
        <f t="shared" si="1614"/>
        <v/>
      </c>
      <c r="IF158" s="768" t="str">
        <f t="shared" si="1615"/>
        <v/>
      </c>
      <c r="IG158" s="728" t="str">
        <f t="shared" si="1616"/>
        <v/>
      </c>
      <c r="IH158" s="768" t="str">
        <f t="shared" si="1617"/>
        <v/>
      </c>
      <c r="II158" s="728" t="str">
        <f t="shared" si="1618"/>
        <v/>
      </c>
      <c r="IJ158" s="768" t="str">
        <f t="shared" si="1619"/>
        <v/>
      </c>
      <c r="IK158" s="769" t="str">
        <f t="shared" si="1620"/>
        <v/>
      </c>
      <c r="IL158" s="768" t="str">
        <f t="shared" ref="IL158" si="1900">IF(IK158&lt;0,"Invadiu REP-BA-C","")</f>
        <v/>
      </c>
      <c r="IM158" s="769" t="str">
        <f t="shared" si="1622"/>
        <v/>
      </c>
      <c r="IN158" s="768" t="str">
        <f t="shared" si="1623"/>
        <v/>
      </c>
      <c r="IO158" s="728" t="str">
        <f t="shared" si="1624"/>
        <v/>
      </c>
      <c r="IP158" s="768" t="str">
        <f t="shared" si="1625"/>
        <v/>
      </c>
      <c r="IQ158" s="728" t="str">
        <f t="shared" si="1626"/>
        <v/>
      </c>
      <c r="IR158" s="768" t="str">
        <f t="shared" si="1627"/>
        <v/>
      </c>
      <c r="IS158" s="769" t="str">
        <f t="shared" si="1628"/>
        <v/>
      </c>
      <c r="IT158" s="768" t="str">
        <f t="shared" ref="IT158" si="1901">IF(IS158&lt;0,"Invadiu REP-BA-C","")</f>
        <v/>
      </c>
      <c r="IU158" s="769" t="str">
        <f t="shared" si="1630"/>
        <v/>
      </c>
      <c r="IV158" s="768" t="str">
        <f t="shared" si="1631"/>
        <v/>
      </c>
      <c r="IW158" s="728" t="str">
        <f t="shared" si="1632"/>
        <v/>
      </c>
      <c r="IX158" s="768" t="str">
        <f t="shared" si="1633"/>
        <v/>
      </c>
      <c r="IY158" s="728" t="str">
        <f t="shared" si="1634"/>
        <v/>
      </c>
      <c r="IZ158" s="768" t="str">
        <f t="shared" si="1635"/>
        <v/>
      </c>
      <c r="JA158" s="769" t="str">
        <f t="shared" si="1636"/>
        <v/>
      </c>
      <c r="JB158" s="768" t="str">
        <f t="shared" ref="JB158" si="1902">IF(JA158&lt;0,"Invadiu REP-BA-C","")</f>
        <v/>
      </c>
      <c r="JC158" s="769" t="str">
        <f t="shared" si="1638"/>
        <v/>
      </c>
      <c r="JD158" s="768" t="str">
        <f t="shared" si="1639"/>
        <v/>
      </c>
      <c r="JE158" s="728" t="str">
        <f t="shared" si="1640"/>
        <v/>
      </c>
      <c r="JF158" s="768" t="str">
        <f t="shared" si="1641"/>
        <v/>
      </c>
      <c r="JG158" s="728" t="str">
        <f t="shared" si="1642"/>
        <v/>
      </c>
      <c r="JH158" s="768" t="str">
        <f t="shared" si="1643"/>
        <v/>
      </c>
      <c r="JI158" s="769" t="str">
        <f t="shared" si="1644"/>
        <v/>
      </c>
      <c r="JJ158" s="768" t="str">
        <f t="shared" ref="JJ158" si="1903">IF(JI158&lt;0,"Invadiu REP-BA-C","")</f>
        <v/>
      </c>
      <c r="JK158" s="769" t="str">
        <f t="shared" si="1646"/>
        <v/>
      </c>
      <c r="JL158" s="768" t="str">
        <f t="shared" si="1647"/>
        <v/>
      </c>
      <c r="JM158" s="728" t="str">
        <f t="shared" si="1648"/>
        <v/>
      </c>
      <c r="JN158" s="768" t="str">
        <f t="shared" si="1649"/>
        <v/>
      </c>
      <c r="JO158" s="728" t="str">
        <f t="shared" si="1650"/>
        <v/>
      </c>
      <c r="JP158" s="768" t="str">
        <f t="shared" si="1651"/>
        <v/>
      </c>
      <c r="JQ158" s="769" t="str">
        <f t="shared" si="1652"/>
        <v/>
      </c>
      <c r="JR158" s="768" t="str">
        <f t="shared" ref="JR158" si="1904">IF(JQ158&lt;0,"Invadiu REP-BA-C","")</f>
        <v/>
      </c>
      <c r="JS158" s="769" t="str">
        <f t="shared" si="1654"/>
        <v/>
      </c>
      <c r="JT158" s="768" t="str">
        <f t="shared" si="1655"/>
        <v/>
      </c>
      <c r="JU158" s="728" t="str">
        <f t="shared" si="1656"/>
        <v/>
      </c>
      <c r="JV158" s="768" t="str">
        <f t="shared" si="1657"/>
        <v/>
      </c>
      <c r="JW158" s="728" t="str">
        <f t="shared" si="1658"/>
        <v/>
      </c>
      <c r="JX158" s="768" t="str">
        <f t="shared" si="1659"/>
        <v/>
      </c>
      <c r="JY158" s="768" t="str">
        <f t="shared" si="1660"/>
        <v/>
      </c>
      <c r="JZ158" s="485" t="str">
        <f>IF(JY158="","",IF(AND(C158=$C$164,JY158&lt;&gt;""),Verificarcpf(D158),IF(AND(C158=$C$165,JY158&lt;&gt;""),VerificarCNPJ(D158))))</f>
        <v/>
      </c>
      <c r="KA158" s="768" t="str">
        <f t="shared" si="1661"/>
        <v/>
      </c>
      <c r="KB158" s="485">
        <f t="shared" si="1662"/>
        <v>0</v>
      </c>
      <c r="KC158" s="768">
        <f t="shared" si="1663"/>
        <v>0</v>
      </c>
      <c r="KD158" s="485">
        <f t="shared" si="1664"/>
        <v>0</v>
      </c>
      <c r="KE158" s="448"/>
      <c r="KF158" s="548"/>
      <c r="KG158" s="548"/>
      <c r="KH158" s="548"/>
      <c r="KI158" s="548"/>
      <c r="KJ158" s="548" t="str">
        <f t="shared" si="1665"/>
        <v/>
      </c>
      <c r="KK158" s="548"/>
      <c r="KL158" s="548"/>
      <c r="KM158" s="548">
        <f t="array" ref="KM158">IF(SUM((KL158=$KL$3:KL157)*1)=0,KL158,0)</f>
        <v>0</v>
      </c>
      <c r="KN158" s="548"/>
      <c r="KO158" s="548"/>
      <c r="KP158" s="548"/>
      <c r="KQ158" s="548"/>
      <c r="KR158" s="548" t="str">
        <f t="shared" si="1666"/>
        <v/>
      </c>
      <c r="KS158" s="548"/>
      <c r="KT158" s="548"/>
      <c r="KU158" s="548"/>
      <c r="KV158" s="548"/>
      <c r="KW158" s="548"/>
      <c r="KX158" s="548"/>
      <c r="KY158" s="548"/>
      <c r="KZ158" s="548"/>
      <c r="LA158" s="548"/>
      <c r="LB158" s="548"/>
      <c r="LC158" s="485" t="str">
        <f t="shared" si="1680"/>
        <v/>
      </c>
      <c r="LD158" s="548"/>
      <c r="LE158" s="548"/>
      <c r="LF158" s="548"/>
      <c r="LG158" s="548"/>
      <c r="LH158" s="548"/>
      <c r="LI158" s="548"/>
      <c r="LJ158" s="548"/>
      <c r="LK158" s="548"/>
      <c r="LL158" s="548"/>
      <c r="LM158" s="548"/>
      <c r="LN158" s="548"/>
      <c r="LO158" s="548"/>
      <c r="LP158" s="485" t="str">
        <f t="shared" si="1681"/>
        <v/>
      </c>
      <c r="LQ158" s="548"/>
      <c r="LR158" s="548"/>
      <c r="LS158" s="548"/>
      <c r="LT158" s="548"/>
      <c r="LU158" s="548"/>
      <c r="LV158" s="548"/>
      <c r="LW158" s="548"/>
      <c r="LX158" s="548"/>
      <c r="LY158" s="548"/>
      <c r="LZ158" s="548"/>
      <c r="MA158" s="548"/>
      <c r="MB158" s="548"/>
      <c r="MC158" s="485" t="str">
        <f t="shared" si="1682"/>
        <v/>
      </c>
      <c r="MD158" s="548"/>
      <c r="ME158" s="548"/>
      <c r="MF158" s="548"/>
      <c r="MG158" s="548"/>
      <c r="MH158" s="548"/>
      <c r="MI158" s="548"/>
      <c r="MJ158" s="548"/>
      <c r="MK158" s="548"/>
      <c r="ML158" s="548"/>
      <c r="MM158" s="548"/>
      <c r="MN158" s="548"/>
      <c r="MO158" s="548"/>
      <c r="MP158" s="485" t="str">
        <f t="shared" si="1683"/>
        <v/>
      </c>
      <c r="MQ158" s="548"/>
      <c r="MR158" s="548"/>
      <c r="MS158" s="548"/>
      <c r="MT158" s="548"/>
      <c r="MU158" s="548"/>
      <c r="MV158" s="548"/>
      <c r="MW158" s="548"/>
      <c r="MX158" s="548"/>
      <c r="MY158" s="548"/>
      <c r="MZ158" s="548"/>
      <c r="NA158" s="548"/>
      <c r="NB158" s="548"/>
      <c r="NC158" s="485" t="str">
        <f t="shared" si="1684"/>
        <v/>
      </c>
      <c r="ND158" s="548"/>
      <c r="NE158" s="548"/>
      <c r="NF158" s="548"/>
      <c r="NG158" s="548"/>
      <c r="NH158" s="548"/>
      <c r="NI158" s="548"/>
      <c r="NJ158" s="548"/>
      <c r="NK158" s="548"/>
      <c r="NL158" s="548"/>
      <c r="NM158" s="548"/>
      <c r="NN158" s="548"/>
      <c r="NO158" s="548"/>
      <c r="NP158" s="485" t="str">
        <f t="shared" si="1685"/>
        <v/>
      </c>
      <c r="NQ158" s="548"/>
      <c r="NR158" s="548"/>
      <c r="NS158" s="548"/>
      <c r="NT158" s="548"/>
      <c r="NU158" s="548"/>
      <c r="NV158" s="548"/>
      <c r="NW158" s="548"/>
      <c r="NX158" s="548"/>
      <c r="NY158" s="548"/>
      <c r="NZ158" s="548"/>
      <c r="OA158" s="548"/>
      <c r="OB158" s="548"/>
      <c r="OC158" s="485" t="str">
        <f t="shared" si="1686"/>
        <v/>
      </c>
      <c r="OD158" s="548"/>
      <c r="OE158" s="548"/>
      <c r="OF158" s="548"/>
      <c r="OG158" s="548"/>
      <c r="OH158" s="548"/>
      <c r="OI158" s="548"/>
      <c r="OJ158" s="548"/>
      <c r="OK158" s="548"/>
      <c r="OL158" s="548"/>
      <c r="OM158" s="548"/>
      <c r="ON158" s="548"/>
      <c r="OO158" s="548"/>
      <c r="OP158" s="548"/>
      <c r="OQ158" s="548"/>
      <c r="OR158" s="548"/>
      <c r="OS158" s="548"/>
      <c r="OT158" s="548"/>
      <c r="OU158" s="548"/>
      <c r="OV158" s="548"/>
      <c r="OW158" s="548"/>
      <c r="OX158" s="548"/>
      <c r="OY158" s="548"/>
      <c r="OZ158" s="548"/>
      <c r="PA158" s="548"/>
      <c r="PB158" s="548"/>
      <c r="PC158" s="548"/>
      <c r="PD158" s="548"/>
      <c r="PE158" s="548"/>
      <c r="PF158" s="548"/>
      <c r="PG158" s="548"/>
      <c r="PH158" s="548"/>
      <c r="PI158" s="548"/>
      <c r="PJ158" s="548"/>
      <c r="PK158" s="548"/>
      <c r="PL158" s="548"/>
      <c r="PM158" s="548"/>
      <c r="PN158" s="548"/>
      <c r="PO158" s="548"/>
      <c r="PP158" s="548"/>
      <c r="PQ158" s="548"/>
      <c r="PR158" s="548"/>
      <c r="PS158" s="548"/>
      <c r="PT158" s="548"/>
      <c r="PU158" s="548"/>
      <c r="PV158" s="548"/>
      <c r="PW158" s="548"/>
      <c r="PX158" s="548"/>
      <c r="PY158" s="548"/>
      <c r="PZ158" s="548"/>
      <c r="QA158" s="548"/>
      <c r="QB158" s="548"/>
      <c r="QC158" s="548"/>
      <c r="QD158" s="548"/>
      <c r="QE158" s="548"/>
      <c r="QF158" s="548"/>
      <c r="QG158" s="548"/>
      <c r="QH158" s="548"/>
      <c r="QI158" s="548"/>
      <c r="QJ158" s="548"/>
      <c r="QK158" s="548"/>
      <c r="QL158" s="548"/>
      <c r="QM158" s="548"/>
      <c r="QN158" s="548"/>
      <c r="QO158" s="548"/>
      <c r="QP158" s="548"/>
      <c r="QQ158" s="1009"/>
      <c r="QR158" s="548"/>
      <c r="QS158" s="548"/>
      <c r="QT158" s="548"/>
      <c r="QU158" s="548"/>
      <c r="QV158" s="548"/>
      <c r="QW158" s="548"/>
      <c r="QX158" s="548"/>
      <c r="QY158" s="548"/>
      <c r="QZ158" s="548"/>
      <c r="RA158" s="548"/>
      <c r="RB158" s="548"/>
      <c r="RC158" s="548"/>
      <c r="RD158" s="548"/>
      <c r="RE158" s="548"/>
      <c r="RF158" s="548"/>
      <c r="RG158" s="548"/>
      <c r="RH158" s="548"/>
      <c r="RI158" s="548"/>
      <c r="RJ158" s="548"/>
      <c r="RK158" s="548"/>
      <c r="RL158" s="548"/>
      <c r="RM158" s="548"/>
      <c r="RN158" s="548"/>
      <c r="RO158" s="548"/>
      <c r="RP158" s="548"/>
      <c r="RQ158" s="548"/>
      <c r="RR158" s="548"/>
      <c r="RS158" s="548"/>
      <c r="RT158" s="548"/>
      <c r="RU158" s="548"/>
      <c r="RV158" s="548"/>
      <c r="RW158" s="548"/>
      <c r="RX158" s="548"/>
      <c r="RY158" s="548"/>
      <c r="RZ158" s="548"/>
      <c r="SA158" s="548"/>
      <c r="SB158" s="548"/>
      <c r="SC158" s="548"/>
      <c r="SD158" s="548"/>
      <c r="SE158" s="548"/>
      <c r="SF158" s="548"/>
      <c r="SG158" s="548"/>
      <c r="SH158" s="548"/>
      <c r="SI158" s="548"/>
      <c r="SJ158" s="548"/>
      <c r="SK158" s="548"/>
      <c r="SL158" s="548"/>
      <c r="SM158" s="548"/>
      <c r="SN158" s="548"/>
      <c r="SO158" s="548"/>
      <c r="SP158" s="548"/>
      <c r="SQ158" s="548"/>
      <c r="SR158" s="548"/>
      <c r="SS158" s="548"/>
      <c r="ST158" s="548"/>
      <c r="SU158" s="548"/>
      <c r="SV158" s="548"/>
      <c r="SW158" s="548"/>
      <c r="SX158" s="548"/>
      <c r="SY158" s="548"/>
      <c r="SZ158" s="548"/>
      <c r="TA158" s="548"/>
      <c r="TB158" s="548"/>
      <c r="TC158" s="548"/>
      <c r="TD158" s="548"/>
      <c r="TE158" s="548"/>
      <c r="TF158" s="548"/>
      <c r="TG158" s="548"/>
      <c r="TH158" s="548"/>
      <c r="TI158" s="548"/>
      <c r="TJ158" s="548"/>
      <c r="TK158" s="548"/>
      <c r="TL158" s="548"/>
      <c r="TM158" s="548"/>
      <c r="TN158" s="548"/>
      <c r="TO158" s="548"/>
      <c r="TP158" s="548"/>
      <c r="TQ158" s="548"/>
      <c r="TR158" s="548"/>
      <c r="TS158" s="548"/>
      <c r="TT158" s="548"/>
      <c r="TU158" s="548"/>
      <c r="TV158" s="548"/>
      <c r="TW158" s="548"/>
      <c r="TX158" s="548"/>
      <c r="TY158" s="548"/>
      <c r="TZ158" s="548"/>
      <c r="UA158" s="548"/>
      <c r="UB158" s="548"/>
      <c r="UC158" s="548"/>
      <c r="UD158" s="548"/>
      <c r="UE158" s="548"/>
      <c r="UF158" s="548"/>
      <c r="UG158" s="548"/>
      <c r="UH158" s="548"/>
      <c r="UI158" s="548"/>
      <c r="UJ158" s="548"/>
      <c r="UK158" s="548"/>
      <c r="UL158" s="548"/>
      <c r="UM158" s="548"/>
      <c r="UN158" s="548"/>
      <c r="UO158" s="548"/>
      <c r="UP158" s="548"/>
      <c r="UQ158" s="548"/>
      <c r="UR158" s="548"/>
      <c r="US158" s="548"/>
      <c r="UT158" s="548"/>
      <c r="UU158" s="548"/>
      <c r="UV158" s="548"/>
      <c r="UW158" s="548"/>
      <c r="UX158" s="548"/>
      <c r="UY158" s="548"/>
      <c r="UZ158" s="548"/>
      <c r="VA158" s="548"/>
      <c r="VB158" s="548"/>
      <c r="VC158" s="548"/>
      <c r="VD158" s="548"/>
      <c r="VE158" s="548"/>
      <c r="VF158" s="548"/>
      <c r="VG158" s="548"/>
      <c r="VH158" s="548"/>
      <c r="VI158" s="548"/>
      <c r="VJ158" s="548"/>
      <c r="VK158" s="548"/>
      <c r="VL158" s="548"/>
      <c r="VM158" s="548"/>
      <c r="VN158" s="548"/>
      <c r="VO158" s="548"/>
      <c r="VP158" s="548"/>
      <c r="VQ158" s="548"/>
      <c r="VR158" s="548"/>
      <c r="VS158" s="548"/>
      <c r="VT158" s="548"/>
      <c r="VU158" s="548"/>
      <c r="VV158" s="548"/>
      <c r="VW158" s="548"/>
      <c r="VX158" s="548"/>
      <c r="VY158" s="548"/>
      <c r="VZ158" s="548"/>
      <c r="WA158" s="548"/>
      <c r="WB158" s="548"/>
      <c r="WC158" s="548"/>
      <c r="WD158" s="548"/>
      <c r="WE158" s="548"/>
      <c r="WF158" s="548"/>
      <c r="WG158" s="548"/>
      <c r="WH158" s="548"/>
      <c r="WI158" s="548"/>
      <c r="WJ158" s="548"/>
      <c r="WK158" s="548"/>
      <c r="WL158" s="548"/>
      <c r="WM158" s="548"/>
      <c r="WN158" s="548"/>
      <c r="WO158" s="548"/>
      <c r="WP158" s="548"/>
      <c r="WQ158" s="548"/>
      <c r="WR158" s="548"/>
      <c r="WS158" s="548"/>
      <c r="WT158" s="548"/>
      <c r="WU158" s="548"/>
      <c r="WV158" s="548"/>
      <c r="WW158" s="548"/>
      <c r="WX158" s="548"/>
      <c r="WY158" s="548"/>
      <c r="WZ158" s="548"/>
      <c r="XA158" s="548"/>
      <c r="XB158" s="548"/>
      <c r="XC158" s="548"/>
      <c r="XD158" s="548"/>
      <c r="XE158" s="548"/>
      <c r="XF158" s="548"/>
      <c r="XG158" s="548"/>
      <c r="XH158" s="548"/>
      <c r="XI158" s="548"/>
      <c r="XJ158" s="548"/>
      <c r="XK158" s="548"/>
      <c r="XL158" s="548"/>
      <c r="XM158" s="548"/>
      <c r="XN158" s="548"/>
      <c r="XO158" s="548"/>
      <c r="XP158" s="548"/>
      <c r="XQ158" s="548"/>
      <c r="XR158" s="548"/>
      <c r="XS158" s="548"/>
      <c r="XT158" s="548"/>
      <c r="XU158" s="548"/>
      <c r="XV158" s="548"/>
      <c r="XW158" s="548"/>
      <c r="XX158" s="548"/>
      <c r="XY158" s="548"/>
      <c r="XZ158" s="548"/>
      <c r="YA158" s="548"/>
      <c r="YB158" s="548"/>
      <c r="YC158" s="548"/>
      <c r="YD158" s="548"/>
      <c r="YE158" s="548"/>
      <c r="YF158" s="548"/>
      <c r="YG158" s="548"/>
      <c r="YH158" s="548"/>
      <c r="YI158" s="548"/>
      <c r="YJ158" s="548"/>
      <c r="YK158" s="548"/>
      <c r="YL158" s="548"/>
      <c r="YM158" s="548"/>
      <c r="YN158" s="548"/>
      <c r="YO158" s="548"/>
      <c r="YP158" s="548"/>
      <c r="YQ158" s="548"/>
      <c r="YR158" s="548"/>
      <c r="YS158" s="548"/>
      <c r="YT158" s="548"/>
      <c r="YU158" s="548"/>
      <c r="YV158" s="548"/>
      <c r="YW158" s="548"/>
      <c r="YX158" s="548"/>
      <c r="YY158" s="548"/>
      <c r="YZ158" s="548"/>
      <c r="ZA158" s="548"/>
      <c r="ZB158" s="548"/>
      <c r="ZC158" s="548"/>
      <c r="ZD158" s="548"/>
      <c r="ZE158" s="548"/>
      <c r="ZF158" s="548"/>
      <c r="ZG158" s="548"/>
      <c r="ZH158" s="548"/>
      <c r="ZI158" s="548"/>
      <c r="ZJ158" s="548"/>
      <c r="ZK158" s="548"/>
      <c r="ZL158" s="548"/>
      <c r="ZM158" s="548"/>
      <c r="ZN158" s="548"/>
      <c r="ZO158" s="548"/>
      <c r="ZP158" s="548"/>
      <c r="ZQ158" s="548"/>
      <c r="ZR158" s="548"/>
      <c r="ZS158" s="548"/>
      <c r="ZT158" s="548"/>
      <c r="ZU158" s="548"/>
      <c r="ZV158" s="548"/>
      <c r="ZW158" s="548"/>
      <c r="ZX158" s="548"/>
      <c r="ZY158" s="548"/>
      <c r="ZZ158" s="548"/>
      <c r="AAA158" s="548"/>
      <c r="AAB158" s="548"/>
      <c r="AAC158" s="548"/>
      <c r="AAD158" s="548"/>
      <c r="AAE158" s="548"/>
      <c r="AAF158" s="548"/>
      <c r="AAG158" s="548"/>
      <c r="AAH158" s="548"/>
      <c r="AAI158" s="548"/>
      <c r="AAJ158" s="548"/>
      <c r="AAK158" s="548"/>
      <c r="AAL158" s="548"/>
      <c r="AAM158" s="548"/>
      <c r="AAN158" s="548"/>
      <c r="AAO158" s="548"/>
      <c r="AAP158" s="548"/>
      <c r="AAQ158" s="548"/>
      <c r="AAR158" s="548"/>
      <c r="AAS158" s="548"/>
      <c r="AAT158" s="548"/>
      <c r="AAU158" s="548"/>
      <c r="AAV158" s="548"/>
      <c r="AAW158" s="548"/>
      <c r="AAX158" s="548"/>
      <c r="AAY158" s="548"/>
      <c r="AAZ158" s="548"/>
      <c r="ABA158" s="548"/>
      <c r="ABB158" s="548"/>
      <c r="ABC158" s="548"/>
      <c r="ABD158" s="548"/>
      <c r="ABE158" s="548"/>
      <c r="ABF158" s="548"/>
      <c r="ABG158" s="548"/>
      <c r="ABH158" s="548"/>
      <c r="ABI158" s="548"/>
      <c r="ABJ158" s="548"/>
      <c r="ABK158" s="548"/>
      <c r="ABL158" s="548"/>
      <c r="ABM158" s="548"/>
      <c r="ABN158" s="548"/>
      <c r="ABO158" s="548"/>
      <c r="ABP158" s="548"/>
      <c r="ABQ158" s="548"/>
      <c r="ABR158" s="548"/>
      <c r="ABS158" s="548"/>
    </row>
    <row r="159" spans="1:747" customFormat="1" ht="15" customHeight="1" x14ac:dyDescent="0.2">
      <c r="A159" s="424" t="str">
        <f t="shared" si="1687"/>
        <v/>
      </c>
      <c r="B159" s="415"/>
      <c r="C159" s="525"/>
      <c r="D159" s="750"/>
      <c r="E159" s="416" t="str">
        <f t="shared" si="1529"/>
        <v/>
      </c>
      <c r="F159" s="527" t="str">
        <f t="shared" si="1530"/>
        <v/>
      </c>
      <c r="G159" s="417"/>
      <c r="H159" s="585" t="str">
        <f t="shared" si="1531"/>
        <v/>
      </c>
      <c r="I159" s="424"/>
      <c r="J159" s="419"/>
      <c r="K159" s="418"/>
      <c r="L159" s="419"/>
      <c r="M159" s="415"/>
      <c r="N159" s="420"/>
      <c r="O159" s="421"/>
      <c r="P159" s="561"/>
      <c r="Q159" s="422"/>
      <c r="R159" s="561" t="str">
        <f t="shared" si="1532"/>
        <v/>
      </c>
      <c r="S159" s="664"/>
      <c r="T159" s="663"/>
      <c r="U159" s="580">
        <f t="shared" si="1533"/>
        <v>0</v>
      </c>
      <c r="V159" s="418"/>
      <c r="W159" s="582" t="str">
        <f t="shared" si="1534"/>
        <v/>
      </c>
      <c r="X159" s="479" t="str">
        <f t="shared" si="1535"/>
        <v/>
      </c>
      <c r="Y159" s="582" t="str">
        <f t="shared" si="1536"/>
        <v/>
      </c>
      <c r="Z159" s="317" t="str">
        <f t="shared" si="1537"/>
        <v/>
      </c>
      <c r="AA159" s="317" t="str">
        <f t="shared" si="1538"/>
        <v/>
      </c>
      <c r="AB159" s="317">
        <f t="shared" si="1539"/>
        <v>0</v>
      </c>
      <c r="AC159" s="317" t="str">
        <f t="shared" si="1540"/>
        <v/>
      </c>
      <c r="AD159" s="479"/>
      <c r="AE159" s="479"/>
      <c r="AF159" s="479"/>
      <c r="AG159" s="423"/>
      <c r="AH159" s="820"/>
      <c r="AI159" s="437"/>
      <c r="AJ159" s="660"/>
      <c r="AK159" s="524" t="str">
        <f t="shared" si="1541"/>
        <v/>
      </c>
      <c r="AL159" s="731">
        <f t="shared" si="1832"/>
        <v>0</v>
      </c>
      <c r="AM159" s="732">
        <f t="shared" si="1832"/>
        <v>0</v>
      </c>
      <c r="AN159" s="426">
        <f t="shared" si="1542"/>
        <v>0</v>
      </c>
      <c r="AO159" s="427" t="str">
        <f t="shared" si="1543"/>
        <v/>
      </c>
      <c r="AP159" s="426" t="str">
        <f t="shared" si="1544"/>
        <v/>
      </c>
      <c r="AQ159" s="426"/>
      <c r="AR159" s="426"/>
      <c r="AS159" s="428"/>
      <c r="AT159" s="429"/>
      <c r="AU159" s="430"/>
      <c r="AV159" s="431"/>
      <c r="AW159" s="432"/>
      <c r="AX159" s="430"/>
      <c r="AY159" s="431">
        <f t="shared" si="1545"/>
        <v>0</v>
      </c>
      <c r="AZ159" s="426"/>
      <c r="BA159" s="435" t="str">
        <f t="shared" si="1546"/>
        <v/>
      </c>
      <c r="BB159" s="435"/>
      <c r="BC159" s="426"/>
      <c r="BD159" s="426">
        <f t="array" ref="BD159">IF(SUM((BC159=$BC$3:BC158)*1)=0,BC159,0)</f>
        <v>0</v>
      </c>
      <c r="BE159" s="426"/>
      <c r="BF159" s="426"/>
      <c r="BG159" s="426">
        <f t="array" ref="BG159">IF(SUM((BF159=$BF$3:BF158)*1)=0,BF159,0)</f>
        <v>0</v>
      </c>
      <c r="BH159" s="426"/>
      <c r="BI159" s="426"/>
      <c r="BJ159" s="426"/>
      <c r="BK159" s="426"/>
      <c r="BL159" s="426"/>
      <c r="BM159" s="426"/>
      <c r="BN159" s="426"/>
      <c r="BO159" s="426"/>
      <c r="BP159" s="433">
        <f t="shared" si="1547"/>
        <v>0</v>
      </c>
      <c r="BQ159" s="426"/>
      <c r="BR159" s="434"/>
      <c r="BS159" s="426"/>
      <c r="BT159" s="433"/>
      <c r="BU159" s="435"/>
      <c r="BV159" s="435" t="str">
        <f t="shared" si="1548"/>
        <v/>
      </c>
      <c r="BW159" s="435" t="str">
        <f t="shared" si="1576"/>
        <v/>
      </c>
      <c r="BX159" s="435"/>
      <c r="BY159" s="435"/>
      <c r="BZ159" s="435"/>
      <c r="CA159" s="435"/>
      <c r="CB159" s="435"/>
      <c r="CC159" s="435"/>
      <c r="CD159" s="435"/>
      <c r="CE159" s="435"/>
      <c r="CF159" s="435"/>
      <c r="CG159" s="435"/>
      <c r="CH159" s="435"/>
      <c r="CI159" s="435"/>
      <c r="CJ159" s="426" t="str">
        <f t="shared" si="1577"/>
        <v/>
      </c>
      <c r="CK159" s="435"/>
      <c r="CL159" s="426"/>
      <c r="CM159" s="435"/>
      <c r="CN159" s="426"/>
      <c r="CO159" s="426"/>
      <c r="CP159" s="426"/>
      <c r="CQ159" s="426"/>
      <c r="CR159" s="426"/>
      <c r="CS159" s="426"/>
      <c r="CT159" s="426"/>
      <c r="CU159" s="426"/>
      <c r="CV159" s="426"/>
      <c r="CW159" s="493"/>
      <c r="CX159" s="493"/>
      <c r="CY159" s="426">
        <v>156</v>
      </c>
      <c r="CZ159" s="493"/>
      <c r="DA159" s="493"/>
      <c r="DB159" s="493"/>
      <c r="DC159" s="426" t="s">
        <v>899</v>
      </c>
      <c r="DD159" s="426" t="s">
        <v>1059</v>
      </c>
      <c r="DE159" s="435" t="str">
        <f t="shared" si="1578"/>
        <v/>
      </c>
      <c r="DF159" s="435" t="str">
        <f t="shared" si="1579"/>
        <v/>
      </c>
      <c r="DG159" s="435" t="str">
        <f t="shared" si="1580"/>
        <v/>
      </c>
      <c r="DH159" s="435" t="str">
        <f t="shared" si="1581"/>
        <v/>
      </c>
      <c r="DI159" s="435" t="str">
        <f t="shared" si="1582"/>
        <v/>
      </c>
      <c r="DJ159" s="435" t="str">
        <f t="shared" si="1583"/>
        <v/>
      </c>
      <c r="DK159" s="435" t="str">
        <f t="shared" si="1549"/>
        <v/>
      </c>
      <c r="DL159" s="435" t="str">
        <f t="shared" si="1550"/>
        <v/>
      </c>
      <c r="DM159" s="435" t="str">
        <f t="shared" si="1584"/>
        <v/>
      </c>
      <c r="DN159" s="435" t="str">
        <f t="shared" si="1585"/>
        <v/>
      </c>
      <c r="DO159" s="435" t="str">
        <f t="shared" si="1551"/>
        <v/>
      </c>
      <c r="DP159" s="435" t="str">
        <f t="shared" si="1552"/>
        <v/>
      </c>
      <c r="DQ159" s="435" t="str">
        <f t="shared" si="1586"/>
        <v/>
      </c>
      <c r="DR159" s="435" t="str">
        <f t="shared" si="1587"/>
        <v/>
      </c>
      <c r="DS159" s="435" t="str">
        <f t="shared" si="1553"/>
        <v/>
      </c>
      <c r="DT159" s="435" t="str">
        <f t="shared" si="1554"/>
        <v/>
      </c>
      <c r="DU159" s="435" t="str">
        <f t="shared" si="1588"/>
        <v/>
      </c>
      <c r="DV159" s="435" t="str">
        <f t="shared" si="1589"/>
        <v/>
      </c>
      <c r="DW159" s="435" t="str">
        <f t="shared" si="1555"/>
        <v/>
      </c>
      <c r="DX159" s="435" t="str">
        <f t="shared" si="1556"/>
        <v/>
      </c>
      <c r="DY159" s="435" t="str">
        <f t="shared" si="1590"/>
        <v/>
      </c>
      <c r="DZ159" s="435" t="str">
        <f t="shared" si="1591"/>
        <v/>
      </c>
      <c r="EA159" s="435" t="str">
        <f t="shared" si="1557"/>
        <v/>
      </c>
      <c r="EB159" s="435" t="str">
        <f t="shared" si="1558"/>
        <v/>
      </c>
      <c r="EC159" s="435" t="str">
        <f t="shared" si="1559"/>
        <v/>
      </c>
      <c r="ED159" s="435" t="str">
        <f t="shared" si="1560"/>
        <v/>
      </c>
      <c r="EE159" s="435" t="str">
        <f t="shared" si="1561"/>
        <v/>
      </c>
      <c r="EF159" s="435" t="str">
        <f t="shared" si="1562"/>
        <v/>
      </c>
      <c r="EG159" s="435" t="str">
        <f t="shared" si="1563"/>
        <v/>
      </c>
      <c r="EH159" s="435" t="str">
        <f t="shared" si="1564"/>
        <v/>
      </c>
      <c r="EI159" s="435" t="str">
        <f t="shared" si="1565"/>
        <v/>
      </c>
      <c r="EJ159" s="435" t="str">
        <f t="shared" si="1566"/>
        <v/>
      </c>
      <c r="EK159" s="485"/>
      <c r="EL159" s="485"/>
      <c r="EM159" s="485"/>
      <c r="EN159" s="485"/>
      <c r="EO159" s="448"/>
      <c r="EP159" s="448"/>
      <c r="EQ159" s="448"/>
      <c r="ER159" s="448"/>
      <c r="ES159" s="448"/>
      <c r="ET159" s="435"/>
      <c r="EU159" s="435"/>
      <c r="EV159" s="435"/>
      <c r="EW159" s="435"/>
      <c r="EX159" s="426"/>
      <c r="EY159" s="426"/>
      <c r="EZ159" s="426"/>
      <c r="FA159" s="863"/>
      <c r="FB159" s="427">
        <f t="array" ref="FB159">IF(SUM((FA159=$FA$3:FA158)*1)=0,FA159,0)</f>
        <v>0</v>
      </c>
      <c r="FC159" s="863"/>
      <c r="FD159" s="863"/>
      <c r="FE159" s="863">
        <f t="array" ref="FE159">IF(SUM((FD159=$FD$3:FD158)*1)=0,FD159,0)</f>
        <v>0</v>
      </c>
      <c r="FF159" s="863"/>
      <c r="FG159" s="863"/>
      <c r="FH159" s="863"/>
      <c r="FI159" s="427">
        <f t="array" ref="FI159">IF(SUM((FH159=$FH$3:FH158)*1)=0,FH159,0)</f>
        <v>0</v>
      </c>
      <c r="FJ159" s="863"/>
      <c r="FK159" s="863"/>
      <c r="FL159" s="863">
        <f t="array" ref="FL159">IF(SUM((FK159=$FK$3:FK158)*1)=0,FK159,0)</f>
        <v>0</v>
      </c>
      <c r="FM159" s="863"/>
      <c r="FN159" s="863"/>
      <c r="FO159" s="863"/>
      <c r="FP159" s="427">
        <f t="array" ref="FP159">IF(SUM((FO159=$FO$3:FO158)*1)=0,FO159,0)</f>
        <v>0</v>
      </c>
      <c r="FQ159" s="863"/>
      <c r="FR159" s="863"/>
      <c r="FS159" s="863">
        <f t="array" ref="FS159">IF(SUM((FR159=$FR$3:FR158)*1)=0,FR159,0)</f>
        <v>0</v>
      </c>
      <c r="FT159" s="863"/>
      <c r="FU159" s="863"/>
      <c r="FV159" s="863"/>
      <c r="FW159" s="427">
        <f t="array" ref="FW159">IF(SUM((FV159=$FV$3:FV158)*1)=0,FV159,0)</f>
        <v>0</v>
      </c>
      <c r="FX159" s="863"/>
      <c r="FY159" s="863"/>
      <c r="FZ159" s="863">
        <f t="array" ref="FZ159">IF(SUM((FY159=$FY$3:FY158)*1)=0,FY159,0)</f>
        <v>0</v>
      </c>
      <c r="GA159" s="863"/>
      <c r="GB159" s="863"/>
      <c r="GC159" s="863"/>
      <c r="GD159" s="427">
        <f t="array" ref="GD159">IF(SUM((GC159=$GC$3:GC158)*1)=0,GC159,0)</f>
        <v>0</v>
      </c>
      <c r="GE159" s="863"/>
      <c r="GF159" s="863"/>
      <c r="GG159" s="863">
        <f t="array" ref="GG159">IF(SUM((GF159=$GF$3:GF158)*1)=0,GF159,0)</f>
        <v>0</v>
      </c>
      <c r="GH159" s="863"/>
      <c r="GI159" s="863"/>
      <c r="GJ159" s="863"/>
      <c r="GK159" s="798">
        <f t="array" ref="GK159">IF(SUM((GJ159=$GJ$3:GJ158)*1)=0,GJ159,0)</f>
        <v>0</v>
      </c>
      <c r="GL159" s="863"/>
      <c r="GM159" s="863"/>
      <c r="GN159" s="798">
        <f t="array" ref="GN159">IF(SUM((GM159=$GM$3:GM158)*1)=0,GM159,0)</f>
        <v>0</v>
      </c>
      <c r="GO159" s="863"/>
      <c r="GP159" s="863"/>
      <c r="GQ159" s="863"/>
      <c r="GR159" s="798">
        <f t="array" ref="GR159">IF(SUM((GQ159=$GQ$3:GQ158)*1)=0,GQ159,0)</f>
        <v>0</v>
      </c>
      <c r="GS159" s="863"/>
      <c r="GT159" s="863"/>
      <c r="GU159" s="798">
        <f t="array" ref="GU159">IF(SUM((GT159=$GT$3:GT158)*1)=0,GT159,0)</f>
        <v>0</v>
      </c>
      <c r="GV159" s="863"/>
      <c r="GW159" s="863"/>
      <c r="GX159" s="863"/>
      <c r="GY159" s="798">
        <f t="array" ref="GY159">IF(SUM((GX159=$GX$3:GX158)*1)=0,GX159,0)</f>
        <v>0</v>
      </c>
      <c r="GZ159" s="863"/>
      <c r="HA159" s="863"/>
      <c r="HB159" s="798">
        <f t="array" ref="HB159">IF(SUM((HA159=$HA$3:HA158)*1)=0,HA159,0)</f>
        <v>0</v>
      </c>
      <c r="HC159" s="863"/>
      <c r="HD159" s="863"/>
      <c r="HE159" s="769" t="str">
        <f t="shared" si="1667"/>
        <v/>
      </c>
      <c r="HF159" s="768" t="str">
        <f t="shared" ref="HF159" si="1905">IF(HE159&lt;0,"Invadiu REP-BA-C","")</f>
        <v/>
      </c>
      <c r="HG159" s="769" t="str">
        <f t="shared" si="1669"/>
        <v/>
      </c>
      <c r="HH159" s="768" t="str">
        <f t="shared" si="1593"/>
        <v/>
      </c>
      <c r="HI159" s="728" t="str">
        <f t="shared" si="1670"/>
        <v/>
      </c>
      <c r="HJ159" s="768" t="str">
        <f t="shared" si="1594"/>
        <v/>
      </c>
      <c r="HK159" s="728" t="str">
        <f t="shared" si="1671"/>
        <v/>
      </c>
      <c r="HL159" s="768" t="str">
        <f t="shared" si="1595"/>
        <v/>
      </c>
      <c r="HM159" s="769" t="str">
        <f t="shared" si="1596"/>
        <v/>
      </c>
      <c r="HN159" s="768" t="str">
        <f t="shared" ref="HN159" si="1906">IF(HM159&lt;0,"Invadiu REP-BA-C","")</f>
        <v/>
      </c>
      <c r="HO159" s="769" t="str">
        <f t="shared" si="1598"/>
        <v/>
      </c>
      <c r="HP159" s="768" t="str">
        <f t="shared" si="1599"/>
        <v/>
      </c>
      <c r="HQ159" s="728" t="str">
        <f t="shared" si="1600"/>
        <v/>
      </c>
      <c r="HR159" s="768" t="str">
        <f t="shared" si="1601"/>
        <v/>
      </c>
      <c r="HS159" s="728" t="str">
        <f t="shared" si="1602"/>
        <v/>
      </c>
      <c r="HT159" s="768" t="str">
        <f t="shared" si="1603"/>
        <v/>
      </c>
      <c r="HU159" s="769" t="str">
        <f t="shared" si="1604"/>
        <v/>
      </c>
      <c r="HV159" s="768" t="str">
        <f t="shared" ref="HV159" si="1907">IF(HU159&lt;0,"Invadiu REP-BA-C","")</f>
        <v/>
      </c>
      <c r="HW159" s="769" t="str">
        <f t="shared" si="1606"/>
        <v/>
      </c>
      <c r="HX159" s="768" t="str">
        <f t="shared" si="1607"/>
        <v/>
      </c>
      <c r="HY159" s="728" t="str">
        <f t="shared" si="1608"/>
        <v/>
      </c>
      <c r="HZ159" s="768" t="str">
        <f t="shared" si="1609"/>
        <v/>
      </c>
      <c r="IA159" s="728" t="str">
        <f t="shared" si="1610"/>
        <v/>
      </c>
      <c r="IB159" s="768" t="str">
        <f t="shared" si="1611"/>
        <v/>
      </c>
      <c r="IC159" s="769" t="str">
        <f t="shared" si="1612"/>
        <v/>
      </c>
      <c r="ID159" s="768" t="str">
        <f t="shared" ref="ID159" si="1908">IF(IC159&lt;0,"Invadiu REP-BA-C","")</f>
        <v/>
      </c>
      <c r="IE159" s="769" t="str">
        <f t="shared" si="1614"/>
        <v/>
      </c>
      <c r="IF159" s="768" t="str">
        <f t="shared" si="1615"/>
        <v/>
      </c>
      <c r="IG159" s="728" t="str">
        <f t="shared" si="1616"/>
        <v/>
      </c>
      <c r="IH159" s="768" t="str">
        <f t="shared" si="1617"/>
        <v/>
      </c>
      <c r="II159" s="728" t="str">
        <f t="shared" si="1618"/>
        <v/>
      </c>
      <c r="IJ159" s="768" t="str">
        <f t="shared" si="1619"/>
        <v/>
      </c>
      <c r="IK159" s="769" t="str">
        <f t="shared" si="1620"/>
        <v/>
      </c>
      <c r="IL159" s="768" t="str">
        <f t="shared" ref="IL159" si="1909">IF(IK159&lt;0,"Invadiu REP-BA-C","")</f>
        <v/>
      </c>
      <c r="IM159" s="769" t="str">
        <f t="shared" si="1622"/>
        <v/>
      </c>
      <c r="IN159" s="768" t="str">
        <f t="shared" si="1623"/>
        <v/>
      </c>
      <c r="IO159" s="728" t="str">
        <f t="shared" si="1624"/>
        <v/>
      </c>
      <c r="IP159" s="768" t="str">
        <f t="shared" si="1625"/>
        <v/>
      </c>
      <c r="IQ159" s="728" t="str">
        <f t="shared" si="1626"/>
        <v/>
      </c>
      <c r="IR159" s="768" t="str">
        <f t="shared" si="1627"/>
        <v/>
      </c>
      <c r="IS159" s="769" t="str">
        <f t="shared" si="1628"/>
        <v/>
      </c>
      <c r="IT159" s="768" t="str">
        <f t="shared" ref="IT159" si="1910">IF(IS159&lt;0,"Invadiu REP-BA-C","")</f>
        <v/>
      </c>
      <c r="IU159" s="769" t="str">
        <f t="shared" si="1630"/>
        <v/>
      </c>
      <c r="IV159" s="768" t="str">
        <f t="shared" si="1631"/>
        <v/>
      </c>
      <c r="IW159" s="728" t="str">
        <f t="shared" si="1632"/>
        <v/>
      </c>
      <c r="IX159" s="768" t="str">
        <f t="shared" si="1633"/>
        <v/>
      </c>
      <c r="IY159" s="728" t="str">
        <f t="shared" si="1634"/>
        <v/>
      </c>
      <c r="IZ159" s="768" t="str">
        <f t="shared" si="1635"/>
        <v/>
      </c>
      <c r="JA159" s="769" t="str">
        <f t="shared" si="1636"/>
        <v/>
      </c>
      <c r="JB159" s="768" t="str">
        <f t="shared" ref="JB159" si="1911">IF(JA159&lt;0,"Invadiu REP-BA-C","")</f>
        <v/>
      </c>
      <c r="JC159" s="769" t="str">
        <f t="shared" si="1638"/>
        <v/>
      </c>
      <c r="JD159" s="768" t="str">
        <f t="shared" si="1639"/>
        <v/>
      </c>
      <c r="JE159" s="728" t="str">
        <f t="shared" si="1640"/>
        <v/>
      </c>
      <c r="JF159" s="768" t="str">
        <f t="shared" si="1641"/>
        <v/>
      </c>
      <c r="JG159" s="728" t="str">
        <f t="shared" si="1642"/>
        <v/>
      </c>
      <c r="JH159" s="768" t="str">
        <f t="shared" si="1643"/>
        <v/>
      </c>
      <c r="JI159" s="769" t="str">
        <f t="shared" si="1644"/>
        <v/>
      </c>
      <c r="JJ159" s="768" t="str">
        <f t="shared" ref="JJ159" si="1912">IF(JI159&lt;0,"Invadiu REP-BA-C","")</f>
        <v/>
      </c>
      <c r="JK159" s="769" t="str">
        <f t="shared" si="1646"/>
        <v/>
      </c>
      <c r="JL159" s="768" t="str">
        <f t="shared" si="1647"/>
        <v/>
      </c>
      <c r="JM159" s="728" t="str">
        <f t="shared" si="1648"/>
        <v/>
      </c>
      <c r="JN159" s="768" t="str">
        <f t="shared" si="1649"/>
        <v/>
      </c>
      <c r="JO159" s="728" t="str">
        <f t="shared" si="1650"/>
        <v/>
      </c>
      <c r="JP159" s="768" t="str">
        <f t="shared" si="1651"/>
        <v/>
      </c>
      <c r="JQ159" s="769" t="str">
        <f t="shared" si="1652"/>
        <v/>
      </c>
      <c r="JR159" s="768" t="str">
        <f t="shared" ref="JR159" si="1913">IF(JQ159&lt;0,"Invadiu REP-BA-C","")</f>
        <v/>
      </c>
      <c r="JS159" s="769" t="str">
        <f t="shared" si="1654"/>
        <v/>
      </c>
      <c r="JT159" s="768" t="str">
        <f t="shared" si="1655"/>
        <v/>
      </c>
      <c r="JU159" s="728" t="str">
        <f t="shared" si="1656"/>
        <v/>
      </c>
      <c r="JV159" s="768" t="str">
        <f t="shared" si="1657"/>
        <v/>
      </c>
      <c r="JW159" s="728" t="str">
        <f t="shared" si="1658"/>
        <v/>
      </c>
      <c r="JX159" s="768" t="str">
        <f t="shared" si="1659"/>
        <v/>
      </c>
      <c r="JY159" s="768" t="str">
        <f t="shared" si="1660"/>
        <v/>
      </c>
      <c r="JZ159" s="485" t="str">
        <f>IF(JY159="","",IF(AND(C159=$C$164,JY159&lt;&gt;""),Verificarcpf(D159),IF(AND(C159=$C$165,JY159&lt;&gt;""),VerificarCNPJ(D159))))</f>
        <v/>
      </c>
      <c r="KA159" s="768" t="str">
        <f t="shared" si="1661"/>
        <v/>
      </c>
      <c r="KB159" s="485">
        <f t="shared" si="1662"/>
        <v>0</v>
      </c>
      <c r="KC159" s="768">
        <f t="shared" si="1663"/>
        <v>0</v>
      </c>
      <c r="KD159" s="485">
        <f t="shared" si="1664"/>
        <v>0</v>
      </c>
      <c r="KE159" s="448"/>
      <c r="KF159" s="548"/>
      <c r="KG159" s="548"/>
      <c r="KH159" s="548"/>
      <c r="KI159" s="548"/>
      <c r="KJ159" s="548" t="str">
        <f t="shared" si="1665"/>
        <v/>
      </c>
      <c r="KK159" s="548"/>
      <c r="KL159" s="548"/>
      <c r="KM159" s="548">
        <f t="array" ref="KM159">IF(SUM((KL159=$KL$3:KL158)*1)=0,KL159,0)</f>
        <v>0</v>
      </c>
      <c r="KN159" s="548"/>
      <c r="KO159" s="548"/>
      <c r="KP159" s="548"/>
      <c r="KQ159" s="548"/>
      <c r="KR159" s="548" t="str">
        <f t="shared" si="1666"/>
        <v/>
      </c>
      <c r="KS159" s="548"/>
      <c r="KT159" s="548"/>
      <c r="KU159" s="548"/>
      <c r="KV159" s="548"/>
      <c r="KW159" s="548"/>
      <c r="KX159" s="548"/>
      <c r="KY159" s="548"/>
      <c r="KZ159" s="548"/>
      <c r="LA159" s="548"/>
      <c r="LB159" s="548"/>
      <c r="LC159" s="485" t="str">
        <f t="shared" si="1680"/>
        <v/>
      </c>
      <c r="LD159" s="548"/>
      <c r="LE159" s="548"/>
      <c r="LF159" s="548"/>
      <c r="LG159" s="548"/>
      <c r="LH159" s="548"/>
      <c r="LI159" s="548"/>
      <c r="LJ159" s="548"/>
      <c r="LK159" s="548"/>
      <c r="LL159" s="548"/>
      <c r="LM159" s="548"/>
      <c r="LN159" s="548"/>
      <c r="LO159" s="548"/>
      <c r="LP159" s="485" t="str">
        <f t="shared" si="1681"/>
        <v/>
      </c>
      <c r="LQ159" s="548"/>
      <c r="LR159" s="548"/>
      <c r="LS159" s="548"/>
      <c r="LT159" s="548"/>
      <c r="LU159" s="548"/>
      <c r="LV159" s="548"/>
      <c r="LW159" s="548"/>
      <c r="LX159" s="548"/>
      <c r="LY159" s="548"/>
      <c r="LZ159" s="548"/>
      <c r="MA159" s="548"/>
      <c r="MB159" s="548"/>
      <c r="MC159" s="485" t="str">
        <f t="shared" si="1682"/>
        <v/>
      </c>
      <c r="MD159" s="548"/>
      <c r="ME159" s="548"/>
      <c r="MF159" s="548"/>
      <c r="MG159" s="548"/>
      <c r="MH159" s="548"/>
      <c r="MI159" s="548"/>
      <c r="MJ159" s="548"/>
      <c r="MK159" s="548"/>
      <c r="ML159" s="548"/>
      <c r="MM159" s="548"/>
      <c r="MN159" s="548"/>
      <c r="MO159" s="548"/>
      <c r="MP159" s="485" t="str">
        <f t="shared" si="1683"/>
        <v/>
      </c>
      <c r="MQ159" s="548"/>
      <c r="MR159" s="548"/>
      <c r="MS159" s="548"/>
      <c r="MT159" s="548"/>
      <c r="MU159" s="548"/>
      <c r="MV159" s="548"/>
      <c r="MW159" s="548"/>
      <c r="MX159" s="548"/>
      <c r="MY159" s="548"/>
      <c r="MZ159" s="548"/>
      <c r="NA159" s="548"/>
      <c r="NB159" s="548"/>
      <c r="NC159" s="485" t="str">
        <f t="shared" si="1684"/>
        <v/>
      </c>
      <c r="ND159" s="548"/>
      <c r="NE159" s="548"/>
      <c r="NF159" s="548"/>
      <c r="NG159" s="548"/>
      <c r="NH159" s="548"/>
      <c r="NI159" s="548"/>
      <c r="NJ159" s="548"/>
      <c r="NK159" s="548"/>
      <c r="NL159" s="548"/>
      <c r="NM159" s="548"/>
      <c r="NN159" s="548"/>
      <c r="NO159" s="548"/>
      <c r="NP159" s="485" t="str">
        <f t="shared" si="1685"/>
        <v/>
      </c>
      <c r="NQ159" s="548"/>
      <c r="NR159" s="548"/>
      <c r="NS159" s="548"/>
      <c r="NT159" s="548"/>
      <c r="NU159" s="548"/>
      <c r="NV159" s="548"/>
      <c r="NW159" s="548"/>
      <c r="NX159" s="548"/>
      <c r="NY159" s="548"/>
      <c r="NZ159" s="548"/>
      <c r="OA159" s="548"/>
      <c r="OB159" s="548"/>
      <c r="OC159" s="485" t="str">
        <f t="shared" si="1686"/>
        <v/>
      </c>
      <c r="OD159" s="548"/>
      <c r="OE159" s="548"/>
      <c r="OF159" s="548"/>
      <c r="OG159" s="548"/>
      <c r="OH159" s="548"/>
      <c r="OI159" s="548"/>
      <c r="OJ159" s="548"/>
      <c r="OK159" s="548"/>
      <c r="OL159" s="548"/>
      <c r="OM159" s="548"/>
      <c r="ON159" s="548"/>
      <c r="OO159" s="548"/>
      <c r="OP159" s="548"/>
      <c r="OQ159" s="548"/>
      <c r="OR159" s="548"/>
      <c r="OS159" s="548"/>
      <c r="OT159" s="548"/>
      <c r="OU159" s="548"/>
      <c r="OV159" s="548"/>
      <c r="OW159" s="548"/>
      <c r="OX159" s="548"/>
      <c r="OY159" s="548"/>
      <c r="OZ159" s="548"/>
      <c r="PA159" s="548"/>
      <c r="PB159" s="548"/>
      <c r="PC159" s="548"/>
      <c r="PD159" s="548"/>
      <c r="PE159" s="548"/>
      <c r="PF159" s="548"/>
      <c r="PG159" s="548"/>
      <c r="PH159" s="548"/>
      <c r="PI159" s="548"/>
      <c r="PJ159" s="548"/>
      <c r="PK159" s="548"/>
      <c r="PL159" s="548"/>
      <c r="PM159" s="548"/>
      <c r="PN159" s="548"/>
      <c r="PO159" s="548"/>
      <c r="PP159" s="548"/>
      <c r="PQ159" s="548"/>
      <c r="PR159" s="548"/>
      <c r="PS159" s="548"/>
      <c r="PT159" s="548"/>
      <c r="PU159" s="548"/>
      <c r="PV159" s="548"/>
      <c r="PW159" s="548"/>
      <c r="PX159" s="548"/>
      <c r="PY159" s="548"/>
      <c r="PZ159" s="548"/>
      <c r="QA159" s="548"/>
      <c r="QB159" s="548"/>
      <c r="QC159" s="548"/>
      <c r="QD159" s="548"/>
      <c r="QE159" s="548"/>
      <c r="QF159" s="548"/>
      <c r="QG159" s="548"/>
      <c r="QH159" s="548"/>
      <c r="QI159" s="548"/>
      <c r="QJ159" s="548"/>
      <c r="QK159" s="548"/>
      <c r="QL159" s="548"/>
      <c r="QM159" s="548"/>
      <c r="QN159" s="548"/>
      <c r="QO159" s="548"/>
      <c r="QP159" s="548"/>
      <c r="QQ159" s="1009"/>
      <c r="QR159" s="548"/>
      <c r="QS159" s="548"/>
      <c r="QT159" s="548"/>
      <c r="QU159" s="548"/>
      <c r="QV159" s="548"/>
      <c r="QW159" s="548"/>
      <c r="QX159" s="548"/>
      <c r="QY159" s="548"/>
      <c r="QZ159" s="548"/>
      <c r="RA159" s="548"/>
      <c r="RB159" s="548"/>
      <c r="RC159" s="548"/>
      <c r="RD159" s="548"/>
      <c r="RE159" s="548"/>
      <c r="RF159" s="548"/>
      <c r="RG159" s="548"/>
      <c r="RH159" s="548"/>
      <c r="RI159" s="548"/>
      <c r="RJ159" s="548"/>
      <c r="RK159" s="548"/>
      <c r="RL159" s="548"/>
      <c r="RM159" s="548"/>
      <c r="RN159" s="548"/>
      <c r="RO159" s="548"/>
      <c r="RP159" s="548"/>
      <c r="RQ159" s="548"/>
      <c r="RR159" s="548"/>
      <c r="RS159" s="548"/>
      <c r="RT159" s="548"/>
      <c r="RU159" s="548"/>
      <c r="RV159" s="548"/>
      <c r="RW159" s="548"/>
      <c r="RX159" s="548"/>
      <c r="RY159" s="548"/>
      <c r="RZ159" s="548"/>
      <c r="SA159" s="548"/>
      <c r="SB159" s="548"/>
      <c r="SC159" s="548"/>
      <c r="SD159" s="548"/>
      <c r="SE159" s="548"/>
      <c r="SF159" s="548"/>
      <c r="SG159" s="548"/>
      <c r="SH159" s="548"/>
      <c r="SI159" s="548"/>
      <c r="SJ159" s="548"/>
      <c r="SK159" s="548"/>
      <c r="SL159" s="548"/>
      <c r="SM159" s="548"/>
      <c r="SN159" s="548"/>
      <c r="SO159" s="548"/>
      <c r="SP159" s="548"/>
      <c r="SQ159" s="548"/>
      <c r="SR159" s="548"/>
      <c r="SS159" s="548"/>
      <c r="ST159" s="548"/>
      <c r="SU159" s="548"/>
      <c r="SV159" s="548"/>
      <c r="SW159" s="548"/>
      <c r="SX159" s="548"/>
      <c r="SY159" s="548"/>
      <c r="SZ159" s="548"/>
      <c r="TA159" s="548"/>
      <c r="TB159" s="548"/>
      <c r="TC159" s="548"/>
      <c r="TD159" s="548"/>
      <c r="TE159" s="548"/>
      <c r="TF159" s="548"/>
      <c r="TG159" s="548"/>
      <c r="TH159" s="548"/>
      <c r="TI159" s="548"/>
      <c r="TJ159" s="548"/>
      <c r="TK159" s="548"/>
      <c r="TL159" s="548"/>
      <c r="TM159" s="548"/>
      <c r="TN159" s="548"/>
      <c r="TO159" s="548"/>
      <c r="TP159" s="548"/>
      <c r="TQ159" s="548"/>
      <c r="TR159" s="548"/>
      <c r="TS159" s="548"/>
      <c r="TT159" s="548"/>
      <c r="TU159" s="548"/>
      <c r="TV159" s="548"/>
      <c r="TW159" s="548"/>
      <c r="TX159" s="548"/>
      <c r="TY159" s="548"/>
      <c r="TZ159" s="548"/>
      <c r="UA159" s="548"/>
      <c r="UB159" s="548"/>
      <c r="UC159" s="548"/>
      <c r="UD159" s="548"/>
      <c r="UE159" s="548"/>
      <c r="UF159" s="548"/>
      <c r="UG159" s="548"/>
      <c r="UH159" s="548"/>
      <c r="UI159" s="548"/>
      <c r="UJ159" s="548"/>
      <c r="UK159" s="548"/>
      <c r="UL159" s="548"/>
      <c r="UM159" s="548"/>
      <c r="UN159" s="548"/>
      <c r="UO159" s="548"/>
      <c r="UP159" s="548"/>
      <c r="UQ159" s="548"/>
      <c r="UR159" s="548"/>
      <c r="US159" s="548"/>
      <c r="UT159" s="548"/>
      <c r="UU159" s="548"/>
      <c r="UV159" s="548"/>
      <c r="UW159" s="548"/>
      <c r="UX159" s="548"/>
      <c r="UY159" s="548"/>
      <c r="UZ159" s="548"/>
      <c r="VA159" s="548"/>
      <c r="VB159" s="548"/>
      <c r="VC159" s="548"/>
      <c r="VD159" s="548"/>
      <c r="VE159" s="548"/>
      <c r="VF159" s="548"/>
      <c r="VG159" s="548"/>
      <c r="VH159" s="548"/>
      <c r="VI159" s="548"/>
      <c r="VJ159" s="548"/>
      <c r="VK159" s="548"/>
      <c r="VL159" s="548"/>
      <c r="VM159" s="548"/>
      <c r="VN159" s="548"/>
      <c r="VO159" s="548"/>
      <c r="VP159" s="548"/>
      <c r="VQ159" s="548"/>
      <c r="VR159" s="548"/>
      <c r="VS159" s="548"/>
      <c r="VT159" s="548"/>
      <c r="VU159" s="548"/>
      <c r="VV159" s="548"/>
      <c r="VW159" s="548"/>
      <c r="VX159" s="548"/>
      <c r="VY159" s="548"/>
      <c r="VZ159" s="548"/>
      <c r="WA159" s="548"/>
      <c r="WB159" s="548"/>
      <c r="WC159" s="548"/>
      <c r="WD159" s="548"/>
      <c r="WE159" s="548"/>
      <c r="WF159" s="548"/>
      <c r="WG159" s="548"/>
      <c r="WH159" s="548"/>
      <c r="WI159" s="548"/>
      <c r="WJ159" s="548"/>
      <c r="WK159" s="548"/>
      <c r="WL159" s="548"/>
      <c r="WM159" s="548"/>
      <c r="WN159" s="548"/>
      <c r="WO159" s="548"/>
      <c r="WP159" s="548"/>
      <c r="WQ159" s="548"/>
      <c r="WR159" s="548"/>
      <c r="WS159" s="548"/>
      <c r="WT159" s="548"/>
      <c r="WU159" s="548"/>
      <c r="WV159" s="548"/>
      <c r="WW159" s="548"/>
      <c r="WX159" s="548"/>
      <c r="WY159" s="548"/>
      <c r="WZ159" s="548"/>
      <c r="XA159" s="548"/>
      <c r="XB159" s="548"/>
      <c r="XC159" s="548"/>
      <c r="XD159" s="548"/>
      <c r="XE159" s="548"/>
      <c r="XF159" s="548"/>
      <c r="XG159" s="548"/>
      <c r="XH159" s="548"/>
      <c r="XI159" s="548"/>
      <c r="XJ159" s="548"/>
      <c r="XK159" s="548"/>
      <c r="XL159" s="548"/>
      <c r="XM159" s="548"/>
      <c r="XN159" s="548"/>
      <c r="XO159" s="548"/>
      <c r="XP159" s="548"/>
      <c r="XQ159" s="548"/>
      <c r="XR159" s="548"/>
      <c r="XS159" s="548"/>
      <c r="XT159" s="548"/>
      <c r="XU159" s="548"/>
      <c r="XV159" s="548"/>
      <c r="XW159" s="548"/>
      <c r="XX159" s="548"/>
      <c r="XY159" s="548"/>
      <c r="XZ159" s="548"/>
      <c r="YA159" s="548"/>
      <c r="YB159" s="548"/>
      <c r="YC159" s="548"/>
      <c r="YD159" s="548"/>
      <c r="YE159" s="548"/>
      <c r="YF159" s="548"/>
      <c r="YG159" s="548"/>
      <c r="YH159" s="548"/>
      <c r="YI159" s="548"/>
      <c r="YJ159" s="548"/>
      <c r="YK159" s="548"/>
      <c r="YL159" s="548"/>
      <c r="YM159" s="548"/>
      <c r="YN159" s="548"/>
      <c r="YO159" s="548"/>
      <c r="YP159" s="548"/>
      <c r="YQ159" s="548"/>
      <c r="YR159" s="548"/>
      <c r="YS159" s="548"/>
      <c r="YT159" s="548"/>
      <c r="YU159" s="548"/>
      <c r="YV159" s="548"/>
      <c r="YW159" s="548"/>
      <c r="YX159" s="548"/>
      <c r="YY159" s="548"/>
      <c r="YZ159" s="548"/>
      <c r="ZA159" s="548"/>
      <c r="ZB159" s="548"/>
      <c r="ZC159" s="548"/>
      <c r="ZD159" s="548"/>
      <c r="ZE159" s="548"/>
      <c r="ZF159" s="548"/>
      <c r="ZG159" s="548"/>
      <c r="ZH159" s="548"/>
      <c r="ZI159" s="548"/>
      <c r="ZJ159" s="548"/>
      <c r="ZK159" s="548"/>
      <c r="ZL159" s="548"/>
      <c r="ZM159" s="548"/>
      <c r="ZN159" s="548"/>
      <c r="ZO159" s="548"/>
      <c r="ZP159" s="548"/>
      <c r="ZQ159" s="548"/>
      <c r="ZR159" s="548"/>
      <c r="ZS159" s="548"/>
      <c r="ZT159" s="548"/>
      <c r="ZU159" s="548"/>
      <c r="ZV159" s="548"/>
      <c r="ZW159" s="548"/>
      <c r="ZX159" s="548"/>
      <c r="ZY159" s="548"/>
      <c r="ZZ159" s="548"/>
      <c r="AAA159" s="548"/>
      <c r="AAB159" s="548"/>
      <c r="AAC159" s="548"/>
      <c r="AAD159" s="548"/>
      <c r="AAE159" s="548"/>
      <c r="AAF159" s="548"/>
      <c r="AAG159" s="548"/>
      <c r="AAH159" s="548"/>
      <c r="AAI159" s="548"/>
      <c r="AAJ159" s="548"/>
      <c r="AAK159" s="548"/>
      <c r="AAL159" s="548"/>
      <c r="AAM159" s="548"/>
      <c r="AAN159" s="548"/>
      <c r="AAO159" s="548"/>
      <c r="AAP159" s="548"/>
      <c r="AAQ159" s="548"/>
      <c r="AAR159" s="548"/>
      <c r="AAS159" s="548"/>
      <c r="AAT159" s="548"/>
      <c r="AAU159" s="548"/>
      <c r="AAV159" s="548"/>
      <c r="AAW159" s="548"/>
      <c r="AAX159" s="548"/>
      <c r="AAY159" s="548"/>
      <c r="AAZ159" s="548"/>
      <c r="ABA159" s="548"/>
      <c r="ABB159" s="548"/>
      <c r="ABC159" s="548"/>
      <c r="ABD159" s="548"/>
      <c r="ABE159" s="548"/>
      <c r="ABF159" s="548"/>
      <c r="ABG159" s="548"/>
      <c r="ABH159" s="548"/>
      <c r="ABI159" s="548"/>
      <c r="ABJ159" s="548"/>
      <c r="ABK159" s="548"/>
      <c r="ABL159" s="548"/>
      <c r="ABM159" s="548"/>
      <c r="ABN159" s="548"/>
      <c r="ABO159" s="548"/>
      <c r="ABP159" s="548"/>
      <c r="ABQ159" s="548"/>
      <c r="ABR159" s="548"/>
      <c r="ABS159" s="548"/>
    </row>
    <row r="160" spans="1:747" customFormat="1" ht="15" customHeight="1" x14ac:dyDescent="0.2">
      <c r="A160" s="424" t="str">
        <f t="shared" si="1687"/>
        <v/>
      </c>
      <c r="B160" s="415"/>
      <c r="C160" s="525"/>
      <c r="D160" s="750"/>
      <c r="E160" s="416" t="str">
        <f t="shared" si="1529"/>
        <v/>
      </c>
      <c r="F160" s="527" t="str">
        <f t="shared" si="1530"/>
        <v/>
      </c>
      <c r="G160" s="417"/>
      <c r="H160" s="585" t="str">
        <f t="shared" si="1531"/>
        <v/>
      </c>
      <c r="I160" s="424"/>
      <c r="J160" s="419"/>
      <c r="K160" s="418"/>
      <c r="L160" s="419"/>
      <c r="M160" s="415"/>
      <c r="N160" s="420"/>
      <c r="O160" s="421"/>
      <c r="P160" s="561"/>
      <c r="Q160" s="422"/>
      <c r="R160" s="561" t="str">
        <f t="shared" si="1532"/>
        <v/>
      </c>
      <c r="S160" s="664"/>
      <c r="T160" s="663"/>
      <c r="U160" s="580">
        <f t="shared" si="1533"/>
        <v>0</v>
      </c>
      <c r="V160" s="418"/>
      <c r="W160" s="582" t="str">
        <f t="shared" si="1534"/>
        <v/>
      </c>
      <c r="X160" s="479" t="str">
        <f t="shared" si="1535"/>
        <v/>
      </c>
      <c r="Y160" s="582" t="str">
        <f t="shared" si="1536"/>
        <v/>
      </c>
      <c r="Z160" s="317" t="str">
        <f t="shared" si="1537"/>
        <v/>
      </c>
      <c r="AA160" s="317" t="str">
        <f t="shared" si="1538"/>
        <v/>
      </c>
      <c r="AB160" s="317">
        <f t="shared" si="1539"/>
        <v>0</v>
      </c>
      <c r="AC160" s="317" t="str">
        <f t="shared" si="1540"/>
        <v/>
      </c>
      <c r="AD160" s="479"/>
      <c r="AE160" s="479"/>
      <c r="AF160" s="479"/>
      <c r="AG160" s="423"/>
      <c r="AH160" s="820"/>
      <c r="AI160" s="437"/>
      <c r="AJ160" s="660"/>
      <c r="AK160" s="524" t="str">
        <f t="shared" si="1541"/>
        <v/>
      </c>
      <c r="AL160" s="731">
        <f t="shared" si="1832"/>
        <v>0</v>
      </c>
      <c r="AM160" s="732">
        <f t="shared" si="1832"/>
        <v>0</v>
      </c>
      <c r="AN160" s="426">
        <f t="shared" si="1542"/>
        <v>0</v>
      </c>
      <c r="AO160" s="427" t="str">
        <f t="shared" si="1543"/>
        <v/>
      </c>
      <c r="AP160" s="426" t="str">
        <f t="shared" si="1544"/>
        <v/>
      </c>
      <c r="AQ160" s="426"/>
      <c r="AR160" s="426"/>
      <c r="AS160" s="428"/>
      <c r="AT160" s="429"/>
      <c r="AU160" s="430"/>
      <c r="AV160" s="431"/>
      <c r="AW160" s="432"/>
      <c r="AX160" s="430"/>
      <c r="AY160" s="431">
        <f t="shared" si="1545"/>
        <v>0</v>
      </c>
      <c r="AZ160" s="426"/>
      <c r="BA160" s="435" t="str">
        <f t="shared" si="1546"/>
        <v/>
      </c>
      <c r="BB160" s="435"/>
      <c r="BC160" s="426"/>
      <c r="BD160" s="426">
        <f t="array" ref="BD160">IF(SUM((BC160=$BC$3:BC159)*1)=0,BC160,0)</f>
        <v>0</v>
      </c>
      <c r="BE160" s="426"/>
      <c r="BF160" s="426"/>
      <c r="BG160" s="426">
        <f t="array" ref="BG160">IF(SUM((BF160=$BF$3:BF159)*1)=0,BF160,0)</f>
        <v>0</v>
      </c>
      <c r="BH160" s="426"/>
      <c r="BI160" s="426"/>
      <c r="BJ160" s="426"/>
      <c r="BK160" s="426"/>
      <c r="BL160" s="426"/>
      <c r="BM160" s="426"/>
      <c r="BN160" s="426"/>
      <c r="BO160" s="426"/>
      <c r="BP160" s="433">
        <f t="shared" si="1547"/>
        <v>0</v>
      </c>
      <c r="BQ160" s="426"/>
      <c r="BR160" s="434"/>
      <c r="BS160" s="426"/>
      <c r="BT160" s="433"/>
      <c r="BU160" s="435"/>
      <c r="BV160" s="435" t="str">
        <f t="shared" si="1548"/>
        <v/>
      </c>
      <c r="BW160" s="435" t="str">
        <f t="shared" si="1576"/>
        <v/>
      </c>
      <c r="BX160" s="435"/>
      <c r="BY160" s="435"/>
      <c r="BZ160" s="435"/>
      <c r="CA160" s="435"/>
      <c r="CB160" s="435"/>
      <c r="CC160" s="435"/>
      <c r="CD160" s="435"/>
      <c r="CE160" s="435"/>
      <c r="CF160" s="435"/>
      <c r="CG160" s="435"/>
      <c r="CH160" s="435"/>
      <c r="CI160" s="435"/>
      <c r="CJ160" s="426" t="str">
        <f t="shared" si="1577"/>
        <v/>
      </c>
      <c r="CK160" s="435"/>
      <c r="CL160" s="426"/>
      <c r="CM160" s="435"/>
      <c r="CN160" s="426"/>
      <c r="CO160" s="426"/>
      <c r="CP160" s="426"/>
      <c r="CQ160" s="426"/>
      <c r="CR160" s="426"/>
      <c r="CS160" s="426"/>
      <c r="CT160" s="426"/>
      <c r="CU160" s="426"/>
      <c r="CV160" s="426"/>
      <c r="CW160" s="493"/>
      <c r="CX160" s="493"/>
      <c r="CY160" s="426">
        <v>157</v>
      </c>
      <c r="CZ160" s="493"/>
      <c r="DA160" s="493"/>
      <c r="DB160" s="493"/>
      <c r="DC160" s="426" t="s">
        <v>900</v>
      </c>
      <c r="DD160" s="426" t="s">
        <v>1060</v>
      </c>
      <c r="DE160" s="435" t="str">
        <f t="shared" si="1578"/>
        <v/>
      </c>
      <c r="DF160" s="435" t="str">
        <f t="shared" si="1579"/>
        <v/>
      </c>
      <c r="DG160" s="435" t="str">
        <f t="shared" si="1580"/>
        <v/>
      </c>
      <c r="DH160" s="435" t="str">
        <f t="shared" si="1581"/>
        <v/>
      </c>
      <c r="DI160" s="435" t="str">
        <f t="shared" si="1582"/>
        <v/>
      </c>
      <c r="DJ160" s="435" t="str">
        <f t="shared" si="1583"/>
        <v/>
      </c>
      <c r="DK160" s="435" t="str">
        <f t="shared" si="1549"/>
        <v/>
      </c>
      <c r="DL160" s="435" t="str">
        <f t="shared" si="1550"/>
        <v/>
      </c>
      <c r="DM160" s="435" t="str">
        <f t="shared" si="1584"/>
        <v/>
      </c>
      <c r="DN160" s="435" t="str">
        <f t="shared" si="1585"/>
        <v/>
      </c>
      <c r="DO160" s="435" t="str">
        <f t="shared" si="1551"/>
        <v/>
      </c>
      <c r="DP160" s="435" t="str">
        <f t="shared" si="1552"/>
        <v/>
      </c>
      <c r="DQ160" s="435" t="str">
        <f t="shared" si="1586"/>
        <v/>
      </c>
      <c r="DR160" s="435" t="str">
        <f t="shared" si="1587"/>
        <v/>
      </c>
      <c r="DS160" s="435" t="str">
        <f t="shared" si="1553"/>
        <v/>
      </c>
      <c r="DT160" s="435" t="str">
        <f t="shared" si="1554"/>
        <v/>
      </c>
      <c r="DU160" s="435" t="str">
        <f t="shared" si="1588"/>
        <v/>
      </c>
      <c r="DV160" s="435" t="str">
        <f t="shared" si="1589"/>
        <v/>
      </c>
      <c r="DW160" s="435" t="str">
        <f t="shared" si="1555"/>
        <v/>
      </c>
      <c r="DX160" s="435" t="str">
        <f t="shared" si="1556"/>
        <v/>
      </c>
      <c r="DY160" s="435" t="str">
        <f t="shared" si="1590"/>
        <v/>
      </c>
      <c r="DZ160" s="435" t="str">
        <f t="shared" si="1591"/>
        <v/>
      </c>
      <c r="EA160" s="435" t="str">
        <f t="shared" si="1557"/>
        <v/>
      </c>
      <c r="EB160" s="435" t="str">
        <f t="shared" si="1558"/>
        <v/>
      </c>
      <c r="EC160" s="435" t="str">
        <f t="shared" si="1559"/>
        <v/>
      </c>
      <c r="ED160" s="435" t="str">
        <f t="shared" si="1560"/>
        <v/>
      </c>
      <c r="EE160" s="435" t="str">
        <f t="shared" si="1561"/>
        <v/>
      </c>
      <c r="EF160" s="435" t="str">
        <f t="shared" si="1562"/>
        <v/>
      </c>
      <c r="EG160" s="435" t="str">
        <f t="shared" si="1563"/>
        <v/>
      </c>
      <c r="EH160" s="435" t="str">
        <f t="shared" si="1564"/>
        <v/>
      </c>
      <c r="EI160" s="435" t="str">
        <f t="shared" si="1565"/>
        <v/>
      </c>
      <c r="EJ160" s="435" t="str">
        <f t="shared" si="1566"/>
        <v/>
      </c>
      <c r="EK160" s="485"/>
      <c r="EL160" s="485"/>
      <c r="EM160" s="485"/>
      <c r="EN160" s="485"/>
      <c r="EO160" s="448"/>
      <c r="EP160" s="448"/>
      <c r="EQ160" s="448"/>
      <c r="ER160" s="448"/>
      <c r="ES160" s="448"/>
      <c r="ET160" s="435"/>
      <c r="EU160" s="435"/>
      <c r="EV160" s="435"/>
      <c r="EW160" s="435"/>
      <c r="EX160" s="426"/>
      <c r="EY160" s="426"/>
      <c r="EZ160" s="426"/>
      <c r="FA160" s="863"/>
      <c r="FB160" s="427">
        <f t="array" ref="FB160">IF(SUM((FA160=$FA$3:FA159)*1)=0,FA160,0)</f>
        <v>0</v>
      </c>
      <c r="FC160" s="863"/>
      <c r="FD160" s="863"/>
      <c r="FE160" s="863">
        <f t="array" ref="FE160">IF(SUM((FD160=$FD$3:FD159)*1)=0,FD160,0)</f>
        <v>0</v>
      </c>
      <c r="FF160" s="863"/>
      <c r="FG160" s="863"/>
      <c r="FH160" s="863"/>
      <c r="FI160" s="427">
        <f t="array" ref="FI160">IF(SUM((FH160=$FH$3:FH159)*1)=0,FH160,0)</f>
        <v>0</v>
      </c>
      <c r="FJ160" s="863"/>
      <c r="FK160" s="863"/>
      <c r="FL160" s="863">
        <f t="array" ref="FL160">IF(SUM((FK160=$FK$3:FK159)*1)=0,FK160,0)</f>
        <v>0</v>
      </c>
      <c r="FM160" s="863"/>
      <c r="FN160" s="863"/>
      <c r="FO160" s="863"/>
      <c r="FP160" s="427">
        <f t="array" ref="FP160">IF(SUM((FO160=$FO$3:FO159)*1)=0,FO160,0)</f>
        <v>0</v>
      </c>
      <c r="FQ160" s="863"/>
      <c r="FR160" s="863"/>
      <c r="FS160" s="863">
        <f t="array" ref="FS160">IF(SUM((FR160=$FR$3:FR159)*1)=0,FR160,0)</f>
        <v>0</v>
      </c>
      <c r="FT160" s="863"/>
      <c r="FU160" s="863"/>
      <c r="FV160" s="863"/>
      <c r="FW160" s="427">
        <f t="array" ref="FW160">IF(SUM((FV160=$FV$3:FV159)*1)=0,FV160,0)</f>
        <v>0</v>
      </c>
      <c r="FX160" s="863"/>
      <c r="FY160" s="863"/>
      <c r="FZ160" s="863">
        <f t="array" ref="FZ160">IF(SUM((FY160=$FY$3:FY159)*1)=0,FY160,0)</f>
        <v>0</v>
      </c>
      <c r="GA160" s="863"/>
      <c r="GB160" s="863"/>
      <c r="GC160" s="863"/>
      <c r="GD160" s="427">
        <f t="array" ref="GD160">IF(SUM((GC160=$GC$3:GC159)*1)=0,GC160,0)</f>
        <v>0</v>
      </c>
      <c r="GE160" s="863"/>
      <c r="GF160" s="863"/>
      <c r="GG160" s="863">
        <f t="array" ref="GG160">IF(SUM((GF160=$GF$3:GF159)*1)=0,GF160,0)</f>
        <v>0</v>
      </c>
      <c r="GH160" s="863"/>
      <c r="GI160" s="863"/>
      <c r="GJ160" s="863"/>
      <c r="GK160" s="798">
        <f t="array" ref="GK160">IF(SUM((GJ160=$GJ$3:GJ159)*1)=0,GJ160,0)</f>
        <v>0</v>
      </c>
      <c r="GL160" s="863"/>
      <c r="GM160" s="863"/>
      <c r="GN160" s="798">
        <f t="array" ref="GN160">IF(SUM((GM160=$GM$3:GM159)*1)=0,GM160,0)</f>
        <v>0</v>
      </c>
      <c r="GO160" s="863"/>
      <c r="GP160" s="863"/>
      <c r="GQ160" s="863"/>
      <c r="GR160" s="798">
        <f t="array" ref="GR160">IF(SUM((GQ160=$GQ$3:GQ159)*1)=0,GQ160,0)</f>
        <v>0</v>
      </c>
      <c r="GS160" s="863"/>
      <c r="GT160" s="863"/>
      <c r="GU160" s="798">
        <f t="array" ref="GU160">IF(SUM((GT160=$GT$3:GT159)*1)=0,GT160,0)</f>
        <v>0</v>
      </c>
      <c r="GV160" s="863"/>
      <c r="GW160" s="863"/>
      <c r="GX160" s="863"/>
      <c r="GY160" s="798">
        <f t="array" ref="GY160">IF(SUM((GX160=$GX$3:GX159)*1)=0,GX160,0)</f>
        <v>0</v>
      </c>
      <c r="GZ160" s="863"/>
      <c r="HA160" s="863"/>
      <c r="HB160" s="798">
        <f t="array" ref="HB160">IF(SUM((HA160=$HA$3:HA159)*1)=0,HA160,0)</f>
        <v>0</v>
      </c>
      <c r="HC160" s="863"/>
      <c r="HD160" s="863"/>
      <c r="HE160" s="769" t="str">
        <f t="shared" si="1667"/>
        <v/>
      </c>
      <c r="HF160" s="768" t="str">
        <f t="shared" ref="HF160" si="1914">IF(HE160&lt;0,"Invadiu REP-BA-C","")</f>
        <v/>
      </c>
      <c r="HG160" s="769" t="str">
        <f t="shared" si="1669"/>
        <v/>
      </c>
      <c r="HH160" s="768" t="str">
        <f t="shared" si="1593"/>
        <v/>
      </c>
      <c r="HI160" s="728" t="str">
        <f t="shared" si="1670"/>
        <v/>
      </c>
      <c r="HJ160" s="768" t="str">
        <f t="shared" si="1594"/>
        <v/>
      </c>
      <c r="HK160" s="728" t="str">
        <f t="shared" si="1671"/>
        <v/>
      </c>
      <c r="HL160" s="768" t="str">
        <f t="shared" si="1595"/>
        <v/>
      </c>
      <c r="HM160" s="769" t="str">
        <f t="shared" si="1596"/>
        <v/>
      </c>
      <c r="HN160" s="768" t="str">
        <f t="shared" ref="HN160" si="1915">IF(HM160&lt;0,"Invadiu REP-BA-C","")</f>
        <v/>
      </c>
      <c r="HO160" s="769" t="str">
        <f t="shared" si="1598"/>
        <v/>
      </c>
      <c r="HP160" s="768" t="str">
        <f t="shared" si="1599"/>
        <v/>
      </c>
      <c r="HQ160" s="728" t="str">
        <f t="shared" si="1600"/>
        <v/>
      </c>
      <c r="HR160" s="768" t="str">
        <f t="shared" si="1601"/>
        <v/>
      </c>
      <c r="HS160" s="728" t="str">
        <f t="shared" si="1602"/>
        <v/>
      </c>
      <c r="HT160" s="768" t="str">
        <f t="shared" si="1603"/>
        <v/>
      </c>
      <c r="HU160" s="769" t="str">
        <f t="shared" si="1604"/>
        <v/>
      </c>
      <c r="HV160" s="768" t="str">
        <f t="shared" ref="HV160" si="1916">IF(HU160&lt;0,"Invadiu REP-BA-C","")</f>
        <v/>
      </c>
      <c r="HW160" s="769" t="str">
        <f t="shared" si="1606"/>
        <v/>
      </c>
      <c r="HX160" s="768" t="str">
        <f t="shared" si="1607"/>
        <v/>
      </c>
      <c r="HY160" s="728" t="str">
        <f t="shared" si="1608"/>
        <v/>
      </c>
      <c r="HZ160" s="768" t="str">
        <f t="shared" si="1609"/>
        <v/>
      </c>
      <c r="IA160" s="728" t="str">
        <f t="shared" si="1610"/>
        <v/>
      </c>
      <c r="IB160" s="768" t="str">
        <f t="shared" si="1611"/>
        <v/>
      </c>
      <c r="IC160" s="769" t="str">
        <f t="shared" si="1612"/>
        <v/>
      </c>
      <c r="ID160" s="768" t="str">
        <f t="shared" ref="ID160" si="1917">IF(IC160&lt;0,"Invadiu REP-BA-C","")</f>
        <v/>
      </c>
      <c r="IE160" s="769" t="str">
        <f t="shared" si="1614"/>
        <v/>
      </c>
      <c r="IF160" s="768" t="str">
        <f t="shared" si="1615"/>
        <v/>
      </c>
      <c r="IG160" s="728" t="str">
        <f t="shared" si="1616"/>
        <v/>
      </c>
      <c r="IH160" s="768" t="str">
        <f t="shared" si="1617"/>
        <v/>
      </c>
      <c r="II160" s="728" t="str">
        <f t="shared" si="1618"/>
        <v/>
      </c>
      <c r="IJ160" s="768" t="str">
        <f t="shared" si="1619"/>
        <v/>
      </c>
      <c r="IK160" s="769" t="str">
        <f t="shared" si="1620"/>
        <v/>
      </c>
      <c r="IL160" s="768" t="str">
        <f t="shared" ref="IL160" si="1918">IF(IK160&lt;0,"Invadiu REP-BA-C","")</f>
        <v/>
      </c>
      <c r="IM160" s="769" t="str">
        <f t="shared" si="1622"/>
        <v/>
      </c>
      <c r="IN160" s="768" t="str">
        <f t="shared" si="1623"/>
        <v/>
      </c>
      <c r="IO160" s="728" t="str">
        <f t="shared" si="1624"/>
        <v/>
      </c>
      <c r="IP160" s="768" t="str">
        <f t="shared" si="1625"/>
        <v/>
      </c>
      <c r="IQ160" s="728" t="str">
        <f t="shared" si="1626"/>
        <v/>
      </c>
      <c r="IR160" s="768" t="str">
        <f t="shared" si="1627"/>
        <v/>
      </c>
      <c r="IS160" s="769" t="str">
        <f t="shared" si="1628"/>
        <v/>
      </c>
      <c r="IT160" s="768" t="str">
        <f t="shared" ref="IT160" si="1919">IF(IS160&lt;0,"Invadiu REP-BA-C","")</f>
        <v/>
      </c>
      <c r="IU160" s="769" t="str">
        <f t="shared" si="1630"/>
        <v/>
      </c>
      <c r="IV160" s="768" t="str">
        <f t="shared" si="1631"/>
        <v/>
      </c>
      <c r="IW160" s="728" t="str">
        <f t="shared" si="1632"/>
        <v/>
      </c>
      <c r="IX160" s="768" t="str">
        <f t="shared" si="1633"/>
        <v/>
      </c>
      <c r="IY160" s="728" t="str">
        <f t="shared" si="1634"/>
        <v/>
      </c>
      <c r="IZ160" s="768" t="str">
        <f t="shared" si="1635"/>
        <v/>
      </c>
      <c r="JA160" s="769" t="str">
        <f t="shared" si="1636"/>
        <v/>
      </c>
      <c r="JB160" s="768" t="str">
        <f t="shared" ref="JB160" si="1920">IF(JA160&lt;0,"Invadiu REP-BA-C","")</f>
        <v/>
      </c>
      <c r="JC160" s="769" t="str">
        <f t="shared" si="1638"/>
        <v/>
      </c>
      <c r="JD160" s="768" t="str">
        <f t="shared" si="1639"/>
        <v/>
      </c>
      <c r="JE160" s="728" t="str">
        <f t="shared" si="1640"/>
        <v/>
      </c>
      <c r="JF160" s="768" t="str">
        <f t="shared" si="1641"/>
        <v/>
      </c>
      <c r="JG160" s="728" t="str">
        <f t="shared" si="1642"/>
        <v/>
      </c>
      <c r="JH160" s="768" t="str">
        <f t="shared" si="1643"/>
        <v/>
      </c>
      <c r="JI160" s="769" t="str">
        <f t="shared" si="1644"/>
        <v/>
      </c>
      <c r="JJ160" s="768" t="str">
        <f t="shared" ref="JJ160" si="1921">IF(JI160&lt;0,"Invadiu REP-BA-C","")</f>
        <v/>
      </c>
      <c r="JK160" s="769" t="str">
        <f t="shared" si="1646"/>
        <v/>
      </c>
      <c r="JL160" s="768" t="str">
        <f t="shared" si="1647"/>
        <v/>
      </c>
      <c r="JM160" s="728" t="str">
        <f t="shared" si="1648"/>
        <v/>
      </c>
      <c r="JN160" s="768" t="str">
        <f t="shared" si="1649"/>
        <v/>
      </c>
      <c r="JO160" s="728" t="str">
        <f t="shared" si="1650"/>
        <v/>
      </c>
      <c r="JP160" s="768" t="str">
        <f t="shared" si="1651"/>
        <v/>
      </c>
      <c r="JQ160" s="769" t="str">
        <f t="shared" si="1652"/>
        <v/>
      </c>
      <c r="JR160" s="768" t="str">
        <f t="shared" ref="JR160" si="1922">IF(JQ160&lt;0,"Invadiu REP-BA-C","")</f>
        <v/>
      </c>
      <c r="JS160" s="769" t="str">
        <f t="shared" si="1654"/>
        <v/>
      </c>
      <c r="JT160" s="768" t="str">
        <f t="shared" si="1655"/>
        <v/>
      </c>
      <c r="JU160" s="728" t="str">
        <f t="shared" si="1656"/>
        <v/>
      </c>
      <c r="JV160" s="768" t="str">
        <f t="shared" si="1657"/>
        <v/>
      </c>
      <c r="JW160" s="728" t="str">
        <f t="shared" si="1658"/>
        <v/>
      </c>
      <c r="JX160" s="768" t="str">
        <f t="shared" si="1659"/>
        <v/>
      </c>
      <c r="JY160" s="768" t="str">
        <f t="shared" si="1660"/>
        <v/>
      </c>
      <c r="JZ160" s="485" t="str">
        <f>IF(JY160="","",IF(AND(C160=$C$164,JY160&lt;&gt;""),Verificarcpf(D160),IF(AND(C160=$C$165,JY160&lt;&gt;""),VerificarCNPJ(D160))))</f>
        <v/>
      </c>
      <c r="KA160" s="768" t="str">
        <f t="shared" si="1661"/>
        <v/>
      </c>
      <c r="KB160" s="485">
        <f t="shared" si="1662"/>
        <v>0</v>
      </c>
      <c r="KC160" s="768">
        <f t="shared" si="1663"/>
        <v>0</v>
      </c>
      <c r="KD160" s="485">
        <f t="shared" si="1664"/>
        <v>0</v>
      </c>
      <c r="KE160" s="448"/>
      <c r="KF160" s="548"/>
      <c r="KG160" s="548"/>
      <c r="KH160" s="548"/>
      <c r="KI160" s="548"/>
      <c r="KJ160" s="548" t="str">
        <f t="shared" si="1665"/>
        <v/>
      </c>
      <c r="KK160" s="548"/>
      <c r="KL160" s="548"/>
      <c r="KM160" s="548">
        <f t="array" ref="KM160">IF(SUM((KL160=$KL$3:KL159)*1)=0,KL160,0)</f>
        <v>0</v>
      </c>
      <c r="KN160" s="548"/>
      <c r="KO160" s="548"/>
      <c r="KP160" s="548"/>
      <c r="KQ160" s="548"/>
      <c r="KR160" s="548" t="str">
        <f t="shared" si="1666"/>
        <v/>
      </c>
      <c r="KS160" s="548"/>
      <c r="KT160" s="548"/>
      <c r="KU160" s="548"/>
      <c r="KV160" s="548"/>
      <c r="KW160" s="548"/>
      <c r="KX160" s="548"/>
      <c r="KY160" s="548"/>
      <c r="KZ160" s="548"/>
      <c r="LA160" s="548"/>
      <c r="LB160" s="548"/>
      <c r="LC160" s="485" t="str">
        <f t="shared" si="1680"/>
        <v/>
      </c>
      <c r="LD160" s="548"/>
      <c r="LE160" s="548"/>
      <c r="LF160" s="548"/>
      <c r="LG160" s="548"/>
      <c r="LH160" s="548"/>
      <c r="LI160" s="548"/>
      <c r="LJ160" s="548"/>
      <c r="LK160" s="548"/>
      <c r="LL160" s="548"/>
      <c r="LM160" s="548"/>
      <c r="LN160" s="548"/>
      <c r="LO160" s="548"/>
      <c r="LP160" s="485" t="str">
        <f t="shared" si="1681"/>
        <v/>
      </c>
      <c r="LQ160" s="548"/>
      <c r="LR160" s="548"/>
      <c r="LS160" s="548"/>
      <c r="LT160" s="548"/>
      <c r="LU160" s="548"/>
      <c r="LV160" s="548"/>
      <c r="LW160" s="548"/>
      <c r="LX160" s="548"/>
      <c r="LY160" s="548"/>
      <c r="LZ160" s="548"/>
      <c r="MA160" s="548"/>
      <c r="MB160" s="548"/>
      <c r="MC160" s="485" t="str">
        <f t="shared" si="1682"/>
        <v/>
      </c>
      <c r="MD160" s="548"/>
      <c r="ME160" s="548"/>
      <c r="MF160" s="548"/>
      <c r="MG160" s="548"/>
      <c r="MH160" s="548"/>
      <c r="MI160" s="548"/>
      <c r="MJ160" s="548"/>
      <c r="MK160" s="548"/>
      <c r="ML160" s="548"/>
      <c r="MM160" s="548"/>
      <c r="MN160" s="548"/>
      <c r="MO160" s="548"/>
      <c r="MP160" s="485" t="str">
        <f t="shared" si="1683"/>
        <v/>
      </c>
      <c r="MQ160" s="548"/>
      <c r="MR160" s="548"/>
      <c r="MS160" s="548"/>
      <c r="MT160" s="548"/>
      <c r="MU160" s="548"/>
      <c r="MV160" s="548"/>
      <c r="MW160" s="548"/>
      <c r="MX160" s="548"/>
      <c r="MY160" s="548"/>
      <c r="MZ160" s="548"/>
      <c r="NA160" s="548"/>
      <c r="NB160" s="548"/>
      <c r="NC160" s="485" t="str">
        <f t="shared" si="1684"/>
        <v/>
      </c>
      <c r="ND160" s="548"/>
      <c r="NE160" s="548"/>
      <c r="NF160" s="548"/>
      <c r="NG160" s="548"/>
      <c r="NH160" s="548"/>
      <c r="NI160" s="548"/>
      <c r="NJ160" s="548"/>
      <c r="NK160" s="548"/>
      <c r="NL160" s="548"/>
      <c r="NM160" s="548"/>
      <c r="NN160" s="548"/>
      <c r="NO160" s="548"/>
      <c r="NP160" s="485" t="str">
        <f t="shared" si="1685"/>
        <v/>
      </c>
      <c r="NQ160" s="548"/>
      <c r="NR160" s="548"/>
      <c r="NS160" s="548"/>
      <c r="NT160" s="548"/>
      <c r="NU160" s="548"/>
      <c r="NV160" s="548"/>
      <c r="NW160" s="548"/>
      <c r="NX160" s="548"/>
      <c r="NY160" s="548"/>
      <c r="NZ160" s="548"/>
      <c r="OA160" s="548"/>
      <c r="OB160" s="548"/>
      <c r="OC160" s="485" t="str">
        <f t="shared" si="1686"/>
        <v/>
      </c>
      <c r="OD160" s="548"/>
      <c r="OE160" s="548"/>
      <c r="OF160" s="548"/>
      <c r="OG160" s="548"/>
      <c r="OH160" s="548"/>
      <c r="OI160" s="548"/>
      <c r="OJ160" s="548"/>
      <c r="OK160" s="548"/>
      <c r="OL160" s="548"/>
      <c r="OM160" s="548"/>
      <c r="ON160" s="548"/>
      <c r="OO160" s="548"/>
      <c r="OP160" s="548"/>
      <c r="OQ160" s="548"/>
      <c r="OR160" s="548"/>
      <c r="OS160" s="548"/>
      <c r="OT160" s="548"/>
      <c r="OU160" s="548"/>
      <c r="OV160" s="548"/>
      <c r="OW160" s="548"/>
      <c r="OX160" s="548"/>
      <c r="OY160" s="548"/>
      <c r="OZ160" s="548"/>
      <c r="PA160" s="548"/>
      <c r="PB160" s="548"/>
      <c r="PC160" s="548"/>
      <c r="PD160" s="548"/>
      <c r="PE160" s="548"/>
      <c r="PF160" s="548"/>
      <c r="PG160" s="548"/>
      <c r="PH160" s="548"/>
      <c r="PI160" s="548"/>
      <c r="PJ160" s="548"/>
      <c r="PK160" s="548"/>
      <c r="PL160" s="548"/>
      <c r="PM160" s="548"/>
      <c r="PN160" s="548"/>
      <c r="PO160" s="548"/>
      <c r="PP160" s="548"/>
      <c r="PQ160" s="548"/>
      <c r="PR160" s="548"/>
      <c r="PS160" s="548"/>
      <c r="PT160" s="548"/>
      <c r="PU160" s="548"/>
      <c r="PV160" s="548"/>
      <c r="PW160" s="548"/>
      <c r="PX160" s="548"/>
      <c r="PY160" s="548"/>
      <c r="PZ160" s="548"/>
      <c r="QA160" s="548"/>
      <c r="QB160" s="548"/>
      <c r="QC160" s="548"/>
      <c r="QD160" s="548"/>
      <c r="QE160" s="548"/>
      <c r="QF160" s="548"/>
      <c r="QG160" s="548"/>
      <c r="QH160" s="548"/>
      <c r="QI160" s="548"/>
      <c r="QJ160" s="548"/>
      <c r="QK160" s="548"/>
      <c r="QL160" s="548"/>
      <c r="QM160" s="548"/>
      <c r="QN160" s="548"/>
      <c r="QO160" s="548"/>
      <c r="QP160" s="548"/>
      <c r="QQ160" s="1009"/>
      <c r="QR160" s="548"/>
      <c r="QS160" s="548"/>
      <c r="QT160" s="548"/>
      <c r="QU160" s="548"/>
      <c r="QV160" s="548"/>
      <c r="QW160" s="548"/>
      <c r="QX160" s="548"/>
      <c r="QY160" s="548"/>
      <c r="QZ160" s="548"/>
      <c r="RA160" s="548"/>
      <c r="RB160" s="548"/>
      <c r="RC160" s="548"/>
      <c r="RD160" s="548"/>
      <c r="RE160" s="548"/>
      <c r="RF160" s="548"/>
      <c r="RG160" s="548"/>
      <c r="RH160" s="548"/>
      <c r="RI160" s="548"/>
      <c r="RJ160" s="548"/>
      <c r="RK160" s="548"/>
      <c r="RL160" s="548"/>
      <c r="RM160" s="548"/>
      <c r="RN160" s="548"/>
      <c r="RO160" s="548"/>
      <c r="RP160" s="548"/>
      <c r="RQ160" s="548"/>
      <c r="RR160" s="548"/>
      <c r="RS160" s="548"/>
      <c r="RT160" s="548"/>
      <c r="RU160" s="548"/>
      <c r="RV160" s="548"/>
      <c r="RW160" s="548"/>
      <c r="RX160" s="548"/>
      <c r="RY160" s="548"/>
      <c r="RZ160" s="548"/>
      <c r="SA160" s="548"/>
      <c r="SB160" s="548"/>
      <c r="SC160" s="548"/>
      <c r="SD160" s="548"/>
      <c r="SE160" s="548"/>
      <c r="SF160" s="548"/>
      <c r="SG160" s="548"/>
      <c r="SH160" s="548"/>
      <c r="SI160" s="548"/>
      <c r="SJ160" s="548"/>
      <c r="SK160" s="548"/>
      <c r="SL160" s="548"/>
      <c r="SM160" s="548"/>
      <c r="SN160" s="548"/>
      <c r="SO160" s="548"/>
      <c r="SP160" s="548"/>
      <c r="SQ160" s="548"/>
      <c r="SR160" s="548"/>
      <c r="SS160" s="548"/>
      <c r="ST160" s="548"/>
      <c r="SU160" s="548"/>
      <c r="SV160" s="548"/>
      <c r="SW160" s="548"/>
      <c r="SX160" s="548"/>
      <c r="SY160" s="548"/>
      <c r="SZ160" s="548"/>
      <c r="TA160" s="548"/>
      <c r="TB160" s="548"/>
      <c r="TC160" s="548"/>
      <c r="TD160" s="548"/>
      <c r="TE160" s="548"/>
      <c r="TF160" s="548"/>
      <c r="TG160" s="548"/>
      <c r="TH160" s="548"/>
      <c r="TI160" s="548"/>
      <c r="TJ160" s="548"/>
      <c r="TK160" s="548"/>
      <c r="TL160" s="548"/>
      <c r="TM160" s="548"/>
      <c r="TN160" s="548"/>
      <c r="TO160" s="548"/>
      <c r="TP160" s="548"/>
      <c r="TQ160" s="548"/>
      <c r="TR160" s="548"/>
      <c r="TS160" s="548"/>
      <c r="TT160" s="548"/>
      <c r="TU160" s="548"/>
      <c r="TV160" s="548"/>
      <c r="TW160" s="548"/>
      <c r="TX160" s="548"/>
      <c r="TY160" s="548"/>
      <c r="TZ160" s="548"/>
      <c r="UA160" s="548"/>
      <c r="UB160" s="548"/>
      <c r="UC160" s="548"/>
      <c r="UD160" s="548"/>
      <c r="UE160" s="548"/>
      <c r="UF160" s="548"/>
      <c r="UG160" s="548"/>
      <c r="UH160" s="548"/>
      <c r="UI160" s="548"/>
      <c r="UJ160" s="548"/>
      <c r="UK160" s="548"/>
      <c r="UL160" s="548"/>
      <c r="UM160" s="548"/>
      <c r="UN160" s="548"/>
      <c r="UO160" s="548"/>
      <c r="UP160" s="548"/>
      <c r="UQ160" s="548"/>
      <c r="UR160" s="548"/>
      <c r="US160" s="548"/>
      <c r="UT160" s="548"/>
      <c r="UU160" s="548"/>
      <c r="UV160" s="548"/>
      <c r="UW160" s="548"/>
      <c r="UX160" s="548"/>
      <c r="UY160" s="548"/>
      <c r="UZ160" s="548"/>
      <c r="VA160" s="548"/>
      <c r="VB160" s="548"/>
      <c r="VC160" s="548"/>
      <c r="VD160" s="548"/>
      <c r="VE160" s="548"/>
      <c r="VF160" s="548"/>
      <c r="VG160" s="548"/>
      <c r="VH160" s="548"/>
      <c r="VI160" s="548"/>
      <c r="VJ160" s="548"/>
      <c r="VK160" s="548"/>
      <c r="VL160" s="548"/>
      <c r="VM160" s="548"/>
      <c r="VN160" s="548"/>
      <c r="VO160" s="548"/>
      <c r="VP160" s="548"/>
      <c r="VQ160" s="548"/>
      <c r="VR160" s="548"/>
      <c r="VS160" s="548"/>
      <c r="VT160" s="548"/>
      <c r="VU160" s="548"/>
      <c r="VV160" s="548"/>
      <c r="VW160" s="548"/>
      <c r="VX160" s="548"/>
      <c r="VY160" s="548"/>
      <c r="VZ160" s="548"/>
      <c r="WA160" s="548"/>
      <c r="WB160" s="548"/>
      <c r="WC160" s="548"/>
      <c r="WD160" s="548"/>
      <c r="WE160" s="548"/>
      <c r="WF160" s="548"/>
      <c r="WG160" s="548"/>
      <c r="WH160" s="548"/>
      <c r="WI160" s="548"/>
      <c r="WJ160" s="548"/>
      <c r="WK160" s="548"/>
      <c r="WL160" s="548"/>
      <c r="WM160" s="548"/>
      <c r="WN160" s="548"/>
      <c r="WO160" s="548"/>
      <c r="WP160" s="548"/>
      <c r="WQ160" s="548"/>
      <c r="WR160" s="548"/>
      <c r="WS160" s="548"/>
      <c r="WT160" s="548"/>
      <c r="WU160" s="548"/>
      <c r="WV160" s="548"/>
      <c r="WW160" s="548"/>
      <c r="WX160" s="548"/>
      <c r="WY160" s="548"/>
      <c r="WZ160" s="548"/>
      <c r="XA160" s="548"/>
      <c r="XB160" s="548"/>
      <c r="XC160" s="548"/>
      <c r="XD160" s="548"/>
      <c r="XE160" s="548"/>
      <c r="XF160" s="548"/>
      <c r="XG160" s="548"/>
      <c r="XH160" s="548"/>
      <c r="XI160" s="548"/>
      <c r="XJ160" s="548"/>
      <c r="XK160" s="548"/>
      <c r="XL160" s="548"/>
      <c r="XM160" s="548"/>
      <c r="XN160" s="548"/>
      <c r="XO160" s="548"/>
      <c r="XP160" s="548"/>
      <c r="XQ160" s="548"/>
      <c r="XR160" s="548"/>
      <c r="XS160" s="548"/>
      <c r="XT160" s="548"/>
      <c r="XU160" s="548"/>
      <c r="XV160" s="548"/>
      <c r="XW160" s="548"/>
      <c r="XX160" s="548"/>
      <c r="XY160" s="548"/>
      <c r="XZ160" s="548"/>
      <c r="YA160" s="548"/>
      <c r="YB160" s="548"/>
      <c r="YC160" s="548"/>
      <c r="YD160" s="548"/>
      <c r="YE160" s="548"/>
      <c r="YF160" s="548"/>
      <c r="YG160" s="548"/>
      <c r="YH160" s="548"/>
      <c r="YI160" s="548"/>
      <c r="YJ160" s="548"/>
      <c r="YK160" s="548"/>
      <c r="YL160" s="548"/>
      <c r="YM160" s="548"/>
      <c r="YN160" s="548"/>
      <c r="YO160" s="548"/>
      <c r="YP160" s="548"/>
      <c r="YQ160" s="548"/>
      <c r="YR160" s="548"/>
      <c r="YS160" s="548"/>
      <c r="YT160" s="548"/>
      <c r="YU160" s="548"/>
      <c r="YV160" s="548"/>
      <c r="YW160" s="548"/>
      <c r="YX160" s="548"/>
      <c r="YY160" s="548"/>
      <c r="YZ160" s="548"/>
      <c r="ZA160" s="548"/>
      <c r="ZB160" s="548"/>
      <c r="ZC160" s="548"/>
      <c r="ZD160" s="548"/>
      <c r="ZE160" s="548"/>
      <c r="ZF160" s="548"/>
      <c r="ZG160" s="548"/>
      <c r="ZH160" s="548"/>
      <c r="ZI160" s="548"/>
      <c r="ZJ160" s="548"/>
      <c r="ZK160" s="548"/>
      <c r="ZL160" s="548"/>
      <c r="ZM160" s="548"/>
      <c r="ZN160" s="548"/>
      <c r="ZO160" s="548"/>
      <c r="ZP160" s="548"/>
      <c r="ZQ160" s="548"/>
      <c r="ZR160" s="548"/>
      <c r="ZS160" s="548"/>
      <c r="ZT160" s="548"/>
      <c r="ZU160" s="548"/>
      <c r="ZV160" s="548"/>
      <c r="ZW160" s="548"/>
      <c r="ZX160" s="548"/>
      <c r="ZY160" s="548"/>
      <c r="ZZ160" s="548"/>
      <c r="AAA160" s="548"/>
      <c r="AAB160" s="548"/>
      <c r="AAC160" s="548"/>
      <c r="AAD160" s="548"/>
      <c r="AAE160" s="548"/>
      <c r="AAF160" s="548"/>
      <c r="AAG160" s="548"/>
      <c r="AAH160" s="548"/>
      <c r="AAI160" s="548"/>
      <c r="AAJ160" s="548"/>
      <c r="AAK160" s="548"/>
      <c r="AAL160" s="548"/>
      <c r="AAM160" s="548"/>
      <c r="AAN160" s="548"/>
      <c r="AAO160" s="548"/>
      <c r="AAP160" s="548"/>
      <c r="AAQ160" s="548"/>
      <c r="AAR160" s="548"/>
      <c r="AAS160" s="548"/>
      <c r="AAT160" s="548"/>
      <c r="AAU160" s="548"/>
      <c r="AAV160" s="548"/>
      <c r="AAW160" s="548"/>
      <c r="AAX160" s="548"/>
      <c r="AAY160" s="548"/>
      <c r="AAZ160" s="548"/>
      <c r="ABA160" s="548"/>
      <c r="ABB160" s="548"/>
      <c r="ABC160" s="548"/>
      <c r="ABD160" s="548"/>
      <c r="ABE160" s="548"/>
      <c r="ABF160" s="548"/>
      <c r="ABG160" s="548"/>
      <c r="ABH160" s="548"/>
      <c r="ABI160" s="548"/>
      <c r="ABJ160" s="548"/>
      <c r="ABK160" s="548"/>
      <c r="ABL160" s="548"/>
      <c r="ABM160" s="548"/>
      <c r="ABN160" s="548"/>
      <c r="ABO160" s="548"/>
      <c r="ABP160" s="548"/>
      <c r="ABQ160" s="548"/>
      <c r="ABR160" s="548"/>
      <c r="ABS160" s="548"/>
    </row>
    <row r="161" spans="1:747" customFormat="1" ht="15" customHeight="1" x14ac:dyDescent="0.2">
      <c r="A161" s="424" t="str">
        <f t="shared" si="1687"/>
        <v/>
      </c>
      <c r="B161" s="415"/>
      <c r="C161" s="525"/>
      <c r="D161" s="750"/>
      <c r="E161" s="416" t="str">
        <f t="shared" si="1529"/>
        <v/>
      </c>
      <c r="F161" s="527" t="str">
        <f t="shared" si="1530"/>
        <v/>
      </c>
      <c r="G161" s="417"/>
      <c r="H161" s="585" t="str">
        <f t="shared" si="1531"/>
        <v/>
      </c>
      <c r="I161" s="424"/>
      <c r="J161" s="419"/>
      <c r="K161" s="418"/>
      <c r="L161" s="419"/>
      <c r="M161" s="415"/>
      <c r="N161" s="420"/>
      <c r="O161" s="421"/>
      <c r="P161" s="561"/>
      <c r="Q161" s="422"/>
      <c r="R161" s="561" t="str">
        <f t="shared" si="1532"/>
        <v/>
      </c>
      <c r="S161" s="664"/>
      <c r="T161" s="663"/>
      <c r="U161" s="580">
        <f t="shared" si="1533"/>
        <v>0</v>
      </c>
      <c r="V161" s="418"/>
      <c r="W161" s="582" t="str">
        <f t="shared" si="1534"/>
        <v/>
      </c>
      <c r="X161" s="479" t="str">
        <f t="shared" si="1535"/>
        <v/>
      </c>
      <c r="Y161" s="582" t="str">
        <f t="shared" si="1536"/>
        <v/>
      </c>
      <c r="Z161" s="317" t="str">
        <f t="shared" si="1537"/>
        <v/>
      </c>
      <c r="AA161" s="317" t="str">
        <f t="shared" si="1538"/>
        <v/>
      </c>
      <c r="AB161" s="317">
        <f t="shared" si="1539"/>
        <v>0</v>
      </c>
      <c r="AC161" s="317" t="str">
        <f t="shared" si="1540"/>
        <v/>
      </c>
      <c r="AD161" s="479"/>
      <c r="AE161" s="479"/>
      <c r="AF161" s="479"/>
      <c r="AG161" s="423"/>
      <c r="AH161" s="820"/>
      <c r="AI161" s="437"/>
      <c r="AJ161" s="660"/>
      <c r="AK161" s="524" t="str">
        <f t="shared" si="1541"/>
        <v/>
      </c>
      <c r="AL161" s="731">
        <f t="shared" si="1832"/>
        <v>0</v>
      </c>
      <c r="AM161" s="732">
        <f t="shared" si="1832"/>
        <v>0</v>
      </c>
      <c r="AN161" s="426">
        <f t="shared" si="1542"/>
        <v>0</v>
      </c>
      <c r="AO161" s="427" t="str">
        <f t="shared" si="1543"/>
        <v/>
      </c>
      <c r="AP161" s="426" t="str">
        <f t="shared" si="1544"/>
        <v/>
      </c>
      <c r="AQ161" s="426"/>
      <c r="AR161" s="426"/>
      <c r="AS161" s="428"/>
      <c r="AT161" s="429"/>
      <c r="AU161" s="430"/>
      <c r="AV161" s="431"/>
      <c r="AW161" s="432"/>
      <c r="AX161" s="430"/>
      <c r="AY161" s="431">
        <f t="shared" si="1545"/>
        <v>0</v>
      </c>
      <c r="AZ161" s="426"/>
      <c r="BA161" s="435" t="str">
        <f t="shared" si="1546"/>
        <v/>
      </c>
      <c r="BB161" s="435"/>
      <c r="BC161" s="426"/>
      <c r="BD161" s="426">
        <f t="array" ref="BD161">IF(SUM((BC161=$BC$3:BC160)*1)=0,BC161,0)</f>
        <v>0</v>
      </c>
      <c r="BE161" s="426"/>
      <c r="BF161" s="426"/>
      <c r="BG161" s="426">
        <f t="array" ref="BG161">IF(SUM((BF161=$BF$3:BF160)*1)=0,BF161,0)</f>
        <v>0</v>
      </c>
      <c r="BH161" s="426"/>
      <c r="BI161" s="426"/>
      <c r="BJ161" s="426"/>
      <c r="BK161" s="426"/>
      <c r="BL161" s="426"/>
      <c r="BM161" s="426"/>
      <c r="BN161" s="426"/>
      <c r="BO161" s="426"/>
      <c r="BP161" s="433">
        <f t="shared" si="1547"/>
        <v>0</v>
      </c>
      <c r="BQ161" s="426"/>
      <c r="BR161" s="434"/>
      <c r="BS161" s="426"/>
      <c r="BT161" s="433"/>
      <c r="BU161" s="435"/>
      <c r="BV161" s="435" t="str">
        <f t="shared" si="1548"/>
        <v/>
      </c>
      <c r="BW161" s="435" t="str">
        <f t="shared" si="1576"/>
        <v/>
      </c>
      <c r="BX161" s="435"/>
      <c r="BY161" s="435"/>
      <c r="BZ161" s="435"/>
      <c r="CA161" s="435"/>
      <c r="CB161" s="435"/>
      <c r="CC161" s="435"/>
      <c r="CD161" s="435"/>
      <c r="CE161" s="435"/>
      <c r="CF161" s="435"/>
      <c r="CG161" s="435"/>
      <c r="CH161" s="435"/>
      <c r="CI161" s="435"/>
      <c r="CJ161" s="426" t="str">
        <f t="shared" si="1577"/>
        <v/>
      </c>
      <c r="CK161" s="435"/>
      <c r="CL161" s="426"/>
      <c r="CM161" s="435"/>
      <c r="CN161" s="426"/>
      <c r="CO161" s="426"/>
      <c r="CP161" s="426"/>
      <c r="CQ161" s="426"/>
      <c r="CR161" s="426"/>
      <c r="CS161" s="426"/>
      <c r="CT161" s="426"/>
      <c r="CU161" s="426"/>
      <c r="CV161" s="426"/>
      <c r="CW161" s="493"/>
      <c r="CX161" s="493"/>
      <c r="CY161" s="426">
        <v>158</v>
      </c>
      <c r="CZ161" s="493"/>
      <c r="DA161" s="493"/>
      <c r="DB161" s="493"/>
      <c r="DC161" s="426" t="s">
        <v>901</v>
      </c>
      <c r="DD161" s="426" t="s">
        <v>1061</v>
      </c>
      <c r="DE161" s="435" t="str">
        <f t="shared" si="1578"/>
        <v/>
      </c>
      <c r="DF161" s="435" t="str">
        <f t="shared" si="1579"/>
        <v/>
      </c>
      <c r="DG161" s="435" t="str">
        <f t="shared" si="1580"/>
        <v/>
      </c>
      <c r="DH161" s="435" t="str">
        <f t="shared" si="1581"/>
        <v/>
      </c>
      <c r="DI161" s="435" t="str">
        <f t="shared" si="1582"/>
        <v/>
      </c>
      <c r="DJ161" s="435" t="str">
        <f t="shared" si="1583"/>
        <v/>
      </c>
      <c r="DK161" s="435" t="str">
        <f t="shared" si="1549"/>
        <v/>
      </c>
      <c r="DL161" s="435" t="str">
        <f t="shared" si="1550"/>
        <v/>
      </c>
      <c r="DM161" s="435" t="str">
        <f t="shared" si="1584"/>
        <v/>
      </c>
      <c r="DN161" s="435" t="str">
        <f t="shared" si="1585"/>
        <v/>
      </c>
      <c r="DO161" s="435" t="str">
        <f t="shared" si="1551"/>
        <v/>
      </c>
      <c r="DP161" s="435" t="str">
        <f t="shared" si="1552"/>
        <v/>
      </c>
      <c r="DQ161" s="435" t="str">
        <f t="shared" si="1586"/>
        <v/>
      </c>
      <c r="DR161" s="435" t="str">
        <f t="shared" si="1587"/>
        <v/>
      </c>
      <c r="DS161" s="435" t="str">
        <f t="shared" si="1553"/>
        <v/>
      </c>
      <c r="DT161" s="435" t="str">
        <f t="shared" si="1554"/>
        <v/>
      </c>
      <c r="DU161" s="435" t="str">
        <f t="shared" si="1588"/>
        <v/>
      </c>
      <c r="DV161" s="435" t="str">
        <f t="shared" si="1589"/>
        <v/>
      </c>
      <c r="DW161" s="435" t="str">
        <f t="shared" si="1555"/>
        <v/>
      </c>
      <c r="DX161" s="435" t="str">
        <f t="shared" si="1556"/>
        <v/>
      </c>
      <c r="DY161" s="435" t="str">
        <f t="shared" si="1590"/>
        <v/>
      </c>
      <c r="DZ161" s="435" t="str">
        <f t="shared" si="1591"/>
        <v/>
      </c>
      <c r="EA161" s="435" t="str">
        <f t="shared" si="1557"/>
        <v/>
      </c>
      <c r="EB161" s="435" t="str">
        <f t="shared" si="1558"/>
        <v/>
      </c>
      <c r="EC161" s="435" t="str">
        <f t="shared" si="1559"/>
        <v/>
      </c>
      <c r="ED161" s="435" t="str">
        <f t="shared" si="1560"/>
        <v/>
      </c>
      <c r="EE161" s="435" t="str">
        <f t="shared" si="1561"/>
        <v/>
      </c>
      <c r="EF161" s="435" t="str">
        <f t="shared" si="1562"/>
        <v/>
      </c>
      <c r="EG161" s="435" t="str">
        <f t="shared" si="1563"/>
        <v/>
      </c>
      <c r="EH161" s="435" t="str">
        <f t="shared" si="1564"/>
        <v/>
      </c>
      <c r="EI161" s="435" t="str">
        <f t="shared" si="1565"/>
        <v/>
      </c>
      <c r="EJ161" s="435" t="str">
        <f t="shared" si="1566"/>
        <v/>
      </c>
      <c r="EK161" s="485"/>
      <c r="EL161" s="485"/>
      <c r="EM161" s="485"/>
      <c r="EN161" s="485"/>
      <c r="EO161" s="448"/>
      <c r="EP161" s="448"/>
      <c r="EQ161" s="448"/>
      <c r="ER161" s="448"/>
      <c r="ES161" s="448"/>
      <c r="ET161" s="435"/>
      <c r="EU161" s="435"/>
      <c r="EV161" s="435"/>
      <c r="EW161" s="435"/>
      <c r="EX161" s="426"/>
      <c r="EY161" s="426"/>
      <c r="EZ161" s="426"/>
      <c r="FA161" s="863"/>
      <c r="FB161" s="427">
        <f t="array" ref="FB161">IF(SUM((FA161=$FA$3:FA160)*1)=0,FA161,0)</f>
        <v>0</v>
      </c>
      <c r="FC161" s="863"/>
      <c r="FD161" s="863"/>
      <c r="FE161" s="863">
        <f t="array" ref="FE161">IF(SUM((FD161=$FD$3:FD160)*1)=0,FD161,0)</f>
        <v>0</v>
      </c>
      <c r="FF161" s="863"/>
      <c r="FG161" s="863"/>
      <c r="FH161" s="863"/>
      <c r="FI161" s="427">
        <f t="array" ref="FI161">IF(SUM((FH161=$FH$3:FH160)*1)=0,FH161,0)</f>
        <v>0</v>
      </c>
      <c r="FJ161" s="863"/>
      <c r="FK161" s="863"/>
      <c r="FL161" s="863">
        <f t="array" ref="FL161">IF(SUM((FK161=$FK$3:FK160)*1)=0,FK161,0)</f>
        <v>0</v>
      </c>
      <c r="FM161" s="863"/>
      <c r="FN161" s="863"/>
      <c r="FO161" s="863"/>
      <c r="FP161" s="427">
        <f t="array" ref="FP161">IF(SUM((FO161=$FO$3:FO160)*1)=0,FO161,0)</f>
        <v>0</v>
      </c>
      <c r="FQ161" s="863"/>
      <c r="FR161" s="863"/>
      <c r="FS161" s="863">
        <f t="array" ref="FS161">IF(SUM((FR161=$FR$3:FR160)*1)=0,FR161,0)</f>
        <v>0</v>
      </c>
      <c r="FT161" s="863"/>
      <c r="FU161" s="863"/>
      <c r="FV161" s="863"/>
      <c r="FW161" s="427">
        <f t="array" ref="FW161">IF(SUM((FV161=$FV$3:FV160)*1)=0,FV161,0)</f>
        <v>0</v>
      </c>
      <c r="FX161" s="863"/>
      <c r="FY161" s="863"/>
      <c r="FZ161" s="863">
        <f t="array" ref="FZ161">IF(SUM((FY161=$FY$3:FY160)*1)=0,FY161,0)</f>
        <v>0</v>
      </c>
      <c r="GA161" s="863"/>
      <c r="GB161" s="863"/>
      <c r="GC161" s="863"/>
      <c r="GD161" s="427">
        <f t="array" ref="GD161">IF(SUM((GC161=$GC$3:GC160)*1)=0,GC161,0)</f>
        <v>0</v>
      </c>
      <c r="GE161" s="863"/>
      <c r="GF161" s="863"/>
      <c r="GG161" s="863">
        <f t="array" ref="GG161">IF(SUM((GF161=$GF$3:GF160)*1)=0,GF161,0)</f>
        <v>0</v>
      </c>
      <c r="GH161" s="863"/>
      <c r="GI161" s="863"/>
      <c r="GJ161" s="863"/>
      <c r="GK161" s="798">
        <f t="array" ref="GK161">IF(SUM((GJ161=$GJ$3:GJ160)*1)=0,GJ161,0)</f>
        <v>0</v>
      </c>
      <c r="GL161" s="863"/>
      <c r="GM161" s="863"/>
      <c r="GN161" s="798">
        <f t="array" ref="GN161">IF(SUM((GM161=$GM$3:GM160)*1)=0,GM161,0)</f>
        <v>0</v>
      </c>
      <c r="GO161" s="863"/>
      <c r="GP161" s="863"/>
      <c r="GQ161" s="863"/>
      <c r="GR161" s="798">
        <f t="array" ref="GR161">IF(SUM((GQ161=$GQ$3:GQ160)*1)=0,GQ161,0)</f>
        <v>0</v>
      </c>
      <c r="GS161" s="863"/>
      <c r="GT161" s="863"/>
      <c r="GU161" s="798">
        <f t="array" ref="GU161">IF(SUM((GT161=$GT$3:GT160)*1)=0,GT161,0)</f>
        <v>0</v>
      </c>
      <c r="GV161" s="863"/>
      <c r="GW161" s="863"/>
      <c r="GX161" s="863"/>
      <c r="GY161" s="798">
        <f t="array" ref="GY161">IF(SUM((GX161=$GX$3:GX160)*1)=0,GX161,0)</f>
        <v>0</v>
      </c>
      <c r="GZ161" s="863"/>
      <c r="HA161" s="863"/>
      <c r="HB161" s="798">
        <f t="array" ref="HB161">IF(SUM((HA161=$HA$3:HA160)*1)=0,HA161,0)</f>
        <v>0</v>
      </c>
      <c r="HC161" s="863"/>
      <c r="HD161" s="863"/>
      <c r="HE161" s="769" t="str">
        <f t="shared" si="1667"/>
        <v/>
      </c>
      <c r="HF161" s="768" t="str">
        <f t="shared" ref="HF161" si="1923">IF(HE161&lt;0,"Invadiu REP-BA-C","")</f>
        <v/>
      </c>
      <c r="HG161" s="769" t="str">
        <f t="shared" si="1669"/>
        <v/>
      </c>
      <c r="HH161" s="768" t="str">
        <f t="shared" si="1593"/>
        <v/>
      </c>
      <c r="HI161" s="728" t="str">
        <f t="shared" si="1670"/>
        <v/>
      </c>
      <c r="HJ161" s="768" t="str">
        <f t="shared" si="1594"/>
        <v/>
      </c>
      <c r="HK161" s="728" t="str">
        <f t="shared" si="1671"/>
        <v/>
      </c>
      <c r="HL161" s="768" t="str">
        <f t="shared" si="1595"/>
        <v/>
      </c>
      <c r="HM161" s="769" t="str">
        <f t="shared" si="1596"/>
        <v/>
      </c>
      <c r="HN161" s="768" t="str">
        <f t="shared" ref="HN161" si="1924">IF(HM161&lt;0,"Invadiu REP-BA-C","")</f>
        <v/>
      </c>
      <c r="HO161" s="769" t="str">
        <f t="shared" si="1598"/>
        <v/>
      </c>
      <c r="HP161" s="768" t="str">
        <f t="shared" si="1599"/>
        <v/>
      </c>
      <c r="HQ161" s="728" t="str">
        <f t="shared" si="1600"/>
        <v/>
      </c>
      <c r="HR161" s="768" t="str">
        <f t="shared" si="1601"/>
        <v/>
      </c>
      <c r="HS161" s="728" t="str">
        <f t="shared" si="1602"/>
        <v/>
      </c>
      <c r="HT161" s="768" t="str">
        <f t="shared" si="1603"/>
        <v/>
      </c>
      <c r="HU161" s="769" t="str">
        <f t="shared" si="1604"/>
        <v/>
      </c>
      <c r="HV161" s="768" t="str">
        <f t="shared" ref="HV161" si="1925">IF(HU161&lt;0,"Invadiu REP-BA-C","")</f>
        <v/>
      </c>
      <c r="HW161" s="769" t="str">
        <f t="shared" si="1606"/>
        <v/>
      </c>
      <c r="HX161" s="768" t="str">
        <f t="shared" si="1607"/>
        <v/>
      </c>
      <c r="HY161" s="728" t="str">
        <f t="shared" si="1608"/>
        <v/>
      </c>
      <c r="HZ161" s="768" t="str">
        <f t="shared" si="1609"/>
        <v/>
      </c>
      <c r="IA161" s="728" t="str">
        <f t="shared" si="1610"/>
        <v/>
      </c>
      <c r="IB161" s="768" t="str">
        <f t="shared" si="1611"/>
        <v/>
      </c>
      <c r="IC161" s="769" t="str">
        <f t="shared" si="1612"/>
        <v/>
      </c>
      <c r="ID161" s="768" t="str">
        <f t="shared" ref="ID161" si="1926">IF(IC161&lt;0,"Invadiu REP-BA-C","")</f>
        <v/>
      </c>
      <c r="IE161" s="769" t="str">
        <f t="shared" si="1614"/>
        <v/>
      </c>
      <c r="IF161" s="768" t="str">
        <f t="shared" si="1615"/>
        <v/>
      </c>
      <c r="IG161" s="728" t="str">
        <f t="shared" si="1616"/>
        <v/>
      </c>
      <c r="IH161" s="768" t="str">
        <f t="shared" si="1617"/>
        <v/>
      </c>
      <c r="II161" s="728" t="str">
        <f t="shared" si="1618"/>
        <v/>
      </c>
      <c r="IJ161" s="768" t="str">
        <f t="shared" si="1619"/>
        <v/>
      </c>
      <c r="IK161" s="769" t="str">
        <f t="shared" si="1620"/>
        <v/>
      </c>
      <c r="IL161" s="768" t="str">
        <f t="shared" ref="IL161" si="1927">IF(IK161&lt;0,"Invadiu REP-BA-C","")</f>
        <v/>
      </c>
      <c r="IM161" s="769" t="str">
        <f t="shared" si="1622"/>
        <v/>
      </c>
      <c r="IN161" s="768" t="str">
        <f t="shared" si="1623"/>
        <v/>
      </c>
      <c r="IO161" s="728" t="str">
        <f t="shared" si="1624"/>
        <v/>
      </c>
      <c r="IP161" s="768" t="str">
        <f t="shared" si="1625"/>
        <v/>
      </c>
      <c r="IQ161" s="728" t="str">
        <f t="shared" si="1626"/>
        <v/>
      </c>
      <c r="IR161" s="768" t="str">
        <f t="shared" si="1627"/>
        <v/>
      </c>
      <c r="IS161" s="769" t="str">
        <f t="shared" si="1628"/>
        <v/>
      </c>
      <c r="IT161" s="768" t="str">
        <f t="shared" ref="IT161" si="1928">IF(IS161&lt;0,"Invadiu REP-BA-C","")</f>
        <v/>
      </c>
      <c r="IU161" s="769" t="str">
        <f t="shared" si="1630"/>
        <v/>
      </c>
      <c r="IV161" s="768" t="str">
        <f t="shared" si="1631"/>
        <v/>
      </c>
      <c r="IW161" s="728" t="str">
        <f t="shared" si="1632"/>
        <v/>
      </c>
      <c r="IX161" s="768" t="str">
        <f t="shared" si="1633"/>
        <v/>
      </c>
      <c r="IY161" s="728" t="str">
        <f t="shared" si="1634"/>
        <v/>
      </c>
      <c r="IZ161" s="768" t="str">
        <f t="shared" si="1635"/>
        <v/>
      </c>
      <c r="JA161" s="769" t="str">
        <f t="shared" si="1636"/>
        <v/>
      </c>
      <c r="JB161" s="768" t="str">
        <f t="shared" ref="JB161" si="1929">IF(JA161&lt;0,"Invadiu REP-BA-C","")</f>
        <v/>
      </c>
      <c r="JC161" s="769" t="str">
        <f t="shared" si="1638"/>
        <v/>
      </c>
      <c r="JD161" s="768" t="str">
        <f t="shared" si="1639"/>
        <v/>
      </c>
      <c r="JE161" s="728" t="str">
        <f t="shared" si="1640"/>
        <v/>
      </c>
      <c r="JF161" s="768" t="str">
        <f t="shared" si="1641"/>
        <v/>
      </c>
      <c r="JG161" s="728" t="str">
        <f t="shared" si="1642"/>
        <v/>
      </c>
      <c r="JH161" s="768" t="str">
        <f t="shared" si="1643"/>
        <v/>
      </c>
      <c r="JI161" s="769" t="str">
        <f t="shared" si="1644"/>
        <v/>
      </c>
      <c r="JJ161" s="768" t="str">
        <f t="shared" ref="JJ161" si="1930">IF(JI161&lt;0,"Invadiu REP-BA-C","")</f>
        <v/>
      </c>
      <c r="JK161" s="769" t="str">
        <f t="shared" si="1646"/>
        <v/>
      </c>
      <c r="JL161" s="768" t="str">
        <f t="shared" si="1647"/>
        <v/>
      </c>
      <c r="JM161" s="728" t="str">
        <f t="shared" si="1648"/>
        <v/>
      </c>
      <c r="JN161" s="768" t="str">
        <f t="shared" si="1649"/>
        <v/>
      </c>
      <c r="JO161" s="728" t="str">
        <f t="shared" si="1650"/>
        <v/>
      </c>
      <c r="JP161" s="768" t="str">
        <f t="shared" si="1651"/>
        <v/>
      </c>
      <c r="JQ161" s="769" t="str">
        <f t="shared" si="1652"/>
        <v/>
      </c>
      <c r="JR161" s="768" t="str">
        <f t="shared" ref="JR161" si="1931">IF(JQ161&lt;0,"Invadiu REP-BA-C","")</f>
        <v/>
      </c>
      <c r="JS161" s="769" t="str">
        <f t="shared" si="1654"/>
        <v/>
      </c>
      <c r="JT161" s="768" t="str">
        <f t="shared" si="1655"/>
        <v/>
      </c>
      <c r="JU161" s="728" t="str">
        <f t="shared" si="1656"/>
        <v/>
      </c>
      <c r="JV161" s="768" t="str">
        <f t="shared" si="1657"/>
        <v/>
      </c>
      <c r="JW161" s="728" t="str">
        <f t="shared" si="1658"/>
        <v/>
      </c>
      <c r="JX161" s="768" t="str">
        <f t="shared" si="1659"/>
        <v/>
      </c>
      <c r="JY161" s="768" t="str">
        <f t="shared" si="1660"/>
        <v/>
      </c>
      <c r="JZ161" s="485" t="str">
        <f>IF(JY161="","",IF(AND(C161=$C$164,JY161&lt;&gt;""),Verificarcpf(D161),IF(AND(C161=$C$165,JY161&lt;&gt;""),VerificarCNPJ(D161))))</f>
        <v/>
      </c>
      <c r="KA161" s="768" t="str">
        <f t="shared" si="1661"/>
        <v/>
      </c>
      <c r="KB161" s="485">
        <f t="shared" si="1662"/>
        <v>0</v>
      </c>
      <c r="KC161" s="768">
        <f t="shared" si="1663"/>
        <v>0</v>
      </c>
      <c r="KD161" s="485">
        <f t="shared" si="1664"/>
        <v>0</v>
      </c>
      <c r="KE161" s="448"/>
      <c r="KF161" s="548"/>
      <c r="KG161" s="548"/>
      <c r="KH161" s="548"/>
      <c r="KI161" s="548"/>
      <c r="KJ161" s="548" t="str">
        <f t="shared" si="1665"/>
        <v/>
      </c>
      <c r="KK161" s="548"/>
      <c r="KL161" s="548"/>
      <c r="KM161" s="548">
        <f t="array" ref="KM161">IF(SUM((KL161=$KL$3:KL160)*1)=0,KL161,0)</f>
        <v>0</v>
      </c>
      <c r="KN161" s="548"/>
      <c r="KO161" s="548"/>
      <c r="KP161" s="548"/>
      <c r="KQ161" s="548"/>
      <c r="KR161" s="548" t="str">
        <f t="shared" si="1666"/>
        <v/>
      </c>
      <c r="KS161" s="548"/>
      <c r="KT161" s="548"/>
      <c r="KU161" s="548"/>
      <c r="KV161" s="548"/>
      <c r="KW161" s="548"/>
      <c r="KX161" s="548"/>
      <c r="KY161" s="548"/>
      <c r="KZ161" s="548"/>
      <c r="LA161" s="548"/>
      <c r="LB161" s="548"/>
      <c r="LC161" s="485" t="str">
        <f t="shared" si="1680"/>
        <v/>
      </c>
      <c r="LD161" s="548"/>
      <c r="LE161" s="548"/>
      <c r="LF161" s="548"/>
      <c r="LG161" s="548"/>
      <c r="LH161" s="548"/>
      <c r="LI161" s="548"/>
      <c r="LJ161" s="548"/>
      <c r="LK161" s="548"/>
      <c r="LL161" s="548"/>
      <c r="LM161" s="548"/>
      <c r="LN161" s="548"/>
      <c r="LO161" s="548"/>
      <c r="LP161" s="485" t="str">
        <f t="shared" si="1681"/>
        <v/>
      </c>
      <c r="LQ161" s="548"/>
      <c r="LR161" s="548"/>
      <c r="LS161" s="548"/>
      <c r="LT161" s="548"/>
      <c r="LU161" s="548"/>
      <c r="LV161" s="548"/>
      <c r="LW161" s="548"/>
      <c r="LX161" s="548"/>
      <c r="LY161" s="548"/>
      <c r="LZ161" s="548"/>
      <c r="MA161" s="548"/>
      <c r="MB161" s="548"/>
      <c r="MC161" s="485" t="str">
        <f t="shared" si="1682"/>
        <v/>
      </c>
      <c r="MD161" s="548"/>
      <c r="ME161" s="548"/>
      <c r="MF161" s="548"/>
      <c r="MG161" s="548"/>
      <c r="MH161" s="548"/>
      <c r="MI161" s="548"/>
      <c r="MJ161" s="548"/>
      <c r="MK161" s="548"/>
      <c r="ML161" s="548"/>
      <c r="MM161" s="548"/>
      <c r="MN161" s="548"/>
      <c r="MO161" s="548"/>
      <c r="MP161" s="485" t="str">
        <f t="shared" si="1683"/>
        <v/>
      </c>
      <c r="MQ161" s="548"/>
      <c r="MR161" s="548"/>
      <c r="MS161" s="548"/>
      <c r="MT161" s="548"/>
      <c r="MU161" s="548"/>
      <c r="MV161" s="548"/>
      <c r="MW161" s="548"/>
      <c r="MX161" s="548"/>
      <c r="MY161" s="548"/>
      <c r="MZ161" s="548"/>
      <c r="NA161" s="548"/>
      <c r="NB161" s="548"/>
      <c r="NC161" s="485" t="str">
        <f t="shared" si="1684"/>
        <v/>
      </c>
      <c r="ND161" s="548"/>
      <c r="NE161" s="548"/>
      <c r="NF161" s="548"/>
      <c r="NG161" s="548"/>
      <c r="NH161" s="548"/>
      <c r="NI161" s="548"/>
      <c r="NJ161" s="548"/>
      <c r="NK161" s="548"/>
      <c r="NL161" s="548"/>
      <c r="NM161" s="548"/>
      <c r="NN161" s="548"/>
      <c r="NO161" s="548"/>
      <c r="NP161" s="485" t="str">
        <f t="shared" si="1685"/>
        <v/>
      </c>
      <c r="NQ161" s="548"/>
      <c r="NR161" s="548"/>
      <c r="NS161" s="548"/>
      <c r="NT161" s="548"/>
      <c r="NU161" s="548"/>
      <c r="NV161" s="548"/>
      <c r="NW161" s="548"/>
      <c r="NX161" s="548"/>
      <c r="NY161" s="548"/>
      <c r="NZ161" s="548"/>
      <c r="OA161" s="548"/>
      <c r="OB161" s="548"/>
      <c r="OC161" s="485" t="str">
        <f t="shared" si="1686"/>
        <v/>
      </c>
      <c r="OD161" s="548"/>
      <c r="OE161" s="548"/>
      <c r="OF161" s="548"/>
      <c r="OG161" s="548"/>
      <c r="OH161" s="548"/>
      <c r="OI161" s="548"/>
      <c r="OJ161" s="548"/>
      <c r="OK161" s="548"/>
      <c r="OL161" s="548"/>
      <c r="OM161" s="548"/>
      <c r="ON161" s="548"/>
      <c r="OO161" s="548"/>
      <c r="OP161" s="548"/>
      <c r="OQ161" s="548"/>
      <c r="OR161" s="548"/>
      <c r="OS161" s="548"/>
      <c r="OT161" s="548"/>
      <c r="OU161" s="548"/>
      <c r="OV161" s="548"/>
      <c r="OW161" s="548"/>
      <c r="OX161" s="548"/>
      <c r="OY161" s="548"/>
      <c r="OZ161" s="548"/>
      <c r="PA161" s="548"/>
      <c r="PB161" s="548"/>
      <c r="PC161" s="548"/>
      <c r="PD161" s="548"/>
      <c r="PE161" s="548"/>
      <c r="PF161" s="548"/>
      <c r="PG161" s="548"/>
      <c r="PH161" s="548"/>
      <c r="PI161" s="548"/>
      <c r="PJ161" s="548"/>
      <c r="PK161" s="548"/>
      <c r="PL161" s="548"/>
      <c r="PM161" s="548"/>
      <c r="PN161" s="548"/>
      <c r="PO161" s="548"/>
      <c r="PP161" s="548"/>
      <c r="PQ161" s="548"/>
      <c r="PR161" s="548"/>
      <c r="PS161" s="548"/>
      <c r="PT161" s="548"/>
      <c r="PU161" s="548"/>
      <c r="PV161" s="548"/>
      <c r="PW161" s="548"/>
      <c r="PX161" s="548"/>
      <c r="PY161" s="548"/>
      <c r="PZ161" s="548"/>
      <c r="QA161" s="548"/>
      <c r="QB161" s="548"/>
      <c r="QC161" s="548"/>
      <c r="QD161" s="548"/>
      <c r="QE161" s="548"/>
      <c r="QF161" s="548"/>
      <c r="QG161" s="548"/>
      <c r="QH161" s="548"/>
      <c r="QI161" s="548"/>
      <c r="QJ161" s="548"/>
      <c r="QK161" s="548"/>
      <c r="QL161" s="548"/>
      <c r="QM161" s="548"/>
      <c r="QN161" s="548"/>
      <c r="QO161" s="548"/>
      <c r="QP161" s="548"/>
      <c r="QQ161" s="1009"/>
      <c r="QR161" s="548"/>
      <c r="QS161" s="548"/>
      <c r="QT161" s="548"/>
      <c r="QU161" s="548"/>
      <c r="QV161" s="548"/>
      <c r="QW161" s="548"/>
      <c r="QX161" s="548"/>
      <c r="QY161" s="548"/>
      <c r="QZ161" s="548"/>
      <c r="RA161" s="548"/>
      <c r="RB161" s="548"/>
      <c r="RC161" s="548"/>
      <c r="RD161" s="548"/>
      <c r="RE161" s="548"/>
      <c r="RF161" s="548"/>
      <c r="RG161" s="548"/>
      <c r="RH161" s="548"/>
      <c r="RI161" s="548"/>
      <c r="RJ161" s="548"/>
      <c r="RK161" s="548"/>
      <c r="RL161" s="548"/>
      <c r="RM161" s="548"/>
      <c r="RN161" s="548"/>
      <c r="RO161" s="548"/>
      <c r="RP161" s="548"/>
      <c r="RQ161" s="548"/>
      <c r="RR161" s="548"/>
      <c r="RS161" s="548"/>
      <c r="RT161" s="548"/>
      <c r="RU161" s="548"/>
      <c r="RV161" s="548"/>
      <c r="RW161" s="548"/>
      <c r="RX161" s="548"/>
      <c r="RY161" s="548"/>
      <c r="RZ161" s="548"/>
      <c r="SA161" s="548"/>
      <c r="SB161" s="548"/>
      <c r="SC161" s="548"/>
      <c r="SD161" s="548"/>
      <c r="SE161" s="548"/>
      <c r="SF161" s="548"/>
      <c r="SG161" s="548"/>
      <c r="SH161" s="548"/>
      <c r="SI161" s="548"/>
      <c r="SJ161" s="548"/>
      <c r="SK161" s="548"/>
      <c r="SL161" s="548"/>
      <c r="SM161" s="548"/>
      <c r="SN161" s="548"/>
      <c r="SO161" s="548"/>
      <c r="SP161" s="548"/>
      <c r="SQ161" s="548"/>
      <c r="SR161" s="548"/>
      <c r="SS161" s="548"/>
      <c r="ST161" s="548"/>
      <c r="SU161" s="548"/>
      <c r="SV161" s="548"/>
      <c r="SW161" s="548"/>
      <c r="SX161" s="548"/>
      <c r="SY161" s="548"/>
      <c r="SZ161" s="548"/>
      <c r="TA161" s="548"/>
      <c r="TB161" s="548"/>
      <c r="TC161" s="548"/>
      <c r="TD161" s="548"/>
      <c r="TE161" s="548"/>
      <c r="TF161" s="548"/>
      <c r="TG161" s="548"/>
      <c r="TH161" s="548"/>
      <c r="TI161" s="548"/>
      <c r="TJ161" s="548"/>
      <c r="TK161" s="548"/>
      <c r="TL161" s="548"/>
      <c r="TM161" s="548"/>
      <c r="TN161" s="548"/>
      <c r="TO161" s="548"/>
      <c r="TP161" s="548"/>
      <c r="TQ161" s="548"/>
      <c r="TR161" s="548"/>
      <c r="TS161" s="548"/>
      <c r="TT161" s="548"/>
      <c r="TU161" s="548"/>
      <c r="TV161" s="548"/>
      <c r="TW161" s="548"/>
      <c r="TX161" s="548"/>
      <c r="TY161" s="548"/>
      <c r="TZ161" s="548"/>
      <c r="UA161" s="548"/>
      <c r="UB161" s="548"/>
      <c r="UC161" s="548"/>
      <c r="UD161" s="548"/>
      <c r="UE161" s="548"/>
      <c r="UF161" s="548"/>
      <c r="UG161" s="548"/>
      <c r="UH161" s="548"/>
      <c r="UI161" s="548"/>
      <c r="UJ161" s="548"/>
      <c r="UK161" s="548"/>
      <c r="UL161" s="548"/>
      <c r="UM161" s="548"/>
      <c r="UN161" s="548"/>
      <c r="UO161" s="548"/>
      <c r="UP161" s="548"/>
      <c r="UQ161" s="548"/>
      <c r="UR161" s="548"/>
      <c r="US161" s="548"/>
      <c r="UT161" s="548"/>
      <c r="UU161" s="548"/>
      <c r="UV161" s="548"/>
      <c r="UW161" s="548"/>
      <c r="UX161" s="548"/>
      <c r="UY161" s="548"/>
      <c r="UZ161" s="548"/>
      <c r="VA161" s="548"/>
      <c r="VB161" s="548"/>
      <c r="VC161" s="548"/>
      <c r="VD161" s="548"/>
      <c r="VE161" s="548"/>
      <c r="VF161" s="548"/>
      <c r="VG161" s="548"/>
      <c r="VH161" s="548"/>
      <c r="VI161" s="548"/>
      <c r="VJ161" s="548"/>
      <c r="VK161" s="548"/>
      <c r="VL161" s="548"/>
      <c r="VM161" s="548"/>
      <c r="VN161" s="548"/>
      <c r="VO161" s="548"/>
      <c r="VP161" s="548"/>
      <c r="VQ161" s="548"/>
      <c r="VR161" s="548"/>
      <c r="VS161" s="548"/>
      <c r="VT161" s="548"/>
      <c r="VU161" s="548"/>
      <c r="VV161" s="548"/>
      <c r="VW161" s="548"/>
      <c r="VX161" s="548"/>
      <c r="VY161" s="548"/>
      <c r="VZ161" s="548"/>
      <c r="WA161" s="548"/>
      <c r="WB161" s="548"/>
      <c r="WC161" s="548"/>
      <c r="WD161" s="548"/>
      <c r="WE161" s="548"/>
      <c r="WF161" s="548"/>
      <c r="WG161" s="548"/>
      <c r="WH161" s="548"/>
      <c r="WI161" s="548"/>
      <c r="WJ161" s="548"/>
      <c r="WK161" s="548"/>
      <c r="WL161" s="548"/>
      <c r="WM161" s="548"/>
      <c r="WN161" s="548"/>
      <c r="WO161" s="548"/>
      <c r="WP161" s="548"/>
      <c r="WQ161" s="548"/>
      <c r="WR161" s="548"/>
      <c r="WS161" s="548"/>
      <c r="WT161" s="548"/>
      <c r="WU161" s="548"/>
      <c r="WV161" s="548"/>
      <c r="WW161" s="548"/>
      <c r="WX161" s="548"/>
      <c r="WY161" s="548"/>
      <c r="WZ161" s="548"/>
      <c r="XA161" s="548"/>
      <c r="XB161" s="548"/>
      <c r="XC161" s="548"/>
      <c r="XD161" s="548"/>
      <c r="XE161" s="548"/>
      <c r="XF161" s="548"/>
      <c r="XG161" s="548"/>
      <c r="XH161" s="548"/>
      <c r="XI161" s="548"/>
      <c r="XJ161" s="548"/>
      <c r="XK161" s="548"/>
      <c r="XL161" s="548"/>
      <c r="XM161" s="548"/>
      <c r="XN161" s="548"/>
      <c r="XO161" s="548"/>
      <c r="XP161" s="548"/>
      <c r="XQ161" s="548"/>
      <c r="XR161" s="548"/>
      <c r="XS161" s="548"/>
      <c r="XT161" s="548"/>
      <c r="XU161" s="548"/>
      <c r="XV161" s="548"/>
      <c r="XW161" s="548"/>
      <c r="XX161" s="548"/>
      <c r="XY161" s="548"/>
      <c r="XZ161" s="548"/>
      <c r="YA161" s="548"/>
      <c r="YB161" s="548"/>
      <c r="YC161" s="548"/>
      <c r="YD161" s="548"/>
      <c r="YE161" s="548"/>
      <c r="YF161" s="548"/>
      <c r="YG161" s="548"/>
      <c r="YH161" s="548"/>
      <c r="YI161" s="548"/>
      <c r="YJ161" s="548"/>
      <c r="YK161" s="548"/>
      <c r="YL161" s="548"/>
      <c r="YM161" s="548"/>
      <c r="YN161" s="548"/>
      <c r="YO161" s="548"/>
      <c r="YP161" s="548"/>
      <c r="YQ161" s="548"/>
      <c r="YR161" s="548"/>
      <c r="YS161" s="548"/>
      <c r="YT161" s="548"/>
      <c r="YU161" s="548"/>
      <c r="YV161" s="548"/>
      <c r="YW161" s="548"/>
      <c r="YX161" s="548"/>
      <c r="YY161" s="548"/>
      <c r="YZ161" s="548"/>
      <c r="ZA161" s="548"/>
      <c r="ZB161" s="548"/>
      <c r="ZC161" s="548"/>
      <c r="ZD161" s="548"/>
      <c r="ZE161" s="548"/>
      <c r="ZF161" s="548"/>
      <c r="ZG161" s="548"/>
      <c r="ZH161" s="548"/>
      <c r="ZI161" s="548"/>
      <c r="ZJ161" s="548"/>
      <c r="ZK161" s="548"/>
      <c r="ZL161" s="548"/>
      <c r="ZM161" s="548"/>
      <c r="ZN161" s="548"/>
      <c r="ZO161" s="548"/>
      <c r="ZP161" s="548"/>
      <c r="ZQ161" s="548"/>
      <c r="ZR161" s="548"/>
      <c r="ZS161" s="548"/>
      <c r="ZT161" s="548"/>
      <c r="ZU161" s="548"/>
      <c r="ZV161" s="548"/>
      <c r="ZW161" s="548"/>
      <c r="ZX161" s="548"/>
      <c r="ZY161" s="548"/>
      <c r="ZZ161" s="548"/>
      <c r="AAA161" s="548"/>
      <c r="AAB161" s="548"/>
      <c r="AAC161" s="548"/>
      <c r="AAD161" s="548"/>
      <c r="AAE161" s="548"/>
      <c r="AAF161" s="548"/>
      <c r="AAG161" s="548"/>
      <c r="AAH161" s="548"/>
      <c r="AAI161" s="548"/>
      <c r="AAJ161" s="548"/>
      <c r="AAK161" s="548"/>
      <c r="AAL161" s="548"/>
      <c r="AAM161" s="548"/>
      <c r="AAN161" s="548"/>
      <c r="AAO161" s="548"/>
      <c r="AAP161" s="548"/>
      <c r="AAQ161" s="548"/>
      <c r="AAR161" s="548"/>
      <c r="AAS161" s="548"/>
      <c r="AAT161" s="548"/>
      <c r="AAU161" s="548"/>
      <c r="AAV161" s="548"/>
      <c r="AAW161" s="548"/>
      <c r="AAX161" s="548"/>
      <c r="AAY161" s="548"/>
      <c r="AAZ161" s="548"/>
      <c r="ABA161" s="548"/>
      <c r="ABB161" s="548"/>
      <c r="ABC161" s="548"/>
      <c r="ABD161" s="548"/>
      <c r="ABE161" s="548"/>
      <c r="ABF161" s="548"/>
      <c r="ABG161" s="548"/>
      <c r="ABH161" s="548"/>
      <c r="ABI161" s="548"/>
      <c r="ABJ161" s="548"/>
      <c r="ABK161" s="548"/>
      <c r="ABL161" s="548"/>
      <c r="ABM161" s="548"/>
      <c r="ABN161" s="548"/>
      <c r="ABO161" s="548"/>
      <c r="ABP161" s="548"/>
      <c r="ABQ161" s="548"/>
      <c r="ABR161" s="548"/>
      <c r="ABS161" s="548"/>
    </row>
    <row r="162" spans="1:747" ht="15" customHeight="1" thickBot="1" x14ac:dyDescent="0.25">
      <c r="A162" s="424" t="str">
        <f t="shared" si="1687"/>
        <v/>
      </c>
      <c r="B162" s="415"/>
      <c r="C162" s="525"/>
      <c r="D162" s="750"/>
      <c r="E162" s="416" t="str">
        <f t="shared" si="1529"/>
        <v/>
      </c>
      <c r="F162" s="527" t="str">
        <f t="shared" si="1530"/>
        <v/>
      </c>
      <c r="G162" s="417"/>
      <c r="H162" s="585" t="str">
        <f t="shared" si="1531"/>
        <v/>
      </c>
      <c r="I162" s="424"/>
      <c r="J162" s="419"/>
      <c r="K162" s="418"/>
      <c r="L162" s="419"/>
      <c r="M162" s="415"/>
      <c r="N162" s="420"/>
      <c r="O162" s="421"/>
      <c r="P162" s="561"/>
      <c r="Q162" s="422"/>
      <c r="R162" s="561" t="str">
        <f t="shared" si="1532"/>
        <v/>
      </c>
      <c r="S162" s="664"/>
      <c r="T162" s="663"/>
      <c r="U162" s="580">
        <f t="shared" si="1533"/>
        <v>0</v>
      </c>
      <c r="V162" s="418"/>
      <c r="W162" s="582" t="str">
        <f t="shared" si="1534"/>
        <v/>
      </c>
      <c r="X162" s="479" t="str">
        <f t="shared" si="1535"/>
        <v/>
      </c>
      <c r="Y162" s="582" t="str">
        <f t="shared" si="1536"/>
        <v/>
      </c>
      <c r="Z162" s="317" t="str">
        <f t="shared" si="1537"/>
        <v/>
      </c>
      <c r="AA162" s="317" t="str">
        <f t="shared" si="1538"/>
        <v/>
      </c>
      <c r="AB162" s="317">
        <f t="shared" si="1539"/>
        <v>0</v>
      </c>
      <c r="AC162" s="317" t="str">
        <f t="shared" si="1540"/>
        <v/>
      </c>
      <c r="AD162" s="479"/>
      <c r="AE162" s="479"/>
      <c r="AF162" s="479"/>
      <c r="AG162" s="423"/>
      <c r="AH162" s="820"/>
      <c r="AI162" s="437"/>
      <c r="AJ162" s="660"/>
      <c r="AK162" s="524" t="str">
        <f t="shared" si="1541"/>
        <v/>
      </c>
      <c r="AL162" s="733">
        <f t="shared" si="1832"/>
        <v>0</v>
      </c>
      <c r="AM162" s="816">
        <f t="shared" si="1832"/>
        <v>0</v>
      </c>
      <c r="AN162" s="768">
        <f t="shared" si="1542"/>
        <v>0</v>
      </c>
      <c r="AO162" s="798" t="str">
        <f t="shared" si="1543"/>
        <v/>
      </c>
      <c r="AP162" s="768" t="str">
        <f t="shared" si="1544"/>
        <v/>
      </c>
      <c r="AQ162" s="768"/>
      <c r="AR162" s="768"/>
      <c r="AS162" s="803"/>
      <c r="AT162" s="804"/>
      <c r="AU162" s="805"/>
      <c r="AV162" s="806"/>
      <c r="AW162" s="800"/>
      <c r="AX162" s="805"/>
      <c r="AY162" s="806">
        <f t="shared" si="1545"/>
        <v>0</v>
      </c>
      <c r="AZ162" s="768"/>
      <c r="BA162" s="485" t="str">
        <f t="shared" si="1546"/>
        <v/>
      </c>
      <c r="BB162" s="485"/>
      <c r="BC162" s="768"/>
      <c r="BD162" s="768">
        <f t="array" ref="BD162">IF(SUM((BC162=$BC$3:BC161)*1)=0,BC162,0)</f>
        <v>0</v>
      </c>
      <c r="BE162" s="768"/>
      <c r="BF162" s="768"/>
      <c r="BG162" s="768">
        <f t="array" ref="BG162">IF(SUM((BF162=$BF$3:BF161)*1)=0,BF162,0)</f>
        <v>0</v>
      </c>
      <c r="BH162" s="768"/>
      <c r="BI162" s="768"/>
      <c r="BJ162" s="768"/>
      <c r="BK162" s="768"/>
      <c r="BL162" s="768"/>
      <c r="BM162" s="768"/>
      <c r="BN162" s="768"/>
      <c r="BO162" s="768"/>
      <c r="BP162" s="844">
        <f t="shared" si="1547"/>
        <v>0</v>
      </c>
      <c r="BQ162" s="768"/>
      <c r="BR162" s="845"/>
      <c r="BS162" s="768"/>
      <c r="BT162" s="844"/>
      <c r="BU162" s="485"/>
      <c r="BV162" s="485" t="str">
        <f t="shared" si="1548"/>
        <v/>
      </c>
      <c r="BW162" s="485" t="str">
        <f t="shared" si="1576"/>
        <v/>
      </c>
      <c r="BX162" s="485"/>
      <c r="BY162" s="485"/>
      <c r="BZ162" s="485"/>
      <c r="CA162" s="485"/>
      <c r="CB162" s="485"/>
      <c r="CC162" s="485"/>
      <c r="CD162" s="485"/>
      <c r="CE162" s="485"/>
      <c r="CF162" s="485"/>
      <c r="CG162" s="485"/>
      <c r="CH162" s="485"/>
      <c r="CI162" s="485"/>
      <c r="CJ162" s="768" t="str">
        <f t="shared" si="1577"/>
        <v/>
      </c>
      <c r="CK162" s="485"/>
      <c r="CL162" s="768"/>
      <c r="CM162" s="485"/>
      <c r="CN162" s="768"/>
      <c r="CO162" s="768"/>
      <c r="CP162" s="768"/>
      <c r="CQ162" s="768"/>
      <c r="CR162" s="768"/>
      <c r="CS162" s="768"/>
      <c r="CT162" s="768"/>
      <c r="CU162" s="768"/>
      <c r="CV162" s="768"/>
      <c r="CW162" s="846"/>
      <c r="CX162" s="846"/>
      <c r="CY162" s="768">
        <v>159</v>
      </c>
      <c r="CZ162" s="846"/>
      <c r="DA162" s="846"/>
      <c r="DB162" s="846"/>
      <c r="DC162" s="768" t="s">
        <v>902</v>
      </c>
      <c r="DD162" s="768" t="s">
        <v>1062</v>
      </c>
      <c r="DE162" s="485" t="str">
        <f t="shared" si="1578"/>
        <v/>
      </c>
      <c r="DF162" s="485" t="str">
        <f t="shared" si="1579"/>
        <v/>
      </c>
      <c r="DG162" s="485" t="str">
        <f t="shared" si="1580"/>
        <v/>
      </c>
      <c r="DH162" s="485" t="str">
        <f t="shared" si="1581"/>
        <v/>
      </c>
      <c r="DI162" s="485" t="str">
        <f t="shared" si="1582"/>
        <v/>
      </c>
      <c r="DJ162" s="485" t="str">
        <f t="shared" si="1583"/>
        <v/>
      </c>
      <c r="DK162" s="485" t="str">
        <f t="shared" si="1549"/>
        <v/>
      </c>
      <c r="DL162" s="485" t="str">
        <f t="shared" si="1550"/>
        <v/>
      </c>
      <c r="DM162" s="485" t="str">
        <f t="shared" si="1584"/>
        <v/>
      </c>
      <c r="DN162" s="485" t="str">
        <f t="shared" si="1585"/>
        <v/>
      </c>
      <c r="DO162" s="485" t="str">
        <f t="shared" si="1551"/>
        <v/>
      </c>
      <c r="DP162" s="485" t="str">
        <f t="shared" si="1552"/>
        <v/>
      </c>
      <c r="DQ162" s="485" t="str">
        <f t="shared" si="1586"/>
        <v/>
      </c>
      <c r="DR162" s="485" t="str">
        <f t="shared" si="1587"/>
        <v/>
      </c>
      <c r="DS162" s="485" t="str">
        <f t="shared" si="1553"/>
        <v/>
      </c>
      <c r="DT162" s="485" t="str">
        <f t="shared" si="1554"/>
        <v/>
      </c>
      <c r="DU162" s="485" t="str">
        <f t="shared" si="1588"/>
        <v/>
      </c>
      <c r="DV162" s="485" t="str">
        <f t="shared" si="1589"/>
        <v/>
      </c>
      <c r="DW162" s="485" t="str">
        <f t="shared" si="1555"/>
        <v/>
      </c>
      <c r="DX162" s="485" t="str">
        <f t="shared" si="1556"/>
        <v/>
      </c>
      <c r="DY162" s="485" t="str">
        <f t="shared" si="1590"/>
        <v/>
      </c>
      <c r="DZ162" s="485" t="str">
        <f t="shared" si="1591"/>
        <v/>
      </c>
      <c r="EA162" s="485" t="str">
        <f t="shared" si="1557"/>
        <v/>
      </c>
      <c r="EB162" s="485" t="str">
        <f t="shared" si="1558"/>
        <v/>
      </c>
      <c r="EC162" s="485" t="str">
        <f t="shared" si="1559"/>
        <v/>
      </c>
      <c r="ED162" s="485" t="str">
        <f t="shared" si="1560"/>
        <v/>
      </c>
      <c r="EE162" s="485" t="str">
        <f t="shared" si="1561"/>
        <v/>
      </c>
      <c r="EF162" s="485" t="str">
        <f t="shared" si="1562"/>
        <v/>
      </c>
      <c r="EG162" s="485" t="str">
        <f t="shared" si="1563"/>
        <v/>
      </c>
      <c r="EH162" s="485" t="str">
        <f t="shared" si="1564"/>
        <v/>
      </c>
      <c r="EI162" s="485" t="str">
        <f t="shared" si="1565"/>
        <v/>
      </c>
      <c r="EJ162" s="485" t="str">
        <f t="shared" si="1566"/>
        <v/>
      </c>
      <c r="EK162" s="485"/>
      <c r="EL162" s="485"/>
      <c r="EM162" s="485"/>
      <c r="EN162" s="485"/>
      <c r="ET162" s="485"/>
      <c r="EU162" s="485"/>
      <c r="EV162" s="485"/>
      <c r="EW162" s="485"/>
      <c r="EX162" s="768"/>
      <c r="EY162" s="768"/>
      <c r="EZ162" s="768"/>
      <c r="FA162" s="864"/>
      <c r="FB162" s="798">
        <f t="array" ref="FB162">IF(SUM((FA162=$FA$3:FA161)*1)=0,FA162,0)</f>
        <v>0</v>
      </c>
      <c r="FC162" s="864"/>
      <c r="FD162" s="864"/>
      <c r="FE162" s="864">
        <f t="array" ref="FE162">IF(SUM((FD162=$FD$3:FD161)*1)=0,FD162,0)</f>
        <v>0</v>
      </c>
      <c r="FF162" s="864"/>
      <c r="FG162" s="864"/>
      <c r="FH162" s="864"/>
      <c r="FI162" s="798">
        <f t="array" ref="FI162">IF(SUM((FH162=$FH$3:FH161)*1)=0,FH162,0)</f>
        <v>0</v>
      </c>
      <c r="FJ162" s="864"/>
      <c r="FK162" s="864"/>
      <c r="FL162" s="864">
        <f t="array" ref="FL162">IF(SUM((FK162=$FK$3:FK161)*1)=0,FK162,0)</f>
        <v>0</v>
      </c>
      <c r="FM162" s="864"/>
      <c r="FN162" s="864"/>
      <c r="FO162" s="864"/>
      <c r="FP162" s="798">
        <f t="array" ref="FP162">IF(SUM((FO162=$FO$3:FO161)*1)=0,FO162,0)</f>
        <v>0</v>
      </c>
      <c r="FQ162" s="864"/>
      <c r="FR162" s="864"/>
      <c r="FS162" s="864">
        <f t="array" ref="FS162">IF(SUM((FR162=$FR$3:FR161)*1)=0,FR162,0)</f>
        <v>0</v>
      </c>
      <c r="FT162" s="864"/>
      <c r="FU162" s="864"/>
      <c r="FV162" s="864"/>
      <c r="FW162" s="798">
        <f t="array" ref="FW162">IF(SUM((FV162=$FV$3:FV161)*1)=0,FV162,0)</f>
        <v>0</v>
      </c>
      <c r="FX162" s="864"/>
      <c r="FY162" s="864"/>
      <c r="FZ162" s="864">
        <f t="array" ref="FZ162">IF(SUM((FY162=$FY$3:FY161)*1)=0,FY162,0)</f>
        <v>0</v>
      </c>
      <c r="GA162" s="864"/>
      <c r="GB162" s="864"/>
      <c r="GC162" s="864"/>
      <c r="GD162" s="798">
        <f t="array" ref="GD162">IF(SUM((GC162=$GC$3:GC161)*1)=0,GC162,0)</f>
        <v>0</v>
      </c>
      <c r="GE162" s="864"/>
      <c r="GF162" s="864"/>
      <c r="GG162" s="864">
        <f t="array" ref="GG162">IF(SUM((GF162=$GF$3:GF161)*1)=0,GF162,0)</f>
        <v>0</v>
      </c>
      <c r="GH162" s="864"/>
      <c r="GI162" s="864"/>
      <c r="GJ162" s="864"/>
      <c r="GK162" s="798">
        <f t="array" ref="GK162">IF(SUM((GJ162=$GJ$3:GJ161)*1)=0,GJ162,0)</f>
        <v>0</v>
      </c>
      <c r="GL162" s="864"/>
      <c r="GM162" s="864"/>
      <c r="GN162" s="798">
        <f t="array" ref="GN162">IF(SUM((GM162=$GM$3:GM161)*1)=0,GM162,0)</f>
        <v>0</v>
      </c>
      <c r="GO162" s="864"/>
      <c r="GP162" s="864"/>
      <c r="GQ162" s="864"/>
      <c r="GR162" s="798">
        <f t="array" ref="GR162">IF(SUM((GQ162=$GQ$3:GQ161)*1)=0,GQ162,0)</f>
        <v>0</v>
      </c>
      <c r="GS162" s="864"/>
      <c r="GT162" s="864"/>
      <c r="GU162" s="798">
        <f t="array" ref="GU162">IF(SUM((GT162=$GT$3:GT161)*1)=0,GT162,0)</f>
        <v>0</v>
      </c>
      <c r="GV162" s="864"/>
      <c r="GW162" s="864"/>
      <c r="GX162" s="864"/>
      <c r="GY162" s="798">
        <f t="array" ref="GY162">IF(SUM((GX162=$GX$3:GX161)*1)=0,GX162,0)</f>
        <v>0</v>
      </c>
      <c r="GZ162" s="864"/>
      <c r="HA162" s="864"/>
      <c r="HB162" s="798">
        <f t="array" ref="HB162">IF(SUM((HA162=$HA$3:HA161)*1)=0,HA162,0)</f>
        <v>0</v>
      </c>
      <c r="HC162" s="864"/>
      <c r="HD162" s="864"/>
      <c r="HE162" s="769" t="str">
        <f t="shared" si="1667"/>
        <v/>
      </c>
      <c r="HF162" s="768" t="str">
        <f t="shared" ref="HF162" si="1932">IF(HE162&lt;0,"Invadiu REP-BA-C","")</f>
        <v/>
      </c>
      <c r="HG162" s="769" t="str">
        <f t="shared" si="1669"/>
        <v/>
      </c>
      <c r="HH162" s="768" t="str">
        <f t="shared" si="1593"/>
        <v/>
      </c>
      <c r="HI162" s="769" t="str">
        <f t="shared" si="1670"/>
        <v/>
      </c>
      <c r="HJ162" s="768" t="str">
        <f t="shared" si="1594"/>
        <v/>
      </c>
      <c r="HK162" s="769" t="str">
        <f t="shared" si="1671"/>
        <v/>
      </c>
      <c r="HL162" s="768" t="str">
        <f t="shared" si="1595"/>
        <v/>
      </c>
      <c r="HM162" s="769" t="str">
        <f t="shared" si="1596"/>
        <v/>
      </c>
      <c r="HN162" s="768" t="str">
        <f t="shared" ref="HN162" si="1933">IF(HM162&lt;0,"Invadiu REP-BA-C","")</f>
        <v/>
      </c>
      <c r="HO162" s="769" t="str">
        <f t="shared" si="1598"/>
        <v/>
      </c>
      <c r="HP162" s="768" t="str">
        <f t="shared" si="1599"/>
        <v/>
      </c>
      <c r="HQ162" s="769" t="str">
        <f t="shared" si="1600"/>
        <v/>
      </c>
      <c r="HR162" s="768" t="str">
        <f t="shared" si="1601"/>
        <v/>
      </c>
      <c r="HS162" s="769" t="str">
        <f t="shared" si="1602"/>
        <v/>
      </c>
      <c r="HT162" s="768" t="str">
        <f t="shared" si="1603"/>
        <v/>
      </c>
      <c r="HU162" s="769" t="str">
        <f t="shared" si="1604"/>
        <v/>
      </c>
      <c r="HV162" s="768" t="str">
        <f t="shared" ref="HV162" si="1934">IF(HU162&lt;0,"Invadiu REP-BA-C","")</f>
        <v/>
      </c>
      <c r="HW162" s="769" t="str">
        <f t="shared" si="1606"/>
        <v/>
      </c>
      <c r="HX162" s="768" t="str">
        <f t="shared" si="1607"/>
        <v/>
      </c>
      <c r="HY162" s="769" t="str">
        <f t="shared" si="1608"/>
        <v/>
      </c>
      <c r="HZ162" s="768" t="str">
        <f t="shared" si="1609"/>
        <v/>
      </c>
      <c r="IA162" s="769" t="str">
        <f t="shared" si="1610"/>
        <v/>
      </c>
      <c r="IB162" s="768" t="str">
        <f t="shared" si="1611"/>
        <v/>
      </c>
      <c r="IC162" s="769" t="str">
        <f t="shared" si="1612"/>
        <v/>
      </c>
      <c r="ID162" s="768" t="str">
        <f t="shared" ref="ID162" si="1935">IF(IC162&lt;0,"Invadiu REP-BA-C","")</f>
        <v/>
      </c>
      <c r="IE162" s="769" t="str">
        <f t="shared" si="1614"/>
        <v/>
      </c>
      <c r="IF162" s="768" t="str">
        <f t="shared" si="1615"/>
        <v/>
      </c>
      <c r="IG162" s="769" t="str">
        <f t="shared" si="1616"/>
        <v/>
      </c>
      <c r="IH162" s="768" t="str">
        <f t="shared" si="1617"/>
        <v/>
      </c>
      <c r="II162" s="769" t="str">
        <f t="shared" si="1618"/>
        <v/>
      </c>
      <c r="IJ162" s="768" t="str">
        <f t="shared" si="1619"/>
        <v/>
      </c>
      <c r="IK162" s="769" t="str">
        <f t="shared" si="1620"/>
        <v/>
      </c>
      <c r="IL162" s="768" t="str">
        <f t="shared" ref="IL162" si="1936">IF(IK162&lt;0,"Invadiu REP-BA-C","")</f>
        <v/>
      </c>
      <c r="IM162" s="769" t="str">
        <f t="shared" si="1622"/>
        <v/>
      </c>
      <c r="IN162" s="768" t="str">
        <f t="shared" si="1623"/>
        <v/>
      </c>
      <c r="IO162" s="769" t="str">
        <f t="shared" si="1624"/>
        <v/>
      </c>
      <c r="IP162" s="768" t="str">
        <f t="shared" si="1625"/>
        <v/>
      </c>
      <c r="IQ162" s="769" t="str">
        <f t="shared" si="1626"/>
        <v/>
      </c>
      <c r="IR162" s="768" t="str">
        <f t="shared" si="1627"/>
        <v/>
      </c>
      <c r="IS162" s="769" t="str">
        <f t="shared" si="1628"/>
        <v/>
      </c>
      <c r="IT162" s="768" t="str">
        <f t="shared" ref="IT162" si="1937">IF(IS162&lt;0,"Invadiu REP-BA-C","")</f>
        <v/>
      </c>
      <c r="IU162" s="769" t="str">
        <f t="shared" si="1630"/>
        <v/>
      </c>
      <c r="IV162" s="768" t="str">
        <f t="shared" si="1631"/>
        <v/>
      </c>
      <c r="IW162" s="769" t="str">
        <f t="shared" si="1632"/>
        <v/>
      </c>
      <c r="IX162" s="768" t="str">
        <f t="shared" si="1633"/>
        <v/>
      </c>
      <c r="IY162" s="769" t="str">
        <f t="shared" si="1634"/>
        <v/>
      </c>
      <c r="IZ162" s="768" t="str">
        <f t="shared" si="1635"/>
        <v/>
      </c>
      <c r="JA162" s="769" t="str">
        <f t="shared" si="1636"/>
        <v/>
      </c>
      <c r="JB162" s="768" t="str">
        <f t="shared" ref="JB162" si="1938">IF(JA162&lt;0,"Invadiu REP-BA-C","")</f>
        <v/>
      </c>
      <c r="JC162" s="769" t="str">
        <f t="shared" si="1638"/>
        <v/>
      </c>
      <c r="JD162" s="768" t="str">
        <f t="shared" si="1639"/>
        <v/>
      </c>
      <c r="JE162" s="769" t="str">
        <f t="shared" si="1640"/>
        <v/>
      </c>
      <c r="JF162" s="768" t="str">
        <f t="shared" si="1641"/>
        <v/>
      </c>
      <c r="JG162" s="769" t="str">
        <f t="shared" si="1642"/>
        <v/>
      </c>
      <c r="JH162" s="768" t="str">
        <f t="shared" si="1643"/>
        <v/>
      </c>
      <c r="JI162" s="769" t="str">
        <f t="shared" si="1644"/>
        <v/>
      </c>
      <c r="JJ162" s="768" t="str">
        <f t="shared" ref="JJ162" si="1939">IF(JI162&lt;0,"Invadiu REP-BA-C","")</f>
        <v/>
      </c>
      <c r="JK162" s="769" t="str">
        <f t="shared" si="1646"/>
        <v/>
      </c>
      <c r="JL162" s="768" t="str">
        <f t="shared" si="1647"/>
        <v/>
      </c>
      <c r="JM162" s="769" t="str">
        <f t="shared" si="1648"/>
        <v/>
      </c>
      <c r="JN162" s="768" t="str">
        <f t="shared" si="1649"/>
        <v/>
      </c>
      <c r="JO162" s="769" t="str">
        <f t="shared" si="1650"/>
        <v/>
      </c>
      <c r="JP162" s="768" t="str">
        <f t="shared" si="1651"/>
        <v/>
      </c>
      <c r="JQ162" s="769" t="str">
        <f t="shared" si="1652"/>
        <v/>
      </c>
      <c r="JR162" s="768" t="str">
        <f t="shared" ref="JR162" si="1940">IF(JQ162&lt;0,"Invadiu REP-BA-C","")</f>
        <v/>
      </c>
      <c r="JS162" s="769" t="str">
        <f t="shared" si="1654"/>
        <v/>
      </c>
      <c r="JT162" s="768" t="str">
        <f t="shared" si="1655"/>
        <v/>
      </c>
      <c r="JU162" s="769" t="str">
        <f t="shared" si="1656"/>
        <v/>
      </c>
      <c r="JV162" s="768" t="str">
        <f t="shared" si="1657"/>
        <v/>
      </c>
      <c r="JW162" s="769" t="str">
        <f t="shared" si="1658"/>
        <v/>
      </c>
      <c r="JX162" s="768" t="str">
        <f t="shared" si="1659"/>
        <v/>
      </c>
      <c r="JY162" s="768" t="str">
        <f t="shared" si="1660"/>
        <v/>
      </c>
      <c r="JZ162" s="485" t="str">
        <f>IF(JY162="","",IF(AND(C162=$C$164,JY162&lt;&gt;""),Verificarcpf(D162),IF(AND(C162=$C$165,JY162&lt;&gt;""),VerificarCNPJ(D162))))</f>
        <v/>
      </c>
      <c r="KA162" s="768" t="str">
        <f t="shared" si="1661"/>
        <v/>
      </c>
      <c r="KB162" s="485">
        <f t="shared" si="1662"/>
        <v>0</v>
      </c>
      <c r="KC162" s="768">
        <f t="shared" si="1663"/>
        <v>0</v>
      </c>
      <c r="KD162" s="485">
        <f t="shared" si="1664"/>
        <v>0</v>
      </c>
      <c r="KJ162" s="548" t="str">
        <f t="shared" si="1665"/>
        <v/>
      </c>
      <c r="KM162" s="548">
        <f t="array" ref="KM162">IF(SUM((KL162=$KL$3:KL161)*1)=0,KL162,0)</f>
        <v>0</v>
      </c>
      <c r="KR162" s="548" t="str">
        <f t="shared" si="1666"/>
        <v/>
      </c>
      <c r="LC162" s="485" t="str">
        <f t="shared" si="1680"/>
        <v/>
      </c>
      <c r="LP162" s="485" t="str">
        <f t="shared" si="1681"/>
        <v/>
      </c>
      <c r="MC162" s="485" t="str">
        <f t="shared" si="1682"/>
        <v/>
      </c>
      <c r="MP162" s="485" t="str">
        <f t="shared" si="1683"/>
        <v/>
      </c>
      <c r="NC162" s="485" t="str">
        <f t="shared" si="1684"/>
        <v/>
      </c>
      <c r="NP162" s="485" t="str">
        <f t="shared" si="1685"/>
        <v/>
      </c>
      <c r="OC162" s="485" t="str">
        <f t="shared" si="1686"/>
        <v/>
      </c>
    </row>
    <row r="163" spans="1:747" ht="15" customHeight="1" thickBot="1" x14ac:dyDescent="0.25">
      <c r="A163" s="563" t="str">
        <f t="shared" si="1687"/>
        <v/>
      </c>
      <c r="B163" s="564"/>
      <c r="C163" s="565"/>
      <c r="D163" s="752"/>
      <c r="E163" s="566" t="str">
        <f t="shared" si="1529"/>
        <v/>
      </c>
      <c r="F163" s="567" t="str">
        <f t="shared" si="1530"/>
        <v/>
      </c>
      <c r="G163" s="568"/>
      <c r="H163" s="586" t="str">
        <f t="shared" si="1531"/>
        <v/>
      </c>
      <c r="I163" s="609"/>
      <c r="J163" s="570"/>
      <c r="K163" s="569"/>
      <c r="L163" s="570"/>
      <c r="M163" s="564"/>
      <c r="N163" s="571"/>
      <c r="O163" s="572"/>
      <c r="P163" s="573"/>
      <c r="Q163" s="574"/>
      <c r="R163" s="573" t="str">
        <f t="shared" si="1532"/>
        <v/>
      </c>
      <c r="S163" s="666"/>
      <c r="T163" s="965"/>
      <c r="U163" s="580">
        <f t="shared" si="1533"/>
        <v>0</v>
      </c>
      <c r="V163" s="569"/>
      <c r="W163" s="582" t="str">
        <f t="shared" si="1534"/>
        <v/>
      </c>
      <c r="X163" s="479" t="str">
        <f t="shared" si="1535"/>
        <v/>
      </c>
      <c r="Y163" s="582" t="str">
        <f t="shared" si="1536"/>
        <v/>
      </c>
      <c r="Z163" s="317" t="str">
        <f t="shared" si="1537"/>
        <v/>
      </c>
      <c r="AA163" s="317" t="str">
        <f t="shared" si="1538"/>
        <v/>
      </c>
      <c r="AB163" s="317">
        <f t="shared" si="1539"/>
        <v>0</v>
      </c>
      <c r="AC163" s="317" t="str">
        <f t="shared" si="1540"/>
        <v/>
      </c>
      <c r="AD163" s="479"/>
      <c r="AE163" s="479"/>
      <c r="AF163" s="479"/>
      <c r="AG163" s="575"/>
      <c r="AH163" s="822"/>
      <c r="AI163" s="576"/>
      <c r="AJ163" s="662"/>
      <c r="AK163" s="577" t="str">
        <f t="shared" si="1541"/>
        <v/>
      </c>
      <c r="AL163" s="748">
        <f>SUM(AL19,AL35,AL51,AL67,AL83,AL99,AL115,AL131,AL147)</f>
        <v>0</v>
      </c>
      <c r="AM163" s="753">
        <f t="shared" si="1832"/>
        <v>0</v>
      </c>
      <c r="AN163" s="768">
        <f t="shared" si="1542"/>
        <v>0</v>
      </c>
      <c r="AO163" s="798" t="str">
        <f t="shared" si="1543"/>
        <v/>
      </c>
      <c r="AP163" s="768" t="str">
        <f t="shared" si="1544"/>
        <v/>
      </c>
      <c r="AQ163" s="768"/>
      <c r="AR163" s="768"/>
      <c r="AS163" s="803"/>
      <c r="AT163" s="804"/>
      <c r="AU163" s="805"/>
      <c r="AV163" s="806"/>
      <c r="AW163" s="800"/>
      <c r="AX163" s="805"/>
      <c r="AY163" s="806">
        <f t="shared" si="1545"/>
        <v>0</v>
      </c>
      <c r="AZ163" s="768"/>
      <c r="BA163" s="485" t="str">
        <f t="shared" si="1546"/>
        <v/>
      </c>
      <c r="BB163" s="485"/>
      <c r="BC163" s="768"/>
      <c r="BD163" s="768">
        <f t="array" ref="BD163">IF(SUM((BC163=$BC$3:BC162)*1)=0,BC163,0)</f>
        <v>0</v>
      </c>
      <c r="BE163" s="768"/>
      <c r="BF163" s="768"/>
      <c r="BG163" s="768">
        <f t="array" ref="BG163">IF(SUM((BF163=$BF$3:BF162)*1)=0,BF163,0)</f>
        <v>0</v>
      </c>
      <c r="BH163" s="768"/>
      <c r="BI163" s="768"/>
      <c r="BJ163" s="768"/>
      <c r="BK163" s="768"/>
      <c r="BL163" s="768"/>
      <c r="BM163" s="768"/>
      <c r="BN163" s="768"/>
      <c r="BO163" s="768"/>
      <c r="BP163" s="844">
        <f t="shared" si="1547"/>
        <v>0</v>
      </c>
      <c r="BQ163" s="768"/>
      <c r="BR163" s="845"/>
      <c r="BS163" s="768"/>
      <c r="BT163" s="844"/>
      <c r="BU163" s="485"/>
      <c r="BV163" s="485" t="str">
        <f t="shared" si="1548"/>
        <v/>
      </c>
      <c r="BW163" s="485" t="str">
        <f t="shared" si="1576"/>
        <v/>
      </c>
      <c r="BX163" s="485"/>
      <c r="BY163" s="485"/>
      <c r="BZ163" s="485"/>
      <c r="CA163" s="485"/>
      <c r="CB163" s="485"/>
      <c r="CC163" s="485"/>
      <c r="CD163" s="485"/>
      <c r="CE163" s="485"/>
      <c r="CF163" s="485"/>
      <c r="CG163" s="485"/>
      <c r="CH163" s="485"/>
      <c r="CI163" s="485"/>
      <c r="CJ163" s="768" t="str">
        <f t="shared" si="1577"/>
        <v/>
      </c>
      <c r="CK163" s="485"/>
      <c r="CL163" s="768"/>
      <c r="CM163" s="485"/>
      <c r="CN163" s="768"/>
      <c r="CO163" s="768"/>
      <c r="CP163" s="768"/>
      <c r="CQ163" s="768"/>
      <c r="CR163" s="768"/>
      <c r="CS163" s="768"/>
      <c r="CT163" s="768"/>
      <c r="CU163" s="768"/>
      <c r="CV163" s="768"/>
      <c r="CW163" s="846"/>
      <c r="CX163" s="846"/>
      <c r="CY163" s="846">
        <v>160</v>
      </c>
      <c r="CZ163" s="846"/>
      <c r="DA163" s="846"/>
      <c r="DB163" s="846"/>
      <c r="DC163" s="768" t="s">
        <v>903</v>
      </c>
      <c r="DD163" s="768" t="s">
        <v>1063</v>
      </c>
      <c r="DE163" s="485" t="str">
        <f t="shared" si="1578"/>
        <v/>
      </c>
      <c r="DF163" s="485" t="str">
        <f t="shared" si="1579"/>
        <v/>
      </c>
      <c r="DG163" s="485" t="str">
        <f t="shared" si="1580"/>
        <v/>
      </c>
      <c r="DH163" s="485" t="str">
        <f t="shared" si="1581"/>
        <v/>
      </c>
      <c r="DI163" s="485" t="str">
        <f t="shared" si="1582"/>
        <v/>
      </c>
      <c r="DJ163" s="485" t="str">
        <f t="shared" si="1583"/>
        <v/>
      </c>
      <c r="DK163" s="485" t="str">
        <f t="shared" si="1549"/>
        <v/>
      </c>
      <c r="DL163" s="485" t="str">
        <f t="shared" si="1550"/>
        <v/>
      </c>
      <c r="DM163" s="485" t="str">
        <f t="shared" si="1584"/>
        <v/>
      </c>
      <c r="DN163" s="485" t="str">
        <f t="shared" si="1585"/>
        <v/>
      </c>
      <c r="DO163" s="485" t="str">
        <f t="shared" si="1551"/>
        <v/>
      </c>
      <c r="DP163" s="485" t="str">
        <f t="shared" si="1552"/>
        <v/>
      </c>
      <c r="DQ163" s="485" t="str">
        <f t="shared" si="1586"/>
        <v/>
      </c>
      <c r="DR163" s="485" t="str">
        <f t="shared" si="1587"/>
        <v/>
      </c>
      <c r="DS163" s="485" t="str">
        <f t="shared" si="1553"/>
        <v/>
      </c>
      <c r="DT163" s="485" t="str">
        <f t="shared" si="1554"/>
        <v/>
      </c>
      <c r="DU163" s="485" t="str">
        <f t="shared" si="1588"/>
        <v/>
      </c>
      <c r="DV163" s="485" t="str">
        <f t="shared" si="1589"/>
        <v/>
      </c>
      <c r="DW163" s="485" t="str">
        <f t="shared" si="1555"/>
        <v/>
      </c>
      <c r="DX163" s="485" t="str">
        <f t="shared" si="1556"/>
        <v/>
      </c>
      <c r="DY163" s="485" t="str">
        <f t="shared" si="1590"/>
        <v/>
      </c>
      <c r="DZ163" s="485" t="str">
        <f t="shared" si="1591"/>
        <v/>
      </c>
      <c r="EA163" s="485" t="str">
        <f t="shared" si="1557"/>
        <v/>
      </c>
      <c r="EB163" s="485" t="str">
        <f t="shared" si="1558"/>
        <v/>
      </c>
      <c r="EC163" s="485" t="str">
        <f t="shared" si="1559"/>
        <v/>
      </c>
      <c r="ED163" s="485" t="str">
        <f t="shared" si="1560"/>
        <v/>
      </c>
      <c r="EE163" s="485" t="str">
        <f t="shared" si="1561"/>
        <v/>
      </c>
      <c r="EF163" s="485" t="str">
        <f t="shared" si="1562"/>
        <v/>
      </c>
      <c r="EG163" s="485" t="str">
        <f t="shared" si="1563"/>
        <v/>
      </c>
      <c r="EH163" s="485" t="str">
        <f t="shared" si="1564"/>
        <v/>
      </c>
      <c r="EI163" s="485" t="str">
        <f t="shared" si="1565"/>
        <v/>
      </c>
      <c r="EJ163" s="485" t="str">
        <f t="shared" si="1566"/>
        <v/>
      </c>
      <c r="EK163" s="485"/>
      <c r="EL163" s="485"/>
      <c r="EM163" s="485"/>
      <c r="EN163" s="485"/>
      <c r="ET163" s="485"/>
      <c r="EU163" s="485"/>
      <c r="EV163" s="485"/>
      <c r="EW163" s="485"/>
      <c r="EX163" s="768"/>
      <c r="EY163" s="768"/>
      <c r="EZ163" s="768"/>
      <c r="FA163" s="864"/>
      <c r="FB163" s="798">
        <f t="array" ref="FB163">IF(SUM((FA163=$FA$3:FA162)*1)=0,FA163,0)</f>
        <v>0</v>
      </c>
      <c r="FC163" s="864"/>
      <c r="FD163" s="864"/>
      <c r="FE163" s="864">
        <f t="array" ref="FE163">IF(SUM((FD163=$FD$3:FD162)*1)=0,FD163,0)</f>
        <v>0</v>
      </c>
      <c r="FF163" s="864"/>
      <c r="FG163" s="864"/>
      <c r="FH163" s="864"/>
      <c r="FI163" s="798">
        <f t="array" ref="FI163">IF(SUM((FH163=$FH$3:FH162)*1)=0,FH163,0)</f>
        <v>0</v>
      </c>
      <c r="FJ163" s="864"/>
      <c r="FK163" s="864"/>
      <c r="FL163" s="864">
        <f t="array" ref="FL163">IF(SUM((FK163=$FK$3:FK162)*1)=0,FK163,0)</f>
        <v>0</v>
      </c>
      <c r="FM163" s="864"/>
      <c r="FN163" s="864"/>
      <c r="FO163" s="864"/>
      <c r="FP163" s="798">
        <f t="array" ref="FP163">IF(SUM((FO163=$FO$3:FO162)*1)=0,FO163,0)</f>
        <v>0</v>
      </c>
      <c r="FQ163" s="864"/>
      <c r="FR163" s="864"/>
      <c r="FS163" s="864">
        <f t="array" ref="FS163">IF(SUM((FR163=$FR$3:FR162)*1)=0,FR163,0)</f>
        <v>0</v>
      </c>
      <c r="FT163" s="864"/>
      <c r="FU163" s="864"/>
      <c r="FV163" s="864"/>
      <c r="FW163" s="798">
        <f t="array" ref="FW163">IF(SUM((FV163=$FV$3:FV162)*1)=0,FV163,0)</f>
        <v>0</v>
      </c>
      <c r="FX163" s="864"/>
      <c r="FY163" s="864"/>
      <c r="FZ163" s="864">
        <f t="array" ref="FZ163">IF(SUM((FY163=$FY$3:FY162)*1)=0,FY163,0)</f>
        <v>0</v>
      </c>
      <c r="GA163" s="864"/>
      <c r="GB163" s="864"/>
      <c r="GC163" s="864"/>
      <c r="GD163" s="798">
        <f t="array" ref="GD163">IF(SUM((GC163=$GC$3:GC162)*1)=0,GC163,0)</f>
        <v>0</v>
      </c>
      <c r="GE163" s="864"/>
      <c r="GF163" s="864"/>
      <c r="GG163" s="864">
        <f t="array" ref="GG163">IF(SUM((GF163=$GF$3:GF162)*1)=0,GF163,0)</f>
        <v>0</v>
      </c>
      <c r="GH163" s="864"/>
      <c r="GI163" s="864"/>
      <c r="GJ163" s="864"/>
      <c r="GK163" s="798">
        <f t="array" ref="GK163">IF(SUM((GJ163=$GJ$3:GJ162)*1)=0,GJ163,0)</f>
        <v>0</v>
      </c>
      <c r="GL163" s="864"/>
      <c r="GM163" s="864"/>
      <c r="GN163" s="798">
        <f t="array" ref="GN163">IF(SUM((GM163=$GM$3:GM162)*1)=0,GM163,0)</f>
        <v>0</v>
      </c>
      <c r="GO163" s="864"/>
      <c r="GP163" s="864"/>
      <c r="GQ163" s="864"/>
      <c r="GR163" s="798">
        <f t="array" ref="GR163">IF(SUM((GQ163=$GQ$3:GQ162)*1)=0,GQ163,0)</f>
        <v>0</v>
      </c>
      <c r="GS163" s="864"/>
      <c r="GT163" s="864"/>
      <c r="GU163" s="798">
        <f t="array" ref="GU163">IF(SUM((GT163=$GT$3:GT162)*1)=0,GT163,0)</f>
        <v>0</v>
      </c>
      <c r="GV163" s="864"/>
      <c r="GW163" s="864"/>
      <c r="GX163" s="864"/>
      <c r="GY163" s="798">
        <f t="array" ref="GY163">IF(SUM((GX163=$GX$3:GX162)*1)=0,GX163,0)</f>
        <v>0</v>
      </c>
      <c r="GZ163" s="864"/>
      <c r="HA163" s="864"/>
      <c r="HB163" s="798">
        <f t="array" ref="HB163">IF(SUM((HA163=$HA$3:HA162)*1)=0,HA163,0)</f>
        <v>0</v>
      </c>
      <c r="HC163" s="864"/>
      <c r="HD163" s="864"/>
      <c r="HE163" s="769" t="str">
        <f t="shared" si="1667"/>
        <v/>
      </c>
      <c r="HF163" s="768" t="str">
        <f t="shared" ref="HF163" si="1941">IF(HE163&lt;0,"Invadiu REP-BA-C","")</f>
        <v/>
      </c>
      <c r="HG163" s="769" t="str">
        <f t="shared" si="1669"/>
        <v/>
      </c>
      <c r="HH163" s="768" t="str">
        <f t="shared" si="1593"/>
        <v/>
      </c>
      <c r="HI163" s="769" t="str">
        <f t="shared" si="1670"/>
        <v/>
      </c>
      <c r="HJ163" s="768" t="str">
        <f t="shared" si="1594"/>
        <v/>
      </c>
      <c r="HK163" s="769" t="str">
        <f t="shared" si="1671"/>
        <v/>
      </c>
      <c r="HL163" s="768" t="str">
        <f t="shared" si="1595"/>
        <v/>
      </c>
      <c r="HM163" s="769" t="str">
        <f t="shared" si="1596"/>
        <v/>
      </c>
      <c r="HN163" s="768" t="str">
        <f t="shared" ref="HN163" si="1942">IF(HM163&lt;0,"Invadiu REP-BA-C","")</f>
        <v/>
      </c>
      <c r="HO163" s="769" t="str">
        <f t="shared" si="1598"/>
        <v/>
      </c>
      <c r="HP163" s="768" t="str">
        <f t="shared" si="1599"/>
        <v/>
      </c>
      <c r="HQ163" s="769" t="str">
        <f t="shared" si="1600"/>
        <v/>
      </c>
      <c r="HR163" s="768" t="str">
        <f t="shared" si="1601"/>
        <v/>
      </c>
      <c r="HS163" s="769" t="str">
        <f t="shared" si="1602"/>
        <v/>
      </c>
      <c r="HT163" s="768" t="str">
        <f t="shared" si="1603"/>
        <v/>
      </c>
      <c r="HU163" s="769" t="str">
        <f t="shared" si="1604"/>
        <v/>
      </c>
      <c r="HV163" s="768" t="str">
        <f t="shared" ref="HV163" si="1943">IF(HU163&lt;0,"Invadiu REP-BA-C","")</f>
        <v/>
      </c>
      <c r="HW163" s="769" t="str">
        <f t="shared" si="1606"/>
        <v/>
      </c>
      <c r="HX163" s="768" t="str">
        <f t="shared" si="1607"/>
        <v/>
      </c>
      <c r="HY163" s="769" t="str">
        <f t="shared" si="1608"/>
        <v/>
      </c>
      <c r="HZ163" s="768" t="str">
        <f t="shared" si="1609"/>
        <v/>
      </c>
      <c r="IA163" s="769" t="str">
        <f t="shared" si="1610"/>
        <v/>
      </c>
      <c r="IB163" s="768" t="str">
        <f t="shared" si="1611"/>
        <v/>
      </c>
      <c r="IC163" s="769" t="str">
        <f t="shared" si="1612"/>
        <v/>
      </c>
      <c r="ID163" s="768" t="str">
        <f t="shared" ref="ID163" si="1944">IF(IC163&lt;0,"Invadiu REP-BA-C","")</f>
        <v/>
      </c>
      <c r="IE163" s="769" t="str">
        <f t="shared" si="1614"/>
        <v/>
      </c>
      <c r="IF163" s="768" t="str">
        <f t="shared" si="1615"/>
        <v/>
      </c>
      <c r="IG163" s="769" t="str">
        <f t="shared" si="1616"/>
        <v/>
      </c>
      <c r="IH163" s="768" t="str">
        <f t="shared" si="1617"/>
        <v/>
      </c>
      <c r="II163" s="769" t="str">
        <f t="shared" si="1618"/>
        <v/>
      </c>
      <c r="IJ163" s="768" t="str">
        <f t="shared" si="1619"/>
        <v/>
      </c>
      <c r="IK163" s="769" t="str">
        <f t="shared" si="1620"/>
        <v/>
      </c>
      <c r="IL163" s="768" t="str">
        <f t="shared" ref="IL163" si="1945">IF(IK163&lt;0,"Invadiu REP-BA-C","")</f>
        <v/>
      </c>
      <c r="IM163" s="769" t="str">
        <f t="shared" si="1622"/>
        <v/>
      </c>
      <c r="IN163" s="768" t="str">
        <f t="shared" si="1623"/>
        <v/>
      </c>
      <c r="IO163" s="769" t="str">
        <f t="shared" si="1624"/>
        <v/>
      </c>
      <c r="IP163" s="768" t="str">
        <f t="shared" si="1625"/>
        <v/>
      </c>
      <c r="IQ163" s="769" t="str">
        <f t="shared" si="1626"/>
        <v/>
      </c>
      <c r="IR163" s="768" t="str">
        <f t="shared" si="1627"/>
        <v/>
      </c>
      <c r="IS163" s="769" t="str">
        <f t="shared" si="1628"/>
        <v/>
      </c>
      <c r="IT163" s="768" t="str">
        <f t="shared" ref="IT163" si="1946">IF(IS163&lt;0,"Invadiu REP-BA-C","")</f>
        <v/>
      </c>
      <c r="IU163" s="769" t="str">
        <f t="shared" si="1630"/>
        <v/>
      </c>
      <c r="IV163" s="768" t="str">
        <f t="shared" si="1631"/>
        <v/>
      </c>
      <c r="IW163" s="769" t="str">
        <f t="shared" si="1632"/>
        <v/>
      </c>
      <c r="IX163" s="768" t="str">
        <f t="shared" si="1633"/>
        <v/>
      </c>
      <c r="IY163" s="769" t="str">
        <f t="shared" si="1634"/>
        <v/>
      </c>
      <c r="IZ163" s="768" t="str">
        <f t="shared" si="1635"/>
        <v/>
      </c>
      <c r="JA163" s="769" t="str">
        <f t="shared" si="1636"/>
        <v/>
      </c>
      <c r="JB163" s="768" t="str">
        <f t="shared" ref="JB163" si="1947">IF(JA163&lt;0,"Invadiu REP-BA-C","")</f>
        <v/>
      </c>
      <c r="JC163" s="769" t="str">
        <f t="shared" si="1638"/>
        <v/>
      </c>
      <c r="JD163" s="768" t="str">
        <f t="shared" si="1639"/>
        <v/>
      </c>
      <c r="JE163" s="769" t="str">
        <f t="shared" si="1640"/>
        <v/>
      </c>
      <c r="JF163" s="768" t="str">
        <f t="shared" si="1641"/>
        <v/>
      </c>
      <c r="JG163" s="769" t="str">
        <f t="shared" si="1642"/>
        <v/>
      </c>
      <c r="JH163" s="768" t="str">
        <f t="shared" si="1643"/>
        <v/>
      </c>
      <c r="JI163" s="769" t="str">
        <f t="shared" si="1644"/>
        <v/>
      </c>
      <c r="JJ163" s="768" t="str">
        <f t="shared" ref="JJ163" si="1948">IF(JI163&lt;0,"Invadiu REP-BA-C","")</f>
        <v/>
      </c>
      <c r="JK163" s="769" t="str">
        <f t="shared" si="1646"/>
        <v/>
      </c>
      <c r="JL163" s="768" t="str">
        <f t="shared" si="1647"/>
        <v/>
      </c>
      <c r="JM163" s="769" t="str">
        <f t="shared" si="1648"/>
        <v/>
      </c>
      <c r="JN163" s="768" t="str">
        <f t="shared" si="1649"/>
        <v/>
      </c>
      <c r="JO163" s="769" t="str">
        <f t="shared" si="1650"/>
        <v/>
      </c>
      <c r="JP163" s="768" t="str">
        <f t="shared" si="1651"/>
        <v/>
      </c>
      <c r="JQ163" s="769" t="str">
        <f t="shared" si="1652"/>
        <v/>
      </c>
      <c r="JR163" s="768" t="str">
        <f t="shared" ref="JR163" si="1949">IF(JQ163&lt;0,"Invadiu REP-BA-C","")</f>
        <v/>
      </c>
      <c r="JS163" s="769" t="str">
        <f t="shared" si="1654"/>
        <v/>
      </c>
      <c r="JT163" s="768" t="str">
        <f t="shared" si="1655"/>
        <v/>
      </c>
      <c r="JU163" s="769" t="str">
        <f t="shared" si="1656"/>
        <v/>
      </c>
      <c r="JV163" s="768" t="str">
        <f t="shared" si="1657"/>
        <v/>
      </c>
      <c r="JW163" s="769" t="str">
        <f t="shared" si="1658"/>
        <v/>
      </c>
      <c r="JX163" s="768" t="str">
        <f t="shared" si="1659"/>
        <v/>
      </c>
      <c r="JY163" s="768" t="str">
        <f t="shared" si="1660"/>
        <v/>
      </c>
      <c r="JZ163" s="485" t="str">
        <f>IF(JY163="","",IF(AND(C163=$C$164,JY163&lt;&gt;""),Verificarcpf(D163),IF(AND(C163=$C$165,JY163&lt;&gt;""),VerificarCNPJ(D163))))</f>
        <v/>
      </c>
      <c r="KA163" s="768" t="str">
        <f t="shared" si="1661"/>
        <v/>
      </c>
      <c r="KB163" s="485">
        <f t="shared" si="1662"/>
        <v>0</v>
      </c>
      <c r="KC163" s="768">
        <f t="shared" si="1663"/>
        <v>0</v>
      </c>
      <c r="KD163" s="485">
        <f t="shared" si="1664"/>
        <v>0</v>
      </c>
      <c r="KJ163" s="548" t="str">
        <f t="shared" si="1665"/>
        <v/>
      </c>
      <c r="KM163" s="548">
        <f t="array" ref="KM163">IF(SUM((KL163=$KL$3:KL162)*1)=0,KL163,0)</f>
        <v>0</v>
      </c>
      <c r="KR163" s="548" t="str">
        <f t="shared" si="1666"/>
        <v/>
      </c>
      <c r="LC163" s="485" t="str">
        <f t="shared" si="1680"/>
        <v/>
      </c>
      <c r="LP163" s="485" t="str">
        <f t="shared" si="1681"/>
        <v/>
      </c>
      <c r="MC163" s="485" t="str">
        <f t="shared" si="1682"/>
        <v/>
      </c>
      <c r="MP163" s="485" t="str">
        <f t="shared" si="1683"/>
        <v/>
      </c>
      <c r="NC163" s="485" t="str">
        <f t="shared" si="1684"/>
        <v/>
      </c>
      <c r="NP163" s="485" t="str">
        <f t="shared" si="1685"/>
        <v/>
      </c>
      <c r="OC163" s="485" t="str">
        <f t="shared" si="1686"/>
        <v/>
      </c>
    </row>
    <row r="164" spans="1:747" hidden="1" x14ac:dyDescent="0.2">
      <c r="A164" s="994"/>
      <c r="B164" s="994" t="s">
        <v>175</v>
      </c>
      <c r="C164" s="994" t="s">
        <v>544</v>
      </c>
      <c r="D164" s="994"/>
      <c r="E164" s="995" t="s">
        <v>181</v>
      </c>
      <c r="F164" s="994"/>
      <c r="G164" s="994"/>
      <c r="H164" s="994"/>
      <c r="I164" s="994"/>
      <c r="J164" s="994" t="s">
        <v>713</v>
      </c>
      <c r="K164" s="994"/>
      <c r="L164" s="994"/>
      <c r="M164" s="994" t="s">
        <v>175</v>
      </c>
      <c r="N164" s="994" t="s">
        <v>176</v>
      </c>
      <c r="O164" s="994"/>
      <c r="P164" s="994" t="str">
        <f>IF(MENU!$V$13="","",MENU!$V$13)</f>
        <v/>
      </c>
      <c r="Q164" s="994"/>
      <c r="R164" s="994"/>
      <c r="S164" s="994" t="s">
        <v>294</v>
      </c>
      <c r="T164" s="994" t="s">
        <v>293</v>
      </c>
      <c r="U164" s="994" t="s">
        <v>584</v>
      </c>
      <c r="V164" s="994" t="s">
        <v>514</v>
      </c>
      <c r="W164" s="994"/>
      <c r="X164" s="994"/>
      <c r="Y164" s="994"/>
      <c r="Z164" s="994"/>
      <c r="AA164" s="994"/>
      <c r="AB164" s="994"/>
      <c r="AC164" s="994"/>
      <c r="AD164" s="994"/>
      <c r="AE164" s="994"/>
      <c r="AF164" s="994"/>
      <c r="AG164" s="996">
        <f>COUNTIF($AG$4:$AG$163,"SIM")</f>
        <v>0</v>
      </c>
      <c r="AH164" s="994"/>
      <c r="AI164" s="994"/>
      <c r="AJ164" s="994"/>
      <c r="AK164" s="994"/>
      <c r="DG164" s="548" t="str">
        <f>IF(SUM(DG4:DG163)=0,"",SUM(DG4:DG163))</f>
        <v/>
      </c>
      <c r="DH164" s="548" t="str">
        <f>IF(SUM(DH4:DH163)=0,"",SUM(DH4:DH163))</f>
        <v/>
      </c>
      <c r="DK164" s="548" t="str">
        <f>IF(SUM(DK4:DK163)=0,"",SUM(DK4:DK163))</f>
        <v/>
      </c>
      <c r="DL164" s="548" t="str">
        <f>IF(SUM(DL4:DL163)=0,"",SUM(DL4:DL163))</f>
        <v/>
      </c>
      <c r="DO164" s="548" t="str">
        <f>IF(SUM(DO4:DO163)=0,"",SUM(DO4:DO163))</f>
        <v/>
      </c>
      <c r="DP164" s="548" t="str">
        <f>IF(SUM(DP4:DP163)=0,"",SUM(DP4:DP163))</f>
        <v/>
      </c>
      <c r="DS164" s="548" t="str">
        <f>IF(SUM(DS4:DS163)=0,"",SUM(DS4:DS163))</f>
        <v/>
      </c>
      <c r="DT164" s="548" t="str">
        <f>IF(SUM(DT4:DT163)=0,"",SUM(DT4:DT163))</f>
        <v/>
      </c>
      <c r="DW164" s="548" t="str">
        <f>IF(SUM(DW4:DW163)=0,"",SUM(DW4:DW163))</f>
        <v/>
      </c>
      <c r="DX164" s="548" t="str">
        <f>IF(SUM(DX4:DX163)=0,"",SUM(DX4:DX163))</f>
        <v/>
      </c>
      <c r="EA164" s="548" t="str">
        <f>IF(SUM(EA4:EA163)=0,"",SUM(EA4:EA163))</f>
        <v/>
      </c>
      <c r="EB164" s="548" t="str">
        <f>IF(SUM(EB4:EB163)=0,"",SUM(EB4:EB163))</f>
        <v/>
      </c>
      <c r="EE164" s="548" t="str">
        <f>IF(SUM(EE4:EE163)=0,"",SUM(EE4:EE163))</f>
        <v/>
      </c>
      <c r="EF164" s="548" t="str">
        <f>IF(SUM(EF4:EF163)=0,"",SUM(EF4:EF163))</f>
        <v/>
      </c>
      <c r="EI164" s="548" t="str">
        <f>IF(SUM(EI4:EI163)=0,"",SUM(EI4:EI163))</f>
        <v/>
      </c>
      <c r="EJ164" s="548" t="str">
        <f>IF(SUM(EJ4:EJ163)=0,"",SUM(EJ4:EJ163))</f>
        <v/>
      </c>
      <c r="ET164" s="727"/>
      <c r="EU164" s="727"/>
      <c r="EV164" s="727"/>
      <c r="EW164" s="727"/>
      <c r="EX164" s="727"/>
      <c r="HE164" s="769"/>
      <c r="HF164" s="768"/>
      <c r="HG164" s="769"/>
      <c r="HH164" s="768"/>
      <c r="HI164" s="769"/>
      <c r="HJ164" s="768"/>
      <c r="HK164" s="769"/>
      <c r="HM164" s="727"/>
      <c r="HN164" s="727"/>
      <c r="HO164" s="727"/>
      <c r="HP164" s="727"/>
      <c r="HQ164" s="727"/>
      <c r="HR164" s="768"/>
      <c r="HS164" s="768"/>
      <c r="HT164" s="727"/>
      <c r="HU164" s="727"/>
      <c r="HV164" s="727"/>
      <c r="HW164" s="727"/>
      <c r="HX164" s="727"/>
      <c r="HY164" s="727"/>
      <c r="HZ164" s="768"/>
      <c r="IA164" s="768"/>
      <c r="IB164" s="727"/>
      <c r="IC164" s="727"/>
      <c r="ID164" s="727"/>
      <c r="IE164" s="727"/>
      <c r="IF164" s="727"/>
      <c r="IG164" s="727"/>
      <c r="IH164" s="768"/>
      <c r="II164" s="768"/>
      <c r="IJ164" s="727"/>
      <c r="IK164" s="727"/>
      <c r="IL164" s="727"/>
      <c r="IM164" s="727"/>
      <c r="IN164" s="727"/>
      <c r="IO164" s="727"/>
      <c r="IP164" s="768"/>
      <c r="IQ164" s="768"/>
      <c r="IR164" s="727"/>
      <c r="IS164" s="727"/>
      <c r="IT164" s="727"/>
      <c r="IU164" s="727"/>
      <c r="IV164" s="727"/>
      <c r="IW164" s="727"/>
      <c r="IX164" s="768"/>
      <c r="IY164" s="768"/>
      <c r="IZ164" s="727"/>
      <c r="JA164" s="727"/>
      <c r="JB164" s="727"/>
      <c r="JC164" s="727"/>
      <c r="JD164" s="727"/>
      <c r="JE164" s="727"/>
      <c r="JF164" s="768"/>
      <c r="JG164" s="768"/>
      <c r="JH164" s="727"/>
      <c r="JI164" s="727"/>
      <c r="JJ164" s="727"/>
      <c r="JK164" s="727"/>
      <c r="JL164" s="727"/>
      <c r="JM164" s="727"/>
      <c r="JN164" s="768"/>
      <c r="JO164" s="768"/>
      <c r="JP164" s="727"/>
      <c r="JQ164" s="727"/>
      <c r="JR164" s="727"/>
      <c r="JS164" s="727"/>
      <c r="JT164" s="727"/>
      <c r="JU164" s="727"/>
      <c r="JV164" s="768"/>
      <c r="JW164" s="768"/>
      <c r="JX164" s="727"/>
    </row>
    <row r="165" spans="1:747" hidden="1" x14ac:dyDescent="0.2">
      <c r="A165" s="1064"/>
      <c r="B165" s="1064" t="s">
        <v>15068</v>
      </c>
      <c r="C165" s="994" t="s">
        <v>545</v>
      </c>
      <c r="D165" s="1064"/>
      <c r="E165" s="1065" t="s">
        <v>182</v>
      </c>
      <c r="F165" s="1064"/>
      <c r="G165" s="1064"/>
      <c r="H165" s="1064"/>
      <c r="I165" s="1064"/>
      <c r="J165" s="1065" t="s">
        <v>12267</v>
      </c>
      <c r="K165" s="1064"/>
      <c r="L165" s="1064"/>
      <c r="M165" s="1064" t="s">
        <v>180</v>
      </c>
      <c r="N165" s="1064" t="s">
        <v>177</v>
      </c>
      <c r="O165" s="1064"/>
      <c r="P165" s="1064" t="str">
        <f>IF(MENU!$V$15="","",MENU!$V$15)</f>
        <v/>
      </c>
      <c r="Q165" s="1064"/>
      <c r="R165" s="1064"/>
      <c r="S165" s="1064"/>
      <c r="T165" s="1064"/>
      <c r="U165" s="1064"/>
      <c r="V165" s="1064" t="s">
        <v>516</v>
      </c>
      <c r="W165" s="1064"/>
      <c r="X165" s="1064"/>
      <c r="Y165" s="1064"/>
      <c r="Z165" s="1064"/>
      <c r="AA165" s="1064"/>
      <c r="AB165" s="1064"/>
      <c r="AC165" s="1064"/>
      <c r="AD165" s="1064"/>
      <c r="AE165" s="1064"/>
      <c r="AF165" s="1064"/>
      <c r="AG165" s="1064"/>
      <c r="AH165" s="1064"/>
      <c r="AI165" s="1064"/>
      <c r="AJ165" s="1064"/>
      <c r="AK165" s="1064"/>
      <c r="DG165" s="548" t="str">
        <f>IF(OR(DG164="",DG164=0),"","Custeio")</f>
        <v/>
      </c>
      <c r="DH165" s="548" t="str">
        <f>IF(OR(DH164="",DH164=0),"","Capital")</f>
        <v/>
      </c>
      <c r="DK165" s="548" t="str">
        <f>IF(OR(DK164="",DK164=0),"","Custeio")</f>
        <v/>
      </c>
      <c r="DL165" s="548" t="str">
        <f>IF(OR(DL164="",DL164=0),"","Capital")</f>
        <v/>
      </c>
      <c r="DO165" s="548" t="str">
        <f>IF(OR(DO164="",DO164=0),"","Custeio")</f>
        <v/>
      </c>
      <c r="DP165" s="548" t="str">
        <f>IF(OR(DP164="",DP164=0),"","Capital")</f>
        <v/>
      </c>
      <c r="DS165" s="548" t="str">
        <f>IF(OR(DS164="",DS164=0),"","Custeio")</f>
        <v/>
      </c>
      <c r="DT165" s="548" t="str">
        <f>IF(OR(DT164="",DT164=0),"","Capital")</f>
        <v/>
      </c>
      <c r="DW165" s="548" t="str">
        <f>IF(OR(DW164="",DW164=0),"","Custeio")</f>
        <v/>
      </c>
      <c r="DX165" s="548" t="str">
        <f>IF(OR(DX164="",DX164=0),"","Capital")</f>
        <v/>
      </c>
      <c r="EA165" s="548" t="str">
        <f>IF(OR(EA164="",EA164=0),"","Custeio")</f>
        <v/>
      </c>
      <c r="EB165" s="548" t="str">
        <f>IF(OR(EB164="",EB164=0),"","Capital")</f>
        <v/>
      </c>
      <c r="EE165" s="548" t="str">
        <f>IF(OR(EE164="",EE164=0),"","Custeio")</f>
        <v/>
      </c>
      <c r="EF165" s="548" t="str">
        <f>IF(OR(EF164="",EF164=0),"","Capital")</f>
        <v/>
      </c>
      <c r="EI165" s="548" t="str">
        <f>IF(OR(EI164="",EI164=0),"","Custeio")</f>
        <v/>
      </c>
      <c r="EJ165" s="548" t="str">
        <f>IF(OR(EJ164="",EJ164=0),"","Capital")</f>
        <v/>
      </c>
      <c r="ET165" s="727"/>
      <c r="EU165" s="727"/>
      <c r="EV165" s="727"/>
      <c r="EW165" s="727"/>
      <c r="EX165" s="727"/>
      <c r="EY165" s="727"/>
      <c r="EZ165" s="727"/>
      <c r="FA165" s="727"/>
      <c r="HE165" s="548">
        <f>DMIN(HE3:HF163,HE3,HF165:HF166)</f>
        <v>0</v>
      </c>
      <c r="HF165" s="727" t="s">
        <v>1076</v>
      </c>
      <c r="HG165" s="548">
        <f>DMIN(HG3:HH163,HG3,HH165:HH166)</f>
        <v>0</v>
      </c>
      <c r="HH165" s="727" t="s">
        <v>1076</v>
      </c>
      <c r="HI165" s="548">
        <f>DMIN(HI3:HJ163,HI3,HJ165:HJ166)</f>
        <v>0</v>
      </c>
      <c r="HJ165" s="727" t="s">
        <v>1076</v>
      </c>
      <c r="HK165" s="548">
        <f>DMIN(HK3:HL163,HK3,HL165:HL166)</f>
        <v>0</v>
      </c>
      <c r="HL165" s="727" t="s">
        <v>1076</v>
      </c>
      <c r="HM165" s="548">
        <f>DMIN(HM3:HN163,HM3,HN165:HN166)</f>
        <v>0</v>
      </c>
      <c r="HN165" s="727" t="s">
        <v>1076</v>
      </c>
      <c r="HO165" s="548">
        <f>DMIN(HO3:HP163,HO3,HP165:HP166)</f>
        <v>0</v>
      </c>
      <c r="HP165" s="727" t="s">
        <v>1076</v>
      </c>
      <c r="HQ165" s="548">
        <f>DMIN(HQ3:HR163,HQ3,HR165:HR166)</f>
        <v>0</v>
      </c>
      <c r="HR165" s="727" t="s">
        <v>1076</v>
      </c>
      <c r="HS165" s="548">
        <f>DMIN(HS3:HT163,HS3,HT165:HT166)</f>
        <v>0</v>
      </c>
      <c r="HT165" s="727" t="s">
        <v>1076</v>
      </c>
      <c r="HU165" s="548">
        <f>DMIN(HU3:HV163,HU3,HV165:HV166)</f>
        <v>0</v>
      </c>
      <c r="HV165" s="727" t="s">
        <v>1076</v>
      </c>
      <c r="HW165" s="548">
        <f>DMIN(HW3:HX163,HW3,HX165:HX166)</f>
        <v>0</v>
      </c>
      <c r="HX165" s="727" t="s">
        <v>1076</v>
      </c>
      <c r="HY165" s="548">
        <f>DMIN(HY3:HZ163,HY3,HZ165:HZ166)</f>
        <v>0</v>
      </c>
      <c r="HZ165" s="727" t="s">
        <v>1076</v>
      </c>
      <c r="IA165" s="548">
        <f>DMIN(IA3:IB163,IA3,IB165:IB166)</f>
        <v>0</v>
      </c>
      <c r="IB165" s="727" t="s">
        <v>1076</v>
      </c>
      <c r="IC165" s="548">
        <f>DMIN(IC3:ID163,IC3,ID165:ID166)</f>
        <v>0</v>
      </c>
      <c r="ID165" s="727" t="s">
        <v>1076</v>
      </c>
      <c r="IE165" s="548">
        <f>DMIN(IE3:IF163,IE3,IF165:IF166)</f>
        <v>0</v>
      </c>
      <c r="IF165" s="727" t="s">
        <v>1076</v>
      </c>
      <c r="IG165" s="548">
        <f>DMIN(IG3:IH163,IG3,IH165:IH166)</f>
        <v>0</v>
      </c>
      <c r="IH165" s="727" t="s">
        <v>1076</v>
      </c>
      <c r="II165" s="548">
        <f>DMIN(II3:IJ163,II3,IJ165:IJ166)</f>
        <v>0</v>
      </c>
      <c r="IJ165" s="727" t="s">
        <v>1076</v>
      </c>
      <c r="IK165" s="548">
        <f>DMIN(IK3:IL163,IK3,IL165:IL166)</f>
        <v>0</v>
      </c>
      <c r="IL165" s="727" t="s">
        <v>1076</v>
      </c>
      <c r="IM165" s="548">
        <f>DMIN(IM3:IN163,IM3,IN165:IN166)</f>
        <v>0</v>
      </c>
      <c r="IN165" s="727" t="s">
        <v>1076</v>
      </c>
      <c r="IO165" s="548">
        <f>DMIN(IO3:IP163,IO3,IP165:IP166)</f>
        <v>0</v>
      </c>
      <c r="IP165" s="727" t="s">
        <v>1076</v>
      </c>
      <c r="IQ165" s="548">
        <f>DMIN(IQ3:IR163,IQ3,IR165:IR166)</f>
        <v>0</v>
      </c>
      <c r="IR165" s="727" t="s">
        <v>1076</v>
      </c>
      <c r="IS165" s="548">
        <f>DMIN(IS3:IT163,IS3,IT165:IT166)</f>
        <v>0</v>
      </c>
      <c r="IT165" s="727" t="s">
        <v>1076</v>
      </c>
      <c r="IU165" s="548">
        <f>DMIN(IU3:IV163,IU3,IV165:IV166)</f>
        <v>0</v>
      </c>
      <c r="IV165" s="727" t="s">
        <v>1076</v>
      </c>
      <c r="IW165" s="548">
        <f>DMIN(IW3:IX163,IW3,IX165:IX166)</f>
        <v>0</v>
      </c>
      <c r="IX165" s="727" t="s">
        <v>1076</v>
      </c>
      <c r="IY165" s="548">
        <f>DMIN(IY3:IZ163,IY3,IZ165:IZ166)</f>
        <v>0</v>
      </c>
      <c r="IZ165" s="727" t="s">
        <v>1076</v>
      </c>
      <c r="JA165" s="548">
        <f>DMIN(JA3:JB163,JA3,JB165:JB166)</f>
        <v>0</v>
      </c>
      <c r="JB165" s="727" t="s">
        <v>1076</v>
      </c>
      <c r="JC165" s="548">
        <f>DMIN(JC3:JD163,JC3,JD165:JD166)</f>
        <v>0</v>
      </c>
      <c r="JD165" s="727" t="s">
        <v>1076</v>
      </c>
      <c r="JE165" s="548">
        <f>DMIN(JE3:JF163,JE3,JF165:JF166)</f>
        <v>0</v>
      </c>
      <c r="JF165" s="727" t="s">
        <v>1076</v>
      </c>
      <c r="JG165" s="548">
        <f>DMIN(JG3:JH163,JG3,JH165:JH166)</f>
        <v>0</v>
      </c>
      <c r="JH165" s="727" t="s">
        <v>1076</v>
      </c>
      <c r="JI165" s="548">
        <f>DMIN(JI3:JJ163,JI3,JJ165:JJ166)</f>
        <v>0</v>
      </c>
      <c r="JJ165" s="727" t="s">
        <v>1076</v>
      </c>
      <c r="JK165" s="548">
        <f>DMIN(JK3:JL163,JK3,JL165:JL166)</f>
        <v>0</v>
      </c>
      <c r="JL165" s="727" t="s">
        <v>1076</v>
      </c>
      <c r="JM165" s="548">
        <f>DMIN(JM3:JN163,JM3,JN165:JN166)</f>
        <v>0</v>
      </c>
      <c r="JN165" s="727" t="s">
        <v>1076</v>
      </c>
      <c r="JO165" s="548">
        <f>DMIN(JO3:JP163,JO3,JP165:JP166)</f>
        <v>0</v>
      </c>
      <c r="JP165" s="727" t="s">
        <v>1076</v>
      </c>
      <c r="JQ165" s="548">
        <f>DMIN(JQ3:JR163,JQ3,JR165:JR166)</f>
        <v>0</v>
      </c>
      <c r="JR165" s="727" t="s">
        <v>1076</v>
      </c>
      <c r="JS165" s="548">
        <f>DMIN(JS3:JT163,JS3,JT165:JT166)</f>
        <v>0</v>
      </c>
      <c r="JT165" s="727" t="s">
        <v>1076</v>
      </c>
      <c r="JU165" s="548">
        <f>DMIN(JU3:JV163,JU3,JV165:JV166)</f>
        <v>0</v>
      </c>
      <c r="JV165" s="727" t="s">
        <v>1076</v>
      </c>
      <c r="JW165" s="548">
        <f>DMIN(JW3:JX163,JW3,JX165:JX166)</f>
        <v>0</v>
      </c>
      <c r="JX165" s="727" t="s">
        <v>1076</v>
      </c>
    </row>
    <row r="166" spans="1:747" hidden="1" x14ac:dyDescent="0.2">
      <c r="A166" s="1064">
        <f t="shared" ref="A166:A171" si="1950">COUNTIF($A$4:$A$163,B166)</f>
        <v>0</v>
      </c>
      <c r="B166" s="1064" t="s">
        <v>604</v>
      </c>
      <c r="C166" s="994"/>
      <c r="D166" s="1064"/>
      <c r="E166" s="1064"/>
      <c r="F166" s="1064"/>
      <c r="G166" s="1064"/>
      <c r="H166" s="1064"/>
      <c r="I166" s="1064"/>
      <c r="J166" s="1065" t="s">
        <v>706</v>
      </c>
      <c r="K166" s="1064"/>
      <c r="L166" s="1064"/>
      <c r="M166" s="1064"/>
      <c r="N166" s="1064" t="s">
        <v>650</v>
      </c>
      <c r="O166" s="1064"/>
      <c r="P166" s="1064" t="str">
        <f>IF(MENU!$W$13="","",MENU!$W$13)</f>
        <v/>
      </c>
      <c r="Q166" s="1064"/>
      <c r="R166" s="1064"/>
      <c r="S166" s="1064"/>
      <c r="T166" s="1064"/>
      <c r="U166" s="1064"/>
      <c r="V166" s="1065" t="s">
        <v>1305</v>
      </c>
      <c r="W166" s="1064"/>
      <c r="X166" s="1064"/>
      <c r="Y166" s="1064"/>
      <c r="Z166" s="1064"/>
      <c r="AA166" s="1064"/>
      <c r="AB166" s="1064"/>
      <c r="AC166" s="1064"/>
      <c r="AD166" s="1064"/>
      <c r="AE166" s="1064"/>
      <c r="AF166" s="1064"/>
      <c r="AG166" s="1064"/>
      <c r="AH166" s="1064"/>
      <c r="AI166" s="1064"/>
      <c r="AJ166" s="1064"/>
      <c r="AK166" s="1064"/>
      <c r="HF166" s="727" t="s">
        <v>1077</v>
      </c>
      <c r="HH166" s="727" t="s">
        <v>1078</v>
      </c>
      <c r="HJ166" s="727" t="s">
        <v>1080</v>
      </c>
      <c r="HL166" s="727" t="s">
        <v>1079</v>
      </c>
      <c r="HN166" s="727" t="s">
        <v>1088</v>
      </c>
      <c r="HP166" s="727" t="s">
        <v>1089</v>
      </c>
      <c r="HR166" s="727" t="s">
        <v>1090</v>
      </c>
      <c r="HT166" s="727" t="s">
        <v>1091</v>
      </c>
      <c r="HV166" s="727" t="s">
        <v>1099</v>
      </c>
      <c r="HX166" s="727" t="s">
        <v>1098</v>
      </c>
      <c r="HZ166" s="727" t="s">
        <v>1097</v>
      </c>
      <c r="IB166" s="727" t="s">
        <v>1096</v>
      </c>
      <c r="ID166" s="727" t="s">
        <v>1101</v>
      </c>
      <c r="IF166" s="727" t="s">
        <v>1102</v>
      </c>
      <c r="IH166" s="727" t="s">
        <v>1103</v>
      </c>
      <c r="IJ166" s="727" t="s">
        <v>1104</v>
      </c>
      <c r="IL166" s="727" t="s">
        <v>1108</v>
      </c>
      <c r="IN166" s="727" t="s">
        <v>1107</v>
      </c>
      <c r="IP166" s="727" t="s">
        <v>1106</v>
      </c>
      <c r="IR166" s="727" t="s">
        <v>1105</v>
      </c>
      <c r="IT166" s="727" t="s">
        <v>1118</v>
      </c>
      <c r="IV166" s="727" t="s">
        <v>1119</v>
      </c>
      <c r="IX166" s="727" t="s">
        <v>1120</v>
      </c>
      <c r="IZ166" s="727" t="s">
        <v>1117</v>
      </c>
      <c r="JB166" s="727" t="s">
        <v>12283</v>
      </c>
      <c r="JD166" s="727" t="s">
        <v>12284</v>
      </c>
      <c r="JF166" s="727" t="s">
        <v>12285</v>
      </c>
      <c r="JH166" s="727" t="s">
        <v>12286</v>
      </c>
      <c r="JJ166" s="727" t="s">
        <v>12287</v>
      </c>
      <c r="JL166" s="727" t="s">
        <v>12288</v>
      </c>
      <c r="JN166" s="727" t="s">
        <v>12289</v>
      </c>
      <c r="JP166" s="727" t="s">
        <v>12290</v>
      </c>
      <c r="JR166" s="727" t="s">
        <v>12291</v>
      </c>
      <c r="JT166" s="727" t="s">
        <v>12292</v>
      </c>
      <c r="JV166" s="727" t="s">
        <v>12293</v>
      </c>
      <c r="JX166" s="727" t="s">
        <v>12294</v>
      </c>
    </row>
    <row r="167" spans="1:747" hidden="1" x14ac:dyDescent="0.2">
      <c r="A167" s="994">
        <f t="shared" si="1950"/>
        <v>0</v>
      </c>
      <c r="B167" s="994" t="s">
        <v>173</v>
      </c>
      <c r="C167" s="994"/>
      <c r="D167" s="994"/>
      <c r="E167" s="994"/>
      <c r="F167" s="994" t="s">
        <v>438</v>
      </c>
      <c r="G167" s="994" t="s">
        <v>436</v>
      </c>
      <c r="H167" s="994"/>
      <c r="I167" s="994"/>
      <c r="J167" s="995" t="s">
        <v>707</v>
      </c>
      <c r="K167" s="994"/>
      <c r="L167" s="994"/>
      <c r="M167" s="994" t="s">
        <v>437</v>
      </c>
      <c r="N167" s="994" t="s">
        <v>651</v>
      </c>
      <c r="O167" s="994"/>
      <c r="P167" s="994" t="str">
        <f>IF(MENU!$W$15="","",MENU!$W$15)</f>
        <v/>
      </c>
      <c r="Q167" s="994"/>
      <c r="R167" s="994"/>
      <c r="S167" s="994"/>
      <c r="T167" s="994"/>
      <c r="U167" s="994"/>
      <c r="V167" s="994"/>
      <c r="W167" s="994"/>
      <c r="X167" s="994"/>
      <c r="Y167" s="994"/>
      <c r="Z167" s="994"/>
      <c r="AA167" s="994"/>
      <c r="AB167" s="994"/>
      <c r="AC167" s="994"/>
      <c r="AD167" s="994"/>
      <c r="AE167" s="994"/>
      <c r="AF167" s="994"/>
      <c r="AG167" s="994"/>
      <c r="AH167" s="994"/>
      <c r="AI167" s="994"/>
      <c r="AJ167" s="994"/>
      <c r="AK167" s="994"/>
    </row>
    <row r="168" spans="1:747" hidden="1" x14ac:dyDescent="0.2">
      <c r="A168" s="994">
        <f t="shared" si="1950"/>
        <v>0</v>
      </c>
      <c r="B168" s="994" t="s">
        <v>605</v>
      </c>
      <c r="C168" s="994"/>
      <c r="D168" s="994"/>
      <c r="E168" s="994" t="s">
        <v>439</v>
      </c>
      <c r="F168" s="994">
        <f>COUNTIF(A4:A163,"")</f>
        <v>160</v>
      </c>
      <c r="G168" s="994">
        <f>COUNTIF(G4:G163,"")</f>
        <v>160</v>
      </c>
      <c r="H168" s="994"/>
      <c r="I168" s="994"/>
      <c r="J168" s="995" t="s">
        <v>708</v>
      </c>
      <c r="K168" s="994"/>
      <c r="L168" s="994"/>
      <c r="M168" s="994">
        <f>COUNTIF(M4:M163,"")</f>
        <v>160</v>
      </c>
      <c r="N168" s="994" t="s">
        <v>448</v>
      </c>
      <c r="O168" s="994"/>
      <c r="P168" s="994" t="str">
        <f>IF(MENU!$X$13="","",MENU!$X$13)</f>
        <v/>
      </c>
      <c r="Q168" s="994"/>
      <c r="R168" s="994"/>
      <c r="S168" s="994"/>
      <c r="T168" s="994"/>
      <c r="U168" s="994"/>
      <c r="V168" s="994"/>
      <c r="W168" s="994"/>
      <c r="X168" s="994"/>
      <c r="Y168" s="994"/>
      <c r="Z168" s="994"/>
      <c r="AA168" s="994"/>
      <c r="AB168" s="994"/>
      <c r="AC168" s="994"/>
      <c r="AD168" s="994"/>
      <c r="AE168" s="994"/>
      <c r="AF168" s="994"/>
      <c r="AG168" s="994"/>
      <c r="AH168" s="994"/>
      <c r="AI168" s="994"/>
      <c r="AJ168" s="994"/>
      <c r="AK168" s="994"/>
    </row>
    <row r="169" spans="1:747" hidden="1" x14ac:dyDescent="0.2">
      <c r="A169" s="994">
        <f t="shared" si="1950"/>
        <v>0</v>
      </c>
      <c r="B169" s="994" t="s">
        <v>174</v>
      </c>
      <c r="C169" s="994"/>
      <c r="D169" s="994"/>
      <c r="E169" s="994" t="s">
        <v>440</v>
      </c>
      <c r="F169" s="994">
        <v>160</v>
      </c>
      <c r="G169" s="994">
        <v>160</v>
      </c>
      <c r="H169" s="994"/>
      <c r="I169" s="994"/>
      <c r="J169" s="995" t="s">
        <v>12268</v>
      </c>
      <c r="K169" s="994"/>
      <c r="L169" s="994"/>
      <c r="M169" s="994">
        <v>160</v>
      </c>
      <c r="N169" s="994" t="s">
        <v>649</v>
      </c>
      <c r="O169" s="994"/>
      <c r="P169" s="994" t="str">
        <f>IF(MENU!$X$15="","",MENU!$X$15)</f>
        <v/>
      </c>
      <c r="Q169" s="994"/>
      <c r="R169" s="994"/>
      <c r="S169" s="994"/>
      <c r="T169" s="994"/>
      <c r="U169" s="994"/>
      <c r="V169" s="994"/>
      <c r="W169" s="994"/>
      <c r="X169" s="994"/>
      <c r="Y169" s="994"/>
      <c r="Z169" s="994"/>
      <c r="AA169" s="994"/>
      <c r="AB169" s="994"/>
      <c r="AC169" s="994"/>
      <c r="AD169" s="994"/>
      <c r="AE169" s="994"/>
      <c r="AF169" s="994"/>
      <c r="AG169" s="994"/>
      <c r="AH169" s="994"/>
      <c r="AI169" s="994"/>
      <c r="AJ169" s="994"/>
      <c r="AK169" s="994"/>
    </row>
    <row r="170" spans="1:747" hidden="1" x14ac:dyDescent="0.2">
      <c r="A170" s="994">
        <f t="shared" si="1950"/>
        <v>0</v>
      </c>
      <c r="B170" s="994" t="s">
        <v>430</v>
      </c>
      <c r="C170" s="994"/>
      <c r="D170" s="994"/>
      <c r="E170" s="994" t="s">
        <v>441</v>
      </c>
      <c r="F170" s="994">
        <f>F169-F168</f>
        <v>0</v>
      </c>
      <c r="G170" s="994">
        <f>G169-G168</f>
        <v>0</v>
      </c>
      <c r="H170" s="994"/>
      <c r="I170" s="994"/>
      <c r="J170" s="994" t="s">
        <v>12316</v>
      </c>
      <c r="K170" s="994"/>
      <c r="L170" s="994"/>
      <c r="M170" s="994">
        <f>M169-M168</f>
        <v>0</v>
      </c>
      <c r="N170" s="994" t="s">
        <v>108</v>
      </c>
      <c r="O170" s="994"/>
      <c r="P170" s="994" t="str">
        <f>IF(MENU!$Y$13="","",MENU!$Y$13)</f>
        <v/>
      </c>
      <c r="Q170" s="994"/>
      <c r="R170" s="994"/>
      <c r="S170" s="994"/>
      <c r="T170" s="994"/>
      <c r="U170" s="994"/>
      <c r="V170" s="994"/>
      <c r="W170" s="994"/>
      <c r="X170" s="994"/>
      <c r="Y170" s="994"/>
      <c r="Z170" s="994"/>
      <c r="AA170" s="994"/>
      <c r="AB170" s="994"/>
      <c r="AC170" s="994"/>
      <c r="AD170" s="994"/>
      <c r="AE170" s="994"/>
      <c r="AF170" s="994"/>
      <c r="AG170" s="994"/>
      <c r="AH170" s="994"/>
      <c r="AI170" s="994"/>
      <c r="AJ170" s="994"/>
      <c r="AK170" s="994"/>
    </row>
    <row r="171" spans="1:747" hidden="1" x14ac:dyDescent="0.2">
      <c r="A171" s="994">
        <f t="shared" si="1950"/>
        <v>0</v>
      </c>
      <c r="B171" s="994"/>
      <c r="C171" s="994"/>
      <c r="D171" s="994"/>
      <c r="E171" s="994"/>
      <c r="F171" s="994"/>
      <c r="G171" s="994"/>
      <c r="H171" s="994"/>
      <c r="I171" s="994"/>
      <c r="J171" s="994" t="s">
        <v>724</v>
      </c>
      <c r="K171" s="994"/>
      <c r="L171" s="994"/>
      <c r="M171" s="994"/>
      <c r="N171" s="994" t="s">
        <v>172</v>
      </c>
      <c r="O171" s="994"/>
      <c r="P171" s="994" t="str">
        <f>IF(MENU!$Y$15="","",MENU!$Y$15)</f>
        <v/>
      </c>
      <c r="Q171" s="994"/>
      <c r="R171" s="994"/>
      <c r="S171" s="994"/>
      <c r="T171" s="994"/>
      <c r="U171" s="994"/>
      <c r="V171" s="994"/>
      <c r="W171" s="994"/>
      <c r="X171" s="994"/>
      <c r="Y171" s="994"/>
      <c r="Z171" s="994"/>
      <c r="AA171" s="994"/>
      <c r="AB171" s="994"/>
      <c r="AC171" s="994"/>
      <c r="AD171" s="994"/>
      <c r="AE171" s="994"/>
      <c r="AF171" s="994"/>
      <c r="AG171" s="994"/>
      <c r="AH171" s="994"/>
      <c r="AI171" s="994"/>
      <c r="AJ171" s="994"/>
      <c r="AK171" s="994"/>
    </row>
    <row r="172" spans="1:747" hidden="1" x14ac:dyDescent="0.2">
      <c r="A172" s="994"/>
      <c r="B172" s="994"/>
      <c r="C172" s="994"/>
      <c r="D172" s="994"/>
      <c r="E172" s="994"/>
      <c r="F172" s="994">
        <f>F170-G170</f>
        <v>0</v>
      </c>
      <c r="G172" s="994">
        <f>G170-M170</f>
        <v>0</v>
      </c>
      <c r="H172" s="994"/>
      <c r="I172" s="994"/>
      <c r="J172" s="994" t="s">
        <v>709</v>
      </c>
      <c r="K172" s="994"/>
      <c r="L172" s="994"/>
      <c r="M172" s="994">
        <f>F170-M170</f>
        <v>0</v>
      </c>
      <c r="N172" s="994" t="s">
        <v>178</v>
      </c>
      <c r="O172" s="994"/>
      <c r="P172" s="994" t="str">
        <f>IF(MENU!$Z$13="","",MENU!$Z$13)</f>
        <v/>
      </c>
      <c r="Q172" s="994"/>
      <c r="R172" s="994"/>
      <c r="S172" s="994"/>
      <c r="T172" s="994"/>
      <c r="U172" s="994"/>
      <c r="V172" s="994"/>
      <c r="W172" s="994"/>
      <c r="X172" s="994"/>
      <c r="Y172" s="994"/>
      <c r="Z172" s="994"/>
      <c r="AA172" s="994"/>
      <c r="AB172" s="994"/>
      <c r="AC172" s="994"/>
      <c r="AD172" s="994"/>
      <c r="AE172" s="994"/>
      <c r="AF172" s="994"/>
      <c r="AG172" s="994"/>
      <c r="AH172" s="994"/>
      <c r="AI172" s="994"/>
      <c r="AJ172" s="994"/>
      <c r="AK172" s="994"/>
    </row>
    <row r="173" spans="1:747" hidden="1" x14ac:dyDescent="0.2">
      <c r="A173" s="994"/>
      <c r="B173" s="994"/>
      <c r="C173" s="994"/>
      <c r="D173" s="994"/>
      <c r="E173" s="994"/>
      <c r="F173" s="994"/>
      <c r="G173" s="994"/>
      <c r="H173" s="994"/>
      <c r="I173" s="994"/>
      <c r="J173" s="994"/>
      <c r="K173" s="994"/>
      <c r="L173" s="994"/>
      <c r="M173" s="994"/>
      <c r="N173" s="994" t="s">
        <v>179</v>
      </c>
      <c r="O173" s="994">
        <f>COUNTIF($N$4:$N$163,N173)</f>
        <v>0</v>
      </c>
      <c r="P173" s="994" t="str">
        <f>IF(MENU!$Z$15="","",MENU!$Z$15)</f>
        <v/>
      </c>
      <c r="Q173" s="994"/>
      <c r="R173" s="994"/>
      <c r="S173" s="994"/>
      <c r="T173" s="994"/>
      <c r="U173" s="994"/>
      <c r="V173" s="994"/>
      <c r="W173" s="994"/>
      <c r="X173" s="994"/>
      <c r="Y173" s="994"/>
      <c r="Z173" s="994"/>
      <c r="AA173" s="994"/>
      <c r="AB173" s="994"/>
      <c r="AC173" s="994"/>
      <c r="AD173" s="994"/>
      <c r="AE173" s="994"/>
      <c r="AF173" s="994"/>
      <c r="AG173" s="994"/>
      <c r="AH173" s="994"/>
      <c r="AI173" s="994"/>
      <c r="AJ173" s="994"/>
      <c r="AK173" s="994"/>
    </row>
    <row r="174" spans="1:747" hidden="1" x14ac:dyDescent="0.2">
      <c r="A174" s="994"/>
      <c r="B174" s="994"/>
      <c r="C174" s="994"/>
      <c r="D174" s="994"/>
      <c r="E174" s="994"/>
      <c r="F174" s="994">
        <f>F172-G172-M172</f>
        <v>0</v>
      </c>
      <c r="G174" s="994"/>
      <c r="H174" s="994"/>
      <c r="I174" s="994"/>
      <c r="J174" s="994"/>
      <c r="K174" s="994"/>
      <c r="L174" s="994"/>
      <c r="M174" s="994"/>
      <c r="N174" s="994"/>
      <c r="O174" s="994"/>
      <c r="P174" s="994" t="str">
        <f>IF(MENU!$AA$13="","",MENU!$AA$13)</f>
        <v/>
      </c>
      <c r="Q174" s="994"/>
      <c r="R174" s="994"/>
      <c r="S174" s="994"/>
      <c r="T174" s="994"/>
      <c r="U174" s="994"/>
      <c r="V174" s="994"/>
      <c r="W174" s="994"/>
      <c r="X174" s="994"/>
      <c r="Y174" s="994"/>
      <c r="Z174" s="994"/>
      <c r="AA174" s="994"/>
      <c r="AB174" s="994"/>
      <c r="AC174" s="994"/>
      <c r="AD174" s="994"/>
      <c r="AE174" s="994"/>
      <c r="AF174" s="994"/>
      <c r="AG174" s="994"/>
      <c r="AH174" s="994"/>
      <c r="AI174" s="994"/>
      <c r="AJ174" s="994"/>
      <c r="AK174" s="994"/>
    </row>
    <row r="175" spans="1:747" hidden="1" x14ac:dyDescent="0.2">
      <c r="A175" s="994"/>
      <c r="B175" s="994"/>
      <c r="C175" s="994"/>
      <c r="D175" s="994"/>
      <c r="E175" s="994"/>
      <c r="F175" s="994"/>
      <c r="G175" s="994"/>
      <c r="H175" s="994"/>
      <c r="I175" s="994"/>
      <c r="J175" s="994"/>
      <c r="K175" s="994"/>
      <c r="L175" s="994"/>
      <c r="M175" s="994"/>
      <c r="N175" s="994"/>
      <c r="O175" s="994"/>
      <c r="P175" s="994" t="str">
        <f>IF(MENU!$AA$15="","",MENU!$AA$15)</f>
        <v/>
      </c>
      <c r="Q175" s="994"/>
      <c r="R175" s="994"/>
      <c r="S175" s="994"/>
      <c r="T175" s="994"/>
      <c r="U175" s="994"/>
      <c r="V175" s="994"/>
      <c r="W175" s="994"/>
      <c r="X175" s="994"/>
      <c r="Y175" s="994"/>
      <c r="Z175" s="994"/>
      <c r="AA175" s="994"/>
      <c r="AB175" s="994"/>
      <c r="AC175" s="994"/>
      <c r="AD175" s="994"/>
      <c r="AE175" s="994"/>
      <c r="AF175" s="994"/>
      <c r="AG175" s="994"/>
      <c r="AH175" s="994"/>
      <c r="AI175" s="994"/>
      <c r="AJ175" s="994"/>
      <c r="AK175" s="994"/>
    </row>
    <row r="176" spans="1:747" hidden="1" x14ac:dyDescent="0.2">
      <c r="A176" s="994"/>
      <c r="B176" s="994"/>
      <c r="C176" s="994"/>
      <c r="D176" s="994"/>
      <c r="E176" s="994"/>
      <c r="F176" s="994"/>
      <c r="G176" s="994"/>
      <c r="H176" s="994"/>
      <c r="I176" s="994"/>
      <c r="J176" s="994"/>
      <c r="K176" s="994"/>
      <c r="L176" s="994"/>
      <c r="M176" s="994"/>
      <c r="N176" s="994"/>
      <c r="O176" s="994"/>
      <c r="P176" s="994" t="str">
        <f>IF(MENU!$AB$13="","",MENU!$AB$13)</f>
        <v/>
      </c>
      <c r="Q176" s="994"/>
      <c r="R176" s="994"/>
      <c r="S176" s="994"/>
      <c r="T176" s="994"/>
      <c r="U176" s="994"/>
      <c r="V176" s="994"/>
      <c r="W176" s="994"/>
      <c r="X176" s="994"/>
      <c r="Y176" s="994"/>
      <c r="Z176" s="994"/>
      <c r="AA176" s="994"/>
      <c r="AB176" s="994"/>
      <c r="AC176" s="994"/>
      <c r="AD176" s="994"/>
      <c r="AE176" s="994"/>
      <c r="AF176" s="994"/>
      <c r="AG176" s="994"/>
      <c r="AH176" s="994"/>
      <c r="AI176" s="994"/>
      <c r="AJ176" s="994"/>
      <c r="AK176" s="994"/>
    </row>
    <row r="177" spans="1:37" hidden="1" x14ac:dyDescent="0.2">
      <c r="A177" s="994"/>
      <c r="B177" s="994"/>
      <c r="C177" s="994"/>
      <c r="D177" s="994"/>
      <c r="E177" s="994"/>
      <c r="F177" s="994"/>
      <c r="G177" s="994"/>
      <c r="H177" s="994"/>
      <c r="I177" s="994"/>
      <c r="J177" s="994" t="s">
        <v>713</v>
      </c>
      <c r="K177" s="994"/>
      <c r="L177" s="994"/>
      <c r="M177" s="994"/>
      <c r="N177" s="994"/>
      <c r="O177" s="994"/>
      <c r="P177" s="994" t="str">
        <f>IF(MENU!$AB$15="","",MENU!$AB$15)</f>
        <v/>
      </c>
      <c r="Q177" s="994"/>
      <c r="R177" s="994"/>
      <c r="S177" s="994"/>
      <c r="T177" s="994"/>
      <c r="U177" s="994"/>
      <c r="V177" s="994"/>
      <c r="W177" s="994"/>
      <c r="X177" s="994"/>
      <c r="Y177" s="994"/>
      <c r="Z177" s="994"/>
      <c r="AA177" s="994"/>
      <c r="AB177" s="994"/>
      <c r="AC177" s="994"/>
      <c r="AD177" s="994"/>
      <c r="AE177" s="994"/>
      <c r="AF177" s="994"/>
      <c r="AG177" s="994"/>
      <c r="AH177" s="994"/>
      <c r="AI177" s="994"/>
      <c r="AJ177" s="994"/>
      <c r="AK177" s="994"/>
    </row>
    <row r="178" spans="1:37" hidden="1" x14ac:dyDescent="0.2">
      <c r="A178" s="994"/>
      <c r="B178" s="994"/>
      <c r="C178" s="994"/>
      <c r="D178" s="994"/>
      <c r="E178" s="994"/>
      <c r="F178" s="994"/>
      <c r="G178" s="994"/>
      <c r="H178" s="994"/>
      <c r="I178" s="994"/>
      <c r="J178" s="995" t="s">
        <v>707</v>
      </c>
      <c r="K178" s="994"/>
      <c r="L178" s="994"/>
      <c r="M178" s="994"/>
      <c r="N178" s="994"/>
      <c r="O178" s="994"/>
      <c r="P178" s="994" t="str">
        <f>IF(MENU!$AC$13="","",MENU!$AC$13)</f>
        <v/>
      </c>
      <c r="Q178" s="994"/>
      <c r="R178" s="994"/>
      <c r="S178" s="994"/>
      <c r="T178" s="994"/>
      <c r="U178" s="994"/>
      <c r="V178" s="994"/>
      <c r="W178" s="994"/>
      <c r="X178" s="994"/>
      <c r="Y178" s="994"/>
      <c r="Z178" s="994"/>
      <c r="AA178" s="994"/>
      <c r="AB178" s="994"/>
      <c r="AC178" s="994"/>
      <c r="AD178" s="994"/>
      <c r="AE178" s="994"/>
      <c r="AF178" s="994"/>
      <c r="AG178" s="994"/>
      <c r="AH178" s="994"/>
      <c r="AI178" s="994"/>
      <c r="AJ178" s="994"/>
      <c r="AK178" s="994"/>
    </row>
    <row r="179" spans="1:37" hidden="1" x14ac:dyDescent="0.2">
      <c r="A179" s="994"/>
      <c r="B179" s="994"/>
      <c r="C179" s="994"/>
      <c r="D179" s="994"/>
      <c r="E179" s="994"/>
      <c r="F179" s="994"/>
      <c r="G179" s="994"/>
      <c r="H179" s="994"/>
      <c r="I179" s="994"/>
      <c r="J179" s="995" t="s">
        <v>708</v>
      </c>
      <c r="K179" s="994"/>
      <c r="L179" s="994"/>
      <c r="M179" s="994"/>
      <c r="N179" s="994"/>
      <c r="O179" s="994"/>
      <c r="P179" s="994" t="str">
        <f>IF(MENU!$AC$15="","",MENU!$AC$15)</f>
        <v/>
      </c>
      <c r="Q179" s="994"/>
      <c r="R179" s="994"/>
      <c r="S179" s="994"/>
      <c r="T179" s="994"/>
      <c r="U179" s="994"/>
      <c r="V179" s="994"/>
      <c r="W179" s="994"/>
      <c r="X179" s="994"/>
      <c r="Y179" s="994"/>
      <c r="Z179" s="994"/>
      <c r="AA179" s="994"/>
      <c r="AB179" s="994"/>
      <c r="AC179" s="994"/>
      <c r="AD179" s="994"/>
      <c r="AE179" s="994"/>
      <c r="AF179" s="994"/>
      <c r="AG179" s="994"/>
      <c r="AH179" s="994"/>
      <c r="AI179" s="994"/>
      <c r="AJ179" s="994"/>
      <c r="AK179" s="994"/>
    </row>
    <row r="180" spans="1:37" hidden="1" x14ac:dyDescent="0.2">
      <c r="A180" s="994"/>
      <c r="B180" s="994"/>
      <c r="C180" s="994"/>
      <c r="D180" s="994"/>
      <c r="E180" s="994"/>
      <c r="F180" s="994"/>
      <c r="G180" s="994"/>
      <c r="H180" s="994"/>
      <c r="I180" s="994"/>
      <c r="J180" s="995" t="s">
        <v>12268</v>
      </c>
      <c r="K180" s="994"/>
      <c r="L180" s="994"/>
      <c r="M180" s="994"/>
      <c r="N180" s="994"/>
      <c r="O180" s="994"/>
      <c r="P180" s="994" t="str">
        <f>IF(MENU!$AD$13="","",MENU!$AD$13)</f>
        <v/>
      </c>
      <c r="Q180" s="994"/>
      <c r="R180" s="994"/>
      <c r="S180" s="994"/>
      <c r="T180" s="994"/>
      <c r="U180" s="994"/>
      <c r="V180" s="994"/>
      <c r="W180" s="994"/>
      <c r="X180" s="994"/>
      <c r="Y180" s="994"/>
      <c r="Z180" s="994"/>
      <c r="AA180" s="994"/>
      <c r="AB180" s="994"/>
      <c r="AC180" s="994"/>
      <c r="AD180" s="994"/>
      <c r="AE180" s="994"/>
      <c r="AF180" s="994"/>
      <c r="AG180" s="994"/>
      <c r="AH180" s="994"/>
      <c r="AI180" s="994"/>
      <c r="AJ180" s="994"/>
      <c r="AK180" s="994"/>
    </row>
    <row r="181" spans="1:37" hidden="1" x14ac:dyDescent="0.2">
      <c r="A181" s="994"/>
      <c r="B181" s="994"/>
      <c r="C181" s="994"/>
      <c r="D181" s="994"/>
      <c r="E181" s="994"/>
      <c r="F181" s="994"/>
      <c r="G181" s="994"/>
      <c r="H181" s="994"/>
      <c r="I181" s="994"/>
      <c r="J181" s="995"/>
      <c r="K181" s="994"/>
      <c r="L181" s="994"/>
      <c r="M181" s="994"/>
      <c r="N181" s="994"/>
      <c r="O181" s="994"/>
      <c r="P181" s="994" t="str">
        <f>IF(MENU!$AD$15="","",MENU!$AD$15)</f>
        <v/>
      </c>
      <c r="Q181" s="994"/>
      <c r="R181" s="994"/>
      <c r="S181" s="994"/>
      <c r="T181" s="994"/>
      <c r="U181" s="994"/>
      <c r="V181" s="994"/>
      <c r="W181" s="994"/>
      <c r="X181" s="994"/>
      <c r="Y181" s="994"/>
      <c r="Z181" s="994"/>
      <c r="AA181" s="994"/>
      <c r="AB181" s="994"/>
      <c r="AC181" s="994"/>
      <c r="AD181" s="994"/>
      <c r="AE181" s="994"/>
      <c r="AF181" s="994"/>
      <c r="AG181" s="994"/>
      <c r="AH181" s="994"/>
      <c r="AI181" s="994"/>
      <c r="AJ181" s="994"/>
      <c r="AK181" s="994"/>
    </row>
    <row r="182" spans="1:37" hidden="1" x14ac:dyDescent="0.2">
      <c r="A182" s="994"/>
      <c r="B182" s="994"/>
      <c r="C182" s="994"/>
      <c r="D182" s="994"/>
      <c r="E182" s="994"/>
      <c r="F182" s="994"/>
      <c r="G182" s="994"/>
      <c r="H182" s="994"/>
      <c r="I182" s="994"/>
      <c r="J182" s="995"/>
      <c r="K182" s="994"/>
      <c r="L182" s="994"/>
      <c r="M182" s="994"/>
      <c r="N182" s="994"/>
      <c r="O182" s="994"/>
      <c r="P182" s="994"/>
      <c r="Q182" s="994"/>
      <c r="R182" s="994"/>
      <c r="S182" s="994"/>
      <c r="T182" s="994"/>
      <c r="U182" s="994"/>
      <c r="V182" s="994"/>
      <c r="W182" s="994"/>
      <c r="X182" s="994"/>
      <c r="Y182" s="994"/>
      <c r="Z182" s="994"/>
      <c r="AA182" s="994"/>
      <c r="AB182" s="994"/>
      <c r="AC182" s="994"/>
      <c r="AD182" s="994"/>
      <c r="AE182" s="994"/>
      <c r="AF182" s="994"/>
      <c r="AG182" s="994"/>
      <c r="AH182" s="994"/>
      <c r="AI182" s="994"/>
      <c r="AJ182" s="994"/>
      <c r="AK182" s="994"/>
    </row>
    <row r="183" spans="1:37" hidden="1" x14ac:dyDescent="0.2">
      <c r="A183" s="994"/>
      <c r="B183" s="994"/>
      <c r="C183" s="994"/>
      <c r="D183" s="994"/>
      <c r="E183" s="994"/>
      <c r="F183" s="994"/>
      <c r="G183" s="994"/>
      <c r="H183" s="994"/>
      <c r="I183" s="994"/>
      <c r="J183" s="994"/>
      <c r="K183" s="994"/>
      <c r="L183" s="994"/>
      <c r="M183" s="994"/>
      <c r="N183" s="994"/>
      <c r="O183" s="994"/>
      <c r="P183" s="994"/>
      <c r="Q183" s="994"/>
      <c r="R183" s="994"/>
      <c r="S183" s="994"/>
      <c r="T183" s="994"/>
      <c r="U183" s="994"/>
      <c r="V183" s="994"/>
      <c r="W183" s="994"/>
      <c r="X183" s="994"/>
      <c r="Y183" s="994"/>
      <c r="Z183" s="994"/>
      <c r="AA183" s="994"/>
      <c r="AB183" s="994"/>
      <c r="AC183" s="994"/>
      <c r="AD183" s="994"/>
      <c r="AE183" s="994"/>
      <c r="AF183" s="994"/>
      <c r="AG183" s="994"/>
      <c r="AH183" s="994"/>
      <c r="AI183" s="994"/>
      <c r="AJ183" s="994"/>
      <c r="AK183" s="994"/>
    </row>
    <row r="184" spans="1:37" hidden="1" x14ac:dyDescent="0.2">
      <c r="A184" s="994"/>
      <c r="B184" s="994"/>
      <c r="C184" s="994"/>
      <c r="D184" s="994"/>
      <c r="E184" s="994"/>
      <c r="F184" s="994"/>
      <c r="G184" s="994"/>
      <c r="H184" s="994"/>
      <c r="I184" s="994"/>
      <c r="J184" s="994"/>
      <c r="K184" s="994"/>
      <c r="L184" s="994"/>
      <c r="M184" s="994"/>
      <c r="N184" s="994"/>
      <c r="O184" s="994"/>
      <c r="P184" s="994"/>
      <c r="Q184" s="994"/>
      <c r="R184" s="994"/>
      <c r="S184" s="994"/>
      <c r="T184" s="994"/>
      <c r="U184" s="994"/>
      <c r="V184" s="994"/>
      <c r="W184" s="994"/>
      <c r="X184" s="994"/>
      <c r="Y184" s="994"/>
      <c r="Z184" s="994"/>
      <c r="AA184" s="994"/>
      <c r="AB184" s="994"/>
      <c r="AC184" s="994"/>
      <c r="AD184" s="994"/>
      <c r="AE184" s="994"/>
      <c r="AF184" s="994"/>
      <c r="AG184" s="994"/>
      <c r="AH184" s="994"/>
      <c r="AI184" s="994"/>
      <c r="AJ184" s="994"/>
      <c r="AK184" s="994"/>
    </row>
    <row r="185" spans="1:37" hidden="1" x14ac:dyDescent="0.2">
      <c r="A185" s="994"/>
      <c r="B185" s="994"/>
      <c r="C185" s="994"/>
      <c r="D185" s="994"/>
      <c r="E185" s="994"/>
      <c r="F185" s="994"/>
      <c r="G185" s="994"/>
      <c r="H185" s="994"/>
      <c r="I185" s="994"/>
      <c r="J185" s="994"/>
      <c r="K185" s="994"/>
      <c r="L185" s="994"/>
      <c r="M185" s="994"/>
      <c r="N185" s="994"/>
      <c r="O185" s="994"/>
      <c r="P185" s="994"/>
      <c r="Q185" s="994"/>
      <c r="R185" s="994"/>
      <c r="S185" s="994"/>
      <c r="T185" s="994"/>
      <c r="U185" s="994"/>
      <c r="V185" s="994"/>
      <c r="W185" s="994"/>
      <c r="X185" s="994"/>
      <c r="Y185" s="994"/>
      <c r="Z185" s="994"/>
      <c r="AA185" s="994"/>
      <c r="AB185" s="994"/>
      <c r="AC185" s="994"/>
      <c r="AD185" s="994"/>
      <c r="AE185" s="994"/>
      <c r="AF185" s="994"/>
      <c r="AG185" s="994"/>
      <c r="AH185" s="994"/>
      <c r="AI185" s="994"/>
      <c r="AJ185" s="994"/>
      <c r="AK185" s="994"/>
    </row>
    <row r="186" spans="1:37" hidden="1" x14ac:dyDescent="0.2">
      <c r="A186" s="994"/>
      <c r="B186" s="994"/>
      <c r="C186" s="994"/>
      <c r="D186" s="994"/>
      <c r="E186" s="994"/>
      <c r="F186" s="994"/>
      <c r="G186" s="994"/>
      <c r="H186" s="994"/>
      <c r="I186" s="994"/>
      <c r="J186" s="994"/>
      <c r="K186" s="994"/>
      <c r="L186" s="994"/>
      <c r="M186" s="994"/>
      <c r="N186" s="994"/>
      <c r="O186" s="994"/>
      <c r="P186" s="994"/>
      <c r="Q186" s="994"/>
      <c r="R186" s="994"/>
      <c r="S186" s="994"/>
      <c r="T186" s="994"/>
      <c r="U186" s="994"/>
      <c r="V186" s="994"/>
      <c r="W186" s="994"/>
      <c r="X186" s="994"/>
      <c r="Y186" s="994"/>
      <c r="Z186" s="994"/>
      <c r="AA186" s="994"/>
      <c r="AB186" s="994"/>
      <c r="AC186" s="994"/>
      <c r="AD186" s="994"/>
      <c r="AE186" s="994"/>
      <c r="AF186" s="994"/>
      <c r="AG186" s="994"/>
      <c r="AH186" s="994"/>
      <c r="AI186" s="994"/>
      <c r="AJ186" s="994"/>
      <c r="AK186" s="994"/>
    </row>
    <row r="187" spans="1:37" hidden="1" x14ac:dyDescent="0.2">
      <c r="A187" s="994"/>
      <c r="B187" s="994"/>
      <c r="C187" s="994"/>
      <c r="D187" s="994"/>
      <c r="E187" s="994"/>
      <c r="F187" s="994"/>
      <c r="G187" s="994"/>
      <c r="H187" s="994"/>
      <c r="I187" s="994"/>
      <c r="J187" s="994"/>
      <c r="K187" s="994"/>
      <c r="L187" s="994"/>
      <c r="M187" s="994"/>
      <c r="N187" s="994"/>
      <c r="O187" s="994"/>
      <c r="P187" s="994"/>
      <c r="Q187" s="994"/>
      <c r="R187" s="994"/>
      <c r="S187" s="994"/>
      <c r="T187" s="994"/>
      <c r="U187" s="994"/>
      <c r="V187" s="994"/>
      <c r="W187" s="994"/>
      <c r="X187" s="994"/>
      <c r="Y187" s="994"/>
      <c r="Z187" s="994"/>
      <c r="AA187" s="994"/>
      <c r="AB187" s="994"/>
      <c r="AC187" s="994"/>
      <c r="AD187" s="994"/>
      <c r="AE187" s="994"/>
      <c r="AF187" s="994"/>
      <c r="AG187" s="994"/>
      <c r="AH187" s="994"/>
      <c r="AI187" s="994"/>
      <c r="AJ187" s="994"/>
      <c r="AK187" s="994"/>
    </row>
    <row r="188" spans="1:37" hidden="1" x14ac:dyDescent="0.2">
      <c r="A188" s="994"/>
      <c r="B188" s="994"/>
      <c r="C188" s="994"/>
      <c r="D188" s="994"/>
      <c r="E188" s="994"/>
      <c r="F188" s="994"/>
      <c r="G188" s="994"/>
      <c r="H188" s="994"/>
      <c r="I188" s="994"/>
      <c r="J188" s="994"/>
      <c r="K188" s="994"/>
      <c r="L188" s="994"/>
      <c r="M188" s="994"/>
      <c r="N188" s="994"/>
      <c r="O188" s="994"/>
      <c r="P188" s="994"/>
      <c r="Q188" s="994"/>
      <c r="R188" s="994"/>
      <c r="S188" s="994"/>
      <c r="T188" s="994"/>
      <c r="U188" s="994"/>
      <c r="V188" s="994"/>
      <c r="W188" s="994"/>
      <c r="X188" s="994"/>
      <c r="Y188" s="994"/>
      <c r="Z188" s="994"/>
      <c r="AA188" s="994"/>
      <c r="AB188" s="994"/>
      <c r="AC188" s="994"/>
      <c r="AD188" s="994"/>
      <c r="AE188" s="994"/>
      <c r="AF188" s="994"/>
      <c r="AG188" s="994"/>
      <c r="AH188" s="994"/>
      <c r="AI188" s="994"/>
      <c r="AJ188" s="994"/>
      <c r="AK188" s="994"/>
    </row>
    <row r="189" spans="1:37" hidden="1" x14ac:dyDescent="0.2">
      <c r="A189" s="994"/>
      <c r="B189" s="994"/>
      <c r="C189" s="994"/>
      <c r="D189" s="994"/>
      <c r="E189" s="994"/>
      <c r="F189" s="994"/>
      <c r="G189" s="994"/>
      <c r="H189" s="994"/>
      <c r="I189" s="994"/>
      <c r="J189" s="994"/>
      <c r="K189" s="994"/>
      <c r="L189" s="994"/>
      <c r="M189" s="994"/>
      <c r="N189" s="994"/>
      <c r="O189" s="994"/>
      <c r="P189" s="994"/>
      <c r="Q189" s="994"/>
      <c r="R189" s="994"/>
      <c r="S189" s="994"/>
      <c r="T189" s="994"/>
      <c r="U189" s="994"/>
      <c r="V189" s="994"/>
      <c r="W189" s="994"/>
      <c r="X189" s="994"/>
      <c r="Y189" s="994"/>
      <c r="Z189" s="994"/>
      <c r="AA189" s="994"/>
      <c r="AB189" s="994"/>
      <c r="AC189" s="994"/>
      <c r="AD189" s="994"/>
      <c r="AE189" s="994"/>
      <c r="AF189" s="994"/>
      <c r="AG189" s="994"/>
      <c r="AH189" s="994"/>
      <c r="AI189" s="994"/>
      <c r="AJ189" s="994"/>
      <c r="AK189" s="994"/>
    </row>
    <row r="190" spans="1:37" hidden="1" x14ac:dyDescent="0.2">
      <c r="A190" s="994"/>
      <c r="B190" s="994"/>
      <c r="C190" s="994"/>
      <c r="D190" s="994"/>
      <c r="E190" s="994"/>
      <c r="F190" s="994"/>
      <c r="G190" s="994"/>
      <c r="H190" s="994"/>
      <c r="I190" s="994"/>
      <c r="J190" s="994"/>
      <c r="K190" s="994"/>
      <c r="L190" s="994"/>
      <c r="M190" s="994"/>
      <c r="N190" s="994"/>
      <c r="O190" s="994"/>
      <c r="P190" s="994"/>
      <c r="Q190" s="994"/>
      <c r="R190" s="994"/>
      <c r="S190" s="994"/>
      <c r="T190" s="994"/>
      <c r="U190" s="994"/>
      <c r="V190" s="994"/>
      <c r="W190" s="994"/>
      <c r="X190" s="994"/>
      <c r="Y190" s="994"/>
      <c r="Z190" s="994"/>
      <c r="AA190" s="994"/>
      <c r="AB190" s="994"/>
      <c r="AC190" s="994"/>
      <c r="AD190" s="994"/>
      <c r="AE190" s="994"/>
      <c r="AF190" s="994"/>
      <c r="AG190" s="994"/>
      <c r="AH190" s="994"/>
      <c r="AI190" s="994"/>
      <c r="AJ190" s="994"/>
      <c r="AK190" s="994"/>
    </row>
    <row r="191" spans="1:37" hidden="1" x14ac:dyDescent="0.2">
      <c r="A191" s="994"/>
      <c r="B191" s="994"/>
      <c r="C191" s="994"/>
      <c r="D191" s="994"/>
      <c r="E191" s="994"/>
      <c r="F191" s="994"/>
      <c r="G191" s="994"/>
      <c r="H191" s="994"/>
      <c r="I191" s="994"/>
      <c r="J191" s="994"/>
      <c r="K191" s="994"/>
      <c r="L191" s="994"/>
      <c r="M191" s="994"/>
      <c r="N191" s="994"/>
      <c r="O191" s="994"/>
      <c r="P191" s="994"/>
      <c r="Q191" s="994"/>
      <c r="R191" s="994"/>
      <c r="S191" s="994"/>
      <c r="T191" s="994"/>
      <c r="U191" s="994"/>
      <c r="V191" s="994"/>
      <c r="W191" s="994"/>
      <c r="X191" s="994"/>
      <c r="Y191" s="994"/>
      <c r="Z191" s="994"/>
      <c r="AA191" s="994"/>
      <c r="AB191" s="994"/>
      <c r="AC191" s="994"/>
      <c r="AD191" s="994"/>
      <c r="AE191" s="994"/>
      <c r="AF191" s="994"/>
      <c r="AG191" s="994"/>
      <c r="AH191" s="994"/>
      <c r="AI191" s="994"/>
      <c r="AJ191" s="994"/>
      <c r="AK191" s="994"/>
    </row>
    <row r="192" spans="1:37" hidden="1" x14ac:dyDescent="0.2">
      <c r="A192" s="994"/>
      <c r="B192" s="994"/>
      <c r="C192" s="994"/>
      <c r="D192" s="994"/>
      <c r="E192" s="994"/>
      <c r="F192" s="994"/>
      <c r="G192" s="994"/>
      <c r="H192" s="994"/>
      <c r="I192" s="994"/>
      <c r="J192" s="994"/>
      <c r="K192" s="994"/>
      <c r="L192" s="994"/>
      <c r="M192" s="994"/>
      <c r="N192" s="994"/>
      <c r="O192" s="994"/>
      <c r="P192" s="994"/>
      <c r="Q192" s="994"/>
      <c r="R192" s="994"/>
      <c r="S192" s="994"/>
      <c r="T192" s="994"/>
      <c r="U192" s="994"/>
      <c r="V192" s="994"/>
      <c r="W192" s="994"/>
      <c r="X192" s="994"/>
      <c r="Y192" s="994"/>
      <c r="Z192" s="994"/>
      <c r="AA192" s="994"/>
      <c r="AB192" s="994"/>
      <c r="AC192" s="994"/>
      <c r="AD192" s="994"/>
      <c r="AE192" s="994"/>
      <c r="AF192" s="994"/>
      <c r="AG192" s="994"/>
      <c r="AH192" s="994"/>
      <c r="AI192" s="994"/>
      <c r="AJ192" s="994"/>
      <c r="AK192" s="994"/>
    </row>
    <row r="193" spans="1:37" hidden="1" x14ac:dyDescent="0.2">
      <c r="A193" s="994"/>
      <c r="B193" s="994"/>
      <c r="C193" s="994"/>
      <c r="D193" s="994"/>
      <c r="E193" s="994"/>
      <c r="F193" s="994"/>
      <c r="G193" s="994"/>
      <c r="H193" s="994"/>
      <c r="I193" s="994"/>
      <c r="J193" s="994"/>
      <c r="K193" s="994"/>
      <c r="L193" s="994"/>
      <c r="M193" s="994"/>
      <c r="N193" s="994"/>
      <c r="O193" s="994"/>
      <c r="P193" s="994"/>
      <c r="Q193" s="994"/>
      <c r="R193" s="994"/>
      <c r="S193" s="994"/>
      <c r="T193" s="994"/>
      <c r="U193" s="994"/>
      <c r="V193" s="994"/>
      <c r="W193" s="994"/>
      <c r="X193" s="994"/>
      <c r="Y193" s="994"/>
      <c r="Z193" s="994"/>
      <c r="AA193" s="994"/>
      <c r="AB193" s="994"/>
      <c r="AC193" s="994"/>
      <c r="AD193" s="994"/>
      <c r="AE193" s="994"/>
      <c r="AF193" s="994"/>
      <c r="AG193" s="994"/>
      <c r="AH193" s="994"/>
      <c r="AI193" s="994"/>
      <c r="AJ193" s="994"/>
      <c r="AK193" s="994"/>
    </row>
    <row r="194" spans="1:37" hidden="1" x14ac:dyDescent="0.2">
      <c r="A194" s="998"/>
      <c r="B194" s="998"/>
      <c r="C194" s="998"/>
      <c r="D194" s="998"/>
      <c r="E194" s="998"/>
      <c r="F194" s="998"/>
      <c r="G194" s="998"/>
      <c r="H194" s="998"/>
      <c r="I194" s="998"/>
      <c r="J194" s="998"/>
      <c r="K194" s="998"/>
      <c r="L194" s="998"/>
      <c r="M194" s="998"/>
      <c r="N194" s="998"/>
      <c r="O194" s="998"/>
      <c r="P194" s="998"/>
      <c r="Q194" s="998"/>
      <c r="R194" s="998"/>
      <c r="S194" s="998"/>
      <c r="T194" s="998"/>
      <c r="U194" s="998"/>
      <c r="V194" s="998"/>
      <c r="W194" s="998"/>
      <c r="X194" s="998"/>
      <c r="Y194" s="998"/>
      <c r="Z194" s="998"/>
      <c r="AA194" s="998"/>
      <c r="AB194" s="998"/>
      <c r="AC194" s="998"/>
      <c r="AD194" s="998"/>
      <c r="AE194" s="998"/>
      <c r="AF194" s="998"/>
      <c r="AG194" s="998"/>
      <c r="AH194" s="998"/>
      <c r="AI194" s="998"/>
      <c r="AJ194" s="998"/>
      <c r="AK194" s="998"/>
    </row>
    <row r="195" spans="1:37" hidden="1" x14ac:dyDescent="0.2">
      <c r="A195" s="998"/>
      <c r="B195" s="998"/>
      <c r="C195" s="998"/>
      <c r="D195" s="998"/>
      <c r="E195" s="998"/>
      <c r="F195" s="998"/>
      <c r="G195" s="998"/>
      <c r="H195" s="998"/>
      <c r="I195" s="998"/>
      <c r="J195" s="998"/>
      <c r="K195" s="998"/>
      <c r="L195" s="998"/>
      <c r="M195" s="998"/>
      <c r="N195" s="998"/>
      <c r="O195" s="998"/>
      <c r="P195" s="998"/>
      <c r="Q195" s="998"/>
      <c r="R195" s="998"/>
      <c r="S195" s="998"/>
      <c r="T195" s="998"/>
      <c r="U195" s="998"/>
      <c r="V195" s="998"/>
      <c r="W195" s="998"/>
      <c r="X195" s="998"/>
      <c r="Y195" s="998"/>
      <c r="Z195" s="998"/>
      <c r="AA195" s="998"/>
      <c r="AB195" s="998"/>
      <c r="AC195" s="998"/>
      <c r="AD195" s="998"/>
      <c r="AE195" s="998"/>
      <c r="AF195" s="998"/>
      <c r="AG195" s="998"/>
      <c r="AH195" s="998"/>
      <c r="AI195" s="998"/>
      <c r="AJ195" s="998"/>
      <c r="AK195" s="998"/>
    </row>
    <row r="196" spans="1:37" hidden="1" x14ac:dyDescent="0.2">
      <c r="A196" s="998"/>
      <c r="B196" s="998"/>
      <c r="C196" s="998"/>
      <c r="D196" s="998"/>
      <c r="E196" s="998"/>
      <c r="F196" s="998"/>
      <c r="G196" s="998"/>
      <c r="H196" s="998"/>
      <c r="I196" s="998"/>
      <c r="J196" s="998"/>
      <c r="K196" s="998"/>
      <c r="L196" s="998"/>
      <c r="M196" s="998"/>
      <c r="N196" s="998"/>
      <c r="O196" s="998"/>
      <c r="P196" s="998"/>
      <c r="Q196" s="998"/>
      <c r="R196" s="998"/>
      <c r="S196" s="998"/>
      <c r="T196" s="998"/>
      <c r="U196" s="998"/>
      <c r="V196" s="998"/>
      <c r="W196" s="998"/>
      <c r="X196" s="998"/>
      <c r="Y196" s="998"/>
      <c r="Z196" s="998"/>
      <c r="AA196" s="998"/>
      <c r="AB196" s="998"/>
      <c r="AC196" s="998"/>
      <c r="AD196" s="998"/>
      <c r="AE196" s="998"/>
      <c r="AF196" s="998"/>
      <c r="AG196" s="998"/>
      <c r="AH196" s="998"/>
      <c r="AI196" s="998"/>
      <c r="AJ196" s="998"/>
      <c r="AK196" s="998"/>
    </row>
    <row r="197" spans="1:37" hidden="1" x14ac:dyDescent="0.2">
      <c r="A197" s="998"/>
      <c r="B197" s="998"/>
      <c r="C197" s="998"/>
      <c r="D197" s="998"/>
      <c r="E197" s="998"/>
      <c r="F197" s="998"/>
      <c r="G197" s="998"/>
      <c r="H197" s="998"/>
      <c r="I197" s="998"/>
      <c r="J197" s="998"/>
      <c r="K197" s="998"/>
      <c r="L197" s="998"/>
      <c r="M197" s="998"/>
      <c r="N197" s="998"/>
      <c r="O197" s="998"/>
      <c r="P197" s="998"/>
      <c r="Q197" s="998"/>
      <c r="R197" s="998"/>
      <c r="S197" s="998"/>
      <c r="T197" s="998"/>
      <c r="U197" s="998"/>
      <c r="V197" s="998"/>
      <c r="W197" s="998"/>
      <c r="X197" s="998"/>
      <c r="Y197" s="998"/>
      <c r="Z197" s="998"/>
      <c r="AA197" s="998"/>
      <c r="AB197" s="998"/>
      <c r="AC197" s="998"/>
      <c r="AD197" s="998"/>
      <c r="AE197" s="998"/>
      <c r="AF197" s="998"/>
      <c r="AG197" s="998"/>
      <c r="AH197" s="998"/>
      <c r="AI197" s="998"/>
      <c r="AJ197" s="998"/>
      <c r="AK197" s="998"/>
    </row>
    <row r="198" spans="1:37" hidden="1" x14ac:dyDescent="0.2">
      <c r="A198" s="998"/>
      <c r="B198" s="998"/>
      <c r="C198" s="998"/>
      <c r="D198" s="998"/>
      <c r="E198" s="998"/>
      <c r="F198" s="998"/>
      <c r="G198" s="998"/>
      <c r="H198" s="998"/>
      <c r="I198" s="998"/>
      <c r="J198" s="998"/>
      <c r="K198" s="998"/>
      <c r="L198" s="998"/>
      <c r="M198" s="998"/>
      <c r="N198" s="998"/>
      <c r="O198" s="998"/>
      <c r="P198" s="998"/>
      <c r="Q198" s="998"/>
      <c r="R198" s="998"/>
      <c r="S198" s="998"/>
      <c r="T198" s="998"/>
      <c r="U198" s="998"/>
      <c r="V198" s="998"/>
      <c r="W198" s="998"/>
      <c r="X198" s="998"/>
      <c r="Y198" s="998"/>
      <c r="Z198" s="998"/>
      <c r="AA198" s="998"/>
      <c r="AB198" s="998"/>
      <c r="AC198" s="998"/>
      <c r="AD198" s="998"/>
      <c r="AE198" s="998"/>
      <c r="AF198" s="998"/>
      <c r="AG198" s="998"/>
      <c r="AH198" s="998"/>
      <c r="AI198" s="998"/>
      <c r="AJ198" s="998"/>
      <c r="AK198" s="998"/>
    </row>
    <row r="199" spans="1:37" hidden="1" x14ac:dyDescent="0.2">
      <c r="A199" s="998"/>
      <c r="B199" s="998"/>
      <c r="C199" s="998"/>
      <c r="D199" s="998"/>
      <c r="E199" s="998"/>
      <c r="F199" s="998"/>
      <c r="G199" s="998"/>
      <c r="H199" s="998"/>
      <c r="I199" s="998"/>
      <c r="J199" s="998"/>
      <c r="K199" s="998"/>
      <c r="L199" s="998"/>
      <c r="M199" s="998"/>
      <c r="N199" s="998"/>
      <c r="O199" s="998"/>
      <c r="P199" s="998"/>
      <c r="Q199" s="998"/>
      <c r="R199" s="998"/>
      <c r="S199" s="998"/>
      <c r="T199" s="998"/>
      <c r="U199" s="998"/>
      <c r="V199" s="998"/>
      <c r="W199" s="998"/>
      <c r="X199" s="998"/>
      <c r="Y199" s="998"/>
      <c r="Z199" s="998"/>
      <c r="AA199" s="998"/>
      <c r="AB199" s="998"/>
      <c r="AC199" s="998"/>
      <c r="AD199" s="998"/>
      <c r="AE199" s="998"/>
      <c r="AF199" s="998"/>
      <c r="AG199" s="998"/>
      <c r="AH199" s="998"/>
      <c r="AI199" s="998"/>
      <c r="AJ199" s="998"/>
      <c r="AK199" s="998"/>
    </row>
    <row r="200" spans="1:37" hidden="1" x14ac:dyDescent="0.2">
      <c r="A200" s="998"/>
      <c r="B200" s="998"/>
      <c r="C200" s="998"/>
      <c r="D200" s="998"/>
      <c r="E200" s="998" t="s">
        <v>7</v>
      </c>
      <c r="F200" s="998" t="s">
        <v>8</v>
      </c>
      <c r="G200" s="998"/>
      <c r="H200" s="998"/>
      <c r="I200" s="998"/>
      <c r="J200" s="998"/>
      <c r="K200" s="998"/>
      <c r="L200" s="998"/>
      <c r="M200" s="998"/>
      <c r="N200" s="998"/>
      <c r="O200" s="998"/>
      <c r="P200" s="998"/>
      <c r="Q200" s="998"/>
      <c r="R200" s="998"/>
      <c r="S200" s="998"/>
      <c r="T200" s="998"/>
      <c r="U200" s="998"/>
      <c r="V200" s="998"/>
      <c r="W200" s="998"/>
      <c r="X200" s="998"/>
      <c r="Y200" s="998"/>
      <c r="Z200" s="998"/>
      <c r="AA200" s="998"/>
      <c r="AB200" s="998"/>
      <c r="AC200" s="998"/>
      <c r="AD200" s="998"/>
      <c r="AE200" s="998"/>
      <c r="AF200" s="998"/>
      <c r="AG200" s="998"/>
      <c r="AH200" s="998"/>
      <c r="AI200" s="998"/>
      <c r="AJ200" s="998"/>
      <c r="AK200" s="998"/>
    </row>
    <row r="201" spans="1:37" hidden="1" x14ac:dyDescent="0.2">
      <c r="A201" s="998"/>
      <c r="B201" s="998"/>
      <c r="C201" s="998"/>
      <c r="D201" s="998" t="s">
        <v>17</v>
      </c>
      <c r="E201" s="998" t="s">
        <v>182</v>
      </c>
      <c r="F201" s="998" t="s">
        <v>356</v>
      </c>
      <c r="G201" s="998" t="s">
        <v>355</v>
      </c>
      <c r="H201" s="998"/>
      <c r="I201" s="998" t="s">
        <v>187</v>
      </c>
      <c r="J201" s="998">
        <v>201</v>
      </c>
      <c r="K201" s="998"/>
      <c r="L201" s="998"/>
      <c r="M201" s="998"/>
      <c r="N201" s="998"/>
      <c r="O201" s="998"/>
      <c r="P201" s="998"/>
      <c r="Q201" s="998"/>
      <c r="R201" s="998"/>
      <c r="S201" s="998"/>
      <c r="T201" s="998"/>
      <c r="U201" s="998"/>
      <c r="V201" s="998"/>
      <c r="W201" s="998"/>
      <c r="X201" s="998"/>
      <c r="Y201" s="998"/>
      <c r="Z201" s="998"/>
      <c r="AA201" s="998"/>
      <c r="AB201" s="998"/>
      <c r="AC201" s="998"/>
      <c r="AD201" s="998"/>
      <c r="AE201" s="998"/>
      <c r="AF201" s="998"/>
      <c r="AG201" s="998"/>
      <c r="AH201" s="998"/>
      <c r="AI201" s="998"/>
      <c r="AJ201" s="998"/>
      <c r="AK201" s="998"/>
    </row>
    <row r="202" spans="1:37" hidden="1" x14ac:dyDescent="0.2">
      <c r="A202" s="998"/>
      <c r="B202" s="998"/>
      <c r="C202" s="998"/>
      <c r="D202" s="998" t="s">
        <v>18</v>
      </c>
      <c r="E202" s="998" t="s">
        <v>181</v>
      </c>
      <c r="F202" s="998" t="s">
        <v>357</v>
      </c>
      <c r="G202" s="998" t="s">
        <v>354</v>
      </c>
      <c r="H202" s="998"/>
      <c r="I202" s="998" t="s">
        <v>191</v>
      </c>
      <c r="J202" s="998">
        <v>202</v>
      </c>
      <c r="K202" s="998"/>
      <c r="L202" s="998"/>
      <c r="M202" s="998"/>
      <c r="N202" s="998"/>
      <c r="O202" s="998"/>
      <c r="P202" s="998"/>
      <c r="Q202" s="998"/>
      <c r="R202" s="998"/>
      <c r="S202" s="998"/>
      <c r="T202" s="998"/>
      <c r="U202" s="998"/>
      <c r="V202" s="998"/>
      <c r="W202" s="998"/>
      <c r="X202" s="998"/>
      <c r="Y202" s="998"/>
      <c r="Z202" s="998"/>
      <c r="AA202" s="998"/>
      <c r="AB202" s="998"/>
      <c r="AC202" s="998"/>
      <c r="AD202" s="998"/>
      <c r="AE202" s="998"/>
      <c r="AF202" s="998"/>
      <c r="AG202" s="998"/>
      <c r="AH202" s="998"/>
      <c r="AI202" s="998"/>
      <c r="AJ202" s="998"/>
      <c r="AK202" s="998"/>
    </row>
    <row r="203" spans="1:37" hidden="1" x14ac:dyDescent="0.2">
      <c r="A203" s="998"/>
      <c r="B203" s="998"/>
      <c r="C203" s="998"/>
      <c r="D203" s="998" t="s">
        <v>19</v>
      </c>
      <c r="E203" s="998"/>
      <c r="F203" s="998"/>
      <c r="G203" s="998" t="s">
        <v>546</v>
      </c>
      <c r="H203" s="998"/>
      <c r="I203" s="998" t="s">
        <v>187</v>
      </c>
      <c r="J203" s="998">
        <v>203</v>
      </c>
      <c r="K203" s="998"/>
      <c r="L203" s="998"/>
      <c r="M203" s="998"/>
      <c r="N203" s="998"/>
      <c r="O203" s="998"/>
      <c r="P203" s="998"/>
      <c r="Q203" s="998"/>
      <c r="R203" s="998"/>
      <c r="S203" s="998"/>
      <c r="T203" s="998"/>
      <c r="U203" s="998"/>
      <c r="V203" s="998"/>
      <c r="W203" s="998"/>
      <c r="X203" s="998"/>
      <c r="Y203" s="998"/>
      <c r="Z203" s="998"/>
      <c r="AA203" s="998"/>
      <c r="AB203" s="998"/>
      <c r="AC203" s="998"/>
      <c r="AD203" s="998"/>
      <c r="AE203" s="998"/>
      <c r="AF203" s="998"/>
      <c r="AG203" s="998"/>
      <c r="AH203" s="998"/>
      <c r="AI203" s="998"/>
      <c r="AJ203" s="998"/>
      <c r="AK203" s="998"/>
    </row>
    <row r="204" spans="1:37" hidden="1" x14ac:dyDescent="0.2">
      <c r="A204" s="998"/>
      <c r="B204" s="998"/>
      <c r="C204" s="998"/>
      <c r="D204" s="998" t="s">
        <v>20</v>
      </c>
      <c r="E204" s="998"/>
      <c r="F204" s="998"/>
      <c r="G204" s="998" t="s">
        <v>358</v>
      </c>
      <c r="H204" s="998"/>
      <c r="I204" s="998" t="s">
        <v>187</v>
      </c>
      <c r="J204" s="998">
        <v>204</v>
      </c>
      <c r="K204" s="998"/>
      <c r="L204" s="998"/>
      <c r="M204" s="998"/>
      <c r="N204" s="998"/>
      <c r="O204" s="998"/>
      <c r="P204" s="998"/>
      <c r="Q204" s="998"/>
      <c r="R204" s="998"/>
      <c r="S204" s="998"/>
      <c r="T204" s="998"/>
      <c r="U204" s="998"/>
      <c r="V204" s="998"/>
      <c r="W204" s="998"/>
      <c r="X204" s="998"/>
      <c r="Y204" s="998"/>
      <c r="Z204" s="998"/>
      <c r="AA204" s="998"/>
      <c r="AB204" s="998"/>
      <c r="AC204" s="998"/>
      <c r="AD204" s="998"/>
      <c r="AE204" s="998"/>
      <c r="AF204" s="998"/>
      <c r="AG204" s="998"/>
      <c r="AH204" s="998"/>
      <c r="AI204" s="998"/>
      <c r="AJ204" s="998"/>
      <c r="AK204" s="998"/>
    </row>
    <row r="205" spans="1:37" hidden="1" x14ac:dyDescent="0.2">
      <c r="A205" s="998"/>
      <c r="B205" s="998"/>
      <c r="C205" s="998"/>
      <c r="D205" s="998" t="s">
        <v>21</v>
      </c>
      <c r="E205" s="998"/>
      <c r="F205" s="998"/>
      <c r="G205" s="998" t="s">
        <v>9</v>
      </c>
      <c r="H205" s="998"/>
      <c r="I205" s="998" t="s">
        <v>188</v>
      </c>
      <c r="J205" s="998">
        <v>205</v>
      </c>
      <c r="K205" s="998"/>
      <c r="L205" s="998"/>
      <c r="M205" s="998"/>
      <c r="N205" s="998"/>
      <c r="O205" s="998"/>
      <c r="P205" s="998"/>
      <c r="Q205" s="998"/>
      <c r="R205" s="998"/>
      <c r="S205" s="998"/>
      <c r="T205" s="998"/>
      <c r="U205" s="998"/>
      <c r="V205" s="998"/>
      <c r="W205" s="998"/>
      <c r="X205" s="998"/>
      <c r="Y205" s="998"/>
      <c r="Z205" s="998"/>
      <c r="AA205" s="998"/>
      <c r="AB205" s="998"/>
      <c r="AC205" s="998"/>
      <c r="AD205" s="998"/>
      <c r="AE205" s="998"/>
      <c r="AF205" s="998"/>
      <c r="AG205" s="998"/>
      <c r="AH205" s="998"/>
      <c r="AI205" s="998"/>
      <c r="AJ205" s="998"/>
      <c r="AK205" s="998"/>
    </row>
    <row r="206" spans="1:37" hidden="1" x14ac:dyDescent="0.2">
      <c r="A206" s="998"/>
      <c r="B206" s="998"/>
      <c r="C206" s="998"/>
      <c r="D206" s="998" t="s">
        <v>22</v>
      </c>
      <c r="E206" s="998"/>
      <c r="F206" s="998"/>
      <c r="G206" s="998" t="s">
        <v>445</v>
      </c>
      <c r="H206" s="998"/>
      <c r="I206" s="998"/>
      <c r="J206" s="998">
        <v>206</v>
      </c>
      <c r="K206" s="998"/>
      <c r="L206" s="998"/>
      <c r="M206" s="998"/>
      <c r="N206" s="998"/>
      <c r="O206" s="998"/>
      <c r="P206" s="998"/>
      <c r="Q206" s="998"/>
      <c r="R206" s="998"/>
      <c r="S206" s="998"/>
      <c r="T206" s="998"/>
      <c r="U206" s="998"/>
      <c r="V206" s="998"/>
      <c r="W206" s="998"/>
      <c r="X206" s="998"/>
      <c r="Y206" s="998"/>
      <c r="Z206" s="998"/>
      <c r="AA206" s="998"/>
      <c r="AB206" s="998"/>
      <c r="AC206" s="998"/>
      <c r="AD206" s="998"/>
      <c r="AE206" s="998"/>
      <c r="AF206" s="998"/>
      <c r="AG206" s="998"/>
      <c r="AH206" s="998"/>
      <c r="AI206" s="998"/>
      <c r="AJ206" s="998"/>
      <c r="AK206" s="998"/>
    </row>
    <row r="207" spans="1:37" hidden="1" x14ac:dyDescent="0.2">
      <c r="A207" s="998"/>
      <c r="B207" s="998"/>
      <c r="C207" s="998"/>
      <c r="D207" s="998" t="s">
        <v>23</v>
      </c>
      <c r="E207" s="998"/>
      <c r="F207" s="998"/>
      <c r="G207" s="998" t="s">
        <v>2</v>
      </c>
      <c r="H207" s="998"/>
      <c r="I207" s="998" t="s">
        <v>189</v>
      </c>
      <c r="J207" s="998">
        <v>207</v>
      </c>
      <c r="K207" s="998"/>
      <c r="L207" s="998"/>
      <c r="M207" s="998"/>
      <c r="N207" s="998"/>
      <c r="O207" s="998"/>
      <c r="P207" s="998"/>
      <c r="Q207" s="998"/>
      <c r="R207" s="998"/>
      <c r="S207" s="998"/>
      <c r="T207" s="998"/>
      <c r="U207" s="998"/>
      <c r="V207" s="998"/>
      <c r="W207" s="998"/>
      <c r="X207" s="998"/>
      <c r="Y207" s="998"/>
      <c r="Z207" s="998"/>
      <c r="AA207" s="998"/>
      <c r="AB207" s="998"/>
      <c r="AC207" s="998"/>
      <c r="AD207" s="998"/>
      <c r="AE207" s="998"/>
      <c r="AF207" s="998"/>
      <c r="AG207" s="998"/>
      <c r="AH207" s="998"/>
      <c r="AI207" s="998"/>
      <c r="AJ207" s="998"/>
      <c r="AK207" s="998"/>
    </row>
    <row r="208" spans="1:37" hidden="1" x14ac:dyDescent="0.2">
      <c r="A208" s="998"/>
      <c r="B208" s="998"/>
      <c r="C208" s="998"/>
      <c r="D208" s="998"/>
      <c r="E208" s="998"/>
      <c r="F208" s="998"/>
      <c r="G208" s="998" t="s">
        <v>3</v>
      </c>
      <c r="H208" s="998"/>
      <c r="I208" s="998" t="s">
        <v>189</v>
      </c>
      <c r="J208" s="998">
        <v>208</v>
      </c>
      <c r="K208" s="998"/>
      <c r="L208" s="998"/>
      <c r="M208" s="998"/>
      <c r="N208" s="998"/>
      <c r="O208" s="998"/>
      <c r="P208" s="998"/>
      <c r="Q208" s="998"/>
      <c r="R208" s="998"/>
      <c r="S208" s="998"/>
      <c r="T208" s="998"/>
      <c r="U208" s="998"/>
      <c r="V208" s="998"/>
      <c r="W208" s="998"/>
      <c r="X208" s="998"/>
      <c r="Y208" s="998"/>
      <c r="Z208" s="998"/>
      <c r="AA208" s="998"/>
      <c r="AB208" s="998"/>
      <c r="AC208" s="998"/>
      <c r="AD208" s="998"/>
      <c r="AE208" s="998"/>
      <c r="AF208" s="998"/>
      <c r="AG208" s="998"/>
      <c r="AH208" s="998"/>
      <c r="AI208" s="998"/>
      <c r="AJ208" s="998"/>
      <c r="AK208" s="998"/>
    </row>
    <row r="209" spans="1:37" hidden="1" x14ac:dyDescent="0.2">
      <c r="A209" s="998"/>
      <c r="B209" s="998"/>
      <c r="C209" s="998"/>
      <c r="D209" s="998"/>
      <c r="E209" s="998"/>
      <c r="F209" s="998"/>
      <c r="G209" s="998" t="s">
        <v>5</v>
      </c>
      <c r="H209" s="998"/>
      <c r="I209" s="998" t="s">
        <v>188</v>
      </c>
      <c r="J209" s="998">
        <v>209</v>
      </c>
      <c r="K209" s="998"/>
      <c r="L209" s="998"/>
      <c r="M209" s="998"/>
      <c r="N209" s="998"/>
      <c r="O209" s="998"/>
      <c r="P209" s="998"/>
      <c r="Q209" s="998"/>
      <c r="R209" s="998"/>
      <c r="S209" s="998"/>
      <c r="T209" s="998"/>
      <c r="U209" s="998"/>
      <c r="V209" s="998"/>
      <c r="W209" s="998"/>
      <c r="X209" s="998"/>
      <c r="Y209" s="998"/>
      <c r="Z209" s="998"/>
      <c r="AA209" s="998"/>
      <c r="AB209" s="998"/>
      <c r="AC209" s="998"/>
      <c r="AD209" s="998"/>
      <c r="AE209" s="998"/>
      <c r="AF209" s="998"/>
      <c r="AG209" s="998"/>
      <c r="AH209" s="998"/>
      <c r="AI209" s="998"/>
      <c r="AJ209" s="998"/>
      <c r="AK209" s="998"/>
    </row>
    <row r="210" spans="1:37" hidden="1" x14ac:dyDescent="0.2">
      <c r="A210" s="998"/>
      <c r="B210" s="998"/>
      <c r="C210" s="998"/>
      <c r="D210" s="998" t="s">
        <v>599</v>
      </c>
      <c r="E210" s="998"/>
      <c r="F210" s="998"/>
      <c r="G210" s="998" t="s">
        <v>443</v>
      </c>
      <c r="H210" s="998"/>
      <c r="I210" s="998" t="s">
        <v>191</v>
      </c>
      <c r="J210" s="998">
        <v>210</v>
      </c>
      <c r="K210" s="998"/>
      <c r="L210" s="998"/>
      <c r="M210" s="998"/>
      <c r="N210" s="998"/>
      <c r="O210" s="998"/>
      <c r="P210" s="998"/>
      <c r="Q210" s="998"/>
      <c r="R210" s="998"/>
      <c r="S210" s="998"/>
      <c r="T210" s="998"/>
      <c r="U210" s="998"/>
      <c r="V210" s="998"/>
      <c r="W210" s="998"/>
      <c r="X210" s="998"/>
      <c r="Y210" s="998"/>
      <c r="Z210" s="998"/>
      <c r="AA210" s="998"/>
      <c r="AB210" s="998"/>
      <c r="AC210" s="998"/>
      <c r="AD210" s="998"/>
      <c r="AE210" s="998"/>
      <c r="AF210" s="998"/>
      <c r="AG210" s="998"/>
      <c r="AH210" s="998"/>
      <c r="AI210" s="998"/>
      <c r="AJ210" s="998"/>
      <c r="AK210" s="998"/>
    </row>
    <row r="211" spans="1:37" hidden="1" x14ac:dyDescent="0.2">
      <c r="A211" s="998"/>
      <c r="B211" s="998"/>
      <c r="C211" s="998"/>
      <c r="D211" s="998" t="s">
        <v>516</v>
      </c>
      <c r="E211" s="998"/>
      <c r="F211" s="998"/>
      <c r="G211" s="998" t="s">
        <v>442</v>
      </c>
      <c r="H211" s="998"/>
      <c r="I211" s="998" t="s">
        <v>187</v>
      </c>
      <c r="J211" s="998">
        <v>211</v>
      </c>
      <c r="K211" s="998"/>
      <c r="L211" s="998"/>
      <c r="M211" s="998"/>
      <c r="N211" s="998"/>
      <c r="O211" s="998"/>
      <c r="P211" s="998"/>
      <c r="Q211" s="998"/>
      <c r="R211" s="998"/>
      <c r="S211" s="998"/>
      <c r="T211" s="998"/>
      <c r="U211" s="998"/>
      <c r="V211" s="998"/>
      <c r="W211" s="998"/>
      <c r="X211" s="998"/>
      <c r="Y211" s="998"/>
      <c r="Z211" s="998"/>
      <c r="AA211" s="998"/>
      <c r="AB211" s="998"/>
      <c r="AC211" s="998"/>
      <c r="AD211" s="998"/>
      <c r="AE211" s="998"/>
      <c r="AF211" s="998"/>
      <c r="AG211" s="998"/>
      <c r="AH211" s="998"/>
      <c r="AI211" s="998"/>
      <c r="AJ211" s="998"/>
      <c r="AK211" s="998"/>
    </row>
    <row r="212" spans="1:37" hidden="1" x14ac:dyDescent="0.2">
      <c r="A212" s="998"/>
      <c r="B212" s="998"/>
      <c r="C212" s="998"/>
      <c r="D212" s="998"/>
      <c r="E212" s="998"/>
      <c r="F212" s="998"/>
      <c r="G212" s="485" t="s">
        <v>12329</v>
      </c>
      <c r="H212" s="998"/>
      <c r="I212" s="998" t="s">
        <v>191</v>
      </c>
      <c r="J212" s="998">
        <v>212</v>
      </c>
      <c r="K212" s="998"/>
      <c r="L212" s="998"/>
      <c r="M212" s="998"/>
      <c r="N212" s="998"/>
      <c r="O212" s="998"/>
      <c r="P212" s="998"/>
      <c r="Q212" s="998"/>
      <c r="R212" s="998"/>
      <c r="S212" s="998"/>
      <c r="T212" s="998"/>
      <c r="U212" s="998"/>
      <c r="V212" s="998"/>
      <c r="W212" s="998"/>
      <c r="X212" s="998"/>
      <c r="Y212" s="998"/>
      <c r="Z212" s="998"/>
      <c r="AA212" s="998"/>
      <c r="AB212" s="998"/>
      <c r="AC212" s="998"/>
      <c r="AD212" s="998"/>
      <c r="AE212" s="998"/>
      <c r="AF212" s="998"/>
      <c r="AG212" s="998"/>
      <c r="AH212" s="998"/>
      <c r="AI212" s="998"/>
      <c r="AJ212" s="998"/>
      <c r="AK212" s="998"/>
    </row>
    <row r="213" spans="1:37" hidden="1" x14ac:dyDescent="0.2">
      <c r="A213" s="998"/>
      <c r="B213" s="998"/>
      <c r="C213" s="998"/>
      <c r="D213" s="998"/>
      <c r="E213" s="998"/>
      <c r="F213" s="998"/>
      <c r="G213" s="485" t="s">
        <v>12330</v>
      </c>
      <c r="H213" s="998"/>
      <c r="I213" s="998" t="s">
        <v>187</v>
      </c>
      <c r="J213" s="998">
        <v>213</v>
      </c>
      <c r="K213" s="998"/>
      <c r="L213" s="998"/>
      <c r="M213" s="998"/>
      <c r="N213" s="998"/>
      <c r="O213" s="998"/>
      <c r="P213" s="998"/>
      <c r="Q213" s="998"/>
      <c r="R213" s="998"/>
      <c r="S213" s="998"/>
      <c r="T213" s="998"/>
      <c r="U213" s="998"/>
      <c r="V213" s="998"/>
      <c r="W213" s="998"/>
      <c r="X213" s="998"/>
      <c r="Y213" s="998"/>
      <c r="Z213" s="998"/>
      <c r="AA213" s="998"/>
      <c r="AB213" s="998"/>
      <c r="AC213" s="998"/>
      <c r="AD213" s="998"/>
      <c r="AE213" s="998"/>
      <c r="AF213" s="998"/>
      <c r="AG213" s="998"/>
      <c r="AH213" s="998"/>
      <c r="AI213" s="998"/>
      <c r="AJ213" s="998"/>
      <c r="AK213" s="998"/>
    </row>
    <row r="214" spans="1:37" hidden="1" x14ac:dyDescent="0.2">
      <c r="A214" s="998"/>
      <c r="B214" s="998"/>
      <c r="C214" s="998"/>
      <c r="D214" s="998"/>
      <c r="E214" s="998"/>
      <c r="F214" s="998"/>
      <c r="G214" s="998" t="s">
        <v>192</v>
      </c>
      <c r="H214" s="998"/>
      <c r="I214" s="998" t="s">
        <v>188</v>
      </c>
      <c r="J214" s="998">
        <v>214</v>
      </c>
      <c r="K214" s="998"/>
      <c r="L214" s="998"/>
      <c r="M214" s="998"/>
      <c r="N214" s="998"/>
      <c r="O214" s="998"/>
      <c r="P214" s="998"/>
      <c r="Q214" s="998"/>
      <c r="R214" s="998"/>
      <c r="S214" s="998"/>
      <c r="T214" s="998"/>
      <c r="U214" s="998"/>
      <c r="V214" s="998"/>
      <c r="W214" s="998"/>
      <c r="X214" s="998"/>
      <c r="Y214" s="998"/>
      <c r="Z214" s="998"/>
      <c r="AA214" s="998"/>
      <c r="AB214" s="998"/>
      <c r="AC214" s="998"/>
      <c r="AD214" s="998"/>
      <c r="AE214" s="998"/>
      <c r="AF214" s="998"/>
      <c r="AG214" s="998"/>
      <c r="AH214" s="998"/>
      <c r="AI214" s="998"/>
      <c r="AJ214" s="998"/>
      <c r="AK214" s="998"/>
    </row>
    <row r="215" spans="1:37" hidden="1" x14ac:dyDescent="0.2">
      <c r="A215" s="998"/>
      <c r="B215" s="998"/>
      <c r="C215" s="998"/>
      <c r="D215" s="998"/>
      <c r="E215" s="998"/>
      <c r="F215" s="998"/>
      <c r="G215" s="998" t="s">
        <v>190</v>
      </c>
      <c r="H215" s="998"/>
      <c r="I215" s="998" t="s">
        <v>189</v>
      </c>
      <c r="J215" s="998">
        <v>215</v>
      </c>
      <c r="K215" s="998"/>
      <c r="L215" s="998"/>
      <c r="M215" s="998"/>
      <c r="N215" s="998"/>
      <c r="O215" s="998"/>
      <c r="P215" s="998"/>
      <c r="Q215" s="998"/>
      <c r="R215" s="998"/>
      <c r="S215" s="998"/>
      <c r="T215" s="998"/>
      <c r="U215" s="998"/>
      <c r="V215" s="998"/>
      <c r="W215" s="998"/>
      <c r="X215" s="998"/>
      <c r="Y215" s="998"/>
      <c r="Z215" s="998"/>
      <c r="AA215" s="998"/>
      <c r="AB215" s="998"/>
      <c r="AC215" s="998"/>
      <c r="AD215" s="998"/>
      <c r="AE215" s="998"/>
      <c r="AF215" s="998"/>
      <c r="AG215" s="998"/>
      <c r="AH215" s="998"/>
      <c r="AI215" s="998"/>
      <c r="AJ215" s="998"/>
      <c r="AK215" s="998"/>
    </row>
    <row r="216" spans="1:37" hidden="1" x14ac:dyDescent="0.2">
      <c r="A216" s="998"/>
      <c r="B216" s="998"/>
      <c r="C216" s="998"/>
      <c r="D216" s="998"/>
      <c r="E216" s="998"/>
      <c r="F216" s="998"/>
      <c r="G216" s="998" t="s">
        <v>6</v>
      </c>
      <c r="H216" s="998"/>
      <c r="I216" s="998" t="s">
        <v>188</v>
      </c>
      <c r="J216" s="998">
        <v>216</v>
      </c>
      <c r="K216" s="998"/>
      <c r="L216" s="998"/>
      <c r="M216" s="998"/>
      <c r="N216" s="998"/>
      <c r="O216" s="998"/>
      <c r="P216" s="998"/>
      <c r="Q216" s="998"/>
      <c r="R216" s="998"/>
      <c r="S216" s="998"/>
      <c r="T216" s="998"/>
      <c r="U216" s="998"/>
      <c r="V216" s="998"/>
      <c r="W216" s="998"/>
      <c r="X216" s="998"/>
      <c r="Y216" s="998"/>
      <c r="Z216" s="998"/>
      <c r="AA216" s="998"/>
      <c r="AB216" s="998"/>
      <c r="AC216" s="998"/>
      <c r="AD216" s="998"/>
      <c r="AE216" s="998"/>
      <c r="AF216" s="998"/>
      <c r="AG216" s="998"/>
      <c r="AH216" s="998"/>
      <c r="AI216" s="998"/>
      <c r="AJ216" s="998"/>
      <c r="AK216" s="998"/>
    </row>
    <row r="217" spans="1:37" hidden="1" x14ac:dyDescent="0.2">
      <c r="A217" s="998"/>
      <c r="B217" s="998"/>
      <c r="C217" s="998"/>
      <c r="D217" s="998"/>
      <c r="E217" s="998"/>
      <c r="F217" s="998"/>
      <c r="G217" s="998" t="s">
        <v>4</v>
      </c>
      <c r="H217" s="998"/>
      <c r="I217" s="998" t="s">
        <v>188</v>
      </c>
      <c r="J217" s="998">
        <v>217</v>
      </c>
      <c r="K217" s="998"/>
      <c r="L217" s="998"/>
      <c r="M217" s="998"/>
      <c r="N217" s="998"/>
      <c r="O217" s="998"/>
      <c r="P217" s="998"/>
      <c r="Q217" s="998"/>
      <c r="R217" s="998"/>
      <c r="S217" s="998"/>
      <c r="T217" s="998"/>
      <c r="U217" s="998"/>
      <c r="V217" s="998"/>
      <c r="W217" s="998"/>
      <c r="X217" s="998"/>
      <c r="Y217" s="998"/>
      <c r="Z217" s="998"/>
      <c r="AA217" s="998"/>
      <c r="AB217" s="998"/>
      <c r="AC217" s="998"/>
      <c r="AD217" s="998"/>
      <c r="AE217" s="998"/>
      <c r="AF217" s="998"/>
      <c r="AG217" s="998"/>
      <c r="AH217" s="998"/>
      <c r="AI217" s="998"/>
      <c r="AJ217" s="998"/>
      <c r="AK217" s="998"/>
    </row>
    <row r="218" spans="1:37" hidden="1" x14ac:dyDescent="0.2">
      <c r="A218" s="998"/>
      <c r="B218" s="998"/>
      <c r="C218" s="998"/>
      <c r="D218" s="998"/>
      <c r="E218" s="998"/>
      <c r="F218" s="998"/>
      <c r="G218" s="998" t="s">
        <v>653</v>
      </c>
      <c r="H218" s="998"/>
      <c r="I218" s="998"/>
      <c r="J218" s="998">
        <v>218</v>
      </c>
      <c r="K218" s="998"/>
      <c r="L218" s="998"/>
      <c r="M218" s="998"/>
      <c r="N218" s="998"/>
      <c r="O218" s="998"/>
      <c r="P218" s="998"/>
      <c r="Q218" s="998"/>
      <c r="R218" s="998"/>
      <c r="S218" s="998"/>
      <c r="T218" s="998"/>
      <c r="U218" s="998"/>
      <c r="V218" s="998"/>
      <c r="W218" s="998"/>
      <c r="X218" s="998"/>
      <c r="Y218" s="998"/>
      <c r="Z218" s="998"/>
      <c r="AA218" s="998"/>
      <c r="AB218" s="998"/>
      <c r="AC218" s="998"/>
      <c r="AD218" s="998"/>
      <c r="AE218" s="998"/>
      <c r="AF218" s="998"/>
      <c r="AG218" s="998"/>
      <c r="AH218" s="998"/>
      <c r="AI218" s="998"/>
      <c r="AJ218" s="998"/>
      <c r="AK218" s="998"/>
    </row>
    <row r="219" spans="1:37" hidden="1" x14ac:dyDescent="0.2">
      <c r="A219" s="998"/>
      <c r="B219" s="998"/>
      <c r="C219" s="998"/>
      <c r="D219" s="998"/>
      <c r="E219" s="998"/>
      <c r="F219" s="998"/>
      <c r="G219" s="998"/>
      <c r="H219" s="998"/>
      <c r="I219" s="998"/>
      <c r="J219" s="998"/>
      <c r="K219" s="998"/>
      <c r="L219" s="998"/>
      <c r="M219" s="998"/>
      <c r="N219" s="998"/>
      <c r="O219" s="998"/>
      <c r="P219" s="998"/>
      <c r="Q219" s="998"/>
      <c r="R219" s="998"/>
      <c r="S219" s="998"/>
      <c r="T219" s="998"/>
      <c r="U219" s="998"/>
      <c r="V219" s="998"/>
      <c r="W219" s="998"/>
      <c r="X219" s="998"/>
      <c r="Y219" s="998"/>
      <c r="Z219" s="998"/>
      <c r="AA219" s="998"/>
      <c r="AB219" s="998"/>
      <c r="AC219" s="998"/>
      <c r="AD219" s="998"/>
      <c r="AE219" s="998"/>
      <c r="AF219" s="998"/>
      <c r="AG219" s="998"/>
      <c r="AH219" s="998"/>
      <c r="AI219" s="998"/>
      <c r="AJ219" s="998"/>
      <c r="AK219" s="998"/>
    </row>
    <row r="220" spans="1:37" hidden="1" x14ac:dyDescent="0.2">
      <c r="A220" s="998"/>
      <c r="B220" s="998"/>
      <c r="C220" s="998"/>
      <c r="D220" s="998"/>
      <c r="E220" s="998"/>
      <c r="F220" s="998"/>
      <c r="G220" s="998"/>
      <c r="H220" s="998"/>
      <c r="I220" s="998"/>
      <c r="J220" s="998"/>
      <c r="K220" s="998"/>
      <c r="L220" s="998"/>
      <c r="M220" s="998"/>
      <c r="N220" s="998"/>
      <c r="O220" s="998"/>
      <c r="P220" s="998"/>
      <c r="Q220" s="998"/>
      <c r="R220" s="998"/>
      <c r="S220" s="998"/>
      <c r="T220" s="998"/>
      <c r="U220" s="998"/>
      <c r="V220" s="998"/>
      <c r="W220" s="998"/>
      <c r="X220" s="998"/>
      <c r="Y220" s="998"/>
      <c r="Z220" s="998"/>
      <c r="AA220" s="998"/>
      <c r="AB220" s="998"/>
      <c r="AC220" s="998"/>
      <c r="AD220" s="998"/>
      <c r="AE220" s="998"/>
      <c r="AF220" s="998"/>
      <c r="AG220" s="998"/>
      <c r="AH220" s="998"/>
      <c r="AI220" s="998"/>
      <c r="AJ220" s="998"/>
      <c r="AK220" s="998"/>
    </row>
    <row r="221" spans="1:37" hidden="1" x14ac:dyDescent="0.2">
      <c r="A221" s="998"/>
      <c r="B221" s="998"/>
      <c r="C221" s="998"/>
      <c r="D221" s="998"/>
      <c r="E221" s="998"/>
      <c r="F221" s="998"/>
      <c r="G221" s="998"/>
      <c r="H221" s="998"/>
      <c r="I221" s="998"/>
      <c r="J221" s="998"/>
      <c r="K221" s="998"/>
      <c r="L221" s="998"/>
      <c r="M221" s="998"/>
      <c r="N221" s="998"/>
      <c r="O221" s="998"/>
      <c r="P221" s="998"/>
      <c r="Q221" s="998"/>
      <c r="R221" s="998"/>
      <c r="S221" s="998"/>
      <c r="T221" s="998"/>
      <c r="U221" s="998"/>
      <c r="V221" s="998"/>
      <c r="W221" s="998"/>
      <c r="X221" s="998"/>
      <c r="Y221" s="998"/>
      <c r="Z221" s="998"/>
      <c r="AA221" s="998"/>
      <c r="AB221" s="998"/>
      <c r="AC221" s="998"/>
      <c r="AD221" s="998"/>
      <c r="AE221" s="998"/>
      <c r="AF221" s="998"/>
      <c r="AG221" s="998"/>
      <c r="AH221" s="998"/>
      <c r="AI221" s="998"/>
      <c r="AJ221" s="998"/>
      <c r="AK221" s="998"/>
    </row>
    <row r="222" spans="1:37" hidden="1" x14ac:dyDescent="0.2">
      <c r="A222" s="998"/>
      <c r="B222" s="998"/>
      <c r="C222" s="998"/>
      <c r="D222" s="998"/>
      <c r="E222" s="998"/>
      <c r="F222" s="998"/>
      <c r="G222" s="998" t="s">
        <v>355</v>
      </c>
      <c r="H222" s="998"/>
      <c r="I222" s="998"/>
      <c r="J222" s="998"/>
      <c r="K222" s="998"/>
      <c r="L222" s="998"/>
      <c r="M222" s="998"/>
      <c r="N222" s="998"/>
      <c r="O222" s="998"/>
      <c r="P222" s="998"/>
      <c r="Q222" s="998"/>
      <c r="R222" s="998"/>
      <c r="S222" s="998"/>
      <c r="T222" s="998"/>
      <c r="U222" s="998"/>
      <c r="V222" s="998"/>
      <c r="W222" s="998"/>
      <c r="X222" s="998"/>
      <c r="Y222" s="998"/>
      <c r="Z222" s="998"/>
      <c r="AA222" s="998"/>
      <c r="AB222" s="998"/>
      <c r="AC222" s="998"/>
      <c r="AD222" s="998"/>
      <c r="AE222" s="998"/>
      <c r="AF222" s="998"/>
      <c r="AG222" s="998"/>
      <c r="AH222" s="998"/>
      <c r="AI222" s="998"/>
      <c r="AJ222" s="998"/>
      <c r="AK222" s="998"/>
    </row>
    <row r="223" spans="1:37" hidden="1" x14ac:dyDescent="0.2">
      <c r="A223" s="998"/>
      <c r="B223" s="998"/>
      <c r="C223" s="998"/>
      <c r="D223" s="998"/>
      <c r="E223" s="998"/>
      <c r="F223" s="998"/>
      <c r="G223" s="998" t="s">
        <v>546</v>
      </c>
      <c r="H223" s="998"/>
      <c r="I223" s="998"/>
      <c r="J223" s="998"/>
      <c r="K223" s="998"/>
      <c r="L223" s="998"/>
      <c r="M223" s="998"/>
      <c r="N223" s="998"/>
      <c r="O223" s="998"/>
      <c r="P223" s="998"/>
      <c r="Q223" s="998"/>
      <c r="R223" s="998"/>
      <c r="S223" s="998"/>
      <c r="T223" s="998"/>
      <c r="U223" s="998"/>
      <c r="V223" s="998"/>
      <c r="W223" s="998"/>
      <c r="X223" s="998"/>
      <c r="Y223" s="998"/>
      <c r="Z223" s="998"/>
      <c r="AA223" s="998"/>
      <c r="AB223" s="998"/>
      <c r="AC223" s="998"/>
      <c r="AD223" s="998"/>
      <c r="AE223" s="998"/>
      <c r="AF223" s="998"/>
      <c r="AG223" s="998"/>
      <c r="AH223" s="998"/>
      <c r="AI223" s="998"/>
      <c r="AJ223" s="998"/>
      <c r="AK223" s="998"/>
    </row>
    <row r="224" spans="1:37" hidden="1" x14ac:dyDescent="0.2">
      <c r="A224" s="998"/>
      <c r="B224" s="998"/>
      <c r="C224" s="998"/>
      <c r="D224" s="998"/>
      <c r="E224" s="998"/>
      <c r="F224" s="998"/>
      <c r="G224" s="998" t="s">
        <v>358</v>
      </c>
      <c r="H224" s="998"/>
      <c r="I224" s="998"/>
      <c r="J224" s="998"/>
      <c r="K224" s="998"/>
      <c r="L224" s="998"/>
      <c r="M224" s="998"/>
      <c r="N224" s="998"/>
      <c r="O224" s="998"/>
      <c r="P224" s="998"/>
      <c r="Q224" s="998"/>
      <c r="R224" s="998"/>
      <c r="S224" s="998"/>
      <c r="T224" s="998"/>
      <c r="U224" s="998"/>
      <c r="V224" s="998"/>
      <c r="W224" s="998"/>
      <c r="X224" s="998"/>
      <c r="Y224" s="998"/>
      <c r="Z224" s="998"/>
      <c r="AA224" s="998"/>
      <c r="AB224" s="998"/>
      <c r="AC224" s="998"/>
      <c r="AD224" s="998"/>
      <c r="AE224" s="998"/>
      <c r="AF224" s="998"/>
      <c r="AG224" s="998"/>
      <c r="AH224" s="998"/>
      <c r="AI224" s="998"/>
      <c r="AJ224" s="998"/>
      <c r="AK224" s="998"/>
    </row>
    <row r="225" spans="1:37" hidden="1" x14ac:dyDescent="0.2">
      <c r="A225" s="998"/>
      <c r="B225" s="998"/>
      <c r="C225" s="998"/>
      <c r="D225" s="998"/>
      <c r="E225" s="998"/>
      <c r="F225" s="998"/>
      <c r="G225" s="998" t="s">
        <v>9</v>
      </c>
      <c r="H225" s="998"/>
      <c r="I225" s="998"/>
      <c r="J225" s="998"/>
      <c r="K225" s="998"/>
      <c r="L225" s="998"/>
      <c r="M225" s="998"/>
      <c r="N225" s="998"/>
      <c r="O225" s="998"/>
      <c r="P225" s="998"/>
      <c r="Q225" s="998"/>
      <c r="R225" s="998"/>
      <c r="S225" s="998"/>
      <c r="T225" s="998"/>
      <c r="U225" s="998"/>
      <c r="V225" s="998"/>
      <c r="W225" s="998"/>
      <c r="X225" s="998"/>
      <c r="Y225" s="998"/>
      <c r="Z225" s="998"/>
      <c r="AA225" s="998"/>
      <c r="AB225" s="998"/>
      <c r="AC225" s="998"/>
      <c r="AD225" s="998"/>
      <c r="AE225" s="998"/>
      <c r="AF225" s="998"/>
      <c r="AG225" s="998"/>
      <c r="AH225" s="998"/>
      <c r="AI225" s="998"/>
      <c r="AJ225" s="998"/>
      <c r="AK225" s="998"/>
    </row>
    <row r="226" spans="1:37" hidden="1" x14ac:dyDescent="0.2">
      <c r="A226" s="998"/>
      <c r="B226" s="998"/>
      <c r="C226" s="998"/>
      <c r="D226" s="998"/>
      <c r="E226" s="998"/>
      <c r="F226" s="998"/>
      <c r="G226" s="998" t="s">
        <v>445</v>
      </c>
      <c r="H226" s="998"/>
      <c r="I226" s="998"/>
      <c r="J226" s="998"/>
      <c r="K226" s="998"/>
      <c r="L226" s="998"/>
      <c r="M226" s="998"/>
      <c r="N226" s="998"/>
      <c r="O226" s="998"/>
      <c r="P226" s="998"/>
      <c r="Q226" s="998"/>
      <c r="R226" s="998"/>
      <c r="S226" s="998"/>
      <c r="T226" s="998"/>
      <c r="U226" s="998"/>
      <c r="V226" s="998"/>
      <c r="W226" s="998"/>
      <c r="X226" s="998"/>
      <c r="Y226" s="998"/>
      <c r="Z226" s="998"/>
      <c r="AA226" s="998"/>
      <c r="AB226" s="998"/>
      <c r="AC226" s="998"/>
      <c r="AD226" s="998"/>
      <c r="AE226" s="998"/>
      <c r="AF226" s="998"/>
      <c r="AG226" s="998"/>
      <c r="AH226" s="998"/>
      <c r="AI226" s="998"/>
      <c r="AJ226" s="998"/>
      <c r="AK226" s="998"/>
    </row>
    <row r="227" spans="1:37" hidden="1" x14ac:dyDescent="0.2">
      <c r="A227" s="998"/>
      <c r="B227" s="998"/>
      <c r="C227" s="998"/>
      <c r="D227" s="998"/>
      <c r="E227" s="998"/>
      <c r="F227" s="998"/>
      <c r="G227" s="998" t="s">
        <v>2</v>
      </c>
      <c r="H227" s="998"/>
      <c r="I227" s="998"/>
      <c r="J227" s="998"/>
      <c r="K227" s="998"/>
      <c r="L227" s="998"/>
      <c r="M227" s="998"/>
      <c r="N227" s="998"/>
      <c r="O227" s="998"/>
      <c r="P227" s="998"/>
      <c r="Q227" s="998"/>
      <c r="R227" s="998"/>
      <c r="S227" s="998"/>
      <c r="T227" s="998"/>
      <c r="U227" s="998"/>
      <c r="V227" s="998"/>
      <c r="W227" s="998"/>
      <c r="X227" s="998"/>
      <c r="Y227" s="998"/>
      <c r="Z227" s="998"/>
      <c r="AA227" s="998"/>
      <c r="AB227" s="998"/>
      <c r="AC227" s="998"/>
      <c r="AD227" s="998"/>
      <c r="AE227" s="998"/>
      <c r="AF227" s="998"/>
      <c r="AG227" s="998"/>
      <c r="AH227" s="998"/>
      <c r="AI227" s="998"/>
      <c r="AJ227" s="998"/>
      <c r="AK227" s="998"/>
    </row>
    <row r="228" spans="1:37" hidden="1" x14ac:dyDescent="0.2">
      <c r="A228" s="998"/>
      <c r="B228" s="998"/>
      <c r="C228" s="998"/>
      <c r="D228" s="998"/>
      <c r="E228" s="998"/>
      <c r="F228" s="998"/>
      <c r="G228" s="998" t="s">
        <v>3</v>
      </c>
      <c r="H228" s="998"/>
      <c r="I228" s="998"/>
      <c r="J228" s="998"/>
      <c r="K228" s="998"/>
      <c r="L228" s="998"/>
      <c r="M228" s="998"/>
      <c r="N228" s="998"/>
      <c r="O228" s="998"/>
      <c r="P228" s="998"/>
      <c r="Q228" s="998"/>
      <c r="R228" s="998"/>
      <c r="S228" s="998"/>
      <c r="T228" s="998"/>
      <c r="U228" s="998"/>
      <c r="V228" s="998"/>
      <c r="W228" s="998"/>
      <c r="X228" s="998"/>
      <c r="Y228" s="998"/>
      <c r="Z228" s="998"/>
      <c r="AA228" s="998"/>
      <c r="AB228" s="998"/>
      <c r="AC228" s="998"/>
      <c r="AD228" s="998"/>
      <c r="AE228" s="998"/>
      <c r="AF228" s="998"/>
      <c r="AG228" s="998"/>
      <c r="AH228" s="998"/>
      <c r="AI228" s="998"/>
      <c r="AJ228" s="998"/>
      <c r="AK228" s="998"/>
    </row>
    <row r="229" spans="1:37" hidden="1" x14ac:dyDescent="0.2">
      <c r="A229" s="998"/>
      <c r="B229" s="998"/>
      <c r="C229" s="998"/>
      <c r="D229" s="998"/>
      <c r="E229" s="998"/>
      <c r="F229" s="998"/>
      <c r="G229" s="998" t="s">
        <v>5</v>
      </c>
      <c r="H229" s="998"/>
      <c r="I229" s="998"/>
      <c r="J229" s="998"/>
      <c r="K229" s="998"/>
      <c r="L229" s="998"/>
      <c r="M229" s="998"/>
      <c r="N229" s="998"/>
      <c r="O229" s="998"/>
      <c r="P229" s="998"/>
      <c r="Q229" s="998"/>
      <c r="R229" s="998"/>
      <c r="S229" s="998"/>
      <c r="T229" s="998"/>
      <c r="U229" s="998"/>
      <c r="V229" s="998"/>
      <c r="W229" s="998"/>
      <c r="X229" s="998"/>
      <c r="Y229" s="998"/>
      <c r="Z229" s="998"/>
      <c r="AA229" s="998"/>
      <c r="AB229" s="998"/>
      <c r="AC229" s="998"/>
      <c r="AD229" s="998"/>
      <c r="AE229" s="998"/>
      <c r="AF229" s="998"/>
      <c r="AG229" s="998"/>
      <c r="AH229" s="998"/>
      <c r="AI229" s="998"/>
      <c r="AJ229" s="998"/>
      <c r="AK229" s="998"/>
    </row>
    <row r="230" spans="1:37" hidden="1" x14ac:dyDescent="0.2">
      <c r="A230" s="998"/>
      <c r="B230" s="998"/>
      <c r="C230" s="998"/>
      <c r="D230" s="998"/>
      <c r="E230" s="998"/>
      <c r="F230" s="998"/>
      <c r="G230" s="998" t="s">
        <v>443</v>
      </c>
      <c r="H230" s="998"/>
      <c r="I230" s="998"/>
      <c r="J230" s="998"/>
      <c r="K230" s="998"/>
      <c r="L230" s="998"/>
      <c r="M230" s="998"/>
      <c r="N230" s="998"/>
      <c r="O230" s="998"/>
      <c r="P230" s="998"/>
      <c r="Q230" s="998"/>
      <c r="R230" s="998"/>
      <c r="S230" s="998"/>
      <c r="T230" s="998"/>
      <c r="U230" s="998"/>
      <c r="V230" s="998"/>
      <c r="W230" s="998"/>
      <c r="X230" s="998"/>
      <c r="Y230" s="998"/>
      <c r="Z230" s="998"/>
      <c r="AA230" s="998"/>
      <c r="AB230" s="998"/>
      <c r="AC230" s="998"/>
      <c r="AD230" s="998"/>
      <c r="AE230" s="998"/>
      <c r="AF230" s="998"/>
      <c r="AG230" s="998"/>
      <c r="AH230" s="998"/>
      <c r="AI230" s="998"/>
      <c r="AJ230" s="998"/>
      <c r="AK230" s="998"/>
    </row>
    <row r="231" spans="1:37" hidden="1" x14ac:dyDescent="0.2">
      <c r="A231" s="998"/>
      <c r="B231" s="998"/>
      <c r="C231" s="998"/>
      <c r="D231" s="998"/>
      <c r="E231" s="998"/>
      <c r="F231" s="998"/>
      <c r="G231" s="998" t="s">
        <v>442</v>
      </c>
      <c r="H231" s="998"/>
      <c r="I231" s="998"/>
      <c r="J231" s="998"/>
      <c r="K231" s="998"/>
      <c r="L231" s="998"/>
      <c r="M231" s="998"/>
      <c r="N231" s="998"/>
      <c r="O231" s="998"/>
      <c r="P231" s="998"/>
      <c r="Q231" s="998"/>
      <c r="R231" s="998"/>
      <c r="S231" s="998"/>
      <c r="T231" s="998"/>
      <c r="U231" s="998"/>
      <c r="V231" s="998"/>
      <c r="W231" s="998"/>
      <c r="X231" s="998"/>
      <c r="Y231" s="998"/>
      <c r="Z231" s="998"/>
      <c r="AA231" s="998"/>
      <c r="AB231" s="998"/>
      <c r="AC231" s="998"/>
      <c r="AD231" s="998"/>
      <c r="AE231" s="998"/>
      <c r="AF231" s="998"/>
      <c r="AG231" s="998"/>
      <c r="AH231" s="998"/>
      <c r="AI231" s="998"/>
      <c r="AJ231" s="998"/>
      <c r="AK231" s="998"/>
    </row>
    <row r="232" spans="1:37" hidden="1" x14ac:dyDescent="0.2">
      <c r="A232" s="998"/>
      <c r="B232" s="998"/>
      <c r="C232" s="998"/>
      <c r="D232" s="998"/>
      <c r="E232" s="998"/>
      <c r="F232" s="998"/>
      <c r="G232" s="485"/>
      <c r="H232" s="998"/>
      <c r="I232" s="998"/>
      <c r="J232" s="998"/>
      <c r="K232" s="998"/>
      <c r="L232" s="998"/>
      <c r="M232" s="998"/>
      <c r="N232" s="998"/>
      <c r="O232" s="998"/>
      <c r="P232" s="998"/>
      <c r="Q232" s="998"/>
      <c r="R232" s="998"/>
      <c r="S232" s="998"/>
      <c r="T232" s="998"/>
      <c r="U232" s="998"/>
      <c r="V232" s="998"/>
      <c r="W232" s="998"/>
      <c r="X232" s="998"/>
      <c r="Y232" s="998"/>
      <c r="Z232" s="998"/>
      <c r="AA232" s="998"/>
      <c r="AB232" s="998"/>
      <c r="AC232" s="998"/>
      <c r="AD232" s="998"/>
      <c r="AE232" s="998"/>
      <c r="AF232" s="998"/>
      <c r="AG232" s="998"/>
      <c r="AH232" s="998"/>
      <c r="AI232" s="998"/>
      <c r="AJ232" s="998"/>
      <c r="AK232" s="998"/>
    </row>
    <row r="233" spans="1:37" hidden="1" x14ac:dyDescent="0.2">
      <c r="A233" s="998"/>
      <c r="B233" s="998"/>
      <c r="C233" s="998"/>
      <c r="D233" s="998"/>
      <c r="E233" s="998"/>
      <c r="F233" s="998"/>
      <c r="G233" s="998"/>
      <c r="H233" s="998"/>
      <c r="I233" s="998"/>
      <c r="J233" s="998"/>
      <c r="K233" s="998"/>
      <c r="L233" s="998"/>
      <c r="M233" s="998"/>
      <c r="N233" s="998"/>
      <c r="O233" s="998"/>
      <c r="P233" s="998"/>
      <c r="Q233" s="998"/>
      <c r="R233" s="998"/>
      <c r="S233" s="998"/>
      <c r="T233" s="998"/>
      <c r="U233" s="998"/>
      <c r="V233" s="998"/>
      <c r="W233" s="998"/>
      <c r="X233" s="998"/>
      <c r="Y233" s="998"/>
      <c r="Z233" s="998"/>
      <c r="AA233" s="998"/>
      <c r="AB233" s="998"/>
      <c r="AC233" s="998"/>
      <c r="AD233" s="998"/>
      <c r="AE233" s="998"/>
      <c r="AF233" s="998"/>
      <c r="AG233" s="998"/>
      <c r="AH233" s="998"/>
      <c r="AI233" s="998"/>
      <c r="AJ233" s="998"/>
      <c r="AK233" s="998"/>
    </row>
    <row r="234" spans="1:37" hidden="1" x14ac:dyDescent="0.2">
      <c r="A234" s="998"/>
      <c r="B234" s="998"/>
      <c r="C234" s="998"/>
      <c r="D234" s="998"/>
      <c r="E234" s="998"/>
      <c r="F234" s="998"/>
      <c r="G234" s="998" t="s">
        <v>192</v>
      </c>
      <c r="H234" s="998"/>
      <c r="I234" s="998"/>
      <c r="J234" s="998"/>
      <c r="K234" s="998"/>
      <c r="L234" s="998"/>
      <c r="M234" s="998"/>
      <c r="N234" s="998"/>
      <c r="O234" s="998"/>
      <c r="P234" s="998"/>
      <c r="Q234" s="998"/>
      <c r="R234" s="998"/>
      <c r="S234" s="998"/>
      <c r="T234" s="998"/>
      <c r="U234" s="998"/>
      <c r="V234" s="998"/>
      <c r="W234" s="998"/>
      <c r="X234" s="998"/>
      <c r="Y234" s="998"/>
      <c r="Z234" s="998"/>
      <c r="AA234" s="998"/>
      <c r="AB234" s="998"/>
      <c r="AC234" s="998"/>
      <c r="AD234" s="998"/>
      <c r="AE234" s="998"/>
      <c r="AF234" s="998"/>
      <c r="AG234" s="998"/>
      <c r="AH234" s="998"/>
      <c r="AI234" s="998"/>
      <c r="AJ234" s="998"/>
      <c r="AK234" s="998"/>
    </row>
    <row r="235" spans="1:37" hidden="1" x14ac:dyDescent="0.2">
      <c r="A235" s="998"/>
      <c r="B235" s="998"/>
      <c r="C235" s="998"/>
      <c r="D235" s="998"/>
      <c r="E235" s="998"/>
      <c r="F235" s="998"/>
      <c r="G235" s="998" t="s">
        <v>190</v>
      </c>
      <c r="H235" s="998"/>
      <c r="I235" s="998"/>
      <c r="J235" s="998"/>
      <c r="K235" s="998"/>
      <c r="L235" s="998"/>
      <c r="M235" s="998"/>
      <c r="N235" s="998"/>
      <c r="O235" s="998"/>
      <c r="P235" s="998"/>
      <c r="Q235" s="998"/>
      <c r="R235" s="998"/>
      <c r="S235" s="998"/>
      <c r="T235" s="998"/>
      <c r="U235" s="998"/>
      <c r="V235" s="998"/>
      <c r="W235" s="998"/>
      <c r="X235" s="998"/>
      <c r="Y235" s="998"/>
      <c r="Z235" s="998"/>
      <c r="AA235" s="998"/>
      <c r="AB235" s="998"/>
      <c r="AC235" s="998"/>
      <c r="AD235" s="998"/>
      <c r="AE235" s="998"/>
      <c r="AF235" s="998"/>
      <c r="AG235" s="998"/>
      <c r="AH235" s="998"/>
      <c r="AI235" s="998"/>
      <c r="AJ235" s="998"/>
      <c r="AK235" s="998"/>
    </row>
    <row r="236" spans="1:37" hidden="1" x14ac:dyDescent="0.2">
      <c r="A236" s="998"/>
      <c r="B236" s="998"/>
      <c r="C236" s="998"/>
      <c r="D236" s="998"/>
      <c r="E236" s="998"/>
      <c r="F236" s="998"/>
      <c r="G236" s="998" t="s">
        <v>6</v>
      </c>
      <c r="H236" s="998"/>
      <c r="I236" s="998"/>
      <c r="J236" s="998"/>
      <c r="K236" s="998"/>
      <c r="L236" s="998"/>
      <c r="M236" s="998"/>
      <c r="N236" s="998"/>
      <c r="O236" s="998"/>
      <c r="P236" s="998"/>
      <c r="Q236" s="998"/>
      <c r="R236" s="998"/>
      <c r="S236" s="998"/>
      <c r="T236" s="998"/>
      <c r="U236" s="998"/>
      <c r="V236" s="998"/>
      <c r="W236" s="998"/>
      <c r="X236" s="998"/>
      <c r="Y236" s="998"/>
      <c r="Z236" s="998"/>
      <c r="AA236" s="998"/>
      <c r="AB236" s="998"/>
      <c r="AC236" s="998"/>
      <c r="AD236" s="998"/>
      <c r="AE236" s="998"/>
      <c r="AF236" s="998"/>
      <c r="AG236" s="998"/>
      <c r="AH236" s="998"/>
      <c r="AI236" s="998"/>
      <c r="AJ236" s="998"/>
      <c r="AK236" s="998"/>
    </row>
    <row r="237" spans="1:37" hidden="1" x14ac:dyDescent="0.2">
      <c r="A237" s="998"/>
      <c r="B237" s="998"/>
      <c r="C237" s="998"/>
      <c r="D237" s="998"/>
      <c r="E237" s="998"/>
      <c r="F237" s="998"/>
      <c r="G237" s="998" t="s">
        <v>4</v>
      </c>
      <c r="H237" s="998"/>
      <c r="I237" s="998"/>
      <c r="J237" s="998"/>
      <c r="K237" s="998"/>
      <c r="L237" s="998"/>
      <c r="M237" s="998"/>
      <c r="N237" s="998"/>
      <c r="O237" s="998"/>
      <c r="P237" s="998"/>
      <c r="Q237" s="998"/>
      <c r="R237" s="998"/>
      <c r="S237" s="998"/>
      <c r="T237" s="998"/>
      <c r="U237" s="998"/>
      <c r="V237" s="998"/>
      <c r="W237" s="998"/>
      <c r="X237" s="998"/>
      <c r="Y237" s="998"/>
      <c r="Z237" s="998"/>
      <c r="AA237" s="998"/>
      <c r="AB237" s="998"/>
      <c r="AC237" s="998"/>
      <c r="AD237" s="998"/>
      <c r="AE237" s="998"/>
      <c r="AF237" s="998"/>
      <c r="AG237" s="998"/>
      <c r="AH237" s="998"/>
      <c r="AI237" s="998"/>
      <c r="AJ237" s="998"/>
      <c r="AK237" s="998"/>
    </row>
    <row r="238" spans="1:37" hidden="1" x14ac:dyDescent="0.2">
      <c r="A238" s="998"/>
      <c r="B238" s="998"/>
      <c r="C238" s="998"/>
      <c r="D238" s="998"/>
      <c r="E238" s="998"/>
      <c r="F238" s="998"/>
      <c r="G238" s="998"/>
      <c r="H238" s="998"/>
      <c r="I238" s="998"/>
      <c r="J238" s="998"/>
      <c r="K238" s="998"/>
      <c r="L238" s="998"/>
      <c r="M238" s="998"/>
      <c r="N238" s="998"/>
      <c r="O238" s="998"/>
      <c r="P238" s="998"/>
      <c r="Q238" s="998"/>
      <c r="R238" s="998"/>
      <c r="S238" s="998"/>
      <c r="T238" s="998"/>
      <c r="U238" s="998"/>
      <c r="V238" s="998"/>
      <c r="W238" s="998"/>
      <c r="X238" s="998"/>
      <c r="Y238" s="998"/>
      <c r="Z238" s="998"/>
      <c r="AA238" s="998"/>
      <c r="AB238" s="998"/>
      <c r="AC238" s="998"/>
      <c r="AD238" s="998"/>
      <c r="AE238" s="998"/>
      <c r="AF238" s="998"/>
      <c r="AG238" s="998"/>
      <c r="AH238" s="998"/>
      <c r="AI238" s="998"/>
      <c r="AJ238" s="998"/>
      <c r="AK238" s="998"/>
    </row>
    <row r="239" spans="1:37" hidden="1" x14ac:dyDescent="0.2">
      <c r="A239" s="998"/>
      <c r="B239" s="998"/>
      <c r="C239" s="998"/>
      <c r="D239" s="998"/>
      <c r="E239" s="998"/>
      <c r="F239" s="998"/>
      <c r="G239" s="998"/>
      <c r="H239" s="998"/>
      <c r="I239" s="998"/>
      <c r="J239" s="998"/>
      <c r="K239" s="998"/>
      <c r="L239" s="998"/>
      <c r="M239" s="998"/>
      <c r="N239" s="998"/>
      <c r="O239" s="998"/>
      <c r="P239" s="998"/>
      <c r="Q239" s="998"/>
      <c r="R239" s="998"/>
      <c r="S239" s="998"/>
      <c r="T239" s="998"/>
      <c r="U239" s="998"/>
      <c r="V239" s="998"/>
      <c r="W239" s="998"/>
      <c r="X239" s="998"/>
      <c r="Y239" s="998"/>
      <c r="Z239" s="998"/>
      <c r="AA239" s="998"/>
      <c r="AB239" s="998"/>
      <c r="AC239" s="998"/>
      <c r="AD239" s="998"/>
      <c r="AE239" s="998"/>
      <c r="AF239" s="998"/>
      <c r="AG239" s="998"/>
      <c r="AH239" s="998"/>
      <c r="AI239" s="998"/>
      <c r="AJ239" s="998"/>
      <c r="AK239" s="998"/>
    </row>
    <row r="240" spans="1:37" hidden="1" x14ac:dyDescent="0.2">
      <c r="A240" s="998"/>
      <c r="B240" s="998"/>
      <c r="C240" s="998"/>
      <c r="D240" s="998"/>
      <c r="E240" s="998"/>
      <c r="F240" s="998"/>
      <c r="G240" s="998"/>
      <c r="H240" s="998"/>
      <c r="I240" s="998"/>
      <c r="J240" s="998"/>
      <c r="K240" s="998"/>
      <c r="L240" s="998"/>
      <c r="M240" s="998"/>
      <c r="N240" s="998"/>
      <c r="O240" s="998"/>
      <c r="P240" s="998"/>
      <c r="Q240" s="998"/>
      <c r="R240" s="998"/>
      <c r="S240" s="998"/>
      <c r="T240" s="998"/>
      <c r="U240" s="998"/>
      <c r="V240" s="998"/>
      <c r="W240" s="998"/>
      <c r="X240" s="998"/>
      <c r="Y240" s="998"/>
      <c r="Z240" s="998"/>
      <c r="AA240" s="998"/>
      <c r="AB240" s="998"/>
      <c r="AC240" s="998"/>
      <c r="AD240" s="998"/>
      <c r="AE240" s="998"/>
      <c r="AF240" s="998"/>
      <c r="AG240" s="998"/>
      <c r="AH240" s="998"/>
      <c r="AI240" s="998"/>
      <c r="AJ240" s="998"/>
      <c r="AK240" s="998"/>
    </row>
    <row r="241" spans="1:37" hidden="1" x14ac:dyDescent="0.2">
      <c r="A241" s="998"/>
      <c r="B241" s="998"/>
      <c r="C241" s="998"/>
      <c r="D241" s="998"/>
      <c r="E241" s="998"/>
      <c r="F241" s="998"/>
      <c r="G241" s="998"/>
      <c r="H241" s="998"/>
      <c r="I241" s="998"/>
      <c r="J241" s="998"/>
      <c r="K241" s="998"/>
      <c r="L241" s="998"/>
      <c r="M241" s="998"/>
      <c r="N241" s="998"/>
      <c r="O241" s="998"/>
      <c r="P241" s="998"/>
      <c r="Q241" s="998"/>
      <c r="R241" s="998"/>
      <c r="S241" s="998"/>
      <c r="T241" s="998"/>
      <c r="U241" s="998"/>
      <c r="V241" s="998"/>
      <c r="W241" s="998"/>
      <c r="X241" s="998"/>
      <c r="Y241" s="998"/>
      <c r="Z241" s="998"/>
      <c r="AA241" s="998"/>
      <c r="AB241" s="998"/>
      <c r="AC241" s="998"/>
      <c r="AD241" s="998"/>
      <c r="AE241" s="998"/>
      <c r="AF241" s="998"/>
      <c r="AG241" s="998"/>
      <c r="AH241" s="998"/>
      <c r="AI241" s="998"/>
      <c r="AJ241" s="998"/>
      <c r="AK241" s="998"/>
    </row>
    <row r="242" spans="1:37" hidden="1" x14ac:dyDescent="0.2">
      <c r="A242" s="998"/>
      <c r="B242" s="998"/>
      <c r="C242" s="998"/>
      <c r="D242" s="998"/>
      <c r="E242" s="998"/>
      <c r="F242" s="998"/>
      <c r="G242" s="998"/>
      <c r="H242" s="998"/>
      <c r="I242" s="998"/>
      <c r="J242" s="998"/>
      <c r="K242" s="998"/>
      <c r="L242" s="998"/>
      <c r="M242" s="998"/>
      <c r="N242" s="998"/>
      <c r="O242" s="998"/>
      <c r="P242" s="998"/>
      <c r="Q242" s="998"/>
      <c r="R242" s="998"/>
      <c r="S242" s="998"/>
      <c r="T242" s="998"/>
      <c r="U242" s="998"/>
      <c r="V242" s="998"/>
      <c r="W242" s="998"/>
      <c r="X242" s="998"/>
      <c r="Y242" s="998"/>
      <c r="Z242" s="998"/>
      <c r="AA242" s="998"/>
      <c r="AB242" s="998"/>
      <c r="AC242" s="998"/>
      <c r="AD242" s="998"/>
      <c r="AE242" s="998"/>
      <c r="AF242" s="998"/>
      <c r="AG242" s="998"/>
      <c r="AH242" s="998"/>
      <c r="AI242" s="998"/>
      <c r="AJ242" s="998"/>
      <c r="AK242" s="998"/>
    </row>
    <row r="243" spans="1:37" hidden="1" x14ac:dyDescent="0.2">
      <c r="A243" s="998"/>
      <c r="B243" s="998"/>
      <c r="C243" s="998"/>
      <c r="D243" s="998"/>
      <c r="E243" s="998"/>
      <c r="F243" s="998"/>
      <c r="G243" s="998"/>
      <c r="H243" s="998"/>
      <c r="I243" s="998"/>
      <c r="J243" s="998"/>
      <c r="K243" s="998"/>
      <c r="L243" s="998"/>
      <c r="M243" s="998"/>
      <c r="N243" s="998"/>
      <c r="O243" s="998"/>
      <c r="P243" s="998"/>
      <c r="Q243" s="998"/>
      <c r="R243" s="998"/>
      <c r="S243" s="998"/>
      <c r="T243" s="998"/>
      <c r="U243" s="998"/>
      <c r="V243" s="998"/>
      <c r="W243" s="998"/>
      <c r="X243" s="998"/>
      <c r="Y243" s="998"/>
      <c r="Z243" s="998"/>
      <c r="AA243" s="998"/>
      <c r="AB243" s="998"/>
      <c r="AC243" s="998"/>
      <c r="AD243" s="998"/>
      <c r="AE243" s="998"/>
      <c r="AF243" s="998"/>
      <c r="AG243" s="998"/>
      <c r="AH243" s="998"/>
      <c r="AI243" s="998"/>
      <c r="AJ243" s="998"/>
      <c r="AK243" s="998"/>
    </row>
    <row r="244" spans="1:37" hidden="1" x14ac:dyDescent="0.2">
      <c r="A244" s="998"/>
      <c r="B244" s="998"/>
      <c r="C244" s="998"/>
      <c r="D244" s="998"/>
      <c r="E244" s="998"/>
      <c r="F244" s="998"/>
      <c r="G244" s="998"/>
      <c r="H244" s="998"/>
      <c r="I244" s="998"/>
      <c r="J244" s="998"/>
      <c r="K244" s="998"/>
      <c r="L244" s="998"/>
      <c r="M244" s="998"/>
      <c r="N244" s="998"/>
      <c r="O244" s="998"/>
      <c r="P244" s="998"/>
      <c r="Q244" s="998"/>
      <c r="R244" s="998"/>
      <c r="S244" s="998"/>
      <c r="T244" s="998"/>
      <c r="U244" s="998"/>
      <c r="V244" s="998"/>
      <c r="W244" s="998"/>
      <c r="X244" s="998"/>
      <c r="Y244" s="998"/>
      <c r="Z244" s="998"/>
      <c r="AA244" s="998"/>
      <c r="AB244" s="998"/>
      <c r="AC244" s="998"/>
      <c r="AD244" s="998"/>
      <c r="AE244" s="998"/>
      <c r="AF244" s="998"/>
      <c r="AG244" s="998"/>
      <c r="AH244" s="998"/>
      <c r="AI244" s="998"/>
      <c r="AJ244" s="998"/>
      <c r="AK244" s="998"/>
    </row>
    <row r="245" spans="1:37" hidden="1" x14ac:dyDescent="0.2">
      <c r="A245" s="998"/>
      <c r="B245" s="998"/>
      <c r="C245" s="998"/>
      <c r="D245" s="998"/>
      <c r="E245" s="998"/>
      <c r="F245" s="998"/>
      <c r="G245" s="998"/>
      <c r="H245" s="998"/>
      <c r="I245" s="998"/>
      <c r="J245" s="998"/>
      <c r="K245" s="998"/>
      <c r="L245" s="998"/>
      <c r="M245" s="998"/>
      <c r="N245" s="998"/>
      <c r="O245" s="998"/>
      <c r="P245" s="998"/>
      <c r="Q245" s="998"/>
      <c r="R245" s="998"/>
      <c r="S245" s="998"/>
      <c r="T245" s="998"/>
      <c r="U245" s="998"/>
      <c r="V245" s="998"/>
      <c r="W245" s="998"/>
      <c r="X245" s="998"/>
      <c r="Y245" s="998"/>
      <c r="Z245" s="998"/>
      <c r="AA245" s="998"/>
      <c r="AB245" s="998"/>
      <c r="AC245" s="998"/>
      <c r="AD245" s="998"/>
      <c r="AE245" s="998"/>
      <c r="AF245" s="998"/>
      <c r="AG245" s="998"/>
      <c r="AH245" s="998"/>
      <c r="AI245" s="998"/>
      <c r="AJ245" s="998"/>
      <c r="AK245" s="998"/>
    </row>
    <row r="246" spans="1:37" hidden="1" x14ac:dyDescent="0.2">
      <c r="A246" s="998"/>
      <c r="B246" s="998"/>
      <c r="C246" s="998"/>
      <c r="D246" s="998"/>
      <c r="E246" s="998"/>
      <c r="F246" s="998"/>
      <c r="G246" s="998"/>
      <c r="H246" s="998"/>
      <c r="I246" s="998"/>
      <c r="J246" s="998"/>
      <c r="K246" s="998"/>
      <c r="L246" s="998"/>
      <c r="M246" s="998"/>
      <c r="N246" s="998"/>
      <c r="O246" s="998"/>
      <c r="P246" s="998"/>
      <c r="Q246" s="998"/>
      <c r="R246" s="998"/>
      <c r="S246" s="998"/>
      <c r="T246" s="998"/>
      <c r="U246" s="998"/>
      <c r="V246" s="998"/>
      <c r="W246" s="998"/>
      <c r="X246" s="998"/>
      <c r="Y246" s="998"/>
      <c r="Z246" s="998"/>
      <c r="AA246" s="998"/>
      <c r="AB246" s="998"/>
      <c r="AC246" s="998"/>
      <c r="AD246" s="998"/>
      <c r="AE246" s="998"/>
      <c r="AF246" s="998"/>
      <c r="AG246" s="998"/>
      <c r="AH246" s="998"/>
      <c r="AI246" s="998"/>
      <c r="AJ246" s="998"/>
      <c r="AK246" s="998"/>
    </row>
    <row r="247" spans="1:37" hidden="1" x14ac:dyDescent="0.2">
      <c r="A247" s="998"/>
      <c r="B247" s="998"/>
      <c r="C247" s="998"/>
      <c r="D247" s="998"/>
      <c r="E247" s="998"/>
      <c r="F247" s="998"/>
      <c r="G247" s="998"/>
      <c r="H247" s="998"/>
      <c r="I247" s="998"/>
      <c r="J247" s="998"/>
      <c r="K247" s="998"/>
      <c r="L247" s="998"/>
      <c r="M247" s="998"/>
      <c r="N247" s="998"/>
      <c r="O247" s="998"/>
      <c r="P247" s="998"/>
      <c r="Q247" s="998"/>
      <c r="R247" s="998"/>
      <c r="S247" s="998"/>
      <c r="T247" s="998"/>
      <c r="U247" s="998"/>
      <c r="V247" s="998"/>
      <c r="W247" s="998"/>
      <c r="X247" s="998"/>
      <c r="Y247" s="998"/>
      <c r="Z247" s="998"/>
      <c r="AA247" s="998"/>
      <c r="AB247" s="998"/>
      <c r="AC247" s="998"/>
      <c r="AD247" s="998"/>
      <c r="AE247" s="998"/>
      <c r="AF247" s="998"/>
      <c r="AG247" s="998"/>
      <c r="AH247" s="998"/>
      <c r="AI247" s="998"/>
      <c r="AJ247" s="998"/>
      <c r="AK247" s="998"/>
    </row>
    <row r="248" spans="1:37" hidden="1" x14ac:dyDescent="0.2">
      <c r="A248" s="998"/>
      <c r="B248" s="998"/>
      <c r="C248" s="998"/>
      <c r="D248" s="998"/>
      <c r="E248" s="998"/>
      <c r="F248" s="998"/>
      <c r="G248" s="998"/>
      <c r="H248" s="998"/>
      <c r="I248" s="998"/>
      <c r="J248" s="998"/>
      <c r="K248" s="998"/>
      <c r="L248" s="998"/>
      <c r="M248" s="998"/>
      <c r="N248" s="998"/>
      <c r="O248" s="998"/>
      <c r="P248" s="998"/>
      <c r="Q248" s="998"/>
      <c r="R248" s="998"/>
      <c r="S248" s="998"/>
      <c r="T248" s="998"/>
      <c r="U248" s="998"/>
      <c r="V248" s="998"/>
      <c r="W248" s="998"/>
      <c r="X248" s="998"/>
      <c r="Y248" s="998"/>
      <c r="Z248" s="998"/>
      <c r="AA248" s="998"/>
      <c r="AB248" s="998"/>
      <c r="AC248" s="998"/>
      <c r="AD248" s="998"/>
      <c r="AE248" s="998"/>
      <c r="AF248" s="998"/>
      <c r="AG248" s="998"/>
      <c r="AH248" s="998"/>
      <c r="AI248" s="998"/>
      <c r="AJ248" s="998"/>
      <c r="AK248" s="998"/>
    </row>
    <row r="249" spans="1:37" hidden="1" x14ac:dyDescent="0.2">
      <c r="A249" s="998"/>
      <c r="B249" s="998"/>
      <c r="C249" s="998"/>
      <c r="D249" s="998"/>
      <c r="E249" s="998"/>
      <c r="F249" s="998"/>
      <c r="G249" s="998"/>
      <c r="H249" s="998"/>
      <c r="I249" s="998"/>
      <c r="J249" s="998"/>
      <c r="K249" s="998"/>
      <c r="L249" s="998"/>
      <c r="M249" s="998"/>
      <c r="N249" s="998"/>
      <c r="O249" s="998"/>
      <c r="P249" s="998"/>
      <c r="Q249" s="998"/>
      <c r="R249" s="998"/>
      <c r="S249" s="998"/>
      <c r="T249" s="998"/>
      <c r="U249" s="998"/>
      <c r="V249" s="998"/>
      <c r="W249" s="998"/>
      <c r="X249" s="998"/>
      <c r="Y249" s="998"/>
      <c r="Z249" s="998"/>
      <c r="AA249" s="998"/>
      <c r="AB249" s="998"/>
      <c r="AC249" s="998"/>
      <c r="AD249" s="998"/>
      <c r="AE249" s="998"/>
      <c r="AF249" s="998"/>
      <c r="AG249" s="998"/>
      <c r="AH249" s="998"/>
      <c r="AI249" s="998"/>
      <c r="AJ249" s="998"/>
      <c r="AK249" s="998"/>
    </row>
    <row r="250" spans="1:37" hidden="1" x14ac:dyDescent="0.2"/>
    <row r="251" spans="1:37" hidden="1" x14ac:dyDescent="0.2"/>
    <row r="252" spans="1:37" hidden="1" x14ac:dyDescent="0.2"/>
    <row r="253" spans="1:37" hidden="1" x14ac:dyDescent="0.2"/>
    <row r="254" spans="1:37" hidden="1" x14ac:dyDescent="0.2"/>
    <row r="255" spans="1:37" hidden="1" x14ac:dyDescent="0.2"/>
    <row r="256" spans="1:37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x14ac:dyDescent="0.2"/>
    <row r="282" hidden="1" x14ac:dyDescent="0.2"/>
  </sheetData>
  <sortState ref="OD4:OO163">
    <sortCondition ref="OK4"/>
    <sortCondition ref="OJ4"/>
    <sortCondition ref="OG4"/>
  </sortState>
  <mergeCells count="64">
    <mergeCell ref="OC3:OO3"/>
    <mergeCell ref="JA1:JH1"/>
    <mergeCell ref="JI1:JP1"/>
    <mergeCell ref="JQ1:JX1"/>
    <mergeCell ref="EC1:EF1"/>
    <mergeCell ref="EG1:EJ1"/>
    <mergeCell ref="EK1:EN1"/>
    <mergeCell ref="AL116:AM116"/>
    <mergeCell ref="AL132:AM132"/>
    <mergeCell ref="AL100:AM100"/>
    <mergeCell ref="NC3:NO3"/>
    <mergeCell ref="NP3:OB3"/>
    <mergeCell ref="LP3:MB3"/>
    <mergeCell ref="MC3:MO3"/>
    <mergeCell ref="MP3:NB3"/>
    <mergeCell ref="LC3:LO3"/>
    <mergeCell ref="AL84:AM84"/>
    <mergeCell ref="AL4:AM4"/>
    <mergeCell ref="A2:A3"/>
    <mergeCell ref="B2:B3"/>
    <mergeCell ref="C2:C3"/>
    <mergeCell ref="D2:D3"/>
    <mergeCell ref="E2:G3"/>
    <mergeCell ref="E1:G1"/>
    <mergeCell ref="N1:O1"/>
    <mergeCell ref="P1:Q1"/>
    <mergeCell ref="R1:S1"/>
    <mergeCell ref="L2:L3"/>
    <mergeCell ref="J2:J3"/>
    <mergeCell ref="K2:K3"/>
    <mergeCell ref="M2:M3"/>
    <mergeCell ref="N2:P2"/>
    <mergeCell ref="Q2:R2"/>
    <mergeCell ref="DQ1:DT1"/>
    <mergeCell ref="T1:V1"/>
    <mergeCell ref="AG1:AJ1"/>
    <mergeCell ref="I2:I3"/>
    <mergeCell ref="AO2:AW2"/>
    <mergeCell ref="BW3:CI3"/>
    <mergeCell ref="CJ3:CV3"/>
    <mergeCell ref="AJ2:AJ3"/>
    <mergeCell ref="AI2:AI3"/>
    <mergeCell ref="AK2:AK3"/>
    <mergeCell ref="AA2:AA3"/>
    <mergeCell ref="AB2:AB3"/>
    <mergeCell ref="AC2:AC3"/>
    <mergeCell ref="AG2:AG3"/>
    <mergeCell ref="AH2:AH3"/>
    <mergeCell ref="AL148:AM148"/>
    <mergeCell ref="IK1:IR1"/>
    <mergeCell ref="IS1:IZ1"/>
    <mergeCell ref="HE1:HL1"/>
    <mergeCell ref="HM1:HT1"/>
    <mergeCell ref="HU1:IB1"/>
    <mergeCell ref="IC1:IJ1"/>
    <mergeCell ref="AL20:AM20"/>
    <mergeCell ref="AL36:AM36"/>
    <mergeCell ref="AL52:AM52"/>
    <mergeCell ref="AL68:AM68"/>
    <mergeCell ref="DU1:DX1"/>
    <mergeCell ref="DY1:EB1"/>
    <mergeCell ref="DE1:DH1"/>
    <mergeCell ref="DI1:DL1"/>
    <mergeCell ref="DM1:DP1"/>
  </mergeCells>
  <conditionalFormatting sqref="P1:Q1">
    <cfRule type="iconSet" priority="110">
      <iconSet iconSet="3Arrows">
        <cfvo type="percent" val="0"/>
        <cfvo type="num" val="0"/>
        <cfvo type="num" val="1"/>
      </iconSet>
    </cfRule>
    <cfRule type="cellIs" dxfId="77" priority="115" stopIfTrue="1" operator="lessThanOrEqual">
      <formula>0</formula>
    </cfRule>
    <cfRule type="cellIs" dxfId="76" priority="116" stopIfTrue="1" operator="greaterThan">
      <formula>0</formula>
    </cfRule>
  </conditionalFormatting>
  <conditionalFormatting sqref="T1:V1">
    <cfRule type="iconSet" priority="109">
      <iconSet iconSet="3Arrows">
        <cfvo type="percent" val="0"/>
        <cfvo type="num" val="0"/>
        <cfvo type="num" val="1"/>
      </iconSet>
    </cfRule>
    <cfRule type="cellIs" dxfId="75" priority="117" stopIfTrue="1" operator="lessThanOrEqual">
      <formula>0</formula>
    </cfRule>
    <cfRule type="cellIs" dxfId="74" priority="118" stopIfTrue="1" operator="greaterThan">
      <formula>0</formula>
    </cfRule>
  </conditionalFormatting>
  <conditionalFormatting sqref="N1:O1">
    <cfRule type="cellIs" dxfId="73" priority="119" stopIfTrue="1" operator="equal">
      <formula>"Saldo de Custeio"</formula>
    </cfRule>
    <cfRule type="cellIs" dxfId="72" priority="120" stopIfTrue="1" operator="equal">
      <formula>"Custeio Terminou"</formula>
    </cfRule>
  </conditionalFormatting>
  <conditionalFormatting sqref="R1:S1">
    <cfRule type="cellIs" dxfId="71" priority="121" stopIfTrue="1" operator="equal">
      <formula>"Saldo de Capital"</formula>
    </cfRule>
    <cfRule type="cellIs" dxfId="70" priority="122" stopIfTrue="1" operator="equal">
      <formula>"Capital Terminou"</formula>
    </cfRule>
  </conditionalFormatting>
  <conditionalFormatting sqref="M4:M163">
    <cfRule type="expression" dxfId="69" priority="113" stopIfTrue="1">
      <formula>KJ4=$KG$8</formula>
    </cfRule>
  </conditionalFormatting>
  <conditionalFormatting sqref="N4:N163">
    <cfRule type="expression" dxfId="68" priority="114" stopIfTrue="1">
      <formula>KJ4=$KG$9</formula>
    </cfRule>
  </conditionalFormatting>
  <conditionalFormatting sqref="V4:V163">
    <cfRule type="expression" dxfId="67" priority="30">
      <formula>IF(AND($Q4&lt;&gt;"",$V4=""),TRUE)</formula>
    </cfRule>
    <cfRule type="cellIs" dxfId="66" priority="96" stopIfTrue="1" operator="equal">
      <formula>"NÃO"</formula>
    </cfRule>
  </conditionalFormatting>
  <conditionalFormatting sqref="E4:G163">
    <cfRule type="expression" dxfId="65" priority="112" stopIfTrue="1">
      <formula>IF($KJ4=$KG$7,TRUE)</formula>
    </cfRule>
  </conditionalFormatting>
  <conditionalFormatting sqref="M1">
    <cfRule type="cellIs" dxfId="64" priority="108" stopIfTrue="1" operator="equal">
      <formula>""</formula>
    </cfRule>
  </conditionalFormatting>
  <conditionalFormatting sqref="M1">
    <cfRule type="cellIs" dxfId="63" priority="106" operator="notEqual">
      <formula>""</formula>
    </cfRule>
  </conditionalFormatting>
  <conditionalFormatting sqref="D1:E1">
    <cfRule type="cellIs" dxfId="62" priority="105" stopIfTrue="1" operator="equal">
      <formula>""</formula>
    </cfRule>
  </conditionalFormatting>
  <conditionalFormatting sqref="D1:E1">
    <cfRule type="cellIs" dxfId="61" priority="104" operator="notEqual">
      <formula>""</formula>
    </cfRule>
  </conditionalFormatting>
  <conditionalFormatting sqref="I1:L1">
    <cfRule type="cellIs" dxfId="60" priority="103" stopIfTrue="1" operator="equal">
      <formula>""</formula>
    </cfRule>
  </conditionalFormatting>
  <conditionalFormatting sqref="I1:L1">
    <cfRule type="cellIs" dxfId="59" priority="102" operator="notEqual">
      <formula>""</formula>
    </cfRule>
  </conditionalFormatting>
  <conditionalFormatting sqref="C4:C163">
    <cfRule type="expression" dxfId="58" priority="98" stopIfTrue="1">
      <formula>KJ4=$KG$5</formula>
    </cfRule>
    <cfRule type="cellIs" dxfId="57" priority="99" operator="equal">
      <formula>"CNPJ"</formula>
    </cfRule>
    <cfRule type="cellIs" dxfId="56" priority="111" operator="equal">
      <formula>"CPF"</formula>
    </cfRule>
  </conditionalFormatting>
  <conditionalFormatting sqref="B4:B163">
    <cfRule type="expression" dxfId="55" priority="97">
      <formula>KJ4=$KG$6</formula>
    </cfRule>
  </conditionalFormatting>
  <conditionalFormatting sqref="E4:E163">
    <cfRule type="cellIs" dxfId="54" priority="94" operator="equal">
      <formula>"Capital"</formula>
    </cfRule>
  </conditionalFormatting>
  <conditionalFormatting sqref="AL19:AM19 AL35:AM35 AL51:AM51 AL67:AM67 AL83:AM83 AL99:AM99 AL163:AM163">
    <cfRule type="cellIs" dxfId="53" priority="75" operator="equal">
      <formula>0</formula>
    </cfRule>
  </conditionalFormatting>
  <conditionalFormatting sqref="AL19:AM19 AL35:AM35 AL51:AM51 AL67:AM67 AL83:AM83 AL99:AM99 AL163:AM163">
    <cfRule type="cellIs" dxfId="52" priority="74" operator="greaterThanOrEqual">
      <formula>1</formula>
    </cfRule>
  </conditionalFormatting>
  <conditionalFormatting sqref="AL19:AM19 AL35:AM35 AL51:AM51 AL67:AM67 AL83:AM83 AL99:AM99 AL163:AM163">
    <cfRule type="cellIs" dxfId="51" priority="73" operator="lessThan">
      <formula>0</formula>
    </cfRule>
  </conditionalFormatting>
  <conditionalFormatting sqref="J4:J163">
    <cfRule type="cellIs" dxfId="50" priority="12" operator="equal">
      <formula>$J$164</formula>
    </cfRule>
    <cfRule type="cellIs" dxfId="49" priority="13" operator="equal">
      <formula>$J$165</formula>
    </cfRule>
    <cfRule type="cellIs" dxfId="48" priority="14" operator="equal">
      <formula>$J$166</formula>
    </cfRule>
    <cfRule type="cellIs" dxfId="47" priority="60" operator="equal">
      <formula>$J$167</formula>
    </cfRule>
    <cfRule type="cellIs" dxfId="46" priority="61" operator="equal">
      <formula>$J$168</formula>
    </cfRule>
    <cfRule type="cellIs" dxfId="45" priority="62" operator="equal">
      <formula>$J$169</formula>
    </cfRule>
    <cfRule type="cellIs" dxfId="44" priority="63" operator="equal">
      <formula>$J$170</formula>
    </cfRule>
    <cfRule type="cellIs" dxfId="43" priority="64" operator="equal">
      <formula>$J$171</formula>
    </cfRule>
    <cfRule type="cellIs" dxfId="42" priority="95" operator="equal">
      <formula>$J$172</formula>
    </cfRule>
  </conditionalFormatting>
  <conditionalFormatting sqref="AG5:AG163">
    <cfRule type="cellIs" dxfId="41" priority="93" operator="equal">
      <formula>"SIM"</formula>
    </cfRule>
  </conditionalFormatting>
  <conditionalFormatting sqref="AK4:AK163">
    <cfRule type="cellIs" dxfId="40" priority="45" stopIfTrue="1" operator="equal">
      <formula>$KG$4</formula>
    </cfRule>
    <cfRule type="cellIs" dxfId="39" priority="47" stopIfTrue="1" operator="equal">
      <formula>$EK$1</formula>
    </cfRule>
    <cfRule type="cellIs" dxfId="38" priority="48" stopIfTrue="1" operator="equal">
      <formula>$KG$6</formula>
    </cfRule>
    <cfRule type="cellIs" dxfId="37" priority="49" stopIfTrue="1" operator="equal">
      <formula>$KG$7</formula>
    </cfRule>
    <cfRule type="cellIs" dxfId="36" priority="50" stopIfTrue="1" operator="equal">
      <formula>$KG$8</formula>
    </cfRule>
    <cfRule type="cellIs" dxfId="35" priority="51" stopIfTrue="1" operator="equal">
      <formula>$KG$9</formula>
    </cfRule>
    <cfRule type="cellIs" dxfId="34" priority="52" stopIfTrue="1" operator="equal">
      <formula>$KG$11</formula>
    </cfRule>
    <cfRule type="cellIs" dxfId="33" priority="53" stopIfTrue="1" operator="equal">
      <formula>$KG$16</formula>
    </cfRule>
    <cfRule type="cellIs" dxfId="32" priority="54" stopIfTrue="1" operator="equal">
      <formula>$KG$17</formula>
    </cfRule>
    <cfRule type="expression" dxfId="31" priority="55" stopIfTrue="1">
      <formula>IF(AK4=$KF$2,TRUE)</formula>
    </cfRule>
    <cfRule type="expression" dxfId="30" priority="56" stopIfTrue="1">
      <formula>IF(AK4=$KG$20,TRUE)</formula>
    </cfRule>
    <cfRule type="expression" dxfId="29" priority="57" stopIfTrue="1">
      <formula>IF(AK4=$KG$21,TRUE)</formula>
    </cfRule>
    <cfRule type="expression" dxfId="28" priority="58" stopIfTrue="1">
      <formula>IF(AK4=$KH$3,TRUE)</formula>
    </cfRule>
    <cfRule type="expression" dxfId="27" priority="59" stopIfTrue="1">
      <formula>IF(AK4=$KJ4&amp;" - "&amp;$KK4,TRUE)</formula>
    </cfRule>
  </conditionalFormatting>
  <conditionalFormatting sqref="AH4">
    <cfRule type="expression" dxfId="26" priority="36">
      <formula>IF($KS4=16,TRUE)</formula>
    </cfRule>
    <cfRule type="expression" dxfId="25" priority="37">
      <formula>IF($KS4=12,TRUE)</formula>
    </cfRule>
  </conditionalFormatting>
  <conditionalFormatting sqref="AG4:AG163">
    <cfRule type="cellIs" dxfId="24" priority="38" operator="equal">
      <formula>"SIM"</formula>
    </cfRule>
  </conditionalFormatting>
  <conditionalFormatting sqref="AG4:AJ163">
    <cfRule type="expression" dxfId="23" priority="31">
      <formula>IF(AND($E4=$E$165,$AG4=""),TRUE)</formula>
    </cfRule>
    <cfRule type="expression" dxfId="22" priority="32">
      <formula>IF(AND($E4=$E$165,$AG4="SIM",$AH4=""),TRUE)</formula>
    </cfRule>
    <cfRule type="expression" dxfId="21" priority="33">
      <formula>IF(AND($E4=$E$165,$AG4="SIM",$AI4=""),TRUE)</formula>
    </cfRule>
    <cfRule type="expression" dxfId="20" priority="34">
      <formula>IF(AND($E4=$E$165,$AG4="SIM",$AJ4=""),TRUE)</formula>
    </cfRule>
    <cfRule type="expression" dxfId="19" priority="35">
      <formula>IF($AI4*$AJ4&lt;&gt;$T4,TRUE)</formula>
    </cfRule>
  </conditionalFormatting>
  <conditionalFormatting sqref="AL131:AM131">
    <cfRule type="cellIs" dxfId="18" priority="26" operator="equal">
      <formula>0</formula>
    </cfRule>
  </conditionalFormatting>
  <conditionalFormatting sqref="AL131:AM131">
    <cfRule type="cellIs" dxfId="17" priority="25" operator="greaterThanOrEqual">
      <formula>1</formula>
    </cfRule>
  </conditionalFormatting>
  <conditionalFormatting sqref="AL131:AM131">
    <cfRule type="cellIs" dxfId="16" priority="24" operator="lessThan">
      <formula>0</formula>
    </cfRule>
  </conditionalFormatting>
  <conditionalFormatting sqref="AL147:AM147">
    <cfRule type="cellIs" dxfId="15" priority="22" operator="equal">
      <formula>0</formula>
    </cfRule>
  </conditionalFormatting>
  <conditionalFormatting sqref="AL147:AM147">
    <cfRule type="cellIs" dxfId="14" priority="21" operator="greaterThanOrEqual">
      <formula>1</formula>
    </cfRule>
  </conditionalFormatting>
  <conditionalFormatting sqref="AL147:AM147">
    <cfRule type="cellIs" dxfId="13" priority="20" operator="lessThan">
      <formula>0</formula>
    </cfRule>
  </conditionalFormatting>
  <conditionalFormatting sqref="AL115:AM115">
    <cfRule type="cellIs" dxfId="12" priority="18" operator="equal">
      <formula>0</formula>
    </cfRule>
  </conditionalFormatting>
  <conditionalFormatting sqref="AL115:AM115">
    <cfRule type="cellIs" dxfId="11" priority="17" operator="greaterThanOrEqual">
      <formula>1</formula>
    </cfRule>
  </conditionalFormatting>
  <conditionalFormatting sqref="AL115:AM115">
    <cfRule type="cellIs" dxfId="10" priority="16" operator="lessThan">
      <formula>0</formula>
    </cfRule>
  </conditionalFormatting>
  <conditionalFormatting sqref="AL4:AM4">
    <cfRule type="cellIs" dxfId="9" priority="11" operator="notEqual">
      <formula>""</formula>
    </cfRule>
  </conditionalFormatting>
  <conditionalFormatting sqref="AL20:AM20">
    <cfRule type="cellIs" dxfId="8" priority="9" operator="notEqual">
      <formula>""</formula>
    </cfRule>
  </conditionalFormatting>
  <conditionalFormatting sqref="AL36:AM36">
    <cfRule type="cellIs" dxfId="7" priority="8" operator="notEqual">
      <formula>""</formula>
    </cfRule>
  </conditionalFormatting>
  <conditionalFormatting sqref="AL52:AM52">
    <cfRule type="cellIs" dxfId="6" priority="7" operator="notEqual">
      <formula>""</formula>
    </cfRule>
  </conditionalFormatting>
  <conditionalFormatting sqref="AL68:AM68">
    <cfRule type="cellIs" dxfId="5" priority="6" operator="notEqual">
      <formula>""</formula>
    </cfRule>
  </conditionalFormatting>
  <conditionalFormatting sqref="AL84:AM84">
    <cfRule type="cellIs" dxfId="4" priority="5" operator="notEqual">
      <formula>""</formula>
    </cfRule>
  </conditionalFormatting>
  <conditionalFormatting sqref="AL100:AM100">
    <cfRule type="cellIs" dxfId="3" priority="4" operator="notEqual">
      <formula>""</formula>
    </cfRule>
  </conditionalFormatting>
  <conditionalFormatting sqref="AL116:AM116">
    <cfRule type="cellIs" dxfId="2" priority="3" operator="notEqual">
      <formula>""</formula>
    </cfRule>
  </conditionalFormatting>
  <conditionalFormatting sqref="AL132:AM132">
    <cfRule type="cellIs" dxfId="1" priority="2" operator="notEqual">
      <formula>""</formula>
    </cfRule>
  </conditionalFormatting>
  <conditionalFormatting sqref="AL148:AM148">
    <cfRule type="cellIs" dxfId="0" priority="1" operator="notEqual">
      <formula>""</formula>
    </cfRule>
  </conditionalFormatting>
  <dataValidations count="8">
    <dataValidation type="list" allowBlank="1" showInputMessage="1" showErrorMessage="1" sqref="C4:C163">
      <formula1>IF(OR(B4="",B4=$B$165),$C$166,IF(OR(B4&lt;&gt;$B$165,B4&lt;&gt;""),cnpj_cpf))</formula1>
    </dataValidation>
    <dataValidation type="list" allowBlank="1" showInputMessage="1" showErrorMessage="1" sqref="G4:G163">
      <formula1>$G$201:$G$218</formula1>
    </dataValidation>
    <dataValidation type="list" allowBlank="1" showInputMessage="1" showErrorMessage="1" sqref="V4:V163">
      <formula1>IF(AND(N4&lt;&gt;$N$164,Q4&lt;&gt;""),simnao,IF(AND(N4=$N$164,Q4&lt;&gt;""),$V$166))</formula1>
    </dataValidation>
    <dataValidation type="list" allowBlank="1" showInputMessage="1" showErrorMessage="1" sqref="J4:J163">
      <formula1>IF($G4=$G$202,sim_2,sim)</formula1>
    </dataValidation>
    <dataValidation type="list" allowBlank="1" showInputMessage="1" showErrorMessage="1" sqref="N4:N163">
      <formula1>$N$164:$N$173</formula1>
    </dataValidation>
    <dataValidation type="whole" allowBlank="1" showInputMessage="1" showErrorMessage="1" sqref="K4:K163">
      <formula1>1</formula1>
      <formula2>9999</formula2>
    </dataValidation>
    <dataValidation type="date" allowBlank="1" showInputMessage="1" showErrorMessage="1" errorTitle="Atenção" error="Data fora do Período" sqref="P4:P163 R4:R163">
      <formula1>43739</formula1>
      <formula2>44135</formula2>
    </dataValidation>
    <dataValidation type="list" allowBlank="1" showInputMessage="1" showErrorMessage="1" sqref="AG4:AG163">
      <formula1>IF(OR(A4="",E4="Custeio"),$AN$1,IF(E4="Capital",$AN$2:$AN$3))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M365"/>
  <sheetViews>
    <sheetView showRowColHeaders="0" workbookViewId="0">
      <pane ySplit="1" topLeftCell="A2" activePane="bottomLeft" state="frozen"/>
      <selection pane="bottomLeft" activeCell="A2" sqref="A2:M2"/>
    </sheetView>
  </sheetViews>
  <sheetFormatPr defaultColWidth="0" defaultRowHeight="12.75" zeroHeight="1" x14ac:dyDescent="0.2"/>
  <cols>
    <col min="1" max="1" width="10" customWidth="1"/>
    <col min="2" max="2" width="3.85546875" customWidth="1"/>
    <col min="3" max="13" width="9.140625" customWidth="1"/>
    <col min="14" max="16384" width="9.140625" hidden="1"/>
  </cols>
  <sheetData>
    <row r="1" spans="1:13" ht="60" customHeight="1" x14ac:dyDescent="0.2">
      <c r="A1" s="587"/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</row>
    <row r="2" spans="1:13" ht="21" x14ac:dyDescent="0.2">
      <c r="A2" s="1959" t="s">
        <v>666</v>
      </c>
      <c r="B2" s="1959"/>
      <c r="C2" s="1959"/>
      <c r="D2" s="1959"/>
      <c r="E2" s="1959"/>
      <c r="F2" s="1959"/>
      <c r="G2" s="1959"/>
      <c r="H2" s="1959"/>
      <c r="I2" s="1959"/>
      <c r="J2" s="1959"/>
      <c r="K2" s="1959"/>
      <c r="L2" s="1959"/>
      <c r="M2" s="1959"/>
    </row>
    <row r="3" spans="1:13" ht="21.75" customHeight="1" x14ac:dyDescent="0.2">
      <c r="A3" s="587"/>
      <c r="B3" s="587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</row>
    <row r="4" spans="1:13" ht="21.75" customHeight="1" x14ac:dyDescent="0.2">
      <c r="A4" s="588" t="s">
        <v>608</v>
      </c>
      <c r="B4" s="587"/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7"/>
    </row>
    <row r="5" spans="1:13" ht="21.75" customHeight="1" x14ac:dyDescent="0.2">
      <c r="A5" s="587"/>
      <c r="B5" s="587"/>
      <c r="C5" s="587"/>
      <c r="D5" s="587"/>
      <c r="E5" s="587"/>
      <c r="F5" s="587"/>
      <c r="G5" s="587"/>
      <c r="H5" s="587"/>
      <c r="I5" s="587"/>
      <c r="J5" s="587"/>
      <c r="K5" s="587"/>
      <c r="L5" s="587"/>
      <c r="M5" s="587"/>
    </row>
    <row r="6" spans="1:13" ht="21.75" customHeight="1" x14ac:dyDescent="0.2">
      <c r="A6" s="587"/>
      <c r="B6" s="587"/>
      <c r="C6" s="587"/>
      <c r="D6" s="587"/>
      <c r="E6" s="587"/>
      <c r="F6" s="587"/>
      <c r="G6" s="587"/>
      <c r="H6" s="587"/>
      <c r="I6" s="587"/>
      <c r="J6" s="587"/>
      <c r="K6" s="587"/>
      <c r="L6" s="587"/>
      <c r="M6" s="587"/>
    </row>
    <row r="7" spans="1:13" x14ac:dyDescent="0.2">
      <c r="A7" s="587"/>
      <c r="B7" s="587"/>
      <c r="C7" s="587"/>
      <c r="D7" s="587"/>
      <c r="E7" s="587"/>
      <c r="F7" s="587"/>
      <c r="G7" s="587"/>
      <c r="H7" s="587"/>
      <c r="I7" s="587"/>
      <c r="J7" s="587"/>
      <c r="K7" s="587"/>
      <c r="L7" s="587"/>
      <c r="M7" s="587"/>
    </row>
    <row r="8" spans="1:13" ht="21.75" customHeight="1" x14ac:dyDescent="0.2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</row>
    <row r="9" spans="1:13" x14ac:dyDescent="0.2">
      <c r="A9" s="587"/>
      <c r="B9" s="587"/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</row>
    <row r="10" spans="1:13" x14ac:dyDescent="0.2">
      <c r="A10" s="587"/>
      <c r="B10" s="587"/>
      <c r="C10" s="587"/>
      <c r="D10" s="587"/>
      <c r="E10" s="587"/>
      <c r="F10" s="587"/>
      <c r="G10" s="587"/>
      <c r="H10" s="587"/>
      <c r="I10" s="587"/>
      <c r="J10" s="587"/>
      <c r="K10" s="587"/>
      <c r="L10" s="587"/>
      <c r="M10" s="587"/>
    </row>
    <row r="11" spans="1:13" x14ac:dyDescent="0.2">
      <c r="A11" s="587"/>
      <c r="B11" s="587"/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</row>
    <row r="12" spans="1:13" x14ac:dyDescent="0.2">
      <c r="A12" s="587"/>
      <c r="B12" s="587"/>
      <c r="C12" s="587"/>
      <c r="D12" s="587"/>
      <c r="E12" s="587"/>
      <c r="F12" s="587"/>
      <c r="G12" s="587"/>
      <c r="H12" s="587"/>
      <c r="I12" s="587"/>
      <c r="J12" s="587"/>
      <c r="K12" s="587"/>
      <c r="L12" s="587"/>
      <c r="M12" s="587"/>
    </row>
    <row r="13" spans="1:13" x14ac:dyDescent="0.2">
      <c r="A13" s="587"/>
      <c r="B13" s="587"/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</row>
    <row r="14" spans="1:13" x14ac:dyDescent="0.2">
      <c r="A14" s="587"/>
      <c r="B14" s="587"/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</row>
    <row r="15" spans="1:13" x14ac:dyDescent="0.2">
      <c r="A15" s="587"/>
      <c r="B15" s="587"/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</row>
    <row r="16" spans="1:13" x14ac:dyDescent="0.2">
      <c r="A16" s="587"/>
      <c r="B16" s="587"/>
      <c r="C16" s="587"/>
      <c r="D16" s="587"/>
      <c r="E16" s="587"/>
      <c r="F16" s="587"/>
      <c r="G16" s="587"/>
      <c r="H16" s="587"/>
      <c r="I16" s="587"/>
      <c r="J16" s="587"/>
      <c r="K16" s="587"/>
      <c r="L16" s="587"/>
      <c r="M16" s="587"/>
    </row>
    <row r="17" spans="1:13" x14ac:dyDescent="0.2">
      <c r="A17" s="587"/>
      <c r="B17" s="587"/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</row>
    <row r="18" spans="1:13" x14ac:dyDescent="0.2">
      <c r="A18" s="587"/>
      <c r="B18" s="587"/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</row>
    <row r="19" spans="1:13" x14ac:dyDescent="0.2">
      <c r="A19" s="587"/>
      <c r="B19" s="587"/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</row>
    <row r="20" spans="1:13" x14ac:dyDescent="0.2">
      <c r="A20" s="587"/>
      <c r="B20" s="587"/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</row>
    <row r="21" spans="1:13" x14ac:dyDescent="0.2">
      <c r="A21" s="587"/>
      <c r="B21" s="587"/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</row>
    <row r="22" spans="1:13" x14ac:dyDescent="0.2">
      <c r="A22" s="587"/>
      <c r="B22" s="587"/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</row>
    <row r="23" spans="1:13" x14ac:dyDescent="0.2">
      <c r="A23" s="587"/>
      <c r="B23" s="587"/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</row>
    <row r="24" spans="1:13" x14ac:dyDescent="0.2">
      <c r="A24" s="587"/>
      <c r="B24" s="587"/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</row>
    <row r="25" spans="1:13" x14ac:dyDescent="0.2">
      <c r="A25" s="587"/>
      <c r="B25" s="587"/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</row>
    <row r="26" spans="1:13" ht="15" x14ac:dyDescent="0.25">
      <c r="A26" s="587"/>
      <c r="B26" s="589" t="s">
        <v>609</v>
      </c>
      <c r="C26" s="590" t="s">
        <v>1330</v>
      </c>
      <c r="D26" s="587"/>
      <c r="E26" s="587"/>
      <c r="F26" s="587"/>
      <c r="G26" s="587"/>
      <c r="H26" s="587"/>
      <c r="I26" s="587"/>
      <c r="J26" s="587"/>
      <c r="K26" s="587"/>
      <c r="L26" s="587"/>
      <c r="M26" s="587"/>
    </row>
    <row r="27" spans="1:13" ht="33.75" customHeight="1" x14ac:dyDescent="0.2">
      <c r="A27" s="587"/>
      <c r="B27" s="589"/>
      <c r="C27" s="1958" t="s">
        <v>1336</v>
      </c>
      <c r="D27" s="1958"/>
      <c r="E27" s="1958"/>
      <c r="F27" s="1958"/>
      <c r="G27" s="1958"/>
      <c r="H27" s="1958"/>
      <c r="I27" s="1958"/>
      <c r="J27" s="1958"/>
      <c r="K27" s="1958"/>
      <c r="L27" s="1958"/>
      <c r="M27" s="587"/>
    </row>
    <row r="28" spans="1:13" hidden="1" x14ac:dyDescent="0.2">
      <c r="A28" s="587"/>
      <c r="B28" s="587"/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</row>
    <row r="29" spans="1:13" ht="15" x14ac:dyDescent="0.25">
      <c r="A29" s="587"/>
      <c r="B29" s="590" t="s">
        <v>610</v>
      </c>
      <c r="C29" s="590" t="s">
        <v>1331</v>
      </c>
      <c r="D29" s="587"/>
      <c r="E29" s="587"/>
      <c r="F29" s="587"/>
      <c r="G29" s="587"/>
      <c r="H29" s="587"/>
      <c r="I29" s="587"/>
      <c r="J29" s="587"/>
      <c r="K29" s="587"/>
      <c r="L29" s="587"/>
      <c r="M29" s="587"/>
    </row>
    <row r="30" spans="1:13" ht="33.75" customHeight="1" x14ac:dyDescent="0.2">
      <c r="A30" s="587"/>
      <c r="B30" s="587"/>
      <c r="C30" s="1960" t="s">
        <v>1337</v>
      </c>
      <c r="D30" s="1960"/>
      <c r="E30" s="1960"/>
      <c r="F30" s="1960"/>
      <c r="G30" s="1960"/>
      <c r="H30" s="1960"/>
      <c r="I30" s="1960"/>
      <c r="J30" s="1960"/>
      <c r="K30" s="1960"/>
      <c r="L30" s="1960"/>
      <c r="M30" s="587"/>
    </row>
    <row r="31" spans="1:13" x14ac:dyDescent="0.2">
      <c r="A31" s="587"/>
      <c r="B31" s="587"/>
      <c r="C31" s="587"/>
      <c r="D31" s="587"/>
      <c r="E31" s="587"/>
      <c r="F31" s="587"/>
      <c r="G31" s="587"/>
      <c r="H31" s="587"/>
      <c r="I31" s="587"/>
      <c r="J31" s="587"/>
      <c r="K31" s="587"/>
      <c r="L31" s="587"/>
      <c r="M31" s="587"/>
    </row>
    <row r="32" spans="1:13" ht="15" x14ac:dyDescent="0.25">
      <c r="A32" s="587"/>
      <c r="B32" s="590" t="s">
        <v>611</v>
      </c>
      <c r="C32" s="590" t="s">
        <v>1082</v>
      </c>
      <c r="D32" s="587"/>
      <c r="E32" s="587"/>
      <c r="F32" s="587"/>
      <c r="G32" s="587"/>
      <c r="H32" s="587"/>
      <c r="I32" s="587"/>
      <c r="J32" s="587"/>
      <c r="K32" s="587"/>
      <c r="L32" s="587"/>
      <c r="M32" s="587"/>
    </row>
    <row r="33" spans="1:13" ht="15" x14ac:dyDescent="0.25">
      <c r="A33" s="587"/>
      <c r="B33" s="587"/>
      <c r="C33" s="592" t="s">
        <v>1338</v>
      </c>
      <c r="D33" s="587"/>
      <c r="E33" s="587"/>
      <c r="F33" s="587"/>
      <c r="G33" s="587"/>
      <c r="H33" s="587"/>
      <c r="I33" s="587"/>
      <c r="J33" s="587"/>
      <c r="K33" s="587"/>
      <c r="L33" s="587"/>
      <c r="M33" s="587"/>
    </row>
    <row r="34" spans="1:13" x14ac:dyDescent="0.2">
      <c r="A34" s="587"/>
      <c r="B34" s="587"/>
      <c r="C34" s="587"/>
      <c r="D34" s="587"/>
      <c r="E34" s="587"/>
      <c r="F34" s="587"/>
      <c r="G34" s="587"/>
      <c r="H34" s="587"/>
      <c r="I34" s="587"/>
      <c r="J34" s="587"/>
      <c r="K34" s="587"/>
      <c r="L34" s="587"/>
      <c r="M34" s="587"/>
    </row>
    <row r="35" spans="1:13" ht="15" x14ac:dyDescent="0.25">
      <c r="A35" s="587"/>
      <c r="B35" s="590" t="s">
        <v>626</v>
      </c>
      <c r="C35" s="590" t="s">
        <v>1339</v>
      </c>
      <c r="D35" s="587"/>
      <c r="E35" s="587"/>
      <c r="F35" s="587"/>
      <c r="G35" s="587"/>
      <c r="H35" s="587"/>
      <c r="I35" s="587"/>
      <c r="J35" s="587"/>
      <c r="K35" s="587"/>
      <c r="L35" s="587"/>
      <c r="M35" s="587"/>
    </row>
    <row r="36" spans="1:13" ht="33.75" customHeight="1" x14ac:dyDescent="0.2">
      <c r="A36" s="587"/>
      <c r="B36" s="587"/>
      <c r="C36" s="1960" t="s">
        <v>1340</v>
      </c>
      <c r="D36" s="1960"/>
      <c r="E36" s="1960"/>
      <c r="F36" s="1960"/>
      <c r="G36" s="1960"/>
      <c r="H36" s="1960"/>
      <c r="I36" s="1960"/>
      <c r="J36" s="1960"/>
      <c r="K36" s="1960"/>
      <c r="L36" s="1960"/>
      <c r="M36" s="587"/>
    </row>
    <row r="37" spans="1:13" ht="15" x14ac:dyDescent="0.25">
      <c r="A37" s="587"/>
      <c r="B37" s="587"/>
      <c r="C37" s="592"/>
      <c r="D37" s="587"/>
      <c r="E37" s="587"/>
      <c r="F37" s="587"/>
      <c r="G37" s="587"/>
      <c r="H37" s="587"/>
      <c r="I37" s="587"/>
      <c r="J37" s="587"/>
      <c r="K37" s="587"/>
      <c r="L37" s="587"/>
      <c r="M37" s="587"/>
    </row>
    <row r="38" spans="1:13" ht="15" x14ac:dyDescent="0.25">
      <c r="A38" s="587"/>
      <c r="B38" s="590" t="s">
        <v>673</v>
      </c>
      <c r="C38" s="590" t="s">
        <v>1341</v>
      </c>
      <c r="D38" s="587"/>
      <c r="E38" s="587"/>
      <c r="F38" s="587"/>
      <c r="G38" s="587"/>
      <c r="H38" s="587"/>
      <c r="I38" s="587"/>
      <c r="J38" s="587"/>
      <c r="K38" s="587"/>
      <c r="L38" s="587"/>
      <c r="M38" s="587"/>
    </row>
    <row r="39" spans="1:13" ht="15" x14ac:dyDescent="0.25">
      <c r="A39" s="587"/>
      <c r="B39" s="587"/>
      <c r="C39" s="592" t="s">
        <v>1342</v>
      </c>
      <c r="D39" s="587"/>
      <c r="E39" s="587"/>
      <c r="F39" s="587"/>
      <c r="G39" s="587"/>
      <c r="H39" s="587"/>
      <c r="I39" s="587"/>
      <c r="J39" s="587"/>
      <c r="K39" s="587"/>
      <c r="L39" s="587"/>
      <c r="M39" s="587"/>
    </row>
    <row r="40" spans="1:13" ht="15" x14ac:dyDescent="0.25">
      <c r="A40" s="587"/>
      <c r="B40" s="587"/>
      <c r="C40" s="592"/>
      <c r="D40" s="587"/>
      <c r="E40" s="587"/>
      <c r="F40" s="587"/>
      <c r="G40" s="587"/>
      <c r="H40" s="587"/>
      <c r="I40" s="587"/>
      <c r="J40" s="587"/>
      <c r="K40" s="587"/>
      <c r="L40" s="587"/>
      <c r="M40" s="587"/>
    </row>
    <row r="41" spans="1:13" ht="15" x14ac:dyDescent="0.25">
      <c r="A41" s="587"/>
      <c r="B41" s="590" t="s">
        <v>1343</v>
      </c>
      <c r="C41" s="590" t="s">
        <v>1333</v>
      </c>
      <c r="D41" s="587"/>
      <c r="E41" s="587"/>
      <c r="F41" s="587"/>
      <c r="G41" s="587"/>
      <c r="H41" s="587"/>
      <c r="I41" s="587"/>
      <c r="J41" s="587"/>
      <c r="K41" s="587"/>
      <c r="L41" s="587"/>
      <c r="M41" s="587"/>
    </row>
    <row r="42" spans="1:13" ht="33.75" customHeight="1" x14ac:dyDescent="0.2">
      <c r="A42" s="587"/>
      <c r="B42" s="587"/>
      <c r="C42" s="1960" t="s">
        <v>1344</v>
      </c>
      <c r="D42" s="1960"/>
      <c r="E42" s="1960"/>
      <c r="F42" s="1960"/>
      <c r="G42" s="1960"/>
      <c r="H42" s="1960"/>
      <c r="I42" s="1960"/>
      <c r="J42" s="1960"/>
      <c r="K42" s="1960"/>
      <c r="L42" s="1960"/>
      <c r="M42" s="587"/>
    </row>
    <row r="43" spans="1:13" x14ac:dyDescent="0.2">
      <c r="A43" s="587"/>
      <c r="B43" s="587"/>
      <c r="C43" s="587"/>
      <c r="D43" s="587"/>
      <c r="E43" s="587"/>
      <c r="F43" s="587"/>
      <c r="G43" s="587"/>
      <c r="H43" s="587"/>
      <c r="I43" s="587"/>
      <c r="J43" s="587"/>
      <c r="K43" s="587"/>
      <c r="L43" s="587"/>
      <c r="M43" s="587"/>
    </row>
    <row r="44" spans="1:13" ht="15" x14ac:dyDescent="0.25">
      <c r="A44" s="587"/>
      <c r="B44" s="590" t="s">
        <v>1345</v>
      </c>
      <c r="C44" s="590" t="s">
        <v>1161</v>
      </c>
      <c r="D44" s="587"/>
      <c r="E44" s="587"/>
      <c r="F44" s="587"/>
      <c r="G44" s="587"/>
      <c r="H44" s="587"/>
      <c r="I44" s="587"/>
      <c r="J44" s="587"/>
      <c r="K44" s="587"/>
      <c r="L44" s="587"/>
      <c r="M44" s="587"/>
    </row>
    <row r="45" spans="1:13" ht="33.75" customHeight="1" x14ac:dyDescent="0.2">
      <c r="A45" s="587"/>
      <c r="B45" s="587"/>
      <c r="C45" s="1960" t="s">
        <v>1346</v>
      </c>
      <c r="D45" s="1960"/>
      <c r="E45" s="1960"/>
      <c r="F45" s="1960"/>
      <c r="G45" s="1960"/>
      <c r="H45" s="1960"/>
      <c r="I45" s="1960"/>
      <c r="J45" s="1960"/>
      <c r="K45" s="1960"/>
      <c r="L45" s="1960"/>
      <c r="M45" s="587"/>
    </row>
    <row r="46" spans="1:13" x14ac:dyDescent="0.2">
      <c r="A46" s="587"/>
      <c r="B46" s="587"/>
      <c r="C46" s="587"/>
      <c r="D46" s="587"/>
      <c r="E46" s="587"/>
      <c r="F46" s="587"/>
      <c r="G46" s="587"/>
      <c r="H46" s="587"/>
      <c r="I46" s="587"/>
      <c r="J46" s="587"/>
      <c r="K46" s="587"/>
      <c r="L46" s="587"/>
      <c r="M46" s="587"/>
    </row>
    <row r="47" spans="1:13" x14ac:dyDescent="0.2">
      <c r="A47" s="587"/>
      <c r="B47" s="587"/>
      <c r="C47" s="587"/>
      <c r="D47" s="587"/>
      <c r="E47" s="587"/>
      <c r="F47" s="587"/>
      <c r="G47" s="587"/>
      <c r="H47" s="587"/>
      <c r="I47" s="587"/>
      <c r="J47" s="587"/>
      <c r="K47" s="587"/>
      <c r="L47" s="587"/>
      <c r="M47" s="587"/>
    </row>
    <row r="48" spans="1:13" ht="21.75" customHeight="1" x14ac:dyDescent="0.2">
      <c r="A48" s="588" t="s">
        <v>612</v>
      </c>
      <c r="B48" s="587"/>
      <c r="C48" s="587"/>
      <c r="D48" s="587"/>
      <c r="E48" s="587"/>
      <c r="F48" s="587"/>
      <c r="G48" s="587"/>
      <c r="H48" s="587"/>
      <c r="I48" s="587"/>
      <c r="J48" s="587"/>
      <c r="K48" s="587"/>
      <c r="L48" s="587"/>
      <c r="M48" s="587"/>
    </row>
    <row r="49" spans="1:13" x14ac:dyDescent="0.2">
      <c r="A49" s="587"/>
      <c r="B49" s="587"/>
      <c r="C49" s="587"/>
      <c r="D49" s="587"/>
      <c r="E49" s="587"/>
      <c r="F49" s="587"/>
      <c r="G49" s="587"/>
      <c r="H49" s="587"/>
      <c r="I49" s="587"/>
      <c r="J49" s="587"/>
      <c r="K49" s="587"/>
      <c r="L49" s="587"/>
      <c r="M49" s="587"/>
    </row>
    <row r="50" spans="1:13" ht="15" x14ac:dyDescent="0.2">
      <c r="A50" s="587"/>
      <c r="B50" s="587"/>
      <c r="C50" s="674" t="s">
        <v>1347</v>
      </c>
      <c r="D50" s="587"/>
      <c r="E50" s="587"/>
      <c r="F50" s="587"/>
      <c r="G50" s="587"/>
      <c r="H50" s="587"/>
      <c r="I50" s="587"/>
      <c r="J50" s="587"/>
      <c r="K50" s="587"/>
      <c r="L50" s="587"/>
      <c r="M50" s="587"/>
    </row>
    <row r="51" spans="1:13" x14ac:dyDescent="0.2">
      <c r="A51" s="587"/>
      <c r="B51" s="587"/>
      <c r="C51" s="587"/>
      <c r="D51" s="587"/>
      <c r="E51" s="587"/>
      <c r="F51" s="587"/>
      <c r="G51" s="587"/>
      <c r="H51" s="587"/>
      <c r="I51" s="587"/>
      <c r="J51" s="587"/>
      <c r="K51" s="587"/>
      <c r="L51" s="587"/>
      <c r="M51" s="587"/>
    </row>
    <row r="52" spans="1:13" ht="186" customHeight="1" x14ac:dyDescent="0.2">
      <c r="A52" s="587"/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587"/>
      <c r="M52" s="587"/>
    </row>
    <row r="53" spans="1:13" x14ac:dyDescent="0.2">
      <c r="A53" s="587"/>
      <c r="B53" s="587"/>
      <c r="C53" s="587"/>
      <c r="D53" s="587"/>
      <c r="E53" s="587"/>
      <c r="F53" s="587"/>
      <c r="G53" s="587"/>
      <c r="H53" s="587"/>
      <c r="I53" s="587"/>
      <c r="J53" s="587"/>
      <c r="K53" s="587"/>
      <c r="L53" s="587"/>
      <c r="M53" s="587"/>
    </row>
    <row r="54" spans="1:13" hidden="1" x14ac:dyDescent="0.2">
      <c r="A54" s="587"/>
      <c r="B54" s="587"/>
      <c r="C54" s="587"/>
      <c r="D54" s="587"/>
      <c r="E54" s="587"/>
      <c r="F54" s="587"/>
      <c r="G54" s="587"/>
      <c r="H54" s="587"/>
      <c r="I54" s="587"/>
      <c r="J54" s="587"/>
      <c r="K54" s="587"/>
      <c r="L54" s="587"/>
      <c r="M54" s="587"/>
    </row>
    <row r="55" spans="1:13" hidden="1" x14ac:dyDescent="0.2">
      <c r="A55" s="587"/>
      <c r="B55" s="587"/>
      <c r="C55" s="587"/>
      <c r="D55" s="587"/>
      <c r="E55" s="587"/>
      <c r="F55" s="587"/>
      <c r="G55" s="587"/>
      <c r="H55" s="587"/>
      <c r="I55" s="587"/>
      <c r="J55" s="587"/>
      <c r="K55" s="587"/>
      <c r="L55" s="587"/>
      <c r="M55" s="587"/>
    </row>
    <row r="56" spans="1:13" x14ac:dyDescent="0.2">
      <c r="A56" s="587"/>
      <c r="B56" s="587"/>
      <c r="C56" s="587"/>
      <c r="D56" s="587"/>
      <c r="E56" s="587"/>
      <c r="F56" s="587"/>
      <c r="G56" s="587"/>
      <c r="H56" s="587"/>
      <c r="I56" s="587"/>
      <c r="J56" s="587"/>
      <c r="K56" s="587"/>
      <c r="L56" s="587"/>
      <c r="M56" s="587"/>
    </row>
    <row r="57" spans="1:13" ht="21.75" customHeight="1" x14ac:dyDescent="0.2">
      <c r="A57" s="588" t="s">
        <v>631</v>
      </c>
      <c r="B57" s="587"/>
      <c r="C57" s="587"/>
      <c r="D57" s="587"/>
      <c r="E57" s="587"/>
      <c r="F57" s="587"/>
      <c r="G57" s="587"/>
      <c r="H57" s="587"/>
      <c r="I57" s="587"/>
      <c r="J57" s="587"/>
      <c r="K57" s="587"/>
      <c r="L57" s="587"/>
      <c r="M57" s="587"/>
    </row>
    <row r="58" spans="1:13" x14ac:dyDescent="0.2">
      <c r="A58" s="587"/>
      <c r="B58" s="587"/>
      <c r="C58" s="587"/>
      <c r="D58" s="587"/>
      <c r="E58" s="587"/>
      <c r="F58" s="587"/>
      <c r="G58" s="587"/>
      <c r="H58" s="587"/>
      <c r="I58" s="587"/>
      <c r="J58" s="587"/>
      <c r="K58" s="587"/>
      <c r="L58" s="587"/>
      <c r="M58" s="587"/>
    </row>
    <row r="59" spans="1:13" ht="15" x14ac:dyDescent="0.2">
      <c r="A59" s="587"/>
      <c r="B59" s="589" t="s">
        <v>609</v>
      </c>
      <c r="C59" s="593" t="s">
        <v>307</v>
      </c>
      <c r="D59" s="587"/>
      <c r="E59" s="587"/>
      <c r="F59" s="587"/>
      <c r="G59" s="587"/>
      <c r="H59" s="587"/>
      <c r="I59" s="587"/>
      <c r="J59" s="587"/>
      <c r="K59" s="587"/>
      <c r="L59" s="587"/>
      <c r="M59" s="587"/>
    </row>
    <row r="60" spans="1:13" x14ac:dyDescent="0.2">
      <c r="A60" s="587"/>
      <c r="B60" s="587"/>
      <c r="C60" s="587"/>
      <c r="D60" s="587"/>
      <c r="E60" s="587"/>
      <c r="F60" s="587"/>
      <c r="G60" s="587"/>
      <c r="H60" s="587"/>
      <c r="I60" s="587"/>
      <c r="J60" s="587"/>
      <c r="K60" s="587"/>
      <c r="L60" s="587"/>
      <c r="M60" s="587"/>
    </row>
    <row r="61" spans="1:13" x14ac:dyDescent="0.2">
      <c r="A61" s="587"/>
      <c r="B61" s="587"/>
      <c r="C61" s="587"/>
      <c r="D61" s="587"/>
      <c r="E61" s="587"/>
      <c r="F61" s="587"/>
      <c r="G61" s="587"/>
      <c r="H61" s="587"/>
      <c r="I61" s="587"/>
      <c r="J61" s="587"/>
      <c r="K61" s="587"/>
      <c r="L61" s="587"/>
      <c r="M61" s="587"/>
    </row>
    <row r="62" spans="1:13" x14ac:dyDescent="0.2">
      <c r="A62" s="587"/>
      <c r="B62" s="587"/>
      <c r="C62" s="587"/>
      <c r="D62" s="587"/>
      <c r="E62" s="587"/>
      <c r="F62" s="587"/>
      <c r="G62" s="587"/>
      <c r="H62" s="587"/>
      <c r="I62" s="587"/>
      <c r="J62" s="587"/>
      <c r="K62" s="587"/>
      <c r="L62" s="587"/>
      <c r="M62" s="587"/>
    </row>
    <row r="63" spans="1:13" x14ac:dyDescent="0.2">
      <c r="A63" s="587"/>
      <c r="B63" s="587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</row>
    <row r="64" spans="1:13" x14ac:dyDescent="0.2">
      <c r="A64" s="587"/>
      <c r="B64" s="587"/>
      <c r="C64" s="587"/>
      <c r="D64" s="587"/>
      <c r="E64" s="587"/>
      <c r="F64" s="587"/>
      <c r="G64" s="587"/>
      <c r="H64" s="587"/>
      <c r="I64" s="587"/>
      <c r="J64" s="587"/>
      <c r="K64" s="587"/>
      <c r="L64" s="587"/>
      <c r="M64" s="587"/>
    </row>
    <row r="65" spans="1:13" x14ac:dyDescent="0.2">
      <c r="A65" s="587"/>
      <c r="B65" s="587"/>
      <c r="C65" s="587"/>
      <c r="D65" s="587"/>
      <c r="E65" s="587"/>
      <c r="F65" s="587"/>
      <c r="G65" s="587"/>
      <c r="H65" s="587"/>
      <c r="I65" s="587"/>
      <c r="J65" s="587"/>
      <c r="K65" s="587"/>
      <c r="L65" s="587"/>
      <c r="M65" s="587"/>
    </row>
    <row r="66" spans="1:13" x14ac:dyDescent="0.2">
      <c r="A66" s="587"/>
      <c r="B66" s="587"/>
      <c r="C66" s="587"/>
      <c r="D66" s="587"/>
      <c r="E66" s="587"/>
      <c r="F66" s="587"/>
      <c r="G66" s="587"/>
      <c r="H66" s="587"/>
      <c r="I66" s="587"/>
      <c r="J66" s="587"/>
      <c r="K66" s="587"/>
      <c r="L66" s="587"/>
      <c r="M66" s="587"/>
    </row>
    <row r="67" spans="1:13" x14ac:dyDescent="0.2">
      <c r="A67" s="587"/>
      <c r="B67" s="587"/>
      <c r="C67" s="587"/>
      <c r="D67" s="587"/>
      <c r="E67" s="587"/>
      <c r="F67" s="587"/>
      <c r="G67" s="587"/>
      <c r="H67" s="587"/>
      <c r="I67" s="587"/>
      <c r="J67" s="587"/>
      <c r="K67" s="587"/>
      <c r="L67" s="587"/>
      <c r="M67" s="587"/>
    </row>
    <row r="68" spans="1:13" x14ac:dyDescent="0.2">
      <c r="A68" s="587"/>
      <c r="B68" s="587"/>
      <c r="C68" s="587"/>
      <c r="D68" s="587"/>
      <c r="E68" s="587"/>
      <c r="F68" s="587"/>
      <c r="G68" s="587"/>
      <c r="H68" s="587"/>
      <c r="I68" s="587"/>
      <c r="J68" s="587"/>
      <c r="K68" s="587"/>
      <c r="L68" s="587"/>
      <c r="M68" s="587"/>
    </row>
    <row r="69" spans="1:13" x14ac:dyDescent="0.2">
      <c r="A69" s="587"/>
      <c r="B69" s="587"/>
      <c r="C69" s="587"/>
      <c r="D69" s="587"/>
      <c r="E69" s="587"/>
      <c r="F69" s="587"/>
      <c r="G69" s="587"/>
      <c r="H69" s="587"/>
      <c r="I69" s="587"/>
      <c r="J69" s="587"/>
      <c r="K69" s="587"/>
      <c r="L69" s="587"/>
      <c r="M69" s="587"/>
    </row>
    <row r="70" spans="1:13" x14ac:dyDescent="0.2">
      <c r="A70" s="587"/>
      <c r="B70" s="587"/>
      <c r="C70" s="587"/>
      <c r="D70" s="587"/>
      <c r="E70" s="587"/>
      <c r="F70" s="587"/>
      <c r="G70" s="587"/>
      <c r="H70" s="587"/>
      <c r="I70" s="587"/>
      <c r="J70" s="587"/>
      <c r="K70" s="587"/>
      <c r="L70" s="587"/>
      <c r="M70" s="587"/>
    </row>
    <row r="71" spans="1:13" ht="15" x14ac:dyDescent="0.2">
      <c r="A71" s="587"/>
      <c r="B71" s="587"/>
      <c r="C71" s="594" t="s">
        <v>243</v>
      </c>
      <c r="D71" s="587"/>
      <c r="E71" s="587"/>
      <c r="F71" s="587"/>
      <c r="G71" s="587"/>
      <c r="H71" s="587"/>
      <c r="I71" s="587"/>
      <c r="J71" s="587"/>
      <c r="K71" s="587"/>
      <c r="L71" s="587"/>
      <c r="M71" s="587"/>
    </row>
    <row r="72" spans="1:13" ht="15" x14ac:dyDescent="0.2">
      <c r="A72" s="587"/>
      <c r="B72" s="587"/>
      <c r="C72" s="595" t="s">
        <v>674</v>
      </c>
      <c r="D72" s="587"/>
      <c r="E72" s="587"/>
      <c r="F72" s="587"/>
      <c r="G72" s="587"/>
      <c r="H72" s="587"/>
      <c r="I72" s="587"/>
      <c r="J72" s="587"/>
      <c r="K72" s="587"/>
      <c r="L72" s="587"/>
      <c r="M72" s="587"/>
    </row>
    <row r="73" spans="1:13" ht="15" x14ac:dyDescent="0.2">
      <c r="A73" s="587"/>
      <c r="B73" s="587"/>
      <c r="C73" s="595"/>
      <c r="D73" s="587"/>
      <c r="E73" s="587"/>
      <c r="F73" s="587"/>
      <c r="G73" s="587"/>
      <c r="H73" s="587"/>
      <c r="I73" s="587"/>
      <c r="J73" s="587"/>
      <c r="K73" s="587"/>
      <c r="L73" s="587"/>
      <c r="M73" s="587"/>
    </row>
    <row r="74" spans="1:13" ht="15" x14ac:dyDescent="0.2">
      <c r="A74" s="587"/>
      <c r="B74" s="587"/>
      <c r="C74" s="594" t="s">
        <v>307</v>
      </c>
      <c r="D74" s="587"/>
      <c r="E74" s="587"/>
      <c r="F74" s="587"/>
      <c r="G74" s="587"/>
      <c r="H74" s="587"/>
      <c r="I74" s="587"/>
      <c r="J74" s="587"/>
      <c r="K74" s="587"/>
      <c r="L74" s="587"/>
      <c r="M74" s="587"/>
    </row>
    <row r="75" spans="1:13" ht="15" x14ac:dyDescent="0.2">
      <c r="A75" s="587"/>
      <c r="B75" s="587"/>
      <c r="C75" s="595" t="s">
        <v>675</v>
      </c>
      <c r="D75" s="587"/>
      <c r="E75" s="587"/>
      <c r="F75" s="587"/>
      <c r="G75" s="587"/>
      <c r="H75" s="587"/>
      <c r="I75" s="587"/>
      <c r="J75" s="587"/>
      <c r="K75" s="587"/>
      <c r="L75" s="587"/>
      <c r="M75" s="587"/>
    </row>
    <row r="76" spans="1:13" ht="15" x14ac:dyDescent="0.2">
      <c r="A76" s="587"/>
      <c r="B76" s="587"/>
      <c r="C76" s="595"/>
      <c r="D76" s="587"/>
      <c r="E76" s="587"/>
      <c r="F76" s="587"/>
      <c r="G76" s="587"/>
      <c r="H76" s="587"/>
      <c r="I76" s="587"/>
      <c r="J76" s="587"/>
      <c r="K76" s="587"/>
      <c r="L76" s="587"/>
      <c r="M76" s="587"/>
    </row>
    <row r="77" spans="1:13" ht="15" x14ac:dyDescent="0.2">
      <c r="A77" s="587"/>
      <c r="B77" s="587"/>
      <c r="C77" s="594" t="s">
        <v>613</v>
      </c>
      <c r="D77" s="587"/>
      <c r="E77" s="587"/>
      <c r="F77" s="587"/>
      <c r="G77" s="587"/>
      <c r="H77" s="587"/>
      <c r="I77" s="587"/>
      <c r="J77" s="587"/>
      <c r="K77" s="587"/>
      <c r="L77" s="587"/>
      <c r="M77" s="587"/>
    </row>
    <row r="78" spans="1:13" ht="15" x14ac:dyDescent="0.2">
      <c r="A78" s="587"/>
      <c r="B78" s="587"/>
      <c r="C78" s="595" t="s">
        <v>676</v>
      </c>
      <c r="D78" s="587"/>
      <c r="E78" s="587"/>
      <c r="F78" s="587"/>
      <c r="G78" s="587"/>
      <c r="H78" s="587"/>
      <c r="I78" s="587"/>
      <c r="J78" s="587"/>
      <c r="K78" s="587"/>
      <c r="L78" s="587"/>
      <c r="M78" s="587"/>
    </row>
    <row r="79" spans="1:13" ht="15" x14ac:dyDescent="0.2">
      <c r="A79" s="587"/>
      <c r="B79" s="587"/>
      <c r="C79" s="595"/>
      <c r="D79" s="587"/>
      <c r="E79" s="587"/>
      <c r="F79" s="587"/>
      <c r="G79" s="587"/>
      <c r="H79" s="587"/>
      <c r="I79" s="587"/>
      <c r="J79" s="587"/>
      <c r="K79" s="587"/>
      <c r="L79" s="587"/>
      <c r="M79" s="587"/>
    </row>
    <row r="80" spans="1:13" ht="15" x14ac:dyDescent="0.2">
      <c r="A80" s="587"/>
      <c r="B80" s="587"/>
      <c r="C80" s="594" t="s">
        <v>614</v>
      </c>
      <c r="D80" s="587"/>
      <c r="E80" s="587"/>
      <c r="F80" s="587"/>
      <c r="G80" s="587"/>
      <c r="H80" s="587"/>
      <c r="I80" s="587"/>
      <c r="J80" s="587"/>
      <c r="K80" s="587"/>
      <c r="L80" s="587"/>
      <c r="M80" s="587"/>
    </row>
    <row r="81" spans="1:13" ht="43.5" customHeight="1" x14ac:dyDescent="0.2">
      <c r="A81" s="587"/>
      <c r="B81" s="587"/>
      <c r="C81" s="1960" t="s">
        <v>1348</v>
      </c>
      <c r="D81" s="1964"/>
      <c r="E81" s="1964"/>
      <c r="F81" s="1964"/>
      <c r="G81" s="1964"/>
      <c r="H81" s="1964"/>
      <c r="I81" s="1964"/>
      <c r="J81" s="1964"/>
      <c r="K81" s="1964"/>
      <c r="L81" s="1964"/>
      <c r="M81" s="587"/>
    </row>
    <row r="82" spans="1:13" ht="15" x14ac:dyDescent="0.2">
      <c r="A82" s="587"/>
      <c r="B82" s="587"/>
      <c r="C82" s="595"/>
      <c r="D82" s="587"/>
      <c r="E82" s="587"/>
      <c r="F82" s="587"/>
      <c r="G82" s="587"/>
      <c r="H82" s="587"/>
      <c r="I82" s="587"/>
      <c r="J82" s="587"/>
      <c r="K82" s="587"/>
      <c r="L82" s="587"/>
      <c r="M82" s="587"/>
    </row>
    <row r="83" spans="1:13" ht="15" x14ac:dyDescent="0.2">
      <c r="A83" s="587"/>
      <c r="B83" s="587"/>
      <c r="C83" s="594" t="s">
        <v>615</v>
      </c>
      <c r="D83" s="587"/>
      <c r="E83" s="587"/>
      <c r="F83" s="587"/>
      <c r="G83" s="587"/>
      <c r="H83" s="587"/>
      <c r="I83" s="587"/>
      <c r="J83" s="587"/>
      <c r="K83" s="587"/>
      <c r="L83" s="587"/>
      <c r="M83" s="587"/>
    </row>
    <row r="84" spans="1:13" ht="48" customHeight="1" x14ac:dyDescent="0.2">
      <c r="A84" s="587"/>
      <c r="B84" s="587"/>
      <c r="C84" s="594"/>
      <c r="D84" s="587"/>
      <c r="E84" s="587"/>
      <c r="F84" s="587"/>
      <c r="G84" s="587"/>
      <c r="H84" s="587"/>
      <c r="I84" s="587"/>
      <c r="J84" s="587"/>
      <c r="K84" s="587"/>
      <c r="L84" s="587"/>
      <c r="M84" s="587"/>
    </row>
    <row r="85" spans="1:13" ht="15" x14ac:dyDescent="0.25">
      <c r="A85" s="587"/>
      <c r="B85" s="587"/>
      <c r="C85" s="596" t="s">
        <v>616</v>
      </c>
      <c r="D85" s="587"/>
      <c r="E85" s="587"/>
      <c r="F85" s="587"/>
      <c r="G85" s="587"/>
      <c r="H85" s="587"/>
      <c r="I85" s="587"/>
      <c r="J85" s="587"/>
      <c r="K85" s="587"/>
      <c r="L85" s="587"/>
      <c r="M85" s="587"/>
    </row>
    <row r="86" spans="1:13" x14ac:dyDescent="0.2">
      <c r="A86" s="587"/>
      <c r="B86" s="587"/>
      <c r="C86" s="587"/>
      <c r="D86" s="587"/>
      <c r="E86" s="587"/>
      <c r="F86" s="587"/>
      <c r="G86" s="587"/>
      <c r="H86" s="587"/>
      <c r="I86" s="587"/>
      <c r="J86" s="587"/>
      <c r="K86" s="587"/>
      <c r="L86" s="587"/>
      <c r="M86" s="587"/>
    </row>
    <row r="87" spans="1:13" x14ac:dyDescent="0.2">
      <c r="A87" s="587"/>
      <c r="B87" s="587"/>
      <c r="C87" s="587"/>
      <c r="D87" s="587"/>
      <c r="E87" s="587"/>
      <c r="F87" s="587"/>
      <c r="G87" s="587"/>
      <c r="H87" s="587"/>
      <c r="I87" s="587"/>
      <c r="J87" s="587"/>
      <c r="K87" s="587"/>
      <c r="L87" s="587"/>
      <c r="M87" s="587"/>
    </row>
    <row r="88" spans="1:13" ht="15" x14ac:dyDescent="0.25">
      <c r="A88" s="587"/>
      <c r="B88" s="589" t="s">
        <v>610</v>
      </c>
      <c r="C88" s="597" t="s">
        <v>678</v>
      </c>
      <c r="D88" s="587"/>
      <c r="E88" s="587"/>
      <c r="F88" s="587"/>
      <c r="G88" s="587"/>
      <c r="H88" s="587"/>
      <c r="I88" s="587"/>
      <c r="J88" s="587"/>
      <c r="K88" s="587"/>
      <c r="L88" s="587"/>
      <c r="M88" s="587"/>
    </row>
    <row r="89" spans="1:13" x14ac:dyDescent="0.2">
      <c r="A89" s="587"/>
      <c r="B89" s="587"/>
      <c r="C89" s="587"/>
      <c r="D89" s="587"/>
      <c r="E89" s="587"/>
      <c r="F89" s="587"/>
      <c r="G89" s="587"/>
      <c r="H89" s="587"/>
      <c r="I89" s="587"/>
      <c r="J89" s="587"/>
      <c r="K89" s="587"/>
      <c r="L89" s="587"/>
      <c r="M89" s="587"/>
    </row>
    <row r="90" spans="1:13" x14ac:dyDescent="0.2">
      <c r="A90" s="587"/>
      <c r="B90" s="587"/>
      <c r="C90" s="587"/>
      <c r="D90" s="587"/>
      <c r="E90" s="587"/>
      <c r="F90" s="587"/>
      <c r="G90" s="587"/>
      <c r="H90" s="587"/>
      <c r="I90" s="587"/>
      <c r="J90" s="587"/>
      <c r="K90" s="587"/>
      <c r="L90" s="587"/>
      <c r="M90" s="587"/>
    </row>
    <row r="91" spans="1:13" x14ac:dyDescent="0.2">
      <c r="A91" s="587"/>
      <c r="B91" s="587"/>
      <c r="C91" s="587"/>
      <c r="D91" s="587"/>
      <c r="E91" s="587"/>
      <c r="F91" s="587"/>
      <c r="G91" s="587"/>
      <c r="H91" s="587"/>
      <c r="I91" s="587"/>
      <c r="J91" s="587"/>
      <c r="K91" s="587"/>
      <c r="L91" s="587"/>
      <c r="M91" s="587"/>
    </row>
    <row r="92" spans="1:13" x14ac:dyDescent="0.2">
      <c r="A92" s="587"/>
      <c r="B92" s="587"/>
      <c r="C92" s="587"/>
      <c r="D92" s="587"/>
      <c r="E92" s="587"/>
      <c r="F92" s="587"/>
      <c r="G92" s="587"/>
      <c r="H92" s="587"/>
      <c r="I92" s="587"/>
      <c r="J92" s="587"/>
      <c r="K92" s="587"/>
      <c r="L92" s="587"/>
      <c r="M92" s="587"/>
    </row>
    <row r="93" spans="1:13" x14ac:dyDescent="0.2">
      <c r="A93" s="587"/>
      <c r="B93" s="587"/>
      <c r="C93" s="587"/>
      <c r="D93" s="587"/>
      <c r="E93" s="587"/>
      <c r="F93" s="587"/>
      <c r="G93" s="587"/>
      <c r="H93" s="587"/>
      <c r="I93" s="587"/>
      <c r="J93" s="587"/>
      <c r="K93" s="587"/>
      <c r="L93" s="587"/>
      <c r="M93" s="587"/>
    </row>
    <row r="94" spans="1:13" x14ac:dyDescent="0.2">
      <c r="A94" s="587"/>
      <c r="B94" s="587"/>
      <c r="C94" s="587"/>
      <c r="D94" s="587"/>
      <c r="E94" s="587"/>
      <c r="F94" s="587"/>
      <c r="G94" s="587"/>
      <c r="H94" s="587"/>
      <c r="I94" s="587"/>
      <c r="J94" s="587"/>
      <c r="K94" s="587"/>
      <c r="L94" s="587"/>
      <c r="M94" s="587"/>
    </row>
    <row r="95" spans="1:13" ht="68.25" customHeight="1" x14ac:dyDescent="0.2">
      <c r="A95" s="587"/>
      <c r="B95" s="587"/>
      <c r="C95" s="587"/>
      <c r="D95" s="587"/>
      <c r="E95" s="587"/>
      <c r="F95" s="587"/>
      <c r="G95" s="587"/>
      <c r="H95" s="587"/>
      <c r="I95" s="587"/>
      <c r="J95" s="587"/>
      <c r="K95" s="587"/>
      <c r="L95" s="587"/>
      <c r="M95" s="587"/>
    </row>
    <row r="96" spans="1:13" x14ac:dyDescent="0.2">
      <c r="A96" s="587"/>
      <c r="B96" s="587"/>
      <c r="C96" s="587"/>
      <c r="D96" s="587"/>
      <c r="E96" s="587"/>
      <c r="F96" s="587"/>
      <c r="G96" s="587"/>
      <c r="H96" s="587"/>
      <c r="I96" s="587"/>
      <c r="J96" s="587"/>
      <c r="K96" s="587"/>
      <c r="L96" s="587"/>
      <c r="M96" s="587"/>
    </row>
    <row r="97" spans="1:13" x14ac:dyDescent="0.2">
      <c r="A97" s="587"/>
      <c r="B97" s="587"/>
      <c r="C97" s="587"/>
      <c r="D97" s="587"/>
      <c r="E97" s="587"/>
      <c r="F97" s="587"/>
      <c r="G97" s="587"/>
      <c r="H97" s="587"/>
      <c r="I97" s="587"/>
      <c r="J97" s="587"/>
      <c r="K97" s="587"/>
      <c r="L97" s="587"/>
      <c r="M97" s="587"/>
    </row>
    <row r="98" spans="1:13" x14ac:dyDescent="0.2">
      <c r="A98" s="587"/>
      <c r="B98" s="587"/>
      <c r="C98" s="587"/>
      <c r="D98" s="587"/>
      <c r="E98" s="587"/>
      <c r="F98" s="587"/>
      <c r="G98" s="587"/>
      <c r="H98" s="587"/>
      <c r="I98" s="587"/>
      <c r="J98" s="587"/>
      <c r="K98" s="587"/>
      <c r="L98" s="587"/>
      <c r="M98" s="587"/>
    </row>
    <row r="99" spans="1:13" x14ac:dyDescent="0.2">
      <c r="A99" s="587"/>
      <c r="B99" s="587"/>
      <c r="C99" s="587"/>
      <c r="D99" s="587"/>
      <c r="E99" s="587"/>
      <c r="F99" s="587"/>
      <c r="G99" s="587"/>
      <c r="H99" s="587"/>
      <c r="I99" s="587"/>
      <c r="J99" s="587"/>
      <c r="K99" s="587"/>
      <c r="L99" s="587"/>
      <c r="M99" s="587"/>
    </row>
    <row r="100" spans="1:13" x14ac:dyDescent="0.2">
      <c r="A100" s="587"/>
      <c r="B100" s="587"/>
      <c r="C100" s="587"/>
      <c r="D100" s="587"/>
      <c r="E100" s="587"/>
      <c r="F100" s="587"/>
      <c r="G100" s="587"/>
      <c r="H100" s="587"/>
      <c r="I100" s="587"/>
      <c r="J100" s="587"/>
      <c r="K100" s="587"/>
      <c r="L100" s="587"/>
      <c r="M100" s="587"/>
    </row>
    <row r="101" spans="1:13" ht="15" x14ac:dyDescent="0.2">
      <c r="A101" s="587"/>
      <c r="B101" s="587"/>
      <c r="C101" s="594" t="s">
        <v>360</v>
      </c>
      <c r="D101" s="587"/>
      <c r="E101" s="587"/>
      <c r="F101" s="587"/>
      <c r="G101" s="587"/>
      <c r="H101" s="587"/>
      <c r="I101" s="587"/>
      <c r="J101" s="587"/>
      <c r="K101" s="587"/>
      <c r="L101" s="587"/>
      <c r="M101" s="587"/>
    </row>
    <row r="102" spans="1:13" ht="15" x14ac:dyDescent="0.2">
      <c r="A102" s="587"/>
      <c r="B102" s="587"/>
      <c r="C102" s="595" t="s">
        <v>618</v>
      </c>
      <c r="D102" s="587"/>
      <c r="E102" s="587"/>
      <c r="F102" s="587"/>
      <c r="G102" s="587"/>
      <c r="H102" s="587"/>
      <c r="I102" s="587"/>
      <c r="J102" s="587"/>
      <c r="K102" s="587"/>
      <c r="L102" s="587"/>
      <c r="M102" s="587"/>
    </row>
    <row r="103" spans="1:13" ht="15" x14ac:dyDescent="0.2">
      <c r="A103" s="587"/>
      <c r="B103" s="587"/>
      <c r="C103" s="595" t="s">
        <v>617</v>
      </c>
      <c r="D103" s="587"/>
      <c r="E103" s="587"/>
      <c r="F103" s="587"/>
      <c r="G103" s="587"/>
      <c r="H103" s="587"/>
      <c r="I103" s="587"/>
      <c r="J103" s="587"/>
      <c r="K103" s="587"/>
      <c r="L103" s="587"/>
      <c r="M103" s="587"/>
    </row>
    <row r="104" spans="1:13" ht="15" x14ac:dyDescent="0.2">
      <c r="A104" s="587"/>
      <c r="B104" s="587"/>
      <c r="C104" s="595"/>
      <c r="D104" s="587"/>
      <c r="E104" s="587"/>
      <c r="F104" s="587"/>
      <c r="G104" s="587"/>
      <c r="H104" s="587"/>
      <c r="I104" s="587"/>
      <c r="J104" s="587"/>
      <c r="K104" s="587"/>
      <c r="L104" s="587"/>
      <c r="M104" s="587"/>
    </row>
    <row r="105" spans="1:13" ht="15" x14ac:dyDescent="0.2">
      <c r="A105" s="587"/>
      <c r="B105" s="587"/>
      <c r="C105" s="594" t="s">
        <v>1349</v>
      </c>
      <c r="D105" s="587"/>
      <c r="E105" s="587"/>
      <c r="F105" s="587"/>
      <c r="G105" s="587"/>
      <c r="H105" s="587"/>
      <c r="I105" s="587"/>
      <c r="J105" s="587"/>
      <c r="K105" s="587"/>
      <c r="L105" s="587"/>
      <c r="M105" s="587"/>
    </row>
    <row r="106" spans="1:13" ht="15" x14ac:dyDescent="0.2">
      <c r="A106" s="587"/>
      <c r="B106" s="587"/>
      <c r="C106" s="595" t="s">
        <v>1350</v>
      </c>
      <c r="D106" s="587"/>
      <c r="E106" s="587"/>
      <c r="F106" s="587"/>
      <c r="G106" s="587"/>
      <c r="H106" s="587"/>
      <c r="I106" s="587"/>
      <c r="J106" s="587"/>
      <c r="K106" s="587"/>
      <c r="L106" s="587"/>
      <c r="M106" s="587"/>
    </row>
    <row r="107" spans="1:13" ht="201.75" customHeight="1" x14ac:dyDescent="0.2">
      <c r="A107" s="587"/>
      <c r="B107" s="587"/>
      <c r="C107" s="595"/>
      <c r="D107" s="587"/>
      <c r="E107" s="587"/>
      <c r="F107" s="587"/>
      <c r="G107" s="587"/>
      <c r="H107" s="587"/>
      <c r="I107" s="587"/>
      <c r="J107" s="587"/>
      <c r="K107" s="587"/>
      <c r="L107" s="587"/>
      <c r="M107" s="587"/>
    </row>
    <row r="108" spans="1:13" ht="9.75" hidden="1" customHeight="1" x14ac:dyDescent="0.2">
      <c r="A108" s="587"/>
      <c r="B108" s="587"/>
      <c r="C108" s="595"/>
      <c r="D108" s="587"/>
      <c r="E108" s="587"/>
      <c r="F108" s="587"/>
      <c r="G108" s="587"/>
      <c r="H108" s="587"/>
      <c r="I108" s="587"/>
      <c r="J108" s="587"/>
      <c r="K108" s="587"/>
      <c r="L108" s="587"/>
      <c r="M108" s="587"/>
    </row>
    <row r="109" spans="1:13" ht="9.75" hidden="1" customHeight="1" x14ac:dyDescent="0.2">
      <c r="A109" s="587"/>
      <c r="B109" s="587"/>
      <c r="C109" s="594"/>
      <c r="D109" s="587"/>
      <c r="E109" s="587"/>
      <c r="F109" s="587"/>
      <c r="G109" s="587"/>
      <c r="H109" s="587"/>
      <c r="I109" s="587"/>
      <c r="J109" s="587"/>
      <c r="K109" s="587"/>
      <c r="L109" s="587"/>
      <c r="M109" s="587"/>
    </row>
    <row r="110" spans="1:13" ht="9.75" hidden="1" customHeight="1" x14ac:dyDescent="0.2">
      <c r="A110" s="587"/>
      <c r="B110" s="587"/>
      <c r="C110" s="1960"/>
      <c r="D110" s="1960"/>
      <c r="E110" s="1960"/>
      <c r="F110" s="1960"/>
      <c r="G110" s="1960"/>
      <c r="H110" s="1960"/>
      <c r="I110" s="1960"/>
      <c r="J110" s="1960"/>
      <c r="K110" s="1960"/>
      <c r="L110" s="1960"/>
      <c r="M110" s="587"/>
    </row>
    <row r="111" spans="1:13" ht="15" x14ac:dyDescent="0.2">
      <c r="A111" s="587"/>
      <c r="B111" s="587"/>
      <c r="C111" s="595"/>
      <c r="D111" s="587"/>
      <c r="E111" s="587"/>
      <c r="F111" s="587"/>
      <c r="G111" s="587"/>
      <c r="H111" s="587"/>
      <c r="I111" s="587"/>
      <c r="J111" s="587"/>
      <c r="K111" s="587"/>
      <c r="L111" s="587"/>
      <c r="M111" s="587"/>
    </row>
    <row r="112" spans="1:13" ht="15" x14ac:dyDescent="0.2">
      <c r="A112" s="587"/>
      <c r="B112" s="587"/>
      <c r="C112" s="594" t="s">
        <v>370</v>
      </c>
      <c r="D112" s="587"/>
      <c r="E112" s="587"/>
      <c r="F112" s="587"/>
      <c r="G112" s="587"/>
      <c r="H112" s="587"/>
      <c r="I112" s="587"/>
      <c r="J112" s="587"/>
      <c r="K112" s="587"/>
      <c r="L112" s="587"/>
      <c r="M112" s="587"/>
    </row>
    <row r="113" spans="1:13" ht="15" x14ac:dyDescent="0.2">
      <c r="A113" s="587"/>
      <c r="B113" s="587"/>
      <c r="C113" s="595" t="s">
        <v>619</v>
      </c>
      <c r="D113" s="587"/>
      <c r="E113" s="587"/>
      <c r="F113" s="587"/>
      <c r="G113" s="587"/>
      <c r="H113" s="587"/>
      <c r="I113" s="587"/>
      <c r="J113" s="587"/>
      <c r="K113" s="587"/>
      <c r="L113" s="587"/>
      <c r="M113" s="587"/>
    </row>
    <row r="114" spans="1:13" ht="33.75" customHeight="1" x14ac:dyDescent="0.2">
      <c r="A114" s="587"/>
      <c r="B114" s="587"/>
      <c r="C114" s="1961" t="s">
        <v>679</v>
      </c>
      <c r="D114" s="1961"/>
      <c r="E114" s="1961"/>
      <c r="F114" s="1961"/>
      <c r="G114" s="1961"/>
      <c r="H114" s="1961"/>
      <c r="I114" s="1961"/>
      <c r="J114" s="1961"/>
      <c r="K114" s="1961"/>
      <c r="L114" s="1961"/>
      <c r="M114" s="587"/>
    </row>
    <row r="115" spans="1:13" ht="18" customHeight="1" x14ac:dyDescent="0.2">
      <c r="A115" s="587"/>
      <c r="B115" s="587"/>
      <c r="C115" s="601" t="s">
        <v>680</v>
      </c>
      <c r="D115" s="587"/>
      <c r="E115" s="587"/>
      <c r="F115" s="587"/>
      <c r="G115" s="587"/>
      <c r="H115" s="587"/>
      <c r="I115" s="587"/>
      <c r="J115" s="587"/>
      <c r="K115" s="587"/>
      <c r="L115" s="587"/>
      <c r="M115" s="587"/>
    </row>
    <row r="116" spans="1:13" ht="18" customHeight="1" x14ac:dyDescent="0.2">
      <c r="A116" s="587"/>
      <c r="B116" s="587"/>
      <c r="C116" s="601" t="s">
        <v>681</v>
      </c>
      <c r="D116" s="587"/>
      <c r="E116" s="587"/>
      <c r="F116" s="587"/>
      <c r="G116" s="587"/>
      <c r="H116" s="587"/>
      <c r="I116" s="587"/>
      <c r="J116" s="587"/>
      <c r="K116" s="587"/>
      <c r="L116" s="587"/>
      <c r="M116" s="587"/>
    </row>
    <row r="117" spans="1:13" ht="30" customHeight="1" x14ac:dyDescent="0.2">
      <c r="A117" s="587"/>
      <c r="B117" s="587"/>
      <c r="C117" s="651" t="s">
        <v>1351</v>
      </c>
      <c r="D117" s="587"/>
      <c r="E117" s="587"/>
      <c r="F117" s="587"/>
      <c r="G117" s="587"/>
      <c r="H117" s="587"/>
      <c r="I117" s="587"/>
      <c r="J117" s="587"/>
      <c r="K117" s="587"/>
      <c r="L117" s="587"/>
      <c r="M117" s="587"/>
    </row>
    <row r="118" spans="1:13" ht="167.25" customHeight="1" x14ac:dyDescent="0.2">
      <c r="A118" s="587"/>
      <c r="B118" s="587"/>
      <c r="C118" s="587"/>
      <c r="D118" s="587"/>
      <c r="E118" s="587"/>
      <c r="F118" s="587"/>
      <c r="G118" s="587"/>
      <c r="H118" s="587"/>
      <c r="I118" s="587"/>
      <c r="J118" s="587"/>
      <c r="K118" s="587"/>
      <c r="L118" s="587"/>
      <c r="M118" s="587"/>
    </row>
    <row r="119" spans="1:13" ht="15" customHeight="1" x14ac:dyDescent="0.2">
      <c r="A119" s="587"/>
      <c r="B119" s="587"/>
      <c r="C119" s="587"/>
      <c r="D119" s="587"/>
      <c r="E119" s="587"/>
      <c r="F119" s="587"/>
      <c r="G119" s="587"/>
      <c r="H119" s="587"/>
      <c r="I119" s="587"/>
      <c r="J119" s="587"/>
      <c r="K119" s="587"/>
      <c r="L119" s="587"/>
      <c r="M119" s="587"/>
    </row>
    <row r="120" spans="1:13" ht="15" x14ac:dyDescent="0.25">
      <c r="A120" s="587"/>
      <c r="B120" s="589" t="s">
        <v>611</v>
      </c>
      <c r="C120" s="597" t="s">
        <v>620</v>
      </c>
      <c r="D120" s="587"/>
      <c r="E120" s="587"/>
      <c r="F120" s="587"/>
      <c r="G120" s="587"/>
      <c r="H120" s="587"/>
      <c r="I120" s="587"/>
      <c r="J120" s="587"/>
      <c r="K120" s="587"/>
      <c r="L120" s="587"/>
      <c r="M120" s="587"/>
    </row>
    <row r="121" spans="1:13" x14ac:dyDescent="0.2">
      <c r="A121" s="587"/>
      <c r="B121" s="587"/>
      <c r="C121" s="587"/>
      <c r="D121" s="587"/>
      <c r="E121" s="587"/>
      <c r="F121" s="587"/>
      <c r="G121" s="587"/>
      <c r="H121" s="587"/>
      <c r="I121" s="587"/>
      <c r="J121" s="587"/>
      <c r="K121" s="587"/>
      <c r="L121" s="587"/>
      <c r="M121" s="587"/>
    </row>
    <row r="122" spans="1:13" x14ac:dyDescent="0.2">
      <c r="A122" s="587"/>
      <c r="B122" s="587"/>
      <c r="C122" s="587"/>
      <c r="D122" s="587"/>
      <c r="E122" s="587"/>
      <c r="F122" s="587"/>
      <c r="G122" s="587"/>
      <c r="H122" s="587"/>
      <c r="I122" s="587"/>
      <c r="J122" s="587"/>
      <c r="K122" s="587"/>
      <c r="L122" s="587"/>
      <c r="M122" s="587"/>
    </row>
    <row r="123" spans="1:13" x14ac:dyDescent="0.2">
      <c r="A123" s="587"/>
      <c r="B123" s="587"/>
      <c r="C123" s="587"/>
      <c r="D123" s="587"/>
      <c r="E123" s="587"/>
      <c r="F123" s="587"/>
      <c r="G123" s="587"/>
      <c r="H123" s="587"/>
      <c r="I123" s="587"/>
      <c r="J123" s="587"/>
      <c r="K123" s="587"/>
      <c r="L123" s="587"/>
      <c r="M123" s="587"/>
    </row>
    <row r="124" spans="1:13" x14ac:dyDescent="0.2">
      <c r="A124" s="587"/>
      <c r="B124" s="587"/>
      <c r="C124" s="587"/>
      <c r="D124" s="587"/>
      <c r="E124" s="587"/>
      <c r="F124" s="587"/>
      <c r="G124" s="587"/>
      <c r="H124" s="587"/>
      <c r="I124" s="587"/>
      <c r="J124" s="587"/>
      <c r="K124" s="587"/>
      <c r="L124" s="587"/>
      <c r="M124" s="587"/>
    </row>
    <row r="125" spans="1:13" ht="74.25" customHeight="1" x14ac:dyDescent="0.2">
      <c r="A125" s="587"/>
      <c r="B125" s="587"/>
      <c r="C125" s="587"/>
      <c r="D125" s="587"/>
      <c r="E125" s="587"/>
      <c r="F125" s="587"/>
      <c r="G125" s="587"/>
      <c r="H125" s="587"/>
      <c r="I125" s="587"/>
      <c r="J125" s="587"/>
      <c r="K125" s="587"/>
      <c r="L125" s="587"/>
      <c r="M125" s="587"/>
    </row>
    <row r="126" spans="1:13" x14ac:dyDescent="0.2">
      <c r="A126" s="587"/>
      <c r="B126" s="587"/>
      <c r="C126" s="587"/>
      <c r="D126" s="587"/>
      <c r="E126" s="587"/>
      <c r="F126" s="587"/>
      <c r="G126" s="587"/>
      <c r="H126" s="587"/>
      <c r="I126" s="587"/>
      <c r="J126" s="587"/>
      <c r="K126" s="587"/>
      <c r="L126" s="587"/>
      <c r="M126" s="587"/>
    </row>
    <row r="127" spans="1:13" x14ac:dyDescent="0.2">
      <c r="A127" s="587"/>
      <c r="B127" s="587"/>
      <c r="C127" s="587"/>
      <c r="D127" s="587"/>
      <c r="E127" s="587"/>
      <c r="F127" s="587"/>
      <c r="G127" s="587"/>
      <c r="H127" s="587"/>
      <c r="I127" s="587"/>
      <c r="J127" s="587"/>
      <c r="K127" s="587"/>
      <c r="L127" s="587"/>
      <c r="M127" s="587"/>
    </row>
    <row r="128" spans="1:13" x14ac:dyDescent="0.2">
      <c r="A128" s="587"/>
      <c r="B128" s="587"/>
      <c r="C128" s="587"/>
      <c r="D128" s="587"/>
      <c r="E128" s="587"/>
      <c r="F128" s="587"/>
      <c r="G128" s="587"/>
      <c r="H128" s="587"/>
      <c r="I128" s="587"/>
      <c r="J128" s="587"/>
      <c r="K128" s="587"/>
      <c r="L128" s="587"/>
      <c r="M128" s="587"/>
    </row>
    <row r="129" spans="1:13" x14ac:dyDescent="0.2">
      <c r="A129" s="587"/>
      <c r="B129" s="587"/>
      <c r="C129" s="587"/>
      <c r="D129" s="587"/>
      <c r="E129" s="587"/>
      <c r="F129" s="587"/>
      <c r="G129" s="587"/>
      <c r="H129" s="587"/>
      <c r="I129" s="587"/>
      <c r="J129" s="587"/>
      <c r="K129" s="587"/>
      <c r="L129" s="587"/>
      <c r="M129" s="587"/>
    </row>
    <row r="130" spans="1:13" x14ac:dyDescent="0.2">
      <c r="A130" s="587"/>
      <c r="B130" s="587"/>
      <c r="C130" s="587"/>
      <c r="D130" s="587"/>
      <c r="E130" s="587"/>
      <c r="F130" s="587"/>
      <c r="G130" s="587"/>
      <c r="H130" s="587"/>
      <c r="I130" s="587"/>
      <c r="J130" s="587"/>
      <c r="K130" s="587"/>
      <c r="L130" s="587"/>
      <c r="M130" s="587"/>
    </row>
    <row r="131" spans="1:13" x14ac:dyDescent="0.2">
      <c r="A131" s="587"/>
      <c r="B131" s="587"/>
      <c r="C131" s="587"/>
      <c r="D131" s="587"/>
      <c r="E131" s="587"/>
      <c r="F131" s="587"/>
      <c r="G131" s="587"/>
      <c r="H131" s="587"/>
      <c r="I131" s="587"/>
      <c r="J131" s="587"/>
      <c r="K131" s="587"/>
      <c r="L131" s="587"/>
      <c r="M131" s="587"/>
    </row>
    <row r="132" spans="1:13" ht="15" x14ac:dyDescent="0.2">
      <c r="A132" s="587"/>
      <c r="B132" s="587"/>
      <c r="C132" s="594" t="s">
        <v>281</v>
      </c>
      <c r="D132" s="598"/>
      <c r="E132" s="598"/>
      <c r="F132" s="587"/>
      <c r="G132" s="587"/>
      <c r="H132" s="587"/>
      <c r="I132" s="587"/>
      <c r="J132" s="587"/>
      <c r="K132" s="587"/>
      <c r="L132" s="587"/>
      <c r="M132" s="587"/>
    </row>
    <row r="133" spans="1:13" ht="15" x14ac:dyDescent="0.2">
      <c r="A133" s="587"/>
      <c r="B133" s="587"/>
      <c r="C133" s="595" t="s">
        <v>1352</v>
      </c>
      <c r="D133" s="598"/>
      <c r="E133" s="598"/>
      <c r="F133" s="587"/>
      <c r="G133" s="587"/>
      <c r="H133" s="587"/>
      <c r="I133" s="587"/>
      <c r="J133" s="587"/>
      <c r="K133" s="587"/>
      <c r="L133" s="587"/>
      <c r="M133" s="587"/>
    </row>
    <row r="134" spans="1:13" ht="15" x14ac:dyDescent="0.2">
      <c r="A134" s="587"/>
      <c r="B134" s="587"/>
      <c r="C134" s="595"/>
      <c r="D134" s="598"/>
      <c r="E134" s="598"/>
      <c r="F134" s="587"/>
      <c r="G134" s="587"/>
      <c r="H134" s="587"/>
      <c r="I134" s="587"/>
      <c r="J134" s="587"/>
      <c r="K134" s="587"/>
      <c r="L134" s="587"/>
      <c r="M134" s="587"/>
    </row>
    <row r="135" spans="1:13" ht="15" x14ac:dyDescent="0.2">
      <c r="A135" s="587"/>
      <c r="B135" s="587"/>
      <c r="C135" s="594" t="s">
        <v>330</v>
      </c>
      <c r="D135" s="598"/>
      <c r="E135" s="598"/>
      <c r="F135" s="587"/>
      <c r="G135" s="587"/>
      <c r="H135" s="587"/>
      <c r="I135" s="587"/>
      <c r="J135" s="587"/>
      <c r="K135" s="587"/>
      <c r="L135" s="587"/>
      <c r="M135" s="587"/>
    </row>
    <row r="136" spans="1:13" ht="15" x14ac:dyDescent="0.2">
      <c r="A136" s="587"/>
      <c r="B136" s="587"/>
      <c r="C136" s="595" t="s">
        <v>682</v>
      </c>
      <c r="D136" s="598"/>
      <c r="E136" s="598"/>
      <c r="F136" s="587"/>
      <c r="G136" s="587"/>
      <c r="H136" s="587"/>
      <c r="I136" s="587"/>
      <c r="J136" s="587"/>
      <c r="K136" s="587"/>
      <c r="L136" s="587"/>
      <c r="M136" s="587"/>
    </row>
    <row r="137" spans="1:13" ht="15" x14ac:dyDescent="0.2">
      <c r="A137" s="587"/>
      <c r="B137" s="587"/>
      <c r="C137" s="595"/>
      <c r="D137" s="598"/>
      <c r="E137" s="598"/>
      <c r="F137" s="587"/>
      <c r="G137" s="587"/>
      <c r="H137" s="587"/>
      <c r="I137" s="587"/>
      <c r="J137" s="587"/>
      <c r="K137" s="587"/>
      <c r="L137" s="587"/>
      <c r="M137" s="587"/>
    </row>
    <row r="138" spans="1:13" ht="15" x14ac:dyDescent="0.2">
      <c r="A138" s="587"/>
      <c r="B138" s="587"/>
      <c r="C138" s="594" t="s">
        <v>282</v>
      </c>
      <c r="D138" s="598"/>
      <c r="E138" s="598"/>
      <c r="F138" s="587"/>
      <c r="G138" s="587"/>
      <c r="H138" s="587"/>
      <c r="I138" s="587"/>
      <c r="J138" s="587"/>
      <c r="K138" s="587"/>
      <c r="L138" s="587"/>
      <c r="M138" s="587"/>
    </row>
    <row r="139" spans="1:13" ht="15" x14ac:dyDescent="0.2">
      <c r="A139" s="587"/>
      <c r="B139" s="587"/>
      <c r="C139" s="595" t="s">
        <v>683</v>
      </c>
      <c r="D139" s="598"/>
      <c r="E139" s="598"/>
      <c r="F139" s="587"/>
      <c r="G139" s="587"/>
      <c r="H139" s="587"/>
      <c r="I139" s="587"/>
      <c r="J139" s="587"/>
      <c r="K139" s="587"/>
      <c r="L139" s="587"/>
      <c r="M139" s="587"/>
    </row>
    <row r="140" spans="1:13" ht="15" x14ac:dyDescent="0.2">
      <c r="A140" s="587"/>
      <c r="B140" s="587"/>
      <c r="C140" s="595"/>
      <c r="D140" s="598"/>
      <c r="E140" s="598"/>
      <c r="F140" s="587"/>
      <c r="G140" s="587"/>
      <c r="H140" s="587"/>
      <c r="I140" s="587"/>
      <c r="J140" s="587"/>
      <c r="K140" s="587"/>
      <c r="L140" s="587"/>
      <c r="M140" s="587"/>
    </row>
    <row r="141" spans="1:13" ht="15" x14ac:dyDescent="0.2">
      <c r="A141" s="587"/>
      <c r="B141" s="587"/>
      <c r="C141" s="594" t="s">
        <v>621</v>
      </c>
      <c r="D141" s="598"/>
      <c r="E141" s="598"/>
      <c r="F141" s="587"/>
      <c r="G141" s="587"/>
      <c r="H141" s="587"/>
      <c r="I141" s="587"/>
      <c r="J141" s="587"/>
      <c r="K141" s="587"/>
      <c r="L141" s="587"/>
      <c r="M141" s="587"/>
    </row>
    <row r="142" spans="1:13" ht="15" x14ac:dyDescent="0.2">
      <c r="A142" s="587"/>
      <c r="B142" s="587"/>
      <c r="C142" s="595" t="s">
        <v>684</v>
      </c>
      <c r="D142" s="598"/>
      <c r="E142" s="598"/>
      <c r="F142" s="587"/>
      <c r="G142" s="587"/>
      <c r="H142" s="587"/>
      <c r="I142" s="587"/>
      <c r="J142" s="587"/>
      <c r="K142" s="587"/>
      <c r="L142" s="587"/>
      <c r="M142" s="587"/>
    </row>
    <row r="143" spans="1:13" ht="15" x14ac:dyDescent="0.2">
      <c r="A143" s="587"/>
      <c r="B143" s="587"/>
      <c r="C143" s="595"/>
      <c r="D143" s="598"/>
      <c r="E143" s="598"/>
      <c r="F143" s="587"/>
      <c r="G143" s="587"/>
      <c r="H143" s="587"/>
      <c r="I143" s="587"/>
      <c r="J143" s="587"/>
      <c r="K143" s="587"/>
      <c r="L143" s="587"/>
      <c r="M143" s="587"/>
    </row>
    <row r="144" spans="1:13" ht="15" x14ac:dyDescent="0.2">
      <c r="A144" s="587"/>
      <c r="B144" s="587"/>
      <c r="C144" s="594" t="s">
        <v>282</v>
      </c>
      <c r="D144" s="598"/>
      <c r="E144" s="598"/>
      <c r="F144" s="587"/>
      <c r="G144" s="587"/>
      <c r="H144" s="587"/>
      <c r="I144" s="587"/>
      <c r="J144" s="587"/>
      <c r="K144" s="587"/>
      <c r="L144" s="587"/>
      <c r="M144" s="587"/>
    </row>
    <row r="145" spans="1:13" ht="33.75" customHeight="1" x14ac:dyDescent="0.2">
      <c r="A145" s="587"/>
      <c r="B145" s="587"/>
      <c r="C145" s="1960" t="s">
        <v>1353</v>
      </c>
      <c r="D145" s="1960"/>
      <c r="E145" s="1960"/>
      <c r="F145" s="1960"/>
      <c r="G145" s="1960"/>
      <c r="H145" s="1960"/>
      <c r="I145" s="1960"/>
      <c r="J145" s="1960"/>
      <c r="K145" s="1960"/>
      <c r="L145" s="1960"/>
      <c r="M145" s="587"/>
    </row>
    <row r="146" spans="1:13" ht="15" x14ac:dyDescent="0.2">
      <c r="A146" s="587"/>
      <c r="B146" s="587"/>
      <c r="C146" s="595"/>
      <c r="D146" s="598"/>
      <c r="E146" s="598"/>
      <c r="F146" s="587"/>
      <c r="G146" s="587"/>
      <c r="H146" s="587"/>
      <c r="I146" s="587"/>
      <c r="J146" s="587"/>
      <c r="K146" s="587"/>
      <c r="L146" s="587"/>
      <c r="M146" s="587"/>
    </row>
    <row r="147" spans="1:13" ht="15" x14ac:dyDescent="0.2">
      <c r="A147" s="587"/>
      <c r="B147" s="587"/>
      <c r="C147" s="599" t="s">
        <v>622</v>
      </c>
      <c r="D147" s="600"/>
      <c r="E147" s="600"/>
      <c r="F147" s="600"/>
      <c r="G147" s="600"/>
      <c r="H147" s="600"/>
      <c r="I147" s="600"/>
      <c r="J147" s="600"/>
      <c r="K147" s="600"/>
      <c r="L147" s="600"/>
      <c r="M147" s="587"/>
    </row>
    <row r="148" spans="1:13" ht="15" x14ac:dyDescent="0.2">
      <c r="A148" s="587"/>
      <c r="B148" s="587"/>
      <c r="C148" s="591" t="s">
        <v>623</v>
      </c>
      <c r="D148" s="600"/>
      <c r="E148" s="587"/>
      <c r="F148" s="600"/>
      <c r="G148" s="600"/>
      <c r="H148" s="600"/>
      <c r="I148" s="600"/>
      <c r="J148" s="600"/>
      <c r="K148" s="600"/>
      <c r="L148" s="600"/>
      <c r="M148" s="587"/>
    </row>
    <row r="149" spans="1:13" ht="15" x14ac:dyDescent="0.2">
      <c r="A149" s="587"/>
      <c r="B149" s="587"/>
      <c r="C149" s="591"/>
      <c r="D149" s="600"/>
      <c r="E149" s="600"/>
      <c r="F149" s="600"/>
      <c r="G149" s="600"/>
      <c r="H149" s="600"/>
      <c r="I149" s="600"/>
      <c r="J149" s="600"/>
      <c r="K149" s="600"/>
      <c r="L149" s="600"/>
      <c r="M149" s="587"/>
    </row>
    <row r="150" spans="1:13" ht="15" x14ac:dyDescent="0.2">
      <c r="A150" s="587"/>
      <c r="B150" s="587"/>
      <c r="C150" s="599" t="s">
        <v>624</v>
      </c>
      <c r="D150" s="600"/>
      <c r="E150" s="587"/>
      <c r="F150" s="600"/>
      <c r="G150" s="600"/>
      <c r="H150" s="600"/>
      <c r="I150" s="600"/>
      <c r="J150" s="600"/>
      <c r="K150" s="600"/>
      <c r="L150" s="600"/>
      <c r="M150" s="587"/>
    </row>
    <row r="151" spans="1:13" ht="32.25" customHeight="1" x14ac:dyDescent="0.2">
      <c r="A151" s="587"/>
      <c r="B151" s="587"/>
      <c r="C151" s="1962" t="s">
        <v>1354</v>
      </c>
      <c r="D151" s="1962"/>
      <c r="E151" s="1962"/>
      <c r="F151" s="1962"/>
      <c r="G151" s="1962"/>
      <c r="H151" s="1962"/>
      <c r="I151" s="1962"/>
      <c r="J151" s="1962"/>
      <c r="K151" s="1962"/>
      <c r="L151" s="1962"/>
      <c r="M151" s="587"/>
    </row>
    <row r="152" spans="1:13" ht="32.25" customHeight="1" x14ac:dyDescent="0.2">
      <c r="A152" s="587"/>
      <c r="B152" s="587"/>
      <c r="C152" s="1962" t="s">
        <v>625</v>
      </c>
      <c r="D152" s="1962"/>
      <c r="E152" s="1962"/>
      <c r="F152" s="1962"/>
      <c r="G152" s="1962"/>
      <c r="H152" s="1962"/>
      <c r="I152" s="1962"/>
      <c r="J152" s="1962"/>
      <c r="K152" s="1962"/>
      <c r="L152" s="1962"/>
      <c r="M152" s="587"/>
    </row>
    <row r="153" spans="1:13" x14ac:dyDescent="0.2">
      <c r="A153" s="587"/>
      <c r="B153" s="587"/>
      <c r="C153" s="587"/>
      <c r="D153" s="587"/>
      <c r="E153" s="600"/>
      <c r="F153" s="600"/>
      <c r="G153" s="600"/>
      <c r="H153" s="600"/>
      <c r="I153" s="600"/>
      <c r="J153" s="600"/>
      <c r="K153" s="600"/>
      <c r="L153" s="600"/>
      <c r="M153" s="587"/>
    </row>
    <row r="154" spans="1:13" x14ac:dyDescent="0.2">
      <c r="A154" s="587"/>
      <c r="B154" s="587"/>
      <c r="C154" s="587"/>
      <c r="D154" s="587"/>
      <c r="E154" s="587"/>
      <c r="F154" s="587"/>
      <c r="G154" s="587"/>
      <c r="H154" s="587"/>
      <c r="I154" s="587"/>
      <c r="J154" s="587"/>
      <c r="K154" s="587"/>
      <c r="L154" s="587"/>
      <c r="M154" s="587"/>
    </row>
    <row r="155" spans="1:13" ht="15" x14ac:dyDescent="0.25">
      <c r="A155" s="587"/>
      <c r="B155" s="589" t="s">
        <v>626</v>
      </c>
      <c r="C155" s="597" t="s">
        <v>185</v>
      </c>
      <c r="D155" s="587"/>
      <c r="E155" s="587"/>
      <c r="F155" s="587"/>
      <c r="G155" s="587"/>
      <c r="H155" s="587"/>
      <c r="I155" s="587"/>
      <c r="J155" s="587"/>
      <c r="K155" s="587"/>
      <c r="L155" s="587"/>
      <c r="M155" s="587"/>
    </row>
    <row r="156" spans="1:13" x14ac:dyDescent="0.2">
      <c r="A156" s="587"/>
      <c r="B156" s="587"/>
      <c r="C156" s="587"/>
      <c r="D156" s="587"/>
      <c r="E156" s="587"/>
      <c r="F156" s="587"/>
      <c r="G156" s="587"/>
      <c r="H156" s="587"/>
      <c r="I156" s="587"/>
      <c r="J156" s="587"/>
      <c r="K156" s="587"/>
      <c r="L156" s="587"/>
      <c r="M156" s="587"/>
    </row>
    <row r="157" spans="1:13" x14ac:dyDescent="0.2">
      <c r="A157" s="587"/>
      <c r="B157" s="587"/>
      <c r="C157" s="587"/>
      <c r="D157" s="587"/>
      <c r="E157" s="587"/>
      <c r="F157" s="587"/>
      <c r="G157" s="587"/>
      <c r="H157" s="587"/>
      <c r="I157" s="587"/>
      <c r="J157" s="587"/>
      <c r="K157" s="587"/>
      <c r="L157" s="587"/>
      <c r="M157" s="587"/>
    </row>
    <row r="158" spans="1:13" x14ac:dyDescent="0.2">
      <c r="A158" s="587"/>
      <c r="B158" s="587"/>
      <c r="C158" s="587"/>
      <c r="D158" s="587"/>
      <c r="E158" s="587"/>
      <c r="F158" s="587"/>
      <c r="G158" s="587"/>
      <c r="H158" s="587"/>
      <c r="I158" s="587"/>
      <c r="J158" s="587"/>
      <c r="K158" s="587"/>
      <c r="L158" s="587"/>
      <c r="M158" s="587"/>
    </row>
    <row r="159" spans="1:13" x14ac:dyDescent="0.2">
      <c r="A159" s="587"/>
      <c r="B159" s="587"/>
      <c r="C159" s="587"/>
      <c r="D159" s="587"/>
      <c r="E159" s="587"/>
      <c r="F159" s="587"/>
      <c r="G159" s="587"/>
      <c r="H159" s="587"/>
      <c r="I159" s="587"/>
      <c r="J159" s="587"/>
      <c r="K159" s="587"/>
      <c r="L159" s="587"/>
      <c r="M159" s="587"/>
    </row>
    <row r="160" spans="1:13" ht="72" customHeight="1" x14ac:dyDescent="0.2">
      <c r="A160" s="587"/>
      <c r="B160" s="587"/>
      <c r="C160" s="587"/>
      <c r="D160" s="587"/>
      <c r="E160" s="587"/>
      <c r="F160" s="587"/>
      <c r="G160" s="587"/>
      <c r="H160" s="587"/>
      <c r="I160" s="587"/>
      <c r="J160" s="587"/>
      <c r="K160" s="587"/>
      <c r="L160" s="587"/>
      <c r="M160" s="587"/>
    </row>
    <row r="161" spans="1:13" x14ac:dyDescent="0.2">
      <c r="A161" s="587"/>
      <c r="B161" s="587"/>
      <c r="C161" s="587"/>
      <c r="D161" s="587"/>
      <c r="E161" s="587"/>
      <c r="F161" s="587"/>
      <c r="G161" s="587"/>
      <c r="H161" s="587"/>
      <c r="I161" s="587"/>
      <c r="J161" s="587"/>
      <c r="K161" s="587"/>
      <c r="L161" s="587"/>
      <c r="M161" s="587"/>
    </row>
    <row r="162" spans="1:13" hidden="1" x14ac:dyDescent="0.2">
      <c r="A162" s="587"/>
      <c r="B162" s="587"/>
      <c r="C162" s="587"/>
      <c r="D162" s="587"/>
      <c r="E162" s="587"/>
      <c r="F162" s="587"/>
      <c r="G162" s="587"/>
      <c r="H162" s="587"/>
      <c r="I162" s="587"/>
      <c r="J162" s="587"/>
      <c r="K162" s="587"/>
      <c r="L162" s="587"/>
      <c r="M162" s="587"/>
    </row>
    <row r="163" spans="1:13" hidden="1" x14ac:dyDescent="0.2">
      <c r="A163" s="587"/>
      <c r="B163" s="587"/>
      <c r="C163" s="587"/>
      <c r="D163" s="587"/>
      <c r="E163" s="587"/>
      <c r="F163" s="587"/>
      <c r="G163" s="587"/>
      <c r="H163" s="587"/>
      <c r="I163" s="587"/>
      <c r="J163" s="587"/>
      <c r="K163" s="587"/>
      <c r="L163" s="587"/>
      <c r="M163" s="587"/>
    </row>
    <row r="164" spans="1:13" hidden="1" x14ac:dyDescent="0.2">
      <c r="A164" s="587"/>
      <c r="B164" s="587"/>
      <c r="C164" s="587"/>
      <c r="D164" s="587"/>
      <c r="E164" s="587"/>
      <c r="F164" s="587"/>
      <c r="G164" s="587"/>
      <c r="H164" s="587"/>
      <c r="I164" s="587"/>
      <c r="J164" s="587"/>
      <c r="K164" s="587"/>
      <c r="L164" s="587"/>
      <c r="M164" s="587"/>
    </row>
    <row r="165" spans="1:13" x14ac:dyDescent="0.2">
      <c r="A165" s="587"/>
      <c r="B165" s="587"/>
      <c r="C165" s="587"/>
      <c r="D165" s="587"/>
      <c r="E165" s="587"/>
      <c r="F165" s="587"/>
      <c r="G165" s="587"/>
      <c r="H165" s="587"/>
      <c r="I165" s="587"/>
      <c r="J165" s="587"/>
      <c r="K165" s="587"/>
      <c r="L165" s="587"/>
      <c r="M165" s="587"/>
    </row>
    <row r="166" spans="1:13" x14ac:dyDescent="0.2">
      <c r="A166" s="587"/>
      <c r="B166" s="587"/>
      <c r="C166" s="587"/>
      <c r="D166" s="587"/>
      <c r="E166" s="587"/>
      <c r="F166" s="587"/>
      <c r="G166" s="587"/>
      <c r="H166" s="587"/>
      <c r="I166" s="587"/>
      <c r="J166" s="587"/>
      <c r="K166" s="587"/>
      <c r="L166" s="587"/>
      <c r="M166" s="587"/>
    </row>
    <row r="167" spans="1:13" ht="15" x14ac:dyDescent="0.2">
      <c r="A167" s="587"/>
      <c r="B167" s="587"/>
      <c r="C167" s="594" t="s">
        <v>607</v>
      </c>
      <c r="D167" s="587"/>
      <c r="E167" s="587"/>
      <c r="F167" s="587"/>
      <c r="G167" s="587"/>
      <c r="H167" s="587"/>
      <c r="I167" s="587"/>
      <c r="J167" s="587"/>
      <c r="K167" s="587"/>
      <c r="L167" s="587"/>
      <c r="M167" s="587"/>
    </row>
    <row r="168" spans="1:13" ht="15" x14ac:dyDescent="0.2">
      <c r="A168" s="587"/>
      <c r="B168" s="587"/>
      <c r="C168" s="595" t="s">
        <v>685</v>
      </c>
      <c r="D168" s="587"/>
      <c r="E168" s="587"/>
      <c r="F168" s="587"/>
      <c r="G168" s="587"/>
      <c r="H168" s="587"/>
      <c r="I168" s="587"/>
      <c r="J168" s="587"/>
      <c r="K168" s="587"/>
      <c r="L168" s="587"/>
      <c r="M168" s="587"/>
    </row>
    <row r="169" spans="1:13" ht="15" x14ac:dyDescent="0.2">
      <c r="A169" s="587"/>
      <c r="B169" s="587"/>
      <c r="C169" s="595"/>
      <c r="D169" s="587"/>
      <c r="E169" s="587"/>
      <c r="F169" s="587"/>
      <c r="G169" s="587"/>
      <c r="H169" s="587"/>
      <c r="I169" s="587"/>
      <c r="J169" s="587"/>
      <c r="K169" s="587"/>
      <c r="L169" s="587"/>
      <c r="M169" s="587"/>
    </row>
    <row r="170" spans="1:13" ht="15" x14ac:dyDescent="0.2">
      <c r="A170" s="587"/>
      <c r="B170" s="587"/>
      <c r="C170" s="594" t="s">
        <v>361</v>
      </c>
      <c r="D170" s="587"/>
      <c r="E170" s="587"/>
      <c r="F170" s="587"/>
      <c r="G170" s="587"/>
      <c r="H170" s="587"/>
      <c r="I170" s="587"/>
      <c r="J170" s="587"/>
      <c r="K170" s="587"/>
      <c r="L170" s="587"/>
      <c r="M170" s="587"/>
    </row>
    <row r="171" spans="1:13" ht="15" x14ac:dyDescent="0.2">
      <c r="A171" s="587"/>
      <c r="B171" s="587"/>
      <c r="C171" s="595" t="s">
        <v>677</v>
      </c>
      <c r="D171" s="587"/>
      <c r="E171" s="587"/>
      <c r="F171" s="587"/>
      <c r="G171" s="587"/>
      <c r="H171" s="587"/>
      <c r="I171" s="587"/>
      <c r="J171" s="587"/>
      <c r="K171" s="587"/>
      <c r="L171" s="587"/>
      <c r="M171" s="587"/>
    </row>
    <row r="172" spans="1:13" ht="15" x14ac:dyDescent="0.2">
      <c r="A172" s="587"/>
      <c r="B172" s="587"/>
      <c r="C172" s="595" t="s">
        <v>1355</v>
      </c>
      <c r="D172" s="587"/>
      <c r="E172" s="587"/>
      <c r="F172" s="587"/>
      <c r="G172" s="587"/>
      <c r="H172" s="587"/>
      <c r="I172" s="587"/>
      <c r="J172" s="587"/>
      <c r="K172" s="587"/>
      <c r="L172" s="587"/>
      <c r="M172" s="587"/>
    </row>
    <row r="173" spans="1:13" ht="15" x14ac:dyDescent="0.2">
      <c r="A173" s="587"/>
      <c r="B173" s="587"/>
      <c r="C173" s="595"/>
      <c r="D173" s="587"/>
      <c r="E173" s="587"/>
      <c r="F173" s="587"/>
      <c r="G173" s="587"/>
      <c r="H173" s="587"/>
      <c r="I173" s="587"/>
      <c r="J173" s="587"/>
      <c r="K173" s="587"/>
      <c r="L173" s="587"/>
      <c r="M173" s="587"/>
    </row>
    <row r="174" spans="1:13" ht="21" customHeight="1" x14ac:dyDescent="0.25">
      <c r="A174" s="587"/>
      <c r="B174" s="587"/>
      <c r="C174" s="596" t="s">
        <v>686</v>
      </c>
      <c r="D174" s="587"/>
      <c r="E174" s="587"/>
      <c r="F174" s="587"/>
      <c r="G174" s="587"/>
      <c r="H174" s="587"/>
      <c r="I174" s="587"/>
      <c r="J174" s="587"/>
      <c r="K174" s="587"/>
      <c r="L174" s="587"/>
      <c r="M174" s="587"/>
    </row>
    <row r="175" spans="1:13" ht="15" x14ac:dyDescent="0.2">
      <c r="A175" s="587"/>
      <c r="B175" s="587"/>
      <c r="C175" s="595" t="s">
        <v>687</v>
      </c>
      <c r="D175" s="587"/>
      <c r="E175" s="587"/>
      <c r="F175" s="587"/>
      <c r="G175" s="587"/>
      <c r="H175" s="587"/>
      <c r="I175" s="587"/>
      <c r="J175" s="587"/>
      <c r="K175" s="587"/>
      <c r="L175" s="587"/>
      <c r="M175" s="587"/>
    </row>
    <row r="176" spans="1:13" ht="15" x14ac:dyDescent="0.2">
      <c r="A176" s="587"/>
      <c r="B176" s="587"/>
      <c r="C176" s="595"/>
      <c r="D176" s="587"/>
      <c r="E176" s="587"/>
      <c r="F176" s="587"/>
      <c r="G176" s="587"/>
      <c r="H176" s="587"/>
      <c r="I176" s="587"/>
      <c r="J176" s="587"/>
      <c r="K176" s="587"/>
      <c r="L176" s="587"/>
      <c r="M176" s="587"/>
    </row>
    <row r="177" spans="1:13" ht="15" x14ac:dyDescent="0.2">
      <c r="A177" s="587"/>
      <c r="B177" s="587"/>
      <c r="C177" s="594" t="s">
        <v>362</v>
      </c>
      <c r="D177" s="587"/>
      <c r="E177" s="587"/>
      <c r="F177" s="587"/>
      <c r="G177" s="587"/>
      <c r="H177" s="587"/>
      <c r="I177" s="587"/>
      <c r="J177" s="587"/>
      <c r="K177" s="587"/>
      <c r="L177" s="587"/>
      <c r="M177" s="587"/>
    </row>
    <row r="178" spans="1:13" ht="15" x14ac:dyDescent="0.2">
      <c r="A178" s="587"/>
      <c r="B178" s="587"/>
      <c r="C178" s="595" t="s">
        <v>627</v>
      </c>
      <c r="D178" s="587"/>
      <c r="E178" s="587"/>
      <c r="F178" s="587"/>
      <c r="G178" s="587"/>
      <c r="H178" s="587"/>
      <c r="I178" s="587"/>
      <c r="J178" s="587"/>
      <c r="K178" s="587"/>
      <c r="L178" s="587"/>
      <c r="M178" s="587"/>
    </row>
    <row r="179" spans="1:13" ht="15" x14ac:dyDescent="0.2">
      <c r="A179" s="587"/>
      <c r="B179" s="587"/>
      <c r="C179" s="595"/>
      <c r="D179" s="587"/>
      <c r="E179" s="587"/>
      <c r="F179" s="587"/>
      <c r="G179" s="587"/>
      <c r="H179" s="587"/>
      <c r="I179" s="587"/>
      <c r="J179" s="587"/>
      <c r="K179" s="587"/>
      <c r="L179" s="587"/>
      <c r="M179" s="587"/>
    </row>
    <row r="180" spans="1:13" ht="15" x14ac:dyDescent="0.2">
      <c r="A180" s="587"/>
      <c r="B180" s="587"/>
      <c r="C180" s="594" t="s">
        <v>363</v>
      </c>
      <c r="D180" s="587"/>
      <c r="E180" s="587"/>
      <c r="F180" s="587"/>
      <c r="G180" s="587"/>
      <c r="H180" s="587"/>
      <c r="I180" s="587"/>
      <c r="J180" s="587"/>
      <c r="K180" s="587"/>
      <c r="L180" s="587"/>
      <c r="M180" s="587"/>
    </row>
    <row r="181" spans="1:13" ht="15" x14ac:dyDescent="0.2">
      <c r="A181" s="587"/>
      <c r="B181" s="587"/>
      <c r="C181" s="595" t="s">
        <v>628</v>
      </c>
      <c r="D181" s="587"/>
      <c r="E181" s="587"/>
      <c r="F181" s="587"/>
      <c r="G181" s="587"/>
      <c r="H181" s="587"/>
      <c r="I181" s="587"/>
      <c r="J181" s="587"/>
      <c r="K181" s="587"/>
      <c r="L181" s="587"/>
      <c r="M181" s="587"/>
    </row>
    <row r="182" spans="1:13" ht="15" x14ac:dyDescent="0.2">
      <c r="A182" s="587"/>
      <c r="B182" s="587"/>
      <c r="C182" s="595"/>
      <c r="D182" s="587"/>
      <c r="E182" s="587"/>
      <c r="F182" s="587"/>
      <c r="G182" s="587"/>
      <c r="H182" s="587"/>
      <c r="I182" s="587"/>
      <c r="J182" s="587"/>
      <c r="K182" s="587"/>
      <c r="L182" s="587"/>
      <c r="M182" s="587"/>
    </row>
    <row r="183" spans="1:13" ht="15" x14ac:dyDescent="0.2">
      <c r="A183" s="587"/>
      <c r="B183" s="587"/>
      <c r="C183" s="594" t="s">
        <v>1356</v>
      </c>
      <c r="D183" s="587"/>
      <c r="E183" s="587"/>
      <c r="F183" s="587"/>
      <c r="G183" s="587"/>
      <c r="H183" s="587"/>
      <c r="I183" s="587"/>
      <c r="J183" s="587"/>
      <c r="K183" s="587"/>
      <c r="L183" s="587"/>
      <c r="M183" s="587"/>
    </row>
    <row r="184" spans="1:13" ht="15" x14ac:dyDescent="0.2">
      <c r="A184" s="587"/>
      <c r="B184" s="587"/>
      <c r="C184" s="595" t="s">
        <v>1357</v>
      </c>
      <c r="D184" s="587"/>
      <c r="E184" s="587"/>
      <c r="F184" s="587"/>
      <c r="G184" s="587"/>
      <c r="H184" s="587"/>
      <c r="I184" s="587"/>
      <c r="J184" s="587"/>
      <c r="K184" s="587"/>
      <c r="L184" s="587"/>
      <c r="M184" s="587"/>
    </row>
    <row r="185" spans="1:13" ht="7.5" customHeight="1" x14ac:dyDescent="0.2">
      <c r="A185" s="587"/>
      <c r="B185" s="587"/>
      <c r="C185" s="595"/>
      <c r="D185" s="587"/>
      <c r="E185" s="587"/>
      <c r="F185" s="587"/>
      <c r="G185" s="587"/>
      <c r="H185" s="587"/>
      <c r="I185" s="587"/>
      <c r="J185" s="587"/>
      <c r="K185" s="587"/>
      <c r="L185" s="587"/>
      <c r="M185" s="587"/>
    </row>
    <row r="186" spans="1:13" ht="15" x14ac:dyDescent="0.2">
      <c r="A186" s="587"/>
      <c r="B186" s="587"/>
      <c r="C186" s="595" t="s">
        <v>1360</v>
      </c>
      <c r="D186" s="587"/>
      <c r="E186" s="587"/>
      <c r="F186" s="587"/>
      <c r="G186" s="587"/>
      <c r="H186" s="587"/>
      <c r="I186" s="587"/>
      <c r="J186" s="587"/>
      <c r="K186" s="587"/>
      <c r="L186" s="587"/>
      <c r="M186" s="587"/>
    </row>
    <row r="187" spans="1:13" ht="15" x14ac:dyDescent="0.2">
      <c r="A187" s="587"/>
      <c r="B187" s="587"/>
      <c r="C187" s="595" t="s">
        <v>1358</v>
      </c>
      <c r="D187" s="587"/>
      <c r="E187" s="587"/>
      <c r="F187" s="587"/>
      <c r="G187" s="587"/>
      <c r="H187" s="587"/>
      <c r="I187" s="587"/>
      <c r="J187" s="587"/>
      <c r="K187" s="587"/>
      <c r="L187" s="587"/>
      <c r="M187" s="587"/>
    </row>
    <row r="188" spans="1:13" ht="15" x14ac:dyDescent="0.2">
      <c r="A188" s="587"/>
      <c r="B188" s="587"/>
      <c r="C188" s="595" t="s">
        <v>1359</v>
      </c>
      <c r="D188" s="587"/>
      <c r="E188" s="587"/>
      <c r="F188" s="587"/>
      <c r="G188" s="587"/>
      <c r="H188" s="587"/>
      <c r="I188" s="587"/>
      <c r="J188" s="587"/>
      <c r="K188" s="587"/>
      <c r="L188" s="587"/>
      <c r="M188" s="587"/>
    </row>
    <row r="189" spans="1:13" ht="15" x14ac:dyDescent="0.2">
      <c r="A189" s="587"/>
      <c r="B189" s="587"/>
      <c r="C189" s="595"/>
      <c r="D189" s="587"/>
      <c r="E189" s="587"/>
      <c r="F189" s="587"/>
      <c r="G189" s="587"/>
      <c r="H189" s="587"/>
      <c r="I189" s="587"/>
      <c r="J189" s="587"/>
      <c r="K189" s="587"/>
      <c r="L189" s="587"/>
      <c r="M189" s="587"/>
    </row>
    <row r="190" spans="1:13" ht="15" x14ac:dyDescent="0.2">
      <c r="A190" s="587"/>
      <c r="B190" s="587"/>
      <c r="C190" s="594" t="s">
        <v>1361</v>
      </c>
      <c r="D190" s="587"/>
      <c r="E190" s="587"/>
      <c r="F190" s="587"/>
      <c r="G190" s="587"/>
      <c r="H190" s="587"/>
      <c r="I190" s="587"/>
      <c r="J190" s="587"/>
      <c r="K190" s="587"/>
      <c r="L190" s="587"/>
      <c r="M190" s="587"/>
    </row>
    <row r="191" spans="1:13" ht="15" x14ac:dyDescent="0.2">
      <c r="A191" s="587"/>
      <c r="B191" s="587"/>
      <c r="C191" s="595" t="s">
        <v>629</v>
      </c>
      <c r="D191" s="587"/>
      <c r="E191" s="587"/>
      <c r="F191" s="587"/>
      <c r="G191" s="587"/>
      <c r="H191" s="587"/>
      <c r="I191" s="587"/>
      <c r="J191" s="587"/>
      <c r="K191" s="587"/>
      <c r="L191" s="587"/>
      <c r="M191" s="587"/>
    </row>
    <row r="192" spans="1:13" ht="15" x14ac:dyDescent="0.2">
      <c r="A192" s="587"/>
      <c r="B192" s="587"/>
      <c r="C192" s="595" t="s">
        <v>1362</v>
      </c>
      <c r="D192" s="587"/>
      <c r="E192" s="587"/>
      <c r="F192" s="587"/>
      <c r="G192" s="587"/>
      <c r="H192" s="587"/>
      <c r="I192" s="587"/>
      <c r="J192" s="587"/>
      <c r="K192" s="587"/>
      <c r="L192" s="587"/>
      <c r="M192" s="587"/>
    </row>
    <row r="193" spans="1:13" ht="15" x14ac:dyDescent="0.2">
      <c r="A193" s="587"/>
      <c r="B193" s="587"/>
      <c r="C193" s="595" t="s">
        <v>630</v>
      </c>
      <c r="D193" s="587"/>
      <c r="E193" s="587"/>
      <c r="F193" s="587"/>
      <c r="G193" s="587"/>
      <c r="H193" s="587"/>
      <c r="I193" s="587"/>
      <c r="J193" s="587"/>
      <c r="K193" s="587"/>
      <c r="L193" s="587"/>
      <c r="M193" s="587"/>
    </row>
    <row r="194" spans="1:13" x14ac:dyDescent="0.2">
      <c r="A194" s="587"/>
      <c r="B194" s="587"/>
      <c r="C194" s="587"/>
      <c r="D194" s="587"/>
      <c r="E194" s="587"/>
      <c r="F194" s="587"/>
      <c r="G194" s="587"/>
      <c r="H194" s="587"/>
      <c r="I194" s="587"/>
      <c r="J194" s="587"/>
      <c r="K194" s="587"/>
      <c r="L194" s="587"/>
      <c r="M194" s="587"/>
    </row>
    <row r="195" spans="1:13" x14ac:dyDescent="0.2">
      <c r="A195" s="587"/>
      <c r="B195" s="587"/>
      <c r="C195" s="587"/>
      <c r="D195" s="587"/>
      <c r="E195" s="587"/>
      <c r="F195" s="587"/>
      <c r="G195" s="587"/>
      <c r="H195" s="587"/>
      <c r="I195" s="587"/>
      <c r="J195" s="587"/>
      <c r="K195" s="587"/>
      <c r="L195" s="587"/>
      <c r="M195" s="587"/>
    </row>
    <row r="196" spans="1:13" ht="26.25" customHeight="1" x14ac:dyDescent="0.2">
      <c r="A196" s="588" t="s">
        <v>632</v>
      </c>
      <c r="B196" s="587"/>
      <c r="C196" s="587"/>
      <c r="D196" s="595" t="s">
        <v>688</v>
      </c>
      <c r="E196" s="587"/>
      <c r="F196" s="587"/>
      <c r="G196" s="587"/>
      <c r="H196" s="587"/>
      <c r="I196" s="587"/>
      <c r="J196" s="587"/>
      <c r="K196" s="587"/>
      <c r="L196" s="587"/>
      <c r="M196" s="587"/>
    </row>
    <row r="197" spans="1:13" x14ac:dyDescent="0.2">
      <c r="A197" s="587"/>
      <c r="B197" s="587"/>
      <c r="C197" s="587"/>
      <c r="D197" s="587"/>
      <c r="E197" s="587"/>
      <c r="F197" s="587"/>
      <c r="G197" s="587"/>
      <c r="H197" s="587"/>
      <c r="I197" s="587"/>
      <c r="J197" s="587"/>
      <c r="K197" s="587"/>
      <c r="L197" s="587"/>
      <c r="M197" s="587"/>
    </row>
    <row r="198" spans="1:13" ht="81" hidden="1" customHeight="1" x14ac:dyDescent="0.2">
      <c r="A198" s="588"/>
      <c r="C198" s="587"/>
      <c r="D198" s="595"/>
      <c r="E198" s="587"/>
      <c r="F198" s="587"/>
      <c r="G198" s="587"/>
      <c r="H198" s="587"/>
      <c r="I198" s="587"/>
      <c r="J198" s="587"/>
      <c r="K198" s="587"/>
      <c r="L198" s="587"/>
      <c r="M198" s="587"/>
    </row>
    <row r="199" spans="1:13" ht="18" hidden="1" customHeight="1" x14ac:dyDescent="0.2">
      <c r="A199" s="587"/>
      <c r="B199" s="587"/>
      <c r="C199" s="587"/>
      <c r="D199" s="587"/>
      <c r="E199" s="587"/>
      <c r="F199" s="587"/>
      <c r="G199" s="587"/>
      <c r="H199" s="587"/>
      <c r="I199" s="587"/>
      <c r="J199" s="587"/>
      <c r="K199" s="587"/>
      <c r="L199" s="587"/>
      <c r="M199" s="587"/>
    </row>
    <row r="200" spans="1:13" ht="28.5" customHeight="1" x14ac:dyDescent="0.2">
      <c r="A200" s="1963" t="s">
        <v>633</v>
      </c>
      <c r="B200" s="587"/>
      <c r="C200" s="587"/>
      <c r="D200" s="595" t="s">
        <v>635</v>
      </c>
      <c r="E200" s="587"/>
      <c r="F200" s="587"/>
      <c r="G200" s="587"/>
      <c r="H200" s="587"/>
      <c r="I200" s="587"/>
      <c r="J200" s="587"/>
      <c r="K200" s="587"/>
      <c r="L200" s="587"/>
      <c r="M200" s="587"/>
    </row>
    <row r="201" spans="1:13" ht="28.5" customHeight="1" x14ac:dyDescent="0.2">
      <c r="A201" s="1963"/>
      <c r="B201" s="587"/>
      <c r="C201" s="587"/>
      <c r="D201" s="1960" t="s">
        <v>695</v>
      </c>
      <c r="E201" s="1960"/>
      <c r="F201" s="1960"/>
      <c r="G201" s="1960"/>
      <c r="H201" s="1960"/>
      <c r="I201" s="1960"/>
      <c r="J201" s="1960"/>
      <c r="K201" s="1960"/>
      <c r="L201" s="1960"/>
      <c r="M201" s="587"/>
    </row>
    <row r="202" spans="1:13" x14ac:dyDescent="0.2">
      <c r="A202" s="587"/>
      <c r="B202" s="587"/>
      <c r="C202" s="587"/>
      <c r="D202" s="587"/>
      <c r="E202" s="587"/>
      <c r="F202" s="587"/>
      <c r="G202" s="587"/>
      <c r="H202" s="587"/>
      <c r="I202" s="587"/>
      <c r="J202" s="587"/>
      <c r="K202" s="587"/>
      <c r="L202" s="587"/>
      <c r="M202" s="587"/>
    </row>
    <row r="203" spans="1:13" ht="26.25" customHeight="1" x14ac:dyDescent="0.2">
      <c r="A203" s="588" t="s">
        <v>634</v>
      </c>
      <c r="B203" s="587"/>
      <c r="C203" s="587"/>
      <c r="D203" s="591" t="s">
        <v>688</v>
      </c>
      <c r="E203" s="587"/>
      <c r="F203" s="587"/>
      <c r="G203" s="587"/>
      <c r="H203" s="587"/>
      <c r="I203" s="587"/>
      <c r="J203" s="587"/>
      <c r="K203" s="587"/>
      <c r="L203" s="587"/>
      <c r="M203" s="587"/>
    </row>
    <row r="204" spans="1:13" x14ac:dyDescent="0.2">
      <c r="A204" s="587"/>
      <c r="B204" s="587"/>
      <c r="C204" s="587"/>
      <c r="D204" s="587"/>
      <c r="E204" s="587"/>
      <c r="F204" s="587"/>
      <c r="G204" s="587"/>
      <c r="H204" s="587"/>
      <c r="I204" s="587"/>
      <c r="J204" s="587"/>
      <c r="K204" s="587"/>
      <c r="L204" s="587"/>
      <c r="M204" s="587"/>
    </row>
    <row r="205" spans="1:13" ht="26.25" customHeight="1" x14ac:dyDescent="0.2">
      <c r="A205" s="588" t="s">
        <v>636</v>
      </c>
      <c r="B205" s="587"/>
      <c r="C205" s="587"/>
      <c r="D205" s="591" t="s">
        <v>688</v>
      </c>
      <c r="E205" s="587"/>
      <c r="F205" s="587"/>
      <c r="G205" s="587"/>
      <c r="H205" s="587"/>
      <c r="I205" s="587"/>
      <c r="J205" s="587"/>
      <c r="K205" s="587"/>
      <c r="L205" s="587"/>
      <c r="M205" s="587"/>
    </row>
    <row r="206" spans="1:13" x14ac:dyDescent="0.2">
      <c r="A206" s="587"/>
      <c r="B206" s="587"/>
      <c r="C206" s="587"/>
      <c r="D206" s="587"/>
      <c r="E206" s="587"/>
      <c r="F206" s="587"/>
      <c r="G206" s="587"/>
      <c r="H206" s="587"/>
      <c r="I206" s="587"/>
      <c r="J206" s="587"/>
      <c r="K206" s="587"/>
      <c r="L206" s="587"/>
      <c r="M206" s="587"/>
    </row>
    <row r="207" spans="1:13" ht="26.25" customHeight="1" x14ac:dyDescent="0.2">
      <c r="A207" s="588" t="s">
        <v>637</v>
      </c>
      <c r="B207" s="587"/>
      <c r="C207" s="587"/>
      <c r="D207" s="600"/>
      <c r="E207" s="587"/>
      <c r="F207" s="587"/>
      <c r="G207" s="587"/>
      <c r="H207" s="587"/>
      <c r="I207" s="587"/>
      <c r="J207" s="587"/>
      <c r="K207" s="587"/>
      <c r="L207" s="587"/>
      <c r="M207" s="587"/>
    </row>
    <row r="208" spans="1:13" ht="12.75" customHeight="1" x14ac:dyDescent="0.2">
      <c r="A208" s="588"/>
      <c r="B208" s="587"/>
      <c r="C208" s="587"/>
      <c r="D208" s="600"/>
      <c r="E208" s="587"/>
      <c r="F208" s="587"/>
      <c r="G208" s="587"/>
      <c r="H208" s="587"/>
      <c r="I208" s="587"/>
      <c r="J208" s="587"/>
      <c r="K208" s="587"/>
      <c r="L208" s="587"/>
      <c r="M208" s="587"/>
    </row>
    <row r="209" spans="1:13" ht="15" customHeight="1" x14ac:dyDescent="0.2">
      <c r="A209" s="588"/>
      <c r="B209" s="587"/>
      <c r="C209" s="595" t="s">
        <v>641</v>
      </c>
      <c r="D209" s="595"/>
      <c r="E209" s="587"/>
      <c r="F209" s="587"/>
      <c r="G209" s="587"/>
      <c r="H209" s="587"/>
      <c r="I209" s="587"/>
      <c r="J209" s="587"/>
      <c r="K209" s="587"/>
      <c r="L209" s="587"/>
      <c r="M209" s="587"/>
    </row>
    <row r="210" spans="1:13" ht="15" customHeight="1" x14ac:dyDescent="0.2">
      <c r="A210" s="588"/>
      <c r="B210" s="587"/>
      <c r="C210" s="595" t="s">
        <v>642</v>
      </c>
      <c r="D210" s="595"/>
      <c r="E210" s="587"/>
      <c r="F210" s="587"/>
      <c r="G210" s="587"/>
      <c r="H210" s="587"/>
      <c r="I210" s="587"/>
      <c r="J210" s="587"/>
      <c r="K210" s="587"/>
      <c r="L210" s="587"/>
      <c r="M210" s="587"/>
    </row>
    <row r="211" spans="1:13" ht="15" customHeight="1" x14ac:dyDescent="0.2">
      <c r="A211" s="587"/>
      <c r="B211" s="587"/>
      <c r="C211" s="595" t="s">
        <v>693</v>
      </c>
      <c r="D211" s="595"/>
      <c r="E211" s="587"/>
      <c r="F211" s="587"/>
      <c r="G211" s="587"/>
      <c r="H211" s="587"/>
      <c r="I211" s="587"/>
      <c r="J211" s="587"/>
      <c r="K211" s="587"/>
      <c r="L211" s="587"/>
      <c r="M211" s="587"/>
    </row>
    <row r="212" spans="1:13" ht="15" customHeight="1" x14ac:dyDescent="0.25">
      <c r="A212" s="587"/>
      <c r="B212" s="587"/>
      <c r="C212" s="669" t="s">
        <v>1363</v>
      </c>
      <c r="D212" s="596"/>
      <c r="E212" s="587"/>
      <c r="F212" s="587"/>
      <c r="G212" s="587"/>
      <c r="H212" s="587"/>
      <c r="I212" s="587"/>
      <c r="J212" s="587"/>
      <c r="K212" s="587"/>
      <c r="L212" s="587"/>
      <c r="M212" s="587"/>
    </row>
    <row r="213" spans="1:13" x14ac:dyDescent="0.2">
      <c r="A213" s="587"/>
      <c r="B213" s="587"/>
      <c r="C213" s="587"/>
      <c r="D213" s="587"/>
      <c r="E213" s="587"/>
      <c r="F213" s="587"/>
      <c r="G213" s="587"/>
      <c r="H213" s="587"/>
      <c r="I213" s="587"/>
      <c r="J213" s="587"/>
      <c r="K213" s="587"/>
      <c r="L213" s="587"/>
      <c r="M213" s="587"/>
    </row>
    <row r="214" spans="1:13" ht="26.25" customHeight="1" x14ac:dyDescent="0.2">
      <c r="A214" s="588" t="s">
        <v>638</v>
      </c>
      <c r="B214" s="587"/>
      <c r="C214" s="587"/>
      <c r="D214" s="602"/>
      <c r="E214" s="587"/>
      <c r="F214" s="587"/>
      <c r="G214" s="587"/>
      <c r="H214" s="587"/>
      <c r="I214" s="587"/>
      <c r="J214" s="587"/>
      <c r="K214" s="587"/>
      <c r="L214" s="587"/>
      <c r="M214" s="587"/>
    </row>
    <row r="215" spans="1:13" x14ac:dyDescent="0.2">
      <c r="A215" s="587"/>
      <c r="B215" s="587"/>
      <c r="C215" s="587"/>
      <c r="D215" s="587"/>
      <c r="E215" s="587"/>
      <c r="F215" s="587"/>
      <c r="G215" s="587"/>
      <c r="H215" s="587"/>
      <c r="I215" s="587"/>
      <c r="J215" s="587"/>
      <c r="K215" s="587"/>
      <c r="L215" s="587"/>
      <c r="M215" s="587"/>
    </row>
    <row r="216" spans="1:13" ht="15" x14ac:dyDescent="0.2">
      <c r="A216" s="587"/>
      <c r="B216" s="652" t="s">
        <v>1364</v>
      </c>
      <c r="C216" s="587"/>
      <c r="D216" s="587"/>
      <c r="E216" s="587"/>
      <c r="F216" s="587"/>
      <c r="G216" s="587"/>
      <c r="H216" s="587"/>
      <c r="I216" s="587"/>
      <c r="J216" s="587"/>
      <c r="K216" s="587"/>
      <c r="L216" s="587"/>
      <c r="M216" s="587"/>
    </row>
    <row r="217" spans="1:13" ht="122.25" customHeight="1" x14ac:dyDescent="0.2">
      <c r="A217" s="587"/>
      <c r="B217" s="587"/>
      <c r="C217" s="587"/>
      <c r="D217" s="587"/>
      <c r="E217" s="587"/>
      <c r="F217" s="587"/>
      <c r="G217" s="587"/>
      <c r="H217" s="587"/>
      <c r="I217" s="587"/>
      <c r="J217" s="587"/>
      <c r="K217" s="587"/>
      <c r="L217" s="587"/>
      <c r="M217" s="587"/>
    </row>
    <row r="218" spans="1:13" ht="15" customHeight="1" x14ac:dyDescent="0.2">
      <c r="A218" s="587"/>
      <c r="B218" s="587"/>
      <c r="C218" s="595"/>
      <c r="D218" s="587"/>
      <c r="E218" s="587"/>
      <c r="F218" s="587"/>
      <c r="G218" s="587"/>
      <c r="H218" s="587"/>
      <c r="I218" s="587"/>
      <c r="J218" s="587"/>
      <c r="K218" s="587"/>
      <c r="L218" s="587"/>
      <c r="M218" s="587"/>
    </row>
    <row r="219" spans="1:13" ht="127.5" customHeight="1" x14ac:dyDescent="0.2">
      <c r="A219" s="587"/>
      <c r="B219" s="587"/>
      <c r="C219" s="595"/>
      <c r="D219" s="587"/>
      <c r="E219" s="587"/>
      <c r="F219" s="587"/>
      <c r="G219" s="587"/>
      <c r="H219" s="587"/>
      <c r="I219" s="587"/>
      <c r="J219" s="587"/>
      <c r="K219" s="587"/>
      <c r="L219" s="587"/>
      <c r="M219" s="587"/>
    </row>
    <row r="220" spans="1:13" ht="15" customHeight="1" x14ac:dyDescent="0.2">
      <c r="A220" s="587"/>
      <c r="B220" s="587"/>
      <c r="C220" s="595"/>
      <c r="D220" s="587"/>
      <c r="E220" s="587"/>
      <c r="F220" s="587"/>
      <c r="G220" s="587"/>
      <c r="H220" s="587"/>
      <c r="I220" s="587"/>
      <c r="J220" s="587"/>
      <c r="K220" s="587"/>
      <c r="L220" s="587"/>
      <c r="M220" s="587"/>
    </row>
    <row r="221" spans="1:13" ht="15" customHeight="1" x14ac:dyDescent="0.25">
      <c r="A221" s="587"/>
      <c r="B221" s="865" t="s">
        <v>1365</v>
      </c>
      <c r="C221" s="595"/>
      <c r="D221" s="587"/>
      <c r="E221" s="587"/>
      <c r="F221" s="587"/>
      <c r="G221" s="587"/>
      <c r="H221" s="587"/>
      <c r="I221" s="587"/>
      <c r="J221" s="587"/>
      <c r="K221" s="587"/>
      <c r="L221" s="587"/>
      <c r="M221" s="587"/>
    </row>
    <row r="222" spans="1:13" ht="15" customHeight="1" x14ac:dyDescent="0.2">
      <c r="A222" s="587"/>
      <c r="B222" s="601" t="s">
        <v>1366</v>
      </c>
      <c r="C222" s="595"/>
      <c r="D222" s="587"/>
      <c r="E222" s="587"/>
      <c r="F222" s="587"/>
      <c r="G222" s="587"/>
      <c r="H222" s="587"/>
      <c r="I222" s="587"/>
      <c r="J222" s="587"/>
      <c r="K222" s="587"/>
      <c r="L222" s="587"/>
      <c r="M222" s="587"/>
    </row>
    <row r="223" spans="1:13" ht="15" customHeight="1" x14ac:dyDescent="0.2">
      <c r="A223" s="587"/>
      <c r="B223" s="601" t="s">
        <v>1367</v>
      </c>
      <c r="C223" s="587"/>
      <c r="D223" s="595"/>
      <c r="E223" s="587"/>
      <c r="F223" s="587"/>
      <c r="G223" s="587"/>
      <c r="H223" s="587"/>
      <c r="I223" s="587"/>
      <c r="J223" s="587"/>
      <c r="K223" s="587"/>
      <c r="L223" s="587"/>
      <c r="M223" s="587"/>
    </row>
    <row r="224" spans="1:13" ht="15" customHeight="1" x14ac:dyDescent="0.2">
      <c r="A224" s="587"/>
      <c r="B224" s="601" t="s">
        <v>1368</v>
      </c>
      <c r="C224" s="587"/>
      <c r="D224" s="595"/>
      <c r="E224" s="587"/>
      <c r="F224" s="587"/>
      <c r="G224" s="587"/>
      <c r="H224" s="587"/>
      <c r="I224" s="587"/>
      <c r="J224" s="587"/>
      <c r="K224" s="587"/>
      <c r="L224" s="587"/>
      <c r="M224" s="587"/>
    </row>
    <row r="225" spans="1:13" ht="15" customHeight="1" x14ac:dyDescent="0.25">
      <c r="A225" s="587"/>
      <c r="B225" s="601" t="s">
        <v>1369</v>
      </c>
      <c r="C225" s="587"/>
      <c r="D225" s="596"/>
      <c r="E225" s="587"/>
      <c r="F225" s="587"/>
      <c r="G225" s="587"/>
      <c r="H225" s="587"/>
      <c r="I225" s="587"/>
      <c r="J225" s="587"/>
      <c r="K225" s="587"/>
      <c r="L225" s="587"/>
      <c r="M225" s="587"/>
    </row>
    <row r="226" spans="1:13" ht="15" customHeight="1" x14ac:dyDescent="0.25">
      <c r="A226" s="587"/>
      <c r="B226" s="601" t="s">
        <v>1370</v>
      </c>
      <c r="C226" s="595"/>
      <c r="D226" s="596"/>
      <c r="E226" s="587"/>
      <c r="F226" s="587"/>
      <c r="G226" s="587"/>
      <c r="H226" s="587"/>
      <c r="I226" s="587"/>
      <c r="J226" s="587"/>
      <c r="K226" s="587"/>
      <c r="L226" s="587"/>
      <c r="M226" s="587"/>
    </row>
    <row r="227" spans="1:13" x14ac:dyDescent="0.2">
      <c r="A227" s="587"/>
      <c r="B227" s="601" t="s">
        <v>1371</v>
      </c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</row>
    <row r="228" spans="1:13" ht="12.75" customHeight="1" x14ac:dyDescent="0.2">
      <c r="A228" s="587"/>
      <c r="B228" s="601" t="s">
        <v>1372</v>
      </c>
      <c r="C228" s="587"/>
      <c r="D228" s="587"/>
      <c r="E228" s="587"/>
      <c r="F228" s="587"/>
      <c r="G228" s="587"/>
      <c r="H228" s="587"/>
      <c r="I228" s="587"/>
      <c r="J228" s="587"/>
      <c r="K228" s="587"/>
      <c r="L228" s="587"/>
      <c r="M228" s="587"/>
    </row>
    <row r="229" spans="1:13" ht="15" x14ac:dyDescent="0.2">
      <c r="A229" s="587"/>
      <c r="B229" s="674" t="s">
        <v>1373</v>
      </c>
      <c r="C229" s="587"/>
      <c r="D229" s="587"/>
      <c r="E229" s="587"/>
      <c r="F229" s="587"/>
      <c r="G229" s="587"/>
      <c r="H229" s="587"/>
      <c r="I229" s="587"/>
      <c r="J229" s="587"/>
      <c r="K229" s="587"/>
      <c r="L229" s="587"/>
      <c r="M229" s="587"/>
    </row>
    <row r="230" spans="1:13" x14ac:dyDescent="0.2">
      <c r="A230" s="587"/>
      <c r="B230" s="601" t="s">
        <v>1374</v>
      </c>
      <c r="C230" s="587"/>
      <c r="D230" s="587"/>
      <c r="E230" s="587"/>
      <c r="F230" s="587"/>
      <c r="G230" s="587"/>
      <c r="H230" s="587"/>
      <c r="I230" s="587"/>
      <c r="J230" s="587"/>
      <c r="K230" s="587"/>
      <c r="L230" s="587"/>
      <c r="M230" s="587"/>
    </row>
    <row r="231" spans="1:13" ht="15" customHeight="1" x14ac:dyDescent="0.2">
      <c r="A231" s="587"/>
      <c r="B231" s="601" t="s">
        <v>1375</v>
      </c>
      <c r="C231" s="595"/>
      <c r="D231" s="587"/>
      <c r="E231" s="587"/>
      <c r="F231" s="587"/>
      <c r="G231" s="587"/>
      <c r="H231" s="587"/>
      <c r="I231" s="587"/>
      <c r="J231" s="587"/>
      <c r="K231" s="587"/>
      <c r="L231" s="587"/>
      <c r="M231" s="587"/>
    </row>
    <row r="232" spans="1:13" ht="224.25" customHeight="1" x14ac:dyDescent="0.2">
      <c r="A232" s="587"/>
      <c r="B232" s="587"/>
      <c r="C232" s="595"/>
      <c r="D232" s="587"/>
      <c r="E232" s="587"/>
      <c r="F232" s="587"/>
      <c r="G232" s="587"/>
      <c r="H232" s="587"/>
      <c r="I232" s="587"/>
      <c r="J232" s="587"/>
      <c r="K232" s="587"/>
      <c r="L232" s="587"/>
      <c r="M232" s="587"/>
    </row>
    <row r="233" spans="1:13" ht="15" customHeight="1" x14ac:dyDescent="0.2">
      <c r="A233" s="587"/>
      <c r="B233" s="587"/>
      <c r="C233" s="595"/>
      <c r="D233" s="587"/>
      <c r="E233" s="587"/>
      <c r="F233" s="587"/>
      <c r="G233" s="587"/>
      <c r="H233" s="587"/>
      <c r="I233" s="587"/>
      <c r="J233" s="587"/>
      <c r="K233" s="587"/>
      <c r="L233" s="587"/>
      <c r="M233" s="587"/>
    </row>
    <row r="234" spans="1:13" ht="15" customHeight="1" x14ac:dyDescent="0.2">
      <c r="A234" s="587"/>
      <c r="B234" s="587"/>
      <c r="C234" s="587"/>
      <c r="D234" s="595"/>
      <c r="E234" s="587"/>
      <c r="F234" s="587"/>
      <c r="G234" s="587"/>
      <c r="H234" s="587"/>
      <c r="I234" s="587"/>
      <c r="J234" s="587"/>
      <c r="K234" s="587"/>
      <c r="L234" s="587"/>
      <c r="M234" s="587"/>
    </row>
    <row r="235" spans="1:13" ht="15" customHeight="1" x14ac:dyDescent="0.25">
      <c r="A235" s="587"/>
      <c r="B235" s="587"/>
      <c r="C235" s="587"/>
      <c r="D235" s="596"/>
      <c r="E235" s="587"/>
      <c r="F235" s="587"/>
      <c r="G235" s="587"/>
      <c r="H235" s="587"/>
      <c r="I235" s="587"/>
      <c r="J235" s="587"/>
      <c r="K235" s="587"/>
      <c r="L235" s="587"/>
      <c r="M235" s="587"/>
    </row>
    <row r="236" spans="1:13" ht="15" hidden="1" customHeight="1" x14ac:dyDescent="0.25">
      <c r="A236" s="587"/>
      <c r="B236" s="587"/>
      <c r="C236" s="669"/>
      <c r="D236" s="596"/>
      <c r="E236" s="587"/>
      <c r="F236" s="587"/>
      <c r="G236" s="587"/>
      <c r="H236" s="587"/>
      <c r="I236" s="587"/>
      <c r="J236" s="587"/>
      <c r="K236" s="587"/>
      <c r="L236" s="587"/>
      <c r="M236" s="587"/>
    </row>
    <row r="237" spans="1:13" hidden="1" x14ac:dyDescent="0.2">
      <c r="A237" s="587"/>
      <c r="B237" s="587"/>
      <c r="C237" s="587"/>
      <c r="D237" s="587"/>
      <c r="E237" s="587"/>
      <c r="F237" s="587"/>
      <c r="G237" s="587"/>
      <c r="H237" s="587"/>
      <c r="I237" s="587"/>
      <c r="J237" s="587"/>
      <c r="K237" s="587"/>
      <c r="L237" s="587"/>
      <c r="M237" s="587"/>
    </row>
    <row r="238" spans="1:13" ht="12.75" hidden="1" customHeight="1" x14ac:dyDescent="0.2">
      <c r="A238" s="587"/>
      <c r="B238" s="587"/>
      <c r="C238" s="587"/>
      <c r="D238" s="587"/>
      <c r="E238" s="587"/>
      <c r="F238" s="587"/>
      <c r="G238" s="587"/>
      <c r="H238" s="587"/>
      <c r="I238" s="587"/>
      <c r="J238" s="587"/>
      <c r="K238" s="587"/>
      <c r="L238" s="587"/>
      <c r="M238" s="587"/>
    </row>
    <row r="239" spans="1:13" ht="15" hidden="1" customHeight="1" x14ac:dyDescent="0.2">
      <c r="A239" s="587"/>
      <c r="B239" s="587"/>
      <c r="C239" s="587"/>
      <c r="D239" s="587"/>
      <c r="E239" s="587"/>
      <c r="F239" s="587"/>
      <c r="G239" s="587"/>
      <c r="H239" s="587"/>
      <c r="I239" s="587"/>
      <c r="J239" s="587"/>
      <c r="K239" s="587"/>
      <c r="L239" s="587"/>
      <c r="M239" s="587"/>
    </row>
    <row r="240" spans="1:13" ht="19.5" customHeight="1" x14ac:dyDescent="0.2">
      <c r="A240" s="587"/>
      <c r="B240" s="652" t="s">
        <v>664</v>
      </c>
      <c r="C240" s="587"/>
      <c r="D240" s="587"/>
      <c r="E240" s="587"/>
      <c r="F240" s="587"/>
      <c r="G240" s="587"/>
      <c r="H240" s="587"/>
      <c r="I240" s="587"/>
      <c r="J240" s="587"/>
      <c r="K240" s="587"/>
      <c r="L240" s="587"/>
      <c r="M240" s="587"/>
    </row>
    <row r="241" spans="1:13" ht="15" customHeight="1" x14ac:dyDescent="0.2">
      <c r="A241" s="587"/>
      <c r="B241" s="587"/>
      <c r="C241" s="595" t="s">
        <v>665</v>
      </c>
      <c r="D241" s="587"/>
      <c r="E241" s="587"/>
      <c r="F241" s="587"/>
      <c r="G241" s="587"/>
      <c r="H241" s="587"/>
      <c r="I241" s="587"/>
      <c r="J241" s="587"/>
      <c r="K241" s="587"/>
      <c r="L241" s="587"/>
      <c r="M241" s="587"/>
    </row>
    <row r="242" spans="1:13" ht="15" customHeight="1" x14ac:dyDescent="0.2">
      <c r="A242" s="587"/>
      <c r="B242" s="587"/>
      <c r="C242" s="595" t="s">
        <v>640</v>
      </c>
      <c r="D242" s="587"/>
      <c r="E242" s="587"/>
      <c r="F242" s="587"/>
      <c r="G242" s="587"/>
      <c r="H242" s="587"/>
      <c r="I242" s="587"/>
      <c r="J242" s="587"/>
      <c r="K242" s="587"/>
      <c r="L242" s="587"/>
      <c r="M242" s="587"/>
    </row>
    <row r="243" spans="1:13" ht="48.75" customHeight="1" x14ac:dyDescent="0.2">
      <c r="A243" s="587"/>
      <c r="B243" s="587"/>
      <c r="C243" s="1958" t="s">
        <v>689</v>
      </c>
      <c r="D243" s="1958"/>
      <c r="E243" s="1958"/>
      <c r="F243" s="1958"/>
      <c r="G243" s="1958"/>
      <c r="H243" s="1958"/>
      <c r="I243" s="1958"/>
      <c r="J243" s="1958"/>
      <c r="K243" s="1958"/>
      <c r="L243" s="1958"/>
      <c r="M243" s="587"/>
    </row>
    <row r="244" spans="1:13" ht="15" customHeight="1" x14ac:dyDescent="0.2">
      <c r="A244" s="587"/>
      <c r="B244" s="587"/>
      <c r="C244" s="587"/>
      <c r="D244" s="587"/>
      <c r="E244" s="587"/>
      <c r="F244" s="587"/>
      <c r="G244" s="587"/>
      <c r="H244" s="587"/>
      <c r="I244" s="587"/>
      <c r="J244" s="587"/>
      <c r="K244" s="587"/>
      <c r="L244" s="587"/>
      <c r="M244" s="587"/>
    </row>
    <row r="245" spans="1:13" ht="119.25" customHeight="1" x14ac:dyDescent="0.2">
      <c r="A245" s="587"/>
      <c r="B245" s="587"/>
      <c r="C245" s="587"/>
      <c r="D245" s="587"/>
      <c r="E245" s="587"/>
      <c r="F245" s="587"/>
      <c r="G245" s="587"/>
      <c r="H245" s="587"/>
      <c r="I245" s="587"/>
      <c r="J245" s="587"/>
      <c r="K245" s="587"/>
      <c r="L245" s="587"/>
      <c r="M245" s="587"/>
    </row>
    <row r="246" spans="1:13" ht="15" customHeight="1" x14ac:dyDescent="0.2">
      <c r="A246" s="587"/>
      <c r="B246" s="587"/>
      <c r="C246" s="587"/>
      <c r="D246" s="587"/>
      <c r="E246" s="587"/>
      <c r="F246" s="587"/>
      <c r="G246" s="587"/>
      <c r="H246" s="587"/>
      <c r="I246" s="587"/>
      <c r="J246" s="587"/>
      <c r="K246" s="587"/>
      <c r="L246" s="587"/>
      <c r="M246" s="587"/>
    </row>
    <row r="247" spans="1:13" ht="21" customHeight="1" x14ac:dyDescent="0.2">
      <c r="A247" s="587"/>
      <c r="B247" s="587"/>
      <c r="C247" s="587"/>
      <c r="D247" s="587"/>
      <c r="E247" s="587"/>
      <c r="F247" s="587"/>
      <c r="G247" s="587"/>
      <c r="H247" s="587"/>
      <c r="I247" s="587"/>
      <c r="J247" s="587"/>
      <c r="K247" s="587"/>
      <c r="L247" s="587"/>
      <c r="M247" s="587"/>
    </row>
    <row r="248" spans="1:13" ht="15" customHeight="1" x14ac:dyDescent="0.2">
      <c r="A248" s="587"/>
      <c r="B248" s="587"/>
      <c r="C248" s="587"/>
      <c r="D248" s="587"/>
      <c r="E248" s="587"/>
      <c r="F248" s="587"/>
      <c r="G248" s="587"/>
      <c r="H248" s="587"/>
      <c r="I248" s="587"/>
      <c r="J248" s="587"/>
      <c r="K248" s="587"/>
      <c r="L248" s="587"/>
      <c r="M248" s="587"/>
    </row>
    <row r="249" spans="1:13" ht="26.25" customHeight="1" x14ac:dyDescent="0.2">
      <c r="A249" s="588" t="s">
        <v>639</v>
      </c>
      <c r="B249" s="587"/>
      <c r="C249" s="587"/>
      <c r="D249" s="670" t="s">
        <v>688</v>
      </c>
      <c r="E249" s="587"/>
      <c r="F249" s="587"/>
      <c r="G249" s="587"/>
      <c r="H249" s="587"/>
      <c r="I249" s="587"/>
      <c r="J249" s="587"/>
      <c r="K249" s="587"/>
      <c r="L249" s="587"/>
      <c r="M249" s="587"/>
    </row>
    <row r="250" spans="1:13" x14ac:dyDescent="0.2">
      <c r="A250" s="587"/>
      <c r="B250" s="587"/>
      <c r="C250" s="587"/>
      <c r="D250" s="587"/>
      <c r="E250" s="587"/>
      <c r="F250" s="587"/>
      <c r="G250" s="587"/>
      <c r="H250" s="587"/>
      <c r="I250" s="587"/>
      <c r="J250" s="587"/>
      <c r="K250" s="587"/>
      <c r="L250" s="587"/>
      <c r="M250" s="587"/>
    </row>
    <row r="251" spans="1:13" hidden="1" x14ac:dyDescent="0.2">
      <c r="A251" s="587"/>
      <c r="B251" s="587"/>
      <c r="C251" s="587"/>
      <c r="D251" s="587"/>
      <c r="E251" s="587"/>
      <c r="F251" s="587"/>
      <c r="G251" s="587"/>
      <c r="H251" s="587"/>
      <c r="I251" s="587"/>
      <c r="J251" s="587"/>
      <c r="K251" s="587"/>
      <c r="L251" s="587"/>
      <c r="M251" s="587"/>
    </row>
    <row r="252" spans="1:13" hidden="1" x14ac:dyDescent="0.2">
      <c r="A252" s="587"/>
      <c r="B252" s="587"/>
      <c r="C252" s="587"/>
      <c r="D252" s="587"/>
      <c r="E252" s="587"/>
      <c r="F252" s="587"/>
      <c r="G252" s="587"/>
      <c r="H252" s="587"/>
      <c r="I252" s="587"/>
      <c r="J252" s="587"/>
      <c r="K252" s="587"/>
      <c r="L252" s="587"/>
      <c r="M252" s="587"/>
    </row>
    <row r="253" spans="1:13" x14ac:dyDescent="0.2">
      <c r="A253" s="587"/>
      <c r="B253" s="587"/>
      <c r="C253" s="587"/>
      <c r="D253" s="587"/>
      <c r="E253" s="587"/>
      <c r="F253" s="587"/>
      <c r="G253" s="587"/>
      <c r="H253" s="587"/>
      <c r="I253" s="587"/>
      <c r="J253" s="587"/>
      <c r="K253" s="587"/>
      <c r="L253" s="587"/>
      <c r="M253" s="587"/>
    </row>
    <row r="254" spans="1:13" x14ac:dyDescent="0.2">
      <c r="A254" s="587"/>
      <c r="B254" s="587"/>
      <c r="C254" s="587"/>
      <c r="D254" s="587"/>
      <c r="E254" s="587"/>
      <c r="F254" s="587"/>
      <c r="G254" s="587"/>
      <c r="H254" s="587"/>
      <c r="I254" s="587"/>
      <c r="J254" s="587"/>
      <c r="K254" s="587"/>
      <c r="L254" s="587"/>
      <c r="M254" s="587"/>
    </row>
    <row r="255" spans="1:13" ht="93.75" customHeight="1" x14ac:dyDescent="0.2">
      <c r="A255" s="588" t="s">
        <v>691</v>
      </c>
      <c r="B255" s="587"/>
      <c r="C255" s="587"/>
      <c r="D255" s="670" t="s">
        <v>1376</v>
      </c>
      <c r="E255" s="587"/>
      <c r="F255" s="587"/>
      <c r="G255" s="587"/>
      <c r="H255" s="587"/>
      <c r="I255" s="587"/>
      <c r="J255" s="587"/>
      <c r="K255" s="587"/>
      <c r="L255" s="587"/>
      <c r="M255" s="587"/>
    </row>
    <row r="256" spans="1:13" x14ac:dyDescent="0.2">
      <c r="A256" s="587"/>
      <c r="B256" s="587"/>
      <c r="C256" s="587"/>
      <c r="D256" s="587"/>
      <c r="E256" s="587"/>
      <c r="F256" s="587"/>
      <c r="G256" s="587"/>
      <c r="H256" s="587"/>
      <c r="I256" s="587"/>
      <c r="J256" s="587"/>
      <c r="K256" s="587"/>
      <c r="L256" s="587"/>
      <c r="M256" s="587"/>
    </row>
    <row r="257" spans="1:13" ht="15" x14ac:dyDescent="0.2">
      <c r="A257" s="587"/>
      <c r="B257" s="587"/>
      <c r="C257" s="595" t="s">
        <v>644</v>
      </c>
      <c r="D257" s="587"/>
      <c r="E257" s="587"/>
      <c r="F257" s="587"/>
      <c r="G257" s="587"/>
      <c r="H257" s="587"/>
      <c r="I257" s="587"/>
      <c r="J257" s="587"/>
      <c r="K257" s="587"/>
      <c r="L257" s="587"/>
      <c r="M257" s="587"/>
    </row>
    <row r="258" spans="1:13" ht="15" x14ac:dyDescent="0.2">
      <c r="A258" s="587"/>
      <c r="B258" s="587"/>
      <c r="C258" s="595" t="s">
        <v>645</v>
      </c>
      <c r="D258" s="587"/>
      <c r="E258" s="587"/>
      <c r="F258" s="587"/>
      <c r="G258" s="587"/>
      <c r="H258" s="587"/>
      <c r="I258" s="587"/>
      <c r="J258" s="587"/>
      <c r="K258" s="587"/>
      <c r="L258" s="587"/>
      <c r="M258" s="587"/>
    </row>
    <row r="259" spans="1:13" ht="15" x14ac:dyDescent="0.25">
      <c r="A259" s="587"/>
      <c r="B259" s="587"/>
      <c r="C259" s="596" t="s">
        <v>646</v>
      </c>
      <c r="D259" s="587"/>
      <c r="E259" s="587"/>
      <c r="F259" s="587"/>
      <c r="G259" s="587"/>
      <c r="H259" s="587"/>
      <c r="I259" s="587"/>
      <c r="J259" s="587"/>
      <c r="K259" s="587"/>
      <c r="L259" s="587"/>
      <c r="M259" s="587"/>
    </row>
    <row r="260" spans="1:13" x14ac:dyDescent="0.2">
      <c r="A260" s="587"/>
      <c r="B260" s="587"/>
      <c r="C260" s="587"/>
      <c r="D260" s="587"/>
      <c r="E260" s="587"/>
      <c r="F260" s="587"/>
      <c r="G260" s="587"/>
      <c r="H260" s="587"/>
      <c r="I260" s="587"/>
      <c r="J260" s="587"/>
      <c r="K260" s="587"/>
      <c r="L260" s="587"/>
      <c r="M260" s="587"/>
    </row>
    <row r="261" spans="1:13" x14ac:dyDescent="0.2">
      <c r="A261" s="587"/>
      <c r="B261" s="587"/>
      <c r="C261" s="587"/>
      <c r="D261" s="587"/>
      <c r="E261" s="587"/>
      <c r="F261" s="587"/>
      <c r="G261" s="587"/>
      <c r="H261" s="587"/>
      <c r="I261" s="587"/>
      <c r="J261" s="587"/>
      <c r="K261" s="587"/>
      <c r="L261" s="587"/>
      <c r="M261" s="587"/>
    </row>
    <row r="262" spans="1:13" x14ac:dyDescent="0.2">
      <c r="A262" s="587"/>
      <c r="B262" s="587"/>
      <c r="C262" s="587"/>
      <c r="D262" s="587"/>
      <c r="E262" s="587"/>
      <c r="F262" s="587"/>
      <c r="G262" s="587"/>
      <c r="H262" s="587"/>
      <c r="I262" s="587"/>
      <c r="J262" s="587"/>
      <c r="K262" s="587"/>
      <c r="L262" s="587"/>
      <c r="M262" s="587"/>
    </row>
    <row r="263" spans="1:13" ht="26.25" customHeight="1" x14ac:dyDescent="0.2">
      <c r="A263" s="588" t="s">
        <v>692</v>
      </c>
      <c r="B263" s="587"/>
      <c r="C263" s="587"/>
      <c r="D263" s="669" t="s">
        <v>690</v>
      </c>
      <c r="E263" s="587"/>
      <c r="F263" s="587"/>
      <c r="G263" s="587"/>
      <c r="H263" s="587"/>
      <c r="I263" s="587"/>
      <c r="J263" s="587"/>
      <c r="K263" s="587"/>
      <c r="L263" s="587"/>
      <c r="M263" s="587"/>
    </row>
    <row r="264" spans="1:13" x14ac:dyDescent="0.2">
      <c r="A264" s="587"/>
      <c r="B264" s="587"/>
      <c r="C264" s="587"/>
      <c r="D264" s="587"/>
      <c r="E264" s="587"/>
      <c r="F264" s="587"/>
      <c r="G264" s="587"/>
      <c r="H264" s="587"/>
      <c r="I264" s="587"/>
      <c r="J264" s="587"/>
      <c r="K264" s="587"/>
      <c r="L264" s="587"/>
      <c r="M264" s="587"/>
    </row>
    <row r="265" spans="1:13" ht="15" x14ac:dyDescent="0.25">
      <c r="A265" s="587"/>
      <c r="B265" s="587"/>
      <c r="C265" s="603"/>
      <c r="D265" s="587"/>
      <c r="E265" s="587"/>
      <c r="F265" s="587"/>
      <c r="G265" s="587"/>
      <c r="H265" s="587"/>
      <c r="I265" s="587"/>
      <c r="J265" s="587"/>
      <c r="K265" s="587"/>
      <c r="L265" s="587"/>
      <c r="M265" s="587"/>
    </row>
    <row r="266" spans="1:13" x14ac:dyDescent="0.2">
      <c r="A266" s="587"/>
      <c r="B266" s="587"/>
      <c r="C266" s="587"/>
      <c r="D266" s="587"/>
      <c r="E266" s="587"/>
      <c r="F266" s="587"/>
      <c r="G266" s="587"/>
      <c r="H266" s="587"/>
      <c r="I266" s="587"/>
      <c r="J266" s="587"/>
      <c r="K266" s="587"/>
      <c r="L266" s="587"/>
      <c r="M266" s="587"/>
    </row>
    <row r="267" spans="1:13" ht="26.25" customHeight="1" x14ac:dyDescent="0.2">
      <c r="A267" s="588" t="s">
        <v>643</v>
      </c>
      <c r="B267" s="587"/>
      <c r="C267" s="587"/>
      <c r="D267" s="670" t="s">
        <v>1377</v>
      </c>
      <c r="E267" s="587"/>
      <c r="F267" s="587"/>
      <c r="G267" s="587"/>
      <c r="H267" s="587"/>
      <c r="I267" s="587"/>
      <c r="J267" s="587"/>
      <c r="K267" s="587"/>
      <c r="L267" s="587"/>
      <c r="M267" s="587"/>
    </row>
    <row r="268" spans="1:13" x14ac:dyDescent="0.2">
      <c r="A268" s="587"/>
      <c r="B268" s="587"/>
      <c r="C268" s="587"/>
      <c r="D268" s="587"/>
      <c r="E268" s="587"/>
      <c r="F268" s="587"/>
      <c r="G268" s="587"/>
      <c r="H268" s="587"/>
      <c r="I268" s="587"/>
      <c r="J268" s="587"/>
      <c r="K268" s="587"/>
      <c r="L268" s="587"/>
      <c r="M268" s="587"/>
    </row>
    <row r="269" spans="1:13" ht="15" hidden="1" x14ac:dyDescent="0.25">
      <c r="A269" s="587"/>
      <c r="B269" s="587"/>
      <c r="C269" s="592"/>
      <c r="D269" s="587"/>
      <c r="E269" s="587"/>
      <c r="F269" s="587"/>
      <c r="G269" s="587"/>
      <c r="H269" s="587"/>
      <c r="I269" s="587"/>
      <c r="J269" s="587"/>
      <c r="K269" s="587"/>
      <c r="L269" s="587"/>
      <c r="M269" s="587"/>
    </row>
    <row r="270" spans="1:13" hidden="1" x14ac:dyDescent="0.2">
      <c r="A270" s="587"/>
      <c r="B270" s="587"/>
      <c r="C270" s="587"/>
      <c r="D270" s="587"/>
      <c r="E270" s="587"/>
      <c r="F270" s="587"/>
      <c r="G270" s="587"/>
      <c r="H270" s="587"/>
      <c r="I270" s="587"/>
      <c r="J270" s="587"/>
      <c r="K270" s="587"/>
      <c r="L270" s="587"/>
      <c r="M270" s="587"/>
    </row>
    <row r="271" spans="1:13" hidden="1" x14ac:dyDescent="0.2">
      <c r="A271" s="587"/>
      <c r="B271" s="587"/>
      <c r="C271" s="587"/>
      <c r="D271" s="587"/>
      <c r="E271" s="587"/>
      <c r="F271" s="587"/>
      <c r="G271" s="587"/>
      <c r="H271" s="587"/>
      <c r="I271" s="587"/>
      <c r="J271" s="587"/>
      <c r="K271" s="587"/>
      <c r="L271" s="587"/>
      <c r="M271" s="587"/>
    </row>
    <row r="272" spans="1:13" hidden="1" x14ac:dyDescent="0.2">
      <c r="A272" s="587"/>
      <c r="B272" s="587"/>
      <c r="C272" s="587"/>
      <c r="D272" s="587"/>
      <c r="E272" s="587"/>
      <c r="F272" s="587"/>
      <c r="G272" s="587"/>
      <c r="H272" s="587"/>
      <c r="I272" s="587"/>
      <c r="J272" s="587"/>
      <c r="K272" s="587"/>
      <c r="L272" s="587"/>
      <c r="M272" s="587"/>
    </row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</sheetData>
  <sheetProtection password="F261" sheet="1" objects="1" scenarios="1"/>
  <mergeCells count="15">
    <mergeCell ref="C243:L243"/>
    <mergeCell ref="A2:M2"/>
    <mergeCell ref="C110:L110"/>
    <mergeCell ref="C114:L114"/>
    <mergeCell ref="C151:L151"/>
    <mergeCell ref="C152:L152"/>
    <mergeCell ref="C27:L27"/>
    <mergeCell ref="A200:A201"/>
    <mergeCell ref="D201:L201"/>
    <mergeCell ref="C30:L30"/>
    <mergeCell ref="C36:L36"/>
    <mergeCell ref="C42:L42"/>
    <mergeCell ref="C45:L45"/>
    <mergeCell ref="C81:L81"/>
    <mergeCell ref="C145:L145"/>
  </mergeCells>
  <pageMargins left="0.15748031496062992" right="0.11811023622047245" top="0.35433070866141736" bottom="0.43307086614173229" header="0.23622047244094491" footer="0.19685039370078741"/>
  <pageSetup paperSize="9" scale="89" orientation="portrait" r:id="rId1"/>
  <headerFooter>
    <oddFooter>&amp;C&amp;P/&amp;N</oddFooter>
  </headerFooter>
  <rowBreaks count="4" manualBreakCount="4">
    <brk id="46" max="12" man="1"/>
    <brk id="86" max="12" man="1"/>
    <brk id="118" max="12" man="1"/>
    <brk id="247" max="12" man="1"/>
  </rowBreaks>
  <drawing r:id="rId2"/>
  <legacyDrawing r:id="rId3"/>
  <oleObjects>
    <mc:AlternateContent xmlns:mc="http://schemas.openxmlformats.org/markup-compatibility/2006">
      <mc:Choice Requires="x14">
        <oleObject progId="PBrush" shapeId="18435" r:id="rId4">
          <objectPr defaultSize="0" autoPict="0" r:id="rId5">
            <anchor moveWithCells="1" sizeWithCells="1">
              <from>
                <xdr:col>1</xdr:col>
                <xdr:colOff>9525</xdr:colOff>
                <xdr:row>254</xdr:row>
                <xdr:rowOff>28575</xdr:rowOff>
              </from>
              <to>
                <xdr:col>2</xdr:col>
                <xdr:colOff>561975</xdr:colOff>
                <xdr:row>254</xdr:row>
                <xdr:rowOff>1181100</xdr:rowOff>
              </to>
            </anchor>
          </objectPr>
        </oleObject>
      </mc:Choice>
      <mc:Fallback>
        <oleObject progId="PBrush" shapeId="18435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8BDC5212B4F0446BF4B21E104B9FB92" ma:contentTypeVersion="0" ma:contentTypeDescription="Crie um novo documento." ma:contentTypeScope="" ma:versionID="08f05b9ffc7964eea1150bfc4af99b6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EBCDAF-B9BF-440D-8E42-1C153F3589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4C8827-691C-4272-A118-5D8499587D7B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3313731-C1A3-4972-A016-3AA1F8CAF024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CB899D57-D228-4C75-BB9F-5B908B9B17A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34</vt:i4>
      </vt:variant>
    </vt:vector>
  </HeadingPairs>
  <TitlesOfParts>
    <vt:vector size="35" baseType="lpstr">
      <vt:lpstr>MENU</vt:lpstr>
      <vt:lpstr>ano_extenso</vt:lpstr>
      <vt:lpstr>Ajuda!Area_de_impressao</vt:lpstr>
      <vt:lpstr>Ata!Area_de_impressao</vt:lpstr>
      <vt:lpstr>Dados!Area_de_impressao</vt:lpstr>
      <vt:lpstr>MENU!Area_de_impressao</vt:lpstr>
      <vt:lpstr>MOD_1!Area_de_impressao</vt:lpstr>
      <vt:lpstr>MOD_2!Area_de_impressao</vt:lpstr>
      <vt:lpstr>MOD_2_formacao!Area_de_impressao</vt:lpstr>
      <vt:lpstr>MOD_2_futuro!Area_de_impressao</vt:lpstr>
      <vt:lpstr>MOD_2_gremio!Area_de_impressao</vt:lpstr>
      <vt:lpstr>MOD_2_imprensa!Area_de_impressao</vt:lpstr>
      <vt:lpstr>MOD_2_livre_aplicacao!Area_de_impressao</vt:lpstr>
      <vt:lpstr>MOD_2_mais_escola!Area_de_impressao</vt:lpstr>
      <vt:lpstr>MOD_2_transporte!Area_de_impressao</vt:lpstr>
      <vt:lpstr>MOD_2_volta_aulas!Area_de_impressao</vt:lpstr>
      <vt:lpstr>MOD_3!Area_de_impressao</vt:lpstr>
      <vt:lpstr>MOD_4!Area_de_impressao</vt:lpstr>
      <vt:lpstr>MOD_5!Area_de_impressao</vt:lpstr>
      <vt:lpstr>Oficio!Area_de_impressao</vt:lpstr>
      <vt:lpstr>SOLICITA!Area_de_impressao</vt:lpstr>
      <vt:lpstr>base</vt:lpstr>
      <vt:lpstr>cnpj_cpf</vt:lpstr>
      <vt:lpstr>devolucao</vt:lpstr>
      <vt:lpstr>dres</vt:lpstr>
      <vt:lpstr>hora_extenso</vt:lpstr>
      <vt:lpstr>lista_eol</vt:lpstr>
      <vt:lpstr>mes_extenso</vt:lpstr>
      <vt:lpstr>minuto_extenso</vt:lpstr>
      <vt:lpstr>recursos_1</vt:lpstr>
      <vt:lpstr>recursos_2</vt:lpstr>
      <vt:lpstr>saldo</vt:lpstr>
      <vt:lpstr>sim</vt:lpstr>
      <vt:lpstr>sim_2</vt:lpstr>
      <vt:lpstr>simnao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1º Repasse 2012</dc:title>
  <dc:creator>d561158</dc:creator>
  <cp:lastModifiedBy>Adriana Monteiro Silva</cp:lastModifiedBy>
  <cp:lastPrinted>2020-09-28T15:00:14Z</cp:lastPrinted>
  <dcterms:created xsi:type="dcterms:W3CDTF">2006-11-23T12:58:46Z</dcterms:created>
  <dcterms:modified xsi:type="dcterms:W3CDTF">2020-09-28T15:08:56Z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0x010100F8BDC5212B4F0446BF4B21E104B9FB92</vt:lpwstr>
  </property>
  <property fmtid="{D5CDD505-2E9C-101B-9397-08002B2CF9AE}" pid="3" name="xd_ProgID">
    <vt:lpwstr/>
  </property>
  <property fmtid="{D5CDD505-2E9C-101B-9397-08002B2CF9AE}" pid="4" name="TemplateUrl">
    <vt:lpwstr/>
  </property>
  <property fmtid="{D5CDD505-2E9C-101B-9397-08002B2CF9AE}" pid="5" name="xd_Signature">
    <vt:bool>false</vt:bool>
  </property>
</Properties>
</file>